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temp website\Annual Budget 2026 For CMISD\"/>
    </mc:Choice>
  </mc:AlternateContent>
  <bookViews>
    <workbookView xWindow="-105" yWindow="-105" windowWidth="23250" windowHeight="12450" activeTab="1"/>
  </bookViews>
  <sheets>
    <sheet name="SUMMARY BY SECTOR (with CO)" sheetId="69" r:id="rId1"/>
    <sheet name="LBP Form No. 6" sheetId="70" r:id="rId2"/>
    <sheet name="titles and codes" sheetId="1" r:id="rId3"/>
    <sheet name="CMO NET" sheetId="2" r:id="rId4"/>
    <sheet name="CMO PPAs 2026" sheetId="16" r:id="rId5"/>
    <sheet name="DRRM DIV" sheetId="6" r:id="rId6"/>
    <sheet name="DRRMF" sheetId="3" r:id="rId7"/>
    <sheet name="COMM AFFAIRS" sheetId="4" r:id="rId8"/>
    <sheet name="RADIO COMM" sheetId="5" r:id="rId9"/>
    <sheet name="MIS" sheetId="7" r:id="rId10"/>
    <sheet name="BAC" sheetId="8" r:id="rId11"/>
    <sheet name="BPLO" sheetId="9" r:id="rId12"/>
    <sheet name="LIBRARY" sheetId="10" r:id="rId13"/>
    <sheet name="SPORTS" sheetId="11" r:id="rId14"/>
    <sheet name="EMPLOYMENT - PESO" sheetId="12" r:id="rId15"/>
    <sheet name="HOUSING" sheetId="13" r:id="rId16"/>
    <sheet name="LEDMO" sheetId="14" r:id="rId17"/>
    <sheet name="CVMO" sheetId="17" r:id="rId18"/>
    <sheet name="SP" sheetId="18" r:id="rId19"/>
    <sheet name="Sec. to SP" sheetId="19" r:id="rId20"/>
    <sheet name="AdminOffice" sheetId="20" r:id="rId21"/>
    <sheet name="HRMOffice" sheetId="21" r:id="rId22"/>
    <sheet name="PlanningOffice" sheetId="22" r:id="rId23"/>
    <sheet name="CCRO" sheetId="24" r:id="rId24"/>
    <sheet name="CCRO PPAs" sheetId="25" r:id="rId25"/>
    <sheet name="GSO" sheetId="26" r:id="rId26"/>
    <sheet name="CBO" sheetId="27" r:id="rId27"/>
    <sheet name="ACCTG." sheetId="28" r:id="rId28"/>
    <sheet name="CTO" sheetId="29" r:id="rId29"/>
    <sheet name="ASSESSOR" sheetId="31" r:id="rId30"/>
    <sheet name="ASSESSOR PPA" sheetId="32" r:id="rId31"/>
    <sheet name="City Aud" sheetId="33" r:id="rId32"/>
    <sheet name="COA-GROUP K (2)" sheetId="34" r:id="rId33"/>
    <sheet name="OCIA" sheetId="35" r:id="rId34"/>
    <sheet name="INFO (2)" sheetId="36" r:id="rId35"/>
    <sheet name="INFO PPA" sheetId="37" r:id="rId36"/>
    <sheet name="LEGAL" sheetId="38" r:id="rId37"/>
    <sheet name="PROSECUTOR" sheetId="39" r:id="rId38"/>
    <sheet name="JUDGE" sheetId="40" r:id="rId39"/>
    <sheet name="DEEDS (2)" sheetId="41" r:id="rId40"/>
    <sheet name="Health" sheetId="42" r:id="rId41"/>
    <sheet name="Health PPAs" sheetId="43" r:id="rId42"/>
    <sheet name="Nutrition" sheetId="44" r:id="rId43"/>
    <sheet name="PopCon" sheetId="45" r:id="rId44"/>
    <sheet name="CSWD" sheetId="46" r:id="rId45"/>
    <sheet name="CSWD PPAs" sheetId="47" r:id="rId46"/>
    <sheet name="LCPC" sheetId="48" r:id="rId47"/>
    <sheet name="PWD" sheetId="49" r:id="rId48"/>
    <sheet name="Senior" sheetId="50" r:id="rId49"/>
    <sheet name="AGRI" sheetId="51" r:id="rId50"/>
    <sheet name="VET" sheetId="52" r:id="rId51"/>
    <sheet name="VET PPAs" sheetId="53" r:id="rId52"/>
    <sheet name="CENRO" sheetId="54" r:id="rId53"/>
    <sheet name="CENRO PPAs, SWM" sheetId="55" r:id="rId54"/>
    <sheet name="ARCHITECT" sheetId="56" r:id="rId55"/>
    <sheet name="CED" sheetId="57" r:id="rId56"/>
    <sheet name="CED PPAs" sheetId="58" r:id="rId57"/>
    <sheet name="Updated 20% DF" sheetId="68" r:id="rId58"/>
    <sheet name="MOTORPOOL" sheetId="59" r:id="rId59"/>
    <sheet name="BLDG. OFFICIAL" sheetId="60" r:id="rId60"/>
    <sheet name="TOURISM" sheetId="61" r:id="rId61"/>
    <sheet name="TOURISM PPAs" sheetId="62" r:id="rId62"/>
    <sheet name="PPC Market" sheetId="63" r:id="rId63"/>
    <sheet name="PPC Slaughter" sheetId="64" r:id="rId64"/>
    <sheet name="FISHPORT" sheetId="65" r:id="rId65"/>
    <sheet name="TERMINAL" sheetId="66" r:id="rId66"/>
  </sheets>
  <externalReferences>
    <externalReference r:id="rId67"/>
    <externalReference r:id="rId68"/>
    <externalReference r:id="rId69"/>
    <externalReference r:id="rId70"/>
    <externalReference r:id="rId71"/>
    <externalReference r:id="rId72"/>
  </externalReferences>
  <definedNames>
    <definedName name="_npc3" localSheetId="1">#REF!</definedName>
    <definedName name="_npc3">#REF!</definedName>
    <definedName name="_pgp4" localSheetId="1">#REF!</definedName>
    <definedName name="_pgp4">#REF!</definedName>
    <definedName name="AC">'titles and codes'!$B$2:$B$174</definedName>
    <definedName name="AcctCodes">#REF!</definedName>
    <definedName name="AcctTitles">#REF!</definedName>
    <definedName name="al">'[1]FINAL-CONSOLIDATED2008'!$B$119:$B$174</definedName>
    <definedName name="AMORT2" localSheetId="1">#REF!</definedName>
    <definedName name="AMORT2">#REF!</definedName>
    <definedName name="amort23" localSheetId="1">#REF!</definedName>
    <definedName name="amort23">#REF!</definedName>
    <definedName name="AMORTCITY15" localSheetId="1">#REF!</definedName>
    <definedName name="AMORTCITY15">#REF!</definedName>
    <definedName name="amortdbp" localSheetId="1">#REF!</definedName>
    <definedName name="amortdbp">#REF!</definedName>
    <definedName name="amortdbp3" localSheetId="1">#REF!</definedName>
    <definedName name="amortdbp3">#REF!</definedName>
    <definedName name="amorthe" localSheetId="1">#REF!</definedName>
    <definedName name="amorthe">#REF!</definedName>
    <definedName name="AMORTHECITY" localSheetId="1">#REF!</definedName>
    <definedName name="AMORTHECITY">#REF!</definedName>
    <definedName name="AMORTMDFO" localSheetId="1">#REF!</definedName>
    <definedName name="AMORTMDFO">#REF!</definedName>
    <definedName name="amortmdfo2" localSheetId="1">#REF!</definedName>
    <definedName name="amortmdfo2">#REF!</definedName>
    <definedName name="annaliza" localSheetId="1" hidden="1">'[6]FINAL-CONSOLIDATED2008'!$E$119:$E$174</definedName>
    <definedName name="annaliza">'[2]FINAL-CONSOLIDATED2008'!$E$119:$E$174</definedName>
    <definedName name="AREA1" localSheetId="1">#REF!</definedName>
    <definedName name="AREA1">#REF!</definedName>
    <definedName name="AREA2" localSheetId="1">#REF!</definedName>
    <definedName name="AREA2">#REF!</definedName>
    <definedName name="AREA3" localSheetId="1">#REF!</definedName>
    <definedName name="AREA3">#REF!</definedName>
    <definedName name="AREA4" localSheetId="1">#REF!</definedName>
    <definedName name="AREA4">#REF!</definedName>
    <definedName name="AREA5" localSheetId="1">#REF!</definedName>
    <definedName name="AREA5">#REF!</definedName>
    <definedName name="AREA6" localSheetId="1">#REF!</definedName>
    <definedName name="AREA6">#REF!</definedName>
    <definedName name="AREA7" localSheetId="1">#REF!</definedName>
    <definedName name="AREA7">#REF!</definedName>
    <definedName name="AREA8" localSheetId="1">#REF!</definedName>
    <definedName name="AREA8">#REF!</definedName>
    <definedName name="AT">'titles and codes'!$A$2:$A$174</definedName>
    <definedName name="CACPGP" localSheetId="1">#REF!</definedName>
    <definedName name="CACPGP">#REF!</definedName>
    <definedName name="cacpgpsent2" localSheetId="1">#REF!</definedName>
    <definedName name="cacpgpsent2">#REF!</definedName>
    <definedName name="citynpc" localSheetId="1">#REF!</definedName>
    <definedName name="citynpc">#REF!</definedName>
    <definedName name="CODE">#REF!</definedName>
    <definedName name="Codes">'titles and codes'!$B$1:$B$174</definedName>
    <definedName name="dbpamort" localSheetId="1">#REF!</definedName>
    <definedName name="dbpamort">#REF!</definedName>
    <definedName name="f" localSheetId="1">#REF!</definedName>
    <definedName name="f">#REF!</definedName>
    <definedName name="FFS" localSheetId="1">#REF!</definedName>
    <definedName name="FFS">#REF!</definedName>
    <definedName name="G" localSheetId="1">#REF!</definedName>
    <definedName name="G">#REF!</definedName>
    <definedName name="GRACEINT" localSheetId="1">#REF!</definedName>
    <definedName name="GRACEINT">#REF!</definedName>
    <definedName name="GRACEINT2" localSheetId="1">#REF!</definedName>
    <definedName name="GRACEINT2">#REF!</definedName>
    <definedName name="HECITY" localSheetId="1">#REF!</definedName>
    <definedName name="HECITY">#REF!</definedName>
    <definedName name="INTEREST" localSheetId="1">#REF!</definedName>
    <definedName name="INTEREST">#REF!</definedName>
    <definedName name="liza" localSheetId="1" hidden="1">'[6]FINAL-CONSOLIDATED2008'!$B$119:$B$174</definedName>
    <definedName name="liza">'[2]FINAL-CONSOLIDATED2008'!$B$119:$B$174</definedName>
    <definedName name="loanamort" localSheetId="1">#REF!</definedName>
    <definedName name="loanamort">#REF!</definedName>
    <definedName name="LOANAMORT2" localSheetId="1">#REF!</definedName>
    <definedName name="LOANAMORT2">#REF!</definedName>
    <definedName name="mdfoamort2" localSheetId="1">#REF!</definedName>
    <definedName name="mdfoamort2">#REF!</definedName>
    <definedName name="MODE" localSheetId="1">#REF!</definedName>
    <definedName name="MODE">#REF!</definedName>
    <definedName name="npcdsc" localSheetId="1">#REF!</definedName>
    <definedName name="npcdsc">#REF!</definedName>
    <definedName name="pgp" localSheetId="1">#REF!</definedName>
    <definedName name="pgp">#REF!</definedName>
    <definedName name="PGPAMORT" localSheetId="1">#REF!</definedName>
    <definedName name="PGPAMORT">#REF!</definedName>
    <definedName name="PGPCACPROJCTSEN2" localSheetId="1">#REF!</definedName>
    <definedName name="PGPCACPROJCTSEN2">#REF!</definedName>
    <definedName name="pgplgu" localSheetId="1">#REF!</definedName>
    <definedName name="pgplgu">#REF!</definedName>
    <definedName name="pgplgu2" localSheetId="1">#REF!</definedName>
    <definedName name="pgplgu2">#REF!</definedName>
    <definedName name="ppc" localSheetId="1">#REF!</definedName>
    <definedName name="ppc">#REF!</definedName>
    <definedName name="PPCCACPGP" localSheetId="1">#REF!</definedName>
    <definedName name="PPCCACPGP">#REF!</definedName>
    <definedName name="PRINCIPAL" localSheetId="1">#REF!</definedName>
    <definedName name="PRINCIPAL">#REF!</definedName>
    <definedName name="_xlnm.Print_Area" localSheetId="27">ACCTG.!$A$1:$G$73</definedName>
    <definedName name="_xlnm.Print_Area" localSheetId="20">AdminOffice!$A$1:$G$67</definedName>
    <definedName name="_xlnm.Print_Area" localSheetId="49">AGRI!$A$1:$G$168</definedName>
    <definedName name="_xlnm.Print_Area" localSheetId="54">ARCHITECT!$A$1:$G$85</definedName>
    <definedName name="_xlnm.Print_Area" localSheetId="29">ASSESSOR!$A$1:$G$76</definedName>
    <definedName name="_xlnm.Print_Area" localSheetId="30">'ASSESSOR PPA'!$A$1:$G$48</definedName>
    <definedName name="_xlnm.Print_Area" localSheetId="10">BAC!$A$1:$G$64</definedName>
    <definedName name="_xlnm.Print_Area" localSheetId="59">'BLDG. OFFICIAL'!$A$1:$G$56</definedName>
    <definedName name="_xlnm.Print_Area" localSheetId="11">BPLO!$A$1:$G$86</definedName>
    <definedName name="_xlnm.Print_Area" localSheetId="26">CBO!$A$1:$G$77</definedName>
    <definedName name="_xlnm.Print_Area" localSheetId="23">CCRO!$A$1:$G$64</definedName>
    <definedName name="_xlnm.Print_Area" localSheetId="24">'CCRO PPAs'!$A$1:$G$44</definedName>
    <definedName name="_xlnm.Print_Area" localSheetId="55">CED!$A$1:$G$165</definedName>
    <definedName name="_xlnm.Print_Area" localSheetId="56">'CED PPAs'!$A$1:$G$148</definedName>
    <definedName name="_xlnm.Print_Area" localSheetId="52">CENRO!$A$1:$G$190</definedName>
    <definedName name="_xlnm.Print_Area" localSheetId="53">'CENRO PPAs, SWM'!$A$1:$G$79</definedName>
    <definedName name="_xlnm.Print_Area" localSheetId="31">'City Aud'!$A$1:$G$38</definedName>
    <definedName name="_xlnm.Print_Area" localSheetId="3">'CMO NET'!$A$1:$G$143</definedName>
    <definedName name="_xlnm.Print_Area" localSheetId="4">'CMO PPAs 2026'!$A$1:$G$1684</definedName>
    <definedName name="_xlnm.Print_Area" localSheetId="32">'COA-GROUP K (2)'!$A$1:$G$35</definedName>
    <definedName name="_xlnm.Print_Area" localSheetId="44">CSWD!$A$1:$G$171</definedName>
    <definedName name="_xlnm.Print_Area" localSheetId="45">'CSWD PPAs'!$A$1:$G$65</definedName>
    <definedName name="_xlnm.Print_Area" localSheetId="28">CTO!$A$1:$G$105</definedName>
    <definedName name="_xlnm.Print_Area" localSheetId="17">CVMO!$A$1:$G$73</definedName>
    <definedName name="_xlnm.Print_Area" localSheetId="39">'DEEDS (2)'!$A$1:$G$57</definedName>
    <definedName name="_xlnm.Print_Area" localSheetId="5">'DRRM DIV'!$A$1:$G$68</definedName>
    <definedName name="_xlnm.Print_Area" localSheetId="6">DRRMF!$A$1:$G$249</definedName>
    <definedName name="_xlnm.Print_Area" localSheetId="14">'EMPLOYMENT - PESO'!$A$1:$G$70</definedName>
    <definedName name="_xlnm.Print_Area" localSheetId="64">FISHPORT!$A$1:$G$42</definedName>
    <definedName name="_xlnm.Print_Area" localSheetId="25">GSO!$A$1:$G$112</definedName>
    <definedName name="_xlnm.Print_Area" localSheetId="40">Health!$A$1:$G$285</definedName>
    <definedName name="_xlnm.Print_Area" localSheetId="41">'Health PPAs'!$A$1:$G$176</definedName>
    <definedName name="_xlnm.Print_Area" localSheetId="15">HOUSING!$A$1:$G$80</definedName>
    <definedName name="_xlnm.Print_Area" localSheetId="21">HRMOffice!$A$1:$G$88</definedName>
    <definedName name="_xlnm.Print_Area" localSheetId="34">'INFO (2)'!$A$1:$G$86</definedName>
    <definedName name="_xlnm.Print_Area" localSheetId="35">'INFO PPA'!$A$1:$G$42</definedName>
    <definedName name="_xlnm.Print_Area" localSheetId="38">JUDGE!$A$1:$G$37</definedName>
    <definedName name="_xlnm.Print_Area" localSheetId="1">'LBP Form No. 6'!$A$1:$E$136</definedName>
    <definedName name="_xlnm.Print_Area" localSheetId="46">LCPC!$A$1:$G$238</definedName>
    <definedName name="_xlnm.Print_Area" localSheetId="16">LEDMO!$A$1:$G$65</definedName>
    <definedName name="_xlnm.Print_Area" localSheetId="36">LEGAL!$A$1:$G$89</definedName>
    <definedName name="_xlnm.Print_Area" localSheetId="12">LIBRARY!$A$1:$G$71</definedName>
    <definedName name="_xlnm.Print_Area" localSheetId="9">MIS!$A$1:$G$77</definedName>
    <definedName name="_xlnm.Print_Area" localSheetId="58">MOTORPOOL!$A$1:$G$60</definedName>
    <definedName name="_xlnm.Print_Area" localSheetId="42">Nutrition!$A$1:$G$75</definedName>
    <definedName name="_xlnm.Print_Area" localSheetId="33">OCIA!$A$1:$G$70</definedName>
    <definedName name="_xlnm.Print_Area" localSheetId="22">PlanningOffice!$A$1:$G$74</definedName>
    <definedName name="_xlnm.Print_Area" localSheetId="43">PopCon!$A$1:$G$80</definedName>
    <definedName name="_xlnm.Print_Area" localSheetId="62">'PPC Market'!$A$1:$G$115</definedName>
    <definedName name="_xlnm.Print_Area" localSheetId="63">'PPC Slaughter'!$A$1:$G$81</definedName>
    <definedName name="_xlnm.Print_Area" localSheetId="37">PROSECUTOR!$A$1:$G$35</definedName>
    <definedName name="_xlnm.Print_Area" localSheetId="47">PWD!$A$1:$G$103</definedName>
    <definedName name="_xlnm.Print_Area" localSheetId="8">'RADIO COMM'!$A$1:$G$55</definedName>
    <definedName name="_xlnm.Print_Area" localSheetId="19">'Sec. to SP'!$A$1:$G$85</definedName>
    <definedName name="_xlnm.Print_Area" localSheetId="48">Senior!$A$1:$G$63</definedName>
    <definedName name="_xlnm.Print_Area" localSheetId="18">SP!$A$1:$G$108</definedName>
    <definedName name="_xlnm.Print_Area" localSheetId="13">SPORTS!$A$1:$G$96</definedName>
    <definedName name="_xlnm.Print_Area" localSheetId="0">'SUMMARY BY SECTOR (with CO)'!$A$1:$J$134</definedName>
    <definedName name="_xlnm.Print_Area" localSheetId="65">TERMINAL!$A$1:$G$65</definedName>
    <definedName name="_xlnm.Print_Area" localSheetId="60">TOURISM!$A$1:$G$157</definedName>
    <definedName name="_xlnm.Print_Area" localSheetId="61">'TOURISM PPAs'!$A$1:$G$117</definedName>
    <definedName name="_xlnm.Print_Area" localSheetId="57">'Updated 20% DF'!$A$1:$G$148</definedName>
    <definedName name="_xlnm.Print_Area" localSheetId="50">VET!$A$1:$G$78</definedName>
    <definedName name="Print_Area_MI" localSheetId="1">#REF!</definedName>
    <definedName name="Print_Area_MI">#REF!</definedName>
    <definedName name="projection" localSheetId="1" hidden="1">'[6]FINAL-CONSOLIDATED2008'!$F$119:$F$174</definedName>
    <definedName name="projection">'[2]FINAL-CONSOLIDATED2008'!$F$119:$F$174</definedName>
    <definedName name="projectnpc2" localSheetId="1">#REF!</definedName>
    <definedName name="projectnpc2">#REF!</definedName>
    <definedName name="provlgu2" localSheetId="1">#REF!</definedName>
    <definedName name="provlgu2">#REF!</definedName>
    <definedName name="SENSITIV3" localSheetId="1">#REF!</definedName>
    <definedName name="SENSITIV3">#REF!</definedName>
    <definedName name="Sensitivity2" localSheetId="1">#REF!</definedName>
    <definedName name="Sensitivity2">#REF!</definedName>
    <definedName name="sic" localSheetId="1">#REF!</definedName>
    <definedName name="sic">#REF!</definedName>
    <definedName name="SPREADHT">[3]Vergara!$B$1:$J$105</definedName>
    <definedName name="standalon">'[1]FINAL-CONSOLIDATED2008'!$F$119:$F$174</definedName>
    <definedName name="TITLE" localSheetId="44">#REF!</definedName>
    <definedName name="TITLE" localSheetId="39">#REF!</definedName>
    <definedName name="TITLE" localSheetId="6">#REF!</definedName>
    <definedName name="TITLE" localSheetId="16">#REF!</definedName>
    <definedName name="TITLE">#REF!</definedName>
    <definedName name="Titles">'titles and codes'!$A$1:$A$174</definedName>
    <definedName name="XANJI" localSheetId="1">#REF!</definedName>
    <definedName name="XANJI">#REF!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70" l="1"/>
  <c r="D26" i="70" s="1"/>
  <c r="E32" i="70"/>
  <c r="E35" i="70"/>
  <c r="E117" i="70" s="1"/>
  <c r="E70" i="70"/>
  <c r="E81" i="70"/>
  <c r="E85" i="70"/>
  <c r="E88" i="70"/>
  <c r="E95" i="70"/>
  <c r="K121" i="69" l="1"/>
  <c r="I121" i="69"/>
  <c r="H121" i="69"/>
  <c r="G120" i="69"/>
  <c r="F120" i="69"/>
  <c r="E120" i="69"/>
  <c r="J120" i="69" s="1"/>
  <c r="G119" i="69"/>
  <c r="F119" i="69"/>
  <c r="E119" i="69"/>
  <c r="J119" i="69" s="1"/>
  <c r="G118" i="69"/>
  <c r="F118" i="69"/>
  <c r="E118" i="69"/>
  <c r="G117" i="69"/>
  <c r="F117" i="69"/>
  <c r="J117" i="69" s="1"/>
  <c r="E117" i="69"/>
  <c r="G116" i="69"/>
  <c r="F116" i="69"/>
  <c r="E116" i="69"/>
  <c r="J116" i="69" s="1"/>
  <c r="G115" i="69"/>
  <c r="J115" i="69" s="1"/>
  <c r="F115" i="69"/>
  <c r="E115" i="69"/>
  <c r="G114" i="69"/>
  <c r="F114" i="69"/>
  <c r="E114" i="69"/>
  <c r="G113" i="69"/>
  <c r="F113" i="69"/>
  <c r="E113" i="69"/>
  <c r="J113" i="69" s="1"/>
  <c r="G112" i="69"/>
  <c r="F112" i="69"/>
  <c r="E112" i="69"/>
  <c r="G111" i="69"/>
  <c r="F111" i="69"/>
  <c r="E111" i="69"/>
  <c r="J111" i="69" s="1"/>
  <c r="E110" i="69"/>
  <c r="J110" i="69" s="1"/>
  <c r="G109" i="69"/>
  <c r="F109" i="69"/>
  <c r="J109" i="69" s="1"/>
  <c r="E109" i="69"/>
  <c r="G108" i="69"/>
  <c r="F108" i="69"/>
  <c r="E108" i="69"/>
  <c r="G107" i="69"/>
  <c r="F107" i="69"/>
  <c r="E107" i="69"/>
  <c r="G106" i="69"/>
  <c r="F106" i="69"/>
  <c r="E106" i="69"/>
  <c r="J106" i="69" s="1"/>
  <c r="G105" i="69"/>
  <c r="F105" i="69"/>
  <c r="E105" i="69"/>
  <c r="J105" i="69" s="1"/>
  <c r="G104" i="69"/>
  <c r="F104" i="69"/>
  <c r="E104" i="69"/>
  <c r="G103" i="69"/>
  <c r="F103" i="69"/>
  <c r="E103" i="69"/>
  <c r="G102" i="69"/>
  <c r="F102" i="69"/>
  <c r="E102" i="69"/>
  <c r="J101" i="69"/>
  <c r="G101" i="69"/>
  <c r="G100" i="69"/>
  <c r="J100" i="69" s="1"/>
  <c r="J99" i="69"/>
  <c r="G99" i="69"/>
  <c r="G98" i="69"/>
  <c r="F98" i="69"/>
  <c r="E98" i="69"/>
  <c r="G97" i="69"/>
  <c r="F97" i="69"/>
  <c r="E97" i="69"/>
  <c r="G96" i="69"/>
  <c r="F96" i="69"/>
  <c r="E96" i="69"/>
  <c r="G95" i="69"/>
  <c r="F95" i="69"/>
  <c r="J95" i="69" s="1"/>
  <c r="E95" i="69"/>
  <c r="G94" i="69"/>
  <c r="F94" i="69"/>
  <c r="E94" i="69"/>
  <c r="J94" i="69" s="1"/>
  <c r="G93" i="69"/>
  <c r="F93" i="69"/>
  <c r="E93" i="69"/>
  <c r="G92" i="69"/>
  <c r="F92" i="69"/>
  <c r="E92" i="69"/>
  <c r="G91" i="69"/>
  <c r="F91" i="69"/>
  <c r="J91" i="69" s="1"/>
  <c r="E91" i="69"/>
  <c r="J88" i="69"/>
  <c r="H84" i="69"/>
  <c r="I83" i="69"/>
  <c r="G83" i="69"/>
  <c r="F83" i="69"/>
  <c r="E83" i="69"/>
  <c r="J83" i="69" s="1"/>
  <c r="I82" i="69"/>
  <c r="G82" i="69"/>
  <c r="F82" i="69"/>
  <c r="E82" i="69"/>
  <c r="I81" i="69"/>
  <c r="G81" i="69"/>
  <c r="F81" i="69"/>
  <c r="E81" i="69"/>
  <c r="I80" i="69"/>
  <c r="G80" i="69"/>
  <c r="F80" i="69"/>
  <c r="E80" i="69"/>
  <c r="I79" i="69"/>
  <c r="G79" i="69"/>
  <c r="F79" i="69"/>
  <c r="E79" i="69"/>
  <c r="J79" i="69" s="1"/>
  <c r="I78" i="69"/>
  <c r="G78" i="69"/>
  <c r="F78" i="69"/>
  <c r="E78" i="69"/>
  <c r="I77" i="69"/>
  <c r="G77" i="69"/>
  <c r="F77" i="69"/>
  <c r="J77" i="69" s="1"/>
  <c r="E77" i="69"/>
  <c r="I76" i="69"/>
  <c r="G76" i="69"/>
  <c r="F76" i="69"/>
  <c r="E76" i="69"/>
  <c r="I75" i="69"/>
  <c r="G75" i="69"/>
  <c r="F75" i="69"/>
  <c r="E75" i="69"/>
  <c r="I74" i="69"/>
  <c r="G74" i="69"/>
  <c r="F74" i="69"/>
  <c r="E74" i="69"/>
  <c r="J74" i="69" s="1"/>
  <c r="I73" i="69"/>
  <c r="G73" i="69"/>
  <c r="F73" i="69"/>
  <c r="E73" i="69"/>
  <c r="J73" i="69" s="1"/>
  <c r="I72" i="69"/>
  <c r="G72" i="69"/>
  <c r="F72" i="69"/>
  <c r="E72" i="69"/>
  <c r="I71" i="69"/>
  <c r="G71" i="69"/>
  <c r="F71" i="69"/>
  <c r="E71" i="69"/>
  <c r="J71" i="69" s="1"/>
  <c r="I70" i="69"/>
  <c r="G70" i="69"/>
  <c r="F70" i="69"/>
  <c r="E70" i="69"/>
  <c r="J70" i="69" s="1"/>
  <c r="I69" i="69"/>
  <c r="G69" i="69"/>
  <c r="F69" i="69"/>
  <c r="E69" i="69"/>
  <c r="I68" i="69"/>
  <c r="G68" i="69"/>
  <c r="F68" i="69"/>
  <c r="E68" i="69"/>
  <c r="I67" i="69"/>
  <c r="G67" i="69"/>
  <c r="F67" i="69"/>
  <c r="E67" i="69"/>
  <c r="J67" i="69" s="1"/>
  <c r="I66" i="69"/>
  <c r="G66" i="69"/>
  <c r="F66" i="69"/>
  <c r="E66" i="69"/>
  <c r="J66" i="69" s="1"/>
  <c r="I65" i="69"/>
  <c r="G65" i="69"/>
  <c r="F65" i="69"/>
  <c r="E65" i="69"/>
  <c r="I64" i="69"/>
  <c r="G64" i="69"/>
  <c r="F64" i="69"/>
  <c r="E64" i="69"/>
  <c r="J64" i="69" s="1"/>
  <c r="I63" i="69"/>
  <c r="G63" i="69"/>
  <c r="F63" i="69"/>
  <c r="E63" i="69"/>
  <c r="J63" i="69" s="1"/>
  <c r="I62" i="69"/>
  <c r="G62" i="69"/>
  <c r="F62" i="69"/>
  <c r="E62" i="69"/>
  <c r="I61" i="69"/>
  <c r="G61" i="69"/>
  <c r="J61" i="69" s="1"/>
  <c r="F61" i="69"/>
  <c r="E61" i="69"/>
  <c r="I60" i="69"/>
  <c r="G60" i="69"/>
  <c r="F60" i="69"/>
  <c r="J60" i="69" s="1"/>
  <c r="E60" i="69"/>
  <c r="I59" i="69"/>
  <c r="G59" i="69"/>
  <c r="F59" i="69"/>
  <c r="E59" i="69"/>
  <c r="J59" i="69" s="1"/>
  <c r="I58" i="69"/>
  <c r="G58" i="69"/>
  <c r="F58" i="69"/>
  <c r="E58" i="69"/>
  <c r="J58" i="69" s="1"/>
  <c r="I57" i="69"/>
  <c r="G57" i="69"/>
  <c r="F57" i="69"/>
  <c r="E57" i="69"/>
  <c r="I56" i="69"/>
  <c r="G56" i="69"/>
  <c r="F56" i="69"/>
  <c r="E56" i="69"/>
  <c r="I55" i="69"/>
  <c r="G55" i="69"/>
  <c r="F55" i="69"/>
  <c r="E55" i="69"/>
  <c r="J55" i="69" s="1"/>
  <c r="I54" i="69"/>
  <c r="G54" i="69"/>
  <c r="F54" i="69"/>
  <c r="E54" i="69"/>
  <c r="I53" i="69"/>
  <c r="G53" i="69"/>
  <c r="F53" i="69"/>
  <c r="J53" i="69" s="1"/>
  <c r="E53" i="69"/>
  <c r="I52" i="69"/>
  <c r="G52" i="69"/>
  <c r="F52" i="69"/>
  <c r="E52" i="69"/>
  <c r="I51" i="69"/>
  <c r="G51" i="69"/>
  <c r="F51" i="69"/>
  <c r="E51" i="69"/>
  <c r="J51" i="69" s="1"/>
  <c r="I50" i="69"/>
  <c r="G50" i="69"/>
  <c r="F50" i="69"/>
  <c r="E50" i="69"/>
  <c r="J50" i="69" s="1"/>
  <c r="I49" i="69"/>
  <c r="G49" i="69"/>
  <c r="F49" i="69"/>
  <c r="E49" i="69"/>
  <c r="I48" i="69"/>
  <c r="G48" i="69"/>
  <c r="F48" i="69"/>
  <c r="E48" i="69"/>
  <c r="J48" i="69" s="1"/>
  <c r="I47" i="69"/>
  <c r="G47" i="69"/>
  <c r="F47" i="69"/>
  <c r="E47" i="69"/>
  <c r="J47" i="69" s="1"/>
  <c r="I46" i="69"/>
  <c r="G46" i="69"/>
  <c r="F46" i="69"/>
  <c r="E46" i="69"/>
  <c r="I45" i="69"/>
  <c r="G45" i="69"/>
  <c r="F45" i="69"/>
  <c r="E45" i="69"/>
  <c r="J45" i="69" s="1"/>
  <c r="I44" i="69"/>
  <c r="G44" i="69"/>
  <c r="F44" i="69"/>
  <c r="E44" i="69"/>
  <c r="J44" i="69" s="1"/>
  <c r="I43" i="69"/>
  <c r="G43" i="69"/>
  <c r="F43" i="69"/>
  <c r="E43" i="69"/>
  <c r="J43" i="69" s="1"/>
  <c r="I42" i="69"/>
  <c r="G42" i="69"/>
  <c r="F42" i="69"/>
  <c r="E42" i="69"/>
  <c r="I41" i="69"/>
  <c r="G41" i="69"/>
  <c r="F41" i="69"/>
  <c r="E41" i="69"/>
  <c r="J41" i="69" s="1"/>
  <c r="I40" i="69"/>
  <c r="G40" i="69"/>
  <c r="F40" i="69"/>
  <c r="E40" i="69"/>
  <c r="J40" i="69" s="1"/>
  <c r="I39" i="69"/>
  <c r="G39" i="69"/>
  <c r="F39" i="69"/>
  <c r="E39" i="69"/>
  <c r="J39" i="69" s="1"/>
  <c r="I38" i="69"/>
  <c r="G38" i="69"/>
  <c r="F38" i="69"/>
  <c r="E38" i="69"/>
  <c r="J38" i="69" s="1"/>
  <c r="I37" i="69"/>
  <c r="G37" i="69"/>
  <c r="F37" i="69"/>
  <c r="J37" i="69" s="1"/>
  <c r="E37" i="69"/>
  <c r="I34" i="69"/>
  <c r="H34" i="69"/>
  <c r="H86" i="69" s="1"/>
  <c r="H123" i="69" s="1"/>
  <c r="G34" i="69"/>
  <c r="F34" i="69"/>
  <c r="E34" i="69"/>
  <c r="J33" i="69"/>
  <c r="J32" i="69"/>
  <c r="J31" i="69"/>
  <c r="J30" i="69"/>
  <c r="J28" i="69"/>
  <c r="J27" i="69"/>
  <c r="J26" i="69"/>
  <c r="J25" i="69"/>
  <c r="J23" i="69"/>
  <c r="J22" i="69"/>
  <c r="J20" i="69"/>
  <c r="J19" i="69"/>
  <c r="J18" i="69"/>
  <c r="J17" i="69"/>
  <c r="J16" i="69"/>
  <c r="J15" i="69"/>
  <c r="J14" i="69"/>
  <c r="J13" i="69"/>
  <c r="J12" i="69"/>
  <c r="J11" i="69"/>
  <c r="J10" i="69"/>
  <c r="J9" i="69"/>
  <c r="J8" i="69"/>
  <c r="J34" i="69" s="1"/>
  <c r="E121" i="69" l="1"/>
  <c r="J107" i="69"/>
  <c r="J62" i="69"/>
  <c r="J118" i="69"/>
  <c r="J96" i="69"/>
  <c r="J78" i="69"/>
  <c r="J82" i="69"/>
  <c r="J92" i="69"/>
  <c r="J98" i="69"/>
  <c r="J104" i="69"/>
  <c r="J54" i="69"/>
  <c r="J97" i="69"/>
  <c r="J114" i="69"/>
  <c r="E86" i="69"/>
  <c r="E123" i="69" s="1"/>
  <c r="J52" i="69"/>
  <c r="J93" i="69"/>
  <c r="J121" i="69" s="1"/>
  <c r="J108" i="69"/>
  <c r="E84" i="69"/>
  <c r="J56" i="69"/>
  <c r="J75" i="69"/>
  <c r="J81" i="69"/>
  <c r="J103" i="69"/>
  <c r="G86" i="69"/>
  <c r="I84" i="69"/>
  <c r="I86" i="69" s="1"/>
  <c r="I123" i="69" s="1"/>
  <c r="J49" i="69"/>
  <c r="J68" i="69"/>
  <c r="J69" i="69"/>
  <c r="J57" i="69"/>
  <c r="J72" i="69"/>
  <c r="J42" i="69"/>
  <c r="J84" i="69" s="1"/>
  <c r="J86" i="69" s="1"/>
  <c r="J76" i="69"/>
  <c r="J80" i="69"/>
  <c r="J112" i="69"/>
  <c r="G121" i="69"/>
  <c r="G84" i="69"/>
  <c r="J46" i="69"/>
  <c r="J65" i="69"/>
  <c r="J102" i="69"/>
  <c r="G123" i="69"/>
  <c r="F121" i="69"/>
  <c r="F84" i="69"/>
  <c r="F86" i="69" s="1"/>
  <c r="J123" i="69" l="1"/>
  <c r="F123" i="69"/>
  <c r="J137" i="69"/>
  <c r="J138" i="69" s="1"/>
  <c r="E136" i="46" l="1"/>
  <c r="E145" i="46" s="1"/>
  <c r="E147" i="46" s="1"/>
  <c r="E149" i="46" s="1"/>
  <c r="E139" i="46"/>
  <c r="E140" i="46"/>
  <c r="C145" i="46"/>
  <c r="C147" i="46" s="1"/>
  <c r="C149" i="46" s="1"/>
  <c r="D145" i="46"/>
  <c r="D147" i="46" s="1"/>
  <c r="D149" i="46" s="1"/>
  <c r="F145" i="46"/>
  <c r="F147" i="46" s="1"/>
  <c r="F149" i="46" s="1"/>
  <c r="G145" i="46"/>
  <c r="G147" i="46" s="1"/>
  <c r="G149" i="46" s="1"/>
  <c r="E163" i="46"/>
  <c r="K164" i="46"/>
  <c r="K165" i="46"/>
  <c r="C167" i="46"/>
  <c r="C169" i="46" s="1"/>
  <c r="C171" i="46" s="1"/>
  <c r="D167" i="46"/>
  <c r="D169" i="46" s="1"/>
  <c r="D171" i="46" s="1"/>
  <c r="E167" i="46"/>
  <c r="E169" i="46" s="1"/>
  <c r="E171" i="46" s="1"/>
  <c r="F167" i="46"/>
  <c r="F169" i="46" s="1"/>
  <c r="F171" i="46" s="1"/>
  <c r="G167" i="46"/>
  <c r="G169" i="46" s="1"/>
  <c r="G171" i="46" s="1"/>
  <c r="G89" i="68"/>
  <c r="I53" i="57"/>
  <c r="G115" i="42" l="1"/>
  <c r="J197" i="42"/>
  <c r="K197" i="42" s="1"/>
  <c r="G48" i="32"/>
  <c r="M90" i="29" l="1"/>
  <c r="M88" i="29"/>
  <c r="M86" i="29"/>
  <c r="M84" i="29"/>
  <c r="M82" i="29"/>
  <c r="M81" i="29"/>
  <c r="G64" i="24" l="1"/>
  <c r="M1556" i="16"/>
  <c r="M1550" i="16"/>
  <c r="G607" i="16" l="1"/>
  <c r="G351" i="16"/>
  <c r="G353" i="16" s="1"/>
  <c r="G355" i="16" s="1"/>
  <c r="F351" i="16"/>
  <c r="D351" i="16"/>
  <c r="D353" i="16" s="1"/>
  <c r="D355" i="16" s="1"/>
  <c r="C351" i="16"/>
  <c r="C353" i="16" s="1"/>
  <c r="C355" i="16" s="1"/>
  <c r="E345" i="16"/>
  <c r="E343" i="16"/>
  <c r="E351" i="16" l="1"/>
  <c r="F353" i="16"/>
  <c r="G1211" i="16"/>
  <c r="G1213" i="16" s="1"/>
  <c r="M1184" i="16"/>
  <c r="M932" i="16"/>
  <c r="N932" i="16" s="1"/>
  <c r="M931" i="16"/>
  <c r="M930" i="16"/>
  <c r="G146" i="68"/>
  <c r="F146" i="68"/>
  <c r="E146" i="68"/>
  <c r="D146" i="68"/>
  <c r="C146" i="68"/>
  <c r="G111" i="68"/>
  <c r="F111" i="68"/>
  <c r="E111" i="68"/>
  <c r="D111" i="68"/>
  <c r="C111" i="68"/>
  <c r="G91" i="68"/>
  <c r="I91" i="68" s="1"/>
  <c r="F89" i="68"/>
  <c r="F91" i="68" s="1"/>
  <c r="E89" i="68"/>
  <c r="E91" i="68" s="1"/>
  <c r="D89" i="68"/>
  <c r="D91" i="68" s="1"/>
  <c r="C89" i="68"/>
  <c r="C91" i="68" s="1"/>
  <c r="I6" i="68"/>
  <c r="F50" i="66"/>
  <c r="E50" i="66"/>
  <c r="D50" i="66"/>
  <c r="C50" i="66"/>
  <c r="G45" i="66"/>
  <c r="G50" i="66" s="1"/>
  <c r="G39" i="66"/>
  <c r="G41" i="66" s="1"/>
  <c r="F39" i="66"/>
  <c r="F41" i="66" s="1"/>
  <c r="F52" i="66" s="1"/>
  <c r="D39" i="66"/>
  <c r="D41" i="66" s="1"/>
  <c r="D52" i="66" s="1"/>
  <c r="C39" i="66"/>
  <c r="C41" i="66" s="1"/>
  <c r="J38" i="66"/>
  <c r="K38" i="66" s="1"/>
  <c r="J37" i="66"/>
  <c r="K37" i="66" s="1"/>
  <c r="J36" i="66"/>
  <c r="K36" i="66" s="1"/>
  <c r="J35" i="66"/>
  <c r="K35" i="66" s="1"/>
  <c r="J34" i="66"/>
  <c r="K34" i="66" s="1"/>
  <c r="E29" i="66"/>
  <c r="E27" i="66"/>
  <c r="E25" i="66"/>
  <c r="K23" i="66"/>
  <c r="K24" i="66" s="1"/>
  <c r="E23" i="66"/>
  <c r="E22" i="66"/>
  <c r="E20" i="66"/>
  <c r="E19" i="66"/>
  <c r="E18" i="66"/>
  <c r="E16" i="66"/>
  <c r="G38" i="65"/>
  <c r="G40" i="65" s="1"/>
  <c r="G42" i="65" s="1"/>
  <c r="F38" i="65"/>
  <c r="F40" i="65" s="1"/>
  <c r="F42" i="65" s="1"/>
  <c r="D38" i="65"/>
  <c r="D40" i="65" s="1"/>
  <c r="D42" i="65" s="1"/>
  <c r="C38" i="65"/>
  <c r="C40" i="65" s="1"/>
  <c r="C42" i="65" s="1"/>
  <c r="J37" i="65"/>
  <c r="I37" i="65"/>
  <c r="J36" i="65"/>
  <c r="K36" i="65" s="1"/>
  <c r="J35" i="65"/>
  <c r="K35" i="65" s="1"/>
  <c r="J34" i="65"/>
  <c r="K34" i="65" s="1"/>
  <c r="H34" i="65"/>
  <c r="H32" i="65"/>
  <c r="H31" i="65"/>
  <c r="E30" i="65"/>
  <c r="E28" i="65"/>
  <c r="E27" i="65"/>
  <c r="E25" i="65"/>
  <c r="E24" i="65"/>
  <c r="E22" i="65"/>
  <c r="E19" i="65"/>
  <c r="E18" i="65"/>
  <c r="E16" i="65"/>
  <c r="G79" i="64"/>
  <c r="F79" i="64"/>
  <c r="D79" i="64"/>
  <c r="C79" i="64"/>
  <c r="E77" i="64"/>
  <c r="E79" i="64" s="1"/>
  <c r="G69" i="64"/>
  <c r="F69" i="64"/>
  <c r="D69" i="64"/>
  <c r="C69" i="64"/>
  <c r="J68" i="64"/>
  <c r="K68" i="64" s="1"/>
  <c r="J67" i="64"/>
  <c r="K67" i="64" s="1"/>
  <c r="J66" i="64"/>
  <c r="K66" i="64" s="1"/>
  <c r="J65" i="64"/>
  <c r="K65" i="64" s="1"/>
  <c r="J64" i="64"/>
  <c r="K64" i="64" s="1"/>
  <c r="J63" i="64"/>
  <c r="K63" i="64" s="1"/>
  <c r="J62" i="64"/>
  <c r="K62" i="64" s="1"/>
  <c r="J61" i="64"/>
  <c r="K61" i="64" s="1"/>
  <c r="J60" i="64"/>
  <c r="K60" i="64" s="1"/>
  <c r="E57" i="64"/>
  <c r="E55" i="64"/>
  <c r="E54" i="64"/>
  <c r="E51" i="64"/>
  <c r="E49" i="64"/>
  <c r="E48" i="64"/>
  <c r="E46" i="64"/>
  <c r="E45" i="64"/>
  <c r="E44" i="64"/>
  <c r="E43" i="64"/>
  <c r="E41" i="64"/>
  <c r="G37" i="64"/>
  <c r="F37" i="64"/>
  <c r="D37" i="64"/>
  <c r="C37" i="64"/>
  <c r="E35" i="64"/>
  <c r="E34" i="64"/>
  <c r="E33" i="64"/>
  <c r="E31" i="64"/>
  <c r="E30" i="64"/>
  <c r="E29" i="64"/>
  <c r="E28" i="64"/>
  <c r="E26" i="64"/>
  <c r="E25" i="64"/>
  <c r="E24" i="64"/>
  <c r="E22" i="64"/>
  <c r="E21" i="64"/>
  <c r="E20" i="64"/>
  <c r="E19" i="64"/>
  <c r="E18" i="64"/>
  <c r="E16" i="64"/>
  <c r="G115" i="63"/>
  <c r="G113" i="63"/>
  <c r="F113" i="63"/>
  <c r="F115" i="63" s="1"/>
  <c r="E113" i="63"/>
  <c r="E115" i="63" s="1"/>
  <c r="D113" i="63"/>
  <c r="D115" i="63" s="1"/>
  <c r="C113" i="63"/>
  <c r="C115" i="63" s="1"/>
  <c r="F89" i="63"/>
  <c r="D89" i="63"/>
  <c r="C89" i="63"/>
  <c r="J88" i="63"/>
  <c r="K88" i="63" s="1"/>
  <c r="J87" i="63"/>
  <c r="K87" i="63" s="1"/>
  <c r="J86" i="63"/>
  <c r="K86" i="63" s="1"/>
  <c r="J85" i="63"/>
  <c r="K85" i="63" s="1"/>
  <c r="J84" i="63"/>
  <c r="K84" i="63" s="1"/>
  <c r="J82" i="63"/>
  <c r="K82" i="63" s="1"/>
  <c r="J81" i="63"/>
  <c r="K81" i="63" s="1"/>
  <c r="J80" i="63"/>
  <c r="K80" i="63" s="1"/>
  <c r="J78" i="63"/>
  <c r="K78" i="63" s="1"/>
  <c r="J77" i="63"/>
  <c r="K77" i="63" s="1"/>
  <c r="J76" i="63"/>
  <c r="K76" i="63" s="1"/>
  <c r="J75" i="63"/>
  <c r="K75" i="63" s="1"/>
  <c r="J74" i="63"/>
  <c r="K74" i="63" s="1"/>
  <c r="J72" i="63"/>
  <c r="K72" i="63" s="1"/>
  <c r="J71" i="63"/>
  <c r="K71" i="63" s="1"/>
  <c r="J70" i="63"/>
  <c r="K70" i="63" s="1"/>
  <c r="J69" i="63"/>
  <c r="K69" i="63" s="1"/>
  <c r="K68" i="63"/>
  <c r="J68" i="63"/>
  <c r="J66" i="63"/>
  <c r="K66" i="63" s="1"/>
  <c r="J65" i="63"/>
  <c r="K65" i="63" s="1"/>
  <c r="J64" i="63"/>
  <c r="K64" i="63" s="1"/>
  <c r="J62" i="63"/>
  <c r="K62" i="63" s="1"/>
  <c r="J61" i="63"/>
  <c r="K61" i="63" s="1"/>
  <c r="J60" i="63"/>
  <c r="K60" i="63" s="1"/>
  <c r="H53" i="63"/>
  <c r="E53" i="63"/>
  <c r="H51" i="63"/>
  <c r="G51" i="63"/>
  <c r="G89" i="63" s="1"/>
  <c r="E51" i="63"/>
  <c r="E49" i="63"/>
  <c r="E47" i="63"/>
  <c r="E46" i="63"/>
  <c r="E44" i="63"/>
  <c r="E42" i="63"/>
  <c r="E40" i="63"/>
  <c r="F36" i="63"/>
  <c r="D36" i="63"/>
  <c r="D91" i="63" s="1"/>
  <c r="D93" i="63" s="1"/>
  <c r="C36" i="63"/>
  <c r="G35" i="63"/>
  <c r="G36" i="63" s="1"/>
  <c r="G91" i="63" s="1"/>
  <c r="G93" i="63" s="1"/>
  <c r="E34" i="63"/>
  <c r="E33" i="63"/>
  <c r="E32" i="63"/>
  <c r="E30" i="63"/>
  <c r="E29" i="63"/>
  <c r="E28" i="63"/>
  <c r="E27" i="63"/>
  <c r="E25" i="63"/>
  <c r="E24" i="63"/>
  <c r="E23" i="63"/>
  <c r="E21" i="63"/>
  <c r="E20" i="63"/>
  <c r="E19" i="63"/>
  <c r="E18" i="63"/>
  <c r="E16" i="63"/>
  <c r="F70" i="62"/>
  <c r="E70" i="62"/>
  <c r="D70" i="62"/>
  <c r="C70" i="62"/>
  <c r="G60" i="62"/>
  <c r="G58" i="62"/>
  <c r="F49" i="62"/>
  <c r="F51" i="62" s="1"/>
  <c r="E49" i="62"/>
  <c r="E51" i="62" s="1"/>
  <c r="D49" i="62"/>
  <c r="D51" i="62" s="1"/>
  <c r="C49" i="62"/>
  <c r="C51" i="62" s="1"/>
  <c r="I48" i="62"/>
  <c r="K48" i="62" s="1"/>
  <c r="I47" i="62"/>
  <c r="K47" i="62" s="1"/>
  <c r="I46" i="62"/>
  <c r="K46" i="62" s="1"/>
  <c r="J44" i="62"/>
  <c r="K44" i="62" s="1"/>
  <c r="K42" i="62"/>
  <c r="J40" i="62"/>
  <c r="I40" i="62"/>
  <c r="G19" i="62"/>
  <c r="G14" i="62"/>
  <c r="F155" i="61"/>
  <c r="D155" i="61"/>
  <c r="C155" i="61"/>
  <c r="E144" i="61"/>
  <c r="E155" i="61" s="1"/>
  <c r="G139" i="61"/>
  <c r="G155" i="61" s="1"/>
  <c r="F133" i="61"/>
  <c r="D133" i="61"/>
  <c r="C133" i="61"/>
  <c r="K129" i="61"/>
  <c r="J129" i="61"/>
  <c r="I127" i="61"/>
  <c r="K127" i="61" s="1"/>
  <c r="J125" i="61"/>
  <c r="I125" i="61"/>
  <c r="I123" i="61"/>
  <c r="K123" i="61" s="1"/>
  <c r="I121" i="61"/>
  <c r="K121" i="61" s="1"/>
  <c r="I120" i="61"/>
  <c r="K120" i="61" s="1"/>
  <c r="J119" i="61"/>
  <c r="K119" i="61" s="1"/>
  <c r="I119" i="61"/>
  <c r="J118" i="61"/>
  <c r="I118" i="61"/>
  <c r="I116" i="61"/>
  <c r="K116" i="61" s="1"/>
  <c r="K114" i="61"/>
  <c r="I114" i="61"/>
  <c r="I113" i="61"/>
  <c r="K113" i="61" s="1"/>
  <c r="I112" i="61"/>
  <c r="K112" i="61" s="1"/>
  <c r="I111" i="61"/>
  <c r="K111" i="61" s="1"/>
  <c r="I109" i="61"/>
  <c r="K109" i="61" s="1"/>
  <c r="I108" i="61"/>
  <c r="K108" i="61" s="1"/>
  <c r="J107" i="61"/>
  <c r="K107" i="61" s="1"/>
  <c r="I107" i="61"/>
  <c r="H93" i="61"/>
  <c r="E93" i="61"/>
  <c r="E92" i="61"/>
  <c r="E91" i="61"/>
  <c r="G89" i="61"/>
  <c r="E89" i="61"/>
  <c r="G88" i="61"/>
  <c r="E88" i="61"/>
  <c r="E87" i="61"/>
  <c r="E86" i="61"/>
  <c r="E71" i="61"/>
  <c r="E57" i="61"/>
  <c r="E56" i="61"/>
  <c r="H49" i="61"/>
  <c r="H48" i="61"/>
  <c r="H47" i="61"/>
  <c r="G43" i="61"/>
  <c r="E43" i="61"/>
  <c r="E41" i="61"/>
  <c r="F37" i="61"/>
  <c r="F135" i="61" s="1"/>
  <c r="D37" i="61"/>
  <c r="D135" i="61" s="1"/>
  <c r="D157" i="61" s="1"/>
  <c r="C37" i="61"/>
  <c r="G36" i="61"/>
  <c r="G37" i="61" s="1"/>
  <c r="E35" i="61"/>
  <c r="E34" i="61"/>
  <c r="E32" i="61"/>
  <c r="E31" i="61"/>
  <c r="E30" i="61"/>
  <c r="E29" i="61"/>
  <c r="E27" i="61"/>
  <c r="E26" i="61"/>
  <c r="E25" i="61"/>
  <c r="E23" i="61"/>
  <c r="E22" i="61"/>
  <c r="E21" i="61"/>
  <c r="E20" i="61"/>
  <c r="E19" i="61"/>
  <c r="E18" i="61"/>
  <c r="E16" i="61"/>
  <c r="C54" i="60"/>
  <c r="C56" i="60" s="1"/>
  <c r="F52" i="60"/>
  <c r="D52" i="60"/>
  <c r="C52" i="60"/>
  <c r="E50" i="60"/>
  <c r="G48" i="60"/>
  <c r="G52" i="60" s="1"/>
  <c r="G54" i="60" s="1"/>
  <c r="G56" i="60" s="1"/>
  <c r="E48" i="60"/>
  <c r="E46" i="60"/>
  <c r="E45" i="60"/>
  <c r="E43" i="60"/>
  <c r="E41" i="60"/>
  <c r="G37" i="60"/>
  <c r="F37" i="60"/>
  <c r="D37" i="60"/>
  <c r="D54" i="60" s="1"/>
  <c r="D56" i="60" s="1"/>
  <c r="C37" i="60"/>
  <c r="E35" i="60"/>
  <c r="E34" i="60"/>
  <c r="E32" i="60"/>
  <c r="E31" i="60"/>
  <c r="E30" i="60"/>
  <c r="E29" i="60"/>
  <c r="E27" i="60"/>
  <c r="E26" i="60"/>
  <c r="E25" i="60"/>
  <c r="E23" i="60"/>
  <c r="E22" i="60"/>
  <c r="E21" i="60"/>
  <c r="E20" i="60"/>
  <c r="E19" i="60"/>
  <c r="E18" i="60"/>
  <c r="E37" i="60" s="1"/>
  <c r="E16" i="60"/>
  <c r="G56" i="59"/>
  <c r="F56" i="59"/>
  <c r="D56" i="59"/>
  <c r="C56" i="59"/>
  <c r="E54" i="59"/>
  <c r="E52" i="59"/>
  <c r="E49" i="59"/>
  <c r="E47" i="59"/>
  <c r="E46" i="59"/>
  <c r="E44" i="59"/>
  <c r="E43" i="59"/>
  <c r="E42" i="59"/>
  <c r="E40" i="59"/>
  <c r="G36" i="59"/>
  <c r="F36" i="59"/>
  <c r="D36" i="59"/>
  <c r="C36" i="59"/>
  <c r="E34" i="59"/>
  <c r="E33" i="59"/>
  <c r="E32" i="59"/>
  <c r="E30" i="59"/>
  <c r="E29" i="59"/>
  <c r="E28" i="59"/>
  <c r="E27" i="59"/>
  <c r="E25" i="59"/>
  <c r="E24" i="59"/>
  <c r="E23" i="59"/>
  <c r="E21" i="59"/>
  <c r="E20" i="59"/>
  <c r="E19" i="59"/>
  <c r="E18" i="59"/>
  <c r="E16" i="59"/>
  <c r="G145" i="58"/>
  <c r="F145" i="58"/>
  <c r="D145" i="58"/>
  <c r="C145" i="58"/>
  <c r="C148" i="58" s="1"/>
  <c r="E143" i="58"/>
  <c r="E145" i="58" s="1"/>
  <c r="G137" i="58"/>
  <c r="G139" i="58" s="1"/>
  <c r="F137" i="58"/>
  <c r="F139" i="58" s="1"/>
  <c r="D137" i="58"/>
  <c r="D139" i="58" s="1"/>
  <c r="C137" i="58"/>
  <c r="J136" i="58"/>
  <c r="J135" i="58"/>
  <c r="J134" i="58"/>
  <c r="J133" i="58"/>
  <c r="J132" i="58"/>
  <c r="J131" i="58"/>
  <c r="E129" i="58"/>
  <c r="E127" i="58"/>
  <c r="C113" i="58"/>
  <c r="G109" i="58"/>
  <c r="G111" i="58" s="1"/>
  <c r="G113" i="58" s="1"/>
  <c r="F109" i="58"/>
  <c r="F111" i="58" s="1"/>
  <c r="F113" i="58" s="1"/>
  <c r="D109" i="58"/>
  <c r="D111" i="58" s="1"/>
  <c r="D113" i="58" s="1"/>
  <c r="C109" i="58"/>
  <c r="K108" i="58"/>
  <c r="K107" i="58"/>
  <c r="K105" i="58"/>
  <c r="E103" i="58"/>
  <c r="E101" i="58"/>
  <c r="G83" i="58"/>
  <c r="G85" i="58" s="1"/>
  <c r="G87" i="58" s="1"/>
  <c r="F83" i="58"/>
  <c r="F85" i="58" s="1"/>
  <c r="F87" i="58" s="1"/>
  <c r="D83" i="58"/>
  <c r="D85" i="58" s="1"/>
  <c r="D87" i="58" s="1"/>
  <c r="C83" i="58"/>
  <c r="C85" i="58" s="1"/>
  <c r="C87" i="58" s="1"/>
  <c r="K82" i="58"/>
  <c r="K81" i="58"/>
  <c r="K80" i="58"/>
  <c r="K79" i="58"/>
  <c r="K78" i="58"/>
  <c r="K77" i="58"/>
  <c r="K76" i="58"/>
  <c r="K75" i="58"/>
  <c r="K74" i="58"/>
  <c r="K73" i="58"/>
  <c r="K72" i="58"/>
  <c r="E70" i="58"/>
  <c r="E65" i="58"/>
  <c r="E63" i="58"/>
  <c r="E61" i="58"/>
  <c r="E60" i="58"/>
  <c r="E59" i="58"/>
  <c r="G41" i="58"/>
  <c r="G43" i="58" s="1"/>
  <c r="G45" i="58" s="1"/>
  <c r="F41" i="58"/>
  <c r="F43" i="58" s="1"/>
  <c r="F45" i="58" s="1"/>
  <c r="D41" i="58"/>
  <c r="D43" i="58" s="1"/>
  <c r="D45" i="58" s="1"/>
  <c r="C41" i="58"/>
  <c r="C43" i="58" s="1"/>
  <c r="C45" i="58" s="1"/>
  <c r="K40" i="58"/>
  <c r="K39" i="58"/>
  <c r="K38" i="58"/>
  <c r="K37" i="58"/>
  <c r="K36" i="58"/>
  <c r="K35" i="58"/>
  <c r="K34" i="58"/>
  <c r="K33" i="58"/>
  <c r="K32" i="58"/>
  <c r="K31" i="58"/>
  <c r="K30" i="58"/>
  <c r="K29" i="58"/>
  <c r="K28" i="58"/>
  <c r="K27" i="58"/>
  <c r="K26" i="58"/>
  <c r="K25" i="58"/>
  <c r="K24" i="58"/>
  <c r="E22" i="58"/>
  <c r="E16" i="58"/>
  <c r="E15" i="58"/>
  <c r="G163" i="57"/>
  <c r="F163" i="57"/>
  <c r="D163" i="57"/>
  <c r="C163" i="57"/>
  <c r="E161" i="57"/>
  <c r="E159" i="57"/>
  <c r="E154" i="57"/>
  <c r="F148" i="57"/>
  <c r="D148" i="57"/>
  <c r="C148"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4" i="57"/>
  <c r="E71" i="57"/>
  <c r="E68" i="57"/>
  <c r="G67" i="57"/>
  <c r="G148" i="57" s="1"/>
  <c r="E67" i="57"/>
  <c r="E52" i="57"/>
  <c r="E51" i="57"/>
  <c r="E50" i="57"/>
  <c r="E47" i="57"/>
  <c r="E46" i="57"/>
  <c r="E44" i="57"/>
  <c r="E42" i="57"/>
  <c r="G38" i="57"/>
  <c r="F38" i="57"/>
  <c r="D38" i="57"/>
  <c r="C38" i="57"/>
  <c r="E36" i="57"/>
  <c r="E35" i="57"/>
  <c r="E34" i="57"/>
  <c r="E32" i="57"/>
  <c r="E31" i="57"/>
  <c r="E30" i="57"/>
  <c r="E29" i="57"/>
  <c r="E27" i="57"/>
  <c r="E26" i="57"/>
  <c r="E25" i="57"/>
  <c r="E23" i="57"/>
  <c r="E22" i="57"/>
  <c r="E21" i="57"/>
  <c r="E20" i="57"/>
  <c r="E19" i="57"/>
  <c r="E18" i="57"/>
  <c r="E16" i="57"/>
  <c r="G83" i="56"/>
  <c r="F83" i="56"/>
  <c r="D83" i="56"/>
  <c r="C83" i="56"/>
  <c r="H78" i="56"/>
  <c r="E78" i="56"/>
  <c r="E76" i="56"/>
  <c r="F70" i="56"/>
  <c r="D70" i="56"/>
  <c r="C70" i="56"/>
  <c r="K69" i="56"/>
  <c r="K68" i="56"/>
  <c r="K67" i="56"/>
  <c r="K66" i="56"/>
  <c r="K65" i="56"/>
  <c r="K64" i="56"/>
  <c r="K63" i="56"/>
  <c r="K62" i="56"/>
  <c r="K61" i="56"/>
  <c r="E55" i="56"/>
  <c r="E51" i="56"/>
  <c r="G50" i="56"/>
  <c r="G70" i="56" s="1"/>
  <c r="E50" i="56"/>
  <c r="E48" i="56"/>
  <c r="E47" i="56"/>
  <c r="E46" i="56"/>
  <c r="E45" i="56"/>
  <c r="E43" i="56"/>
  <c r="E41" i="56"/>
  <c r="G37" i="56"/>
  <c r="F37" i="56"/>
  <c r="F72" i="56" s="1"/>
  <c r="D37" i="56"/>
  <c r="C37" i="56"/>
  <c r="E35" i="56"/>
  <c r="E34" i="56"/>
  <c r="E32" i="56"/>
  <c r="E31" i="56"/>
  <c r="E30" i="56"/>
  <c r="E29" i="56"/>
  <c r="E27" i="56"/>
  <c r="E26" i="56"/>
  <c r="E25" i="56"/>
  <c r="E23" i="56"/>
  <c r="E22" i="56"/>
  <c r="E21" i="56"/>
  <c r="E20" i="56"/>
  <c r="E19" i="56"/>
  <c r="E18" i="56"/>
  <c r="E16" i="56"/>
  <c r="G75" i="55"/>
  <c r="G77" i="55" s="1"/>
  <c r="G79" i="55" s="1"/>
  <c r="F75" i="55"/>
  <c r="F77" i="55" s="1"/>
  <c r="F79" i="55" s="1"/>
  <c r="D75" i="55"/>
  <c r="D77" i="55" s="1"/>
  <c r="C75" i="55"/>
  <c r="C77" i="55" s="1"/>
  <c r="C79" i="55" s="1"/>
  <c r="M74" i="55"/>
  <c r="M73" i="55"/>
  <c r="M72" i="55"/>
  <c r="M71" i="55"/>
  <c r="M70" i="55"/>
  <c r="M69" i="55"/>
  <c r="M68" i="55"/>
  <c r="M67" i="55"/>
  <c r="M66" i="55"/>
  <c r="M65" i="55"/>
  <c r="E63" i="55"/>
  <c r="E61" i="55"/>
  <c r="E59" i="55"/>
  <c r="E56" i="55"/>
  <c r="E55" i="55"/>
  <c r="G35" i="55"/>
  <c r="G37" i="55" s="1"/>
  <c r="G39" i="55" s="1"/>
  <c r="F35" i="55"/>
  <c r="F37" i="55" s="1"/>
  <c r="F39" i="55" s="1"/>
  <c r="D35" i="55"/>
  <c r="D37" i="55" s="1"/>
  <c r="D39" i="55" s="1"/>
  <c r="C35" i="55"/>
  <c r="C37" i="55" s="1"/>
  <c r="C39" i="55" s="1"/>
  <c r="E34" i="55"/>
  <c r="E35" i="55" s="1"/>
  <c r="E37" i="55" s="1"/>
  <c r="E39" i="55" s="1"/>
  <c r="F16" i="55"/>
  <c r="D16" i="55"/>
  <c r="D18" i="55" s="1"/>
  <c r="D20" i="55" s="1"/>
  <c r="C16" i="55"/>
  <c r="C18" i="55" s="1"/>
  <c r="C20" i="55" s="1"/>
  <c r="E15" i="55"/>
  <c r="E16" i="55" s="1"/>
  <c r="E18" i="55" s="1"/>
  <c r="E20" i="55" s="1"/>
  <c r="F188" i="54"/>
  <c r="E188" i="54"/>
  <c r="D188" i="54"/>
  <c r="C188" i="54"/>
  <c r="G182" i="54"/>
  <c r="G188" i="54" s="1"/>
  <c r="F176" i="54"/>
  <c r="D176" i="54"/>
  <c r="C176" i="54"/>
  <c r="J160" i="54"/>
  <c r="K158" i="54"/>
  <c r="I157" i="54"/>
  <c r="K157" i="54" s="1"/>
  <c r="K156" i="54"/>
  <c r="K155" i="54"/>
  <c r="K154" i="54"/>
  <c r="K153" i="54"/>
  <c r="I151" i="54"/>
  <c r="K151" i="54" s="1"/>
  <c r="K150" i="54"/>
  <c r="I148" i="54"/>
  <c r="K148" i="54" s="1"/>
  <c r="I147" i="54"/>
  <c r="K147" i="54" s="1"/>
  <c r="K146" i="54"/>
  <c r="I145" i="54"/>
  <c r="K145" i="54" s="1"/>
  <c r="K144" i="54"/>
  <c r="I143" i="54"/>
  <c r="K143" i="54" s="1"/>
  <c r="I142" i="54"/>
  <c r="K142" i="54" s="1"/>
  <c r="K141" i="54"/>
  <c r="I139" i="54"/>
  <c r="K139" i="54" s="1"/>
  <c r="K138" i="54"/>
  <c r="K137" i="54"/>
  <c r="I136" i="54"/>
  <c r="K136" i="54" s="1"/>
  <c r="I135" i="54"/>
  <c r="K135" i="54" s="1"/>
  <c r="K134" i="54"/>
  <c r="K133" i="54"/>
  <c r="I132" i="54"/>
  <c r="K132" i="54" s="1"/>
  <c r="K131" i="54"/>
  <c r="K130" i="54"/>
  <c r="I129" i="54"/>
  <c r="K129" i="54" s="1"/>
  <c r="I128" i="54"/>
  <c r="K128" i="54" s="1"/>
  <c r="K127" i="54"/>
  <c r="K125" i="54"/>
  <c r="K123" i="54"/>
  <c r="K121" i="54"/>
  <c r="K120" i="54"/>
  <c r="K118" i="54"/>
  <c r="K117" i="54"/>
  <c r="K115" i="54"/>
  <c r="K114" i="54"/>
  <c r="I112" i="54"/>
  <c r="K112" i="54" s="1"/>
  <c r="K111" i="54"/>
  <c r="I111" i="54"/>
  <c r="K109" i="54"/>
  <c r="K108" i="54"/>
  <c r="K107" i="54"/>
  <c r="I107" i="54"/>
  <c r="I106" i="54"/>
  <c r="K106" i="54" s="1"/>
  <c r="K105" i="54"/>
  <c r="K103" i="54"/>
  <c r="K101" i="54"/>
  <c r="I99" i="54"/>
  <c r="K99" i="54" s="1"/>
  <c r="I97" i="54"/>
  <c r="K97" i="54" s="1"/>
  <c r="I95" i="54"/>
  <c r="K95" i="54" s="1"/>
  <c r="I94" i="54"/>
  <c r="K94" i="54" s="1"/>
  <c r="J92" i="54"/>
  <c r="I92" i="54"/>
  <c r="K92" i="54" s="1"/>
  <c r="K91" i="54"/>
  <c r="K89" i="54"/>
  <c r="I87" i="54"/>
  <c r="K87" i="54" s="1"/>
  <c r="K86" i="54"/>
  <c r="K85" i="54"/>
  <c r="K83" i="54"/>
  <c r="K82" i="54"/>
  <c r="K81" i="54"/>
  <c r="I75" i="54"/>
  <c r="E74" i="54"/>
  <c r="G72" i="54"/>
  <c r="E72" i="54"/>
  <c r="G70" i="54"/>
  <c r="E70" i="54"/>
  <c r="G65" i="54"/>
  <c r="G176" i="54" s="1"/>
  <c r="E65" i="54"/>
  <c r="E63" i="54"/>
  <c r="E61" i="54"/>
  <c r="H59" i="54"/>
  <c r="E44" i="54"/>
  <c r="E42" i="54"/>
  <c r="G38" i="54"/>
  <c r="F38" i="54"/>
  <c r="F178" i="54" s="1"/>
  <c r="D38" i="54"/>
  <c r="D178" i="54" s="1"/>
  <c r="C38" i="54"/>
  <c r="E36" i="54"/>
  <c r="E35" i="54"/>
  <c r="E34" i="54"/>
  <c r="E32" i="54"/>
  <c r="E31" i="54"/>
  <c r="E30" i="54"/>
  <c r="E29" i="54"/>
  <c r="E27" i="54"/>
  <c r="E25" i="54"/>
  <c r="E23" i="54"/>
  <c r="E22" i="54"/>
  <c r="E21" i="54"/>
  <c r="E20" i="54"/>
  <c r="E19" i="54"/>
  <c r="E18" i="54"/>
  <c r="E16" i="54"/>
  <c r="G16" i="53"/>
  <c r="G18" i="53" s="1"/>
  <c r="G20" i="53" s="1"/>
  <c r="F16" i="53"/>
  <c r="F18" i="53" s="1"/>
  <c r="F20" i="53" s="1"/>
  <c r="D16" i="53"/>
  <c r="D18" i="53" s="1"/>
  <c r="D20" i="53" s="1"/>
  <c r="C16" i="53"/>
  <c r="C18" i="53" s="1"/>
  <c r="C20" i="53" s="1"/>
  <c r="E14" i="53"/>
  <c r="E16" i="53" s="1"/>
  <c r="E18" i="53" s="1"/>
  <c r="E20" i="53" s="1"/>
  <c r="F73" i="52"/>
  <c r="D73" i="52"/>
  <c r="C73" i="52"/>
  <c r="K72" i="52"/>
  <c r="K71" i="52"/>
  <c r="K70" i="52"/>
  <c r="K69" i="52"/>
  <c r="K68" i="52"/>
  <c r="K67" i="52"/>
  <c r="K66" i="52"/>
  <c r="K65" i="52"/>
  <c r="K64" i="52"/>
  <c r="K63" i="52"/>
  <c r="K62" i="52"/>
  <c r="E59" i="52"/>
  <c r="E58" i="52"/>
  <c r="G56" i="52"/>
  <c r="G73" i="52" s="1"/>
  <c r="E56" i="52"/>
  <c r="E55" i="52"/>
  <c r="E53" i="52"/>
  <c r="E52" i="52"/>
  <c r="E51" i="52"/>
  <c r="E50" i="52"/>
  <c r="E49" i="52"/>
  <c r="E47" i="52"/>
  <c r="E45" i="52"/>
  <c r="G41" i="52"/>
  <c r="F41" i="52"/>
  <c r="F75" i="52" s="1"/>
  <c r="F77" i="52" s="1"/>
  <c r="D41" i="52"/>
  <c r="D75" i="52" s="1"/>
  <c r="D77" i="52" s="1"/>
  <c r="C41" i="52"/>
  <c r="C75" i="52" s="1"/>
  <c r="C77" i="52" s="1"/>
  <c r="E39" i="52"/>
  <c r="E38" i="52"/>
  <c r="E37" i="52"/>
  <c r="E35" i="52"/>
  <c r="E34" i="52"/>
  <c r="E33" i="52"/>
  <c r="E32" i="52"/>
  <c r="E30" i="52"/>
  <c r="E29" i="52"/>
  <c r="E28" i="52"/>
  <c r="E26" i="52"/>
  <c r="E25" i="52"/>
  <c r="E24" i="52"/>
  <c r="E23" i="52"/>
  <c r="E22" i="52"/>
  <c r="E21" i="52"/>
  <c r="E20" i="52"/>
  <c r="E19" i="52"/>
  <c r="E18" i="52"/>
  <c r="E16" i="52"/>
  <c r="G166" i="51"/>
  <c r="F166" i="51"/>
  <c r="D166" i="51"/>
  <c r="C166" i="51"/>
  <c r="E164" i="51"/>
  <c r="F158" i="51"/>
  <c r="D158" i="51"/>
  <c r="C158" i="51"/>
  <c r="K157" i="51"/>
  <c r="J157" i="51"/>
  <c r="K156" i="51"/>
  <c r="J156" i="51"/>
  <c r="K154" i="51"/>
  <c r="M154" i="51" s="1"/>
  <c r="K153" i="51"/>
  <c r="M153" i="51" s="1"/>
  <c r="M151" i="51"/>
  <c r="M150" i="51"/>
  <c r="K148" i="51"/>
  <c r="M148" i="51" s="1"/>
  <c r="K147" i="51"/>
  <c r="M147" i="51" s="1"/>
  <c r="K146" i="51"/>
  <c r="M146" i="51" s="1"/>
  <c r="M144" i="51"/>
  <c r="K142" i="51"/>
  <c r="M142" i="51" s="1"/>
  <c r="K141" i="51"/>
  <c r="M141" i="51" s="1"/>
  <c r="K139" i="51"/>
  <c r="M139" i="51" s="1"/>
  <c r="K138" i="51"/>
  <c r="M138" i="51" s="1"/>
  <c r="K137" i="51"/>
  <c r="M137" i="51" s="1"/>
  <c r="K135" i="51"/>
  <c r="M135" i="51" s="1"/>
  <c r="M133" i="51"/>
  <c r="M131" i="51"/>
  <c r="M130" i="51"/>
  <c r="M129" i="51"/>
  <c r="M127" i="51"/>
  <c r="M126" i="51"/>
  <c r="L125" i="51"/>
  <c r="K125" i="51"/>
  <c r="M123" i="51"/>
  <c r="M122" i="51"/>
  <c r="M120" i="51"/>
  <c r="K118" i="51"/>
  <c r="M118" i="51" s="1"/>
  <c r="L116" i="51"/>
  <c r="K116" i="51"/>
  <c r="M114" i="51"/>
  <c r="K112" i="51"/>
  <c r="M112" i="51" s="1"/>
  <c r="K111" i="51"/>
  <c r="M111" i="51" s="1"/>
  <c r="M108" i="51"/>
  <c r="E102" i="51"/>
  <c r="G99" i="51"/>
  <c r="E99" i="51"/>
  <c r="G97" i="51"/>
  <c r="E97" i="51"/>
  <c r="E96" i="51"/>
  <c r="E95" i="51"/>
  <c r="E93" i="51"/>
  <c r="E92" i="51"/>
  <c r="G79" i="51"/>
  <c r="E79" i="51"/>
  <c r="E78" i="51"/>
  <c r="G71" i="51"/>
  <c r="E71" i="51"/>
  <c r="G63" i="51"/>
  <c r="E63" i="51"/>
  <c r="G60" i="51"/>
  <c r="E60" i="51"/>
  <c r="G52" i="51"/>
  <c r="E52" i="51"/>
  <c r="J50" i="51"/>
  <c r="G46" i="51"/>
  <c r="E46" i="51"/>
  <c r="E42" i="51"/>
  <c r="F38" i="51"/>
  <c r="D38" i="51"/>
  <c r="D160" i="51" s="1"/>
  <c r="C38" i="51"/>
  <c r="E36" i="51"/>
  <c r="E35" i="51"/>
  <c r="G34" i="51"/>
  <c r="G38" i="51" s="1"/>
  <c r="E32" i="51"/>
  <c r="E31" i="51"/>
  <c r="E30" i="51"/>
  <c r="E29" i="51"/>
  <c r="E27" i="51"/>
  <c r="E25" i="51"/>
  <c r="E23" i="51"/>
  <c r="E22" i="51"/>
  <c r="E21" i="51"/>
  <c r="E20" i="51"/>
  <c r="E19" i="51"/>
  <c r="E18" i="51"/>
  <c r="E16" i="51"/>
  <c r="G47" i="50"/>
  <c r="G49" i="50" s="1"/>
  <c r="G51" i="50" s="1"/>
  <c r="F47" i="50"/>
  <c r="F49" i="50" s="1"/>
  <c r="F51" i="50" s="1"/>
  <c r="D47" i="50"/>
  <c r="D49" i="50" s="1"/>
  <c r="D51" i="50" s="1"/>
  <c r="C47" i="50"/>
  <c r="C49" i="50" s="1"/>
  <c r="C51" i="50" s="1"/>
  <c r="K46" i="50"/>
  <c r="K45" i="50"/>
  <c r="K44" i="50"/>
  <c r="K43" i="50"/>
  <c r="K42" i="50"/>
  <c r="K39" i="50"/>
  <c r="K38" i="50"/>
  <c r="K37" i="50"/>
  <c r="K36" i="50"/>
  <c r="K35" i="50"/>
  <c r="K34" i="50"/>
  <c r="K33" i="50"/>
  <c r="K32" i="50"/>
  <c r="K31" i="50"/>
  <c r="H29" i="50" s="1"/>
  <c r="E29" i="50"/>
  <c r="E26" i="50"/>
  <c r="E24" i="50"/>
  <c r="E20" i="50"/>
  <c r="E19" i="50"/>
  <c r="E14" i="50"/>
  <c r="E12" i="50"/>
  <c r="G93" i="49"/>
  <c r="G95" i="49" s="1"/>
  <c r="G97" i="49" s="1"/>
  <c r="F93" i="49"/>
  <c r="F95" i="49" s="1"/>
  <c r="F97" i="49" s="1"/>
  <c r="D93" i="49"/>
  <c r="D95" i="49" s="1"/>
  <c r="D97" i="49" s="1"/>
  <c r="C93" i="49"/>
  <c r="C95" i="49" s="1"/>
  <c r="C97" i="49" s="1"/>
  <c r="E90" i="49"/>
  <c r="E93" i="49" s="1"/>
  <c r="E95" i="49" s="1"/>
  <c r="E97" i="49" s="1"/>
  <c r="G72" i="49"/>
  <c r="G74" i="49" s="1"/>
  <c r="G76" i="49" s="1"/>
  <c r="F72" i="49"/>
  <c r="F74" i="49" s="1"/>
  <c r="F76" i="49" s="1"/>
  <c r="D72" i="49"/>
  <c r="D74" i="49" s="1"/>
  <c r="D76" i="49" s="1"/>
  <c r="C72" i="49"/>
  <c r="C74" i="49" s="1"/>
  <c r="C76" i="49" s="1"/>
  <c r="K70" i="49"/>
  <c r="E68" i="49"/>
  <c r="E67" i="49"/>
  <c r="E61" i="49"/>
  <c r="E59" i="49"/>
  <c r="G41" i="49"/>
  <c r="G43" i="49" s="1"/>
  <c r="G45" i="49" s="1"/>
  <c r="F41" i="49"/>
  <c r="F43" i="49" s="1"/>
  <c r="F45" i="49" s="1"/>
  <c r="D41" i="49"/>
  <c r="D43" i="49" s="1"/>
  <c r="D45" i="49" s="1"/>
  <c r="C41" i="49"/>
  <c r="C43" i="49" s="1"/>
  <c r="C45" i="49" s="1"/>
  <c r="K29" i="49"/>
  <c r="K28" i="49"/>
  <c r="E26" i="49"/>
  <c r="E23" i="49"/>
  <c r="E22" i="49"/>
  <c r="E20" i="49"/>
  <c r="E18" i="49"/>
  <c r="E16" i="49"/>
  <c r="E14" i="49"/>
  <c r="E12" i="49"/>
  <c r="G219" i="48"/>
  <c r="G221" i="48" s="1"/>
  <c r="G223" i="48" s="1"/>
  <c r="F219" i="48"/>
  <c r="F221" i="48" s="1"/>
  <c r="F223" i="48" s="1"/>
  <c r="D219" i="48"/>
  <c r="D221" i="48" s="1"/>
  <c r="D223" i="48" s="1"/>
  <c r="C219" i="48"/>
  <c r="C221" i="48" s="1"/>
  <c r="C223" i="48" s="1"/>
  <c r="E216" i="48"/>
  <c r="E214" i="48"/>
  <c r="E213" i="48"/>
  <c r="E211" i="48"/>
  <c r="G193" i="48"/>
  <c r="G195" i="48" s="1"/>
  <c r="G197" i="48" s="1"/>
  <c r="F193" i="48"/>
  <c r="F195" i="48" s="1"/>
  <c r="F197" i="48" s="1"/>
  <c r="D193" i="48"/>
  <c r="D195" i="48" s="1"/>
  <c r="D197" i="48" s="1"/>
  <c r="C193" i="48"/>
  <c r="C195" i="48" s="1"/>
  <c r="C197" i="48" s="1"/>
  <c r="K192" i="48"/>
  <c r="H183" i="48" s="1"/>
  <c r="E183" i="48"/>
  <c r="E181" i="48"/>
  <c r="H175" i="48"/>
  <c r="E175" i="48"/>
  <c r="D159" i="48"/>
  <c r="D161" i="48" s="1"/>
  <c r="G157" i="48"/>
  <c r="G159" i="48" s="1"/>
  <c r="G161" i="48" s="1"/>
  <c r="F157" i="48"/>
  <c r="F159" i="48" s="1"/>
  <c r="F161" i="48" s="1"/>
  <c r="C157" i="48"/>
  <c r="C159" i="48" s="1"/>
  <c r="C161" i="48" s="1"/>
  <c r="K156" i="48"/>
  <c r="K155" i="48"/>
  <c r="E152" i="48"/>
  <c r="E150" i="48"/>
  <c r="E148" i="48"/>
  <c r="G132" i="48"/>
  <c r="F132" i="48"/>
  <c r="D132" i="48"/>
  <c r="C132" i="48"/>
  <c r="E130" i="48"/>
  <c r="G124" i="48"/>
  <c r="G126" i="48" s="1"/>
  <c r="F124" i="48"/>
  <c r="F126" i="48" s="1"/>
  <c r="D124" i="48"/>
  <c r="D126" i="48" s="1"/>
  <c r="C124" i="48"/>
  <c r="C126" i="48" s="1"/>
  <c r="K119" i="48"/>
  <c r="K118" i="48"/>
  <c r="K117" i="48"/>
  <c r="E115" i="48"/>
  <c r="E112" i="48"/>
  <c r="E111" i="48"/>
  <c r="E109" i="48"/>
  <c r="E107" i="48"/>
  <c r="G89" i="48"/>
  <c r="G91" i="48" s="1"/>
  <c r="G93" i="48" s="1"/>
  <c r="F89" i="48"/>
  <c r="F91" i="48" s="1"/>
  <c r="F93" i="48" s="1"/>
  <c r="D89" i="48"/>
  <c r="D91" i="48" s="1"/>
  <c r="D93" i="48" s="1"/>
  <c r="C89" i="48"/>
  <c r="C91" i="48" s="1"/>
  <c r="C93" i="48" s="1"/>
  <c r="K88" i="48"/>
  <c r="K87" i="48"/>
  <c r="E85" i="48"/>
  <c r="E84" i="48"/>
  <c r="E82" i="48"/>
  <c r="E80" i="48"/>
  <c r="F62" i="48"/>
  <c r="F64" i="48" s="1"/>
  <c r="F66" i="48" s="1"/>
  <c r="D62" i="48"/>
  <c r="D64" i="48" s="1"/>
  <c r="D66" i="48" s="1"/>
  <c r="C62" i="48"/>
  <c r="C64" i="48" s="1"/>
  <c r="C66" i="48" s="1"/>
  <c r="E61" i="48"/>
  <c r="E62" i="48" s="1"/>
  <c r="E64" i="48" s="1"/>
  <c r="E66" i="48" s="1"/>
  <c r="G45" i="48"/>
  <c r="F45" i="48"/>
  <c r="D45" i="48"/>
  <c r="C45" i="48"/>
  <c r="E43" i="48"/>
  <c r="G37" i="48"/>
  <c r="G39" i="48" s="1"/>
  <c r="F37" i="48"/>
  <c r="F39" i="48" s="1"/>
  <c r="D37" i="48"/>
  <c r="D39" i="48" s="1"/>
  <c r="C37" i="48"/>
  <c r="C39" i="48" s="1"/>
  <c r="K27" i="48"/>
  <c r="K26" i="48"/>
  <c r="K25" i="48"/>
  <c r="E23" i="48"/>
  <c r="E21" i="48"/>
  <c r="E19" i="48"/>
  <c r="E18" i="48"/>
  <c r="E16" i="48"/>
  <c r="E14" i="48"/>
  <c r="G61" i="47"/>
  <c r="G63" i="47" s="1"/>
  <c r="G65" i="47" s="1"/>
  <c r="F61" i="47"/>
  <c r="F63" i="47" s="1"/>
  <c r="F65" i="47" s="1"/>
  <c r="D61" i="47"/>
  <c r="D63" i="47" s="1"/>
  <c r="D65" i="47" s="1"/>
  <c r="C61" i="47"/>
  <c r="C63" i="47" s="1"/>
  <c r="C65" i="47" s="1"/>
  <c r="E60" i="47"/>
  <c r="E61" i="47" s="1"/>
  <c r="E63" i="47" s="1"/>
  <c r="E65" i="47" s="1"/>
  <c r="F42" i="47"/>
  <c r="F44" i="47" s="1"/>
  <c r="F46" i="47" s="1"/>
  <c r="D42" i="47"/>
  <c r="D44" i="47" s="1"/>
  <c r="D46" i="47" s="1"/>
  <c r="C42" i="47"/>
  <c r="C44" i="47" s="1"/>
  <c r="C46" i="47" s="1"/>
  <c r="G38" i="47"/>
  <c r="G42" i="47" s="1"/>
  <c r="G44" i="47" s="1"/>
  <c r="G46" i="47" s="1"/>
  <c r="E38" i="47"/>
  <c r="E35" i="47"/>
  <c r="E32" i="47"/>
  <c r="G14" i="47"/>
  <c r="G16" i="47" s="1"/>
  <c r="G18" i="47" s="1"/>
  <c r="F14" i="47"/>
  <c r="F16" i="47" s="1"/>
  <c r="F18" i="47" s="1"/>
  <c r="D14" i="47"/>
  <c r="D16" i="47" s="1"/>
  <c r="D18" i="47" s="1"/>
  <c r="C14" i="47"/>
  <c r="C16" i="47" s="1"/>
  <c r="C18" i="47" s="1"/>
  <c r="E13" i="47"/>
  <c r="F116" i="46"/>
  <c r="D116" i="46"/>
  <c r="C116" i="46"/>
  <c r="K115" i="46"/>
  <c r="K114" i="46"/>
  <c r="K113" i="46"/>
  <c r="K112" i="46"/>
  <c r="K111" i="46"/>
  <c r="K110" i="46"/>
  <c r="K109" i="46"/>
  <c r="K108" i="46"/>
  <c r="K107" i="46"/>
  <c r="K106" i="46"/>
  <c r="K105" i="46"/>
  <c r="K104" i="46"/>
  <c r="K103" i="46"/>
  <c r="K102" i="46"/>
  <c r="K101" i="46"/>
  <c r="K100" i="46"/>
  <c r="K99" i="46"/>
  <c r="K98" i="46"/>
  <c r="K97" i="46"/>
  <c r="H69" i="46" s="1"/>
  <c r="K96" i="46"/>
  <c r="H59" i="46"/>
  <c r="E59" i="46"/>
  <c r="E57" i="46"/>
  <c r="G55" i="46"/>
  <c r="G116" i="46" s="1"/>
  <c r="E55" i="46"/>
  <c r="E54" i="46"/>
  <c r="E52" i="46"/>
  <c r="E51" i="46"/>
  <c r="E49" i="46"/>
  <c r="E48" i="46"/>
  <c r="E47" i="46"/>
  <c r="E45" i="46"/>
  <c r="E43" i="46"/>
  <c r="G39" i="46"/>
  <c r="F39" i="46"/>
  <c r="D39" i="46"/>
  <c r="C39" i="46"/>
  <c r="C118" i="46" s="1"/>
  <c r="C120" i="46" s="1"/>
  <c r="E37" i="46"/>
  <c r="E36" i="46"/>
  <c r="E35" i="46"/>
  <c r="E33" i="46"/>
  <c r="E32" i="46"/>
  <c r="E31" i="46"/>
  <c r="E30" i="46"/>
  <c r="E28" i="46"/>
  <c r="E26" i="46"/>
  <c r="E24" i="46"/>
  <c r="E23" i="46"/>
  <c r="E22" i="46"/>
  <c r="E21" i="46"/>
  <c r="E20" i="46"/>
  <c r="E19" i="46"/>
  <c r="E18" i="46"/>
  <c r="E17" i="46"/>
  <c r="E15" i="46"/>
  <c r="E39" i="46" s="1"/>
  <c r="G76" i="45"/>
  <c r="F76" i="45"/>
  <c r="D76" i="45"/>
  <c r="C76" i="45"/>
  <c r="J75" i="45"/>
  <c r="E67" i="45"/>
  <c r="E65" i="45"/>
  <c r="E60" i="45"/>
  <c r="E59" i="45"/>
  <c r="J57" i="45"/>
  <c r="E45" i="45"/>
  <c r="E43" i="45"/>
  <c r="E76" i="45" s="1"/>
  <c r="G39" i="45"/>
  <c r="F39" i="45"/>
  <c r="D39" i="45"/>
  <c r="C39" i="45"/>
  <c r="E37" i="45"/>
  <c r="E36" i="45"/>
  <c r="E34" i="45"/>
  <c r="E33" i="45"/>
  <c r="E32" i="45"/>
  <c r="E31" i="45"/>
  <c r="E29" i="45"/>
  <c r="E27" i="45"/>
  <c r="E25" i="45"/>
  <c r="E24" i="45"/>
  <c r="E23" i="45"/>
  <c r="E22" i="45"/>
  <c r="E21" i="45"/>
  <c r="E20" i="45"/>
  <c r="E19" i="45"/>
  <c r="E18" i="45"/>
  <c r="E16" i="45"/>
  <c r="G71" i="44"/>
  <c r="F71" i="44"/>
  <c r="D71" i="44"/>
  <c r="C71" i="44"/>
  <c r="M70" i="44"/>
  <c r="N70" i="44" s="1"/>
  <c r="E58" i="44"/>
  <c r="E56" i="44"/>
  <c r="E55" i="44"/>
  <c r="E54" i="44"/>
  <c r="E53" i="44"/>
  <c r="J51" i="44"/>
  <c r="E45" i="44"/>
  <c r="E43" i="44"/>
  <c r="G39" i="44"/>
  <c r="G73" i="44" s="1"/>
  <c r="G75" i="44" s="1"/>
  <c r="F39" i="44"/>
  <c r="D39" i="44"/>
  <c r="D73" i="44" s="1"/>
  <c r="D75" i="44" s="1"/>
  <c r="C39" i="44"/>
  <c r="E37" i="44"/>
  <c r="E36" i="44"/>
  <c r="E34" i="44"/>
  <c r="E33" i="44"/>
  <c r="E32" i="44"/>
  <c r="E31" i="44"/>
  <c r="E29" i="44"/>
  <c r="E25" i="44"/>
  <c r="E24" i="44"/>
  <c r="E23" i="44"/>
  <c r="E22" i="44"/>
  <c r="E21" i="44"/>
  <c r="E20" i="44"/>
  <c r="E19" i="44"/>
  <c r="E18" i="44"/>
  <c r="E16" i="44"/>
  <c r="F174" i="43"/>
  <c r="D174" i="43"/>
  <c r="C174" i="43"/>
  <c r="E172" i="43"/>
  <c r="G169" i="43"/>
  <c r="G174" i="43" s="1"/>
  <c r="E169" i="43"/>
  <c r="F160" i="43"/>
  <c r="F162" i="43" s="1"/>
  <c r="D160" i="43"/>
  <c r="D162" i="43" s="1"/>
  <c r="C160" i="43"/>
  <c r="C162" i="43" s="1"/>
  <c r="E158" i="43"/>
  <c r="E157" i="43"/>
  <c r="E156" i="43"/>
  <c r="E155" i="43"/>
  <c r="E154" i="43"/>
  <c r="G153" i="43"/>
  <c r="H153" i="43" s="1"/>
  <c r="E153" i="43"/>
  <c r="E152" i="43"/>
  <c r="E151" i="43"/>
  <c r="E150" i="43"/>
  <c r="H143" i="43"/>
  <c r="E135" i="43"/>
  <c r="F119" i="43"/>
  <c r="E119" i="43"/>
  <c r="D119" i="43"/>
  <c r="C119" i="43"/>
  <c r="G117" i="43"/>
  <c r="G115" i="43"/>
  <c r="F109" i="43"/>
  <c r="F111" i="43" s="1"/>
  <c r="D109" i="43"/>
  <c r="D111" i="43" s="1"/>
  <c r="C109" i="43"/>
  <c r="C111" i="43" s="1"/>
  <c r="G103" i="43"/>
  <c r="E103" i="43"/>
  <c r="E101" i="43"/>
  <c r="E99" i="43"/>
  <c r="G98" i="43"/>
  <c r="E96" i="43"/>
  <c r="E94" i="43"/>
  <c r="G93" i="43"/>
  <c r="E93" i="43"/>
  <c r="E90" i="43"/>
  <c r="F72" i="43"/>
  <c r="F74" i="43" s="1"/>
  <c r="F76" i="43" s="1"/>
  <c r="D72" i="43"/>
  <c r="D74" i="43" s="1"/>
  <c r="C72" i="43"/>
  <c r="C74" i="43" s="1"/>
  <c r="I71" i="43"/>
  <c r="K71" i="43" s="1"/>
  <c r="H70" i="43"/>
  <c r="K70" i="43" s="1"/>
  <c r="K69" i="43"/>
  <c r="K68" i="43"/>
  <c r="I67" i="43"/>
  <c r="K67" i="43" s="1"/>
  <c r="E62" i="43"/>
  <c r="E61" i="43"/>
  <c r="E59" i="43"/>
  <c r="G57" i="43"/>
  <c r="E57" i="43"/>
  <c r="E56" i="43"/>
  <c r="G55" i="43"/>
  <c r="E54" i="43"/>
  <c r="E53" i="43"/>
  <c r="E52" i="43"/>
  <c r="E50" i="43"/>
  <c r="F32" i="43"/>
  <c r="F34" i="43" s="1"/>
  <c r="F36" i="43" s="1"/>
  <c r="D32" i="43"/>
  <c r="D34" i="43" s="1"/>
  <c r="D36" i="43" s="1"/>
  <c r="C32" i="43"/>
  <c r="C34" i="43" s="1"/>
  <c r="C36" i="43" s="1"/>
  <c r="I31" i="43"/>
  <c r="K31" i="43" s="1"/>
  <c r="I30" i="43"/>
  <c r="K30" i="43" s="1"/>
  <c r="I29" i="43"/>
  <c r="K29" i="43" s="1"/>
  <c r="I28" i="43"/>
  <c r="H27" i="43"/>
  <c r="E24" i="43"/>
  <c r="E22" i="43"/>
  <c r="E20" i="43"/>
  <c r="E19" i="43"/>
  <c r="G18" i="43"/>
  <c r="E18" i="43"/>
  <c r="E17" i="43"/>
  <c r="E16" i="43"/>
  <c r="E15" i="43"/>
  <c r="E14" i="43"/>
  <c r="F283" i="42"/>
  <c r="D283" i="42"/>
  <c r="C283" i="42"/>
  <c r="G269" i="42"/>
  <c r="G283" i="42" s="1"/>
  <c r="E257" i="42"/>
  <c r="E255" i="42"/>
  <c r="E283" i="42" s="1"/>
  <c r="H253" i="42"/>
  <c r="H252" i="42"/>
  <c r="H251" i="42"/>
  <c r="J238" i="42"/>
  <c r="K238" i="42" s="1"/>
  <c r="J237" i="42"/>
  <c r="K237" i="42" s="1"/>
  <c r="J236" i="42"/>
  <c r="K236" i="42" s="1"/>
  <c r="J235" i="42"/>
  <c r="K235" i="42" s="1"/>
  <c r="J234" i="42"/>
  <c r="K234" i="42" s="1"/>
  <c r="J233" i="42"/>
  <c r="K233" i="42" s="1"/>
  <c r="J232" i="42"/>
  <c r="K232" i="42" s="1"/>
  <c r="J231" i="42"/>
  <c r="K231" i="42" s="1"/>
  <c r="J230" i="42"/>
  <c r="K230" i="42" s="1"/>
  <c r="K229" i="42"/>
  <c r="J227" i="42"/>
  <c r="K227" i="42" s="1"/>
  <c r="J226" i="42"/>
  <c r="K226" i="42" s="1"/>
  <c r="J225" i="42"/>
  <c r="K225" i="42" s="1"/>
  <c r="J223" i="42"/>
  <c r="K223" i="42" s="1"/>
  <c r="J222" i="42"/>
  <c r="K222" i="42" s="1"/>
  <c r="J221" i="42"/>
  <c r="K221" i="42" s="1"/>
  <c r="J220" i="42"/>
  <c r="K220" i="42" s="1"/>
  <c r="J219" i="42"/>
  <c r="K219" i="42" s="1"/>
  <c r="J218" i="42"/>
  <c r="K218" i="42" s="1"/>
  <c r="J217" i="42"/>
  <c r="K217" i="42" s="1"/>
  <c r="J216" i="42"/>
  <c r="K216" i="42" s="1"/>
  <c r="K214" i="42"/>
  <c r="J213" i="42"/>
  <c r="K213" i="42" s="1"/>
  <c r="J212" i="42"/>
  <c r="K212" i="42" s="1"/>
  <c r="J211" i="42"/>
  <c r="K211" i="42" s="1"/>
  <c r="J210" i="42"/>
  <c r="K210" i="42" s="1"/>
  <c r="J209" i="42"/>
  <c r="K209" i="42" s="1"/>
  <c r="J208" i="42"/>
  <c r="K208" i="42" s="1"/>
  <c r="J207" i="42"/>
  <c r="K207" i="42" s="1"/>
  <c r="J206" i="42"/>
  <c r="K206" i="42" s="1"/>
  <c r="J205" i="42"/>
  <c r="K205" i="42" s="1"/>
  <c r="J204" i="42"/>
  <c r="K204" i="42" s="1"/>
  <c r="J203" i="42"/>
  <c r="K203" i="42" s="1"/>
  <c r="J202" i="42"/>
  <c r="K202" i="42" s="1"/>
  <c r="J200" i="42"/>
  <c r="K200" i="42" s="1"/>
  <c r="J199" i="42"/>
  <c r="K199" i="42" s="1"/>
  <c r="J196" i="42"/>
  <c r="K196" i="42" s="1"/>
  <c r="J195" i="42"/>
  <c r="K195" i="42" s="1"/>
  <c r="J194" i="42"/>
  <c r="K194" i="42" s="1"/>
  <c r="J193" i="42"/>
  <c r="K193" i="42" s="1"/>
  <c r="J192" i="42"/>
  <c r="K192" i="42" s="1"/>
  <c r="J191" i="42"/>
  <c r="K191" i="42" s="1"/>
  <c r="J190" i="42"/>
  <c r="K190" i="42" s="1"/>
  <c r="K189" i="42"/>
  <c r="K188" i="42"/>
  <c r="K187" i="42"/>
  <c r="K186" i="42"/>
  <c r="K142" i="42"/>
  <c r="K143" i="42" s="1"/>
  <c r="H137" i="42"/>
  <c r="H136" i="42"/>
  <c r="H133" i="42"/>
  <c r="H132" i="42"/>
  <c r="I130" i="42"/>
  <c r="F130" i="42"/>
  <c r="D130" i="42"/>
  <c r="C130" i="42"/>
  <c r="C239" i="42" s="1"/>
  <c r="E129" i="42"/>
  <c r="E125" i="42"/>
  <c r="E123" i="42"/>
  <c r="G114" i="42"/>
  <c r="F114" i="42"/>
  <c r="D114" i="42"/>
  <c r="E113" i="42"/>
  <c r="E104" i="42"/>
  <c r="I102" i="42"/>
  <c r="I103" i="42" s="1"/>
  <c r="G101" i="42"/>
  <c r="H96" i="42"/>
  <c r="G95" i="42"/>
  <c r="F95" i="42"/>
  <c r="E94" i="42"/>
  <c r="G88" i="42"/>
  <c r="E88" i="42"/>
  <c r="E83" i="42"/>
  <c r="E82" i="42"/>
  <c r="H77" i="42"/>
  <c r="E76" i="42"/>
  <c r="E52" i="42"/>
  <c r="E48" i="42"/>
  <c r="G44" i="42"/>
  <c r="F44" i="42"/>
  <c r="D44" i="42"/>
  <c r="C44" i="42"/>
  <c r="E42" i="42"/>
  <c r="E41" i="42"/>
  <c r="E40" i="42"/>
  <c r="E38" i="42"/>
  <c r="E37" i="42"/>
  <c r="E36" i="42"/>
  <c r="E35" i="42"/>
  <c r="E33" i="42"/>
  <c r="E31" i="42"/>
  <c r="E29" i="42"/>
  <c r="E28" i="42"/>
  <c r="E26" i="42"/>
  <c r="E25" i="42"/>
  <c r="E24" i="42"/>
  <c r="E23" i="42"/>
  <c r="E22" i="42"/>
  <c r="E21" i="42"/>
  <c r="E20" i="42"/>
  <c r="E19" i="42"/>
  <c r="E18" i="42"/>
  <c r="E16" i="42"/>
  <c r="F53" i="41"/>
  <c r="D53" i="41"/>
  <c r="C53" i="41"/>
  <c r="G49" i="41"/>
  <c r="G53" i="41" s="1"/>
  <c r="E46" i="41"/>
  <c r="E53" i="41" s="1"/>
  <c r="E43" i="41"/>
  <c r="E41" i="41"/>
  <c r="F37" i="41"/>
  <c r="D37" i="41"/>
  <c r="D55" i="41" s="1"/>
  <c r="D57" i="41" s="1"/>
  <c r="C37" i="41"/>
  <c r="G36" i="41"/>
  <c r="G37" i="41" s="1"/>
  <c r="E35" i="41"/>
  <c r="E34" i="41"/>
  <c r="E32" i="41"/>
  <c r="E31" i="41"/>
  <c r="E30" i="41"/>
  <c r="E29" i="41"/>
  <c r="E27" i="41"/>
  <c r="E23" i="41"/>
  <c r="E22" i="41"/>
  <c r="E21" i="41"/>
  <c r="E20" i="41"/>
  <c r="E19" i="41"/>
  <c r="E18" i="41"/>
  <c r="E16" i="41"/>
  <c r="G33" i="40"/>
  <c r="F33" i="40"/>
  <c r="F35" i="40" s="1"/>
  <c r="F37" i="40" s="1"/>
  <c r="D33" i="40"/>
  <c r="C33" i="40"/>
  <c r="C35" i="40" s="1"/>
  <c r="C37" i="40" s="1"/>
  <c r="M30" i="40"/>
  <c r="E30" i="40"/>
  <c r="L27" i="40"/>
  <c r="E27" i="40"/>
  <c r="E25" i="40"/>
  <c r="E23" i="40"/>
  <c r="E22" i="40"/>
  <c r="J20" i="40"/>
  <c r="E18" i="40"/>
  <c r="E16" i="40"/>
  <c r="D35" i="39"/>
  <c r="G31" i="39"/>
  <c r="G33" i="39" s="1"/>
  <c r="G35" i="39" s="1"/>
  <c r="F31" i="39"/>
  <c r="F33" i="39" s="1"/>
  <c r="F35" i="39" s="1"/>
  <c r="D31" i="39"/>
  <c r="D33" i="39" s="1"/>
  <c r="C31" i="39"/>
  <c r="C33" i="39" s="1"/>
  <c r="C35" i="39" s="1"/>
  <c r="M30" i="39"/>
  <c r="E28" i="39"/>
  <c r="L26" i="39"/>
  <c r="E25" i="39"/>
  <c r="E23" i="39"/>
  <c r="E20" i="39"/>
  <c r="E18" i="39"/>
  <c r="E16" i="39"/>
  <c r="D89" i="38"/>
  <c r="G87" i="38"/>
  <c r="F87" i="38"/>
  <c r="D87" i="38"/>
  <c r="C87" i="38"/>
  <c r="E84" i="38"/>
  <c r="E87" i="38" s="1"/>
  <c r="F78" i="38"/>
  <c r="D78" i="38"/>
  <c r="D80" i="38" s="1"/>
  <c r="C78" i="38"/>
  <c r="H73" i="38"/>
  <c r="E73" i="38"/>
  <c r="H69" i="38"/>
  <c r="E69" i="38"/>
  <c r="E67" i="38"/>
  <c r="G65" i="38"/>
  <c r="G78" i="38" s="1"/>
  <c r="G80" i="38" s="1"/>
  <c r="G89" i="38" s="1"/>
  <c r="E65" i="38"/>
  <c r="E64" i="38"/>
  <c r="E61" i="38"/>
  <c r="E60" i="38"/>
  <c r="E59" i="38"/>
  <c r="H45" i="38"/>
  <c r="E45" i="38"/>
  <c r="E43" i="38"/>
  <c r="E78" i="38" s="1"/>
  <c r="G39" i="38"/>
  <c r="F39" i="38"/>
  <c r="D39" i="38"/>
  <c r="C39" i="38"/>
  <c r="E37" i="38"/>
  <c r="E36" i="38"/>
  <c r="E33" i="38"/>
  <c r="E32" i="38"/>
  <c r="E31" i="38"/>
  <c r="E30" i="38"/>
  <c r="E28" i="38"/>
  <c r="E27" i="38"/>
  <c r="E25" i="38"/>
  <c r="E23" i="38"/>
  <c r="E21" i="38"/>
  <c r="E20" i="38"/>
  <c r="E19" i="38"/>
  <c r="E18" i="38"/>
  <c r="E16" i="38"/>
  <c r="G40" i="37"/>
  <c r="F40" i="37"/>
  <c r="E40" i="37"/>
  <c r="D40" i="37"/>
  <c r="C40" i="37"/>
  <c r="G36" i="37"/>
  <c r="G30" i="37"/>
  <c r="G32" i="37" s="1"/>
  <c r="F30" i="37"/>
  <c r="F32" i="37" s="1"/>
  <c r="F42" i="37" s="1"/>
  <c r="D30" i="37"/>
  <c r="D32" i="37" s="1"/>
  <c r="D42" i="37" s="1"/>
  <c r="C30" i="37"/>
  <c r="C32" i="37" s="1"/>
  <c r="L29" i="37"/>
  <c r="N29" i="37" s="1"/>
  <c r="L28" i="37"/>
  <c r="N28" i="37" s="1"/>
  <c r="L27" i="37"/>
  <c r="N27" i="37" s="1"/>
  <c r="L26" i="37"/>
  <c r="N26" i="37" s="1"/>
  <c r="E23" i="37"/>
  <c r="E22" i="37"/>
  <c r="E21" i="37"/>
  <c r="G84" i="36"/>
  <c r="F84" i="36"/>
  <c r="D84" i="36"/>
  <c r="C84" i="36"/>
  <c r="E82" i="36"/>
  <c r="E74" i="36"/>
  <c r="E71" i="36"/>
  <c r="F65" i="36"/>
  <c r="D65" i="36"/>
  <c r="C65" i="36"/>
  <c r="M64" i="36"/>
  <c r="M63" i="36"/>
  <c r="M62" i="36"/>
  <c r="M61" i="36"/>
  <c r="M60" i="36"/>
  <c r="M59" i="36"/>
  <c r="E56" i="36"/>
  <c r="E52" i="36"/>
  <c r="E50" i="36"/>
  <c r="G49" i="36"/>
  <c r="G65" i="36" s="1"/>
  <c r="E49" i="36"/>
  <c r="E46" i="36"/>
  <c r="E45" i="36"/>
  <c r="E44" i="36"/>
  <c r="E42" i="36"/>
  <c r="G38" i="36"/>
  <c r="F38" i="36"/>
  <c r="D38" i="36"/>
  <c r="C38" i="36"/>
  <c r="E36" i="36"/>
  <c r="E35" i="36"/>
  <c r="E32" i="36"/>
  <c r="E31" i="36"/>
  <c r="E30" i="36"/>
  <c r="E29" i="36"/>
  <c r="E27" i="36"/>
  <c r="E25" i="36"/>
  <c r="E23" i="36"/>
  <c r="E22" i="36"/>
  <c r="E21" i="36"/>
  <c r="E20" i="36"/>
  <c r="E19" i="36"/>
  <c r="E18" i="36"/>
  <c r="E16" i="36"/>
  <c r="G68" i="35"/>
  <c r="F68" i="35"/>
  <c r="E68" i="35"/>
  <c r="D68" i="35"/>
  <c r="C68" i="35"/>
  <c r="F60" i="35"/>
  <c r="D60" i="35"/>
  <c r="C60" i="35"/>
  <c r="K59" i="35"/>
  <c r="K58" i="35"/>
  <c r="E52" i="35"/>
  <c r="G50" i="35"/>
  <c r="G60" i="35" s="1"/>
  <c r="E50" i="35"/>
  <c r="E48" i="35"/>
  <c r="E45" i="35"/>
  <c r="E43" i="35"/>
  <c r="E41" i="35"/>
  <c r="F37" i="35"/>
  <c r="D37" i="35"/>
  <c r="D62" i="35" s="1"/>
  <c r="C37" i="35"/>
  <c r="C62" i="35" s="1"/>
  <c r="G36" i="35"/>
  <c r="G37" i="35" s="1"/>
  <c r="E35" i="35"/>
  <c r="E34" i="35"/>
  <c r="E32" i="35"/>
  <c r="E31" i="35"/>
  <c r="E30" i="35"/>
  <c r="E29" i="35"/>
  <c r="E27" i="35"/>
  <c r="E25" i="35"/>
  <c r="E23" i="35"/>
  <c r="E22" i="35"/>
  <c r="E21" i="35"/>
  <c r="E20" i="35"/>
  <c r="E19" i="35"/>
  <c r="E18" i="35"/>
  <c r="E16" i="35"/>
  <c r="G31" i="34"/>
  <c r="G33" i="34" s="1"/>
  <c r="G35" i="34" s="1"/>
  <c r="F31" i="34"/>
  <c r="F33" i="34" s="1"/>
  <c r="F35" i="34" s="1"/>
  <c r="D31" i="34"/>
  <c r="D33" i="34" s="1"/>
  <c r="D35" i="34" s="1"/>
  <c r="C31" i="34"/>
  <c r="C33" i="34" s="1"/>
  <c r="C35" i="34" s="1"/>
  <c r="M30" i="34"/>
  <c r="E28" i="34"/>
  <c r="E26" i="34"/>
  <c r="E25" i="34"/>
  <c r="E24" i="34"/>
  <c r="E22" i="34"/>
  <c r="E20" i="34"/>
  <c r="E18" i="34"/>
  <c r="E16" i="34"/>
  <c r="G36" i="33"/>
  <c r="F36" i="33"/>
  <c r="E36" i="33"/>
  <c r="D36" i="33"/>
  <c r="C36" i="33"/>
  <c r="G28" i="33"/>
  <c r="G30" i="33" s="1"/>
  <c r="G38" i="33" s="1"/>
  <c r="F28" i="33"/>
  <c r="D28" i="33"/>
  <c r="D30" i="33" s="1"/>
  <c r="D38" i="33" s="1"/>
  <c r="C28" i="33"/>
  <c r="C30" i="33" s="1"/>
  <c r="C38" i="33" s="1"/>
  <c r="M27" i="33"/>
  <c r="E25" i="33"/>
  <c r="E23" i="33"/>
  <c r="E21" i="33"/>
  <c r="E20" i="33"/>
  <c r="E18" i="33"/>
  <c r="E16" i="33"/>
  <c r="G44" i="32"/>
  <c r="G46" i="32" s="1"/>
  <c r="F44" i="32"/>
  <c r="D44" i="32"/>
  <c r="D48" i="32" s="1"/>
  <c r="C44" i="32"/>
  <c r="C46" i="32" s="1"/>
  <c r="K43" i="32"/>
  <c r="E41" i="32"/>
  <c r="E22" i="32"/>
  <c r="G21" i="32"/>
  <c r="G23" i="32" s="1"/>
  <c r="G25" i="32" s="1"/>
  <c r="F21" i="32"/>
  <c r="D21" i="32"/>
  <c r="D23" i="32" s="1"/>
  <c r="D25" i="32" s="1"/>
  <c r="C21" i="32"/>
  <c r="C23" i="32" s="1"/>
  <c r="C25" i="32" s="1"/>
  <c r="K20" i="32"/>
  <c r="E18" i="32"/>
  <c r="E16" i="32"/>
  <c r="E15" i="32"/>
  <c r="G74" i="31"/>
  <c r="F74" i="31"/>
  <c r="E74" i="31" s="1"/>
  <c r="D74" i="31"/>
  <c r="C74" i="31"/>
  <c r="E72" i="31"/>
  <c r="K66" i="31"/>
  <c r="E66" i="31"/>
  <c r="E65" i="31"/>
  <c r="F60" i="31"/>
  <c r="C60" i="31"/>
  <c r="K57" i="31"/>
  <c r="K55" i="31" s="1"/>
  <c r="D55" i="31"/>
  <c r="D60" i="31" s="1"/>
  <c r="D62" i="31" s="1"/>
  <c r="E54" i="31"/>
  <c r="G52" i="31"/>
  <c r="G60" i="31" s="1"/>
  <c r="E52" i="31"/>
  <c r="E51" i="31"/>
  <c r="E49" i="31"/>
  <c r="E48" i="31"/>
  <c r="E47" i="31"/>
  <c r="E46" i="31"/>
  <c r="E44" i="31"/>
  <c r="E42" i="31"/>
  <c r="G38" i="31"/>
  <c r="F38" i="31"/>
  <c r="D38" i="31"/>
  <c r="C38" i="31"/>
  <c r="E36" i="31"/>
  <c r="E35" i="31"/>
  <c r="E34" i="31"/>
  <c r="E32" i="31"/>
  <c r="E31" i="31"/>
  <c r="E30" i="31"/>
  <c r="E29" i="31"/>
  <c r="E27" i="31"/>
  <c r="E26" i="31"/>
  <c r="E25" i="31"/>
  <c r="E23" i="31"/>
  <c r="E22" i="31"/>
  <c r="E21" i="31"/>
  <c r="E20" i="31"/>
  <c r="E19" i="31"/>
  <c r="E18" i="31"/>
  <c r="E16" i="31"/>
  <c r="G103" i="29"/>
  <c r="F103" i="29"/>
  <c r="D103" i="29"/>
  <c r="C103" i="29"/>
  <c r="F97" i="29"/>
  <c r="D97" i="29"/>
  <c r="C97" i="29"/>
  <c r="E96" i="29"/>
  <c r="F91" i="29"/>
  <c r="D91" i="29"/>
  <c r="C91" i="29"/>
  <c r="E72" i="29"/>
  <c r="E71" i="29"/>
  <c r="E70" i="29"/>
  <c r="E68" i="29"/>
  <c r="G66" i="29"/>
  <c r="G91" i="29" s="1"/>
  <c r="E66" i="29"/>
  <c r="E65" i="29"/>
  <c r="J63" i="29"/>
  <c r="E61" i="29"/>
  <c r="E60" i="29"/>
  <c r="E59" i="29"/>
  <c r="J58" i="29"/>
  <c r="E56" i="29"/>
  <c r="J55" i="29"/>
  <c r="E51" i="29"/>
  <c r="J49" i="29"/>
  <c r="E47" i="29"/>
  <c r="J45" i="29"/>
  <c r="E43" i="29"/>
  <c r="G39" i="29"/>
  <c r="F39" i="29"/>
  <c r="D39" i="29"/>
  <c r="C39" i="29"/>
  <c r="E37" i="29"/>
  <c r="E36" i="29"/>
  <c r="E35" i="29"/>
  <c r="E33" i="29"/>
  <c r="E32" i="29"/>
  <c r="E31" i="29"/>
  <c r="E30" i="29"/>
  <c r="E28" i="29"/>
  <c r="E27" i="29"/>
  <c r="E26" i="29"/>
  <c r="E24" i="29"/>
  <c r="E23" i="29"/>
  <c r="E22" i="29"/>
  <c r="E21" i="29"/>
  <c r="E20" i="29"/>
  <c r="E19" i="29"/>
  <c r="E18" i="29"/>
  <c r="E16" i="29"/>
  <c r="G71" i="28"/>
  <c r="F71" i="28"/>
  <c r="D71" i="28"/>
  <c r="C71" i="28"/>
  <c r="E69" i="28"/>
  <c r="F63" i="28"/>
  <c r="D63" i="28"/>
  <c r="C63" i="28"/>
  <c r="I62" i="28"/>
  <c r="K62" i="28" s="1"/>
  <c r="I61" i="28"/>
  <c r="K61" i="28" s="1"/>
  <c r="I60" i="28"/>
  <c r="K60" i="28" s="1"/>
  <c r="J59" i="28"/>
  <c r="I59" i="28"/>
  <c r="E55" i="28"/>
  <c r="G53" i="28"/>
  <c r="G63" i="28" s="1"/>
  <c r="E53" i="28"/>
  <c r="E52" i="28"/>
  <c r="E50" i="28"/>
  <c r="E49" i="28"/>
  <c r="E48" i="28"/>
  <c r="E47" i="28"/>
  <c r="E45" i="28"/>
  <c r="E43" i="28"/>
  <c r="G39" i="28"/>
  <c r="F39" i="28"/>
  <c r="D39" i="28"/>
  <c r="C39" i="28"/>
  <c r="E37" i="28"/>
  <c r="E36" i="28"/>
  <c r="E35" i="28"/>
  <c r="E34" i="28"/>
  <c r="E33" i="28"/>
  <c r="E32" i="28"/>
  <c r="E31" i="28"/>
  <c r="E30" i="28"/>
  <c r="E28" i="28"/>
  <c r="E27" i="28"/>
  <c r="E26" i="28"/>
  <c r="E25" i="28"/>
  <c r="E24" i="28"/>
  <c r="E23" i="28"/>
  <c r="E22" i="28"/>
  <c r="E21" i="28"/>
  <c r="E20" i="28"/>
  <c r="E19" i="28"/>
  <c r="E18" i="28"/>
  <c r="E16" i="28"/>
  <c r="G75" i="27"/>
  <c r="F75" i="27"/>
  <c r="D75" i="27"/>
  <c r="C75" i="27"/>
  <c r="D68" i="27"/>
  <c r="D77" i="27" s="1"/>
  <c r="F66" i="27"/>
  <c r="D66" i="27"/>
  <c r="C66" i="27"/>
  <c r="N65" i="27"/>
  <c r="M65" i="27"/>
  <c r="E57" i="27"/>
  <c r="G54" i="27"/>
  <c r="G66" i="27" s="1"/>
  <c r="E54" i="27"/>
  <c r="E53" i="27"/>
  <c r="E51" i="27"/>
  <c r="E49" i="27"/>
  <c r="E48" i="27"/>
  <c r="J46" i="27"/>
  <c r="E44" i="27"/>
  <c r="E42" i="27"/>
  <c r="G39" i="27"/>
  <c r="F39" i="27"/>
  <c r="D39" i="27"/>
  <c r="C39" i="27"/>
  <c r="E37" i="27"/>
  <c r="E36" i="27"/>
  <c r="E35" i="27"/>
  <c r="E33" i="27"/>
  <c r="E32" i="27"/>
  <c r="E31" i="27"/>
  <c r="E30" i="27"/>
  <c r="E28" i="27"/>
  <c r="E27" i="27"/>
  <c r="E26" i="27"/>
  <c r="E24" i="27"/>
  <c r="E23" i="27"/>
  <c r="E22" i="27"/>
  <c r="E21" i="27"/>
  <c r="E20" i="27"/>
  <c r="E19" i="27"/>
  <c r="E18" i="27"/>
  <c r="E16" i="27"/>
  <c r="G110" i="26"/>
  <c r="F110" i="26"/>
  <c r="D110" i="26"/>
  <c r="C110" i="26"/>
  <c r="E108" i="26"/>
  <c r="E106" i="26"/>
  <c r="E100" i="26"/>
  <c r="E97" i="26"/>
  <c r="F91" i="26"/>
  <c r="D91" i="26"/>
  <c r="C91" i="26"/>
  <c r="K90" i="26"/>
  <c r="K89" i="26"/>
  <c r="K88" i="26"/>
  <c r="K87" i="26"/>
  <c r="K86" i="26"/>
  <c r="K85" i="26"/>
  <c r="K84" i="26"/>
  <c r="K83" i="26"/>
  <c r="K82" i="26"/>
  <c r="K81" i="26"/>
  <c r="K80" i="26"/>
  <c r="K79" i="26"/>
  <c r="K78" i="26"/>
  <c r="E66" i="26"/>
  <c r="E64" i="26"/>
  <c r="E61" i="26"/>
  <c r="E60" i="26"/>
  <c r="E59" i="26"/>
  <c r="E57" i="26"/>
  <c r="G55" i="26"/>
  <c r="G91" i="26" s="1"/>
  <c r="E55" i="26"/>
  <c r="E53" i="26"/>
  <c r="E52" i="26"/>
  <c r="E50" i="26"/>
  <c r="E49" i="26"/>
  <c r="E48" i="26"/>
  <c r="E47" i="26"/>
  <c r="E46" i="26"/>
  <c r="E44" i="26"/>
  <c r="E42" i="26"/>
  <c r="G38" i="26"/>
  <c r="F38" i="26"/>
  <c r="D38" i="26"/>
  <c r="C38" i="26"/>
  <c r="E36" i="26"/>
  <c r="E35" i="26"/>
  <c r="E34" i="26"/>
  <c r="E32" i="26"/>
  <c r="E31" i="26"/>
  <c r="E30" i="26"/>
  <c r="E29" i="26"/>
  <c r="E27" i="26"/>
  <c r="E26" i="26"/>
  <c r="E25" i="26"/>
  <c r="E23" i="26"/>
  <c r="E22" i="26"/>
  <c r="E21" i="26"/>
  <c r="E20" i="26"/>
  <c r="E19" i="26"/>
  <c r="E18" i="26"/>
  <c r="E16" i="26"/>
  <c r="G40" i="25"/>
  <c r="G42" i="25" s="1"/>
  <c r="G44" i="25" s="1"/>
  <c r="F40" i="25"/>
  <c r="F42" i="25" s="1"/>
  <c r="D40" i="25"/>
  <c r="D42" i="25" s="1"/>
  <c r="D44" i="25" s="1"/>
  <c r="C40" i="25"/>
  <c r="C42" i="25" s="1"/>
  <c r="C44" i="25" s="1"/>
  <c r="K39" i="25"/>
  <c r="E37" i="25"/>
  <c r="G19" i="25"/>
  <c r="G21" i="25" s="1"/>
  <c r="G23" i="25" s="1"/>
  <c r="F19" i="25"/>
  <c r="F21" i="25" s="1"/>
  <c r="D19" i="25"/>
  <c r="D21" i="25" s="1"/>
  <c r="C19" i="25"/>
  <c r="C21" i="25" s="1"/>
  <c r="K18" i="25"/>
  <c r="E16" i="25"/>
  <c r="E14" i="25"/>
  <c r="G60" i="24"/>
  <c r="F60" i="24"/>
  <c r="D60" i="24"/>
  <c r="D62" i="24" s="1"/>
  <c r="C60" i="24"/>
  <c r="K59" i="24"/>
  <c r="H53" i="24" s="1"/>
  <c r="E53" i="24"/>
  <c r="E51" i="24"/>
  <c r="E49" i="24"/>
  <c r="E48" i="24"/>
  <c r="E47" i="24"/>
  <c r="E46" i="24"/>
  <c r="E45" i="24"/>
  <c r="E43" i="24"/>
  <c r="E41" i="24"/>
  <c r="G37" i="24"/>
  <c r="F37" i="24"/>
  <c r="D37" i="24"/>
  <c r="C37" i="24"/>
  <c r="E35" i="24"/>
  <c r="E34" i="24"/>
  <c r="E32" i="24"/>
  <c r="E31" i="24"/>
  <c r="E30" i="24"/>
  <c r="E29" i="24"/>
  <c r="E27" i="24"/>
  <c r="E26" i="24"/>
  <c r="E25" i="24"/>
  <c r="E23" i="24"/>
  <c r="E22" i="24"/>
  <c r="E21" i="24"/>
  <c r="E20" i="24"/>
  <c r="E19" i="24"/>
  <c r="E18" i="24"/>
  <c r="E16" i="24"/>
  <c r="G72" i="22"/>
  <c r="F72" i="22"/>
  <c r="D72" i="22"/>
  <c r="C72" i="22"/>
  <c r="E70" i="22"/>
  <c r="G64" i="22"/>
  <c r="F64" i="22"/>
  <c r="D64" i="22"/>
  <c r="C64" i="22"/>
  <c r="H52" i="22"/>
  <c r="E52" i="22"/>
  <c r="E50" i="22"/>
  <c r="E48" i="22"/>
  <c r="E47" i="22"/>
  <c r="E46" i="22"/>
  <c r="E44" i="22"/>
  <c r="E42" i="22"/>
  <c r="G38" i="22"/>
  <c r="F38" i="22"/>
  <c r="F66" i="22" s="1"/>
  <c r="D38" i="22"/>
  <c r="C38" i="22"/>
  <c r="E36" i="22"/>
  <c r="E35" i="22"/>
  <c r="E34" i="22"/>
  <c r="E32" i="22"/>
  <c r="E31" i="22"/>
  <c r="E30" i="22"/>
  <c r="E29" i="22"/>
  <c r="E27" i="22"/>
  <c r="E26" i="22"/>
  <c r="E25" i="22"/>
  <c r="E23" i="22"/>
  <c r="E22" i="22"/>
  <c r="E21" i="22"/>
  <c r="E20" i="22"/>
  <c r="E19" i="22"/>
  <c r="E18" i="22"/>
  <c r="E16" i="22"/>
  <c r="G86" i="21"/>
  <c r="F86" i="21"/>
  <c r="E86" i="21" s="1"/>
  <c r="C86" i="21"/>
  <c r="E84" i="21"/>
  <c r="G78" i="21"/>
  <c r="F78" i="21"/>
  <c r="D78" i="21"/>
  <c r="C78" i="21"/>
  <c r="J77" i="21"/>
  <c r="J75" i="21"/>
  <c r="J74" i="21"/>
  <c r="J73" i="21"/>
  <c r="J72" i="21"/>
  <c r="J71" i="21"/>
  <c r="J70" i="21"/>
  <c r="J69" i="21"/>
  <c r="J68" i="21"/>
  <c r="J67" i="21"/>
  <c r="J66" i="21"/>
  <c r="J65" i="21"/>
  <c r="I64" i="21"/>
  <c r="H64" i="21"/>
  <c r="E64" i="21"/>
  <c r="E62" i="21"/>
  <c r="E61" i="21"/>
  <c r="E59" i="21"/>
  <c r="E58" i="21"/>
  <c r="E57" i="21"/>
  <c r="E56" i="21"/>
  <c r="J54" i="21"/>
  <c r="J53" i="21"/>
  <c r="J52" i="21"/>
  <c r="J51" i="21"/>
  <c r="J50" i="21"/>
  <c r="J49" i="21"/>
  <c r="J48" i="21"/>
  <c r="J47" i="21"/>
  <c r="J46" i="21"/>
  <c r="J45" i="21"/>
  <c r="I44" i="21"/>
  <c r="H44" i="21"/>
  <c r="E44" i="21"/>
  <c r="H42" i="21"/>
  <c r="E42" i="21"/>
  <c r="G38" i="21"/>
  <c r="F38" i="21"/>
  <c r="F80" i="21" s="1"/>
  <c r="F88" i="21" s="1"/>
  <c r="D38" i="21"/>
  <c r="C38" i="21"/>
  <c r="E36" i="21"/>
  <c r="E35" i="21"/>
  <c r="E32" i="21"/>
  <c r="E31" i="21"/>
  <c r="E30" i="21"/>
  <c r="E29" i="21"/>
  <c r="E27" i="21"/>
  <c r="E26" i="21"/>
  <c r="E25" i="21"/>
  <c r="E23" i="21"/>
  <c r="E22" i="21"/>
  <c r="E21" i="21"/>
  <c r="E20" i="21"/>
  <c r="E19" i="21"/>
  <c r="E18" i="21"/>
  <c r="E16" i="21"/>
  <c r="G65" i="20"/>
  <c r="F65" i="20"/>
  <c r="D65" i="20"/>
  <c r="C65" i="20"/>
  <c r="J64" i="20"/>
  <c r="E62" i="20"/>
  <c r="G56" i="20"/>
  <c r="F56" i="20"/>
  <c r="D56" i="20"/>
  <c r="C56" i="20"/>
  <c r="C58" i="20" s="1"/>
  <c r="C67" i="20" s="1"/>
  <c r="M55" i="20"/>
  <c r="E51" i="20"/>
  <c r="E50" i="20"/>
  <c r="E48" i="20"/>
  <c r="E45" i="20"/>
  <c r="E43" i="20"/>
  <c r="E41" i="20"/>
  <c r="G38" i="20"/>
  <c r="F38" i="20"/>
  <c r="D38" i="20"/>
  <c r="E38" i="20" s="1"/>
  <c r="C38" i="20"/>
  <c r="E36" i="20"/>
  <c r="E35" i="20"/>
  <c r="E34" i="20"/>
  <c r="E32" i="20"/>
  <c r="E31" i="20"/>
  <c r="E30" i="20"/>
  <c r="E29" i="20"/>
  <c r="E27" i="20"/>
  <c r="E26" i="20"/>
  <c r="E25" i="20"/>
  <c r="E23" i="20"/>
  <c r="E22" i="20"/>
  <c r="E21" i="20"/>
  <c r="E20" i="20"/>
  <c r="E19" i="20"/>
  <c r="E18" i="20"/>
  <c r="E16" i="20"/>
  <c r="G83" i="19"/>
  <c r="F83" i="19"/>
  <c r="E83" i="19" s="1"/>
  <c r="D83" i="19"/>
  <c r="C83" i="19"/>
  <c r="E81" i="19"/>
  <c r="G75" i="19"/>
  <c r="F75" i="19"/>
  <c r="D75" i="19"/>
  <c r="C75" i="19"/>
  <c r="E74" i="19"/>
  <c r="E73" i="19"/>
  <c r="E72" i="19"/>
  <c r="E71" i="19"/>
  <c r="E70" i="19"/>
  <c r="E68" i="19"/>
  <c r="E67" i="19"/>
  <c r="E66" i="19"/>
  <c r="E64" i="19"/>
  <c r="E63" i="19"/>
  <c r="E62" i="19"/>
  <c r="E61" i="19"/>
  <c r="E60" i="19"/>
  <c r="H49" i="19"/>
  <c r="E49" i="19"/>
  <c r="E41" i="19"/>
  <c r="G37" i="19"/>
  <c r="F37" i="19"/>
  <c r="D37" i="19"/>
  <c r="C37" i="19"/>
  <c r="E35" i="19"/>
  <c r="E34" i="19"/>
  <c r="E33" i="19"/>
  <c r="E31" i="19"/>
  <c r="E30" i="19"/>
  <c r="E29" i="19"/>
  <c r="E28" i="19"/>
  <c r="E26" i="19"/>
  <c r="E25" i="19"/>
  <c r="E24" i="19"/>
  <c r="E23" i="19"/>
  <c r="E22" i="19"/>
  <c r="E21" i="19"/>
  <c r="E20" i="19"/>
  <c r="E19" i="19"/>
  <c r="E18" i="19"/>
  <c r="E16" i="19"/>
  <c r="G104" i="18"/>
  <c r="F104" i="18"/>
  <c r="J103" i="18"/>
  <c r="J102" i="18"/>
  <c r="J101" i="18"/>
  <c r="J100" i="18"/>
  <c r="J99" i="18"/>
  <c r="J98" i="18"/>
  <c r="J97" i="18"/>
  <c r="J96" i="18"/>
  <c r="J95" i="18"/>
  <c r="J94" i="18"/>
  <c r="J93" i="18"/>
  <c r="J92" i="18"/>
  <c r="J91" i="18"/>
  <c r="J90" i="18"/>
  <c r="H90" i="18"/>
  <c r="E90" i="18"/>
  <c r="C90" i="18"/>
  <c r="H85" i="18"/>
  <c r="E85" i="18"/>
  <c r="C85" i="18"/>
  <c r="E70" i="18"/>
  <c r="C70" i="18"/>
  <c r="H55" i="18"/>
  <c r="D55" i="18"/>
  <c r="D104" i="18" s="1"/>
  <c r="C55" i="18"/>
  <c r="E52" i="18"/>
  <c r="C52" i="18"/>
  <c r="E49" i="18"/>
  <c r="C49" i="18"/>
  <c r="H42" i="18"/>
  <c r="E42" i="18"/>
  <c r="C42" i="18"/>
  <c r="F38" i="18"/>
  <c r="D38" i="18"/>
  <c r="C38" i="18"/>
  <c r="E36" i="18"/>
  <c r="E35" i="18"/>
  <c r="E34" i="18"/>
  <c r="E32" i="18"/>
  <c r="E31" i="18"/>
  <c r="E30" i="18"/>
  <c r="E29" i="18"/>
  <c r="E27" i="18"/>
  <c r="E26" i="18"/>
  <c r="E25" i="18"/>
  <c r="E23" i="18"/>
  <c r="G22" i="18"/>
  <c r="G38" i="18" s="1"/>
  <c r="E22" i="18"/>
  <c r="E21" i="18"/>
  <c r="E20" i="18"/>
  <c r="E19" i="18"/>
  <c r="E18" i="18"/>
  <c r="E16" i="18"/>
  <c r="G70" i="17"/>
  <c r="F70" i="17"/>
  <c r="D70" i="17"/>
  <c r="C70" i="17"/>
  <c r="E67" i="17"/>
  <c r="E70" i="17" s="1"/>
  <c r="G60" i="17"/>
  <c r="F60" i="17"/>
  <c r="D60" i="17"/>
  <c r="C60" i="17"/>
  <c r="E59" i="17"/>
  <c r="E53" i="17"/>
  <c r="E51" i="17"/>
  <c r="E48" i="17"/>
  <c r="E47" i="17"/>
  <c r="E46" i="17"/>
  <c r="G38" i="17"/>
  <c r="F38" i="17"/>
  <c r="D38" i="17"/>
  <c r="C38" i="17"/>
  <c r="E36" i="17"/>
  <c r="E35" i="17"/>
  <c r="E34" i="17"/>
  <c r="E32" i="17"/>
  <c r="E31" i="17"/>
  <c r="E30" i="17"/>
  <c r="E29" i="17"/>
  <c r="E27" i="17"/>
  <c r="E26" i="17"/>
  <c r="E25" i="17"/>
  <c r="E23" i="17"/>
  <c r="E22" i="17"/>
  <c r="E21" i="17"/>
  <c r="E20" i="17"/>
  <c r="E19" i="17"/>
  <c r="E18" i="17"/>
  <c r="E16" i="17"/>
  <c r="G1679" i="16"/>
  <c r="F1679" i="16"/>
  <c r="F1681" i="16" s="1"/>
  <c r="F1683" i="16" s="1"/>
  <c r="D1679" i="16"/>
  <c r="D1681" i="16" s="1"/>
  <c r="D1683" i="16" s="1"/>
  <c r="C1679" i="16"/>
  <c r="C1681" i="16" s="1"/>
  <c r="C1683" i="16" s="1"/>
  <c r="G1674" i="16"/>
  <c r="F1674" i="16"/>
  <c r="E1674" i="16"/>
  <c r="D1674" i="16"/>
  <c r="C1674" i="16"/>
  <c r="G1655" i="16"/>
  <c r="G1657" i="16" s="1"/>
  <c r="G1659" i="16" s="1"/>
  <c r="F1655" i="16"/>
  <c r="F1657" i="16" s="1"/>
  <c r="D1655" i="16"/>
  <c r="D1657" i="16" s="1"/>
  <c r="D1659" i="16" s="1"/>
  <c r="C1655" i="16"/>
  <c r="C1657" i="16" s="1"/>
  <c r="C1659" i="16" s="1"/>
  <c r="K1653" i="16"/>
  <c r="K1652" i="16" s="1"/>
  <c r="E1652" i="16"/>
  <c r="E1650" i="16"/>
  <c r="G391" i="16"/>
  <c r="F391" i="16"/>
  <c r="D391" i="16"/>
  <c r="C391" i="16"/>
  <c r="E390" i="16"/>
  <c r="E388" i="16"/>
  <c r="F382" i="16"/>
  <c r="D382" i="16"/>
  <c r="D384" i="16" s="1"/>
  <c r="C382" i="16"/>
  <c r="C384" i="16" s="1"/>
  <c r="E373" i="16"/>
  <c r="E371" i="16"/>
  <c r="G369" i="16"/>
  <c r="G382" i="16" s="1"/>
  <c r="E369" i="16"/>
  <c r="G1634" i="16"/>
  <c r="F1634" i="16"/>
  <c r="D1634" i="16"/>
  <c r="C1634" i="16"/>
  <c r="J1633" i="16"/>
  <c r="E1630" i="16"/>
  <c r="J1628" i="16"/>
  <c r="E1625" i="16"/>
  <c r="G1619" i="16"/>
  <c r="G1621" i="16" s="1"/>
  <c r="F1619" i="16"/>
  <c r="F1621" i="16" s="1"/>
  <c r="C1619" i="16"/>
  <c r="C1621" i="16" s="1"/>
  <c r="M1618" i="16"/>
  <c r="M1617" i="16"/>
  <c r="M1616" i="16"/>
  <c r="D1600" i="16"/>
  <c r="E1600" i="16" s="1"/>
  <c r="E1589" i="16"/>
  <c r="J1598" i="16"/>
  <c r="J1594" i="16"/>
  <c r="E1588" i="16"/>
  <c r="J1586" i="16"/>
  <c r="E1583" i="16"/>
  <c r="G1567" i="16"/>
  <c r="F1567" i="16"/>
  <c r="D1567" i="16"/>
  <c r="C1567" i="16"/>
  <c r="E1565" i="16"/>
  <c r="E1564" i="16"/>
  <c r="G1559" i="16"/>
  <c r="G1561" i="16" s="1"/>
  <c r="F1559" i="16"/>
  <c r="F1561" i="16" s="1"/>
  <c r="D1559" i="16"/>
  <c r="C1559" i="16"/>
  <c r="C1561" i="16" s="1"/>
  <c r="M1558" i="16"/>
  <c r="M1557" i="16"/>
  <c r="M1555" i="16"/>
  <c r="M1554" i="16"/>
  <c r="M1552" i="16"/>
  <c r="M1551" i="16"/>
  <c r="M1549" i="16"/>
  <c r="M1548" i="16"/>
  <c r="M1546" i="16"/>
  <c r="M1545" i="16"/>
  <c r="M1544" i="16"/>
  <c r="M1543" i="16"/>
  <c r="M1542" i="16"/>
  <c r="E1532" i="16"/>
  <c r="E1529" i="16"/>
  <c r="E1528" i="16"/>
  <c r="E1527" i="16"/>
  <c r="E1526" i="16"/>
  <c r="E1523" i="16"/>
  <c r="E1520" i="16"/>
  <c r="E1519" i="16"/>
  <c r="E1517" i="16"/>
  <c r="E1516" i="16"/>
  <c r="E1514" i="16"/>
  <c r="E1513" i="16"/>
  <c r="E1512" i="16"/>
  <c r="E1511" i="16"/>
  <c r="E1510" i="16"/>
  <c r="J1508" i="16"/>
  <c r="E1504" i="16"/>
  <c r="E1502" i="16"/>
  <c r="G1486" i="16"/>
  <c r="F1486" i="16"/>
  <c r="D1486" i="16"/>
  <c r="C1486" i="16"/>
  <c r="E1484" i="16"/>
  <c r="G1478" i="16"/>
  <c r="G1480" i="16" s="1"/>
  <c r="F1478" i="16"/>
  <c r="F1480" i="16" s="1"/>
  <c r="C1478" i="16"/>
  <c r="C1480" i="16" s="1"/>
  <c r="M1477" i="16"/>
  <c r="M1476" i="16"/>
  <c r="M1475" i="16"/>
  <c r="M1474" i="16"/>
  <c r="M1473" i="16"/>
  <c r="M1472" i="16"/>
  <c r="D1470" i="16"/>
  <c r="E1470" i="16" s="1"/>
  <c r="E1468" i="16"/>
  <c r="E1466" i="16"/>
  <c r="E1465" i="16"/>
  <c r="E1463" i="16"/>
  <c r="E1462" i="16"/>
  <c r="E1461" i="16"/>
  <c r="G1443" i="16"/>
  <c r="G1445" i="16" s="1"/>
  <c r="G1447" i="16" s="1"/>
  <c r="F1443" i="16"/>
  <c r="D1443" i="16"/>
  <c r="D1445" i="16" s="1"/>
  <c r="D1447" i="16" s="1"/>
  <c r="C1443" i="16"/>
  <c r="C1445" i="16" s="1"/>
  <c r="C1447" i="16" s="1"/>
  <c r="E1442" i="16"/>
  <c r="E1440" i="16"/>
  <c r="G1422" i="16"/>
  <c r="G1424" i="16" s="1"/>
  <c r="G1426" i="16" s="1"/>
  <c r="F1422" i="16"/>
  <c r="C1422" i="16"/>
  <c r="C1424" i="16" s="1"/>
  <c r="E1421" i="16"/>
  <c r="G1403" i="16"/>
  <c r="G1405" i="16" s="1"/>
  <c r="G1407" i="16" s="1"/>
  <c r="F1403" i="16"/>
  <c r="F1405" i="16" s="1"/>
  <c r="F1407" i="16" s="1"/>
  <c r="D1403" i="16"/>
  <c r="D1405" i="16" s="1"/>
  <c r="D1407" i="16" s="1"/>
  <c r="C1403" i="16"/>
  <c r="C1405" i="16" s="1"/>
  <c r="C1407" i="16" s="1"/>
  <c r="M1402" i="16"/>
  <c r="M1401" i="16"/>
  <c r="E1398" i="16"/>
  <c r="E1395" i="16"/>
  <c r="G1377" i="16"/>
  <c r="G1379" i="16" s="1"/>
  <c r="G1381" i="16" s="1"/>
  <c r="F1377" i="16"/>
  <c r="C1377" i="16"/>
  <c r="C1379" i="16" s="1"/>
  <c r="C1381" i="16" s="1"/>
  <c r="M1376" i="16"/>
  <c r="M1375" i="16"/>
  <c r="M1374" i="16"/>
  <c r="D1370" i="16"/>
  <c r="E1370" i="16" s="1"/>
  <c r="E1368" i="16"/>
  <c r="E1367" i="16"/>
  <c r="J1365" i="16"/>
  <c r="E1362" i="16"/>
  <c r="E1360" i="16"/>
  <c r="G1342" i="16"/>
  <c r="G1344" i="16" s="1"/>
  <c r="G1346" i="16" s="1"/>
  <c r="F1342" i="16"/>
  <c r="F1344" i="16" s="1"/>
  <c r="F1346" i="16" s="1"/>
  <c r="D1342" i="16"/>
  <c r="C1342" i="16"/>
  <c r="C1344" i="16" s="1"/>
  <c r="C1346" i="16" s="1"/>
  <c r="M1341" i="16"/>
  <c r="M1340" i="16"/>
  <c r="M1339" i="16"/>
  <c r="M1338" i="16"/>
  <c r="M1337" i="16"/>
  <c r="E1335" i="16"/>
  <c r="E1333" i="16"/>
  <c r="E1332" i="16"/>
  <c r="E1331" i="16"/>
  <c r="E1329" i="16"/>
  <c r="G1309" i="16"/>
  <c r="G1311" i="16" s="1"/>
  <c r="G1313" i="16" s="1"/>
  <c r="F1309" i="16"/>
  <c r="F1311" i="16" s="1"/>
  <c r="D1309" i="16"/>
  <c r="D1311" i="16" s="1"/>
  <c r="D1313" i="16" s="1"/>
  <c r="C1309" i="16"/>
  <c r="C1311" i="16" s="1"/>
  <c r="C1313" i="16" s="1"/>
  <c r="H1308" i="16"/>
  <c r="E1305" i="16"/>
  <c r="E1304" i="16"/>
  <c r="G1286" i="16"/>
  <c r="F1286" i="16"/>
  <c r="E1286" i="16"/>
  <c r="D1286" i="16"/>
  <c r="C1286" i="16"/>
  <c r="G1278" i="16"/>
  <c r="G1280" i="16" s="1"/>
  <c r="F1278" i="16"/>
  <c r="F1280" i="16" s="1"/>
  <c r="D1278" i="16"/>
  <c r="D1280" i="16" s="1"/>
  <c r="D1288" i="16" s="1"/>
  <c r="C1278" i="16"/>
  <c r="C1280" i="16" s="1"/>
  <c r="C1288" i="16" s="1"/>
  <c r="M1277" i="16"/>
  <c r="M1276" i="16"/>
  <c r="M1275" i="16"/>
  <c r="M1274" i="16"/>
  <c r="M1273" i="16"/>
  <c r="M1272" i="16"/>
  <c r="E1270" i="16"/>
  <c r="E1269" i="16"/>
  <c r="E1267" i="16"/>
  <c r="E1265" i="16"/>
  <c r="E1263" i="16"/>
  <c r="G1245" i="16"/>
  <c r="G1247" i="16" s="1"/>
  <c r="G1249" i="16" s="1"/>
  <c r="F1245" i="16"/>
  <c r="D1245" i="16"/>
  <c r="D1247" i="16" s="1"/>
  <c r="D1249" i="16" s="1"/>
  <c r="C1245" i="16"/>
  <c r="C1247" i="16" s="1"/>
  <c r="C1249" i="16" s="1"/>
  <c r="J1244" i="16"/>
  <c r="E1235" i="16"/>
  <c r="G1219" i="16"/>
  <c r="F1219" i="16"/>
  <c r="D1219" i="16"/>
  <c r="C1219" i="16"/>
  <c r="E1212" i="16"/>
  <c r="F1211" i="16"/>
  <c r="F1213" i="16" s="1"/>
  <c r="C1211" i="16"/>
  <c r="C1213" i="16" s="1"/>
  <c r="M1210" i="16"/>
  <c r="M1208" i="16"/>
  <c r="M1206" i="16"/>
  <c r="M1205" i="16"/>
  <c r="M1203" i="16"/>
  <c r="M1202" i="16"/>
  <c r="M1201" i="16"/>
  <c r="M1200" i="16"/>
  <c r="M1199" i="16"/>
  <c r="M1197" i="16"/>
  <c r="M1196" i="16"/>
  <c r="M1195" i="16"/>
  <c r="M1194" i="16"/>
  <c r="M1193" i="16"/>
  <c r="M1192" i="16"/>
  <c r="M1191" i="16"/>
  <c r="M1189" i="16"/>
  <c r="M1188" i="16"/>
  <c r="M1187" i="16"/>
  <c r="M1185" i="16"/>
  <c r="M1182" i="16"/>
  <c r="M1181" i="16"/>
  <c r="M1180" i="16"/>
  <c r="M1179" i="16"/>
  <c r="M1178" i="16"/>
  <c r="D1172" i="16"/>
  <c r="D1211" i="16" s="1"/>
  <c r="J1170" i="16"/>
  <c r="E1162" i="16"/>
  <c r="E1161" i="16"/>
  <c r="E1160" i="16"/>
  <c r="E1159" i="16"/>
  <c r="E1158" i="16"/>
  <c r="E1152" i="16"/>
  <c r="G1134" i="16"/>
  <c r="F1134" i="16"/>
  <c r="D1134" i="16"/>
  <c r="C1134" i="16"/>
  <c r="G1126" i="16"/>
  <c r="G1128" i="16" s="1"/>
  <c r="F1126" i="16"/>
  <c r="F1128" i="16" s="1"/>
  <c r="D1126" i="16"/>
  <c r="D1128" i="16" s="1"/>
  <c r="C1126" i="16"/>
  <c r="C1128" i="16" s="1"/>
  <c r="M1125" i="16"/>
  <c r="M1124" i="16"/>
  <c r="M1123" i="16"/>
  <c r="M1121" i="16"/>
  <c r="M1120" i="16"/>
  <c r="M1119" i="16"/>
  <c r="M1117" i="16"/>
  <c r="M1116" i="16"/>
  <c r="M1114" i="16"/>
  <c r="M1113" i="16"/>
  <c r="E1109" i="16"/>
  <c r="E1107" i="16"/>
  <c r="E1105" i="16"/>
  <c r="E1104" i="16"/>
  <c r="E1103" i="16"/>
  <c r="G1085" i="16"/>
  <c r="G1087" i="16" s="1"/>
  <c r="G1089" i="16" s="1"/>
  <c r="F1085" i="16"/>
  <c r="D1085" i="16"/>
  <c r="D1087" i="16" s="1"/>
  <c r="C1085" i="16"/>
  <c r="C1087" i="16" s="1"/>
  <c r="M1084" i="16"/>
  <c r="M1083" i="16"/>
  <c r="M1082" i="16"/>
  <c r="E1079" i="16"/>
  <c r="E1077" i="16"/>
  <c r="E1075" i="16"/>
  <c r="E1073" i="16"/>
  <c r="E1071" i="16"/>
  <c r="E1070" i="16"/>
  <c r="E1069" i="16"/>
  <c r="G1051" i="16"/>
  <c r="G1053" i="16" s="1"/>
  <c r="G1055" i="16" s="1"/>
  <c r="F1051" i="16"/>
  <c r="F1053" i="16" s="1"/>
  <c r="D1051" i="16"/>
  <c r="D1053" i="16" s="1"/>
  <c r="D1055" i="16" s="1"/>
  <c r="C1051" i="16"/>
  <c r="C1053" i="16" s="1"/>
  <c r="C1055" i="16" s="1"/>
  <c r="E1050" i="16"/>
  <c r="G1032" i="16"/>
  <c r="G1034" i="16" s="1"/>
  <c r="G1036" i="16" s="1"/>
  <c r="F1032" i="16"/>
  <c r="F1034" i="16" s="1"/>
  <c r="D1032" i="16"/>
  <c r="D1034" i="16" s="1"/>
  <c r="C1032" i="16"/>
  <c r="C1034" i="16" s="1"/>
  <c r="L1031" i="16"/>
  <c r="E1030" i="16"/>
  <c r="E1028" i="16"/>
  <c r="G1010" i="16"/>
  <c r="G1012" i="16" s="1"/>
  <c r="G1014" i="16" s="1"/>
  <c r="F1010" i="16"/>
  <c r="F1012" i="16" s="1"/>
  <c r="D1010" i="16"/>
  <c r="D1012" i="16" s="1"/>
  <c r="C1010" i="16"/>
  <c r="C1012" i="16" s="1"/>
  <c r="M1009" i="16"/>
  <c r="N1009" i="16" s="1"/>
  <c r="E1006" i="16"/>
  <c r="E1003" i="16"/>
  <c r="E1001" i="16"/>
  <c r="E1000" i="16"/>
  <c r="G982" i="16"/>
  <c r="G984" i="16" s="1"/>
  <c r="G986" i="16" s="1"/>
  <c r="F982" i="16"/>
  <c r="F984" i="16" s="1"/>
  <c r="F986" i="16" s="1"/>
  <c r="D982" i="16"/>
  <c r="D984" i="16" s="1"/>
  <c r="D986" i="16" s="1"/>
  <c r="C982" i="16"/>
  <c r="C984" i="16" s="1"/>
  <c r="C986" i="16" s="1"/>
  <c r="L981" i="16"/>
  <c r="E980" i="16"/>
  <c r="E978" i="16"/>
  <c r="E977" i="16"/>
  <c r="E975" i="16"/>
  <c r="E974" i="16"/>
  <c r="G956" i="16"/>
  <c r="G958" i="16" s="1"/>
  <c r="G960" i="16" s="1"/>
  <c r="F956" i="16"/>
  <c r="F958" i="16" s="1"/>
  <c r="D956" i="16"/>
  <c r="D958" i="16" s="1"/>
  <c r="D960" i="16" s="1"/>
  <c r="C956" i="16"/>
  <c r="C958" i="16" s="1"/>
  <c r="C960" i="16" s="1"/>
  <c r="E954" i="16"/>
  <c r="G933" i="16"/>
  <c r="G935" i="16" s="1"/>
  <c r="G937" i="16" s="1"/>
  <c r="F933" i="16"/>
  <c r="F935" i="16" s="1"/>
  <c r="C933" i="16"/>
  <c r="C935" i="16" s="1"/>
  <c r="C937" i="16" s="1"/>
  <c r="E925" i="16"/>
  <c r="D923" i="16"/>
  <c r="D933" i="16" s="1"/>
  <c r="D935" i="16" s="1"/>
  <c r="D937" i="16" s="1"/>
  <c r="E921" i="16"/>
  <c r="E919" i="16"/>
  <c r="G903" i="16"/>
  <c r="F903" i="16"/>
  <c r="D903" i="16"/>
  <c r="C903" i="16"/>
  <c r="E903" i="16"/>
  <c r="G895" i="16"/>
  <c r="G897" i="16" s="1"/>
  <c r="F895" i="16"/>
  <c r="F897" i="16" s="1"/>
  <c r="C895" i="16"/>
  <c r="C897" i="16" s="1"/>
  <c r="M894" i="16"/>
  <c r="M893" i="16"/>
  <c r="M892" i="16"/>
  <c r="M891" i="16"/>
  <c r="D888" i="16"/>
  <c r="D895" i="16" s="1"/>
  <c r="D897" i="16" s="1"/>
  <c r="E886" i="16"/>
  <c r="E885" i="16"/>
  <c r="E884" i="16"/>
  <c r="G868" i="16"/>
  <c r="F868" i="16"/>
  <c r="E868" i="16"/>
  <c r="D868" i="16"/>
  <c r="C868" i="16"/>
  <c r="G856" i="16"/>
  <c r="G858" i="16" s="1"/>
  <c r="F856" i="16"/>
  <c r="F858" i="16" s="1"/>
  <c r="D856" i="16"/>
  <c r="D858" i="16" s="1"/>
  <c r="C856" i="16"/>
  <c r="C858" i="16" s="1"/>
  <c r="C870" i="16" s="1"/>
  <c r="M855" i="16"/>
  <c r="M854" i="16"/>
  <c r="M853" i="16"/>
  <c r="M852" i="16"/>
  <c r="E849" i="16"/>
  <c r="E847" i="16"/>
  <c r="E845" i="16"/>
  <c r="G829" i="16"/>
  <c r="F829" i="16"/>
  <c r="D829" i="16"/>
  <c r="C829" i="16"/>
  <c r="G820" i="16"/>
  <c r="G822" i="16" s="1"/>
  <c r="F820" i="16"/>
  <c r="D820" i="16"/>
  <c r="D822" i="16" s="1"/>
  <c r="C820" i="16"/>
  <c r="C822" i="16" s="1"/>
  <c r="M819" i="16"/>
  <c r="M818" i="16"/>
  <c r="M817" i="16"/>
  <c r="M816" i="16"/>
  <c r="E813" i="16"/>
  <c r="E811" i="16"/>
  <c r="E810" i="16"/>
  <c r="E809" i="16"/>
  <c r="G793" i="16"/>
  <c r="F793" i="16"/>
  <c r="E793" i="16"/>
  <c r="D793" i="16"/>
  <c r="C793" i="16"/>
  <c r="G784" i="16"/>
  <c r="G786" i="16" s="1"/>
  <c r="F784" i="16"/>
  <c r="D784" i="16"/>
  <c r="D786" i="16" s="1"/>
  <c r="D795" i="16" s="1"/>
  <c r="C784" i="16"/>
  <c r="C786" i="16" s="1"/>
  <c r="C795" i="16" s="1"/>
  <c r="M783" i="16"/>
  <c r="M782" i="16"/>
  <c r="M781" i="16"/>
  <c r="M780" i="16"/>
  <c r="E777" i="16"/>
  <c r="E775" i="16"/>
  <c r="E773" i="16"/>
  <c r="G753" i="16"/>
  <c r="G755" i="16" s="1"/>
  <c r="G757" i="16" s="1"/>
  <c r="F753" i="16"/>
  <c r="F755" i="16" s="1"/>
  <c r="F757" i="16" s="1"/>
  <c r="D753" i="16"/>
  <c r="D755" i="16" s="1"/>
  <c r="D757" i="16" s="1"/>
  <c r="C753" i="16"/>
  <c r="C755" i="16" s="1"/>
  <c r="C757" i="16" s="1"/>
  <c r="E750" i="16"/>
  <c r="E748" i="16"/>
  <c r="E746" i="16"/>
  <c r="E744" i="16"/>
  <c r="G726" i="16"/>
  <c r="G728" i="16" s="1"/>
  <c r="G730" i="16" s="1"/>
  <c r="F726" i="16"/>
  <c r="F728" i="16" s="1"/>
  <c r="D726" i="16"/>
  <c r="D728" i="16" s="1"/>
  <c r="D730" i="16" s="1"/>
  <c r="C726" i="16"/>
  <c r="C728" i="16" s="1"/>
  <c r="C730" i="16" s="1"/>
  <c r="E725" i="16"/>
  <c r="G707" i="16"/>
  <c r="G709" i="16" s="1"/>
  <c r="G711" i="16" s="1"/>
  <c r="F707" i="16"/>
  <c r="F709" i="16" s="1"/>
  <c r="D707" i="16"/>
  <c r="D709" i="16" s="1"/>
  <c r="D711" i="16" s="1"/>
  <c r="C707" i="16"/>
  <c r="C709" i="16" s="1"/>
  <c r="C711" i="16" s="1"/>
  <c r="E704" i="16"/>
  <c r="E702" i="16"/>
  <c r="F684" i="16"/>
  <c r="F686" i="16" s="1"/>
  <c r="D684" i="16"/>
  <c r="D686" i="16" s="1"/>
  <c r="D688" i="16" s="1"/>
  <c r="C684" i="16"/>
  <c r="C686" i="16" s="1"/>
  <c r="C688" i="16" s="1"/>
  <c r="E677" i="16"/>
  <c r="G661" i="16"/>
  <c r="F661" i="16"/>
  <c r="D661" i="16"/>
  <c r="C661" i="16"/>
  <c r="E656" i="16"/>
  <c r="G650" i="16"/>
  <c r="G652" i="16" s="1"/>
  <c r="F650" i="16"/>
  <c r="F652" i="16" s="1"/>
  <c r="C650" i="16"/>
  <c r="C652" i="16" s="1"/>
  <c r="M649" i="16"/>
  <c r="N649" i="16" s="1"/>
  <c r="D643" i="16"/>
  <c r="D650" i="16" s="1"/>
  <c r="D652" i="16" s="1"/>
  <c r="E641" i="16"/>
  <c r="E639" i="16"/>
  <c r="J637" i="16"/>
  <c r="E632" i="16"/>
  <c r="E630" i="16"/>
  <c r="G614" i="16"/>
  <c r="F614" i="16"/>
  <c r="E614" i="16"/>
  <c r="D614" i="16"/>
  <c r="C614" i="16"/>
  <c r="G601" i="16"/>
  <c r="G603" i="16" s="1"/>
  <c r="F601" i="16"/>
  <c r="F603" i="16" s="1"/>
  <c r="C601" i="16"/>
  <c r="C603" i="16" s="1"/>
  <c r="M600" i="16"/>
  <c r="M599" i="16"/>
  <c r="M598" i="16"/>
  <c r="M597" i="16"/>
  <c r="M596" i="16"/>
  <c r="D594" i="16"/>
  <c r="E594" i="16" s="1"/>
  <c r="E592" i="16"/>
  <c r="E591" i="16"/>
  <c r="E590" i="16"/>
  <c r="E588" i="16"/>
  <c r="E586" i="16"/>
  <c r="E584" i="16"/>
  <c r="G566" i="16"/>
  <c r="G568" i="16" s="1"/>
  <c r="G570" i="16" s="1"/>
  <c r="F566" i="16"/>
  <c r="F568" i="16" s="1"/>
  <c r="D566" i="16"/>
  <c r="D568" i="16" s="1"/>
  <c r="D570" i="16" s="1"/>
  <c r="C566" i="16"/>
  <c r="C568" i="16" s="1"/>
  <c r="C570" i="16" s="1"/>
  <c r="M565" i="16"/>
  <c r="M564" i="16"/>
  <c r="M563" i="16"/>
  <c r="M562" i="16"/>
  <c r="M561" i="16"/>
  <c r="M560" i="16"/>
  <c r="M559" i="16"/>
  <c r="M558" i="16"/>
  <c r="E556" i="16"/>
  <c r="E554" i="16"/>
  <c r="E552" i="16"/>
  <c r="E551" i="16"/>
  <c r="E549" i="16"/>
  <c r="F531" i="16"/>
  <c r="G531" i="16" s="1"/>
  <c r="G533" i="16" s="1"/>
  <c r="G535" i="16" s="1"/>
  <c r="D531" i="16"/>
  <c r="D533" i="16" s="1"/>
  <c r="D535" i="16" s="1"/>
  <c r="C531" i="16"/>
  <c r="C533" i="16" s="1"/>
  <c r="C535" i="16" s="1"/>
  <c r="E530" i="16"/>
  <c r="E528" i="16"/>
  <c r="F510" i="16"/>
  <c r="F512" i="16" s="1"/>
  <c r="D510" i="16"/>
  <c r="D512" i="16" s="1"/>
  <c r="D514" i="16" s="1"/>
  <c r="C510" i="16"/>
  <c r="C512" i="16" s="1"/>
  <c r="C514" i="16" s="1"/>
  <c r="E509" i="16"/>
  <c r="G491" i="16"/>
  <c r="G493" i="16" s="1"/>
  <c r="G495" i="16" s="1"/>
  <c r="F491" i="16"/>
  <c r="F493" i="16" s="1"/>
  <c r="D491" i="16"/>
  <c r="D493" i="16" s="1"/>
  <c r="D495" i="16" s="1"/>
  <c r="C491" i="16"/>
  <c r="C493" i="16" s="1"/>
  <c r="C495" i="16" s="1"/>
  <c r="E488" i="16"/>
  <c r="E486" i="16"/>
  <c r="G468" i="16"/>
  <c r="G470" i="16" s="1"/>
  <c r="G472" i="16" s="1"/>
  <c r="F468" i="16"/>
  <c r="D468" i="16"/>
  <c r="D470" i="16" s="1"/>
  <c r="C468" i="16"/>
  <c r="C470" i="16" s="1"/>
  <c r="M467" i="16"/>
  <c r="M465" i="16"/>
  <c r="E463" i="16"/>
  <c r="E461" i="16"/>
  <c r="E460" i="16"/>
  <c r="E458" i="16"/>
  <c r="E456" i="16"/>
  <c r="E454" i="16"/>
  <c r="G436" i="16"/>
  <c r="G438" i="16" s="1"/>
  <c r="G440" i="16" s="1"/>
  <c r="F436" i="16"/>
  <c r="D436" i="16"/>
  <c r="D438" i="16" s="1"/>
  <c r="D440" i="16" s="1"/>
  <c r="C436" i="16"/>
  <c r="C438" i="16" s="1"/>
  <c r="C440" i="16" s="1"/>
  <c r="E432" i="16"/>
  <c r="G414" i="16"/>
  <c r="G416" i="16" s="1"/>
  <c r="G418" i="16" s="1"/>
  <c r="F414" i="16"/>
  <c r="D414" i="16"/>
  <c r="D416" i="16" s="1"/>
  <c r="D418" i="16" s="1"/>
  <c r="E410" i="16"/>
  <c r="C410" i="16"/>
  <c r="C414" i="16" s="1"/>
  <c r="C416" i="16" s="1"/>
  <c r="C418" i="16" s="1"/>
  <c r="E408" i="16"/>
  <c r="E407" i="16"/>
  <c r="G325" i="16"/>
  <c r="G327" i="16" s="1"/>
  <c r="G329" i="16" s="1"/>
  <c r="F325" i="16"/>
  <c r="F327" i="16" s="1"/>
  <c r="D325" i="16"/>
  <c r="D327" i="16" s="1"/>
  <c r="D329" i="16" s="1"/>
  <c r="C325" i="16"/>
  <c r="C327" i="16" s="1"/>
  <c r="C329" i="16" s="1"/>
  <c r="G306" i="16"/>
  <c r="G308" i="16" s="1"/>
  <c r="G310" i="16" s="1"/>
  <c r="F306" i="16"/>
  <c r="D306" i="16"/>
  <c r="D308" i="16" s="1"/>
  <c r="C306" i="16"/>
  <c r="C308" i="16" s="1"/>
  <c r="J305" i="16"/>
  <c r="E290" i="16"/>
  <c r="E287" i="16"/>
  <c r="J283" i="16"/>
  <c r="J279" i="16"/>
  <c r="E275" i="16"/>
  <c r="J273" i="16"/>
  <c r="E270" i="16"/>
  <c r="J269" i="16"/>
  <c r="E266" i="16"/>
  <c r="J264" i="16"/>
  <c r="E259" i="16"/>
  <c r="E257" i="16"/>
  <c r="J254" i="16"/>
  <c r="E249" i="16"/>
  <c r="E246" i="16"/>
  <c r="J244" i="16"/>
  <c r="E240" i="16"/>
  <c r="G222" i="16"/>
  <c r="G224" i="16" s="1"/>
  <c r="G226" i="16" s="1"/>
  <c r="F222" i="16"/>
  <c r="F224" i="16" s="1"/>
  <c r="D222" i="16"/>
  <c r="D224" i="16" s="1"/>
  <c r="D226" i="16" s="1"/>
  <c r="C222" i="16"/>
  <c r="C224" i="16" s="1"/>
  <c r="C226" i="16" s="1"/>
  <c r="K218" i="16"/>
  <c r="E218" i="16"/>
  <c r="E216" i="16"/>
  <c r="E215" i="16"/>
  <c r="E213" i="16"/>
  <c r="C197" i="16"/>
  <c r="C199" i="16" s="1"/>
  <c r="G195" i="16"/>
  <c r="G197" i="16" s="1"/>
  <c r="G199" i="16" s="1"/>
  <c r="F195" i="16"/>
  <c r="F197" i="16" s="1"/>
  <c r="D195" i="16"/>
  <c r="D197" i="16" s="1"/>
  <c r="D199" i="16" s="1"/>
  <c r="C195" i="16"/>
  <c r="M194" i="16"/>
  <c r="M193" i="16"/>
  <c r="E187" i="16"/>
  <c r="E184" i="16"/>
  <c r="J182" i="16"/>
  <c r="E180" i="16"/>
  <c r="E178" i="16"/>
  <c r="E161" i="16"/>
  <c r="G160" i="16"/>
  <c r="G162" i="16" s="1"/>
  <c r="G164" i="16" s="1"/>
  <c r="F160" i="16"/>
  <c r="F162" i="16" s="1"/>
  <c r="D160" i="16"/>
  <c r="D162" i="16" s="1"/>
  <c r="D164" i="16" s="1"/>
  <c r="C160" i="16"/>
  <c r="C162" i="16" s="1"/>
  <c r="C164" i="16" s="1"/>
  <c r="E157" i="16"/>
  <c r="E155" i="16"/>
  <c r="E153" i="16"/>
  <c r="E138" i="16"/>
  <c r="E136" i="16"/>
  <c r="G135" i="16"/>
  <c r="G137" i="16" s="1"/>
  <c r="G139" i="16" s="1"/>
  <c r="F135" i="16"/>
  <c r="F137" i="16" s="1"/>
  <c r="D135" i="16"/>
  <c r="D137" i="16" s="1"/>
  <c r="D139" i="16" s="1"/>
  <c r="C135" i="16"/>
  <c r="C137" i="16" s="1"/>
  <c r="C139" i="16" s="1"/>
  <c r="E131" i="16"/>
  <c r="E129" i="16"/>
  <c r="E127" i="16"/>
  <c r="E126" i="16"/>
  <c r="E111" i="16"/>
  <c r="E109" i="16"/>
  <c r="E107" i="16"/>
  <c r="G106" i="16"/>
  <c r="G108" i="16" s="1"/>
  <c r="G110" i="16" s="1"/>
  <c r="F106" i="16"/>
  <c r="C106" i="16"/>
  <c r="C108" i="16" s="1"/>
  <c r="C110" i="16" s="1"/>
  <c r="D94" i="16"/>
  <c r="E94" i="16" s="1"/>
  <c r="E92" i="16"/>
  <c r="E90" i="16"/>
  <c r="E88" i="16"/>
  <c r="F81" i="16"/>
  <c r="G78" i="16"/>
  <c r="G80" i="16" s="1"/>
  <c r="G82" i="16" s="1"/>
  <c r="F78" i="16"/>
  <c r="F80" i="16" s="1"/>
  <c r="D78" i="16"/>
  <c r="D80" i="16" s="1"/>
  <c r="D82" i="16" s="1"/>
  <c r="C78" i="16"/>
  <c r="C80" i="16" s="1"/>
  <c r="C82" i="16" s="1"/>
  <c r="E75" i="16"/>
  <c r="E73" i="16"/>
  <c r="E72" i="16"/>
  <c r="E70" i="16"/>
  <c r="G60" i="16"/>
  <c r="G62" i="16" s="1"/>
  <c r="G64" i="16" s="1"/>
  <c r="F60" i="16"/>
  <c r="D60" i="16"/>
  <c r="D62" i="16" s="1"/>
  <c r="C60" i="16"/>
  <c r="C62" i="16" s="1"/>
  <c r="E54" i="16"/>
  <c r="E52" i="16"/>
  <c r="E51" i="16"/>
  <c r="E50" i="16"/>
  <c r="E48" i="16"/>
  <c r="E32" i="16"/>
  <c r="G29" i="16"/>
  <c r="G31" i="16" s="1"/>
  <c r="G33" i="16" s="1"/>
  <c r="F29" i="16"/>
  <c r="D29" i="16"/>
  <c r="D31" i="16" s="1"/>
  <c r="D33" i="16" s="1"/>
  <c r="C29" i="16"/>
  <c r="C31" i="16" s="1"/>
  <c r="C33" i="16" s="1"/>
  <c r="E23" i="16"/>
  <c r="E21" i="16"/>
  <c r="E20" i="16"/>
  <c r="E19" i="16"/>
  <c r="G61" i="14"/>
  <c r="F61" i="14"/>
  <c r="D61" i="14"/>
  <c r="C61" i="14"/>
  <c r="K55" i="14"/>
  <c r="K53" i="14" s="1"/>
  <c r="E53" i="14"/>
  <c r="E52" i="14"/>
  <c r="E51" i="14"/>
  <c r="E49" i="14"/>
  <c r="E47" i="14"/>
  <c r="E46" i="14"/>
  <c r="E42" i="14"/>
  <c r="E40" i="14"/>
  <c r="G36" i="14"/>
  <c r="F36" i="14"/>
  <c r="E36" i="14" s="1"/>
  <c r="D36" i="14"/>
  <c r="C36" i="14"/>
  <c r="E34" i="14"/>
  <c r="E33" i="14"/>
  <c r="E32" i="14"/>
  <c r="E30" i="14"/>
  <c r="E29" i="14"/>
  <c r="E28" i="14"/>
  <c r="E27" i="14"/>
  <c r="E25" i="14"/>
  <c r="E24" i="14"/>
  <c r="E23" i="14"/>
  <c r="E21" i="14"/>
  <c r="E20" i="14"/>
  <c r="E19" i="14"/>
  <c r="E18" i="14"/>
  <c r="E16" i="14"/>
  <c r="G78" i="13"/>
  <c r="F78" i="13"/>
  <c r="D78" i="13"/>
  <c r="C78" i="13"/>
  <c r="E76" i="13"/>
  <c r="E73" i="13"/>
  <c r="E78" i="13" s="1"/>
  <c r="G67" i="13"/>
  <c r="F67" i="13"/>
  <c r="D67" i="13"/>
  <c r="C67" i="13"/>
  <c r="K59" i="13"/>
  <c r="K56" i="13"/>
  <c r="K54" i="13"/>
  <c r="H52" i="13" s="1"/>
  <c r="E52" i="13"/>
  <c r="E49" i="13"/>
  <c r="E47" i="13"/>
  <c r="E45" i="13"/>
  <c r="E44" i="13"/>
  <c r="E43" i="13"/>
  <c r="E41" i="13"/>
  <c r="E39" i="13"/>
  <c r="G35" i="13"/>
  <c r="F35" i="13"/>
  <c r="D35" i="13"/>
  <c r="C35" i="13"/>
  <c r="E33" i="13"/>
  <c r="E32" i="13"/>
  <c r="E30" i="13"/>
  <c r="E29" i="13"/>
  <c r="E28" i="13"/>
  <c r="E27" i="13"/>
  <c r="E25" i="13"/>
  <c r="E24" i="13"/>
  <c r="E21" i="13"/>
  <c r="E20" i="13"/>
  <c r="E19" i="13"/>
  <c r="E18" i="13"/>
  <c r="E16" i="13"/>
  <c r="F66" i="12"/>
  <c r="D66" i="12"/>
  <c r="D68" i="12" s="1"/>
  <c r="D70" i="12" s="1"/>
  <c r="C66" i="12"/>
  <c r="I65" i="12"/>
  <c r="K65" i="12" s="1"/>
  <c r="K64" i="12"/>
  <c r="I64" i="12"/>
  <c r="I63" i="12"/>
  <c r="K63" i="12" s="1"/>
  <c r="G55" i="12"/>
  <c r="E55" i="12"/>
  <c r="E53" i="12"/>
  <c r="E51" i="12"/>
  <c r="E49" i="12"/>
  <c r="E48" i="12"/>
  <c r="E47" i="12"/>
  <c r="E46" i="12"/>
  <c r="G41" i="12"/>
  <c r="G66" i="12" s="1"/>
  <c r="G68" i="12" s="1"/>
  <c r="G70" i="12" s="1"/>
  <c r="E41" i="12"/>
  <c r="E39" i="12"/>
  <c r="G35" i="12"/>
  <c r="F35" i="12"/>
  <c r="E35" i="12" s="1"/>
  <c r="D35" i="12"/>
  <c r="C35" i="12"/>
  <c r="E33" i="12"/>
  <c r="E32" i="12"/>
  <c r="E30" i="12"/>
  <c r="E29" i="12"/>
  <c r="E28" i="12"/>
  <c r="E27" i="12"/>
  <c r="E25" i="12"/>
  <c r="E24" i="12"/>
  <c r="E23" i="12"/>
  <c r="E21" i="12"/>
  <c r="E20" i="12"/>
  <c r="E19" i="12"/>
  <c r="E18" i="12"/>
  <c r="E16" i="12"/>
  <c r="E95" i="11"/>
  <c r="F94" i="11"/>
  <c r="D94" i="11"/>
  <c r="E94" i="11" s="1"/>
  <c r="C94" i="11"/>
  <c r="E92" i="11"/>
  <c r="G87" i="11"/>
  <c r="G94" i="11" s="1"/>
  <c r="O82" i="11"/>
  <c r="L81" i="11"/>
  <c r="F81" i="11"/>
  <c r="D81" i="11"/>
  <c r="C81" i="11"/>
  <c r="N80" i="11"/>
  <c r="O80" i="11" s="1"/>
  <c r="K80" i="11"/>
  <c r="N79" i="11"/>
  <c r="O79" i="11" s="1"/>
  <c r="K79" i="11"/>
  <c r="N78" i="11"/>
  <c r="O78" i="11" s="1"/>
  <c r="K78" i="11"/>
  <c r="N77" i="11"/>
  <c r="O77" i="11" s="1"/>
  <c r="K77" i="11"/>
  <c r="N76" i="11"/>
  <c r="O76" i="11" s="1"/>
  <c r="K76" i="11"/>
  <c r="N75" i="11"/>
  <c r="O75" i="11" s="1"/>
  <c r="K75" i="11"/>
  <c r="N74" i="11"/>
  <c r="O74" i="11" s="1"/>
  <c r="K74" i="11"/>
  <c r="N73" i="11"/>
  <c r="O73" i="11" s="1"/>
  <c r="K73" i="11"/>
  <c r="N72" i="11"/>
  <c r="O72" i="11" s="1"/>
  <c r="K72" i="11"/>
  <c r="N71" i="11"/>
  <c r="O71" i="11" s="1"/>
  <c r="K71" i="11"/>
  <c r="I69" i="11"/>
  <c r="E57" i="11"/>
  <c r="E53" i="11"/>
  <c r="G48" i="11"/>
  <c r="E48" i="11"/>
  <c r="E47" i="11"/>
  <c r="E46" i="11"/>
  <c r="E45" i="11"/>
  <c r="G39" i="11"/>
  <c r="G81" i="11" s="1"/>
  <c r="E39" i="11"/>
  <c r="E37" i="11"/>
  <c r="G33" i="11"/>
  <c r="F33" i="11"/>
  <c r="F83" i="11" s="1"/>
  <c r="D33" i="11"/>
  <c r="C33" i="11"/>
  <c r="E31" i="11"/>
  <c r="E30" i="11"/>
  <c r="E28" i="11"/>
  <c r="E27" i="11"/>
  <c r="E26" i="11"/>
  <c r="E25" i="11"/>
  <c r="E23" i="11"/>
  <c r="E22" i="11"/>
  <c r="E20" i="11"/>
  <c r="E19" i="11"/>
  <c r="E18" i="11"/>
  <c r="E17" i="11"/>
  <c r="E15" i="11"/>
  <c r="F69" i="10"/>
  <c r="D69" i="10"/>
  <c r="C69" i="10"/>
  <c r="G67" i="10"/>
  <c r="G69" i="10" s="1"/>
  <c r="E67" i="10"/>
  <c r="F61" i="10"/>
  <c r="E61" i="10" s="1"/>
  <c r="D61" i="10"/>
  <c r="C61" i="10"/>
  <c r="J60" i="10"/>
  <c r="I60" i="10"/>
  <c r="K60" i="10" s="1"/>
  <c r="G50" i="10"/>
  <c r="E50" i="10"/>
  <c r="G48" i="10"/>
  <c r="E48" i="10"/>
  <c r="E47" i="10"/>
  <c r="E46" i="10"/>
  <c r="E43" i="10"/>
  <c r="G39" i="10"/>
  <c r="G61" i="10" s="1"/>
  <c r="E39" i="10"/>
  <c r="E37" i="10"/>
  <c r="G33" i="10"/>
  <c r="F33" i="10"/>
  <c r="E33" i="10" s="1"/>
  <c r="D33" i="10"/>
  <c r="C33" i="10"/>
  <c r="E31" i="10"/>
  <c r="E30" i="10"/>
  <c r="E28" i="10"/>
  <c r="E27" i="10"/>
  <c r="E26" i="10"/>
  <c r="E25" i="10"/>
  <c r="E23" i="10"/>
  <c r="E22" i="10"/>
  <c r="E20" i="10"/>
  <c r="E19" i="10"/>
  <c r="E18" i="10"/>
  <c r="E17" i="10"/>
  <c r="E15" i="10"/>
  <c r="E83" i="9"/>
  <c r="F82" i="9"/>
  <c r="D82" i="9"/>
  <c r="C82" i="9"/>
  <c r="G78" i="9"/>
  <c r="G82" i="9" s="1"/>
  <c r="G84" i="9" s="1"/>
  <c r="E78" i="9"/>
  <c r="E76" i="9"/>
  <c r="F57" i="9"/>
  <c r="C57" i="9"/>
  <c r="K56" i="9"/>
  <c r="K55" i="9"/>
  <c r="K54" i="9"/>
  <c r="I53" i="9"/>
  <c r="K53" i="9" s="1"/>
  <c r="G50" i="9"/>
  <c r="G57" i="9" s="1"/>
  <c r="D50" i="9"/>
  <c r="D57" i="9" s="1"/>
  <c r="E48" i="9"/>
  <c r="E46" i="9"/>
  <c r="E45" i="9"/>
  <c r="E44" i="9"/>
  <c r="E41" i="9"/>
  <c r="E39" i="9"/>
  <c r="G35" i="9"/>
  <c r="F35" i="9"/>
  <c r="D35" i="9"/>
  <c r="C35" i="9"/>
  <c r="E33" i="9"/>
  <c r="E32" i="9"/>
  <c r="E30" i="9"/>
  <c r="E29" i="9"/>
  <c r="E28" i="9"/>
  <c r="E27" i="9"/>
  <c r="E25" i="9"/>
  <c r="E24" i="9"/>
  <c r="E23" i="9"/>
  <c r="E21" i="9"/>
  <c r="E20" i="9"/>
  <c r="E18" i="9"/>
  <c r="E17" i="9"/>
  <c r="E15" i="9"/>
  <c r="E63" i="8"/>
  <c r="G62" i="8"/>
  <c r="F62" i="8"/>
  <c r="D62" i="8"/>
  <c r="C62" i="8"/>
  <c r="E62" i="8"/>
  <c r="F54" i="8"/>
  <c r="D54" i="8"/>
  <c r="E54" i="8" s="1"/>
  <c r="C54" i="8"/>
  <c r="I53" i="8"/>
  <c r="K53" i="8" s="1"/>
  <c r="G49" i="8"/>
  <c r="E49" i="8"/>
  <c r="G48" i="8"/>
  <c r="E47" i="8"/>
  <c r="E45" i="8"/>
  <c r="E43" i="8"/>
  <c r="E42" i="8"/>
  <c r="G38" i="8"/>
  <c r="E38" i="8"/>
  <c r="G34" i="8"/>
  <c r="F34" i="8"/>
  <c r="F56" i="8" s="1"/>
  <c r="D34" i="8"/>
  <c r="C34" i="8"/>
  <c r="E32" i="8"/>
  <c r="E31" i="8"/>
  <c r="E29" i="8"/>
  <c r="E28" i="8"/>
  <c r="E27" i="8"/>
  <c r="E26" i="8"/>
  <c r="E24" i="8"/>
  <c r="E23" i="8"/>
  <c r="E22" i="8"/>
  <c r="E20" i="8"/>
  <c r="E19" i="8"/>
  <c r="E18" i="8"/>
  <c r="E17" i="8"/>
  <c r="E15" i="8"/>
  <c r="G75" i="7"/>
  <c r="F75" i="7"/>
  <c r="D75" i="7"/>
  <c r="C75" i="7"/>
  <c r="E73" i="7"/>
  <c r="E70" i="7"/>
  <c r="G64" i="7"/>
  <c r="F64" i="7"/>
  <c r="D64" i="7"/>
  <c r="C64" i="7"/>
  <c r="K62" i="7"/>
  <c r="H62" i="7"/>
  <c r="H60" i="7"/>
  <c r="K60" i="7" s="1"/>
  <c r="H58" i="7"/>
  <c r="K58" i="7" s="1"/>
  <c r="E54" i="7"/>
  <c r="E53" i="7"/>
  <c r="E52" i="7"/>
  <c r="E50" i="7"/>
  <c r="E49" i="7"/>
  <c r="E44" i="7"/>
  <c r="E43" i="7"/>
  <c r="E42" i="7"/>
  <c r="E41" i="7"/>
  <c r="E39" i="7"/>
  <c r="G35" i="7"/>
  <c r="F35" i="7"/>
  <c r="D35" i="7"/>
  <c r="C35" i="7"/>
  <c r="E33" i="7"/>
  <c r="E32" i="7"/>
  <c r="E30" i="7"/>
  <c r="E29" i="7"/>
  <c r="E28" i="7"/>
  <c r="E27" i="7"/>
  <c r="E25" i="7"/>
  <c r="E24" i="7"/>
  <c r="E23" i="7"/>
  <c r="E21" i="7"/>
  <c r="E20" i="7"/>
  <c r="E19" i="7"/>
  <c r="E18" i="7"/>
  <c r="E17" i="7"/>
  <c r="E15" i="7"/>
  <c r="F63" i="6"/>
  <c r="D63" i="6"/>
  <c r="C63" i="6"/>
  <c r="I62" i="6"/>
  <c r="K62" i="6" s="1"/>
  <c r="I61" i="6"/>
  <c r="K61" i="6" s="1"/>
  <c r="I60" i="6"/>
  <c r="K60" i="6" s="1"/>
  <c r="I59" i="6"/>
  <c r="K59" i="6" s="1"/>
  <c r="I58" i="6"/>
  <c r="K58" i="6" s="1"/>
  <c r="I57" i="6"/>
  <c r="K57" i="6" s="1"/>
  <c r="G53" i="6"/>
  <c r="E53" i="6"/>
  <c r="E52" i="6"/>
  <c r="E50" i="6"/>
  <c r="G49" i="6"/>
  <c r="G63" i="6" s="1"/>
  <c r="E49" i="6"/>
  <c r="E48" i="6"/>
  <c r="E46" i="6"/>
  <c r="E44" i="6"/>
  <c r="H43" i="6"/>
  <c r="E43" i="6"/>
  <c r="E41" i="6"/>
  <c r="E39" i="6"/>
  <c r="G35" i="6"/>
  <c r="F35" i="6"/>
  <c r="F65" i="6" s="1"/>
  <c r="D35" i="6"/>
  <c r="D65" i="6" s="1"/>
  <c r="C35" i="6"/>
  <c r="E33" i="6"/>
  <c r="E32" i="6"/>
  <c r="E30" i="6"/>
  <c r="E29" i="6"/>
  <c r="E28" i="6"/>
  <c r="E27" i="6"/>
  <c r="E25" i="6"/>
  <c r="E24" i="6"/>
  <c r="E23" i="6"/>
  <c r="E21" i="6"/>
  <c r="E20" i="6"/>
  <c r="E19" i="6"/>
  <c r="E18" i="6"/>
  <c r="E16" i="6"/>
  <c r="G51" i="5"/>
  <c r="F51" i="5"/>
  <c r="C51" i="5"/>
  <c r="K50" i="5"/>
  <c r="K48" i="5"/>
  <c r="H45" i="5" s="1"/>
  <c r="D45" i="5"/>
  <c r="D51" i="5" s="1"/>
  <c r="E43" i="5"/>
  <c r="E42" i="5"/>
  <c r="E41" i="5"/>
  <c r="E40" i="5"/>
  <c r="E38" i="5"/>
  <c r="G34" i="5"/>
  <c r="G53" i="5" s="1"/>
  <c r="G55" i="5" s="1"/>
  <c r="F34" i="5"/>
  <c r="D34" i="5"/>
  <c r="D53" i="5" s="1"/>
  <c r="C34" i="5"/>
  <c r="C53" i="5" s="1"/>
  <c r="E32" i="5"/>
  <c r="E31" i="5"/>
  <c r="E29" i="5"/>
  <c r="E28" i="5"/>
  <c r="E27" i="5"/>
  <c r="E26" i="5"/>
  <c r="E24" i="5"/>
  <c r="E23" i="5"/>
  <c r="E22" i="5"/>
  <c r="E20" i="5"/>
  <c r="E19" i="5"/>
  <c r="E18" i="5"/>
  <c r="E17" i="5"/>
  <c r="E15" i="5"/>
  <c r="G45" i="4"/>
  <c r="F45" i="4"/>
  <c r="D45" i="4"/>
  <c r="C45" i="4"/>
  <c r="E44" i="4"/>
  <c r="E43" i="4"/>
  <c r="E42" i="4"/>
  <c r="E41" i="4"/>
  <c r="E39" i="4"/>
  <c r="G35" i="4"/>
  <c r="F35" i="4"/>
  <c r="F47" i="4" s="1"/>
  <c r="D35" i="4"/>
  <c r="C35" i="4"/>
  <c r="C47" i="4" s="1"/>
  <c r="C49" i="4" s="1"/>
  <c r="E33" i="4"/>
  <c r="E32" i="4"/>
  <c r="E31" i="4"/>
  <c r="E29" i="4"/>
  <c r="E28" i="4"/>
  <c r="E27" i="4"/>
  <c r="E26" i="4"/>
  <c r="E24" i="4"/>
  <c r="E23" i="4"/>
  <c r="E22" i="4"/>
  <c r="E20" i="4"/>
  <c r="E19" i="4"/>
  <c r="E18" i="4"/>
  <c r="E17" i="4"/>
  <c r="E15" i="4"/>
  <c r="G246" i="3"/>
  <c r="F246" i="3"/>
  <c r="F248" i="3" s="1"/>
  <c r="E246" i="3"/>
  <c r="E248" i="3" s="1"/>
  <c r="D246" i="3"/>
  <c r="D248" i="3" s="1"/>
  <c r="C246" i="3"/>
  <c r="C248" i="3" s="1"/>
  <c r="G238" i="3"/>
  <c r="G240" i="3" s="1"/>
  <c r="F238" i="3"/>
  <c r="F240" i="3" s="1"/>
  <c r="E238" i="3"/>
  <c r="D238" i="3"/>
  <c r="D240" i="3" s="1"/>
  <c r="C238" i="3"/>
  <c r="C240" i="3" s="1"/>
  <c r="G212" i="3"/>
  <c r="G214" i="3" s="1"/>
  <c r="G216" i="3" s="1"/>
  <c r="F212" i="3"/>
  <c r="F214" i="3" s="1"/>
  <c r="D212" i="3"/>
  <c r="D214" i="3" s="1"/>
  <c r="D216" i="3" s="1"/>
  <c r="C212" i="3"/>
  <c r="C214" i="3" s="1"/>
  <c r="C216" i="3" s="1"/>
  <c r="E207" i="3"/>
  <c r="E183" i="3"/>
  <c r="F167" i="3"/>
  <c r="D167" i="3"/>
  <c r="C167" i="3"/>
  <c r="G159" i="3"/>
  <c r="G167" i="3" s="1"/>
  <c r="E159" i="3"/>
  <c r="E167" i="3" s="1"/>
  <c r="G153" i="3"/>
  <c r="G155" i="3" s="1"/>
  <c r="F153" i="3"/>
  <c r="F155" i="3" s="1"/>
  <c r="D153" i="3"/>
  <c r="D155" i="3" s="1"/>
  <c r="C153" i="3"/>
  <c r="C155" i="3" s="1"/>
  <c r="E151" i="3"/>
  <c r="E153" i="3" s="1"/>
  <c r="E155" i="3" s="1"/>
  <c r="E135" i="3"/>
  <c r="F134" i="3"/>
  <c r="D134" i="3"/>
  <c r="C134" i="3"/>
  <c r="G131" i="3"/>
  <c r="G128" i="3"/>
  <c r="E128" i="3"/>
  <c r="G125" i="3"/>
  <c r="E125" i="3"/>
  <c r="E118" i="3"/>
  <c r="G113" i="3"/>
  <c r="E113" i="3"/>
  <c r="G111" i="3"/>
  <c r="G104" i="3"/>
  <c r="E104" i="3"/>
  <c r="G100" i="3"/>
  <c r="E100" i="3"/>
  <c r="G97" i="3"/>
  <c r="E97" i="3"/>
  <c r="F88" i="3"/>
  <c r="F90" i="3" s="1"/>
  <c r="D88" i="3"/>
  <c r="D90" i="3" s="1"/>
  <c r="C88" i="3"/>
  <c r="C90" i="3" s="1"/>
  <c r="G85" i="3"/>
  <c r="E85" i="3"/>
  <c r="K83" i="3"/>
  <c r="G83" i="3"/>
  <c r="J81" i="3"/>
  <c r="K81" i="3" s="1"/>
  <c r="E81" i="3"/>
  <c r="E88" i="3" s="1"/>
  <c r="G65" i="3"/>
  <c r="F65" i="3"/>
  <c r="E65" i="3"/>
  <c r="D65" i="3"/>
  <c r="C65" i="3"/>
  <c r="F57" i="3"/>
  <c r="F59" i="3" s="1"/>
  <c r="D57" i="3"/>
  <c r="D59" i="3" s="1"/>
  <c r="D67" i="3" s="1"/>
  <c r="C57" i="3"/>
  <c r="C59" i="3" s="1"/>
  <c r="E56" i="3"/>
  <c r="K55" i="3"/>
  <c r="K54" i="3"/>
  <c r="K51" i="3"/>
  <c r="K50" i="3"/>
  <c r="I49" i="3"/>
  <c r="K49" i="3" s="1"/>
  <c r="I48" i="3"/>
  <c r="K48" i="3" s="1"/>
  <c r="I47" i="3"/>
  <c r="K47" i="3" s="1"/>
  <c r="K42" i="3"/>
  <c r="E38" i="3"/>
  <c r="E37" i="3"/>
  <c r="E36" i="3"/>
  <c r="E35" i="3"/>
  <c r="H34" i="3"/>
  <c r="E34" i="3"/>
  <c r="E33" i="3"/>
  <c r="E32" i="3"/>
  <c r="E31" i="3"/>
  <c r="E30" i="3"/>
  <c r="E29" i="3"/>
  <c r="E26" i="3"/>
  <c r="E24" i="3"/>
  <c r="G15" i="3"/>
  <c r="G57" i="3" s="1"/>
  <c r="G59" i="3" s="1"/>
  <c r="E15" i="3"/>
  <c r="E14" i="3"/>
  <c r="E13" i="3"/>
  <c r="F141" i="2"/>
  <c r="D141" i="2"/>
  <c r="C141" i="2"/>
  <c r="E139" i="2"/>
  <c r="E141" i="2" s="1"/>
  <c r="G133" i="2"/>
  <c r="G141" i="2" s="1"/>
  <c r="F127" i="2"/>
  <c r="D127" i="2"/>
  <c r="C127" i="2"/>
  <c r="E126" i="2"/>
  <c r="G125" i="2"/>
  <c r="G127" i="2" s="1"/>
  <c r="E125" i="2"/>
  <c r="E124" i="2"/>
  <c r="D117" i="2"/>
  <c r="C117" i="2"/>
  <c r="K115" i="2"/>
  <c r="J113" i="2"/>
  <c r="K113" i="2" s="1"/>
  <c r="K111" i="2"/>
  <c r="J109" i="2"/>
  <c r="K109" i="2" s="1"/>
  <c r="J107" i="2"/>
  <c r="K107" i="2" s="1"/>
  <c r="J105" i="2"/>
  <c r="K105" i="2" s="1"/>
  <c r="J103" i="2"/>
  <c r="K103" i="2" s="1"/>
  <c r="E101" i="2"/>
  <c r="E100" i="2"/>
  <c r="E99" i="2"/>
  <c r="E97" i="2"/>
  <c r="E96" i="2"/>
  <c r="E95" i="2"/>
  <c r="E94" i="2"/>
  <c r="E93" i="2"/>
  <c r="E92" i="2"/>
  <c r="E91" i="2"/>
  <c r="E90" i="2"/>
  <c r="E89" i="2"/>
  <c r="H88" i="2"/>
  <c r="E88" i="2"/>
  <c r="E87" i="2"/>
  <c r="E86" i="2"/>
  <c r="E85" i="2"/>
  <c r="E84" i="2"/>
  <c r="E83" i="2"/>
  <c r="E82" i="2"/>
  <c r="H80" i="2"/>
  <c r="E80" i="2"/>
  <c r="E77" i="2"/>
  <c r="H76" i="2"/>
  <c r="E76" i="2"/>
  <c r="E75" i="2"/>
  <c r="E74" i="2"/>
  <c r="E72" i="2"/>
  <c r="E71" i="2"/>
  <c r="E70" i="2"/>
  <c r="E69" i="2"/>
  <c r="E67" i="2"/>
  <c r="E66" i="2"/>
  <c r="E65" i="2"/>
  <c r="E64" i="2"/>
  <c r="E62" i="2"/>
  <c r="G58" i="2"/>
  <c r="F58" i="2"/>
  <c r="F117" i="2" s="1"/>
  <c r="E56" i="2"/>
  <c r="G54" i="2"/>
  <c r="E54" i="2"/>
  <c r="E53" i="2"/>
  <c r="E51" i="2"/>
  <c r="E50" i="2"/>
  <c r="E49" i="2"/>
  <c r="E48" i="2"/>
  <c r="E47" i="2"/>
  <c r="E45" i="2"/>
  <c r="E43" i="2"/>
  <c r="E42" i="2"/>
  <c r="F38" i="2"/>
  <c r="D38" i="2"/>
  <c r="C38" i="2"/>
  <c r="G37" i="2"/>
  <c r="G38" i="2" s="1"/>
  <c r="E36" i="2"/>
  <c r="E35" i="2"/>
  <c r="E34" i="2"/>
  <c r="E32" i="2"/>
  <c r="E31" i="2"/>
  <c r="E30" i="2"/>
  <c r="E29" i="2"/>
  <c r="E27" i="2"/>
  <c r="E26" i="2"/>
  <c r="E25" i="2"/>
  <c r="E23" i="2"/>
  <c r="E22" i="2"/>
  <c r="E21" i="2"/>
  <c r="E20" i="2"/>
  <c r="E19" i="2"/>
  <c r="E18" i="2"/>
  <c r="E16" i="2"/>
  <c r="H29" i="66" l="1"/>
  <c r="I29" i="66" s="1"/>
  <c r="H59" i="52"/>
  <c r="G75" i="52"/>
  <c r="G77" i="52" s="1"/>
  <c r="D63" i="14"/>
  <c r="D65" i="14" s="1"/>
  <c r="D83" i="11"/>
  <c r="G63" i="10"/>
  <c r="G66" i="7"/>
  <c r="G77" i="7" s="1"/>
  <c r="E39" i="66"/>
  <c r="E41" i="66" s="1"/>
  <c r="E52" i="66" s="1"/>
  <c r="C52" i="66"/>
  <c r="G52" i="66"/>
  <c r="K37" i="65"/>
  <c r="E38" i="65"/>
  <c r="E40" i="65" s="1"/>
  <c r="E42" i="65" s="1"/>
  <c r="K58" i="64"/>
  <c r="E37" i="64"/>
  <c r="C71" i="64"/>
  <c r="C81" i="64" s="1"/>
  <c r="E69" i="64"/>
  <c r="F71" i="64"/>
  <c r="F81" i="64" s="1"/>
  <c r="G71" i="64"/>
  <c r="G81" i="64" s="1"/>
  <c r="E89" i="63"/>
  <c r="F91" i="63"/>
  <c r="F93" i="63" s="1"/>
  <c r="I53" i="63"/>
  <c r="J53" i="63" s="1"/>
  <c r="C91" i="63"/>
  <c r="C93" i="63" s="1"/>
  <c r="D72" i="62"/>
  <c r="F72" i="62"/>
  <c r="K125" i="61"/>
  <c r="F157" i="61"/>
  <c r="H43" i="61"/>
  <c r="E37" i="61"/>
  <c r="E135" i="61" s="1"/>
  <c r="E157" i="61" s="1"/>
  <c r="E133" i="61"/>
  <c r="G133" i="61"/>
  <c r="G135" i="61" s="1"/>
  <c r="G157" i="61" s="1"/>
  <c r="C135" i="61"/>
  <c r="C157" i="61" s="1"/>
  <c r="K118" i="61"/>
  <c r="K106" i="61" s="1"/>
  <c r="I93" i="61" s="1"/>
  <c r="F54" i="60"/>
  <c r="F56" i="60" s="1"/>
  <c r="E52" i="60"/>
  <c r="E54" i="60" s="1"/>
  <c r="E56" i="60" s="1"/>
  <c r="D58" i="59"/>
  <c r="F58" i="59"/>
  <c r="F60" i="59" s="1"/>
  <c r="E36" i="59"/>
  <c r="D60" i="59"/>
  <c r="C58" i="59"/>
  <c r="C60" i="59" s="1"/>
  <c r="G58" i="59"/>
  <c r="G60" i="59" s="1"/>
  <c r="E56" i="59"/>
  <c r="E58" i="59" s="1"/>
  <c r="E60" i="59" s="1"/>
  <c r="C148" i="68"/>
  <c r="D148" i="68"/>
  <c r="E148" i="68"/>
  <c r="F148" i="68"/>
  <c r="G148" i="68"/>
  <c r="E109" i="58"/>
  <c r="E111" i="58" s="1"/>
  <c r="E113" i="58" s="1"/>
  <c r="F148" i="58"/>
  <c r="H103" i="58"/>
  <c r="G148" i="58"/>
  <c r="H22" i="58"/>
  <c r="H70" i="58"/>
  <c r="E137" i="58"/>
  <c r="E139" i="58" s="1"/>
  <c r="E148" i="58" s="1"/>
  <c r="F150" i="57"/>
  <c r="F165" i="57" s="1"/>
  <c r="G150" i="57"/>
  <c r="G165" i="57" s="1"/>
  <c r="D150" i="57"/>
  <c r="D165" i="57" s="1"/>
  <c r="E38" i="57"/>
  <c r="H71" i="57"/>
  <c r="C150" i="57"/>
  <c r="C165" i="57" s="1"/>
  <c r="E163" i="57"/>
  <c r="C72" i="56"/>
  <c r="C85" i="56" s="1"/>
  <c r="H55" i="56"/>
  <c r="E83" i="56"/>
  <c r="D72" i="56"/>
  <c r="D85" i="56" s="1"/>
  <c r="E37" i="56"/>
  <c r="F85" i="56"/>
  <c r="E70" i="56"/>
  <c r="G72" i="56"/>
  <c r="G85" i="56" s="1"/>
  <c r="E75" i="55"/>
  <c r="E77" i="55" s="1"/>
  <c r="N74" i="55"/>
  <c r="D79" i="55"/>
  <c r="C178" i="54"/>
  <c r="E176" i="54"/>
  <c r="C190" i="54"/>
  <c r="E38" i="54"/>
  <c r="E41" i="52"/>
  <c r="E73" i="52"/>
  <c r="M156" i="51"/>
  <c r="D168" i="51"/>
  <c r="F160" i="51"/>
  <c r="F168" i="51" s="1"/>
  <c r="M125" i="51"/>
  <c r="G158" i="51"/>
  <c r="G160" i="51" s="1"/>
  <c r="G168" i="51" s="1"/>
  <c r="M116" i="51"/>
  <c r="M157" i="51"/>
  <c r="E38" i="51"/>
  <c r="C160" i="51"/>
  <c r="C168" i="51" s="1"/>
  <c r="E158" i="51"/>
  <c r="E166" i="51"/>
  <c r="E47" i="50"/>
  <c r="E49" i="50" s="1"/>
  <c r="E51" i="50" s="1"/>
  <c r="H26" i="49"/>
  <c r="E41" i="49"/>
  <c r="E43" i="49" s="1"/>
  <c r="E72" i="49"/>
  <c r="E74" i="49" s="1"/>
  <c r="E76" i="49" s="1"/>
  <c r="H85" i="48"/>
  <c r="H115" i="48"/>
  <c r="D134" i="48"/>
  <c r="H152" i="48"/>
  <c r="H23" i="48"/>
  <c r="G47" i="48"/>
  <c r="F134" i="48"/>
  <c r="E157" i="48"/>
  <c r="E159" i="48" s="1"/>
  <c r="E161" i="48" s="1"/>
  <c r="C47" i="48"/>
  <c r="E45" i="48"/>
  <c r="D47" i="48"/>
  <c r="E124" i="48"/>
  <c r="E126" i="48" s="1"/>
  <c r="G134" i="48"/>
  <c r="E193" i="48"/>
  <c r="E195" i="48" s="1"/>
  <c r="E197" i="48" s="1"/>
  <c r="E219" i="48"/>
  <c r="E221" i="48" s="1"/>
  <c r="E223" i="48" s="1"/>
  <c r="E37" i="48"/>
  <c r="E89" i="48"/>
  <c r="E91" i="48" s="1"/>
  <c r="E93" i="48" s="1"/>
  <c r="C134" i="48"/>
  <c r="E132" i="48"/>
  <c r="E42" i="47"/>
  <c r="E44" i="47" s="1"/>
  <c r="E46" i="47" s="1"/>
  <c r="E14" i="47"/>
  <c r="E16" i="47" s="1"/>
  <c r="E18" i="47" s="1"/>
  <c r="F118" i="46"/>
  <c r="F120" i="46" s="1"/>
  <c r="E116" i="46"/>
  <c r="E118" i="46" s="1"/>
  <c r="E120" i="46" s="1"/>
  <c r="D118" i="46"/>
  <c r="D120" i="46" s="1"/>
  <c r="F78" i="45"/>
  <c r="F80" i="45" s="1"/>
  <c r="C78" i="45"/>
  <c r="C80" i="45" s="1"/>
  <c r="E39" i="45"/>
  <c r="E78" i="45" s="1"/>
  <c r="E80" i="45" s="1"/>
  <c r="D78" i="45"/>
  <c r="D80" i="45" s="1"/>
  <c r="G78" i="45"/>
  <c r="G80" i="45" s="1"/>
  <c r="F73" i="44"/>
  <c r="F75" i="44" s="1"/>
  <c r="E39" i="44"/>
  <c r="C73" i="44"/>
  <c r="C75" i="44" s="1"/>
  <c r="E71" i="44"/>
  <c r="G72" i="43"/>
  <c r="G74" i="43" s="1"/>
  <c r="G76" i="43" s="1"/>
  <c r="G32" i="43"/>
  <c r="G34" i="43" s="1"/>
  <c r="G36" i="43" s="1"/>
  <c r="K28" i="43"/>
  <c r="K25" i="43" s="1"/>
  <c r="C76" i="43"/>
  <c r="G160" i="43"/>
  <c r="G162" i="43" s="1"/>
  <c r="G176" i="43" s="1"/>
  <c r="C176" i="43"/>
  <c r="G109" i="43"/>
  <c r="G111" i="43" s="1"/>
  <c r="E72" i="43"/>
  <c r="E74" i="43" s="1"/>
  <c r="E76" i="43" s="1"/>
  <c r="D176" i="43"/>
  <c r="E32" i="43"/>
  <c r="E34" i="43" s="1"/>
  <c r="E36" i="43" s="1"/>
  <c r="G119" i="43"/>
  <c r="E160" i="43"/>
  <c r="E162" i="43" s="1"/>
  <c r="E174" i="43"/>
  <c r="F239" i="42"/>
  <c r="D239" i="42"/>
  <c r="G239" i="42"/>
  <c r="G241" i="42" s="1"/>
  <c r="G285" i="42" s="1"/>
  <c r="E114" i="42"/>
  <c r="E130" i="42"/>
  <c r="F241" i="42"/>
  <c r="F285" i="42" s="1"/>
  <c r="C241" i="42"/>
  <c r="C285" i="42" s="1"/>
  <c r="J131" i="42"/>
  <c r="L131" i="42" s="1"/>
  <c r="E44" i="42"/>
  <c r="G35" i="40"/>
  <c r="G37" i="40" s="1"/>
  <c r="D35" i="40"/>
  <c r="D37" i="40" s="1"/>
  <c r="E33" i="40"/>
  <c r="E35" i="40" s="1"/>
  <c r="E37" i="40" s="1"/>
  <c r="E39" i="38"/>
  <c r="F80" i="38"/>
  <c r="C80" i="38"/>
  <c r="C89" i="38" s="1"/>
  <c r="E30" i="37"/>
  <c r="E32" i="37" s="1"/>
  <c r="E42" i="37" s="1"/>
  <c r="G42" i="37"/>
  <c r="C42" i="37"/>
  <c r="E65" i="36"/>
  <c r="D67" i="36"/>
  <c r="G67" i="36"/>
  <c r="N64" i="36"/>
  <c r="O64" i="36" s="1"/>
  <c r="E38" i="36"/>
  <c r="F67" i="36"/>
  <c r="F86" i="36" s="1"/>
  <c r="C67" i="36"/>
  <c r="C86" i="36" s="1"/>
  <c r="C70" i="35"/>
  <c r="D70" i="35"/>
  <c r="H52" i="35"/>
  <c r="F62" i="35"/>
  <c r="F70" i="35" s="1"/>
  <c r="E31" i="34"/>
  <c r="E33" i="34" s="1"/>
  <c r="E35" i="34" s="1"/>
  <c r="E28" i="33"/>
  <c r="F30" i="33"/>
  <c r="E30" i="33" s="1"/>
  <c r="D46" i="32"/>
  <c r="E21" i="32"/>
  <c r="E44" i="32"/>
  <c r="E55" i="31"/>
  <c r="G62" i="31"/>
  <c r="G76" i="31" s="1"/>
  <c r="E38" i="31"/>
  <c r="C62" i="31"/>
  <c r="C76" i="31" s="1"/>
  <c r="E97" i="29"/>
  <c r="E39" i="29"/>
  <c r="G93" i="29"/>
  <c r="C93" i="29"/>
  <c r="C105" i="29" s="1"/>
  <c r="D93" i="29"/>
  <c r="N90" i="29"/>
  <c r="F93" i="29"/>
  <c r="D105" i="29"/>
  <c r="E103" i="29"/>
  <c r="E39" i="27"/>
  <c r="E66" i="27"/>
  <c r="E75" i="27"/>
  <c r="E71" i="28"/>
  <c r="E39" i="28"/>
  <c r="K59" i="28"/>
  <c r="K56" i="28" s="1"/>
  <c r="C65" i="28"/>
  <c r="C73" i="28" s="1"/>
  <c r="D65" i="28"/>
  <c r="D73" i="28" s="1"/>
  <c r="G65" i="28"/>
  <c r="G73" i="28" s="1"/>
  <c r="G68" i="27"/>
  <c r="G77" i="27" s="1"/>
  <c r="C68" i="27"/>
  <c r="C77" i="27" s="1"/>
  <c r="D93" i="26"/>
  <c r="C93" i="26"/>
  <c r="E91" i="26"/>
  <c r="D112" i="26"/>
  <c r="H66" i="26"/>
  <c r="E38" i="26"/>
  <c r="G93" i="26"/>
  <c r="C23" i="25"/>
  <c r="E60" i="24"/>
  <c r="G62" i="24"/>
  <c r="E37" i="24"/>
  <c r="C62" i="24"/>
  <c r="C64" i="24" s="1"/>
  <c r="F62" i="24"/>
  <c r="F64" i="24" s="1"/>
  <c r="G66" i="22"/>
  <c r="C66" i="22"/>
  <c r="C74" i="22" s="1"/>
  <c r="D66" i="22"/>
  <c r="E66" i="22" s="1"/>
  <c r="E64" i="22"/>
  <c r="E78" i="21"/>
  <c r="G80" i="21"/>
  <c r="G88" i="21" s="1"/>
  <c r="J64" i="21"/>
  <c r="C80" i="21"/>
  <c r="C88" i="21" s="1"/>
  <c r="J44" i="21"/>
  <c r="D80" i="21"/>
  <c r="D88" i="21" s="1"/>
  <c r="E88" i="21" s="1"/>
  <c r="F58" i="20"/>
  <c r="G58" i="20"/>
  <c r="G67" i="20" s="1"/>
  <c r="D58" i="20"/>
  <c r="E58" i="20" s="1"/>
  <c r="G77" i="19"/>
  <c r="G85" i="19" s="1"/>
  <c r="C77" i="19"/>
  <c r="D77" i="19"/>
  <c r="D85" i="19" s="1"/>
  <c r="C85" i="19"/>
  <c r="E37" i="19"/>
  <c r="F77" i="19"/>
  <c r="C104" i="18"/>
  <c r="C106" i="18" s="1"/>
  <c r="C108" i="18" s="1"/>
  <c r="D106" i="18"/>
  <c r="D108" i="18" s="1"/>
  <c r="J104" i="18"/>
  <c r="F106" i="18"/>
  <c r="F108" i="18" s="1"/>
  <c r="E55" i="18"/>
  <c r="E104" i="18" s="1"/>
  <c r="E38" i="18"/>
  <c r="E38" i="17"/>
  <c r="G62" i="17"/>
  <c r="G72" i="17" s="1"/>
  <c r="D62" i="17"/>
  <c r="D72" i="17" s="1"/>
  <c r="E60" i="17"/>
  <c r="F62" i="17"/>
  <c r="C62" i="17"/>
  <c r="C72" i="17" s="1"/>
  <c r="E61" i="14"/>
  <c r="G63" i="14"/>
  <c r="G65" i="14" s="1"/>
  <c r="C63" i="14"/>
  <c r="C65" i="14" s="1"/>
  <c r="C69" i="13"/>
  <c r="C80" i="13" s="1"/>
  <c r="E35" i="13"/>
  <c r="F69" i="13"/>
  <c r="F80" i="13" s="1"/>
  <c r="D69" i="13"/>
  <c r="D80" i="13" s="1"/>
  <c r="G69" i="13"/>
  <c r="G80" i="13" s="1"/>
  <c r="E66" i="12"/>
  <c r="C68" i="12"/>
  <c r="C70" i="12" s="1"/>
  <c r="K81" i="11"/>
  <c r="E81" i="11"/>
  <c r="C83" i="11"/>
  <c r="C96" i="11" s="1"/>
  <c r="E63" i="10"/>
  <c r="E69" i="10"/>
  <c r="C63" i="10"/>
  <c r="G71" i="10"/>
  <c r="D63" i="10"/>
  <c r="D71" i="10" s="1"/>
  <c r="E82" i="9"/>
  <c r="E84" i="9" s="1"/>
  <c r="E86" i="9" s="1"/>
  <c r="E35" i="9"/>
  <c r="C59" i="9"/>
  <c r="C61" i="9" s="1"/>
  <c r="D84" i="9"/>
  <c r="D86" i="9" s="1"/>
  <c r="F59" i="9"/>
  <c r="F61" i="9" s="1"/>
  <c r="D59" i="9"/>
  <c r="D61" i="9" s="1"/>
  <c r="G86" i="9"/>
  <c r="G59" i="9"/>
  <c r="G61" i="9" s="1"/>
  <c r="C84" i="9"/>
  <c r="C86" i="9" s="1"/>
  <c r="C56" i="8"/>
  <c r="G54" i="8"/>
  <c r="D56" i="8"/>
  <c r="D64" i="8" s="1"/>
  <c r="F64" i="8"/>
  <c r="E35" i="7"/>
  <c r="C66" i="7"/>
  <c r="C77" i="7" s="1"/>
  <c r="H54" i="7"/>
  <c r="D66" i="7"/>
  <c r="D77" i="7" s="1"/>
  <c r="E75" i="7"/>
  <c r="F66" i="7"/>
  <c r="F77" i="7" s="1"/>
  <c r="E34" i="5"/>
  <c r="C55" i="5"/>
  <c r="E45" i="4"/>
  <c r="D47" i="4"/>
  <c r="D49" i="4" s="1"/>
  <c r="G47" i="4"/>
  <c r="G49" i="4" s="1"/>
  <c r="E212" i="3"/>
  <c r="H53" i="3"/>
  <c r="C65" i="6"/>
  <c r="C67" i="6" s="1"/>
  <c r="D67" i="6"/>
  <c r="E63" i="6"/>
  <c r="N1600" i="16"/>
  <c r="M1532" i="16"/>
  <c r="G1488" i="16"/>
  <c r="E353" i="16"/>
  <c r="E355" i="16" s="1"/>
  <c r="F355" i="16"/>
  <c r="D1036" i="16"/>
  <c r="D1089" i="16"/>
  <c r="C1036" i="16"/>
  <c r="C1136" i="16"/>
  <c r="E1559" i="16"/>
  <c r="E1219" i="16"/>
  <c r="N1210" i="16"/>
  <c r="O1210" i="16" s="1"/>
  <c r="D1422" i="16"/>
  <c r="D1424" i="16" s="1"/>
  <c r="D1426" i="16" s="1"/>
  <c r="G616" i="16"/>
  <c r="D1014" i="16"/>
  <c r="C1221" i="16"/>
  <c r="C1426" i="16"/>
  <c r="C1488" i="16"/>
  <c r="C616" i="16"/>
  <c r="E1278" i="16"/>
  <c r="E1486" i="16"/>
  <c r="G1636" i="16"/>
  <c r="F1569" i="16"/>
  <c r="E37" i="35"/>
  <c r="E60" i="35"/>
  <c r="F119" i="2"/>
  <c r="D119" i="2"/>
  <c r="D143" i="2" s="1"/>
  <c r="C119" i="2"/>
  <c r="C143" i="2" s="1"/>
  <c r="E38" i="2"/>
  <c r="G117" i="2"/>
  <c r="G119" i="2" s="1"/>
  <c r="G143" i="2" s="1"/>
  <c r="E127" i="2"/>
  <c r="E57" i="3"/>
  <c r="G88" i="3"/>
  <c r="G90" i="3" s="1"/>
  <c r="G134" i="3"/>
  <c r="G169" i="3"/>
  <c r="C136" i="3"/>
  <c r="C169" i="3"/>
  <c r="E240" i="3"/>
  <c r="G67" i="3"/>
  <c r="D169" i="3"/>
  <c r="H45" i="3"/>
  <c r="E134" i="3"/>
  <c r="C67" i="3"/>
  <c r="E169" i="3"/>
  <c r="F169" i="3"/>
  <c r="K40" i="62"/>
  <c r="E72" i="62"/>
  <c r="G70" i="62"/>
  <c r="G49" i="62"/>
  <c r="G51" i="62" s="1"/>
  <c r="C72" i="62"/>
  <c r="E306" i="16"/>
  <c r="E308" i="16" s="1"/>
  <c r="E310" i="16" s="1"/>
  <c r="N467" i="16"/>
  <c r="D106" i="16"/>
  <c r="D108" i="16" s="1"/>
  <c r="D110" i="16" s="1"/>
  <c r="D905" i="16"/>
  <c r="N194" i="16"/>
  <c r="O194" i="16" s="1"/>
  <c r="C472" i="16"/>
  <c r="F533" i="16"/>
  <c r="F535" i="16" s="1"/>
  <c r="E535" i="16" s="1"/>
  <c r="G663" i="16"/>
  <c r="N1376" i="16"/>
  <c r="O1376" i="16" s="1"/>
  <c r="K948" i="16"/>
  <c r="E195" i="16"/>
  <c r="E29" i="16"/>
  <c r="E224" i="16"/>
  <c r="F663" i="16"/>
  <c r="N1084" i="16"/>
  <c r="O1084" i="16" s="1"/>
  <c r="E1342" i="16"/>
  <c r="N1402" i="16"/>
  <c r="O1402" i="16" s="1"/>
  <c r="G1569" i="16"/>
  <c r="I1569" i="16" s="1"/>
  <c r="E382" i="16"/>
  <c r="E1403" i="16"/>
  <c r="D472" i="16"/>
  <c r="N565" i="16"/>
  <c r="C663" i="16"/>
  <c r="G870" i="16"/>
  <c r="F1036" i="16"/>
  <c r="E1128" i="16"/>
  <c r="C1569" i="16"/>
  <c r="E1657" i="16"/>
  <c r="E1659" i="16" s="1"/>
  <c r="D601" i="16"/>
  <c r="D603" i="16" s="1"/>
  <c r="D616" i="16" s="1"/>
  <c r="G905" i="16"/>
  <c r="D1561" i="16"/>
  <c r="D1569" i="16" s="1"/>
  <c r="E820" i="16"/>
  <c r="N855" i="16"/>
  <c r="O855" i="16" s="1"/>
  <c r="E888" i="16"/>
  <c r="G1136" i="16"/>
  <c r="D1478" i="16"/>
  <c r="D1480" i="16" s="1"/>
  <c r="D1488" i="16" s="1"/>
  <c r="E1567" i="16"/>
  <c r="C1636" i="16"/>
  <c r="E60" i="16"/>
  <c r="E436" i="16"/>
  <c r="E468" i="16"/>
  <c r="E470" i="16" s="1"/>
  <c r="E566" i="16"/>
  <c r="N600" i="16"/>
  <c r="G795" i="16"/>
  <c r="G831" i="16"/>
  <c r="D831" i="16"/>
  <c r="D870" i="16"/>
  <c r="N894" i="16"/>
  <c r="O894" i="16" s="1"/>
  <c r="C1014" i="16"/>
  <c r="E1172" i="16"/>
  <c r="G1221" i="16"/>
  <c r="K1163" i="16" s="1"/>
  <c r="G1288" i="16"/>
  <c r="N1341" i="16"/>
  <c r="N1477" i="16"/>
  <c r="E1634" i="16"/>
  <c r="E391" i="16"/>
  <c r="E1679" i="16"/>
  <c r="D1344" i="16"/>
  <c r="D1346" i="16" s="1"/>
  <c r="E1346" i="16" s="1"/>
  <c r="E414" i="16"/>
  <c r="E784" i="16"/>
  <c r="C905" i="16"/>
  <c r="E1085" i="16"/>
  <c r="N1125" i="16"/>
  <c r="O1125" i="16" s="1"/>
  <c r="F1221" i="16"/>
  <c r="C393" i="16"/>
  <c r="C310" i="16"/>
  <c r="E531" i="16"/>
  <c r="N783" i="16"/>
  <c r="O783" i="16" s="1"/>
  <c r="F786" i="16"/>
  <c r="F795" i="16" s="1"/>
  <c r="E795" i="16" s="1"/>
  <c r="N819" i="16"/>
  <c r="O819" i="16" s="1"/>
  <c r="C831" i="16"/>
  <c r="F822" i="16"/>
  <c r="E822" i="16" s="1"/>
  <c r="F905" i="16"/>
  <c r="C1089" i="16"/>
  <c r="F1087" i="16"/>
  <c r="F1089" i="16" s="1"/>
  <c r="E1126" i="16"/>
  <c r="E1655" i="16"/>
  <c r="G1681" i="16"/>
  <c r="G1683" i="16" s="1"/>
  <c r="E59" i="3"/>
  <c r="F67" i="3"/>
  <c r="E67" i="3" s="1"/>
  <c r="F136" i="3"/>
  <c r="E90" i="3"/>
  <c r="E119" i="2"/>
  <c r="F143" i="2"/>
  <c r="D136" i="3"/>
  <c r="F216" i="3"/>
  <c r="E216" i="3" s="1"/>
  <c r="E214" i="3"/>
  <c r="E58" i="2"/>
  <c r="E117" i="2" s="1"/>
  <c r="G248" i="3"/>
  <c r="D55" i="5"/>
  <c r="G65" i="6"/>
  <c r="C71" i="10"/>
  <c r="E65" i="6"/>
  <c r="F67" i="6"/>
  <c r="G56" i="8"/>
  <c r="G64" i="8" s="1"/>
  <c r="C64" i="8"/>
  <c r="F49" i="4"/>
  <c r="E47" i="4"/>
  <c r="E49" i="4" s="1"/>
  <c r="J59" i="11"/>
  <c r="G83" i="11"/>
  <c r="G96" i="11" s="1"/>
  <c r="F96" i="11"/>
  <c r="E45" i="5"/>
  <c r="E51" i="5" s="1"/>
  <c r="F53" i="5"/>
  <c r="E53" i="5" s="1"/>
  <c r="E55" i="5" s="1"/>
  <c r="E67" i="13"/>
  <c r="F63" i="14"/>
  <c r="E162" i="16"/>
  <c r="F164" i="16"/>
  <c r="E164" i="16" s="1"/>
  <c r="E197" i="16"/>
  <c r="F199" i="16"/>
  <c r="E199" i="16" s="1"/>
  <c r="F329" i="16"/>
  <c r="E329" i="16" s="1"/>
  <c r="E327" i="16"/>
  <c r="E512" i="16"/>
  <c r="F514" i="16"/>
  <c r="E514" i="16" s="1"/>
  <c r="F616" i="16"/>
  <c r="E652" i="16"/>
  <c r="F730" i="16"/>
  <c r="E730" i="16" s="1"/>
  <c r="E728" i="16"/>
  <c r="F1014" i="16"/>
  <c r="E1012" i="16"/>
  <c r="G67" i="6"/>
  <c r="E64" i="7"/>
  <c r="E34" i="8"/>
  <c r="E50" i="9"/>
  <c r="E57" i="9" s="1"/>
  <c r="E59" i="9" s="1"/>
  <c r="E61" i="9" s="1"/>
  <c r="F63" i="10"/>
  <c r="F71" i="10" s="1"/>
  <c r="E71" i="10" s="1"/>
  <c r="F68" i="12"/>
  <c r="E493" i="16"/>
  <c r="F495" i="16"/>
  <c r="E495" i="16" s="1"/>
  <c r="E686" i="16"/>
  <c r="F688" i="16"/>
  <c r="E688" i="16" s="1"/>
  <c r="F937" i="16"/>
  <c r="E937" i="16" s="1"/>
  <c r="E935" i="16"/>
  <c r="E984" i="16"/>
  <c r="E1053" i="16"/>
  <c r="F1055" i="16"/>
  <c r="E1055" i="16" s="1"/>
  <c r="E35" i="4"/>
  <c r="E35" i="6"/>
  <c r="F84" i="9"/>
  <c r="F86" i="9" s="1"/>
  <c r="E33" i="11"/>
  <c r="E80" i="16"/>
  <c r="E82" i="16" s="1"/>
  <c r="F82" i="16"/>
  <c r="E568" i="16"/>
  <c r="F570" i="16"/>
  <c r="E570" i="16" s="1"/>
  <c r="E650" i="16"/>
  <c r="E858" i="16"/>
  <c r="E870" i="16" s="1"/>
  <c r="F870" i="16"/>
  <c r="E986" i="16"/>
  <c r="E137" i="16"/>
  <c r="F139" i="16"/>
  <c r="E139" i="16" s="1"/>
  <c r="D310" i="16"/>
  <c r="D663" i="16"/>
  <c r="E709" i="16"/>
  <c r="F711" i="16"/>
  <c r="E711" i="16" s="1"/>
  <c r="E897" i="16"/>
  <c r="E905" i="16" s="1"/>
  <c r="E958" i="16"/>
  <c r="F960" i="16"/>
  <c r="E960" i="16" s="1"/>
  <c r="F31" i="16"/>
  <c r="F64" i="16"/>
  <c r="E78" i="16"/>
  <c r="F108" i="16"/>
  <c r="E135" i="16"/>
  <c r="E160" i="16"/>
  <c r="E325" i="16"/>
  <c r="G510" i="16"/>
  <c r="G512" i="16" s="1"/>
  <c r="G514" i="16" s="1"/>
  <c r="E726" i="16"/>
  <c r="E755" i="16"/>
  <c r="E757" i="16" s="1"/>
  <c r="E933" i="16"/>
  <c r="E1034" i="16"/>
  <c r="E1245" i="16"/>
  <c r="F1247" i="16"/>
  <c r="E1407" i="16"/>
  <c r="D64" i="24"/>
  <c r="E67" i="36"/>
  <c r="F62" i="16"/>
  <c r="E62" i="16" s="1"/>
  <c r="C64" i="16"/>
  <c r="C112" i="16" s="1"/>
  <c r="G112" i="16"/>
  <c r="F226" i="16"/>
  <c r="E226" i="16" s="1"/>
  <c r="F308" i="16"/>
  <c r="F310" i="16" s="1"/>
  <c r="F416" i="16"/>
  <c r="F438" i="16"/>
  <c r="F470" i="16"/>
  <c r="F472" i="16" s="1"/>
  <c r="E684" i="16"/>
  <c r="E1010" i="16"/>
  <c r="E1051" i="16"/>
  <c r="D1136" i="16"/>
  <c r="D1213" i="16"/>
  <c r="D1221" i="16" s="1"/>
  <c r="E1211" i="16"/>
  <c r="F1424" i="16"/>
  <c r="E1443" i="16"/>
  <c r="F1445" i="16"/>
  <c r="G393" i="16"/>
  <c r="G384" i="16"/>
  <c r="D393" i="16"/>
  <c r="F72" i="17"/>
  <c r="E62" i="17"/>
  <c r="E72" i="17" s="1"/>
  <c r="G106" i="18"/>
  <c r="G108" i="18" s="1"/>
  <c r="F23" i="25"/>
  <c r="E21" i="25"/>
  <c r="D23" i="25"/>
  <c r="E42" i="25"/>
  <c r="F44" i="25"/>
  <c r="E44" i="25" s="1"/>
  <c r="G112" i="26"/>
  <c r="D76" i="31"/>
  <c r="G86" i="36"/>
  <c r="D64" i="16"/>
  <c r="E222" i="16"/>
  <c r="E491" i="16"/>
  <c r="E510" i="16"/>
  <c r="E643" i="16"/>
  <c r="E661" i="16"/>
  <c r="E707" i="16"/>
  <c r="E829" i="16"/>
  <c r="E856" i="16"/>
  <c r="E895" i="16"/>
  <c r="E923" i="16"/>
  <c r="E956" i="16"/>
  <c r="E1134" i="16"/>
  <c r="F1136" i="16"/>
  <c r="F1488" i="16"/>
  <c r="F85" i="19"/>
  <c r="D67" i="20"/>
  <c r="F74" i="22"/>
  <c r="C112" i="26"/>
  <c r="G684" i="16"/>
  <c r="G686" i="16" s="1"/>
  <c r="G688" i="16" s="1"/>
  <c r="E753" i="16"/>
  <c r="E982" i="16"/>
  <c r="E1032" i="16"/>
  <c r="N1277" i="16"/>
  <c r="E1280" i="16"/>
  <c r="F1288" i="16"/>
  <c r="E1288" i="16" s="1"/>
  <c r="E1311" i="16"/>
  <c r="F1313" i="16"/>
  <c r="E1313" i="16" s="1"/>
  <c r="F1379" i="16"/>
  <c r="F67" i="20"/>
  <c r="G74" i="22"/>
  <c r="E60" i="31"/>
  <c r="G62" i="35"/>
  <c r="G70" i="35" s="1"/>
  <c r="H64" i="26"/>
  <c r="F68" i="27"/>
  <c r="G97" i="29"/>
  <c r="F62" i="31"/>
  <c r="F46" i="32"/>
  <c r="C48" i="32"/>
  <c r="F38" i="33"/>
  <c r="E38" i="33" s="1"/>
  <c r="E84" i="36"/>
  <c r="E31" i="39"/>
  <c r="E33" i="39" s="1"/>
  <c r="E35" i="39" s="1"/>
  <c r="C55" i="41"/>
  <c r="C57" i="41" s="1"/>
  <c r="E95" i="42"/>
  <c r="D76" i="43"/>
  <c r="C121" i="43"/>
  <c r="E1309" i="16"/>
  <c r="E1405" i="16"/>
  <c r="D1619" i="16"/>
  <c r="F1636" i="16"/>
  <c r="F384" i="16"/>
  <c r="E384" i="16" s="1"/>
  <c r="F1659" i="16"/>
  <c r="E1681" i="16"/>
  <c r="E1683" i="16" s="1"/>
  <c r="E75" i="19"/>
  <c r="E38" i="21"/>
  <c r="E72" i="22"/>
  <c r="E19" i="25"/>
  <c r="E40" i="25"/>
  <c r="K91" i="26"/>
  <c r="F93" i="26"/>
  <c r="E93" i="26" s="1"/>
  <c r="E110" i="26"/>
  <c r="F65" i="28"/>
  <c r="F23" i="32"/>
  <c r="D86" i="36"/>
  <c r="E37" i="41"/>
  <c r="E55" i="41" s="1"/>
  <c r="E57" i="41" s="1"/>
  <c r="K185" i="42"/>
  <c r="D121" i="43"/>
  <c r="G118" i="46"/>
  <c r="G120" i="46" s="1"/>
  <c r="D1377" i="16"/>
  <c r="D1379" i="16" s="1"/>
  <c r="D1381" i="16" s="1"/>
  <c r="E38" i="22"/>
  <c r="E80" i="38"/>
  <c r="E89" i="38" s="1"/>
  <c r="E109" i="43"/>
  <c r="E111" i="43" s="1"/>
  <c r="E121" i="43" s="1"/>
  <c r="F176" i="43"/>
  <c r="E56" i="20"/>
  <c r="E65" i="20"/>
  <c r="E63" i="28"/>
  <c r="E91" i="29"/>
  <c r="F89" i="38"/>
  <c r="G55" i="41"/>
  <c r="G57" i="41" s="1"/>
  <c r="F55" i="41"/>
  <c r="F57" i="41" s="1"/>
  <c r="D241" i="42"/>
  <c r="D285" i="42" s="1"/>
  <c r="F121" i="43"/>
  <c r="G178" i="54"/>
  <c r="G190" i="54" s="1"/>
  <c r="E45" i="49"/>
  <c r="D190" i="54"/>
  <c r="F47" i="48"/>
  <c r="E39" i="48"/>
  <c r="K80" i="54"/>
  <c r="J74" i="54" s="1"/>
  <c r="F190" i="54"/>
  <c r="D148" i="58"/>
  <c r="E148" i="57"/>
  <c r="E41" i="58"/>
  <c r="E43" i="58" s="1"/>
  <c r="E45" i="58" s="1"/>
  <c r="H129" i="58"/>
  <c r="K54" i="63"/>
  <c r="G62" i="48"/>
  <c r="G64" i="48" s="1"/>
  <c r="G66" i="48" s="1"/>
  <c r="F18" i="55"/>
  <c r="F20" i="55" s="1"/>
  <c r="G16" i="55"/>
  <c r="G18" i="55" s="1"/>
  <c r="G20" i="55" s="1"/>
  <c r="E79" i="55"/>
  <c r="E83" i="58"/>
  <c r="E85" i="58" s="1"/>
  <c r="E87" i="58" s="1"/>
  <c r="I57" i="64"/>
  <c r="H30" i="65"/>
  <c r="E36" i="63"/>
  <c r="E91" i="63" s="1"/>
  <c r="E93" i="63" s="1"/>
  <c r="D71" i="64"/>
  <c r="D81" i="64" s="1"/>
  <c r="E83" i="11" l="1"/>
  <c r="D96" i="11"/>
  <c r="E96" i="11" s="1"/>
  <c r="E71" i="64"/>
  <c r="E81" i="64" s="1"/>
  <c r="G72" i="62"/>
  <c r="E150" i="57"/>
  <c r="E165" i="57" s="1"/>
  <c r="E72" i="56"/>
  <c r="E85" i="56" s="1"/>
  <c r="E178" i="54"/>
  <c r="E190" i="54" s="1"/>
  <c r="E75" i="52"/>
  <c r="E77" i="52" s="1"/>
  <c r="N157" i="51"/>
  <c r="E160" i="51"/>
  <c r="E168" i="51" s="1"/>
  <c r="E134" i="48"/>
  <c r="E47" i="48"/>
  <c r="E73" i="44"/>
  <c r="E75" i="44" s="1"/>
  <c r="G121" i="43"/>
  <c r="E176" i="43"/>
  <c r="K182" i="42"/>
  <c r="E239" i="42"/>
  <c r="E241" i="42" s="1"/>
  <c r="E285" i="42" s="1"/>
  <c r="E86" i="36"/>
  <c r="G105" i="29"/>
  <c r="E93" i="29"/>
  <c r="F105" i="29"/>
  <c r="E105" i="29" s="1"/>
  <c r="E23" i="25"/>
  <c r="E64" i="24"/>
  <c r="E62" i="24"/>
  <c r="D74" i="22"/>
  <c r="E74" i="22" s="1"/>
  <c r="E80" i="21"/>
  <c r="E77" i="19"/>
  <c r="E85" i="19"/>
  <c r="E106" i="18"/>
  <c r="E108" i="18" s="1"/>
  <c r="E80" i="13"/>
  <c r="E69" i="13"/>
  <c r="E56" i="8"/>
  <c r="E64" i="8" s="1"/>
  <c r="E77" i="7"/>
  <c r="E66" i="7"/>
  <c r="G136" i="3"/>
  <c r="E67" i="6"/>
  <c r="E1036" i="16"/>
  <c r="E1089" i="16"/>
  <c r="E603" i="16"/>
  <c r="E1221" i="16"/>
  <c r="E1561" i="16"/>
  <c r="E106" i="16"/>
  <c r="E1136" i="16"/>
  <c r="E1422" i="16"/>
  <c r="E601" i="16"/>
  <c r="E1488" i="16"/>
  <c r="E1569" i="16"/>
  <c r="F831" i="16"/>
  <c r="E831" i="16" s="1"/>
  <c r="E1014" i="16"/>
  <c r="E62" i="35"/>
  <c r="E70" i="35" s="1"/>
  <c r="E143" i="2"/>
  <c r="D112" i="16"/>
  <c r="E533" i="16"/>
  <c r="E1478" i="16"/>
  <c r="E1480" i="16"/>
  <c r="E1344" i="16"/>
  <c r="E1087" i="16"/>
  <c r="E472" i="16"/>
  <c r="E786" i="16"/>
  <c r="E663" i="16"/>
  <c r="E616" i="16"/>
  <c r="F393" i="16"/>
  <c r="E393" i="16" s="1"/>
  <c r="E1213" i="16"/>
  <c r="E108" i="16"/>
  <c r="F110" i="16"/>
  <c r="E110" i="16" s="1"/>
  <c r="F55" i="5"/>
  <c r="F73" i="28"/>
  <c r="E73" i="28" s="1"/>
  <c r="E65" i="28"/>
  <c r="E62" i="31"/>
  <c r="F76" i="31"/>
  <c r="E76" i="31" s="1"/>
  <c r="F1381" i="16"/>
  <c r="E1381" i="16" s="1"/>
  <c r="E1379" i="16"/>
  <c r="E67" i="20"/>
  <c r="E1377" i="16"/>
  <c r="F1447" i="16"/>
  <c r="E1445" i="16"/>
  <c r="E1447" i="16" s="1"/>
  <c r="F440" i="16"/>
  <c r="E440" i="16" s="1"/>
  <c r="E438" i="16"/>
  <c r="F112" i="26"/>
  <c r="E112" i="26" s="1"/>
  <c r="F70" i="12"/>
  <c r="E70" i="12" s="1"/>
  <c r="E68" i="12"/>
  <c r="E136" i="3"/>
  <c r="D1621" i="16"/>
  <c r="E1619" i="16"/>
  <c r="E68" i="27"/>
  <c r="F77" i="27"/>
  <c r="E77" i="27" s="1"/>
  <c r="F418" i="16"/>
  <c r="E418" i="16" s="1"/>
  <c r="E416" i="16"/>
  <c r="F1249" i="16"/>
  <c r="E1249" i="16" s="1"/>
  <c r="E1247" i="16"/>
  <c r="E64" i="16"/>
  <c r="F25" i="32"/>
  <c r="E25" i="32" s="1"/>
  <c r="E23" i="32"/>
  <c r="F48" i="32"/>
  <c r="E48" i="32" s="1"/>
  <c r="E46" i="32"/>
  <c r="F1426" i="16"/>
  <c r="E1426" i="16" s="1"/>
  <c r="E1424" i="16"/>
  <c r="E31" i="16"/>
  <c r="F33" i="16"/>
  <c r="E33" i="16" s="1"/>
  <c r="E63" i="14"/>
  <c r="F65" i="14"/>
  <c r="E65" i="14" s="1"/>
  <c r="F112" i="16" l="1"/>
  <c r="E112" i="16" s="1"/>
  <c r="D1636" i="16"/>
  <c r="E1636" i="16" s="1"/>
  <c r="E1621" i="16"/>
</calcChain>
</file>

<file path=xl/sharedStrings.xml><?xml version="1.0" encoding="utf-8"?>
<sst xmlns="http://schemas.openxmlformats.org/spreadsheetml/2006/main" count="10470" uniqueCount="2995">
  <si>
    <t xml:space="preserve">ACCOUNT TITLES </t>
  </si>
  <si>
    <t>ACCOUNT CODE</t>
  </si>
  <si>
    <t xml:space="preserve">Land </t>
  </si>
  <si>
    <t>1-07-01-010</t>
  </si>
  <si>
    <t xml:space="preserve">Land Improvements, Aquaculture Structures </t>
  </si>
  <si>
    <t>1-07-02-010</t>
  </si>
  <si>
    <t xml:space="preserve">Other Land Improvements </t>
  </si>
  <si>
    <t>1-07-02-990</t>
  </si>
  <si>
    <t xml:space="preserve">Road Networks </t>
  </si>
  <si>
    <t>1-07-03-010</t>
  </si>
  <si>
    <t xml:space="preserve">Flood Control Systems </t>
  </si>
  <si>
    <t>1-07-03-020</t>
  </si>
  <si>
    <t xml:space="preserve">Sewer Systems </t>
  </si>
  <si>
    <t>1-07-03-030</t>
  </si>
  <si>
    <t xml:space="preserve">Water Supply Systems </t>
  </si>
  <si>
    <t>1-07-03-040</t>
  </si>
  <si>
    <t xml:space="preserve">Power Supply Systems </t>
  </si>
  <si>
    <t>1-07-03-050</t>
  </si>
  <si>
    <t xml:space="preserve">Communication Networks </t>
  </si>
  <si>
    <t>1-07-03-060</t>
  </si>
  <si>
    <t xml:space="preserve">Seaport Systems </t>
  </si>
  <si>
    <t>1-07-03-070</t>
  </si>
  <si>
    <t>Airport Systems</t>
  </si>
  <si>
    <t>1-07-03-080</t>
  </si>
  <si>
    <t xml:space="preserve">Parks, Plazas and Monuments </t>
  </si>
  <si>
    <t>1-07-03-090</t>
  </si>
  <si>
    <t xml:space="preserve">Other Infrastructure Assets </t>
  </si>
  <si>
    <t>1-07-03-990</t>
  </si>
  <si>
    <t xml:space="preserve">Buildings  </t>
  </si>
  <si>
    <t>1-07-04-010</t>
  </si>
  <si>
    <t xml:space="preserve">School Buildings </t>
  </si>
  <si>
    <t>1-07-04-020</t>
  </si>
  <si>
    <t>Hospitals and Health Centers</t>
  </si>
  <si>
    <t>1-07-04-030</t>
  </si>
  <si>
    <t xml:space="preserve">Markets </t>
  </si>
  <si>
    <t>1-07-04-040</t>
  </si>
  <si>
    <t xml:space="preserve">Slaughterhouses </t>
  </si>
  <si>
    <t>1-07-04-050</t>
  </si>
  <si>
    <t>Hostels and Dormitories</t>
  </si>
  <si>
    <t>1-07-04-060</t>
  </si>
  <si>
    <t xml:space="preserve">Other Structures </t>
  </si>
  <si>
    <t>1-07-04-990</t>
  </si>
  <si>
    <t xml:space="preserve">Machinery  </t>
  </si>
  <si>
    <t>1-07-05-010</t>
  </si>
  <si>
    <t xml:space="preserve">Office Equipment </t>
  </si>
  <si>
    <t>1-07-05-020</t>
  </si>
  <si>
    <t xml:space="preserve">Information and Communication Technology Equipment </t>
  </si>
  <si>
    <t>1-07-05-030</t>
  </si>
  <si>
    <t xml:space="preserve">Other Information and Communication Technology Equipment </t>
  </si>
  <si>
    <t>1-07-05-030-99</t>
  </si>
  <si>
    <t xml:space="preserve">Agricultural and Forestry Equipment </t>
  </si>
  <si>
    <t>1-07-05-040</t>
  </si>
  <si>
    <t>1-07-05-070</t>
  </si>
  <si>
    <t xml:space="preserve">Marine and Fishery Equipment </t>
  </si>
  <si>
    <t>1-07-05-050</t>
  </si>
  <si>
    <t>1-07-06-010</t>
  </si>
  <si>
    <t xml:space="preserve">Airport Equipment </t>
  </si>
  <si>
    <t>1-07-05-060</t>
  </si>
  <si>
    <t xml:space="preserve">Communication Equipment </t>
  </si>
  <si>
    <t>Construction and Heavy Equipment</t>
  </si>
  <si>
    <t>1-07-05-080</t>
  </si>
  <si>
    <t xml:space="preserve">Disaster Response and Rescue Equipment </t>
  </si>
  <si>
    <t>1-07-05-090</t>
  </si>
  <si>
    <t xml:space="preserve">Military, Police and Security Equipment </t>
  </si>
  <si>
    <t>1-07-05-100</t>
  </si>
  <si>
    <t>Medical Equipment</t>
  </si>
  <si>
    <t>1-07-05-110</t>
  </si>
  <si>
    <t xml:space="preserve">Printing Equipment </t>
  </si>
  <si>
    <t>1-07-05-120</t>
  </si>
  <si>
    <t xml:space="preserve">Sports Equipment </t>
  </si>
  <si>
    <t>1-07-05-130</t>
  </si>
  <si>
    <t xml:space="preserve">Technical and Scientific Equipment </t>
  </si>
  <si>
    <t>1-07-05-140</t>
  </si>
  <si>
    <t xml:space="preserve">Other Machinery and Equipment </t>
  </si>
  <si>
    <t>1-07-05-990</t>
  </si>
  <si>
    <t xml:space="preserve">Motor Vehicles </t>
  </si>
  <si>
    <t>Trains</t>
  </si>
  <si>
    <t>1-07-06-020</t>
  </si>
  <si>
    <t xml:space="preserve">Aircrafts and Aircrafts Ground Equipment </t>
  </si>
  <si>
    <t>1-07-06-030</t>
  </si>
  <si>
    <t xml:space="preserve">Watercrafts </t>
  </si>
  <si>
    <t>1-07-06-040</t>
  </si>
  <si>
    <t xml:space="preserve">Other Transportation Equipment </t>
  </si>
  <si>
    <t>1-07-06-990</t>
  </si>
  <si>
    <t xml:space="preserve">Furniture and Fixtures </t>
  </si>
  <si>
    <t>1-07-07-010</t>
  </si>
  <si>
    <t xml:space="preserve">Books </t>
  </si>
  <si>
    <t>1-07-07-020</t>
  </si>
  <si>
    <t xml:space="preserve">Leased Assets, Land </t>
  </si>
  <si>
    <t>1-07-08-010</t>
  </si>
  <si>
    <t xml:space="preserve">Leased Assets, Buildings and Other Structures </t>
  </si>
  <si>
    <t>1-07-08-020</t>
  </si>
  <si>
    <t xml:space="preserve">Leased Assets, Machinery and Equipment </t>
  </si>
  <si>
    <t>1-07-08-030</t>
  </si>
  <si>
    <t xml:space="preserve">Leased Assets, Transportation Equipment </t>
  </si>
  <si>
    <t>1-07-08-040</t>
  </si>
  <si>
    <t>Other Leased Assets</t>
  </si>
  <si>
    <t>1-07-08-990</t>
  </si>
  <si>
    <t xml:space="preserve">Leased Assets Improvements, Land </t>
  </si>
  <si>
    <t>1-07-09-010</t>
  </si>
  <si>
    <t xml:space="preserve">Leased Assets Improvements, Buildings </t>
  </si>
  <si>
    <t>1-07-09-020</t>
  </si>
  <si>
    <t>Other Leased Assets Improvements</t>
  </si>
  <si>
    <t>1-07-09-990</t>
  </si>
  <si>
    <t xml:space="preserve">Work/Zoo Animals </t>
  </si>
  <si>
    <t>1-07-99-010</t>
  </si>
  <si>
    <t xml:space="preserve">Other Property, Plant and Equipment </t>
  </si>
  <si>
    <t>1-07-99-990</t>
  </si>
  <si>
    <t xml:space="preserve">Breeding Stocks </t>
  </si>
  <si>
    <t>1-08-01-010</t>
  </si>
  <si>
    <t>Plants and Trees</t>
  </si>
  <si>
    <t>1-08-01-020</t>
  </si>
  <si>
    <t>Aquaculture</t>
  </si>
  <si>
    <t>1-08-01-030</t>
  </si>
  <si>
    <t>Other Bearer Biological Assets</t>
  </si>
  <si>
    <t>1-08-01-040</t>
  </si>
  <si>
    <t xml:space="preserve">Patents/Copyrights </t>
  </si>
  <si>
    <t>1-09-01-010</t>
  </si>
  <si>
    <t xml:space="preserve">Computer Software </t>
  </si>
  <si>
    <t>1-09-01-020</t>
  </si>
  <si>
    <t xml:space="preserve">Salaries and Wages - Regular </t>
  </si>
  <si>
    <t>5-01-01-010</t>
  </si>
  <si>
    <t xml:space="preserve">Salaries and Wages - Casual/Contractual </t>
  </si>
  <si>
    <t>5-01-01-020</t>
  </si>
  <si>
    <t>Personnel Economic Relief Allowance (PERA)</t>
  </si>
  <si>
    <t>5-01-02-010</t>
  </si>
  <si>
    <t xml:space="preserve">Representation Allowance (RA) </t>
  </si>
  <si>
    <t>5-01-02-020</t>
  </si>
  <si>
    <t xml:space="preserve">Transportation Allowance (TA) </t>
  </si>
  <si>
    <t xml:space="preserve"> 5-01-02-030</t>
  </si>
  <si>
    <t xml:space="preserve">Clothing/Uniform Allowance </t>
  </si>
  <si>
    <t>5-01-02-040</t>
  </si>
  <si>
    <t xml:space="preserve">Subsistence Allowance </t>
  </si>
  <si>
    <t>5-01-02-050</t>
  </si>
  <si>
    <t xml:space="preserve">Laundry Allowance </t>
  </si>
  <si>
    <t>5-01-02-060</t>
  </si>
  <si>
    <t xml:space="preserve">Quarters Allowance </t>
  </si>
  <si>
    <t>5-01-02-070</t>
  </si>
  <si>
    <t xml:space="preserve">Productivity Incentive Allowance </t>
  </si>
  <si>
    <t>5-01-02-080</t>
  </si>
  <si>
    <t>Overseas Allowance</t>
  </si>
  <si>
    <t>5-01-02-090</t>
  </si>
  <si>
    <t>Honoraria</t>
  </si>
  <si>
    <t>5-01-02-100</t>
  </si>
  <si>
    <t xml:space="preserve">Hazard Pay </t>
  </si>
  <si>
    <t>5-01-02-110</t>
  </si>
  <si>
    <t xml:space="preserve">Longevity Pay </t>
  </si>
  <si>
    <t>5-01-02-120</t>
  </si>
  <si>
    <t>Overtime and Night Pay</t>
  </si>
  <si>
    <t>5-01-02-130</t>
  </si>
  <si>
    <t xml:space="preserve">Year End Bonus </t>
  </si>
  <si>
    <t>5-01-02-140</t>
  </si>
  <si>
    <t xml:space="preserve">Cash Gift </t>
  </si>
  <si>
    <t>5-01-02-150</t>
  </si>
  <si>
    <t>Other Bonuses and Allowances</t>
  </si>
  <si>
    <t>5-01-02-990</t>
  </si>
  <si>
    <t xml:space="preserve">Loyalty Cash Bonus </t>
  </si>
  <si>
    <t>5-01-02-991</t>
  </si>
  <si>
    <t xml:space="preserve">Anniversary Bonus </t>
  </si>
  <si>
    <t>5-01-02-992</t>
  </si>
  <si>
    <t xml:space="preserve">Mid Year Bonus </t>
  </si>
  <si>
    <t>5-01-02-993</t>
  </si>
  <si>
    <t xml:space="preserve">Performance-Based Bonus </t>
  </si>
  <si>
    <t>5-01-02-994</t>
  </si>
  <si>
    <t xml:space="preserve">Retirement and Life Insurance Premiums </t>
  </si>
  <si>
    <t>5-01-03-010</t>
  </si>
  <si>
    <t xml:space="preserve">  PAG-IBIG Contributions   </t>
  </si>
  <si>
    <t>5-01-03-020</t>
  </si>
  <si>
    <t xml:space="preserve">PhilHealth Contributions </t>
  </si>
  <si>
    <t>5-01-03-030</t>
  </si>
  <si>
    <t xml:space="preserve">Employees Compensation Insurance Premiums </t>
  </si>
  <si>
    <t>5-01-03-040</t>
  </si>
  <si>
    <t xml:space="preserve">Provident/Welfare Fund Contributions </t>
  </si>
  <si>
    <t>5-01-03-050</t>
  </si>
  <si>
    <t xml:space="preserve">Pension Benefits </t>
  </si>
  <si>
    <t>5-01-04-010</t>
  </si>
  <si>
    <t xml:space="preserve">Retirement Gratuity </t>
  </si>
  <si>
    <t>5-01-04-020</t>
  </si>
  <si>
    <t xml:space="preserve">Terminal Leave Benefits </t>
  </si>
  <si>
    <t>5-01-04-030</t>
  </si>
  <si>
    <t xml:space="preserve">Vacation and Sick Leave Benefits </t>
  </si>
  <si>
    <t>5-01-04-990</t>
  </si>
  <si>
    <t xml:space="preserve">Productivity Enhancement Incentives </t>
  </si>
  <si>
    <t>5-01-04-991</t>
  </si>
  <si>
    <t xml:space="preserve">Service Recognition Incentives </t>
  </si>
  <si>
    <t>5-01-04-992</t>
  </si>
  <si>
    <t xml:space="preserve">Traveling Expenses - Local </t>
  </si>
  <si>
    <t>5-02-01-010</t>
  </si>
  <si>
    <t xml:space="preserve">Traveling Expenses - Foreign </t>
  </si>
  <si>
    <t>5-02-01-020</t>
  </si>
  <si>
    <t>Training Expenses</t>
  </si>
  <si>
    <t>5-02-02-010</t>
  </si>
  <si>
    <t>Scholarship Grants/Expenses</t>
  </si>
  <si>
    <t>5-02-02-020</t>
  </si>
  <si>
    <t>Office Supplies Expenses</t>
  </si>
  <si>
    <t>5-02-03-010</t>
  </si>
  <si>
    <t xml:space="preserve">Accountable Forms Expenses </t>
  </si>
  <si>
    <t>5-02-03-020</t>
  </si>
  <si>
    <t>Non-Accountable Forms Expenses</t>
  </si>
  <si>
    <t>5-02-03-030</t>
  </si>
  <si>
    <t>Animal/Zoological Supplies Expenses</t>
  </si>
  <si>
    <t>5-02-03-040</t>
  </si>
  <si>
    <t>Food Supplies Expenses</t>
  </si>
  <si>
    <t>5-02-03-050</t>
  </si>
  <si>
    <t>Welfare Goods Expenses</t>
  </si>
  <si>
    <t>5-02-03-060</t>
  </si>
  <si>
    <t>Drugs and Medicines Expenses</t>
  </si>
  <si>
    <t>5-02-03-070</t>
  </si>
  <si>
    <t>Medical, Dental and Laboratory Supplies Expenses</t>
  </si>
  <si>
    <t>5-02-03-080</t>
  </si>
  <si>
    <t>Fuel, Oil and Lubricants Expenses</t>
  </si>
  <si>
    <t>5-02-03-090</t>
  </si>
  <si>
    <t>Agricultural and Marine Supplies Expenses</t>
  </si>
  <si>
    <t>5-02-03-100</t>
  </si>
  <si>
    <t>Textbooks and Instructional Materials Expenses</t>
  </si>
  <si>
    <t>5-02-03-110</t>
  </si>
  <si>
    <t xml:space="preserve">Military, Police and Traffic Supplies Expenses </t>
  </si>
  <si>
    <t>5-02-03-120</t>
  </si>
  <si>
    <t xml:space="preserve">Chemical and Filtering Supplies Expenses </t>
  </si>
  <si>
    <t>5-02-03-130</t>
  </si>
  <si>
    <t>Semi-Expendable Machinery and Equipment Expenses</t>
  </si>
  <si>
    <t>5-02-03-210</t>
  </si>
  <si>
    <t>Semi-Expendable Furniture, Fixtures, and Books</t>
  </si>
  <si>
    <t>5-02-03-220</t>
  </si>
  <si>
    <t>Other Supplies and Materials Expenses</t>
  </si>
  <si>
    <t>5-02-03-990</t>
  </si>
  <si>
    <t>Water Expenses</t>
  </si>
  <si>
    <t>5-02-04-010</t>
  </si>
  <si>
    <t>Electricity Expenses</t>
  </si>
  <si>
    <t>5-02-04-020</t>
  </si>
  <si>
    <t xml:space="preserve">Postage and Courier Services </t>
  </si>
  <si>
    <t>5-02-05-010</t>
  </si>
  <si>
    <t>Telephone Expenses - Landline</t>
  </si>
  <si>
    <t>5-02-05-020</t>
  </si>
  <si>
    <t>Telephone Expenses - Mobile</t>
  </si>
  <si>
    <t>5-02-05-021</t>
  </si>
  <si>
    <t>Internet Subscription Expenses</t>
  </si>
  <si>
    <t>5-02-05-030</t>
  </si>
  <si>
    <t>Cable, Satellite, Telegraph and Radio Expenses</t>
  </si>
  <si>
    <t>5-02-05-040</t>
  </si>
  <si>
    <t>Awards/Rewards Expenses</t>
  </si>
  <si>
    <t>5-02-06-010</t>
  </si>
  <si>
    <t>Prizes</t>
  </si>
  <si>
    <t>5-02-06-020</t>
  </si>
  <si>
    <t>Survey Expenses</t>
  </si>
  <si>
    <t>5-02-07-010</t>
  </si>
  <si>
    <t>Research, Exploration and Development Expenses</t>
  </si>
  <si>
    <t>5-02-07-020</t>
  </si>
  <si>
    <t>Demolition and Relocation Expenses</t>
  </si>
  <si>
    <t>5-02-08-010</t>
  </si>
  <si>
    <t>Desilting and Dredging Expenses</t>
  </si>
  <si>
    <t>5-02-08-020</t>
  </si>
  <si>
    <t>Generation, Transmission and Distribution Expenses</t>
  </si>
  <si>
    <t>5-02-09-010</t>
  </si>
  <si>
    <t>Confidential Expenses</t>
  </si>
  <si>
    <t>5-02-10-010</t>
  </si>
  <si>
    <t>Intelligence Expenses</t>
  </si>
  <si>
    <t>5-02-10-020</t>
  </si>
  <si>
    <t>Extraordinary and Miscellaneous Expenses</t>
  </si>
  <si>
    <t>5-02-10-030</t>
  </si>
  <si>
    <t>Legal Services</t>
  </si>
  <si>
    <t>5-02-11-010</t>
  </si>
  <si>
    <t>Auditing Services</t>
  </si>
  <si>
    <t>5-02-11-020</t>
  </si>
  <si>
    <t xml:space="preserve">Consultancy Services </t>
  </si>
  <si>
    <t>5-02-11-030</t>
  </si>
  <si>
    <t>Other Professional Services</t>
  </si>
  <si>
    <t>5-02-11-990</t>
  </si>
  <si>
    <t xml:space="preserve">Environment/Sanitary Services </t>
  </si>
  <si>
    <t>5-02-12-010</t>
  </si>
  <si>
    <t>Janitorial Services</t>
  </si>
  <si>
    <t>5-02-12-020</t>
  </si>
  <si>
    <t>Security Services</t>
  </si>
  <si>
    <t>5-02-12-030</t>
  </si>
  <si>
    <t>Other General Services</t>
  </si>
  <si>
    <t>5-02-12-990</t>
  </si>
  <si>
    <t xml:space="preserve">Repairs and Maintenance - Investment Property </t>
  </si>
  <si>
    <t>5-02-13-010</t>
  </si>
  <si>
    <t xml:space="preserve">Repairs and Maintenance - Land Improvements </t>
  </si>
  <si>
    <t>5-02-13-020</t>
  </si>
  <si>
    <t xml:space="preserve">Repairs and Maintenance - Infrastructure Assets </t>
  </si>
  <si>
    <t>5-02-13-030</t>
  </si>
  <si>
    <t>Repairs and Maintenance - Buildings and Other Structures</t>
  </si>
  <si>
    <t>5-02-13-040</t>
  </si>
  <si>
    <t xml:space="preserve">Repairs and Maintenance - Machinery and Equipment </t>
  </si>
  <si>
    <t>5-02-13-050</t>
  </si>
  <si>
    <t xml:space="preserve">Repairs and Maintenance - Transportation Equipment </t>
  </si>
  <si>
    <t>5-02-13-060</t>
  </si>
  <si>
    <t xml:space="preserve">Repairs and Maintenance - Furniture and Fixtures </t>
  </si>
  <si>
    <t>5-02-13-070</t>
  </si>
  <si>
    <t xml:space="preserve">Repairs and Maintenance - Leased Assets </t>
  </si>
  <si>
    <t>5-02-13-080</t>
  </si>
  <si>
    <t xml:space="preserve">Repairs and Maintenance - Leased Assets Improvements </t>
  </si>
  <si>
    <t>5-02-13-090</t>
  </si>
  <si>
    <t xml:space="preserve">Repairs and Maintenance - Other Property, Plant and Equipment </t>
  </si>
  <si>
    <t>5-02-13-990</t>
  </si>
  <si>
    <t xml:space="preserve">Subsidy to NGAs </t>
  </si>
  <si>
    <t>5-02-14-020</t>
  </si>
  <si>
    <t xml:space="preserve">Subsidy to Other Local Government Units </t>
  </si>
  <si>
    <t>5-02-14-030</t>
  </si>
  <si>
    <t xml:space="preserve">Subsidy to Other Funds </t>
  </si>
  <si>
    <t>5-02-14-060</t>
  </si>
  <si>
    <t xml:space="preserve">Subsidy to General Fund Proper/Special Accounts </t>
  </si>
  <si>
    <t>5-02-14-070</t>
  </si>
  <si>
    <t>Subsidy to Local Economic Enterprises</t>
  </si>
  <si>
    <t>5-02-14-080</t>
  </si>
  <si>
    <t>Subsidies - Others</t>
  </si>
  <si>
    <t>5-02-14-990</t>
  </si>
  <si>
    <t xml:space="preserve">Transfers of Unspent Current Year DRRM Funds to the Trust Funds </t>
  </si>
  <si>
    <t>5-02-15-010</t>
  </si>
  <si>
    <t xml:space="preserve">Transfers for Project Equity Share / LGU Counterpart </t>
  </si>
  <si>
    <t>5-02-15-020</t>
  </si>
  <si>
    <t xml:space="preserve">Taxes, Duties and Licenses </t>
  </si>
  <si>
    <t>5-02-16-010</t>
  </si>
  <si>
    <t xml:space="preserve">Fidelity Bond Premiums </t>
  </si>
  <si>
    <t>5-02-16-020</t>
  </si>
  <si>
    <t>Insurance Expenses</t>
  </si>
  <si>
    <t>5-02-16-030</t>
  </si>
  <si>
    <t>Advertising Expenses</t>
  </si>
  <si>
    <t>5-02-99-010</t>
  </si>
  <si>
    <t>Printing and Publication Expenses</t>
  </si>
  <si>
    <t>5-02-99-020</t>
  </si>
  <si>
    <t>Representation Expenses</t>
  </si>
  <si>
    <t>5-02-99-030</t>
  </si>
  <si>
    <t>Transportation and Delivery Expenses</t>
  </si>
  <si>
    <t>5-02-99-040</t>
  </si>
  <si>
    <t>Rent Expenses</t>
  </si>
  <si>
    <t>5-02-99-050</t>
  </si>
  <si>
    <t>Membership Dues and Contributions to Organizations</t>
  </si>
  <si>
    <t>5-02-99-060</t>
  </si>
  <si>
    <t>Subscription Expenses</t>
  </si>
  <si>
    <t>5-02-99-070</t>
  </si>
  <si>
    <t xml:space="preserve">Donations </t>
  </si>
  <si>
    <t>5-02-99-080</t>
  </si>
  <si>
    <t>Other Maintenance and Operating Expenses</t>
  </si>
  <si>
    <t>5-02-99-990</t>
  </si>
  <si>
    <t>Management Supervision/Trusteeship Fees</t>
  </si>
  <si>
    <t>5-03-01-010</t>
  </si>
  <si>
    <t>Interest Expenses</t>
  </si>
  <si>
    <t>5-03-01-020</t>
  </si>
  <si>
    <t>Guarantee Fees</t>
  </si>
  <si>
    <t>5-03-01-030</t>
  </si>
  <si>
    <t>Bank Charges</t>
  </si>
  <si>
    <t>5-03-01-040</t>
  </si>
  <si>
    <t>Commitment Fees</t>
  </si>
  <si>
    <t>5-03-01-050</t>
  </si>
  <si>
    <t>Other Financial Charges</t>
  </si>
  <si>
    <t>5-03-01-990</t>
  </si>
  <si>
    <t xml:space="preserve">LBP Form No. 2 </t>
  </si>
  <si>
    <t>PROGRAMMED APPROPRIATION AND OBLIGATION BY OBJECT OF EXPENDITURE</t>
  </si>
  <si>
    <t>Puerto Princesa City</t>
  </si>
  <si>
    <t>Department: OFFICE OF THE CITY MAYOR (1011)</t>
  </si>
  <si>
    <t>APPROPRIATION LANGUAGE</t>
  </si>
  <si>
    <t>Object of Expenditure</t>
  </si>
  <si>
    <t>Account Code</t>
  </si>
  <si>
    <t>Past Year Expenditures</t>
  </si>
  <si>
    <t>Current Year Expenditures</t>
  </si>
  <si>
    <t>Budget Year Expenditures</t>
  </si>
  <si>
    <t>First Semester</t>
  </si>
  <si>
    <t>Second Semester</t>
  </si>
  <si>
    <t xml:space="preserve">Total </t>
  </si>
  <si>
    <t xml:space="preserve">(Actual) </t>
  </si>
  <si>
    <t xml:space="preserve">(Estimates) </t>
  </si>
  <si>
    <t>(Proposed)</t>
  </si>
  <si>
    <t>1.0  Current Operating Expenditures</t>
  </si>
  <si>
    <t xml:space="preserve">         1.1  Personal Services</t>
  </si>
  <si>
    <t xml:space="preserve">                 Salaries and Wages  </t>
  </si>
  <si>
    <t xml:space="preserve">                 Salaries and Wages - Regular </t>
  </si>
  <si>
    <t xml:space="preserve">                 Other Compensation</t>
  </si>
  <si>
    <t xml:space="preserve">                 Personnel Economic Relief Allowance (PERA)</t>
  </si>
  <si>
    <t xml:space="preserve">                 Representation Allowance (RA) </t>
  </si>
  <si>
    <t xml:space="preserve">                 Transportation Allowance (TA) </t>
  </si>
  <si>
    <t>5-01-02-030</t>
  </si>
  <si>
    <t xml:space="preserve">                 Clothing/Uniform Allowance </t>
  </si>
  <si>
    <t xml:space="preserve">                 Year End Bonus </t>
  </si>
  <si>
    <t xml:space="preserve">                 Cash Gift </t>
  </si>
  <si>
    <t xml:space="preserve">                 Other Bonuses and Allowances</t>
  </si>
  <si>
    <t xml:space="preserve">                 Loyalty Cash Bonus </t>
  </si>
  <si>
    <t xml:space="preserve">                 Anniversary Bonus</t>
  </si>
  <si>
    <t xml:space="preserve">                 Mid Year Bonus </t>
  </si>
  <si>
    <t xml:space="preserve">                 Personnel Benefit Contributions</t>
  </si>
  <si>
    <t xml:space="preserve">                 Retirement and Life Insurance Premiums </t>
  </si>
  <si>
    <t xml:space="preserve">                 PAG-IBIG Contributions </t>
  </si>
  <si>
    <t xml:space="preserve">                 PhilHealth Contributions </t>
  </si>
  <si>
    <t xml:space="preserve">                 Employees Compensation Insurance Premiums </t>
  </si>
  <si>
    <t xml:space="preserve">                Other Personnel Benefits</t>
  </si>
  <si>
    <t xml:space="preserve">                 Terminal Leave Benefits </t>
  </si>
  <si>
    <t xml:space="preserve">                 Vacation and Sick Leave Benefits </t>
  </si>
  <si>
    <t xml:space="preserve">                 Productivity Enhancement Incentives </t>
  </si>
  <si>
    <t xml:space="preserve">                Provision for 3rd Tranche of Salary Increase per Executive 
                Order No. 64</t>
  </si>
  <si>
    <t xml:space="preserve">                 Total Personal Services (100)</t>
  </si>
  <si>
    <t xml:space="preserve">         1.2  Maintenance &amp; Other Operating Expenditures</t>
  </si>
  <si>
    <t xml:space="preserve">                Traveling Expenses</t>
  </si>
  <si>
    <t xml:space="preserve">                 Traveling Expenses - Local </t>
  </si>
  <si>
    <t xml:space="preserve">                 Travelling Expenses - Foreign</t>
  </si>
  <si>
    <t xml:space="preserve">                Training and Scholarship Expenses</t>
  </si>
  <si>
    <t xml:space="preserve">                 Training Expenses</t>
  </si>
  <si>
    <t xml:space="preserve">                Supplies and Materials Expenses</t>
  </si>
  <si>
    <t xml:space="preserve">                 Office Supplies Expenses</t>
  </si>
  <si>
    <t xml:space="preserve">                 Fuel, Oil and Lubricants Expenses</t>
  </si>
  <si>
    <t xml:space="preserve">                 Semi-Expendable Machinery and Equipment Expenses</t>
  </si>
  <si>
    <t xml:space="preserve">                 Semi-Expendable Furnitures, Fixtures and Books Expenses</t>
  </si>
  <si>
    <t xml:space="preserve">                 Other Supplies and Materials Expenses</t>
  </si>
  <si>
    <t xml:space="preserve">                Communication Expenses</t>
  </si>
  <si>
    <t xml:space="preserve">                 Postage and Courier Service</t>
  </si>
  <si>
    <t xml:space="preserve">                 Telephone Expenses - Mobile</t>
  </si>
  <si>
    <t xml:space="preserve">                Confidential, Intelligence and Extraordinary Expenses</t>
  </si>
  <si>
    <t xml:space="preserve">                 Extraordinary and Miscellaneous Expenses</t>
  </si>
  <si>
    <t xml:space="preserve">                Financial Assistance/Subsidy</t>
  </si>
  <si>
    <t xml:space="preserve">                 Financial Assistance to Local Government Units</t>
  </si>
  <si>
    <t xml:space="preserve">                     Barangays -  19,800,000</t>
  </si>
  <si>
    <t xml:space="preserve">                     Sangguniang Kabataan - 7,128,000.00</t>
  </si>
  <si>
    <t xml:space="preserve">                Taxes, Insurance Premiums and Other Fees</t>
  </si>
  <si>
    <t xml:space="preserve">                 Fidelity Bond Premiums</t>
  </si>
  <si>
    <t xml:space="preserve">                Other Maintenance and Operating Expenses</t>
  </si>
  <si>
    <t xml:space="preserve">                 Advertising Expenses</t>
  </si>
  <si>
    <t xml:space="preserve">                 Representation Expenses</t>
  </si>
  <si>
    <t xml:space="preserve">                 Membership Dues and Contributions to Organizations</t>
  </si>
  <si>
    <t xml:space="preserve">                 Subscription Expenses</t>
  </si>
  <si>
    <t xml:space="preserve">                 Donations</t>
  </si>
  <si>
    <t xml:space="preserve">                     Operational Support to Parole &amp; Probation</t>
  </si>
  <si>
    <t xml:space="preserve">                     Aid to GSP &amp; BSP</t>
  </si>
  <si>
    <t xml:space="preserve">                     Aid to City Cooperative Development Council</t>
  </si>
  <si>
    <t xml:space="preserve">                     Aid to PSU San Rafael - Comm. College Resources Dev't. Prog. </t>
  </si>
  <si>
    <t xml:space="preserve">                 Other Maintenance and Operating Expenses</t>
  </si>
  <si>
    <t xml:space="preserve">                     Insurance Expense (BHW, BNS, Microscopist, Bgy. Official)</t>
  </si>
  <si>
    <t xml:space="preserve">                     CMO</t>
  </si>
  <si>
    <t xml:space="preserve">                     Operational Support to RTC Judges</t>
  </si>
  <si>
    <t xml:space="preserve">                     Support for Barangay Tanods</t>
  </si>
  <si>
    <t xml:space="preserve">                       Insurance -  500,000.00</t>
  </si>
  <si>
    <t xml:space="preserve">                     Support for Provincial Traffic Mgt. Office</t>
  </si>
  <si>
    <t xml:space="preserve">                     Incentives for Public School Teachers </t>
  </si>
  <si>
    <t xml:space="preserve">                     Operational Support for DECPC</t>
  </si>
  <si>
    <t xml:space="preserve">                     City Mayor's Day</t>
  </si>
  <si>
    <t xml:space="preserve">                     Other City Socio-Cultural Activities</t>
  </si>
  <si>
    <t xml:space="preserve">                     Operational Support for City Division of Schools</t>
  </si>
  <si>
    <t xml:space="preserve">                     Support for Ospital ng Palawan</t>
  </si>
  <si>
    <t xml:space="preserve">                     Operational Support for PCL</t>
  </si>
  <si>
    <t xml:space="preserve">                     Aid to Public Attorney's Office </t>
  </si>
  <si>
    <t xml:space="preserve">                     Operational Support for NBI</t>
  </si>
  <si>
    <t xml:space="preserve">                     Operational Support for ICLEI</t>
  </si>
  <si>
    <t xml:space="preserve">                     Operational Support for Credit Surety Fund (CSF)</t>
  </si>
  <si>
    <t xml:space="preserve">                     Other City Special Activities Projects</t>
  </si>
  <si>
    <t xml:space="preserve">                     Medical Mission from Foreign Countries</t>
  </si>
  <si>
    <t xml:space="preserve">                     Operational Support for Project Monitoring Comm.</t>
  </si>
  <si>
    <t xml:space="preserve">                     PPP (BOT) Pre-qualification BAC</t>
  </si>
  <si>
    <t xml:space="preserve">                     Operational Support to City Septage Mgt. Council &amp; 
                     Secretariat Services</t>
  </si>
  <si>
    <t xml:space="preserve">                     Operational Support to Committee on Anti-Red Tape</t>
  </si>
  <si>
    <t xml:space="preserve">                     Employees Health Management Program</t>
  </si>
  <si>
    <t xml:space="preserve">                     Local Aids Council</t>
  </si>
  <si>
    <t xml:space="preserve">                     JO/COS:</t>
  </si>
  <si>
    <t xml:space="preserve">                       Carpool: </t>
  </si>
  <si>
    <t xml:space="preserve">                        9 Light Equipment Operator (Driver) @ 678/day for 26 days
                        /mo. - 1,903,824</t>
  </si>
  <si>
    <t xml:space="preserve">                       Close-In Security: </t>
  </si>
  <si>
    <t xml:space="preserve">                        38 Watchman I @ 678/day for 26 days/mo. - 8,038,368</t>
  </si>
  <si>
    <t xml:space="preserve">                       CMO Admin: </t>
  </si>
  <si>
    <t xml:space="preserve">                        14 Administrative Aide II @ 678/day for 22 days/mo. - 2,505,888</t>
  </si>
  <si>
    <t xml:space="preserve">                       Kitchen/Utility: </t>
  </si>
  <si>
    <t xml:space="preserve">                        4 Administrative Aide I (Utility Worker I) @ 639/day for 
                        22 days/mo. - 674,784</t>
  </si>
  <si>
    <t xml:space="preserve">                       Fuel Section: </t>
  </si>
  <si>
    <t xml:space="preserve">                        2 Administrative Aide II @ 678/day for 22 days/mo. - 357,984</t>
  </si>
  <si>
    <t xml:space="preserve">                       Sta. Lucia Task Force: </t>
  </si>
  <si>
    <t xml:space="preserve">                        8 Watchman I @ 678/day for 26 days/mo. - 1,692,288</t>
  </si>
  <si>
    <t xml:space="preserve">                       Negosyo Center: </t>
  </si>
  <si>
    <t xml:space="preserve">                        1 Administrative Aide I @ 639/day for 22 days/mo. - 168,696</t>
  </si>
  <si>
    <t xml:space="preserve">                       Other Emergency Hire - 10,000,000</t>
  </si>
  <si>
    <t xml:space="preserve">                 Total Maintenance and Other Operating Expenses (200)</t>
  </si>
  <si>
    <t xml:space="preserve">      Total Current Operating Expenditures</t>
  </si>
  <si>
    <t>2.0 Financial Expenses</t>
  </si>
  <si>
    <t xml:space="preserve">                  Debt Services</t>
  </si>
  <si>
    <r>
      <rPr>
        <b/>
        <sz val="12"/>
        <color theme="1"/>
        <rFont val="Calibri"/>
        <family val="2"/>
      </rPr>
      <t xml:space="preserve">                  </t>
    </r>
    <r>
      <rPr>
        <sz val="12"/>
        <color theme="1"/>
        <rFont val="Calibri"/>
        <family val="2"/>
      </rPr>
      <t>Loan Payable- Principal</t>
    </r>
  </si>
  <si>
    <t>2-01-02-040</t>
  </si>
  <si>
    <t xml:space="preserve">                  Interest Expenses</t>
  </si>
  <si>
    <t xml:space="preserve">                  Other Financial Charges</t>
  </si>
  <si>
    <t>Total Financial Expenses</t>
  </si>
  <si>
    <t>3.0 Capital Outlay</t>
  </si>
  <si>
    <t xml:space="preserve">                 Machinery and Equipment</t>
  </si>
  <si>
    <t xml:space="preserve">                 Office Equipment</t>
  </si>
  <si>
    <t xml:space="preserve">                     2 Units Photocopying Machine </t>
  </si>
  <si>
    <t xml:space="preserve">                 Information and Communication Technology Equipment</t>
  </si>
  <si>
    <t xml:space="preserve">                     1 Unit Digital Camera - 270,000</t>
  </si>
  <si>
    <t xml:space="preserve">                     2 Units Laptop (Puerto Reports &amp; Admin) - 105,600</t>
  </si>
  <si>
    <t xml:space="preserve">                 Communication Equipment</t>
  </si>
  <si>
    <t xml:space="preserve">                     2 Sets UHF Analog/Digital Single Frequency Repeater w/ 
                     Accessories </t>
  </si>
  <si>
    <t xml:space="preserve">              Transportation Equipment</t>
  </si>
  <si>
    <t xml:space="preserve">                  Motor Vehicles</t>
  </si>
  <si>
    <t xml:space="preserve">            Total Capital Outlay</t>
  </si>
  <si>
    <t>TOTAL APPROPRIATIONS</t>
  </si>
  <si>
    <t xml:space="preserve"> </t>
  </si>
  <si>
    <t>OTHER SPECIAL PURPOSE APPROPRIATIONS</t>
  </si>
  <si>
    <t>P/P/A 1. DISASTER RISK REDUCTION MANAGEMENT CENTER (CDRRMF) (9991)</t>
  </si>
  <si>
    <t xml:space="preserve">         1.1. Maintenance and Other Operating Expenses</t>
  </si>
  <si>
    <t xml:space="preserve">                 Travelling Expenses - Local </t>
  </si>
  <si>
    <t xml:space="preserve">                 Training and Scholarship Expenses</t>
  </si>
  <si>
    <t xml:space="preserve">                     Attendance to Invitation-Driven NDRRMC, OCD, DOST, 
                     Other Institutions, CSOs and Regional and Local DRRM-
                     Related Trainings - 450,000</t>
  </si>
  <si>
    <t xml:space="preserve">                     Hazard Contingency Planning Updating Activity - 220,000</t>
  </si>
  <si>
    <t xml:space="preserve">                     Barangay Resiliency and Innovation through Empowerment
                     (BRITE) Project - 33 Barangays Workshop - 4,000,000</t>
  </si>
  <si>
    <t xml:space="preserve">                     CBRN Response Orientation - 200,000</t>
  </si>
  <si>
    <t xml:space="preserve">                     Development and Updating of DRRM-Related Plans and 
                     Documents - 450,000</t>
  </si>
  <si>
    <t xml:space="preserve">                 Supplies and Materials Expenses</t>
  </si>
  <si>
    <t xml:space="preserve">                 Animal/Zoological Supplies Expenses</t>
  </si>
  <si>
    <t xml:space="preserve">                     Search and Rescue K9 Supplies</t>
  </si>
  <si>
    <t xml:space="preserve">                     Evacuation Route and Hazard-Specific Early Warning 
                     Signages</t>
  </si>
  <si>
    <t xml:space="preserve">                 Communication Expenses</t>
  </si>
  <si>
    <t xml:space="preserve">                 Internet Subscription Expenses</t>
  </si>
  <si>
    <t xml:space="preserve">                 Cable, Satellite, Telegraph and Radio Expenses </t>
  </si>
  <si>
    <t xml:space="preserve">                 Repairs and Maintenance</t>
  </si>
  <si>
    <t xml:space="preserve">                 Repairs and Maintenance – Machinery and Equipment </t>
  </si>
  <si>
    <t xml:space="preserve">                 Repairs and Maintenance – Transportation Equipment</t>
  </si>
  <si>
    <t xml:space="preserve">                 Repairs and Maintenance – Furniture and Fixtures </t>
  </si>
  <si>
    <t xml:space="preserve">                 Repairs and Maintenance – Other Property, Plant and
                 Equipment</t>
  </si>
  <si>
    <t xml:space="preserve">                 Other Maintenance &amp; Operating Expenses</t>
  </si>
  <si>
    <t xml:space="preserve">                     Regular CDRRMC Meetings and Cluster Meetings - 560,000</t>
  </si>
  <si>
    <t xml:space="preserve">                     CDRRMC Pre-Disaster Risk Assessment Meetings - 42,000</t>
  </si>
  <si>
    <t xml:space="preserve">                     DRRM Project Monitoring and Evaluation - 99,000</t>
  </si>
  <si>
    <t xml:space="preserve">                     Insurance of EOC and Response Units Personnel and 
                     Volunteers - 7,480,000</t>
  </si>
  <si>
    <t xml:space="preserve">                     Operational Support to Other Response Cluster Agencies - 
                     1,000,000</t>
  </si>
  <si>
    <t xml:space="preserve">                     Local DRRM Plans Monitoring and Evaluation - 300,000</t>
  </si>
  <si>
    <t xml:space="preserve">                     Strengthening and Sustainability of 24/7 Operations of 
                     CDRRMC Emergency Operations Center:</t>
  </si>
  <si>
    <t xml:space="preserve">                     - JO/COS: </t>
  </si>
  <si>
    <t xml:space="preserve">                        5 Local Disaster Risk Reduction and Management Assistant 
                        @ 974/day for 26 days/mo. - 1,519,440</t>
  </si>
  <si>
    <t xml:space="preserve">                        32 Local Disaster Risk Reduction and Management Aide
                        @ 765/day for 26 days/mo. - 7,637,760</t>
  </si>
  <si>
    <t xml:space="preserve">                        21 Light Equipment Operator (Driver) @ 678/day for 26 
                        days/mo. - 4,442,256</t>
  </si>
  <si>
    <t xml:space="preserve">                        15 Administrative Aide II (Communications Equipment 
                        Operator) @ 678/day for 26 days/mo. - 3,173,040</t>
  </si>
  <si>
    <t xml:space="preserve">                        15 Administrative Aide II (Weather Observation Aide) @ 
                        678/day for 26 days/mo. - 3,173,040</t>
  </si>
  <si>
    <t xml:space="preserve">                     Strengthening and Sustainability of 24/7 Logistics and 
                     Resources Management Center:</t>
  </si>
  <si>
    <t xml:space="preserve">                        16 Administrative Aide IV (Storekeeper I) @ 765/day for 
                        26 days/mo. - 3,818,880</t>
  </si>
  <si>
    <t xml:space="preserve">                        51 Administrative Aide II @ 678/day for 26 days/mo. - 
                        10,788,336.00</t>
  </si>
  <si>
    <t xml:space="preserve">                 Quick Response Fund</t>
  </si>
  <si>
    <t>2.0 Capital Outlay</t>
  </si>
  <si>
    <t xml:space="preserve">                 Buildings and Other Structures </t>
  </si>
  <si>
    <t xml:space="preserve">                 Buildings</t>
  </si>
  <si>
    <t xml:space="preserve">                     Rehabilitation of CDRRMO Warehouse at Napsan Mini City 
                     Hall</t>
  </si>
  <si>
    <t xml:space="preserve">                 Other Structures</t>
  </si>
  <si>
    <t xml:space="preserve">                 Machinery and Equipment </t>
  </si>
  <si>
    <t xml:space="preserve">                 Disaster Response and Rescue Equipment </t>
  </si>
  <si>
    <t xml:space="preserve">      Total Capital Outlay</t>
  </si>
  <si>
    <t>P/P/A 2. UPGRADING, ACTIVATION AND MAINTENANCE OF EOC (CDRRMF) (9991-1)</t>
  </si>
  <si>
    <t xml:space="preserve">                 Semi-Expendable Furniture, Fixtures and Books Expenses</t>
  </si>
  <si>
    <t xml:space="preserve">                     Activation of Incident Command System for Emergency 
                     Preparedness and Response and Consequence 
                     Management - Planned Events - 3,500,000</t>
  </si>
  <si>
    <t xml:space="preserve">                     Activation of Incident Command System for Emergency 
                     Preparedness and Response and Consequence 
                     Management - Natural Calamities - 3,000,000</t>
  </si>
  <si>
    <t xml:space="preserve">                 Buildings and Other Structures</t>
  </si>
  <si>
    <t xml:space="preserve">                     Improvement of the CDRRMO Radio Communications Tower 
                     with Rappel Platform </t>
  </si>
  <si>
    <t xml:space="preserve">                 Information and Communication Technology Eqpt.</t>
  </si>
  <si>
    <t xml:space="preserve">                     10 Units Operations Center Desktop Computer with 
                     Accessories, Dual Monitor and UPS - 850,000</t>
  </si>
  <si>
    <t xml:space="preserve">                     1 Unit Large Format Map Printer with Ink and Paper - 
                     500,000</t>
  </si>
  <si>
    <t xml:space="preserve">                 Communication Equipment </t>
  </si>
  <si>
    <t xml:space="preserve">                     1 Unit Dual Band Link System with Cross Band Repeater 
                     Function - 1,000,000</t>
  </si>
  <si>
    <t xml:space="preserve">                     1 Set Radio Audio Accessories, Power Packs, Streaming
                     and Recording Connectivity and Peripherals - 850,000</t>
  </si>
  <si>
    <t xml:space="preserve">                     8 Units Satellite Phone with Sim Card and Air Time Units - 
                     1,980,000</t>
  </si>
  <si>
    <t xml:space="preserve">                 Construction and Heavy Equipment</t>
  </si>
  <si>
    <t xml:space="preserve">                     5 Units HDPE Flood Rescue Boat w/ 15 HP Outboard 
                     Motor, Trailer and Rescue Gears - 4,000,000</t>
  </si>
  <si>
    <t xml:space="preserve">                     1 Set Fire Fighting Equipment and Accessories - 2,500,000</t>
  </si>
  <si>
    <t xml:space="preserve">                     1 Set Night Operations Portable Tower Light - 1,200,000</t>
  </si>
  <si>
    <t xml:space="preserve">                     1 Set Stabilization and Lifting System - 4,500,000</t>
  </si>
  <si>
    <t xml:space="preserve">                     1 Set Modular High Angle Gin Pole Rigging System - 350,000</t>
  </si>
  <si>
    <t xml:space="preserve">                     1 Set Tyrolean Traverse Rescue Rigging System - 1,880,000</t>
  </si>
  <si>
    <t xml:space="preserve">                 Medical Equipment</t>
  </si>
  <si>
    <t xml:space="preserve">                     8 Units Automated External Defibrillator (AED) </t>
  </si>
  <si>
    <t xml:space="preserve">                 Technical &amp; Scientific Equipment</t>
  </si>
  <si>
    <t xml:space="preserve">                     1 Set Air Quality Monitoring Equipment - 325,000</t>
  </si>
  <si>
    <t xml:space="preserve">                     1 Set Automated Weather Station Console - 375,000</t>
  </si>
  <si>
    <t xml:space="preserve">                     1 Set Life Detector Equipment for Search and Rescue - 
                     3,200,000</t>
  </si>
  <si>
    <t xml:space="preserve">                     1 Set First Person View (FPV) Capable Reconnaissance 
                     Drone - 150,000</t>
  </si>
  <si>
    <t xml:space="preserve">                 Other Machinery and Equipment</t>
  </si>
  <si>
    <t xml:space="preserve">                     7 Sets 6kw Solar Back Up Power System for Critical 
                     Infrastructures - 4,500,000</t>
  </si>
  <si>
    <t xml:space="preserve">                     4 Units 40 HP 4-Stroke Outboard Motor with Gas Tank - 
                     2,882,400</t>
  </si>
  <si>
    <t xml:space="preserve">                     1 Unit Heavy Duty Car Trolley Battery Charger - 60,000</t>
  </si>
  <si>
    <t xml:space="preserve">                     1 Unit 3 HP Air Compressor - 80,000</t>
  </si>
  <si>
    <t xml:space="preserve">                     1 Unit Post Hydraulic Lifter - 550,000</t>
  </si>
  <si>
    <t xml:space="preserve">                 Transportation Equipment</t>
  </si>
  <si>
    <t xml:space="preserve">                 Watercrafts</t>
  </si>
  <si>
    <t xml:space="preserve">                     1 Unit Sea Patient Transport Watercraft - 6,000,000</t>
  </si>
  <si>
    <t xml:space="preserve">                     1 Set Rubber Boat with Engine - 550,000</t>
  </si>
  <si>
    <t xml:space="preserve">                 Other Transportation Equipment </t>
  </si>
  <si>
    <t xml:space="preserve">                     1 Unit Camp Coordination and Camp Management 
                     (CCCM) Response Vehicle </t>
  </si>
  <si>
    <t xml:space="preserve">                 Other Property, Plant and Equipment </t>
  </si>
  <si>
    <t xml:space="preserve">                     1 Set Ready Deployable Portable Field Operations 
                     Center Hub with Amenities - 2,800,000</t>
  </si>
  <si>
    <t xml:space="preserve">                     1 Set 2x2 Rescue Vehicle Attachments - 980,000</t>
  </si>
  <si>
    <t>P/P/A 3.  EARLY WARNING SYSTEM ENHANCEMENT PROGRAM (CDRRMF) (9991-2)</t>
  </si>
  <si>
    <t xml:space="preserve">         1.1. Maintenance and Other Operating Expenses </t>
  </si>
  <si>
    <t xml:space="preserve">                     Early Warning System Device Peripherals and 
                     Components</t>
  </si>
  <si>
    <t xml:space="preserve">                 Disaster Response and Rescue Equipment</t>
  </si>
  <si>
    <t xml:space="preserve">                     Emergency Evacuation/Civil Defense Siren Warning 
                     System - 5,000,000</t>
  </si>
  <si>
    <t xml:space="preserve">                     Flood and Storm Surge Early Warning System - 3,500,000</t>
  </si>
  <si>
    <t xml:space="preserve">                     Smart Early Warning System with Real-Time Situation 
                     Monitoring with Public Address System - 15,000,000</t>
  </si>
  <si>
    <t xml:space="preserve">                 Technical and Scientific Equipment</t>
  </si>
  <si>
    <t xml:space="preserve">                     Automated Weather Station Sensors and Attachments </t>
  </si>
  <si>
    <t xml:space="preserve">                     SMS Blaster</t>
  </si>
  <si>
    <t>P/P/A 4. CAPACITY BUILDING PROGRAM FOR RESPONSE CLUSTERS, COMMUNITIES AND PRIVATE SECTOR (CDRRMF) (9991-3)</t>
  </si>
  <si>
    <t xml:space="preserve">                     Basic Incident Command System Training Course - 322,000</t>
  </si>
  <si>
    <t xml:space="preserve">                     Emergency Operations Center Management Training - 300,000</t>
  </si>
  <si>
    <t xml:space="preserve">                     Basic Life Support with Standard First Aid Training - 
                     359,000</t>
  </si>
  <si>
    <t xml:space="preserve">                     Camp Coordination and Camp Management Training 
                     for BDRRMCs - 190,000</t>
  </si>
  <si>
    <t xml:space="preserve">                     Water Survival, Search and Rescue Training - 690,000</t>
  </si>
  <si>
    <t xml:space="preserve">                     Community-Based DRRM Training for Vulnerable Sector
                     (LGBTQ++, Senior Citizen, PWD and IPs) - 350,000</t>
  </si>
  <si>
    <t xml:space="preserve">                     Barangay First Responder Training Course - 844,000</t>
  </si>
  <si>
    <t xml:space="preserve">                     Radio Operators Training - 216,000</t>
  </si>
  <si>
    <t xml:space="preserve">                     Training on Management of the Missing and Dead - 
                     660,000</t>
  </si>
  <si>
    <t xml:space="preserve">                     Collapsed Structure Search and Rescue Training - 460,000</t>
  </si>
  <si>
    <t xml:space="preserve">                     Basic Occupational Safety and Health Training - 373,000</t>
  </si>
  <si>
    <t xml:space="preserve">                     GIS and Geo Spatial Mapping Training - 409,000</t>
  </si>
  <si>
    <t xml:space="preserve">                     Water Sanitation and Hygiene Training - 365,000</t>
  </si>
  <si>
    <t xml:space="preserve">                     Local DRRM Plan Training Course - 369,000</t>
  </si>
  <si>
    <t xml:space="preserve">                     City DRRM-Related Workshops - 427,000</t>
  </si>
  <si>
    <t xml:space="preserve">                     Barangay DRRM-Related Plans Workshops - 392,000</t>
  </si>
  <si>
    <t xml:space="preserve">                     Contingency Planning Workshop - 480,000</t>
  </si>
  <si>
    <t xml:space="preserve">                     Humanitarian and Disaster Response Preparedness 
                     Activity - 1,000,000</t>
  </si>
  <si>
    <t xml:space="preserve">                     Public Service Continuity Plan Formulation for CGPP
                     Offices - 500,000</t>
  </si>
  <si>
    <t xml:space="preserve">                     Quarterly National Simultaneous Earthquake Evacuation 
                     Drill - 200,000</t>
  </si>
  <si>
    <t xml:space="preserve">                     Full Scale Simulation Exercise - 274,000</t>
  </si>
  <si>
    <t xml:space="preserve">                     National Disaster Resilience Month Celebration - 947,000</t>
  </si>
  <si>
    <t xml:space="preserve">                     2026 PPC DRRM Summit - 947,000</t>
  </si>
  <si>
    <t xml:space="preserve">         1.2. Maintenance and Other Operating Expenses</t>
  </si>
  <si>
    <t>5-02-02-210</t>
  </si>
  <si>
    <t>P/P/A 5. COMPREHENSIVE HOUSEHOLD INFORMATION SYSTEM (CHIS) PROJECT (CDRRMF) (9991-9)</t>
  </si>
  <si>
    <t xml:space="preserve">                     Comprehensive Household Information System (CHIS) and 
                     Rapid Evaluation and Assistance for Communities and 
                     Households (REACH) Module Familiarization Trainings - 
                     Barangays Cluster </t>
  </si>
  <si>
    <t xml:space="preserve">                 Professional Services</t>
  </si>
  <si>
    <t xml:space="preserve">                 Consultancy Services</t>
  </si>
  <si>
    <t xml:space="preserve">                     Sustainability of the Comprehensive Household Information
                     System (CHIS) Data Management</t>
  </si>
  <si>
    <t xml:space="preserve">                     1 Unit PVC ID Card Printer with Flipper (Dual-Sided ID Printer)</t>
  </si>
  <si>
    <t>Office: COMMUNITY AFFAIRS OFFICE (1011-2)</t>
  </si>
  <si>
    <t xml:space="preserve">         1.1  Personal Services </t>
  </si>
  <si>
    <t xml:space="preserve">                 Loyalty Cash Bonus</t>
  </si>
  <si>
    <t xml:space="preserve">                 Other Personnel Benefits</t>
  </si>
  <si>
    <t xml:space="preserve">                 Provision for 3rd Tranche of Salary Increase per Executive 
                 Order No. 64</t>
  </si>
  <si>
    <t xml:space="preserve">         1.2. Maintenance and Other Operating Expenses </t>
  </si>
  <si>
    <t xml:space="preserve">                 Travelling Expenses</t>
  </si>
  <si>
    <t xml:space="preserve">                 Travelling Expenses-Local</t>
  </si>
  <si>
    <t xml:space="preserve">                Semi-Expendable Furniture, Fixtures, and Books</t>
  </si>
  <si>
    <t xml:space="preserve">                 Motor Vehicles</t>
  </si>
  <si>
    <t>Office: RADIO COMMUNICATION OFFICE (1011-3)</t>
  </si>
  <si>
    <t xml:space="preserve">                Total Personal Services (100)</t>
  </si>
  <si>
    <t xml:space="preserve">                 Semi- Expendable Machinery and Equipment Expenses</t>
  </si>
  <si>
    <r>
      <rPr>
        <b/>
        <sz val="12"/>
        <color theme="1"/>
        <rFont val="Calibri"/>
        <family val="2"/>
      </rPr>
      <t xml:space="preserve">                           </t>
    </r>
    <r>
      <rPr>
        <sz val="12"/>
        <color theme="1"/>
        <rFont val="Calibri"/>
        <family val="2"/>
      </rPr>
      <t>JO/COS:</t>
    </r>
  </si>
  <si>
    <t xml:space="preserve">                           5 Admin. Aide III (Radio Tech.) @ 720/day for </t>
  </si>
  <si>
    <t xml:space="preserve">                                 26 days/mo. - 1,123,200.00</t>
  </si>
  <si>
    <t xml:space="preserve">                           18 Admin. Aide II (Radio Operator) @ 678/day for</t>
  </si>
  <si>
    <r>
      <rPr>
        <b/>
        <sz val="12"/>
        <color theme="1"/>
        <rFont val="Calibri"/>
        <family val="2"/>
      </rPr>
      <t xml:space="preserve">                           </t>
    </r>
    <r>
      <rPr>
        <sz val="12"/>
        <color theme="1"/>
        <rFont val="Calibri"/>
        <family val="2"/>
      </rPr>
      <t xml:space="preserve">      26 days/mo. - 3,807,648.00</t>
    </r>
  </si>
  <si>
    <t xml:space="preserve">                 Information and Communication Technology Equipment </t>
  </si>
  <si>
    <t xml:space="preserve">     Total Capital Outlay</t>
  </si>
  <si>
    <t>Office: DISASTER RISK REDUCTION AND MANAGEMENT OFFICE (1011-1)</t>
  </si>
  <si>
    <t xml:space="preserve">                 Traveling Expenses</t>
  </si>
  <si>
    <t xml:space="preserve">                 Telephone Expenses - Landline</t>
  </si>
  <si>
    <t xml:space="preserve">                 Cable, Satellite, Telegraph and Radio Expenses</t>
  </si>
  <si>
    <t xml:space="preserve">                 Transportation and Delivery Expenses</t>
  </si>
  <si>
    <t xml:space="preserve">                     DILG Seal of Good Local Governance Preparation 
                     Activity - 31,500</t>
  </si>
  <si>
    <t xml:space="preserve">                     2025 Gawad Kalasag Document Preparation Activity - 
                     31,500</t>
  </si>
  <si>
    <t xml:space="preserve">                     JO/COS: </t>
  </si>
  <si>
    <t xml:space="preserve">                        1 Administrative Aide III @ 720/day for 22 days/mo. - 
                        224,640</t>
  </si>
  <si>
    <t xml:space="preserve">                        2 Administrative Aide II @ 678/day for 22 days/mo. - 
                        423,072</t>
  </si>
  <si>
    <t xml:space="preserve">                        1 Administrative Aide I (Utility Worker) @ 639/day for 
                        22 days/mo. - 199,368</t>
  </si>
  <si>
    <t xml:space="preserve">                        2 Light Equipment Operator (Driver) @ 678/day for 
                        22 days/mo. - 423,072</t>
  </si>
  <si>
    <t xml:space="preserve">                        6 Administrative Aide IV (Local Disaster Risk Reduction
                        and Management Aide) @ 765/day for 22 days/mo. - 1,432,080</t>
  </si>
  <si>
    <t xml:space="preserve">                        4 Local Disaster Risk Reduction and Management Assistant 
                        @ 974/day for 22 days/mo. - 1,215,552</t>
  </si>
  <si>
    <t>Office: CITY MANAGEMENT INFORMATION SYSTEM OFFICE (1011-4)</t>
  </si>
  <si>
    <t xml:space="preserve">                 Other Compensations:</t>
  </si>
  <si>
    <t xml:space="preserve">                 Overtime Pay and Night Pay</t>
  </si>
  <si>
    <r>
      <rPr>
        <b/>
        <sz val="12"/>
        <color theme="1"/>
        <rFont val="Calibri"/>
        <family val="2"/>
      </rPr>
      <t xml:space="preserve">                      </t>
    </r>
    <r>
      <rPr>
        <sz val="12"/>
        <color theme="1"/>
        <rFont val="Calibri"/>
        <family val="2"/>
      </rPr>
      <t>Janitorial Supplies - 30,000.00</t>
    </r>
  </si>
  <si>
    <r>
      <rPr>
        <b/>
        <sz val="12"/>
        <color theme="1"/>
        <rFont val="Calibri"/>
        <family val="2"/>
      </rPr>
      <t xml:space="preserve">                      </t>
    </r>
    <r>
      <rPr>
        <sz val="12"/>
        <color theme="1"/>
        <rFont val="Calibri"/>
        <family val="2"/>
      </rPr>
      <t xml:space="preserve">Network and Hardware Operations - 1,235,430.00 </t>
    </r>
  </si>
  <si>
    <r>
      <rPr>
        <b/>
        <sz val="12"/>
        <color theme="1"/>
        <rFont val="Calibri"/>
        <family val="2"/>
      </rPr>
      <t xml:space="preserve">                      </t>
    </r>
    <r>
      <rPr>
        <sz val="12"/>
        <color theme="1"/>
        <rFont val="Calibri"/>
        <family val="2"/>
      </rPr>
      <t>ID System Operation - 3,000,000.00</t>
    </r>
  </si>
  <si>
    <t xml:space="preserve">                               </t>
  </si>
  <si>
    <t xml:space="preserve">                Other Maintenance &amp; Operating Expenses</t>
  </si>
  <si>
    <r>
      <rPr>
        <b/>
        <sz val="12"/>
        <color theme="1"/>
        <rFont val="Calibri"/>
        <family val="2"/>
      </rPr>
      <t xml:space="preserve">                      </t>
    </r>
    <r>
      <rPr>
        <sz val="12"/>
        <color theme="1"/>
        <rFont val="Calibri"/>
        <family val="2"/>
      </rPr>
      <t>Web Domain - 75,200.00</t>
    </r>
  </si>
  <si>
    <r>
      <rPr>
        <b/>
        <sz val="12"/>
        <color theme="1"/>
        <rFont val="Calibri"/>
        <family val="2"/>
      </rPr>
      <t xml:space="preserve">                      </t>
    </r>
    <r>
      <rPr>
        <sz val="12"/>
        <color theme="1"/>
        <rFont val="Calibri"/>
        <family val="2"/>
      </rPr>
      <t>Maintenance and Enhancement Services - 500,000.00</t>
    </r>
  </si>
  <si>
    <r>
      <rPr>
        <b/>
        <sz val="12"/>
        <color theme="1"/>
        <rFont val="Calibri"/>
        <family val="2"/>
      </rPr>
      <t xml:space="preserve">                      </t>
    </r>
    <r>
      <rPr>
        <sz val="12"/>
        <color theme="1"/>
        <rFont val="Calibri"/>
        <family val="2"/>
      </rPr>
      <t>JO/COS:</t>
    </r>
  </si>
  <si>
    <t xml:space="preserve">                      6 Admin. Aide VI (Programmer) @ 861/day for</t>
  </si>
  <si>
    <t xml:space="preserve">                             22 days/mo. - 1,363,824.00</t>
  </si>
  <si>
    <t xml:space="preserve">                      3 Admin. Aide IV (IT Specialist) @ 765/day for</t>
  </si>
  <si>
    <t xml:space="preserve">                             22 days/mo. - 605,880.00</t>
  </si>
  <si>
    <t xml:space="preserve">                      1 Admin. Aide VI (IT/Network Specialist/Lineman) @</t>
  </si>
  <si>
    <r>
      <rPr>
        <b/>
        <sz val="12"/>
        <color theme="1"/>
        <rFont val="Calibri"/>
        <family val="2"/>
      </rPr>
      <t xml:space="preserve">                             </t>
    </r>
    <r>
      <rPr>
        <sz val="12"/>
        <color theme="1"/>
        <rFont val="Calibri"/>
        <family val="2"/>
      </rPr>
      <t>861/day for 22 days/mo. - 227,304.00</t>
    </r>
  </si>
  <si>
    <t xml:space="preserve">                Total Maintenance and Other Operating Expenses (200)</t>
  </si>
  <si>
    <t xml:space="preserve">                Machinery and Equipment</t>
  </si>
  <si>
    <t xml:space="preserve">                       1 Unit ID Card Printer Dual-Sided</t>
  </si>
  <si>
    <t xml:space="preserve">                Intangible Assets</t>
  </si>
  <si>
    <t xml:space="preserve">                 Computer Software </t>
  </si>
  <si>
    <r>
      <rPr>
        <b/>
        <sz val="12"/>
        <color theme="1"/>
        <rFont val="Calibri"/>
        <family val="2"/>
      </rPr>
      <t xml:space="preserve">                       </t>
    </r>
    <r>
      <rPr>
        <sz val="12"/>
        <color theme="1"/>
        <rFont val="Calibri"/>
        <family val="2"/>
      </rPr>
      <t>E-TRACS Plugin - Auction Management System (AMS)</t>
    </r>
  </si>
  <si>
    <t xml:space="preserve">                Total Capital Outlay</t>
  </si>
  <si>
    <t>Office: BIDS AND AWARDS COMMITTEE SECRETARIAT AND PROCUREMENT PLANNING OFFICE (1011-5)</t>
  </si>
  <si>
    <t xml:space="preserve">                     Updates on Procurement Act and its Transition from RA 9184 to 
                     RA 12009 - 110,000</t>
  </si>
  <si>
    <t xml:space="preserve">                     Training for End-Users - 30,000</t>
  </si>
  <si>
    <t xml:space="preserve">                     BAC Indemnification Expense - 100,000</t>
  </si>
  <si>
    <t xml:space="preserve">                     BAC Meetings - 112,500</t>
  </si>
  <si>
    <t xml:space="preserve">                        6 Administrative Aide I @ 639/day for 22 days/mo. - 1,012,176</t>
  </si>
  <si>
    <t xml:space="preserve">                Office Equipment</t>
  </si>
  <si>
    <t xml:space="preserve">                Furnitures, Fixtures and Books</t>
  </si>
  <si>
    <t xml:space="preserve">                Furnitures and Fixtures</t>
  </si>
  <si>
    <t xml:space="preserve">                     3 Sets Customized Client Counter</t>
  </si>
  <si>
    <t>Office: BUSINESS PERMITS AND LICENSING OFFICE (1015)</t>
  </si>
  <si>
    <t xml:space="preserve">                 Overtime and Night Pay</t>
  </si>
  <si>
    <t xml:space="preserve">                      Re-Orientation of Bookkeeping and Accounting Service 
                      Providers </t>
  </si>
  <si>
    <t xml:space="preserve">                     Office Assessment and Team Building Activity - 25,500</t>
  </si>
  <si>
    <t xml:space="preserve">                        2 Light Equipment Operator (Driver) @ 678/day for 22 days/
                        mo. - 357,984</t>
  </si>
  <si>
    <t xml:space="preserve">                        1 Administrative Aide I (Utility Worker I) @ 639/day for 22 
                        days/mo. - 168,696</t>
  </si>
  <si>
    <t xml:space="preserve">                        8 Administrative Aide II (BPLO - 4 Mini City Halls) @ 678/day 
                        for 22 days/mo. - 1,431,936</t>
  </si>
  <si>
    <t xml:space="preserve">                        6 Administrative Aide II (BPLO SM BOSS Hub/ Year Round 
                        City Tourism, Sanitary, SSS, Pag-Ibig, PhilHealth) @ 678/day 
                        for 22 days/mo. - 1,073,952</t>
  </si>
  <si>
    <t>P/P/A 1. BUSINESS ONE STOP SHOP (BOSS) (1015-1)</t>
  </si>
  <si>
    <t xml:space="preserve">                     Meetings - 25,000</t>
  </si>
  <si>
    <t xml:space="preserve">                     Honorarium - 65,600</t>
  </si>
  <si>
    <t xml:space="preserve">                     Other MOE - 590,320</t>
  </si>
  <si>
    <t>Office: LIBRARY SERVICES OFFICE (1122)</t>
  </si>
  <si>
    <t>cyber</t>
  </si>
  <si>
    <t xml:space="preserve">                     Regular - 120,030</t>
  </si>
  <si>
    <t xml:space="preserve">                     Seminar-Workshop on Library Operation - 29,970</t>
  </si>
  <si>
    <t xml:space="preserve">                     Online Storytelling - 8,880</t>
  </si>
  <si>
    <t xml:space="preserve">                     Aklatan sa Liwasan - 21,750</t>
  </si>
  <si>
    <t xml:space="preserve">                     World Read Aloud Day 2026 - 21,750</t>
  </si>
  <si>
    <t xml:space="preserve">                     Public Library Day - 50,690</t>
  </si>
  <si>
    <t xml:space="preserve">                     Arts and Crafts Activity - 29,970</t>
  </si>
  <si>
    <t xml:space="preserve">                     National Book Week Celebration - 50,320</t>
  </si>
  <si>
    <t xml:space="preserve">                     Library Information and Services Month Celebration - 50,320</t>
  </si>
  <si>
    <t xml:space="preserve">                     "Basa, Bunot, Panalo" Activity - 55,200</t>
  </si>
  <si>
    <t xml:space="preserve">                        21 Administrative Aide II (Librarian Aide) @ 678/day for 26
                        days/mo - 4,442,256</t>
  </si>
  <si>
    <t xml:space="preserve">                     2 Units Desktop Computer</t>
  </si>
  <si>
    <t>Office: CITY SPORTS OFFICE (3392)</t>
  </si>
  <si>
    <t xml:space="preserve">                      Sports Clinic - 127,000</t>
  </si>
  <si>
    <t xml:space="preserve">                      Sports Caravan - 115,500</t>
  </si>
  <si>
    <t xml:space="preserve">                      Boxing Coaching &amp; Officiating Accrediation Seminar - 220,000</t>
  </si>
  <si>
    <t xml:space="preserve">                      Others - 100,000</t>
  </si>
  <si>
    <t xml:space="preserve">                 Semi- Expendable Furniture, Fixtures and Books Expenses</t>
  </si>
  <si>
    <t xml:space="preserve">                      Janitorial Supplies - 94,304</t>
  </si>
  <si>
    <t xml:space="preserve">                      Sports Supplies - 874,080</t>
  </si>
  <si>
    <t xml:space="preserve">                      Maintenance of Swimming Pool - 3,684,000</t>
  </si>
  <si>
    <t xml:space="preserve">                 Repairs and Maintenance </t>
  </si>
  <si>
    <t xml:space="preserve">                 Repairs and Maintenance - Buildings and Other Structures</t>
  </si>
  <si>
    <t xml:space="preserve">                      Hosting of World Table Tennis Feeder and Youth 
                      Contender - 4,000,000</t>
  </si>
  <si>
    <t xml:space="preserve">                      Batang Pinoy - 2,000,000</t>
  </si>
  <si>
    <t xml:space="preserve">                      Philippine National Games - 1,000,000</t>
  </si>
  <si>
    <t xml:space="preserve">                      BIMP-EAGA Friendship Games - 2,500,000</t>
  </si>
  <si>
    <t xml:space="preserve">                      PPC Mayor's Cup 2026 - 2,000,000</t>
  </si>
  <si>
    <t xml:space="preserve">                      Mayor Lucilo R. Bayron Motocross &amp; Extreme Enduro Cross - 
                      2,000,000</t>
  </si>
  <si>
    <t xml:space="preserve">                      International Dragon Boat Festival - 3,500,000</t>
  </si>
  <si>
    <t xml:space="preserve">                      Invitational Volleyball Tournament - 4,000,000</t>
  </si>
  <si>
    <t xml:space="preserve">                      Invitational Airsoft Competition - 300,000</t>
  </si>
  <si>
    <t xml:space="preserve">                      Invitational Shooting Competition - 1,000,000</t>
  </si>
  <si>
    <t xml:space="preserve">                      Cash Incentive Program for City Athletes and Coaches - 
                      4,000,000</t>
  </si>
  <si>
    <t xml:space="preserve">                      Mandatory Drug Test for Employees - 16,500</t>
  </si>
  <si>
    <t xml:space="preserve">                      JO/COS: </t>
  </si>
  <si>
    <t xml:space="preserve">                      2 Administrative Aide II (Clerk) @ 678/day for 22 days/mo. - 
                      357,984</t>
  </si>
  <si>
    <t xml:space="preserve">                      1 Administrative Aide II (Computer Encoder/Property Custodian)  
                      @ 678/day for 22 days/mo.- 178,992</t>
  </si>
  <si>
    <t xml:space="preserve">                      2 Light Equipment Operator (Driver) @ 678/day for 22 
                      days/mo. - 357,984</t>
  </si>
  <si>
    <t xml:space="preserve">                      4 Administrative Aide II (Venue Manager) @ 678/day for 22 
                      days/mo. - 715,968</t>
  </si>
  <si>
    <t xml:space="preserve">                      1 Administrative Aide IV (Sports Dev't. Officer) @ 765/day for  
                      22 days/mo. - 201,960</t>
  </si>
  <si>
    <t xml:space="preserve">                      29 Administrative Aide II (Trainers/Referee) @ 678/day  for 22 
                      days/mo. - 5,190,768</t>
  </si>
  <si>
    <t xml:space="preserve">                      1 Admin. Aide IV (Utility Foreman) @ 765/day  for 22 
                      days/mo. - 201,960</t>
  </si>
  <si>
    <t xml:space="preserve">                      1 Administrative Aide II (Electrician/Plumber) @ 678/day  for 22 
                      days/mo. - 178,992</t>
  </si>
  <si>
    <t xml:space="preserve">                      1 Administrative Aide II (Swimming Pool Maintenance) @ 
                      678/day for 22 days/mo. - 178,992</t>
  </si>
  <si>
    <t xml:space="preserve">                      12 Laborer I @ 639/day  for 22 days/mo. - 2,024,352</t>
  </si>
  <si>
    <t xml:space="preserve">                      1 Unit Desktop Computer</t>
  </si>
  <si>
    <t xml:space="preserve">                      2 Units Outdoor Sound System </t>
  </si>
  <si>
    <t xml:space="preserve">                      1 Unit MPV</t>
  </si>
  <si>
    <t>Office: CITY PUBLIC EMPLOYMENT SERVICES OFFICE (5999)</t>
  </si>
  <si>
    <t xml:space="preserve">                Other Bonuses and Allowances</t>
  </si>
  <si>
    <t xml:space="preserve">                     Kasanayang Pangkabuhayan 2026 - 929,600</t>
  </si>
  <si>
    <t xml:space="preserve">                     Orientation/Re-Orientation of Barangay PESO 
                     Coordinators - 54,400</t>
  </si>
  <si>
    <t xml:space="preserve">                     Regular - 216,000</t>
  </si>
  <si>
    <t xml:space="preserve">                     Honorarium of Bgy. PESO Coordinators - 480,000</t>
  </si>
  <si>
    <t xml:space="preserve">                     Job Fair/Pre-Employment Orientation - 305,125</t>
  </si>
  <si>
    <t xml:space="preserve">                     SPES - 1,200,000</t>
  </si>
  <si>
    <t xml:space="preserve">                     SPES Insurance for LGU Fully-Funded SPES - 3,360</t>
  </si>
  <si>
    <t xml:space="preserve">                     Meetings and Conferences - 52,540</t>
  </si>
  <si>
    <t xml:space="preserve">                     Career Coaching and Labor Education - 50,000</t>
  </si>
  <si>
    <t xml:space="preserve">                        2 Administrative Aide II @ 678/day for 22 days/mo - 357,984</t>
  </si>
  <si>
    <t xml:space="preserve">                        1 Light Equipment Operator (Driver) @ 678/day for 22 days
                        /mo. - 178,992</t>
  </si>
  <si>
    <t xml:space="preserve">                        2 Administrative Aide III (Employment Facilitation Focal 
                        Assistant/Training and Livelihood Focal Assistant) @ 720/day
                        for 22 days/mo. - 380,160</t>
  </si>
  <si>
    <t xml:space="preserve">  </t>
  </si>
  <si>
    <t>Office: HOUSING DEVELOPMENT OFFICE (6511)</t>
  </si>
  <si>
    <t xml:space="preserve">                 Survey, Research, Exploration and Development Exp.</t>
  </si>
  <si>
    <t xml:space="preserve">    </t>
  </si>
  <si>
    <t xml:space="preserve">                 Survey Expenses</t>
  </si>
  <si>
    <r>
      <rPr>
        <b/>
        <sz val="12"/>
        <color theme="1"/>
        <rFont val="Calibri"/>
        <family val="2"/>
      </rPr>
      <t xml:space="preserve">                      </t>
    </r>
    <r>
      <rPr>
        <sz val="12"/>
        <color theme="1"/>
        <rFont val="Calibri"/>
        <family val="2"/>
      </rPr>
      <t>Maintenance of Temporary Shelter</t>
    </r>
  </si>
  <si>
    <t xml:space="preserve">                            1 Environmental Management Researcher @ 1,056/day</t>
  </si>
  <si>
    <t xml:space="preserve">                                  for 22 days/mo. -  278,784.00 </t>
  </si>
  <si>
    <t xml:space="preserve">                            10 Administrative Aide II @ 678/day for 22 days/mo. -</t>
  </si>
  <si>
    <t xml:space="preserve">                                 1,789,920.00 </t>
  </si>
  <si>
    <t xml:space="preserve">                            10 Administrative Aide I @ 639/day for 22 days/mo. -</t>
  </si>
  <si>
    <t xml:space="preserve">                                 1,686,960.00 </t>
  </si>
  <si>
    <t xml:space="preserve">                      City Local Housing Board - 300,000.00</t>
  </si>
  <si>
    <t xml:space="preserve">                      ECAN Certification, SEP Clearance, Geohazard Report &amp;</t>
  </si>
  <si>
    <t xml:space="preserve">                      ECC - 200,000.00</t>
  </si>
  <si>
    <t xml:space="preserve">                      Meals and snacks for meetings/orientation and inspections</t>
  </si>
  <si>
    <t xml:space="preserve">                      from Regional and National Agencies - 55,500.00</t>
  </si>
  <si>
    <t xml:space="preserve">                      Registration and Splitting of Title of Four Housing Projects -</t>
  </si>
  <si>
    <t xml:space="preserve">                                 3,000,000.00 </t>
  </si>
  <si>
    <t xml:space="preserve">                 Building and Other Structures</t>
  </si>
  <si>
    <t xml:space="preserve">                 Other Structures </t>
  </si>
  <si>
    <t xml:space="preserve">                      Construction of 10 Materials Recovery Facilities (MRF)</t>
  </si>
  <si>
    <t xml:space="preserve">                 Office Equipment </t>
  </si>
  <si>
    <t xml:space="preserve">                      1 Photocopying Machine</t>
  </si>
  <si>
    <t>Office: LOCAL ECONOMIC AND DEVELOPMENT MANAGEMENT OFFICE (8859)</t>
  </si>
  <si>
    <t xml:space="preserve">                 Terminal Leave Benefits</t>
  </si>
  <si>
    <r>
      <rPr>
        <b/>
        <sz val="12"/>
        <color theme="1"/>
        <rFont val="Calibri"/>
        <family val="2"/>
      </rPr>
      <t xml:space="preserve">                       </t>
    </r>
    <r>
      <rPr>
        <sz val="12"/>
        <color theme="1"/>
        <rFont val="Calibri"/>
        <family val="2"/>
      </rPr>
      <t>Office - 100,000.00</t>
    </r>
  </si>
  <si>
    <r>
      <rPr>
        <b/>
        <sz val="12"/>
        <color theme="1"/>
        <rFont val="Calibri"/>
        <family val="2"/>
      </rPr>
      <t xml:space="preserve">                       </t>
    </r>
    <r>
      <rPr>
        <sz val="12"/>
        <color theme="1"/>
        <rFont val="Calibri"/>
        <family val="2"/>
      </rPr>
      <t>Negosyo Serbisyo Caravan sa Barangay - 200,000.00</t>
    </r>
  </si>
  <si>
    <t xml:space="preserve">                 Printing and Publication Expenses</t>
  </si>
  <si>
    <r>
      <rPr>
        <b/>
        <sz val="12"/>
        <color theme="1"/>
        <rFont val="Calibri"/>
        <family val="2"/>
      </rPr>
      <t xml:space="preserve">                       </t>
    </r>
    <r>
      <rPr>
        <sz val="12"/>
        <color theme="1"/>
        <rFont val="Calibri"/>
        <family val="2"/>
      </rPr>
      <t>JO/COS:</t>
    </r>
  </si>
  <si>
    <t xml:space="preserve">                       1 Admin Aide II @ 678/day for 22 days/mo. - 178,992.00</t>
  </si>
  <si>
    <t xml:space="preserve">                       Honorarium - 129,600.00</t>
  </si>
  <si>
    <t xml:space="preserve">                       PPCIB.LoGIC Network/MSMED Council Meetings,
                   </t>
  </si>
  <si>
    <t xml:space="preserve">                       CMCI Meeting, etc.) - 30,000.00</t>
  </si>
  <si>
    <t xml:space="preserve">                       Aide to Micro, Small &amp; Medium Enterprises - 300,000.00</t>
  </si>
  <si>
    <t>I. ANTI-CRIME</t>
  </si>
  <si>
    <t xml:space="preserve">                 Motor Vehicles </t>
  </si>
  <si>
    <t>II. ANTI-ILLEGAL DRUGS</t>
  </si>
  <si>
    <t xml:space="preserve">      Total Current Operating Expenditures for Anti-Illegal Drugs</t>
  </si>
  <si>
    <t>TOTAL APPROPRIATIONS FOR ANTI-ILLEGAL DRUGS</t>
  </si>
  <si>
    <t>III. ANTI-DRUG ABUSE</t>
  </si>
  <si>
    <t xml:space="preserve">                 Medical, Dental and Laboratory Supplies Expenses</t>
  </si>
  <si>
    <t xml:space="preserve">      Total Current Operating Expenditures for Anti-Drug Abuse</t>
  </si>
  <si>
    <t>TOTAL APPROPRIATIONS PUBLIC ORDER AND SAFETY</t>
  </si>
  <si>
    <t>P/P/A 6. URBAN POOR AFFAIRS PROGRAM (6999-2)</t>
  </si>
  <si>
    <t>P/P/A 7. OPERATIONAL SUPPORT TO CITY PNP STATION (1181)</t>
  </si>
  <si>
    <t xml:space="preserve">                 Supplies and Materials Expense</t>
  </si>
  <si>
    <t xml:space="preserve">                 Utility Expenses</t>
  </si>
  <si>
    <t xml:space="preserve">                 Water Expenses</t>
  </si>
  <si>
    <t xml:space="preserve">                 Electricity Expenses</t>
  </si>
  <si>
    <t xml:space="preserve">                 Repairs &amp; Maintenance </t>
  </si>
  <si>
    <t xml:space="preserve">                 Repairs and Maintenance - Transportation Equipment </t>
  </si>
  <si>
    <t xml:space="preserve">                 Communication Expense</t>
  </si>
  <si>
    <t xml:space="preserve">                 Food Supplies Expenses</t>
  </si>
  <si>
    <t xml:space="preserve">                Transportation Equipment</t>
  </si>
  <si>
    <t>P/P/A 20. PISTA NA PASKO PA SA LUNGSOD (3391-3)</t>
  </si>
  <si>
    <t>P/P/A 21. OPERATION OF LGPMS (1999-17)</t>
  </si>
  <si>
    <t>P/P/A 22. OPERATIONAL SUPPORT TO CITY PEOPLE'S COUNCIL (1999-11)</t>
  </si>
  <si>
    <t>P/P/A 23. OPERATIONAL SUPPORT FOR CITY DEVELOPMENT COUNCIL (1999-12)</t>
  </si>
  <si>
    <t>P/P/A 24. OPERATION OF SAN RAFAEL MINI CITY HALL (1011-6)</t>
  </si>
  <si>
    <t>P/P/A 25. OPERATION OF NAPSAN MINI CITY HALL (1011-7)</t>
  </si>
  <si>
    <t xml:space="preserve">                 Other Machinery and Equipment </t>
  </si>
  <si>
    <t>P/P/A 26. OPERATION OF MACARASCAS MINI CITY HALL (1011-8)</t>
  </si>
  <si>
    <t>P/P/A 27. OPERATION OF LUZVIMINDA MINI CITY HALL (1011-9)</t>
  </si>
  <si>
    <t>P/P/A 28. OPERATIONAL SUPPORT FOR CITY DILG (9993-1)</t>
  </si>
  <si>
    <t>P/P/A 29. OPERATIONAL SUPPORT FOR KATARUNGANG PAMBARANGAY (1999-13)</t>
  </si>
  <si>
    <t>P/P/A 30. OPERATIONAL SUPPORT FOR PDEA (9993-2)</t>
  </si>
  <si>
    <t>P/P/A 31. OPERATIONAL SUPPORT FOR CITY COMELEC (9993-3)</t>
  </si>
  <si>
    <t>P/P/A 32. OPERATIONAL SUPPORT TO BJMP (9993-4)</t>
  </si>
  <si>
    <t xml:space="preserve">                 Agricultural and Marine Supplies Expenses</t>
  </si>
  <si>
    <t xml:space="preserve">                 Rent Expenses</t>
  </si>
  <si>
    <t xml:space="preserve">                 Donations </t>
  </si>
  <si>
    <t xml:space="preserve">                 Repairs and Maintenance - Machinery and Equipment </t>
  </si>
  <si>
    <t xml:space="preserve">            Machinery and Equipment</t>
  </si>
  <si>
    <t xml:space="preserve">              Communication Equipment </t>
  </si>
  <si>
    <t xml:space="preserve">                 Drugs and Medicines Expenses</t>
  </si>
  <si>
    <t xml:space="preserve">                 Technical and Scientific Equipment </t>
  </si>
  <si>
    <t>P/P/A 1. CIVIL SECURITY GROUP (CSG) (1013)</t>
  </si>
  <si>
    <t xml:space="preserve">         1.1 Maintenance and Other Operating Expenses</t>
  </si>
  <si>
    <t xml:space="preserve">                   - Crowd Control and Management - 99,000</t>
  </si>
  <si>
    <t xml:space="preserve">                   - Training on Trauma Care - 59,400</t>
  </si>
  <si>
    <t xml:space="preserve">                  - JO/COS:</t>
  </si>
  <si>
    <t>P/P/A 2. PUBLIC ORDER AND SAFETY (1013-6)</t>
  </si>
  <si>
    <t xml:space="preserve">      Total Current Operating Expenditures for Anti-Crime</t>
  </si>
  <si>
    <t>TOTAL APPROPRIATIONS FOR ANTI-CRIME</t>
  </si>
  <si>
    <t xml:space="preserve">                 Total Maintenance and Other Operating Expenses </t>
  </si>
  <si>
    <t xml:space="preserve">         1.1  Maintenance &amp; Other Operating Expenditures (200)</t>
  </si>
  <si>
    <t xml:space="preserve">                  - Meals and Snacks:</t>
  </si>
  <si>
    <t xml:space="preserve">                     -Drug-Free Workplace Policy Orientation, IEC and Other </t>
  </si>
  <si>
    <t xml:space="preserve">                          Meetings - 38,250</t>
  </si>
  <si>
    <t xml:space="preserve">                     -BADAC Summit - 148,500</t>
  </si>
  <si>
    <t xml:space="preserve">                     -Stakeholder's Meeting, BADAC Meeting, CADAC</t>
  </si>
  <si>
    <t xml:space="preserve">                          Quarterly Meetings and Other Activity - 44,000</t>
  </si>
  <si>
    <t xml:space="preserve">                     -Int'l. Day Against Drug Abuse &amp; Illicit Trafficking Activity</t>
  </si>
  <si>
    <t xml:space="preserve">                          (IDADAIT) - 22,000</t>
  </si>
  <si>
    <t xml:space="preserve">                     -Drug Abuse Prevention Control Activity (DAPC) - 22,000</t>
  </si>
  <si>
    <t>TOTAL APPROPRIATIONS  ANTI-DRUG ABUSE</t>
  </si>
  <si>
    <t>P/P/A 3. DRIVE AGAINST PROFESSIONAL SQUATTING SYNDICATES (1131-1)</t>
  </si>
  <si>
    <t xml:space="preserve">                    - JO/COS:</t>
  </si>
  <si>
    <t>P/P/A 4. OPERATIONAL SUPPORT TO COUNCIL AGAINST PROFESSIONAL SQUATTING SYNDICATES (1131-2)</t>
  </si>
  <si>
    <t xml:space="preserve">                   - Honorarium - 165,000</t>
  </si>
  <si>
    <t xml:space="preserve">                   - Meetings - 27,750</t>
  </si>
  <si>
    <t>P/P/A 5. OPERATION OF GREEN JUSTICE ZONE IN PUERTO PRINCESA CITY  (1011-10)</t>
  </si>
  <si>
    <t xml:space="preserve">                 Traveling Expenses </t>
  </si>
  <si>
    <t xml:space="preserve">                 Traveling Expenses - Local</t>
  </si>
  <si>
    <t xml:space="preserve">                    - Capacity Building of Law Enforcement - 78,456.00</t>
  </si>
  <si>
    <t xml:space="preserve">                    - Training on Roles of Barangay Officials in Environmental
                      Protection and Management - 175,807.00</t>
  </si>
  <si>
    <t xml:space="preserve">                    - Inter-Agency Dialogue on the Relevance of Evidence in
                      Case Build-Up - 134,400.00</t>
  </si>
  <si>
    <t xml:space="preserve">                    - Production of IEC Materials - 154,500.00</t>
  </si>
  <si>
    <t xml:space="preserve">                    - Campus-Based IEC for Student Leaders - 215,536.00</t>
  </si>
  <si>
    <t xml:space="preserve">                    - Public Service Announcement - 51,500.00</t>
  </si>
  <si>
    <t>RATE</t>
  </si>
  <si>
    <t>NO. OF JO</t>
  </si>
  <si>
    <t>NO. OF DAYS</t>
  </si>
  <si>
    <t>12 MONTHS</t>
  </si>
  <si>
    <t>ANNUAL RATE</t>
  </si>
  <si>
    <t xml:space="preserve">                        4 Admin. Aide II @ 678.00/day for 22 days/mo. -
                        715,968.00</t>
  </si>
  <si>
    <t xml:space="preserve">                        4 Admin. Aide I (Mail Carriers) @ 639.00/day for 22 
                        days/mo. - 674,784.00</t>
  </si>
  <si>
    <t xml:space="preserve">                   - Meetings - 20,000</t>
  </si>
  <si>
    <t xml:space="preserve">                   - JO/COS:</t>
  </si>
  <si>
    <r>
      <rPr>
        <b/>
        <sz val="12"/>
        <color theme="1"/>
        <rFont val="Calibri"/>
        <family val="2"/>
      </rPr>
      <t xml:space="preserve">                       </t>
    </r>
    <r>
      <rPr>
        <sz val="12"/>
        <color theme="1"/>
        <rFont val="Calibri"/>
        <family val="2"/>
      </rPr>
      <t>5 Admin. Aide I @ 639/day for 22 days/mo. - 843,480</t>
    </r>
  </si>
  <si>
    <t xml:space="preserve">                     PPC Police Office - 1,000,000.00</t>
  </si>
  <si>
    <t xml:space="preserve">                     PPC Forensic Unit - 108,690.00</t>
  </si>
  <si>
    <t xml:space="preserve">                     Internal Affairs Service - 40,000.00</t>
  </si>
  <si>
    <t xml:space="preserve">                     CECU - 40,000.00</t>
  </si>
  <si>
    <t xml:space="preserve">                     PPC Police Office - 300,000.00</t>
  </si>
  <si>
    <t xml:space="preserve">                     PPC Police Office - 700,000.00</t>
  </si>
  <si>
    <t xml:space="preserve">                     Palawan Cyber Response Team - 45,039.00</t>
  </si>
  <si>
    <t xml:space="preserve">                     PPC Forensic Unit - 52,099.00</t>
  </si>
  <si>
    <t xml:space="preserve">                     Internal Affairs Service - 54,838.00</t>
  </si>
  <si>
    <t xml:space="preserve">                     CECU - 46,592.00</t>
  </si>
  <si>
    <t xml:space="preserve">                     Palawan Cyber Response Team - 73,500.00</t>
  </si>
  <si>
    <t xml:space="preserve">                     Palawan Cyber Response Team - 12,800.00</t>
  </si>
  <si>
    <t xml:space="preserve">                     CECU - 210,654.00</t>
  </si>
  <si>
    <t xml:space="preserve">                     Palawan Cyber Response Team - 1,510.00</t>
  </si>
  <si>
    <t xml:space="preserve">                     PPC Forensic Unit - 39,069.00</t>
  </si>
  <si>
    <t xml:space="preserve">                     CECU - 31,297.00</t>
  </si>
  <si>
    <t xml:space="preserve">                     PPC Police Office - 900,000.00</t>
  </si>
  <si>
    <t xml:space="preserve">                     Palawan Cyber Response Team - 7,000.00</t>
  </si>
  <si>
    <t xml:space="preserve">                     CECU - 30,000.00</t>
  </si>
  <si>
    <t xml:space="preserve">                     PPC Police Office - 5,000,000.00</t>
  </si>
  <si>
    <t xml:space="preserve">                     Palawan Cyber Response Team - 15,000.00</t>
  </si>
  <si>
    <t xml:space="preserve">                     CECU - 120,000.00</t>
  </si>
  <si>
    <t xml:space="preserve">                      Internal Affairs Service - 8,400.00</t>
  </si>
  <si>
    <t xml:space="preserve">                      CECU - 18,000.00</t>
  </si>
  <si>
    <t xml:space="preserve">                     Palawan Cyber Response Team - 20,460.00</t>
  </si>
  <si>
    <t xml:space="preserve">                     Internal Affairs Service - 24,000.00</t>
  </si>
  <si>
    <t xml:space="preserve">                     CECU - 24,000.00</t>
  </si>
  <si>
    <t xml:space="preserve">                     Palawan Cyber Response Team - 50,000.00</t>
  </si>
  <si>
    <t xml:space="preserve">                     PPC Police Office - 3,000,000.00</t>
  </si>
  <si>
    <t xml:space="preserve">                     - Honorarium:</t>
  </si>
  <si>
    <r>
      <rPr>
        <sz val="12"/>
        <color theme="1"/>
        <rFont val="Calibri"/>
        <family val="2"/>
      </rPr>
      <t xml:space="preserve">                </t>
    </r>
    <r>
      <rPr>
        <i/>
        <sz val="12"/>
        <color theme="1"/>
        <rFont val="Calibri"/>
        <family val="2"/>
      </rPr>
      <t xml:space="preserve">         PPC Police Office - 114,000.00</t>
    </r>
  </si>
  <si>
    <t xml:space="preserve">                     - Operational Fund:</t>
  </si>
  <si>
    <r>
      <rPr>
        <sz val="12"/>
        <color theme="1"/>
        <rFont val="Calibri"/>
        <family val="2"/>
      </rPr>
      <t xml:space="preserve">                        </t>
    </r>
    <r>
      <rPr>
        <i/>
        <sz val="12"/>
        <color theme="1"/>
        <rFont val="Calibri"/>
        <family val="2"/>
      </rPr>
      <t xml:space="preserve"> PPC Police Office - 120,000.00</t>
    </r>
  </si>
  <si>
    <t xml:space="preserve">                     - Incentive Allowance:</t>
  </si>
  <si>
    <t xml:space="preserve">                       Internal Affairs Service (3 Personnel @ 2,000.00/mo.) -
                       72,000.00</t>
  </si>
  <si>
    <t xml:space="preserve">                       CECU (7 Personnel @ 2,000.00/mo.) - 168,000.00</t>
  </si>
  <si>
    <t xml:space="preserve">                       Maritime Group (86 Personnel @ 2,000.00/mo.) -
                       2,064,000.00</t>
  </si>
  <si>
    <t xml:space="preserve">                       Aviation Security Group (87 Personnel @ 2,000.00/mo.) - 
                       2,088,000.00</t>
  </si>
  <si>
    <t xml:space="preserve">                     - JO/COS:</t>
  </si>
  <si>
    <r>
      <rPr>
        <sz val="12"/>
        <color theme="1"/>
        <rFont val="Calibri"/>
        <family val="2"/>
      </rPr>
      <t xml:space="preserve">                        </t>
    </r>
    <r>
      <rPr>
        <i/>
        <sz val="12"/>
        <color theme="1"/>
        <rFont val="Calibri"/>
        <family val="2"/>
      </rPr>
      <t>PPC Police Office</t>
    </r>
  </si>
  <si>
    <t xml:space="preserve">                          1 Admin. Aide II @ 678.00/day for 26 days/mo. - 
                          211,536.00</t>
  </si>
  <si>
    <t xml:space="preserve">       Total Current Operating Expenditures</t>
  </si>
  <si>
    <t xml:space="preserve">       Total Capital Outlay</t>
  </si>
  <si>
    <t>P/P/A 11. OPERATIONAL SUPPORT FOR PLEB (1181-2)</t>
  </si>
  <si>
    <t xml:space="preserve">                  - Honorarium - 318,000</t>
  </si>
  <si>
    <t xml:space="preserve">                      2 Admin. Aide II @ 678/day for 22 days/mo. - 357,984</t>
  </si>
  <si>
    <t>P/P/A 12. OPERATIONAL SUPPORT FOR PEACE AND ORDER COUNCIL (1181-5)</t>
  </si>
  <si>
    <t xml:space="preserve">                   - Strengthening the Peace and Order Council - 50,000</t>
  </si>
  <si>
    <t xml:space="preserve">                   - Quarterly Council Meeting - 15,000</t>
  </si>
  <si>
    <t xml:space="preserve">                   - Other Meetings - 4,500</t>
  </si>
  <si>
    <t>P/P/A 13. OPERATIONAL SUPPORT FOR FIRE PROTECTION BUREAU (1191)</t>
  </si>
  <si>
    <t xml:space="preserve">                     - Honorarium - 114,000.00</t>
  </si>
  <si>
    <t xml:space="preserve">                     - Incentive Allowance (43 Personnel @ 2,000.00/mo.) - 
                       1,032,000.00</t>
  </si>
  <si>
    <t xml:space="preserve">                         10 Admin. Aide II (Fire Fighter) @ 678.00/day for
                         26 days/mo. - 2,115,360.00</t>
  </si>
  <si>
    <t xml:space="preserve">                Information and Communication Technology Equipment</t>
  </si>
  <si>
    <t>P/P/A 14. OPERATIONAL SUPPORT FOR PERFORMANCE MANAGEMENT TEAM (PMT) (1999-1)</t>
  </si>
  <si>
    <t xml:space="preserve">                    - Honorarium - 216,000</t>
  </si>
  <si>
    <t xml:space="preserve">                    - Meetings - 25,000</t>
  </si>
  <si>
    <t>P/P/A 15. SUBARAW BIODIVERSITY FESTIVAL (3391-1)</t>
  </si>
  <si>
    <t>P/P/A 16. BALAYONG FESTIVAL (PPC FOUNDING ANNIVERSARY) (3391-2)</t>
  </si>
  <si>
    <t xml:space="preserve">                 Other Supplies and Other Operating Expenses</t>
  </si>
  <si>
    <t>P/P/A 17. CITY TRAFFIC MANAGEMENT PROGRAM (1999-8)</t>
  </si>
  <si>
    <t xml:space="preserve">                        1 Traffic Operations Officer I @ 1,365/day for 26
                        days/mo. -  425,880</t>
  </si>
  <si>
    <t xml:space="preserve">                        1 Admin. Assistant I (Office) @ 914/day for 22 days/mo.
                        - 241,296</t>
  </si>
  <si>
    <t xml:space="preserve">                        1 Admin. Assistant I (Enforcement) @914/day for 26 
                        days/mo. - 285,168</t>
  </si>
  <si>
    <t xml:space="preserve">                        9 Traffic Aide II @ 812/day for 26 days/mo. - 2,280,096</t>
  </si>
  <si>
    <t xml:space="preserve">                        134 Traffic Aide I @ 720/day for 26 days/mo. - 
                        30,101,760</t>
  </si>
  <si>
    <t xml:space="preserve">                        3 Light Eqt. Operator (Driver) @ 678/day for 26 
                        days/mo. - 634,608</t>
  </si>
  <si>
    <t xml:space="preserve">                        2 Admin. Aide II (Radio Operator) @ 678/day for 26 
                        days/mo. -  423,072</t>
  </si>
  <si>
    <t xml:space="preserve">                        5 Admin. Aide I @ 639/day for 22 days/mo. - 843,480</t>
  </si>
  <si>
    <t>P/P/A 18. OPERATION OF EMERGENCY CALL CENTER PATROL 117 (1999-9)</t>
  </si>
  <si>
    <t xml:space="preserve">                        2 Admin. Aide IV @ 765/day for 26 days/mo. - 477,360</t>
  </si>
  <si>
    <t xml:space="preserve">                        2 Admin. Aide III (Electronics Comm. Tech.) @ 720/day
                        for 26days/mo. - 449,280</t>
  </si>
  <si>
    <t xml:space="preserve">                        12 Admin. Aide II (Comm. Eqpt. Operator) @ 678/day 
                        for 26 days/mo. - 2,538,432</t>
  </si>
  <si>
    <t xml:space="preserve">                        7 Admin. Aide I (CCTV Monitoring) @ 639/day for 26 
                        days/mo. - 1,395,576</t>
  </si>
  <si>
    <t xml:space="preserve">                        1 Admin. Aide I @ 639/day for 26days/mo. - 199,368</t>
  </si>
  <si>
    <t xml:space="preserve">                 -  3 unit Laptop - 153,000</t>
  </si>
  <si>
    <t xml:space="preserve">                 - 16 set CCTV Camera - 5,760,000</t>
  </si>
  <si>
    <t xml:space="preserve">                  - 4 set 64-CH Hybrid Network Video Recorder - 1,280,000</t>
  </si>
  <si>
    <t xml:space="preserve">                  - 5 unit 32-CH Network Video Recorder - 405,000</t>
  </si>
  <si>
    <t>P/P/A 19. LOCAL YOUTH DEVELOPMENT OFFICE (1999-10)</t>
  </si>
  <si>
    <t xml:space="preserve">                    - AKAPP Drug Prevention and Mental Health Awareness
                      Training - 185,000.00</t>
  </si>
  <si>
    <t xml:space="preserve">                    - AKAPP HIV-AIDS Prevention and Adolescent Sexual and 
                      Reproductive Health Training - 185,000.00</t>
  </si>
  <si>
    <t xml:space="preserve">                    - AKAPP Business and Literacy Training - 185,000.00</t>
  </si>
  <si>
    <t xml:space="preserve">                    - SK Mandatory Training - 244,200.00</t>
  </si>
  <si>
    <t xml:space="preserve">                    - SK Leadership Training - 244,200.00</t>
  </si>
  <si>
    <t xml:space="preserve">                    - PPC Youth Assembly - 100,000.00</t>
  </si>
  <si>
    <t xml:space="preserve">                    - Local Youth Development Council - 120,000.00</t>
  </si>
  <si>
    <t xml:space="preserve">                    - PPC Young Leaders' Academy - 1,165,000.00</t>
  </si>
  <si>
    <t xml:space="preserve">                    - PPC Youth Festival - 1,000,000.00</t>
  </si>
  <si>
    <t xml:space="preserve">                        6 Admin. Aide II @ 678/day for 22 days/mo. - 
                        1,073,952.00</t>
  </si>
  <si>
    <t xml:space="preserve">                1 set Portable Sound System with Microphone - 100,000</t>
  </si>
  <si>
    <t xml:space="preserve">                1 unit Portable Video Camera with Microphone - 60,000</t>
  </si>
  <si>
    <t xml:space="preserve">              Information and Communication Technology Equipment </t>
  </si>
  <si>
    <t xml:space="preserve">                1 unit LED Projector - 60,000.00</t>
  </si>
  <si>
    <t xml:space="preserve">                 Giant Christmas Tree - 6,000,000 </t>
  </si>
  <si>
    <t xml:space="preserve">                 Street Decors - 1,000,000 </t>
  </si>
  <si>
    <t xml:space="preserve">                 Mini City Hall Decors with Christmas Tree - 1,000,000 </t>
  </si>
  <si>
    <t xml:space="preserve">                 City Hall Decors - 500,000 </t>
  </si>
  <si>
    <t xml:space="preserve">                 Nightly Presentation with Prizes - 1,000,000 </t>
  </si>
  <si>
    <t xml:space="preserve">                 Pyro-Musical Display - 1,000,000</t>
  </si>
  <si>
    <t xml:space="preserve">                    - Coordination/Orientation of SGLG/LGPMS, and SGLG</t>
  </si>
  <si>
    <t xml:space="preserve">                       Assessment and Exit Meetings</t>
  </si>
  <si>
    <t xml:space="preserve">                    - Honorarium - 1,485,500</t>
  </si>
  <si>
    <t xml:space="preserve">                    - Meetings (Regular/Sector/Semestral) - 1,000,000</t>
  </si>
  <si>
    <t xml:space="preserve">                    - Meetings - 24,000</t>
  </si>
  <si>
    <t xml:space="preserve">                        2 Administrative Aide II @ 678/day for 22 days/mo. 
                        - 357,984</t>
  </si>
  <si>
    <t xml:space="preserve">                        6 Light Eqt. Operator @ 678/day for 22 days/mo. - 
                        1,073,952</t>
  </si>
  <si>
    <t xml:space="preserve">                        3 Watchman I @ 678/day for 26 days/mo. - 634,608</t>
  </si>
  <si>
    <t xml:space="preserve">                        2 Admin. Aide I (Utility/Gardener) @ 639/day for 22 
                        days/mo. - 337,392</t>
  </si>
  <si>
    <t xml:space="preserve">                   Information and Communication Technology Equipment</t>
  </si>
  <si>
    <t xml:space="preserve">                     1 unit Desktop Computer - 50,000</t>
  </si>
  <si>
    <t xml:space="preserve">                     1 unit Portable Satellite Internet - 56,000</t>
  </si>
  <si>
    <t xml:space="preserve">         Total Capital Outlay</t>
  </si>
  <si>
    <t xml:space="preserve">                  - Meetings - 24,000</t>
  </si>
  <si>
    <t xml:space="preserve">                      5 Light Eqt. Operator @ 678/day for 22 days/mo. - 
                      894,960</t>
  </si>
  <si>
    <t xml:space="preserve">                      3 Watchman I @ 678/day for 26 days/mo. - 634,608</t>
  </si>
  <si>
    <t xml:space="preserve">                      1 Administrative Aide II (Clerk) @ 678/day for 22 days/
                      mo. - 178,992</t>
  </si>
  <si>
    <t xml:space="preserve">                      2 Administrative Aide I (Utility/Gardener) @ 639/day for
                      22 days/mo. - 337,392</t>
  </si>
  <si>
    <t xml:space="preserve">                    1 unit Desktop Computer - 50,000</t>
  </si>
  <si>
    <t xml:space="preserve">                    1 unit Portable Satellite Internet - 56,050</t>
  </si>
  <si>
    <t xml:space="preserve">                      7 Light Eqt. Operator @ 678/day for 22 days/mo. - 
                      1,252,944</t>
  </si>
  <si>
    <t xml:space="preserve">                      2 Administrative Aide II (Clerk) @ 678/day for 22 days/
                      mo. - 357,984</t>
  </si>
  <si>
    <t xml:space="preserve">                     1 unit Portable Satellite Internet </t>
  </si>
  <si>
    <t xml:space="preserve">                  Motor Vehicles </t>
  </si>
  <si>
    <t xml:space="preserve">                     1 unit Motorcycle</t>
  </si>
  <si>
    <t xml:space="preserve">                   Other Transportation Equipment</t>
  </si>
  <si>
    <t xml:space="preserve">                     1 unit Utility Trailer</t>
  </si>
  <si>
    <t xml:space="preserve">                         6 Light Eqt. Operator @ 678/day for 22 days/mo. - 
                         1,073,952</t>
  </si>
  <si>
    <t xml:space="preserve">                         3 Watchman I @ 678/day for 26 days/mo. - 634,608</t>
  </si>
  <si>
    <t xml:space="preserve">                         2 Admin. Aide II (Clerk) @ 678/day for 22 days/mo. - 
                         357,984</t>
  </si>
  <si>
    <t xml:space="preserve">                         2 Admin. Aide I (Utility/Gardener) @ 639/day for 22 
                         days/mo. - 337,392</t>
  </si>
  <si>
    <t xml:space="preserve">                     1 unit Portable Satellite Internet</t>
  </si>
  <si>
    <t xml:space="preserve">                    - Honorarium @ 9,500.00/mo. - 114,000.00</t>
  </si>
  <si>
    <t xml:space="preserve">                    - Capacity Building for Barangay-Based Institutions (BBIs) 
                      and Other Functional Committees, Councils, and Teams - 
                      138,600.00</t>
  </si>
  <si>
    <t xml:space="preserve">                    - Capacity Enhancement Trainings for Lupong
                      Tagapamayapa - 123,750.00</t>
  </si>
  <si>
    <t xml:space="preserve">                    - LTIA Pre-Assessment Activities and City Awards 
                      Committee Assessment - 2,250.00</t>
  </si>
  <si>
    <t xml:space="preserve">                     - Incentive Allowance (18 Personnel @ 2,000.00/mo.) - 
                       432,000.00</t>
  </si>
  <si>
    <t xml:space="preserve">                    - Honoraria @ 9,500.00/mo. - 114,000.00</t>
  </si>
  <si>
    <t xml:space="preserve">                        12 Admin. Aide II @ 678.00/day for 22 days/mo. - 
                        2,147,904.00</t>
  </si>
  <si>
    <t xml:space="preserve">                 Furniture, Fixtures and Books</t>
  </si>
  <si>
    <t xml:space="preserve">                    - Incentive Allowance (80 Personnel @ 2,000.00/mo.) - 
                      1,920,000.00</t>
  </si>
  <si>
    <t>P/P/A 33. PROVISION FOR NEW ORGANIZATIONAL STRUCTURE AND STAFFING PATTERN OF THE CITY GOVERNMENT OF PUERTO PRINCESA (1999-15)</t>
  </si>
  <si>
    <t>P/P/A 34. OPERATION AND MANAGEMENT OF THE CITY BAYWALK (6999-1)</t>
  </si>
  <si>
    <t xml:space="preserve">                    - CBMO Board Honoraria - 120,000</t>
  </si>
  <si>
    <t xml:space="preserve">                        2 Admin. Aide IV (Utility Foreman) @ 765/day for 26 
                        days/mo. - 477,360</t>
  </si>
  <si>
    <t xml:space="preserve">                        1 Admin. Aide II (Office Staff) @ 678/day for 22 
                        days/mo. - 178,992</t>
  </si>
  <si>
    <t xml:space="preserve">                        10 Admin. Aide I (Gardener/Utility) @ 639/day for 26 
                        days/mo. - 1,993,680</t>
  </si>
  <si>
    <t>P/P/A 35. OPLAN LINIS PROGRAM (6521)</t>
  </si>
  <si>
    <t xml:space="preserve">                 Telephone Expenses </t>
  </si>
  <si>
    <t xml:space="preserve">                    - International Coastal Clean-Up - 200,000</t>
  </si>
  <si>
    <t xml:space="preserve">                    - Save the Puerto Princesa Bays - 4,000,000</t>
  </si>
  <si>
    <t xml:space="preserve">                          2 Landscaping Supervisor @ 1,466/day for 26 days/mo. 
                          - 914,784</t>
  </si>
  <si>
    <t xml:space="preserve">                          1 Laborer II @ 720/day for 26 days/mo. - 224,640</t>
  </si>
  <si>
    <r>
      <rPr>
        <sz val="12"/>
        <color theme="1"/>
        <rFont val="Calibri"/>
        <family val="2"/>
      </rPr>
      <t xml:space="preserve">                        </t>
    </r>
    <r>
      <rPr>
        <i/>
        <sz val="12"/>
        <color theme="1"/>
        <rFont val="Calibri"/>
        <family val="2"/>
      </rPr>
      <t>Clearing</t>
    </r>
  </si>
  <si>
    <t xml:space="preserve">                          1 Labor Foreman @ 861/day for 26 days/mo. - 268,632</t>
  </si>
  <si>
    <t xml:space="preserve">                          20 Laborer @ 639/day for 26 days/mo. - 3,987,360</t>
  </si>
  <si>
    <r>
      <rPr>
        <sz val="12"/>
        <color theme="1"/>
        <rFont val="Calibri"/>
        <family val="2"/>
      </rPr>
      <t xml:space="preserve">         </t>
    </r>
    <r>
      <rPr>
        <i/>
        <sz val="12"/>
        <color theme="1"/>
        <rFont val="Calibri"/>
        <family val="2"/>
      </rPr>
      <t xml:space="preserve">              Cleanliness</t>
    </r>
  </si>
  <si>
    <t xml:space="preserve">                          4 Laborer II @ 720/day for 26 days/mo. - 898,560</t>
  </si>
  <si>
    <t xml:space="preserve">                          80 Laborer @ 639/day for 26 days/mo. - 15,949,440</t>
  </si>
  <si>
    <r>
      <rPr>
        <sz val="12"/>
        <color theme="1"/>
        <rFont val="Calibri"/>
        <family val="2"/>
      </rPr>
      <t xml:space="preserve">                       </t>
    </r>
    <r>
      <rPr>
        <i/>
        <sz val="12"/>
        <color theme="1"/>
        <rFont val="Calibri"/>
        <family val="2"/>
      </rPr>
      <t>Operations</t>
    </r>
  </si>
  <si>
    <t xml:space="preserve">                          7 Laborer II @ 720/day for 26 days/mo. - 1,572,480</t>
  </si>
  <si>
    <t xml:space="preserve">                          90 Laborer @ 639/day for 26 days/mo. - 17,943,120</t>
  </si>
  <si>
    <t xml:space="preserve">                 Agricultural and Forestry Equipment</t>
  </si>
  <si>
    <t xml:space="preserve">                 Other Transportation Equipment</t>
  </si>
  <si>
    <t xml:space="preserve">                   2 units Mini Dump Truck</t>
  </si>
  <si>
    <t>P/P/A 36. BALAYONG PEOPLE'S PARK MANAGEMENT (6544-1)</t>
  </si>
  <si>
    <t xml:space="preserve">                 Travelling Expenses- Local</t>
  </si>
  <si>
    <r>
      <rPr>
        <b/>
        <sz val="12"/>
        <color theme="1"/>
        <rFont val="Calibri"/>
        <family val="2"/>
      </rPr>
      <t xml:space="preserve">                    </t>
    </r>
    <r>
      <rPr>
        <sz val="12"/>
        <color theme="1"/>
        <rFont val="Calibri"/>
        <family val="2"/>
      </rPr>
      <t>- Participation in Philippine Park Congress (2 pax)</t>
    </r>
  </si>
  <si>
    <t xml:space="preserve">                    - Balayong Tree Planting &amp; Nurturing Forum/Workshop - 
                      82,450.00</t>
  </si>
  <si>
    <t xml:space="preserve">                    - Art Workshop - 17,229.00</t>
  </si>
  <si>
    <t xml:space="preserve">                    - Personal Protective Equipment - 129,550.00</t>
  </si>
  <si>
    <t xml:space="preserve">                    - Fountain Parts and Accessories - 50,650.00</t>
  </si>
  <si>
    <t xml:space="preserve">                    - Utility System of the Park - 134,378.00</t>
  </si>
  <si>
    <t xml:space="preserve">                    - Cultural and Public Affairs Service - 90,310.00</t>
  </si>
  <si>
    <t xml:space="preserve">                    - Promotional Activities - 119,000.00</t>
  </si>
  <si>
    <t xml:space="preserve">                    - Maintenance of Park Facilities, Office, and Amenities - 
                      160,979.00</t>
  </si>
  <si>
    <t xml:space="preserve">                    - Zipline Operations - 172,200.00</t>
  </si>
  <si>
    <t xml:space="preserve">                    - Balayong Tree Planting &amp; Nurturing Festival - 735,550.00</t>
  </si>
  <si>
    <t xml:space="preserve">                    - Pabilugon (Monthly Full Moon Event) - 52,800.00</t>
  </si>
  <si>
    <t xml:space="preserve">                    - Operational Support to Balayong People's Park 
                      Management Board - 31,680.00</t>
  </si>
  <si>
    <r>
      <rPr>
        <b/>
        <sz val="12"/>
        <color theme="1"/>
        <rFont val="Calibri"/>
        <family val="2"/>
      </rPr>
      <t xml:space="preserve">                      </t>
    </r>
    <r>
      <rPr>
        <b/>
        <i/>
        <sz val="12"/>
        <color theme="1"/>
        <rFont val="Calibri"/>
        <family val="2"/>
      </rPr>
      <t>Landscape Maintenance Services</t>
    </r>
  </si>
  <si>
    <t xml:space="preserve">                      2 Admin. Aide I (Nursery Aide) @ 639.00/day for 
                      26 days/mo. - 398,736.00</t>
  </si>
  <si>
    <t xml:space="preserve">                      8 Admin. Aide I (Maintenance) @ 639.00/day for 
                      26 days/mo. - 1,594,944.00</t>
  </si>
  <si>
    <t xml:space="preserve">                      5 Admin. Aide II (Grasscutter Operator) @ 678.00/day for 
                      26 days/mo. - 1,057,680.00</t>
  </si>
  <si>
    <t xml:space="preserve">                      2 Heavy Equipment Operator I @ 765.00/day for 
                      26 days/mo. - 477,360.00</t>
  </si>
  <si>
    <t xml:space="preserve">                      1 Landscaping Supervisor @ 1,466.00/day for 
                      26 days/mo. - 457,392.00</t>
  </si>
  <si>
    <t xml:space="preserve">                      Administrative Services</t>
  </si>
  <si>
    <t xml:space="preserve">                      Cultural and Public Affairs Services</t>
  </si>
  <si>
    <t xml:space="preserve">                      1 Admin. Aide II @ 678.00/day for 22 days/mo. - 
                      178,992.00</t>
  </si>
  <si>
    <t xml:space="preserve">                      1 Admin. Aide II (Audio-Visual Equipment Operator) @ 
                      678.00/day for 22 days/mo. - 178,992.00</t>
  </si>
  <si>
    <t xml:space="preserve">                      1 Admin. Aide III (Workshop Instructor) @ 720.00/day for 
                      22 days/mo. - 190,080.00</t>
  </si>
  <si>
    <r>
      <rPr>
        <b/>
        <sz val="12"/>
        <color theme="1"/>
        <rFont val="Calibri"/>
        <family val="2"/>
      </rPr>
      <t xml:space="preserve">                      </t>
    </r>
    <r>
      <rPr>
        <b/>
        <i/>
        <sz val="12"/>
        <color theme="1"/>
        <rFont val="Calibri"/>
        <family val="2"/>
      </rPr>
      <t>Operational Services</t>
    </r>
  </si>
  <si>
    <t xml:space="preserve">                      1 Admin. Aide I (CCTV/Public Address Operator) @ 
                      639.00/day for 26 days/mo. - 199,368.00</t>
  </si>
  <si>
    <t xml:space="preserve">                      6 Admin. Aide II (Park Attendant) @ 678.00/day for 
                      26 days/mo. - 1,269,216.00</t>
  </si>
  <si>
    <t xml:space="preserve">                      4 Admin. Aide II (Parking Aide) @ 678.00/day for 
                      26 days/mo. - 846,144.00</t>
  </si>
  <si>
    <t xml:space="preserve">                      12 Light Equipment Operator (Driver/Security Guard) @
                      678.00/day for 26 days/mo. - 2,538,432.00</t>
  </si>
  <si>
    <t xml:space="preserve">                      1 Admin. Aide IV (Electrician I) @ 765.00/day for 
                      26 days/mo. - 238,680.00</t>
  </si>
  <si>
    <t xml:space="preserve">                      1 Admin. Aide V (Fountain Technician) @ 812.00/day for 
                      26 days/mo. - 253,344.00</t>
  </si>
  <si>
    <t xml:space="preserve">                      1 Admin. Aide VI (Operations Foreman) @ 861.00/day for 
                      26 days/mo. - 268,632.00</t>
  </si>
  <si>
    <t xml:space="preserve">                      2 Admin. Aide I (Photographer) @ 639.00/day for 
                      22 days/mo. - 337,392.00</t>
  </si>
  <si>
    <t xml:space="preserve">                      1 Admin. Aide IV (Safety Officer) @ 765.00/day for 
                      22 days/mo. - 201,960.00</t>
  </si>
  <si>
    <t xml:space="preserve">                      1 Revenue Collection Clerk I @ 812.00/day for 
                      22 days/mo. - 214,368.00</t>
  </si>
  <si>
    <t xml:space="preserve">                      3 Laborer I @ 639.00/day for 26 days/mo. - 598,104.00</t>
  </si>
  <si>
    <t xml:space="preserve">                      1 Skilled Worker (Mason/Carpenter/Installer) @ 
                      678.00/day for 26 days/mo. - 211,536.00</t>
  </si>
  <si>
    <t xml:space="preserve">                      2 Laborer I @ 639.00/day for 26 days/mo. - 398,736.00</t>
  </si>
  <si>
    <t xml:space="preserve">                      1 Printer - 57,750.00</t>
  </si>
  <si>
    <t>P/P/A 37. PROGRAM FOR INDIGENOUS PEOPLE (7611-23)</t>
  </si>
  <si>
    <t xml:space="preserve">                   - IP Month Celebration - 500,000</t>
  </si>
  <si>
    <t xml:space="preserve">                   - Meetings - 299,700</t>
  </si>
  <si>
    <t xml:space="preserve">                   - City IPMR Validation and Selection Process - 361,860</t>
  </si>
  <si>
    <t xml:space="preserve">                   - Livelihood Assistance - 500,000</t>
  </si>
  <si>
    <t xml:space="preserve">                   - Scholarship for IP Student - 600,000</t>
  </si>
  <si>
    <t xml:space="preserve">                   - Palarong Katutubo - 250,000</t>
  </si>
  <si>
    <t xml:space="preserve">                   - Others - 309,448</t>
  </si>
  <si>
    <t xml:space="preserve">                       1 Admin. Aide II @ 678/day for 22 days/mo. - 178,992</t>
  </si>
  <si>
    <t>P/P/A 38. BURIAL ASSISTANCE FOR INDIGENT (7611-24)</t>
  </si>
  <si>
    <t xml:space="preserve">                       1 Lab. Technician I (Embalmer) @ 861/day for 26 
                       days/mo. - 268,632</t>
  </si>
  <si>
    <t xml:space="preserve">                       2 Lab. Aide I (Embalmer Aide) @ 678/day for 26 
                       days/mo. - 423,072</t>
  </si>
  <si>
    <t xml:space="preserve">                       2 Admin. Aide II (Clerk/Liaison) @ 678/day for 26 
                       days/mo. - 423,072</t>
  </si>
  <si>
    <t xml:space="preserve">                       2 Painter @ 720/day for 26 days/mo. - 449,280</t>
  </si>
  <si>
    <t xml:space="preserve">                       2 Carpenter @ 720/day for 26 days/mo. - 449,280</t>
  </si>
  <si>
    <t xml:space="preserve">                       6 Light Eqt. Operator (Driver) @ 678/day for 26 
                       days/mo. - 1,269,216</t>
  </si>
  <si>
    <t xml:space="preserve">                   Motor Vehicles</t>
  </si>
  <si>
    <t xml:space="preserve">                      3 units Multi-Purpose Vehicles @ 1,200,000</t>
  </si>
  <si>
    <r>
      <rPr>
        <b/>
        <sz val="12"/>
        <color rgb="FF000000"/>
        <rFont val="Calibri"/>
        <family val="2"/>
      </rPr>
      <t xml:space="preserve">P/P/A 39. UGNAYAN SA BARANGAY </t>
    </r>
    <r>
      <rPr>
        <b/>
        <sz val="12"/>
        <color rgb="FF000000"/>
        <rFont val="Calibri"/>
        <family val="2"/>
      </rPr>
      <t>PROJECT</t>
    </r>
    <r>
      <rPr>
        <b/>
        <sz val="12"/>
        <color rgb="FF000000"/>
        <rFont val="Calibri"/>
        <family val="2"/>
      </rPr>
      <t xml:space="preserve"> (7999-3)</t>
    </r>
  </si>
  <si>
    <t xml:space="preserve">                     Participating Offices Meals and Snacks for 4 Quarters - 
                     1,200,000</t>
  </si>
  <si>
    <t xml:space="preserve">                        2 Administrative Aide I @ 639/day for 22 days/mo - 337,392</t>
  </si>
  <si>
    <r>
      <rPr>
        <b/>
        <sz val="12"/>
        <color rgb="FF000000"/>
        <rFont val="Calibri"/>
        <family val="2"/>
      </rPr>
      <t xml:space="preserve">P/P/A 40. MUSLIM AFFAIRS </t>
    </r>
    <r>
      <rPr>
        <b/>
        <sz val="12"/>
        <color rgb="FF000000"/>
        <rFont val="Calibri"/>
        <family val="2"/>
      </rPr>
      <t xml:space="preserve">PROJECT </t>
    </r>
    <r>
      <rPr>
        <b/>
        <sz val="12"/>
        <color rgb="FF000000"/>
        <rFont val="Calibri"/>
        <family val="2"/>
      </rPr>
      <t>(7999-8)</t>
    </r>
  </si>
  <si>
    <t xml:space="preserve">                       1 Admin. Aide II (Supervisor) @ 678/day for 22 days/mo.
                       - 178,992</t>
  </si>
  <si>
    <t xml:space="preserve">                       1 Admin. Aide II (Encoder) @ 678/day for 22 days/mo.
                       - 178,992</t>
  </si>
  <si>
    <t xml:space="preserve">                       2 Admin. Aide I (Caretaker) @ 639/day for 22 days/mo.
                       - 337,392</t>
  </si>
  <si>
    <t xml:space="preserve">                       4 Admin. Aide I (Arabic Teacher) @ 639/day for 22 
                       days/mo. - 674,784</t>
  </si>
  <si>
    <t xml:space="preserve">                       5 Admin. Aide I (Tribal Coordinators) @ 639/day for 22 
                       days/mo. - 843,480</t>
  </si>
  <si>
    <t>P/P/A 41. STRENGTHENING GAD FOCAL SYSTEM OFFICE (7999-9)</t>
  </si>
  <si>
    <t xml:space="preserve">                   - Harmonized GAD Programming, Planning and Budget
                     Workshop - 72,000</t>
  </si>
  <si>
    <t xml:space="preserve">                   - Gender Sensitivity Training Program - 300,000</t>
  </si>
  <si>
    <t xml:space="preserve">                   - Gender and Development Celebration Training - 381,200</t>
  </si>
  <si>
    <t xml:space="preserve">                   - GAD Council and Sectoral Meeting - 50,000</t>
  </si>
  <si>
    <t xml:space="preserve">                   - City Pageant Regulatory Board Meeting - 50,000</t>
  </si>
  <si>
    <t xml:space="preserve">                       1 Admin. Aide VI @ 861/day for 22 days/mo. - 227,304</t>
  </si>
  <si>
    <t xml:space="preserve">                       1 Admin. Aide V @ 812/day for 22 days/mo. - 214,368</t>
  </si>
  <si>
    <t>P/P/A 42. THE LGBT COMMUNITY PROJECT (7999-10)</t>
  </si>
  <si>
    <t xml:space="preserve">                   - One Kabuhayan Training - 250,000</t>
  </si>
  <si>
    <t xml:space="preserve">                   - Pride Month Celebration - 200,000</t>
  </si>
  <si>
    <t xml:space="preserve">                       1 Admin. Aide I @ 639/day for 22 days/mo. - 168,696</t>
  </si>
  <si>
    <t>P/P/A 43. STUDENT ASSISTANCE PROGRAM (7999-11)</t>
  </si>
  <si>
    <t>P/P/A 44. OPERATIONAL SUPPORT FOR CITY MINING REGULATORY BOARD (8731-5)</t>
  </si>
  <si>
    <t>P/P/A 45. OPERATION OF EDWARD S. HAGEDORN COLISEUM (8751-3)</t>
  </si>
  <si>
    <t xml:space="preserve">                 Semi-Expendable Machinery and Equipment Equipment</t>
  </si>
  <si>
    <t xml:space="preserve">                       1 Admin. Aide IV (Utility Foreman) @ 765/day for 26 
                       days/mo. - 238,680</t>
  </si>
  <si>
    <t xml:space="preserve">                       1 Admin. Aide II (Clerk) @ 678/day for 26 days/mo. - 
                       211,536</t>
  </si>
  <si>
    <t xml:space="preserve">                       1 Admin. Aide II (Property Custodian) @ 678/day for 26 
                       days/mo. - 211,536</t>
  </si>
  <si>
    <t xml:space="preserve">                       2 Admin. Aide II (Audio Eqt. Operator) 678/day for 26 
                       days/mo. - 423,072</t>
  </si>
  <si>
    <t xml:space="preserve">                       12 Watchman I (Security) @ 678/day for 26 days/mo. - 
                       2,538,432</t>
  </si>
  <si>
    <t xml:space="preserve">                       12 Admin. Aide I (Maintenance) @ 639/day for 26 
                       days/mo. - 2,392,416</t>
  </si>
  <si>
    <t xml:space="preserve">            Other Machinery and Equipment</t>
  </si>
  <si>
    <t xml:space="preserve">               - 1 set Light and Sound Equipment - 2,313,965</t>
  </si>
  <si>
    <t xml:space="preserve">      Total Capital Outlay </t>
  </si>
  <si>
    <t>P/P/A 46. PUERTO PRINCESA UNDERGROUND RIVER OPERATION (8731-4)</t>
  </si>
  <si>
    <t xml:space="preserve">                   - SCUBA Diving Licensing Training - 150,000.00</t>
  </si>
  <si>
    <t xml:space="preserve">                   - Basic Theater Play Workshop - 49,600.00</t>
  </si>
  <si>
    <t xml:space="preserve">                   - Good Governance Workshop - 31,400.00</t>
  </si>
  <si>
    <t xml:space="preserve">                   - Conflict Management Seminar - 76,000.00</t>
  </si>
  <si>
    <t xml:space="preserve">                 Repairs and Maintenance - Furniture and Fixtures </t>
  </si>
  <si>
    <t xml:space="preserve">                    - 4 Brgys. (Tagabinet, Cabayugan, Marufinas, and New 
                      Panggangan) @ 1,000,000.00 - 4,000,000.00</t>
  </si>
  <si>
    <t xml:space="preserve">                    - 3 CADC @ 500,000.00 - 1,500,000.00</t>
  </si>
  <si>
    <t xml:space="preserve">                    - Park Foundation (Araw ng Taraw) - 200,000.00</t>
  </si>
  <si>
    <t xml:space="preserve">                    - SUBARAW Biodiversity Festival - 3,000,000.00</t>
  </si>
  <si>
    <t xml:space="preserve">                    - UNESCO World Heritage Site Celebration - 139,000.00</t>
  </si>
  <si>
    <t xml:space="preserve">                    - PAMB &amp; PDEC Meetings - 210,000.00</t>
  </si>
  <si>
    <t xml:space="preserve">                    - PAMB &amp; PDEC Honoraria - 600,000.00</t>
  </si>
  <si>
    <t xml:space="preserve">                Infrastructure Assets</t>
  </si>
  <si>
    <t xml:space="preserve">               Machinery and Equipment</t>
  </si>
  <si>
    <t xml:space="preserve">               Information and Communication Technology Equipment</t>
  </si>
  <si>
    <t xml:space="preserve">                  - Enhanced Audio Device and Operating System</t>
  </si>
  <si>
    <t xml:space="preserve">        Total Capital Outlay </t>
  </si>
  <si>
    <t>P/P/A 47. FOREST RESTORATION PROJECT OF THE PUERTO PRINCESA UNDERGROUND RIVER (8731-4a)</t>
  </si>
  <si>
    <t xml:space="preserve">                    - Grassroots Organizing 101 - 44,600.00</t>
  </si>
  <si>
    <t xml:space="preserve">                    - Workshop to Review and Update Enforcement Plans and 
                      Areas within PPSRNP - 116,982.00</t>
  </si>
  <si>
    <t xml:space="preserve">                    - Workshop to Evaluate the Status of PPSRNP Green
                      Recovery Program - 90,578.00</t>
  </si>
  <si>
    <t xml:space="preserve">                    - Dev't of the Module on the Biodiversity and Ecosystems 
                      Monitoring for PPSRNP 2025-2026 - 1,200,000.00</t>
  </si>
  <si>
    <t xml:space="preserve">                    - Dev't of the Module on Geographic Information System 
                      (GIS) and PRECISION Enforcement Tool for PPSRNP
                      2025-2026 - 1,000,000.00</t>
  </si>
  <si>
    <t xml:space="preserve">                    - Dev't of a Law Enforcement and Patrolling Module for 
                      PPSRNP 2025-2026 - 1,200,000.00</t>
  </si>
  <si>
    <t xml:space="preserve">                    - Maintenance of Electrical Wiring and Plumbing of 
                      Nursery Storage Room - 65,291.00</t>
  </si>
  <si>
    <t xml:space="preserve">                    - Repair of Nursery Potting House - 79,360.00</t>
  </si>
  <si>
    <t xml:space="preserve">                    - Multi-Stake Holder (Periodic) Patrolling in Four (4) 
                      Spontaneous Natural Regeneration (SNR) Sites in Bgy. 
                      Marufinas - 66,600.00</t>
  </si>
  <si>
    <t xml:space="preserve">                    - Assessment of Catalyst Plots in Forest Corridor - 
                      Masalalon Area (So. Sabang) with TWG and Community 
                      Members - 37,000.00</t>
  </si>
  <si>
    <t xml:space="preserve">                    - Implementation of Maintenance and Enhancement 
                      Activities across 7 ANR Sites with Barangay Officials and 
                      Community Leaders - 77,700.00</t>
  </si>
  <si>
    <t xml:space="preserve">                    - Quantitative Measurements of Regenerants at 
                      designated ANR Sites with TWG from Partner Agencies 
                      and Community-Based Citizen Science - 38,850.00</t>
  </si>
  <si>
    <t xml:space="preserve">                    - Survival and Growth Assessment of Outplanted Stocks 
                      and Existing Regenerants in the Forest Corridor with the 
                      assistance of TWG from Partner Agencies and 
                      Community Members - 55,500.00</t>
  </si>
  <si>
    <t xml:space="preserve">                    - Implementation of the PRECISION Tool for Enhanced Law 
                      Enforcement and Monitoring Activities with Community-
                      Based Environmental Citizen Science - 99,000.00</t>
  </si>
  <si>
    <t xml:space="preserve">                    - Community-Based Integration of Monitoring Efforts
                      Accross and Strategies on Existing Enforcement Areas,
                      specifically focusing on Restoration Sites - 99,000.00</t>
  </si>
  <si>
    <t xml:space="preserve">                    - Monitoring and Evaluation of TWG from Partner 
                      Agencies on the Effectiveness of BDFEs - 32,000.00</t>
  </si>
  <si>
    <t xml:space="preserve">                    - Conduct of Periodic Community Consultations on ANR 
                      Sites in the 4 Barangays of PPSRNP - 118,400.00</t>
  </si>
  <si>
    <t xml:space="preserve">                    - Community Dialogue on Park Rules and Regulations 
                      with SNR, ANR, EN Topic - 118,400.00</t>
  </si>
  <si>
    <t xml:space="preserve">                    - Multi-Sectoral Monitoring and Evaluation of Four (4) 
                      SNR Sites in Bgy. Marufinas - 74,000.00</t>
  </si>
  <si>
    <t xml:space="preserve">                    - Terrestrial Biodiversity Monitoring with Academes, 
                      Partner Agencies, and Community Representative - 
                      88,800.00</t>
  </si>
  <si>
    <t xml:space="preserve">               Other Land Improvements</t>
  </si>
  <si>
    <t xml:space="preserve">               Infrastructure Assets</t>
  </si>
  <si>
    <t xml:space="preserve">               Power Supply System </t>
  </si>
  <si>
    <t xml:space="preserve">                    - 1 Off-Grid Solar Power Source - 360,000.00</t>
  </si>
  <si>
    <t xml:space="preserve">                    - 1 Portable Rechargeable Power Station - 120,000.00</t>
  </si>
  <si>
    <t xml:space="preserve">                    - 4 sets Static Off-Grid Solar Power System for Remote 
                      Ranger Stations - 680,000.00</t>
  </si>
  <si>
    <t xml:space="preserve">                     - 1 Printer - 57,500.00</t>
  </si>
  <si>
    <t xml:space="preserve">                     - 8 Handheld GPS Device - 440,000.00</t>
  </si>
  <si>
    <t xml:space="preserve">                     - 2 Desktop Computer - 121,200.00</t>
  </si>
  <si>
    <t>OBJECT OF EXPENDITURE</t>
  </si>
  <si>
    <t>1.0 Current Operating Expenditures</t>
  </si>
  <si>
    <t xml:space="preserve">        1.1 Maintenance &amp; Other Operating Expenditures</t>
  </si>
  <si>
    <t xml:space="preserve">               Supplies and Materials Expenses</t>
  </si>
  <si>
    <t xml:space="preserve">               Other Supplies and Materials Expenses</t>
  </si>
  <si>
    <t xml:space="preserve">               Repairs and Maintenance</t>
  </si>
  <si>
    <t xml:space="preserve">               Repairs and Maintenance - Buildings &amp; Other Structures</t>
  </si>
  <si>
    <t xml:space="preserve">               Other Maintenance and Operating Expenses</t>
  </si>
  <si>
    <t xml:space="preserve">                    JO/COS: </t>
  </si>
  <si>
    <t xml:space="preserve">                        1 Administrative Aide I @ 639/day for 22 days/mo. - 
                        168,696</t>
  </si>
  <si>
    <t xml:space="preserve">                        4 Carpenter @ 720/day for 22 days/mo. - 760,320</t>
  </si>
  <si>
    <t xml:space="preserve">                        4 Painter @ 720/day for 22 days/mo. - 760,320</t>
  </si>
  <si>
    <t xml:space="preserve">                        6 Mason @ 720/day for 22 days/mo. - 1,140,480</t>
  </si>
  <si>
    <t xml:space="preserve">                        3 Welder @ 765/day for 22 days/mo. - 605,880</t>
  </si>
  <si>
    <t xml:space="preserve">                        3 Electrician @ 765/day for 22 days/mo. - 605,880</t>
  </si>
  <si>
    <t xml:space="preserve">                        1 Light Equipment Operator (Driver) @ 678/day for 
                        22 days/mo. - 178,992</t>
  </si>
  <si>
    <t xml:space="preserve">               Total Maintenance and Other Operating Expenses (200)</t>
  </si>
  <si>
    <t xml:space="preserve">               Power Supply Systems</t>
  </si>
  <si>
    <t xml:space="preserve">               Buildings and Other Structures</t>
  </si>
  <si>
    <t xml:space="preserve">               Other Structures </t>
  </si>
  <si>
    <t xml:space="preserve">        Total Capital Outlay</t>
  </si>
  <si>
    <t xml:space="preserve">               Travelling Expenses</t>
  </si>
  <si>
    <t xml:space="preserve">               Travelling Expenses - Local</t>
  </si>
  <si>
    <t xml:space="preserve">               Training and Scholarship Expenses</t>
  </si>
  <si>
    <t xml:space="preserve">               Training Expenses</t>
  </si>
  <si>
    <r>
      <rPr>
        <b/>
        <sz val="12"/>
        <color theme="1"/>
        <rFont val="Calibri"/>
        <family val="2"/>
      </rPr>
      <t xml:space="preserve">                     </t>
    </r>
    <r>
      <rPr>
        <sz val="12"/>
        <color theme="1"/>
        <rFont val="Calibri"/>
        <family val="2"/>
      </rPr>
      <t>JO/COS:</t>
    </r>
  </si>
  <si>
    <r>
      <rPr>
        <b/>
        <sz val="12"/>
        <color theme="1"/>
        <rFont val="Calibri"/>
        <family val="2"/>
      </rPr>
      <t xml:space="preserve">                     </t>
    </r>
    <r>
      <rPr>
        <sz val="12"/>
        <color theme="1"/>
        <rFont val="Calibri"/>
        <family val="2"/>
      </rPr>
      <t>1 Admin. Aide II @ 678/day for 22 days/mo.</t>
    </r>
  </si>
  <si>
    <t xml:space="preserve">                  - Women's Month Celebration - 2,000,000</t>
  </si>
  <si>
    <t xml:space="preserve">                    2 Admin. Aide III @ 720/day for 22 days/mo. - 380,160</t>
  </si>
  <si>
    <t xml:space="preserve">                    2 Laborer @ 639/day for 22 days/mo. - 337,392</t>
  </si>
  <si>
    <t>P/P/A 49. ELECTION EXPENSE RESERVE</t>
  </si>
  <si>
    <t xml:space="preserve">        1.2 Maintenance &amp; Other Operating Expenditures</t>
  </si>
  <si>
    <t>Department: OFFICE OF THE CITY VICE MAYOR (1016)</t>
  </si>
  <si>
    <t xml:space="preserve">                 Anniversary Bonus </t>
  </si>
  <si>
    <t xml:space="preserve">                          Meetings and Consultations - 500,000.00</t>
  </si>
  <si>
    <r>
      <rPr>
        <b/>
        <sz val="12"/>
        <color theme="1"/>
        <rFont val="Calibri"/>
        <family val="2"/>
      </rPr>
      <t xml:space="preserve">                          </t>
    </r>
    <r>
      <rPr>
        <sz val="12"/>
        <color theme="1"/>
        <rFont val="Calibri"/>
        <family val="2"/>
      </rPr>
      <t>TODA Month - 500,000.00</t>
    </r>
  </si>
  <si>
    <t xml:space="preserve">                      Legislative Research Enhancement Program </t>
  </si>
  <si>
    <t xml:space="preserve">                Machinery And Equipment</t>
  </si>
  <si>
    <t xml:space="preserve">                       1 unit Laptop - 65,000.00</t>
  </si>
  <si>
    <t xml:space="preserve">                       1 unit Camera with microphone - 75,000.00</t>
  </si>
  <si>
    <t>Department: OFFICE OF THE SANGGUNIANG PANLUNGSOD (1021)</t>
  </si>
  <si>
    <t xml:space="preserve">                 Salaries and Wages</t>
  </si>
  <si>
    <t xml:space="preserve">         1.2  Maintenance &amp; Other Operating Expenditures </t>
  </si>
  <si>
    <t xml:space="preserve">                  Hon. Matthew K. Mendoza - 60,000.00</t>
  </si>
  <si>
    <t xml:space="preserve">                  Hon. Epitacio D. Lao, Jr. - 130,000.00</t>
  </si>
  <si>
    <t xml:space="preserve">                  Hon. Laddy R. Gemang - 133,800.00</t>
  </si>
  <si>
    <t xml:space="preserve">                  Hon. Karl Dylan N. Aquino - 70,000.00</t>
  </si>
  <si>
    <t xml:space="preserve">                  Hon. Dionicio A. Saavedra - 60,000.00</t>
  </si>
  <si>
    <t xml:space="preserve">                  Hon. Karl Dylan N. Aquino</t>
  </si>
  <si>
    <t xml:space="preserve">                  Hon. Matthew K. Mendoza - 28,000.00</t>
  </si>
  <si>
    <t xml:space="preserve">                  Hon. Karl Dylan N. Aquino - 30,000.00</t>
  </si>
  <si>
    <t xml:space="preserve">                  Hon. Patrick Alex M. Hagedorn - 174,680.00</t>
  </si>
  <si>
    <t xml:space="preserve">                  Hon. Luis M. Marcaida III - 150,000.00</t>
  </si>
  <si>
    <t xml:space="preserve">                  Hon. Matthew K. Mendoza - 150,000.00</t>
  </si>
  <si>
    <t xml:space="preserve">                  Hon. Modesto V. Rodriguez II - 282,079.00</t>
  </si>
  <si>
    <t xml:space="preserve">                  Hon. Herbert S. Dilig - 200,000.00</t>
  </si>
  <si>
    <t xml:space="preserve">                  Hon. Gerry C. Abad - 250,000.00</t>
  </si>
  <si>
    <t xml:space="preserve">                  Hon. Victor S. Oliveros - 260,000.00</t>
  </si>
  <si>
    <t xml:space="preserve">                  Hon. Elgin Robert L. Damasco - 231,040.00</t>
  </si>
  <si>
    <t xml:space="preserve">                  Hon. Eleutherius L. Edualino - 238,000.00</t>
  </si>
  <si>
    <t xml:space="preserve">                  Hon. Epitacio D. Lao, Jr. - 200,000.00</t>
  </si>
  <si>
    <t xml:space="preserve">                  Hon. Laddy R. Gemang - 200,000.00</t>
  </si>
  <si>
    <t xml:space="preserve">                  Hon. Karl Dylan N. Aquino - 180,000.00</t>
  </si>
  <si>
    <t xml:space="preserve">                  Hon. Dionicio A. Saavedra - 200,000.00</t>
  </si>
  <si>
    <t xml:space="preserve">                  Hon. Patrick Alex M. Hagedorn - 30,000.00</t>
  </si>
  <si>
    <t xml:space="preserve">                  Hon. Luis M. Marcaida III - 30,000.00</t>
  </si>
  <si>
    <t xml:space="preserve">                  Hon. Matthew K. Mendoza - 30,000.00</t>
  </si>
  <si>
    <t xml:space="preserve">                  Hon. Modesto V. Rodriguez II - 30,000.00</t>
  </si>
  <si>
    <t xml:space="preserve">                  Hon. Herbert S. Dilig - 30,000.00</t>
  </si>
  <si>
    <t xml:space="preserve">                  Hon. Gerry C. Abad - 30,000.00</t>
  </si>
  <si>
    <t xml:space="preserve">                  Hon. Victor S. Oliveros - 30,000.00</t>
  </si>
  <si>
    <t xml:space="preserve">                  Hon. Elgin Robert L. Damasco - 30,000.00</t>
  </si>
  <si>
    <t xml:space="preserve">                  Hon. Eleutherius L. Edualino - 30,000.00</t>
  </si>
  <si>
    <t xml:space="preserve">                  Hon. Epitacio D. Lao, Jr. - 30,000.00</t>
  </si>
  <si>
    <t xml:space="preserve">                  Hon. Laddy R. Gemang - 30,000.00</t>
  </si>
  <si>
    <t xml:space="preserve">                  Hon. Dionicio A. Saavedra - 30,000.00</t>
  </si>
  <si>
    <t xml:space="preserve">                Repairs and Maintenance</t>
  </si>
  <si>
    <t xml:space="preserve">                  Hon. Elgin Robert L. Damasco - 40,000.00</t>
  </si>
  <si>
    <t xml:space="preserve">                  Hon. Laddy R. Gemang - 67,000.00</t>
  </si>
  <si>
    <t xml:space="preserve">                  Hon. Dionicio A. Saavedra - 70,350.00</t>
  </si>
  <si>
    <t xml:space="preserve">                  Hon. Patrick Alex M. Hagedorn - 7,926,120.00</t>
  </si>
  <si>
    <t xml:space="preserve">                  Hon. Luis M. Marcaida III - 7,950,800.00</t>
  </si>
  <si>
    <t xml:space="preserve">                  Hon. Matthew K. Mendoza - 7,862,800.00</t>
  </si>
  <si>
    <t xml:space="preserve">                  Hon. Modesto V. Rodriguez II - 7,818,721.00</t>
  </si>
  <si>
    <t xml:space="preserve">                  Hon. Herbert S. Dilig - 7,900,800.00</t>
  </si>
  <si>
    <t xml:space="preserve">                  Hon. Gerry C. Abad - 7,850,800.00</t>
  </si>
  <si>
    <t xml:space="preserve">                  Hon. Victor S. Oliveros - 7,840,800.00</t>
  </si>
  <si>
    <t xml:space="preserve">                  Hon. Elgin Robert L. Damasco - 7,829,760.00</t>
  </si>
  <si>
    <t xml:space="preserve">                  Hon. Eleutherius L. Edualino - 7,862,800.00</t>
  </si>
  <si>
    <t xml:space="preserve">                  Hon. Epitacio D. Lao, Jr. - 7,770,800.00</t>
  </si>
  <si>
    <t xml:space="preserve">                  Hon. Laddy R. Gemang - 4,143,000.00</t>
  </si>
  <si>
    <t xml:space="preserve">                  Hon. Karl Dylan N. Aquino - 4,163,800.00</t>
  </si>
  <si>
    <t xml:space="preserve">                  Hon. Dionicio A. Saavedra - 3,193,450.00</t>
  </si>
  <si>
    <t xml:space="preserve">Department: OFFICE OF THE SECRETARY TO THE SANGGUNIANG PANLUNGSOD (1022) </t>
  </si>
  <si>
    <t xml:space="preserve">                        Regular - 100,000</t>
  </si>
  <si>
    <t xml:space="preserve">                        Preparation for 2025 Local Legislative Award CY 2026</t>
  </si>
  <si>
    <t xml:space="preserve">                                      - 130,000</t>
  </si>
  <si>
    <t xml:space="preserve">                        Adaptation of Proven Methodologies and Best Practice</t>
  </si>
  <si>
    <t xml:space="preserve">                        through Learning Sessions, Consultation and Site Visits</t>
  </si>
  <si>
    <t xml:space="preserve">                        to three Local &amp; National Agencies  - 100,000</t>
  </si>
  <si>
    <t xml:space="preserve">                        Advanced Administrative Skills Enhancement - 70,000</t>
  </si>
  <si>
    <t xml:space="preserve">                        Crafting of the Integrated Legislative Records</t>
  </si>
  <si>
    <t xml:space="preserve">                        Management Plan and Policy - 219,000</t>
  </si>
  <si>
    <t xml:space="preserve">                        Digital Video Streaming with Open Source Software</t>
  </si>
  <si>
    <t xml:space="preserve">                        Training Course - 117,000</t>
  </si>
  <si>
    <t xml:space="preserve">                        Development Course on High-Speed Typing Skill</t>
  </si>
  <si>
    <t xml:space="preserve">                        for Efficient Transcription - 97,500</t>
  </si>
  <si>
    <t xml:space="preserve">                        Strategic Legislative Agenda setting and Analytic</t>
  </si>
  <si>
    <t xml:space="preserve">                        Legislative Drafting for Local Governance - 41,000</t>
  </si>
  <si>
    <t xml:space="preserve">                 Postage and Courier Services </t>
  </si>
  <si>
    <t xml:space="preserve">                         1 unit Smart TV, Crystal UHD 4K, with Stand</t>
  </si>
  <si>
    <t xml:space="preserve">Department: OFFICE OF THE CITY ADMINISTRATOR (1031) </t>
  </si>
  <si>
    <t xml:space="preserve">                 Semi-Expendable Furniture, Fixtures &amp; Books Expenses</t>
  </si>
  <si>
    <t xml:space="preserve">                    - Job Orders:</t>
  </si>
  <si>
    <t xml:space="preserve">                    4 Admin. Aide II @ 678/day for 22 days/mo. - 715,968</t>
  </si>
  <si>
    <t xml:space="preserve">                  1 unit Document Scanner - 62,500</t>
  </si>
  <si>
    <t xml:space="preserve">                  1 unit Printer - 50,606</t>
  </si>
  <si>
    <t xml:space="preserve">Department: OFFICE OF THE CITY HUMAN RESOURCE MANAGEMENT OFFICER (1032) </t>
  </si>
  <si>
    <t xml:space="preserve">                     Orientation Workshop for New Entrants (2 batches) - </t>
  </si>
  <si>
    <t xml:space="preserve">                     115,167</t>
  </si>
  <si>
    <t xml:space="preserve">                     Gender and Development &amp; Values Orientation - 62,190</t>
  </si>
  <si>
    <t xml:space="preserve">                     Supervisory Development Course (SDC) Track III - 324,114</t>
  </si>
  <si>
    <t xml:space="preserve">                     Pre-Retirement Seminar: Innovations and Options - </t>
  </si>
  <si>
    <t xml:space="preserve">                     31,316</t>
  </si>
  <si>
    <t xml:space="preserve">                     Seminar on Personality Development &amp; Financial</t>
  </si>
  <si>
    <t xml:space="preserve">                     Management - 725,049</t>
  </si>
  <si>
    <t xml:space="preserve">                     Training on Advanced Computer Literacy - 77,490</t>
  </si>
  <si>
    <t xml:space="preserve">                     HRMO Training Fund - 400,000</t>
  </si>
  <si>
    <t xml:space="preserve">                 Semi- Expendable Furniture, Fixture and Books Expenses</t>
  </si>
  <si>
    <t xml:space="preserve">                     Grievance Committee - 50,000</t>
  </si>
  <si>
    <t xml:space="preserve">                     Aid to HRMPSB - 453,400</t>
  </si>
  <si>
    <t xml:space="preserve">                     Onboarding Program for Newly Hired &amp; Transferred</t>
  </si>
  <si>
    <t xml:space="preserve">                     Employees - 266,000</t>
  </si>
  <si>
    <t xml:space="preserve">                     Committee on Amendment/Revision of existing OSSP -</t>
  </si>
  <si>
    <t xml:space="preserve">                     500,000</t>
  </si>
  <si>
    <t xml:space="preserve">                     Civil Service Month Celebration - 2,041,935</t>
  </si>
  <si>
    <t xml:space="preserve">                     Health and Wellness Program - 45,000</t>
  </si>
  <si>
    <t xml:space="preserve">                     PRAISE Implementation - 3,000,000</t>
  </si>
  <si>
    <t xml:space="preserve">                     PDC Meeting - 47,320</t>
  </si>
  <si>
    <t xml:space="preserve">                     HRMO Staff Development Program - 48,500</t>
  </si>
  <si>
    <r>
      <rPr>
        <b/>
        <sz val="12"/>
        <color theme="1"/>
        <rFont val="Calibri"/>
        <family val="2"/>
      </rPr>
      <t xml:space="preserve">                     </t>
    </r>
    <r>
      <rPr>
        <sz val="12"/>
        <color theme="1"/>
        <rFont val="Calibri"/>
        <family val="2"/>
      </rPr>
      <t>JO/COS:</t>
    </r>
  </si>
  <si>
    <t xml:space="preserve">                     3 Admin. Aide II @ 678/day for 22 days/mo. - 536,976</t>
  </si>
  <si>
    <t xml:space="preserve">                 Furniture, Fixture and Books</t>
  </si>
  <si>
    <t xml:space="preserve">                 Furniture and Fixtures</t>
  </si>
  <si>
    <r>
      <rPr>
        <b/>
        <sz val="12"/>
        <color theme="1"/>
        <rFont val="Calibri"/>
        <family val="2"/>
      </rPr>
      <t xml:space="preserve">                       </t>
    </r>
    <r>
      <rPr>
        <sz val="12"/>
        <color theme="1"/>
        <rFont val="Calibri"/>
        <family val="2"/>
      </rPr>
      <t>Customized Countertop Table</t>
    </r>
  </si>
  <si>
    <t>Department: OFFICE OF THE CITY PLANNING AND DEVELOPMENT COORDINATOR (1041)</t>
  </si>
  <si>
    <t xml:space="preserve">                 Salaries and Wages </t>
  </si>
  <si>
    <t xml:space="preserve">                     Celebration of Environmental Planning Day of the </t>
  </si>
  <si>
    <t xml:space="preserve">                        Philippines Event - 100,000.00</t>
  </si>
  <si>
    <t xml:space="preserve">                     Team Building Activity - 58,500.00</t>
  </si>
  <si>
    <t xml:space="preserve">                     Incentives for 2 CBMS Field Researchers @ 639/day for</t>
  </si>
  <si>
    <t xml:space="preserve">                        22 days/mo. - 337,392.00</t>
  </si>
  <si>
    <t xml:space="preserve">                     Barangay Profiling Workshop - 119,880.00</t>
  </si>
  <si>
    <t xml:space="preserve">                     CBMS Implementation Review &amp; Assessment - 29,600.00</t>
  </si>
  <si>
    <t xml:space="preserve">                     CiSC Quarterly Meetings - 208,750.00</t>
  </si>
  <si>
    <t xml:space="preserve">                     House Numbering System Meetings &amp; IEC - 7,400.00</t>
  </si>
  <si>
    <t xml:space="preserve">                     Incentives - Enumerators/Supervisor/Installer - House</t>
  </si>
  <si>
    <t xml:space="preserve">                         Numbering System - 465,000.00</t>
  </si>
  <si>
    <t xml:space="preserve">                Office Equipment </t>
  </si>
  <si>
    <t xml:space="preserve">                Information and Communication Technology Equipment </t>
  </si>
  <si>
    <t xml:space="preserve">                      1 unit Laptop</t>
  </si>
  <si>
    <t>Department: OFFICE OF THE CITY CIVIL REGISTRAR (1051)</t>
  </si>
  <si>
    <t xml:space="preserve">                Traveling Expenses - Local </t>
  </si>
  <si>
    <t xml:space="preserve">                Training Expenses</t>
  </si>
  <si>
    <t xml:space="preserve">                Office Supplies Expenses</t>
  </si>
  <si>
    <t xml:space="preserve">                Semi-Expendable Machinery and Equipment Expenses</t>
  </si>
  <si>
    <t xml:space="preserve">                Semi-Expendable Furniture, Fixtures and Books Expenses</t>
  </si>
  <si>
    <t xml:space="preserve">                Non-Accountable Forms Expenses</t>
  </si>
  <si>
    <t xml:space="preserve">                Other Supplies and Materials Expenses</t>
  </si>
  <si>
    <t xml:space="preserve">                Telephone Expenses - Mobile</t>
  </si>
  <si>
    <t xml:space="preserve">                       Mid-year and Year-end Assessment &amp; Planning - 19,500</t>
  </si>
  <si>
    <t xml:space="preserve">                       35th Civil Registry Month Celebration Kick off - 37,000</t>
  </si>
  <si>
    <t xml:space="preserve">                       Cascading of Seminar on Advancing Reg. through</t>
  </si>
  <si>
    <t xml:space="preserve">                       (eCRVS) - 16,650</t>
  </si>
  <si>
    <r>
      <rPr>
        <b/>
        <sz val="12"/>
        <color theme="1"/>
        <rFont val="Calibri"/>
        <family val="2"/>
      </rPr>
      <t xml:space="preserve">                       </t>
    </r>
    <r>
      <rPr>
        <sz val="12"/>
        <color theme="1"/>
        <rFont val="Calibri"/>
        <family val="2"/>
      </rPr>
      <t>JO/COS:</t>
    </r>
  </si>
  <si>
    <t xml:space="preserve">                       11 Admin Aide II @ 678/day for 22 days/mo. - 1,968,912</t>
  </si>
  <si>
    <t>P/P/A 1. CIVIL REGISTRY DATABASE BUILD-UP PROGRAM (1051-1)</t>
  </si>
  <si>
    <r>
      <rPr>
        <b/>
        <sz val="12"/>
        <color theme="1"/>
        <rFont val="Calibri"/>
        <family val="2"/>
      </rPr>
      <t xml:space="preserve">                     </t>
    </r>
    <r>
      <rPr>
        <sz val="12"/>
        <color theme="1"/>
        <rFont val="Calibri"/>
        <family val="2"/>
      </rPr>
      <t>JO/COS:</t>
    </r>
  </si>
  <si>
    <t xml:space="preserve">                     8 Admin Aide II @ 678/day for 22 days/mo. </t>
  </si>
  <si>
    <t>P/P/A 2. TRANSCRIBING OF ANCIENT CIVIL REGISTRY RECORDS (1051-2)</t>
  </si>
  <si>
    <r>
      <rPr>
        <b/>
        <sz val="12"/>
        <color theme="1"/>
        <rFont val="Calibri"/>
        <family val="2"/>
      </rPr>
      <t xml:space="preserve">                     </t>
    </r>
    <r>
      <rPr>
        <sz val="12"/>
        <color theme="1"/>
        <rFont val="Calibri"/>
        <family val="2"/>
      </rPr>
      <t>JO/COS:</t>
    </r>
  </si>
  <si>
    <t xml:space="preserve">                     6 Admin Aide II @ 678/day for 22 days/mo. </t>
  </si>
  <si>
    <t>Department: OFFICE OF THE CITY GENERAL SERVICES OFFICER (1061)</t>
  </si>
  <si>
    <t xml:space="preserve">                 Semi-Expendable Furnitures, Fistures and Books Expenses</t>
  </si>
  <si>
    <t xml:space="preserve">                 General Services</t>
  </si>
  <si>
    <t xml:space="preserve">                 Environment/Sanitary Services </t>
  </si>
  <si>
    <t xml:space="preserve">                 Taxes, Insurance Premiums and Other Fees</t>
  </si>
  <si>
    <t xml:space="preserve">                 Insurance Expenses</t>
  </si>
  <si>
    <t xml:space="preserve">                   GSO Staff Development and Departmental Planning</t>
  </si>
  <si>
    <t xml:space="preserve">                       Sessions - 102,000.00</t>
  </si>
  <si>
    <t xml:space="preserve">                   Support to Records Management Improvement </t>
  </si>
  <si>
    <t xml:space="preserve">                       Committee - 50,000.00</t>
  </si>
  <si>
    <t xml:space="preserve">                   Support to City Committe for Inventories and PPE</t>
  </si>
  <si>
    <t xml:space="preserve">                       - 50,000.00</t>
  </si>
  <si>
    <t xml:space="preserve">                   Support to Puerto Princesa City Appraisal Committee on</t>
  </si>
  <si>
    <t xml:space="preserve">                       Rental and Real or Personal Properties (PPC-ACRLRPP)</t>
  </si>
  <si>
    <t xml:space="preserve">                      - 15,000.00</t>
  </si>
  <si>
    <t xml:space="preserve">                   Optimizing General Services Office Operations through</t>
  </si>
  <si>
    <t xml:space="preserve">                       Effective Support Staff Deployment (JO/COS):</t>
  </si>
  <si>
    <t xml:space="preserve">                   1 Civil Engineer @ 1,466/day for 22 days/mo. -  387,024.00 
</t>
  </si>
  <si>
    <t xml:space="preserve">                   1 Electrical Engineer @ 1,466/day for 22 days/mo. -  </t>
  </si>
  <si>
    <t xml:space="preserve">                       387,024.00 </t>
  </si>
  <si>
    <t xml:space="preserve">                   7 Admin. Aide I (Auxiliary Services) @ 639/day for 22 days/</t>
  </si>
  <si>
    <t xml:space="preserve">                       mo. -  1,180,872.00 </t>
  </si>
  <si>
    <t xml:space="preserve">                   10 Admin. Aide II @ 678/day for 22 days/mo. -  </t>
  </si>
  <si>
    <t xml:space="preserve">                      1,789,920.00 </t>
  </si>
  <si>
    <t xml:space="preserve">                   1 Admin. Aide VI (Air-conditioning Technician I) @ 861/day</t>
  </si>
  <si>
    <t xml:space="preserve">                      for 22 days/mo. -  227,304.00 </t>
  </si>
  <si>
    <t xml:space="preserve">                   4 Admin. Aide IV (Electrician I) @ 765/day for 22 days/mo.</t>
  </si>
  <si>
    <t xml:space="preserve">                      -  807,840.00 </t>
  </si>
  <si>
    <t xml:space="preserve">                   2 Admin. Aide III (Audio Visual Equipment Operator I) @ </t>
  </si>
  <si>
    <t xml:space="preserve">                       720/day for 22 days/mo. -   380,160.00</t>
  </si>
  <si>
    <t xml:space="preserve">                Power Supply Systems</t>
  </si>
  <si>
    <r>
      <rPr>
        <b/>
        <sz val="12"/>
        <color theme="1"/>
        <rFont val="Calibri"/>
        <family val="2"/>
      </rPr>
      <t xml:space="preserve">                    </t>
    </r>
    <r>
      <rPr>
        <sz val="12"/>
        <color theme="1"/>
        <rFont val="Calibri"/>
        <family val="2"/>
      </rPr>
      <t>Transformers</t>
    </r>
  </si>
  <si>
    <t xml:space="preserve">                   20 units Aircon Wall Mounted Inverter, 2 HP - 1,426,000.00</t>
  </si>
  <si>
    <t xml:space="preserve">                   10 units Aircon Ceiling/Floor Type Inverter, 2.5 HP -</t>
  </si>
  <si>
    <t xml:space="preserve">                       1,485,000.00</t>
  </si>
  <si>
    <t xml:space="preserve">                   10 units Aircon Floor Mounted, 3T - 1,755,000.00</t>
  </si>
  <si>
    <t xml:space="preserve">                Motor Vehicles</t>
  </si>
  <si>
    <t xml:space="preserve">                   3 units Motorcycle Scooter</t>
  </si>
  <si>
    <t xml:space="preserve">                Other Property, Plant and Equipment </t>
  </si>
  <si>
    <t xml:space="preserve">                   4 units Container Van</t>
  </si>
  <si>
    <t xml:space="preserve">Department: OFFICE OF THE CITY BUDGET OFFICER (1071) </t>
  </si>
  <si>
    <t xml:space="preserve">                   - Regular - 1,120,000.00</t>
  </si>
  <si>
    <t xml:space="preserve">                   - Operation of Expanded Local Finance Committee - 
                     100,000.00</t>
  </si>
  <si>
    <t xml:space="preserve">                Postage and Courier Services </t>
  </si>
  <si>
    <t xml:space="preserve">                Subscription Expenses</t>
  </si>
  <si>
    <t xml:space="preserve">                   - Mid-Year and Year-End Planning and Assessment &amp; 
                     Team-Building Activity - 31,500.00</t>
  </si>
  <si>
    <t xml:space="preserve">                   - Budget Execution Forum - 37,000.00</t>
  </si>
  <si>
    <t xml:space="preserve">                   - Top-Performing Bgys. in Budget Preparation CY 2026 - 
                     450,000.00</t>
  </si>
  <si>
    <t xml:space="preserve">                   - Operation of Expanded Local Finance Committee</t>
  </si>
  <si>
    <t xml:space="preserve">                       Honoraria - 191,600.00</t>
  </si>
  <si>
    <t xml:space="preserve">                       Meetings, Fora and Budget Hearings - 158,360.00</t>
  </si>
  <si>
    <t xml:space="preserve">                       1 Budgeting Aide @ 765.00/day for 22 days/mo. - 
                       201,960.00</t>
  </si>
  <si>
    <t xml:space="preserve">                   - 1 All-in-One Desktop Computer - 100,000.00</t>
  </si>
  <si>
    <t xml:space="preserve">                   - 1 Color Laser Printer - 75,000.00</t>
  </si>
  <si>
    <t>Department: OFFICE OF THE CITY ACCOUNTANT (1081)</t>
  </si>
  <si>
    <t xml:space="preserve">                Semi-Expendable Furnitures, Fixtures and Books Expenses</t>
  </si>
  <si>
    <t xml:space="preserve">                    Clustered Barangay Meeting - 50,000</t>
  </si>
  <si>
    <t xml:space="preserve">                    Work Values Enhancement - 66,000</t>
  </si>
  <si>
    <t xml:space="preserve">                        6 Administrative Aide II @ 678/day for 22 days/mo. - 1,073,952</t>
  </si>
  <si>
    <t xml:space="preserve">                        3 Administrative Aide III @ 720/day for 22 days/mo. - 570,240</t>
  </si>
  <si>
    <t xml:space="preserve">                        1 Administrative Aide IV @ 765/day for 22 days/mo. - 201,960</t>
  </si>
  <si>
    <t xml:space="preserve">                        2 Accountant @ 1,465/day for 22 days/mo. - 773,520</t>
  </si>
  <si>
    <t xml:space="preserve">                    1 Unit Overhead Scanner </t>
  </si>
  <si>
    <t>Department: OFFICE OF THE CITY TREASURER (1091)</t>
  </si>
  <si>
    <t xml:space="preserve">                    - Regular - 500,000.00</t>
  </si>
  <si>
    <t xml:space="preserve">                    - Public Auction of Delinquent Real Properties - 100,000.00</t>
  </si>
  <si>
    <t xml:space="preserve">                    - Regular - 620,000.00</t>
  </si>
  <si>
    <t xml:space="preserve">                    - Examination of Books of Accounts and Pertinent Records 
                      of Businessmen - 177,290.00</t>
  </si>
  <si>
    <t xml:space="preserve">                    - Regular - 3,000,000.00</t>
  </si>
  <si>
    <t xml:space="preserve">                    - Examination of Books of Accounts - 50,000.00</t>
  </si>
  <si>
    <t xml:space="preserve">                    - Treasury Operation on Satellite Mini City Halls - 100,000.00</t>
  </si>
  <si>
    <t xml:space="preserve">                 Accountable Forms Expenses </t>
  </si>
  <si>
    <t xml:space="preserve">                    - Regular - 7,000,000.00</t>
  </si>
  <si>
    <t xml:space="preserve">                    - Treasury Operation on Satellite Mini City Halls - 600,000.00</t>
  </si>
  <si>
    <t xml:space="preserve">                    - Regular - 200,000.00</t>
  </si>
  <si>
    <t xml:space="preserve">                    - Treasury Operation on Satellite Mini City Halls - 15,000.00</t>
  </si>
  <si>
    <t xml:space="preserve">                 Fidelity Bond Premiums </t>
  </si>
  <si>
    <r>
      <rPr>
        <sz val="12"/>
        <color theme="1"/>
        <rFont val="Calibri"/>
        <family val="2"/>
      </rPr>
      <t xml:space="preserve">                     </t>
    </r>
    <r>
      <rPr>
        <i/>
        <sz val="12"/>
        <color theme="1"/>
        <rFont val="Calibri"/>
        <family val="2"/>
      </rPr>
      <t>Regular</t>
    </r>
  </si>
  <si>
    <t xml:space="preserve">                     - Team-Building - 129,000.00</t>
  </si>
  <si>
    <r>
      <rPr>
        <sz val="12"/>
        <color theme="1"/>
        <rFont val="Calibri"/>
        <family val="2"/>
      </rPr>
      <t xml:space="preserve">                     </t>
    </r>
    <r>
      <rPr>
        <i/>
        <sz val="12"/>
        <color theme="1"/>
        <rFont val="Calibri"/>
        <family val="2"/>
      </rPr>
      <t>Public Auction of Delinquent Properties</t>
    </r>
  </si>
  <si>
    <t xml:space="preserve">                     - Honorarium - 500,000.00</t>
  </si>
  <si>
    <t xml:space="preserve">                     - Meals and Snacks - 50,000.00</t>
  </si>
  <si>
    <r>
      <rPr>
        <sz val="12"/>
        <color theme="1"/>
        <rFont val="Calibri"/>
        <family val="2"/>
      </rPr>
      <t xml:space="preserve">                        </t>
    </r>
    <r>
      <rPr>
        <i/>
        <sz val="12"/>
        <color theme="1"/>
        <rFont val="Calibri"/>
        <family val="2"/>
      </rPr>
      <t>Regular</t>
    </r>
  </si>
  <si>
    <t xml:space="preserve">                 Bank Charges</t>
  </si>
  <si>
    <t xml:space="preserve">                 Total Financial Expenses</t>
  </si>
  <si>
    <t xml:space="preserve">                     - 13 Motorcycles - 1,300,000.00</t>
  </si>
  <si>
    <t xml:space="preserve">                 Other Property, Plant and Equipment</t>
  </si>
  <si>
    <t xml:space="preserve">         1.1  Maintenance &amp; Other Operating Expenditures</t>
  </si>
  <si>
    <t>Department: OFFICE OF THE CITY ASSESSOR (1101)</t>
  </si>
  <si>
    <t xml:space="preserve">                 Provision for 3rd Tranche of Salary Increase per Executive
                 Order No. 64</t>
  </si>
  <si>
    <r>
      <rPr>
        <b/>
        <sz val="12"/>
        <color theme="1"/>
        <rFont val="Calibri"/>
        <family val="2"/>
      </rPr>
      <t xml:space="preserve">                       </t>
    </r>
    <r>
      <rPr>
        <sz val="12"/>
        <color theme="1"/>
        <rFont val="Calibri"/>
        <family val="2"/>
      </rPr>
      <t>JO/COS:</t>
    </r>
  </si>
  <si>
    <t xml:space="preserve">                       12 Admin. Aide II @ 678/day for 22 days/mo. - 2,147,904</t>
  </si>
  <si>
    <r>
      <rPr>
        <b/>
        <sz val="12"/>
        <color theme="1"/>
        <rFont val="Calibri"/>
        <family val="2"/>
      </rPr>
      <t xml:space="preserve">                       </t>
    </r>
    <r>
      <rPr>
        <sz val="12"/>
        <color theme="1"/>
        <rFont val="Calibri"/>
        <family val="2"/>
      </rPr>
      <t>Staff Dev't. Planning Session and Year End Evaluation</t>
    </r>
  </si>
  <si>
    <t xml:space="preserve">                      - 67,500</t>
  </si>
  <si>
    <t xml:space="preserve">                      6 units Mid-range Desktop Computer set - 300,000</t>
  </si>
  <si>
    <t xml:space="preserve">                      2 units Laptop for LGRP, GIS - 238,228</t>
  </si>
  <si>
    <t xml:space="preserve">                      2 Multifunction Printer (Print/Scan/Copy) prints up to A3</t>
  </si>
  <si>
    <t xml:space="preserve">                      Automatic duplex printing, wifi-direct, ethernet - 114,000</t>
  </si>
  <si>
    <t xml:space="preserve">                      5 units Motorcycle, 125 cc, 4 stroke, 2 valve</t>
  </si>
  <si>
    <t>P/P/A 1. DIGITIZING OF ASSESSMENT FOR IMPROVED ACCESS, PRESERVATION, AND EFFICIENCY (1101-1)</t>
  </si>
  <si>
    <r>
      <rPr>
        <b/>
        <sz val="12"/>
        <color theme="1"/>
        <rFont val="Calibri"/>
        <family val="2"/>
      </rPr>
      <t xml:space="preserve">                       </t>
    </r>
    <r>
      <rPr>
        <sz val="12"/>
        <color theme="1"/>
        <rFont val="Calibri"/>
        <family val="2"/>
      </rPr>
      <t>JO/COS:</t>
    </r>
  </si>
  <si>
    <t xml:space="preserve">                       6 Admin. Aide II @ 678/day for 22 days/mo.</t>
  </si>
  <si>
    <r>
      <rPr>
        <b/>
        <sz val="12"/>
        <color theme="1"/>
        <rFont val="Calibri"/>
        <family val="2"/>
      </rPr>
      <t xml:space="preserve">                       </t>
    </r>
    <r>
      <rPr>
        <sz val="12"/>
        <color theme="1"/>
        <rFont val="Calibri"/>
        <family val="2"/>
      </rPr>
      <t>JO/COS:</t>
    </r>
  </si>
  <si>
    <t xml:space="preserve">                       3 Admin. Aide II @ 678/day for 22 days/mo.</t>
  </si>
  <si>
    <t>Department: OFFICE OF THE COMMISSION ON AUDIT - CITY AUDITOR (1111)</t>
  </si>
  <si>
    <t xml:space="preserve">         1.1  Maintenance &amp; Other Operating Expenditures </t>
  </si>
  <si>
    <t xml:space="preserve">                        8 Admin. Aide II @ 678.00/day for 22 days/mo. - 
                        1,431,936.00</t>
  </si>
  <si>
    <r>
      <rPr>
        <b/>
        <sz val="12"/>
        <color theme="1"/>
        <rFont val="Calibri"/>
        <family val="2"/>
      </rPr>
      <t xml:space="preserve">                   - </t>
    </r>
    <r>
      <rPr>
        <sz val="12"/>
        <color theme="1"/>
        <rFont val="Calibri"/>
        <family val="2"/>
      </rPr>
      <t>1 Multifunction Copier/Printer/Scanner - 270,000.00</t>
    </r>
  </si>
  <si>
    <t>Department: OFFICE OF THE COMMISSION ON AUDIT - SUPERVISING AUDITOR GROUP-K (1111-1)</t>
  </si>
  <si>
    <r>
      <rPr>
        <b/>
        <sz val="12"/>
        <color theme="1"/>
        <rFont val="Calibri"/>
        <family val="2"/>
      </rPr>
      <t xml:space="preserve">                     </t>
    </r>
    <r>
      <rPr>
        <sz val="12"/>
        <color theme="1"/>
        <rFont val="Calibri"/>
        <family val="2"/>
      </rPr>
      <t>1 Admin. Aide II @ 678.00/day for 22 days/mo. - 178,992.00</t>
    </r>
  </si>
  <si>
    <t>Department: OFFICE OF THE CITY INTERNAL AUDITOR (1112)</t>
  </si>
  <si>
    <t xml:space="preserve">                    - Audit Conference (Entrance, Interim and Exit Meetings) -</t>
  </si>
  <si>
    <t xml:space="preserve">                      50,000.00</t>
  </si>
  <si>
    <t xml:space="preserve">                    - Mid-year Assessment &amp; Planning Activity - 10,500.00</t>
  </si>
  <si>
    <t xml:space="preserve">                    - JO/COS: 1 Light Equipment Operator @ 678/day for</t>
  </si>
  <si>
    <t xml:space="preserve">                         22 days/mo. - 178,992.00</t>
  </si>
  <si>
    <t xml:space="preserve">                        1 Admin. Aide I @ 639/day for 22 days/mo. - 168,696.00</t>
  </si>
  <si>
    <t xml:space="preserve">                   2 units Laptop Computer (1MAD, 1OAD)</t>
  </si>
  <si>
    <t>Department: OFFICE OF THE CITY INFORMATION OFFICER (1121)</t>
  </si>
  <si>
    <t xml:space="preserve">                 Semi-Expendable Machinery and Equipments Expenses</t>
  </si>
  <si>
    <t xml:space="preserve">                    - Canva Design Tool Subscription - 2,500.00</t>
  </si>
  <si>
    <t xml:space="preserve">                    - Cloud Subscription - 15,000.00</t>
  </si>
  <si>
    <t xml:space="preserve">                    - Application for AV Editing Program - 25,926.00</t>
  </si>
  <si>
    <t xml:space="preserve">                       2 Admin. Aide IV (Video Editor) @ 765/day for 22 days/mo. - 
                       403,920</t>
  </si>
  <si>
    <t xml:space="preserve">                       1 Admin. Aide III (Lay-Out Artist) @ 720/day for 22 days/mo. - 
                       190,080</t>
  </si>
  <si>
    <t xml:space="preserve">                       8 Admin. Aide II (Media Production Aide) @ 678/day for 22 
                       days/mo. - 1,431,936</t>
  </si>
  <si>
    <t xml:space="preserve">                       7 Admin. Aide II (AV Support Staff) @ 678/day for 22 days/mo. - 
                       1,252,944</t>
  </si>
  <si>
    <t xml:space="preserve">                       1 Admin. Aide I (Utility) @ 639/day for 22 days/mo. - 
                       168,696.00</t>
  </si>
  <si>
    <t xml:space="preserve">                       1 Light Eqt. Operator (LED Truck Driver) @ 678/day for 22 
                       days/mo. - 178,992.00</t>
  </si>
  <si>
    <t xml:space="preserve">                   1 unit Laptop - 126,000</t>
  </si>
  <si>
    <t xml:space="preserve">                   1 set Desktop Computer - 82,500</t>
  </si>
  <si>
    <t xml:space="preserve">                 Other Information and Communication Technology Equipment </t>
  </si>
  <si>
    <t xml:space="preserve">                   1 unit DSLR Camera (body only) - 280,000</t>
  </si>
  <si>
    <t xml:space="preserve">                   1 unit DSLR Camera (body only) fitted with RF 24-50mm lens - 
                   158,000</t>
  </si>
  <si>
    <t xml:space="preserve">                   2 units Camera Lens 24-70mm - 164,000</t>
  </si>
  <si>
    <t xml:space="preserve">                   1 set Wireless Intercom Headset System - 74,000</t>
  </si>
  <si>
    <t xml:space="preserve">                   1 pc Camera Gimbal - 63,450</t>
  </si>
  <si>
    <t xml:space="preserve">                   1 set Camcorder w/ Carbon Fiver Tripod - 360,045</t>
  </si>
  <si>
    <t xml:space="preserve">                   1 unit Container Van - 850,000.00</t>
  </si>
  <si>
    <t>P/P/A 1. RISK COMMUNICATION PROGRAM (CDRRMF) (9991-7)</t>
  </si>
  <si>
    <t xml:space="preserve">                     Risk Communications Training - 272,000</t>
  </si>
  <si>
    <t xml:space="preserve">                     Broadcasting and Report Development Training - 250,000</t>
  </si>
  <si>
    <r>
      <rPr>
        <b/>
        <sz val="12"/>
        <color theme="1"/>
        <rFont val="Calibri"/>
        <family val="2"/>
      </rPr>
      <t xml:space="preserve">                 </t>
    </r>
    <r>
      <rPr>
        <sz val="12"/>
        <color theme="1"/>
        <rFont val="Calibri"/>
        <family val="2"/>
      </rPr>
      <t xml:space="preserve">Advertising Expenses </t>
    </r>
  </si>
  <si>
    <t xml:space="preserve">                     Disaster Risk Reduction and Management Orientation for 
                     the Media Sector - 250,000</t>
  </si>
  <si>
    <t xml:space="preserve">                        1 Broadcast Program Producer - Announcer I @ 1,466/day 
                        for 26 days/mo. - 457,392</t>
  </si>
  <si>
    <t xml:space="preserve">                        1 Assistant Information Officer @ 974/day for 26 days/mo. 
                        - 303,888</t>
  </si>
  <si>
    <t xml:space="preserve">                        2 Administrative Aide III (Broadcast Operator) @ 720/day 
                        for 26 days/mo. - 449,280</t>
  </si>
  <si>
    <t xml:space="preserve">                        1 Administrative Aide II @ 678/day for 26 days/mo. - 211,536</t>
  </si>
  <si>
    <t xml:space="preserve">                     2 Units Desktop Computer with Accessories - 180,000</t>
  </si>
  <si>
    <t xml:space="preserve">                     2 Units Laptop Computer - 105,600</t>
  </si>
  <si>
    <t xml:space="preserve">                     1 Set Video Camera Equipment with Accessories - 225,000</t>
  </si>
  <si>
    <t>Department: OFFICE OF THE CITY LEGAL OFFICER (1131)</t>
  </si>
  <si>
    <t xml:space="preserve">                 Performance-Based Bonus </t>
  </si>
  <si>
    <r>
      <rPr>
        <b/>
        <sz val="12"/>
        <color theme="1"/>
        <rFont val="Calibri"/>
        <family val="2"/>
      </rPr>
      <t xml:space="preserve">                      </t>
    </r>
    <r>
      <rPr>
        <sz val="12"/>
        <color theme="1"/>
        <rFont val="Calibri"/>
        <family val="2"/>
      </rPr>
      <t>Regular - 100,000.00</t>
    </r>
  </si>
  <si>
    <r>
      <rPr>
        <b/>
        <sz val="12"/>
        <color theme="1"/>
        <rFont val="Calibri"/>
        <family val="2"/>
      </rPr>
      <t xml:space="preserve">                      </t>
    </r>
    <r>
      <rPr>
        <sz val="12"/>
        <color theme="1"/>
        <rFont val="Calibri"/>
        <family val="2"/>
      </rPr>
      <t>Training on Regulatory Compliance for Local Government</t>
    </r>
  </si>
  <si>
    <t xml:space="preserve">                      Infrastructure Projects - 236,799.00</t>
  </si>
  <si>
    <t xml:space="preserve">                      Seminar on Barangay Legislative Powers and Functions for </t>
  </si>
  <si>
    <t xml:space="preserve">                      Effective Local Legislation - 274,848.00</t>
  </si>
  <si>
    <t xml:space="preserve">                      Seminar on Protocols on Privacy and Data Protection</t>
  </si>
  <si>
    <t xml:space="preserve">                      - 330,287.00</t>
  </si>
  <si>
    <t xml:space="preserve">                      Capacity Development Training on Effective Local</t>
  </si>
  <si>
    <t xml:space="preserve">                      Enforcement of Traffic Laws and Ordinances - 398,444.00</t>
  </si>
  <si>
    <t xml:space="preserve">                      Ethics and Professional Responsibility in Government Legal</t>
  </si>
  <si>
    <t xml:space="preserve">                      Practice with Privacy and Data Protection Orientation -</t>
  </si>
  <si>
    <t xml:space="preserve">                      55,163.00</t>
  </si>
  <si>
    <t xml:space="preserve">                          Lex Libris - 184,800.00</t>
  </si>
  <si>
    <t xml:space="preserve">                          Online Storage - 25,000.00</t>
  </si>
  <si>
    <t xml:space="preserve">                          Anti-virus for Protection of Computer Devices - 20,000.00</t>
  </si>
  <si>
    <t xml:space="preserve">                          Legal Aid Caravan for Special Sectors - 56,796.00</t>
  </si>
  <si>
    <t xml:space="preserve">                          Team Building Activity - 34,500.00</t>
  </si>
  <si>
    <t xml:space="preserve">                          Registration/Processing fees, Securing Documents/</t>
  </si>
  <si>
    <t xml:space="preserve">                          Litigation Fee/Acquired Assets Expenses - 380,000.00</t>
  </si>
  <si>
    <t xml:space="preserve">                          1 Network-attached Storage (NAS) System - 95,000.00</t>
  </si>
  <si>
    <t xml:space="preserve">                          3 units Laptop - 195,0000.00</t>
  </si>
  <si>
    <t>Office: OFFICE OF THE CITY PROSECUTOR (1141)</t>
  </si>
  <si>
    <t xml:space="preserve">                 Other Professional Services</t>
  </si>
  <si>
    <r>
      <rPr>
        <b/>
        <sz val="12"/>
        <color theme="1"/>
        <rFont val="Calibri"/>
        <family val="2"/>
      </rPr>
      <t xml:space="preserve">                    - </t>
    </r>
    <r>
      <rPr>
        <sz val="12"/>
        <color theme="1"/>
        <rFont val="Calibri"/>
        <family val="2"/>
      </rPr>
      <t>14 Prosecutors @ 19,000.00/mo. - 3,192,000.00</t>
    </r>
  </si>
  <si>
    <t xml:space="preserve">                       2 Admin. Aide II @ 678.00/day for 22 days/mo. - 
                       357,984.00</t>
  </si>
  <si>
    <t>Office: OFFICE OF THE CITY JUDGE (1158)</t>
  </si>
  <si>
    <t xml:space="preserve">                    - Team Building Activity/Program Review and 
                      Evaluation - 162,614.00</t>
  </si>
  <si>
    <t xml:space="preserve">                    - Other Trainings - 65,386.00</t>
  </si>
  <si>
    <t xml:space="preserve">                    - 3 Judges @ 19,000.00/mo. - 684,000.00</t>
  </si>
  <si>
    <t xml:space="preserve">                       8 Admin. Aide II @ 678.00/day for 22 days/mo. -
                       1,431,936.00</t>
  </si>
  <si>
    <t>Office: OFFICE OF THE CITY REGISTER OF DEEDS (1161)</t>
  </si>
  <si>
    <t xml:space="preserve">                   - Honoraria:</t>
  </si>
  <si>
    <t xml:space="preserve">                       RD @ 19,000.00/mo. - 228,000.00</t>
  </si>
  <si>
    <t xml:space="preserve">                       Asst. RD @ 17,000.00/mo. - 204,000.00</t>
  </si>
  <si>
    <t>Department: OFFICE OF THE CITY HEALTH OFFICER (4411)</t>
  </si>
  <si>
    <t xml:space="preserve">                 Subsistence Allowance </t>
  </si>
  <si>
    <t xml:space="preserve">                 Laundry Allowance </t>
  </si>
  <si>
    <t xml:space="preserve">                 Honoraria</t>
  </si>
  <si>
    <t xml:space="preserve">                 Hazard Pay </t>
  </si>
  <si>
    <t xml:space="preserve">                 Longevity Pay </t>
  </si>
  <si>
    <t xml:space="preserve">                 Overtime and Night Pay </t>
  </si>
  <si>
    <t xml:space="preserve">                     Regular - 2,500,000</t>
  </si>
  <si>
    <t xml:space="preserve">                     City Epidemiology Surveillance Unit - 100,000</t>
  </si>
  <si>
    <t xml:space="preserve">                     Regular - 1,000,000</t>
  </si>
  <si>
    <t xml:space="preserve">                     BHW Basic Comprehensive Training - 277,500</t>
  </si>
  <si>
    <t xml:space="preserve">                     Periodic Intensification Training for Health Workers - 166,500</t>
  </si>
  <si>
    <t xml:space="preserve">                     Training on Mid Level Management for National Program on 
                     Immunization - 277,500</t>
  </si>
  <si>
    <t xml:space="preserve">                     Malaria Response Training - 51,060</t>
  </si>
  <si>
    <t xml:space="preserve">                     Roll Out Training on Home Care and Community Support for 
                     Caregivers of Patient with Disability - 37,000</t>
  </si>
  <si>
    <t xml:space="preserve">                     Food Handling Seminar for CVSI - 29,600</t>
  </si>
  <si>
    <t xml:space="preserve">                     Training of Midwife on Visual Inspection with Acetic Acid - 223,000</t>
  </si>
  <si>
    <t xml:space="preserve">                     Health Promotions Unit: </t>
  </si>
  <si>
    <t xml:space="preserve">                     MPOWER+ Training for Smoke Free Task Force and Enforcers - 
                     74,000</t>
  </si>
  <si>
    <t xml:space="preserve">                     MPOWER+ Training for Primary Care Providers - 59,200</t>
  </si>
  <si>
    <t xml:space="preserve">                     Training of Peer Facilitators / Mental Health Training to Identified
                     Volunteers, Health Workers and Partners - 111,000</t>
  </si>
  <si>
    <t xml:space="preserve">                     CHO, SK and CYDO Collaboration Training on KADA (Training of 
                     Trainers) - 55,500</t>
  </si>
  <si>
    <t xml:space="preserve">                     Operation of the HIV Treatment Hub / STI/HIV/AIDS Prevention 
                     and Control Program: </t>
  </si>
  <si>
    <t xml:space="preserve">                     Provider-Initiated HIV Counseling and Testing Training with 
                     Facility-Based HIV Screening for Satellite Clinics Midwives Batch 
                     1 &amp; 2 - 294,586 </t>
  </si>
  <si>
    <t xml:space="preserve">                     Case Management Training - 85,867</t>
  </si>
  <si>
    <t xml:space="preserve">                     City Epidemiology Surveillance Unit: </t>
  </si>
  <si>
    <t xml:space="preserve">                     Orientation on PIDSR with Lab Surveillance for Med Techs - 11,100</t>
  </si>
  <si>
    <t xml:space="preserve">                     Community-Based Surveillance Training - 29,600</t>
  </si>
  <si>
    <t xml:space="preserve">                     Training on Disease Surveillance for Health Care Providers in 
                     Hospital Infection Control Committee - 29,600</t>
  </si>
  <si>
    <t xml:space="preserve">                     Integrated Monitoring and Evaluation on Epidemiology &amp; 
                     Surveillance Functionality Workshop - 11,100</t>
  </si>
  <si>
    <t xml:space="preserve">                     Others - 100,000</t>
  </si>
  <si>
    <t xml:space="preserve">                     Medical and Dental Outreach Program (Tarabidan sa Kalusugan) 
                     - 100,000</t>
  </si>
  <si>
    <t xml:space="preserve">                     Operation of Satellite Clinic and Birthing Facilities - 700,000</t>
  </si>
  <si>
    <t xml:space="preserve">                     Health Emergency Response Management and Preparedness
                     Operations - 200,000</t>
  </si>
  <si>
    <t xml:space="preserve">                     Regular - 50,000,000</t>
  </si>
  <si>
    <t xml:space="preserve">                     Medical and Dental Outreach Program (Tarabidan sa Kalusugan) 
                     - 14,563,542</t>
  </si>
  <si>
    <t xml:space="preserve">                     Operation of Satellite Clinic and Birthing Facilities - 17,502,009</t>
  </si>
  <si>
    <t xml:space="preserve">                     Maternal, Neonatal and Child Health Nutrition (First 1000 Days) - 
                     6,399,000</t>
  </si>
  <si>
    <t xml:space="preserve">                     Regular - 20,000,000</t>
  </si>
  <si>
    <t xml:space="preserve">                     Operation of Satellite Clinic and Birthing Facilities - 9,503,696</t>
  </si>
  <si>
    <t xml:space="preserve">                     Maternal, Neonatal and Child Health Nutrition (First 1000 Days) - 
                     23,920</t>
  </si>
  <si>
    <t xml:space="preserve">                     Operation of the HIV Treatment Hub / STI/HIV/AIDS Prevention 
                     and Control Program - 2,242,450</t>
  </si>
  <si>
    <t xml:space="preserve">                     Medical and Dental Outreach Program (Tarabidan sa Kalusugan) 
                     - 1,730,741</t>
  </si>
  <si>
    <t xml:space="preserve">                     Regular - 6,257,972</t>
  </si>
  <si>
    <t xml:space="preserve">                     Operation of Satellite Clinic and Birthing Facilities - 1,148,520</t>
  </si>
  <si>
    <t xml:space="preserve">                     Operation of the HIV Treatment Hub / STI/HIV/AIDS Prevention 
                     and Control Program - 68,575</t>
  </si>
  <si>
    <t xml:space="preserve">                     Medical and Dental Outreach Program (Tarabidan sa Kalusugan) 
                     - 582,800</t>
  </si>
  <si>
    <t xml:space="preserve">                     City Epidemiology Surveillance Unit - 15,455</t>
  </si>
  <si>
    <t xml:space="preserve">                     Regular - 750,000</t>
  </si>
  <si>
    <t xml:space="preserve">                     Operation of Satellite Clinic and Birthing Facilities - 204,500</t>
  </si>
  <si>
    <t xml:space="preserve">                     Regular - 5,605,582</t>
  </si>
  <si>
    <t xml:space="preserve">                     Maternal, Neonatal and Child Health Nutrition (First 1000 Days) - 
                     1,012,500</t>
  </si>
  <si>
    <t xml:space="preserve">                     Operation of the HIV Treatment Hub / STI/HIV/AIDS Prevention 
                     and Control Program - 17,519</t>
  </si>
  <si>
    <t xml:space="preserve">                     Medical and Dental Outreach Program (Tarabidan sa Kalusugan) 
                     - 81,673</t>
  </si>
  <si>
    <t xml:space="preserve">                     Operation of Satellite Clinic and Birthing Facilities - 1,269,000</t>
  </si>
  <si>
    <t xml:space="preserve">                     City Epidemiology Surveillance Unit - 115,878</t>
  </si>
  <si>
    <t xml:space="preserve">                     Bayanihan Para sa Malinis na Palikuran - 300,000</t>
  </si>
  <si>
    <t xml:space="preserve">                 Internet Subscription Expenses </t>
  </si>
  <si>
    <t xml:space="preserve">                     Regular - 805,000</t>
  </si>
  <si>
    <t xml:space="preserve">                     Operation of the HIV Treatment Hub / STI/HIV/AIDS Prevention 
                     and Control Program - 10,000</t>
  </si>
  <si>
    <t xml:space="preserve">                     Regular - 75,400</t>
  </si>
  <si>
    <t xml:space="preserve">                     Maternal, Neonatal and Child Health Nutrition (First 1000 Days) - 
                     680,000</t>
  </si>
  <si>
    <t xml:space="preserve">                     Operation of the HIV Treatment Hub / STI/HIV/AIDS Prevention 
                     and Control Program - 150,000</t>
  </si>
  <si>
    <t xml:space="preserve">                     BHW Incentive (500 pax @ 6,000/mo.) - 36,000,000</t>
  </si>
  <si>
    <t xml:space="preserve">                     CVSI Incentive (66 pax @ 6,000/mo.) - 4,752,000</t>
  </si>
  <si>
    <t xml:space="preserve">                     Barangay Malaria Microscopists Incentive (20 pax @ 6,000/mo.)
                     - 1,440,000</t>
  </si>
  <si>
    <t xml:space="preserve">                     Bureau of Quarantine Specimen Certification Fee (CESU) - 80,000</t>
  </si>
  <si>
    <t xml:space="preserve">                     Courier Fee - Specimen Transport (CESU) - 80,000</t>
  </si>
  <si>
    <t xml:space="preserve">                     BHW Accident Insurance (500 pax @ 500/yr.) - 250,000</t>
  </si>
  <si>
    <t xml:space="preserve">                     Electronic Medical Record Fee - 120,000</t>
  </si>
  <si>
    <t xml:space="preserve">                     EQAS Registration - 35,000</t>
  </si>
  <si>
    <t xml:space="preserve">                     Handog Pasasalamat (Tribute for 10 Retiring BHWs and 10 
                     Outstanding BHWs @ 5,000 each) - 100,000</t>
  </si>
  <si>
    <t xml:space="preserve">                     Incentives of HRH Deployed (Nursing and Midwifery Services) - 
                     300,000</t>
  </si>
  <si>
    <t xml:space="preserve">                     Various Health Facility Accreditation Requirements - 150,000</t>
  </si>
  <si>
    <t xml:space="preserve">                     Program Implementation Review/ Year End Evaluation for BHWs 
                     - 185,000</t>
  </si>
  <si>
    <t xml:space="preserve">                     Conduct of Visual Inspection with Acetic Acid (VIA) &amp; Clinical
                     Breast Examination (CBE) to 30 Years Old and Above Women in 
                     Every Barangay - 74,000</t>
  </si>
  <si>
    <t xml:space="preserve">                     Orientation on Non-Communicable &amp; Philippine Package for 
                     Essential Non-Communicable Diseases Intervention - 75,000</t>
  </si>
  <si>
    <t xml:space="preserve">                     Lectures and Demonstration of Accupressure for Ailments to  
                     Healthworkers - 30,000</t>
  </si>
  <si>
    <t xml:space="preserve">                     Orientation on Primary Eye Care and Demonstration of 
                     Measuring Visual Acuity - 45,000</t>
  </si>
  <si>
    <t xml:space="preserve">                     Bayanihan sa Barangay Targeted Indoor/Outdoor Residual 
                     Spraying Orientation and City-Wide Search and Destroy Mosquito
                     Breeding Sites Activity - 70,300</t>
  </si>
  <si>
    <t xml:space="preserve">                     CVSI Year-End Evaluation - 29,600</t>
  </si>
  <si>
    <t xml:space="preserve">                     Teenage Pregnancy Symposium - 70,000</t>
  </si>
  <si>
    <t xml:space="preserve">                     Parent Teen Talk / Breaking the Barrier Session - 35,000</t>
  </si>
  <si>
    <t xml:space="preserve">                     Ang Aking Katawan Ang Aking Kalusugan - 35,000</t>
  </si>
  <si>
    <t xml:space="preserve">                     Healthy Lolo at Lola - 11,100</t>
  </si>
  <si>
    <t xml:space="preserve">                     Dengue and Malaria Awareness Day - 92,500</t>
  </si>
  <si>
    <t xml:space="preserve">                     Kalusugan Karapatan ng May Kapansanan - 11,100</t>
  </si>
  <si>
    <t xml:space="preserve">                     Urine Screening for Junior High School - 45,000</t>
  </si>
  <si>
    <t xml:space="preserve">                     Urine Screening for Grade 6 Students - 45,000</t>
  </si>
  <si>
    <t xml:space="preserve">                     Dibdiban Annual Breast Cancer Awareness Celebration - 74,000</t>
  </si>
  <si>
    <t xml:space="preserve">                     HERO Quarterly Meeting - 70,000</t>
  </si>
  <si>
    <t xml:space="preserve">                     Celebration of Kidney Month - 45,000</t>
  </si>
  <si>
    <t xml:space="preserve">                     Celebration of Hypertension Awareness Month - 45,000</t>
  </si>
  <si>
    <t xml:space="preserve">                     Celebration of World Diabetes Day - 45,000</t>
  </si>
  <si>
    <t xml:space="preserve">                     Mobile Blood Donation Activity - 75,000</t>
  </si>
  <si>
    <t xml:space="preserve">                     Pharmacy and Therapeutics Committee Quarterly Meeting - 29,600</t>
  </si>
  <si>
    <t xml:space="preserve">                     Year-End Evaluation / Program Implementation Review - 325,500</t>
  </si>
  <si>
    <t xml:space="preserve">                     Waste Collection Fee - 1,500,000</t>
  </si>
  <si>
    <t xml:space="preserve">                     Vector-Borne Stakeholders Meeting - 49,000</t>
  </si>
  <si>
    <t xml:space="preserve">                     Balayong Fun Ride for Health - 269,000</t>
  </si>
  <si>
    <t xml:space="preserve">                     Health Promotion Kick-Off Activities - 140,000</t>
  </si>
  <si>
    <t xml:space="preserve">                     Health Promotion Committee Meeting - 44,400</t>
  </si>
  <si>
    <t xml:space="preserve">                     Orientation on Active Transport for Stakeholders and Health 
                     Partners - 70,200</t>
  </si>
  <si>
    <t xml:space="preserve">                     Hands Only Cardio Pulmonary Resuscitation - 175,000</t>
  </si>
  <si>
    <t xml:space="preserve">                     Support to Global Handwashing Program / Oral Health Month 
                     Celebration (Wash O'Clock Campaign) - 173,750</t>
  </si>
  <si>
    <t xml:space="preserve">                     Healthy Buntis Pageant "Gandang Buntis 2026" - 234,500</t>
  </si>
  <si>
    <t xml:space="preserve">                     STI Awareness Month - 50,000</t>
  </si>
  <si>
    <t xml:space="preserve">                     Philippine International AIDS Candlelight Memorial - 50,000</t>
  </si>
  <si>
    <t xml:space="preserve">                     World AIDS Awareness Day Celebration - 50,000</t>
  </si>
  <si>
    <t xml:space="preserve">                     Local AIDS Council Meeting - 22,200</t>
  </si>
  <si>
    <t xml:space="preserve">                     Mega Operation Tuli - 245,000</t>
  </si>
  <si>
    <t xml:space="preserve">                     Pediatric Cardiology 2-Dimensional Echocardiogram Screening - 
                     192,500</t>
  </si>
  <si>
    <t xml:space="preserve">                     Maternal Death, Perinatal Surveillance and Response Review - 
                     14,000</t>
  </si>
  <si>
    <t xml:space="preserve">                     Barangay-Based Buntis Congress - 52,500</t>
  </si>
  <si>
    <t xml:space="preserve">                     Bakuna Champion Congress Program Implementation Review - 
                     185,000</t>
  </si>
  <si>
    <t xml:space="preserve">                     Support to PTC Expert Panel - 56,000</t>
  </si>
  <si>
    <t xml:space="preserve">                        Gen. Admin: </t>
  </si>
  <si>
    <t xml:space="preserve">                        1 Medical Officer I (Consultant) @ 50,000/mo. - 600,000</t>
  </si>
  <si>
    <t xml:space="preserve">                        1 Pathologist (Consultant) @ 40,000/mo. - 480,000</t>
  </si>
  <si>
    <t xml:space="preserve">                        1 Ultrasound Sonologist/Radiologist (Consultant) @ 40,000/mo. 
                         - 480,000</t>
  </si>
  <si>
    <t xml:space="preserve">                        2 Dentist @ 40,000/mo. - 960,000</t>
  </si>
  <si>
    <t xml:space="preserve">                        1 Social Welfare Assistant @ 974/day for 22 days/mo. - 257,136</t>
  </si>
  <si>
    <t xml:space="preserve">                        2 Cemetery Caretaker @ 678/day for 26 days/mo. - 423,072</t>
  </si>
  <si>
    <t xml:space="preserve">                        6 Administrative Aide I (Utility Worker) @ 639/day for 22 
                        days/mo. - 1,012,176</t>
  </si>
  <si>
    <t xml:space="preserve">                        2 Pharmacist @ 1,365/day for 22 days/mo. - 720,720</t>
  </si>
  <si>
    <t xml:space="preserve">                        2 Pharmacy Aide @ 678/day for 22 days/mo. - 357,984</t>
  </si>
  <si>
    <t xml:space="preserve">                        5 Administrative Aide I (Warehouse Staff) @ 639/day for 22 
                        days/mo. - 843,480</t>
  </si>
  <si>
    <t xml:space="preserve">                        City Epidemiology Surveillance Unit: </t>
  </si>
  <si>
    <t xml:space="preserve">                        4 Disease Surveillance Officeres (Nurse) @ 1,828/day for 22 
                       days/mo. - 1,930,368</t>
  </si>
  <si>
    <t xml:space="preserve">                        Operation of Satellite Clinics and Birthing Facilities: </t>
  </si>
  <si>
    <t xml:space="preserve">                        16 Ambulance Crew @ 720/day for 26 days/mo. - 3,594,240</t>
  </si>
  <si>
    <t xml:space="preserve">                        16 Ambulance Driver @ 720/day for 26 days/mo. - 3,594,240</t>
  </si>
  <si>
    <t xml:space="preserve">                        17 Administrative Aide I (Utility Worker) @ 639/day for 26 
                        days/mo. - 3,389,256</t>
  </si>
  <si>
    <t xml:space="preserve">                        21 Administrative Aide II @ 678/day for 26 days/mo. - 4,442,256</t>
  </si>
  <si>
    <t xml:space="preserve">                        17 Watchman I @ 678/day for 26 days/mo. - 3,596,112</t>
  </si>
  <si>
    <t xml:space="preserve">                        4 Pharmacist @ 1,365/day for 26 days/mo. - 1,703,520</t>
  </si>
  <si>
    <t xml:space="preserve">                        4 Pharmacy Aide @ 678/day for 26 days/mo. - 846,144</t>
  </si>
  <si>
    <t xml:space="preserve">                        4 Medical Technologist @ 1,365/day for 26 days/mo. - 1,703,520</t>
  </si>
  <si>
    <t xml:space="preserve">                        4 Laboratory Aide @ 678/day for 26 days/mo. - 846,144</t>
  </si>
  <si>
    <t xml:space="preserve">                        4 Radiologic Technologist @ 1,365/day for 26 days/mo. - 1,703,520</t>
  </si>
  <si>
    <t xml:space="preserve">                        4 Laboratory Aide (Rad. Tech. Aide @ 678/day for 26 days/mo. - 
                        846,144</t>
  </si>
  <si>
    <t xml:space="preserve">                        1 Midwife I @ 1,056/day for 26 days/mo.- 329,472</t>
  </si>
  <si>
    <t xml:space="preserve">                        1 Nurse @ 1,828/day for 26 days/mo. - 570,336</t>
  </si>
  <si>
    <t xml:space="preserve">                        Operation of the HIV Treatment Hub / STI/HIV/AIDS Prevention 
                        and Control Program:</t>
  </si>
  <si>
    <t xml:space="preserve">                        1 Nurse @ 1,828/day for 22 days/mo. - 482,592</t>
  </si>
  <si>
    <t xml:space="preserve">                        1 Medical Technologist @ 1,365/day for 22 days/mo. - 360,360</t>
  </si>
  <si>
    <t xml:space="preserve">                        1 Pyschologist @ 1,365/day for 22 days/mo. - 360,360</t>
  </si>
  <si>
    <t xml:space="preserve">                        1 Administrative Aide II @ 678/day for 22 days/mo. - 178,992</t>
  </si>
  <si>
    <t xml:space="preserve">                        1 Social Welfare Officer @ 1,365/day for 22 days/mo. - 360,360</t>
  </si>
  <si>
    <t xml:space="preserve">                        1 Nursing Attendant @ 765/day for 22 days/mo. - 201,960</t>
  </si>
  <si>
    <t xml:space="preserve">                        1 Laboratory Aide @ 678/day for 22 days/mo. - 178,992</t>
  </si>
  <si>
    <t xml:space="preserve">                        Health Promotions Unit: </t>
  </si>
  <si>
    <t xml:space="preserve">                        1 Health Promotion Officer (Nurse) @ 1,828/day for 22 
                        days/mo. - 482,592</t>
  </si>
  <si>
    <t xml:space="preserve">                        1 Administrative Aide III (Layout Artist/Video Editor) @ 720/day
                        for 22 days/mo. - 190,080</t>
  </si>
  <si>
    <t xml:space="preserve">                        Health Emergency Response Management and Preparedness
                        Operations: </t>
  </si>
  <si>
    <t xml:space="preserve">                        1 Medical Director @ 50,000/mo. - 600,000</t>
  </si>
  <si>
    <t xml:space="preserve">                        20 Emergency Medical Technician @ 1,828/day for 26 days/mo. 
                         - 11,406,720</t>
  </si>
  <si>
    <t xml:space="preserve">                        4 Emergency Medical Officer on Duty @ 1,828/day for 26 
                        days/mo.  - 2,281,344</t>
  </si>
  <si>
    <t xml:space="preserve">                        4 Mental Health Crisis Hotline Officer @ 1,828/day for 26 
                        days/mo.  - 2,281,344</t>
  </si>
  <si>
    <t xml:space="preserve">                        20 Emergency Medical Responder @ 1,365/day for 26 days/
                        mo. - 8,517,600</t>
  </si>
  <si>
    <t xml:space="preserve">                        2 Fumigators @ 720/day for 26 days/mo. - 449,280</t>
  </si>
  <si>
    <t xml:space="preserve">                        2 Administrative Aide II @ 678/day for 26 days/mo. - 423,072</t>
  </si>
  <si>
    <t xml:space="preserve">                        20 Ambulance Crew @ 720/day for 26 days/mo. - 4,492,800</t>
  </si>
  <si>
    <t xml:space="preserve">                        20 Ambulance Driver @ 720/day for 26 days/mo. - 4,492,800</t>
  </si>
  <si>
    <t xml:space="preserve">                        6 Administrative Aide I (Warehouse Staff) @ 639/day for 26 
                        days/mo. - 1,196,208</t>
  </si>
  <si>
    <t xml:space="preserve">                     2 Units Photocopying Machine (Regular &amp; Satellite) - 140,000</t>
  </si>
  <si>
    <t xml:space="preserve">                     2 Unit 52" TV (HEPU) - 110,000</t>
  </si>
  <si>
    <t xml:space="preserve">                     1 Unit 55" TV - 60,000</t>
  </si>
  <si>
    <t xml:space="preserve">                     6 Units 65" TV - 390,000</t>
  </si>
  <si>
    <t xml:space="preserve">                     34 Units Desktop Computer Set (30 - Regular; 1 - CESU; 1 - STI, 
                     2 - Satellite) - 2,060,400</t>
  </si>
  <si>
    <t xml:space="preserve">                     6 Units Laptop (5 - Regular; 1 - CESU) - 316,800</t>
  </si>
  <si>
    <t xml:space="preserve">                     4 Units Built-In Projector/Monitor Screen with Complete 
                     Accessories - 440,000</t>
  </si>
  <si>
    <t xml:space="preserve">                     1 Queueing System - 270,000</t>
  </si>
  <si>
    <t xml:space="preserve">                     1 Unit Paging System </t>
  </si>
  <si>
    <t xml:space="preserve">                 Medical Equipment </t>
  </si>
  <si>
    <t xml:space="preserve">                     1 Unit CD4 Machine (STI) - 1,950,000</t>
  </si>
  <si>
    <t xml:space="preserve">                     1 Unit ECG Machine - 53,000</t>
  </si>
  <si>
    <t xml:space="preserve">                     1 Units DR Flat Panel Detector - 5,400,000</t>
  </si>
  <si>
    <t xml:space="preserve">                     1 Unit Pharmacy Refrigerator - 700,000</t>
  </si>
  <si>
    <t xml:space="preserve">                     10 Units Refrigerator for Storage of Vaccines - 3,200,000</t>
  </si>
  <si>
    <t xml:space="preserve">                     1 Unit 500mA Digital X-Ray Machine - 10,500,000</t>
  </si>
  <si>
    <t xml:space="preserve">                     1 Set Hematology Analyzer Model 330 WBC Cup - 110,000</t>
  </si>
  <si>
    <t xml:space="preserve">                     1 Set Hematology Analyzer Model 330 RBC Cup - 110,000</t>
  </si>
  <si>
    <t xml:space="preserve">                     1 Set Hematology Analyzer Model H360 WBC Cup - 133,000</t>
  </si>
  <si>
    <t xml:space="preserve">                     1 Set Hematology Analyzer Model H360 RBC Cup - 133,000</t>
  </si>
  <si>
    <t xml:space="preserve">                     4 Units Adjustable Height Lead Barrier Stand - 276,000</t>
  </si>
  <si>
    <t xml:space="preserve">                     1 Unit Microscope - 65,000</t>
  </si>
  <si>
    <t xml:space="preserve">                     1 Unit Generator Set for X-Ray - 160,000</t>
  </si>
  <si>
    <t xml:space="preserve">                     4 Units Dental Chair with Complete Accessories, High-Speed 
                     Handpiece and Scale (W/ Compressor) (2 - Regular; 2 - Satellite)
                     - 2,600,000</t>
  </si>
  <si>
    <t xml:space="preserve">                     1 Unit Foldable Gynecological Chair - 51,800</t>
  </si>
  <si>
    <t xml:space="preserve">                     2 Units Semi-Electric Pallet Stacker - Forklift with Straddle Legs and 
                     Forks - 700,000</t>
  </si>
  <si>
    <t xml:space="preserve">                     2 Units Full Electic Pallet Jack, Pallet Truck with Emergency Key 
                     Switch - 470,000</t>
  </si>
  <si>
    <t xml:space="preserve">                     2 Units Ambulance Type II with Complete Accessories</t>
  </si>
  <si>
    <t xml:space="preserve">                 Intangible Assets</t>
  </si>
  <si>
    <t xml:space="preserve">                 Other Intangible Assets</t>
  </si>
  <si>
    <t>1-09-01-990</t>
  </si>
  <si>
    <t xml:space="preserve">                     2 Synapse PACS System for Digital X-Ray Machine - 11,900,000</t>
  </si>
  <si>
    <t>P/P/A 1. OPERATION OF HALFWAY HOME DROP IN CENTER (4412-4)</t>
  </si>
  <si>
    <t xml:space="preserve">                     Psychological Screening Assessment - 22,200</t>
  </si>
  <si>
    <t xml:space="preserve">                        1 Psychiatrist @ 50,000/mo. - 600,000</t>
  </si>
  <si>
    <t>P/P/A 2. DRUG REFORMATION AND COMMUNITY-BASED DRUG REHABILITATION PROGRAM (4412-3)</t>
  </si>
  <si>
    <t xml:space="preserve">                     Community Awareness Campaign Against Illegal Drugs - 37,000</t>
  </si>
  <si>
    <t xml:space="preserve">                        1 Social Welfare Officer I (Facility Program Manager) @ 
                        1,365/day for 26 days/mo. - 425,880</t>
  </si>
  <si>
    <t xml:space="preserve">                        1 Social Welfare Aide @ 765/day for 26 days/mo. - 238,680 </t>
  </si>
  <si>
    <t xml:space="preserve">                        1 Administrative Aide I (Utility Worker I) @ 639/day for 
                        26 days/mo. - 199,368</t>
  </si>
  <si>
    <t xml:space="preserve">                 Military, Police and Security Equipment </t>
  </si>
  <si>
    <t xml:space="preserve">                 Telephone Expenses- Mobile</t>
  </si>
  <si>
    <t xml:space="preserve">            </t>
  </si>
  <si>
    <t>P/P/A 3. PPC MOLECULAR AND DIAGNOSTIC LABORATORY (4412-6)</t>
  </si>
  <si>
    <t xml:space="preserve">                     Enhancing Laboratory Excellence: Internal Skills Strengthening
                     and Continuing Learning </t>
  </si>
  <si>
    <t xml:space="preserve">                 Supplies and Materials </t>
  </si>
  <si>
    <t xml:space="preserve">                     Assessment of Internal Quality Assurance Performance, 
                     Develop &amp; Implement Mitigation and Remediation Plan - 22,200</t>
  </si>
  <si>
    <t xml:space="preserve">                     BOQ Specimen Certification Fee - 24,000</t>
  </si>
  <si>
    <t xml:space="preserve">                     Courier Fee for Specimen Transport - 24,000</t>
  </si>
  <si>
    <t xml:space="preserve">                     EQAS Registration - 50,000</t>
  </si>
  <si>
    <t xml:space="preserve">                     LTO Registration - 10,000</t>
  </si>
  <si>
    <t xml:space="preserve">                     1 Unit Desktop </t>
  </si>
  <si>
    <t xml:space="preserve">                     1 Unit 14 Vial Dry Block Incubator</t>
  </si>
  <si>
    <t xml:space="preserve">                     Mass Casualty Incident Management Training - 370,000</t>
  </si>
  <si>
    <t xml:space="preserve">                     Basic Life Support and Standard First Aid Training - 370,000</t>
  </si>
  <si>
    <t xml:space="preserve">                     Training of Facilitators (TOF) Standard First Aid Training - 370,000</t>
  </si>
  <si>
    <t xml:space="preserve">                     Emergency Ambulance Driver's Training - 111,000</t>
  </si>
  <si>
    <t xml:space="preserve">                     Health Emergency Response Operation Training - 148,000</t>
  </si>
  <si>
    <t xml:space="preserve">                     Advanced Cardiac Life Support Training - 296,000</t>
  </si>
  <si>
    <t xml:space="preserve">                     Prehospital Trauma Care Training - 296,000</t>
  </si>
  <si>
    <t xml:space="preserve">                     Basic Emergency Care Course Training - 296,000</t>
  </si>
  <si>
    <t xml:space="preserve">                     Emergency Medical Dispatch Training - 296,000</t>
  </si>
  <si>
    <t xml:space="preserve">                     Search and Rescue (Extrication) Training - 148,000</t>
  </si>
  <si>
    <t xml:space="preserve">                     Development and Appraising of Guidelines and Protocols for 
                     Emergency Medical Services Training Workshop - 92,500</t>
  </si>
  <si>
    <t xml:space="preserve">                     Barangay Health Workers - Basic Life Support and Standard First 
                     Aid Training - 370,000</t>
  </si>
  <si>
    <t xml:space="preserve">                     Barangay Disaster Risk Reduction and Management in Health 
                     Training Workshop - 231,000 </t>
  </si>
  <si>
    <t xml:space="preserve">                     Disaster Awareness Month Celebration (Conduct of Simulation
                     and Drills Exercise - Table Top Exercises with Different Hospitals
                     and Agencies) </t>
  </si>
  <si>
    <t xml:space="preserve">                     4 Units Portable Cardiac Monitor Device </t>
  </si>
  <si>
    <t xml:space="preserve">                     4 Units Ambulance Type II with Complete Accessories</t>
  </si>
  <si>
    <t xml:space="preserve">                     1 Unit Advance Medical Post Tent</t>
  </si>
  <si>
    <t>Office: OFFICE OF THE CITY NUTRITIONIST (4411-1)</t>
  </si>
  <si>
    <t xml:space="preserve">                    - City Nutrition Action Plan Planning Workshop - 33,000.00</t>
  </si>
  <si>
    <t xml:space="preserve">                    - Philippine Integrated Management of Acute Malnutrition 
                      (PIMAM) Training - 165,000.00</t>
  </si>
  <si>
    <t xml:space="preserve">                    - Infant and Young Child Feeding (IYCF) Training - 165,000.00</t>
  </si>
  <si>
    <t xml:space="preserve">                    - BNS Refresher Course - 237,600.00</t>
  </si>
  <si>
    <t xml:space="preserve">                    - BNAP Planning Workshop for BLGUs - 237,600.00</t>
  </si>
  <si>
    <t xml:space="preserve">                    - Other Trainings - 150,000.00</t>
  </si>
  <si>
    <t xml:space="preserve">                 Awards/Rewards and Prizes</t>
  </si>
  <si>
    <t xml:space="preserve">                 Prizes</t>
  </si>
  <si>
    <t xml:space="preserve">                     - Nutrition Month Celebration - 166,500.00</t>
  </si>
  <si>
    <t xml:space="preserve">                     - BNS Year End Evaluation and Program Implementation
                       Review - 244,200.00</t>
  </si>
  <si>
    <t xml:space="preserve">                     - Local Evaluation and Feedbacking - 37,000.00</t>
  </si>
  <si>
    <t xml:space="preserve">                     - CNC Outreach Program - 66,600.00</t>
  </si>
  <si>
    <t xml:space="preserve">                     - CNC Periodic Meeting - 12,000.00</t>
  </si>
  <si>
    <t xml:space="preserve">                     - Honorarium (25 CNC Members @ 1,500.00/qtr.) - 
                       150,000.00</t>
  </si>
  <si>
    <t xml:space="preserve">                     - BNS Handog Pasasalamat @ 5,000.00 - 50,000.00</t>
  </si>
  <si>
    <t xml:space="preserve">                     - BNS Incentive @ 6,000.00/mo. (340 BNS) - 24,480,000.00</t>
  </si>
  <si>
    <t xml:space="preserve">                          2 Assistant Nutritionist-Dietitian @ 914.00/day for 
                          22 days/mo. - 482,592.00</t>
  </si>
  <si>
    <t>Office: OFFICE OF THE CITY POPULATION CONTROL OFFICER (7621)</t>
  </si>
  <si>
    <t xml:space="preserve">                    - Pre-Marriage Orientation and Counseling Management
                      for Expanded Members - 86,700.00</t>
  </si>
  <si>
    <t xml:space="preserve">                    - Orientation of NGO, CSO, Solemnizing Officers and 
                      Other Partner Stakeholders on the PMOC Guidelines
                      and Implementation Processes - 68,500.00</t>
  </si>
  <si>
    <t xml:space="preserve">                    - Orientation of Barangay Officials on the Requirements
                      in the conduct of Mass Wedding or Kasalang Bayan -
                      24,420.00</t>
  </si>
  <si>
    <t xml:space="preserve">                    - Kalalakihang Tapat sa Responsibilidad at Obligasyon sa 
                      Pamilya (KATROPA) and Men Responsible for Gender
                      and Development (MR. GAD) - 199,800.00</t>
  </si>
  <si>
    <t xml:space="preserve">                    - School-Based Orientation on Adolescent Health and
                      Development and Reproductive Health - 295,000.00</t>
  </si>
  <si>
    <t xml:space="preserve">                    - Parents and Teachers' Orientation on Adolescent Health
                      Development and Reproductive Health - 295,000.00</t>
  </si>
  <si>
    <t xml:space="preserve">                    - Roll-Out Training on PEER Educators - 185,000.00</t>
  </si>
  <si>
    <t xml:space="preserve">                    - Roll-Out Training of SHAPE, PTT, U4U, ISDN, and AHD to
                      Population Program Officers, Barangay Service Point 
                      Officers, LYDO, and UHC Personnel - 85,140.00</t>
  </si>
  <si>
    <t xml:space="preserve">                    - Conduct of Adolescent Pregnancy Symposium, U4U, 
                      and PTT - 284,900.00</t>
  </si>
  <si>
    <t xml:space="preserve">                    - PMOC Seminar - 144,000.00</t>
  </si>
  <si>
    <t xml:space="preserve">                    - BSPO Performance Training - 217,800.00</t>
  </si>
  <si>
    <t xml:space="preserve">                Drugs and Medicines Expenses</t>
  </si>
  <si>
    <t xml:space="preserve">                Medical, Dental and Laboratory Supplies Expenses</t>
  </si>
  <si>
    <t xml:space="preserve">                Internet Subscription Expenses</t>
  </si>
  <si>
    <t xml:space="preserve">                    - BSPO Incentive (160 pax @ 6,000.00/mo.) - 
                      11,520,000.00</t>
  </si>
  <si>
    <t xml:space="preserve">                    - Handog Pasasalamat/Retirement (15 pax @ 5,000.00) - 
                      75,000.00</t>
  </si>
  <si>
    <t xml:space="preserve">                    - PMOC Team Quarterly Meetings - 105,600.00</t>
  </si>
  <si>
    <t xml:space="preserve">                    - CIT Council Quarterly Meeting - 132,000.00</t>
  </si>
  <si>
    <t xml:space="preserve">                    - Operational Support for PMOC Speakers and 
                      Facilitators - 113,280.00</t>
  </si>
  <si>
    <t xml:space="preserve">                    - Mid-Year Performance and Implementation Review - 
                      22,500.00</t>
  </si>
  <si>
    <t xml:space="preserve">                    - CPD/RDC Partnership Activities - 55,500.00</t>
  </si>
  <si>
    <t xml:space="preserve">                    - CPD, PPDC, and PopDev Council Meeting - 33,000.00</t>
  </si>
  <si>
    <t>Department: OFFICE OF THE CITY SOCIAL WELFARE AND DEVELOPMENT OFFICER (7611)</t>
  </si>
  <si>
    <t xml:space="preserve">                 Semi-Expendable Machinery and Equipment</t>
  </si>
  <si>
    <t xml:space="preserve">                     Regular - 20,000,000.00</t>
  </si>
  <si>
    <t xml:space="preserve">                     ERRRPT/VAWC - 100,000.00</t>
  </si>
  <si>
    <t xml:space="preserve">                     CICL/MINORS - 900,000.00</t>
  </si>
  <si>
    <t xml:space="preserve">                     AFTER CARE FOR PDL - 275,000.00</t>
  </si>
  <si>
    <t xml:space="preserve">                     CLIP - 75,000.00</t>
  </si>
  <si>
    <t xml:space="preserve">                     HEMODIALYSIS - 20,000,000.00</t>
  </si>
  <si>
    <t xml:space="preserve">                     OS FOR 4P'S AND SLP PROGRAM - 2,000,000.00</t>
  </si>
  <si>
    <t xml:space="preserve">                     SLP - 200,000.00</t>
  </si>
  <si>
    <t xml:space="preserve">                     SUPPORT FUND TO REDCROSS - 1,860,000.00</t>
  </si>
  <si>
    <t xml:space="preserve">                    Capability Building of Regular Personnel - 158,400.00</t>
  </si>
  <si>
    <t xml:space="preserve">                    CCAT VAWC </t>
  </si>
  <si>
    <t xml:space="preserve">                        Incentive/Honorarium - 279,000.00</t>
  </si>
  <si>
    <t xml:space="preserve">                        Meals and Snack during Council Meeting - 68,820.00</t>
  </si>
  <si>
    <t xml:space="preserve">                        Meals and Snacks during Awarding Cerem. - 37,000.00</t>
  </si>
  <si>
    <t xml:space="preserve">                        Functionality Incentives for Top 10 Bgy. VAWC Desk</t>
  </si>
  <si>
    <t xml:space="preserve">                        Officers/Focals - 550,000.00</t>
  </si>
  <si>
    <t xml:space="preserve">                        Snacks for END VAW advocacy/activities - 37,500.00</t>
  </si>
  <si>
    <t xml:space="preserve">                    ERRRPT - Snaks during Orientation and Organization of </t>
  </si>
  <si>
    <t xml:space="preserve">                    KALIPI - 100,000.00</t>
  </si>
  <si>
    <t xml:space="preserve">                    FSP</t>
  </si>
  <si>
    <t xml:space="preserve">                        Snacks during Family Week Celebration - 75,000.00</t>
  </si>
  <si>
    <t xml:space="preserve">                        Model Family (5,000x6 clusters) - 30,000.00</t>
  </si>
  <si>
    <t xml:space="preserve">                        Plaque for Model Barangays - 15,000.00</t>
  </si>
  <si>
    <t xml:space="preserve">                    4P'S &amp; SLP</t>
  </si>
  <si>
    <t xml:space="preserve">                        Snacks for Quarterly CIAC Meetings - 15,000.00</t>
  </si>
  <si>
    <t xml:space="preserve">                        Meals and Snacks for CAT-PB Meeting - 48,840.00</t>
  </si>
  <si>
    <t xml:space="preserve">                        Snacks for CSO Quarterly Meeting - 15,000.00</t>
  </si>
  <si>
    <t xml:space="preserve">                        Snacks during Pugay Tagumpay Ceremony - 15,000.00</t>
  </si>
  <si>
    <t xml:space="preserve">                        Meals &amp; Snacks during Capability Building of 4P's &amp;</t>
  </si>
  <si>
    <t xml:space="preserve">                        SLP Staff - 15,540.00</t>
  </si>
  <si>
    <t xml:space="preserve">                        Meals &amp; Snacks during Parent Leaders Annual Meeting</t>
  </si>
  <si>
    <t xml:space="preserve">                        - 55,500.00</t>
  </si>
  <si>
    <t xml:space="preserve">                        Prizes for Search for Exemplary Child - 74,000.00</t>
  </si>
  <si>
    <r>
      <rPr>
        <b/>
        <sz val="12"/>
        <color theme="1"/>
        <rFont val="Calibri"/>
        <family val="2"/>
      </rPr>
      <t xml:space="preserve">                     </t>
    </r>
    <r>
      <rPr>
        <sz val="12"/>
        <color theme="1"/>
        <rFont val="Calibri"/>
        <family val="2"/>
      </rPr>
      <t>JO/COS:</t>
    </r>
  </si>
  <si>
    <t xml:space="preserve">                        AICS</t>
  </si>
  <si>
    <t xml:space="preserve">                           2 Social Welfare Asst @ 974/day for 22 days/mo. -</t>
  </si>
  <si>
    <t xml:space="preserve">                              514,272.00</t>
  </si>
  <si>
    <t xml:space="preserve">                           1 Admin. Aide II @ 678/day for 22 days/mo. -</t>
  </si>
  <si>
    <t xml:space="preserve">                              178,992.00</t>
  </si>
  <si>
    <t xml:space="preserve">                        After Care</t>
  </si>
  <si>
    <t xml:space="preserve">                           1 Social Welfare Asst. @ 974/day for 22 days/mo. -</t>
  </si>
  <si>
    <t xml:space="preserve">                              257,136.00</t>
  </si>
  <si>
    <t xml:space="preserve">                        ERRRPT</t>
  </si>
  <si>
    <t xml:space="preserve">                           5 Admin. Aide II @ 678/day for 22 days/mo. -</t>
  </si>
  <si>
    <t xml:space="preserve">                              894,960.00</t>
  </si>
  <si>
    <t xml:space="preserve">                           1 Admin. Aide I @ 639/day for 22 days/mo. -</t>
  </si>
  <si>
    <t xml:space="preserve">                              168,696.00</t>
  </si>
  <si>
    <t xml:space="preserve">                        SLP</t>
  </si>
  <si>
    <t xml:space="preserve">                           2 Admin. Aide II @ 678/day for 22 days/mo. -</t>
  </si>
  <si>
    <t xml:space="preserve">                              357,984.00</t>
  </si>
  <si>
    <t xml:space="preserve">                        Family Strengthening</t>
  </si>
  <si>
    <t xml:space="preserve">                           3 Admin. Aide I @ 639/day for 22 days/mo. -</t>
  </si>
  <si>
    <t xml:space="preserve">                              506,088.00</t>
  </si>
  <si>
    <t>P/P/A 1. SERVICES FOR SOLO PARENT (7611-8)</t>
  </si>
  <si>
    <t xml:space="preserve">                       1 unit Laptop - 40,000.00</t>
  </si>
  <si>
    <t xml:space="preserve">                       1 unit Projector - 16,000.00</t>
  </si>
  <si>
    <t xml:space="preserve">                       Meals &amp; Snacks (Solo Parent Congress) - 244,200.00</t>
  </si>
  <si>
    <t xml:space="preserve">                       Meals &amp; Snacks for quarterly meetings - 111,000.00</t>
  </si>
  <si>
    <t xml:space="preserve">                       Monthly Incentives of SP Presidents of 1,000 x 60 Presidents</t>
  </si>
  <si>
    <t xml:space="preserve">                        x 12 months - 720,000.00</t>
  </si>
  <si>
    <t>P/P/A 2. PUBLIC WELFARE ASSISTANCE (7611-14)</t>
  </si>
  <si>
    <r>
      <rPr>
        <b/>
        <sz val="12"/>
        <color theme="1"/>
        <rFont val="Calibri"/>
        <family val="2"/>
      </rPr>
      <t xml:space="preserve">                     </t>
    </r>
    <r>
      <rPr>
        <sz val="12"/>
        <color theme="1"/>
        <rFont val="Calibri"/>
        <family val="2"/>
      </rPr>
      <t>JO/COS:</t>
    </r>
  </si>
  <si>
    <t xml:space="preserve">                        1 Social Welfare Asst. @ 974/day for 22 days/mo - 257,136</t>
  </si>
  <si>
    <t xml:space="preserve">                        1 Admin. Aide II @ 678/day for 22 days/mo - 178,992</t>
  </si>
  <si>
    <t>P/P/A 3. AID TO INDIVIDUALS IN CRISIS SITUATION (7611-1)</t>
  </si>
  <si>
    <t xml:space="preserve">                     CCCM and FNFI-Related Training for Personnel and Volunteers</t>
  </si>
  <si>
    <t xml:space="preserve">                     Operations of Community Kitchen - 800,000</t>
  </si>
  <si>
    <t xml:space="preserve">                     Food Supplies - 5,000,000</t>
  </si>
  <si>
    <t xml:space="preserve">                     Non-Food Items Stockpile - 5,000,000</t>
  </si>
  <si>
    <t xml:space="preserve">                     Temporary Shelter Supplies - 2,000,000</t>
  </si>
  <si>
    <t xml:space="preserve">                     Others - 500,000</t>
  </si>
  <si>
    <t>P/P/A 1. CITY DAY CARE SERVICES PROGRAM (7611-19)</t>
  </si>
  <si>
    <r>
      <rPr>
        <b/>
        <sz val="12"/>
        <color theme="1"/>
        <rFont val="Calibri"/>
        <family val="2"/>
      </rPr>
      <t xml:space="preserve">                 </t>
    </r>
    <r>
      <rPr>
        <sz val="12"/>
        <color theme="1"/>
        <rFont val="Calibri"/>
        <family val="2"/>
      </rPr>
      <t>JO/COS:</t>
    </r>
  </si>
  <si>
    <t xml:space="preserve">                 4 Admin. Aide III @ 720/days for 22 days/mo. - 760,320.00</t>
  </si>
  <si>
    <t xml:space="preserve">                 1 Light Eqpt. Operator @ 678/days for 22 days/mo. - 178,992.00</t>
  </si>
  <si>
    <t xml:space="preserve">                 175 Day Care Worker @ 861/days for 22 days/mo. - 39,778,200.00</t>
  </si>
  <si>
    <t xml:space="preserve">                 Universal Children's Month Celebration - 400,000.00</t>
  </si>
  <si>
    <t xml:space="preserve">                 Recognition Rites - 600,000.00</t>
  </si>
  <si>
    <t xml:space="preserve">                 Semestral Day Care Workers Federation Meeting - 60,000.00</t>
  </si>
  <si>
    <t xml:space="preserve">                 WinD in Day Care Center - 400,000.00</t>
  </si>
  <si>
    <t xml:space="preserve">                 Family Week Celebration - 50,000.00</t>
  </si>
  <si>
    <t xml:space="preserve">                 Day Care Worker's Week Celebration - 200,000.00</t>
  </si>
  <si>
    <t xml:space="preserve">                 Accreditation of Day Care Workers &amp; Day Care Center 104 x DCW</t>
  </si>
  <si>
    <t xml:space="preserve">                 x 10,000 - 1,040,000.00</t>
  </si>
  <si>
    <t xml:space="preserve">                 Orientation to Bgy. Officials, DCW, Day Care Parents - 50,000.00</t>
  </si>
  <si>
    <t xml:space="preserve">                  Machinery and Equipment</t>
  </si>
  <si>
    <r>
      <rPr>
        <b/>
        <sz val="12"/>
        <color theme="1"/>
        <rFont val="Calibri"/>
        <family val="2"/>
      </rPr>
      <t xml:space="preserve">                        </t>
    </r>
    <r>
      <rPr>
        <sz val="12"/>
        <color theme="1"/>
        <rFont val="Calibri"/>
        <family val="2"/>
      </rPr>
      <t>1 Riso Machine</t>
    </r>
  </si>
  <si>
    <t>P/P/A 2. SUPPLEMENTARY FEEDING PROGRAM (7611-11)</t>
  </si>
  <si>
    <t>P/P/A 3. SERVICES FOR MINORS (7611-2)</t>
  </si>
  <si>
    <r>
      <rPr>
        <b/>
        <sz val="12"/>
        <color theme="1"/>
        <rFont val="Calibri"/>
        <family val="2"/>
      </rPr>
      <t xml:space="preserve">                 </t>
    </r>
    <r>
      <rPr>
        <sz val="12"/>
        <color theme="1"/>
        <rFont val="Calibri"/>
        <family val="2"/>
      </rPr>
      <t>JO/COS:</t>
    </r>
  </si>
  <si>
    <r>
      <rPr>
        <b/>
        <sz val="12"/>
        <color theme="1"/>
        <rFont val="Calibri"/>
        <family val="2"/>
      </rPr>
      <t xml:space="preserve">                       </t>
    </r>
    <r>
      <rPr>
        <sz val="12"/>
        <color theme="1"/>
        <rFont val="Calibri"/>
        <family val="2"/>
      </rPr>
      <t>1 Social Welfare Asst. @ 974/day for 22 days/mo. - 257,136.00</t>
    </r>
  </si>
  <si>
    <r>
      <rPr>
        <b/>
        <sz val="12"/>
        <color theme="1"/>
        <rFont val="Calibri"/>
        <family val="2"/>
      </rPr>
      <t xml:space="preserve">                       </t>
    </r>
    <r>
      <rPr>
        <sz val="12"/>
        <color theme="1"/>
        <rFont val="Calibri"/>
        <family val="2"/>
      </rPr>
      <t>3 Admin. Aide I @ 639/day for 22 days/mo. - 506,088.00</t>
    </r>
  </si>
  <si>
    <t>P/P/A 4. OPERATIONAL SUPPORT TO CENTERS FOR CAR &amp; CICL (7611-21)</t>
  </si>
  <si>
    <t xml:space="preserve">                 Welfare Goods Expenses</t>
  </si>
  <si>
    <r>
      <rPr>
        <b/>
        <sz val="12"/>
        <color theme="1"/>
        <rFont val="Calibri"/>
        <family val="2"/>
      </rPr>
      <t xml:space="preserve">                 </t>
    </r>
    <r>
      <rPr>
        <sz val="12"/>
        <color theme="1"/>
        <rFont val="Calibri"/>
        <family val="2"/>
      </rPr>
      <t>JO/COS:</t>
    </r>
  </si>
  <si>
    <t xml:space="preserve">                     3 Social Welfare Asst. @ 974/day for 26 days/mo. - 911,664.00</t>
  </si>
  <si>
    <t xml:space="preserve">                     2 Admin. Aide II @ 678/day for 26 days/mo. - 423,072.00</t>
  </si>
  <si>
    <t xml:space="preserve">                     16 Admin. Aide I @ 639/day for 26 days/mo. - 3,189,888.00</t>
  </si>
  <si>
    <t xml:space="preserve">                     Quarterly and 2 Meetings (Multi-disciplinary Team BPA-PPC) for</t>
  </si>
  <si>
    <t xml:space="preserve">                     15 pax @ 370 - 33,300.00</t>
  </si>
  <si>
    <t xml:space="preserve">                     Honorarium of 8 MDT non-PPCG employees (3 RTC, 1 TESDA,</t>
  </si>
  <si>
    <t xml:space="preserve">                     1, BCPC, 1 Psychology, 1 DepEd, 1 NacPhil) - 72,000.00</t>
  </si>
  <si>
    <t xml:space="preserve">                 Power Supply Systems</t>
  </si>
  <si>
    <t xml:space="preserve">                 Construction of Kitchen with Mess Hall</t>
  </si>
  <si>
    <t>P/P/A 5. UNLAD KABATAAN PROGRAM (7611-7)</t>
  </si>
  <si>
    <r>
      <rPr>
        <b/>
        <sz val="12"/>
        <color theme="1"/>
        <rFont val="Calibri"/>
        <family val="2"/>
      </rPr>
      <t xml:space="preserve">                     </t>
    </r>
    <r>
      <rPr>
        <sz val="12"/>
        <color theme="1"/>
        <rFont val="Calibri"/>
        <family val="2"/>
      </rPr>
      <t>PYA Celebration - 660 pax x 370 - 244,200.00</t>
    </r>
  </si>
  <si>
    <r>
      <rPr>
        <b/>
        <sz val="12"/>
        <color theme="1"/>
        <rFont val="Calibri"/>
        <family val="2"/>
      </rPr>
      <t xml:space="preserve">                     </t>
    </r>
    <r>
      <rPr>
        <sz val="12"/>
        <color theme="1"/>
        <rFont val="Calibri"/>
        <family val="2"/>
      </rPr>
      <t>JO/COS:</t>
    </r>
  </si>
  <si>
    <r>
      <rPr>
        <b/>
        <sz val="12"/>
        <color theme="1"/>
        <rFont val="Calibri"/>
        <family val="2"/>
      </rPr>
      <t xml:space="preserve">                       </t>
    </r>
    <r>
      <rPr>
        <sz val="12"/>
        <color theme="1"/>
        <rFont val="Calibri"/>
        <family val="2"/>
      </rPr>
      <t>1 Social Welfare Asst. @ 974/day for 22 days/mo. - 257,136.00</t>
    </r>
  </si>
  <si>
    <t xml:space="preserve">                       4 Admin. Aide I @ 639/day for 22 days/mo. - 674,784.00</t>
  </si>
  <si>
    <t>P/P/A 6. ESTABLISHMENT OF CHILD FRIENDLY BARANGAYS (7611-35)</t>
  </si>
  <si>
    <t xml:space="preserve">                      BCPC Training - 259,000.00</t>
  </si>
  <si>
    <t xml:space="preserve">                      Child's Representative Training - 118,400.00</t>
  </si>
  <si>
    <t xml:space="preserve">                      PNP Children Desk and VAW Desk, Officers training on child/</t>
  </si>
  <si>
    <t xml:space="preserve">                      VAW Protocol - 49,950.00</t>
  </si>
  <si>
    <t xml:space="preserve">                      Incentive of BCWPC 66 Bgy. x 6,000 x 12 - 4,752,000.00</t>
  </si>
  <si>
    <t xml:space="preserve">                      BCPC Quarterly Meeting (Meals and Snacks) - 111,000.00</t>
  </si>
  <si>
    <t xml:space="preserve">                      Awarding of Most Functional &amp; Child Friendly Bgy. Cash</t>
  </si>
  <si>
    <t xml:space="preserve">                      Incentive - 295,000.00</t>
  </si>
  <si>
    <t xml:space="preserve">                      Forum for children - 375,000.00</t>
  </si>
  <si>
    <t xml:space="preserve">                      Snacks for Awardees, Participants, Guests - 100 pax x 370 -</t>
  </si>
  <si>
    <t xml:space="preserve">                      37,000.00</t>
  </si>
  <si>
    <t xml:space="preserve">                      Job Order:</t>
  </si>
  <si>
    <t xml:space="preserve">                      2 Social Welfare Asst. @ 974/day for 22 days/mo. - 514,272.00</t>
  </si>
  <si>
    <t>P/P/A 7. OPERATIONAL SUPPORT FOR COUNCIL FOR THE PROTECTION OF CHILDREN (7611-38)</t>
  </si>
  <si>
    <t xml:space="preserve">                           Honorarium - 283,500.00</t>
  </si>
  <si>
    <t xml:space="preserve">                           Meals and Snacks - 69,930.00</t>
  </si>
  <si>
    <t>P/P/A 1. PERSONS WITH DISABILITY AFFAIRS PROGRAM (7611-26)</t>
  </si>
  <si>
    <t xml:space="preserve">                      12,000 PWD Quarterly Allowance - 144,000,000.00</t>
  </si>
  <si>
    <r>
      <rPr>
        <b/>
        <sz val="12"/>
        <color theme="1"/>
        <rFont val="Calibri"/>
        <family val="2"/>
      </rPr>
      <t xml:space="preserve">                      </t>
    </r>
    <r>
      <rPr>
        <sz val="12"/>
        <color theme="1"/>
        <rFont val="Calibri"/>
        <family val="2"/>
      </rPr>
      <t>Assistive Devices - 834,000.00</t>
    </r>
  </si>
  <si>
    <r>
      <rPr>
        <b/>
        <sz val="12"/>
        <color theme="1"/>
        <rFont val="Calibri"/>
        <family val="2"/>
      </rPr>
      <t xml:space="preserve">                      </t>
    </r>
    <r>
      <rPr>
        <sz val="12"/>
        <color theme="1"/>
        <rFont val="Calibri"/>
        <family val="2"/>
      </rPr>
      <t>JO/COS:</t>
    </r>
  </si>
  <si>
    <t xml:space="preserve">                            10 Admin. Aide I @639/day for 22 days/mo. - 1,686,960.00</t>
  </si>
  <si>
    <t xml:space="preserve">                            1 Admin. Aide IV @ 765/day for 22 days/mo. - 201,960.00</t>
  </si>
  <si>
    <t xml:space="preserve">                      Meals and Snacks:</t>
  </si>
  <si>
    <t xml:space="preserve">                            White Cane Safety Day Celebration - 55,500</t>
  </si>
  <si>
    <t xml:space="preserve">                            National Disability Rights Week Celebration - 444,000.00</t>
  </si>
  <si>
    <t xml:space="preserve">                            Women with Disability Month Celebration - 55,500.00</t>
  </si>
  <si>
    <t xml:space="preserve">                            Angels Walk for Autism Celebration - 55,500.00</t>
  </si>
  <si>
    <t xml:space="preserve">                            Special Sports and Fun Games Activities for PWD Children with</t>
  </si>
  <si>
    <t xml:space="preserve">                            Intellectual Disabilities - 185,000.00</t>
  </si>
  <si>
    <t xml:space="preserve">                            International Day of Persons with Disability - 55,500.00</t>
  </si>
  <si>
    <t xml:space="preserve">                            Quarterly Meeting of PWD Federation NHE Council - 74,000.00</t>
  </si>
  <si>
    <t xml:space="preserve">                            Tokens for the speakers during activities/celebrations - 75,000.00</t>
  </si>
  <si>
    <t xml:space="preserve">                            Cash Incentives (65 PWD Bgy. Org. Presidents) - 520,000.00</t>
  </si>
  <si>
    <t>P/P/A 2. TULOY ARAL WALANG SAGABAL (TAWAG) PROJECT (7611-6)</t>
  </si>
  <si>
    <t xml:space="preserve">                        Parents/family member &amp; other intermediaries on care &amp; mgt. of</t>
  </si>
  <si>
    <t xml:space="preserve">                        children &amp; youth with disabilities - 100,000.00</t>
  </si>
  <si>
    <t xml:space="preserve">                        Capacity building for stakeholders on home care &amp; community support</t>
  </si>
  <si>
    <t xml:space="preserve">                        services - 147,000.00</t>
  </si>
  <si>
    <r>
      <rPr>
        <b/>
        <sz val="12"/>
        <color theme="1"/>
        <rFont val="Calibri"/>
        <family val="2"/>
      </rPr>
      <t xml:space="preserve">                      </t>
    </r>
    <r>
      <rPr>
        <sz val="12"/>
        <color theme="1"/>
        <rFont val="Calibri"/>
        <family val="2"/>
      </rPr>
      <t>JO/COS:</t>
    </r>
  </si>
  <si>
    <t xml:space="preserve">                        2 Social Welfare Asst. @ 974/day for 22 days/mo. - 514,272.00</t>
  </si>
  <si>
    <r>
      <rPr>
        <b/>
        <sz val="12"/>
        <color theme="1"/>
        <rFont val="Calibri"/>
        <family val="2"/>
      </rPr>
      <t xml:space="preserve">                        </t>
    </r>
    <r>
      <rPr>
        <sz val="12"/>
        <color theme="1"/>
        <rFont val="Calibri"/>
        <family val="2"/>
      </rPr>
      <t>Camp for children and youth with disability - 100,000.00</t>
    </r>
  </si>
  <si>
    <t>P/P/A 3. CAPABILITY BUILDING FOR STAKEHOLDERS ON BASIC AND INTERMEDIATE SIGN LANGUAGE (7611-31)</t>
  </si>
  <si>
    <t xml:space="preserve">                       Basic (100 x 3 days x 370) - 111,000.00</t>
  </si>
  <si>
    <t xml:space="preserve">                       Intermediate (50 x 3 days 370) - 55,500.00</t>
  </si>
  <si>
    <t>P/P/A 1. SENIOR CITIZEN ASSISTANCE PROGRAM/OSCA (7611-39)</t>
  </si>
  <si>
    <t xml:space="preserve">                       Food and Fish Processing - 49,680.00</t>
  </si>
  <si>
    <t xml:space="preserve">                       Home care support training for carers and caregivers -</t>
  </si>
  <si>
    <t xml:space="preserve">                       49,680.00</t>
  </si>
  <si>
    <t xml:space="preserve">                       3 units Laptop - 84,525.00</t>
  </si>
  <si>
    <t xml:space="preserve">                       3 units Printer - 29,040.00</t>
  </si>
  <si>
    <t xml:space="preserve">                       2 CPU System Unit - 75,000.00</t>
  </si>
  <si>
    <t xml:space="preserve">                       29,000 Senior Citizen Allowance - 348,000,000.00</t>
  </si>
  <si>
    <t xml:space="preserve">                       Assistive Device - 275,000.00</t>
  </si>
  <si>
    <t xml:space="preserve">                       Cash Incentive for 85 y/o &amp; above:</t>
  </si>
  <si>
    <t xml:space="preserve">                       85-94 y/o - 1,171 SC @ 5,000 - 5,855,000.00</t>
  </si>
  <si>
    <t xml:space="preserve">                       95-99 y/o - 89 SC @ 10,000 - 890,000.00</t>
  </si>
  <si>
    <t xml:space="preserve">                       100 y/o &amp; above - 6 SC @ 100,000 - 600,000.00</t>
  </si>
  <si>
    <t xml:space="preserve">                       Cash Incentive for SC Presidents @ 2,000/qtr x 66 bgys.</t>
  </si>
  <si>
    <t xml:space="preserve">                       - 528,000.00</t>
  </si>
  <si>
    <t xml:space="preserve">                       Birthday cakes for 85 y/o &amp; above (1,266 SC @ 500) -</t>
  </si>
  <si>
    <t xml:space="preserve">                       - 633,000.00</t>
  </si>
  <si>
    <t xml:space="preserve">                       Birthday/Welcome Cakes for 60 y/o (1,500 SC @ 500) -</t>
  </si>
  <si>
    <t xml:space="preserve">                       - 750,000.00</t>
  </si>
  <si>
    <t xml:space="preserve">                       Forever Young Program - 440,300.00</t>
  </si>
  <si>
    <t xml:space="preserve">                       Elderly Filipino Week Celebration - 690,750.00</t>
  </si>
  <si>
    <r>
      <rPr>
        <b/>
        <sz val="12"/>
        <color theme="1"/>
        <rFont val="Calibri"/>
        <family val="2"/>
      </rPr>
      <t xml:space="preserve">                      </t>
    </r>
    <r>
      <rPr>
        <sz val="12"/>
        <color theme="1"/>
        <rFont val="Calibri"/>
        <family val="2"/>
      </rPr>
      <t>JO/COS:</t>
    </r>
  </si>
  <si>
    <t xml:space="preserve">                       1 Admin. Assistant @ 914/day for 22 days/mo. </t>
  </si>
  <si>
    <t xml:space="preserve">                       - 241,296.00</t>
  </si>
  <si>
    <t xml:space="preserve">                       10 Admin. Aide II @ 678/day for 22 days/mo.</t>
  </si>
  <si>
    <t xml:space="preserve">                       - 1,789,920.00</t>
  </si>
  <si>
    <t>Department: OFFICE OF THE CITY AGRICULTURIST (8711)</t>
  </si>
  <si>
    <t xml:space="preserve">                     Regular - 700,000</t>
  </si>
  <si>
    <t xml:space="preserve">                     Operational Support to PRDP - 25,000</t>
  </si>
  <si>
    <t xml:space="preserve">                     Regular - 300,000</t>
  </si>
  <si>
    <t xml:space="preserve">                     Training on Fish Processing - 51,879</t>
  </si>
  <si>
    <t xml:space="preserve">                     Training on Organic Agriculture and Establishment of Urban 
                     Community Garden - 83,458</t>
  </si>
  <si>
    <t xml:space="preserve">                     Training of Trainors on Coffee and Cacao - 323,861</t>
  </si>
  <si>
    <t xml:space="preserve">                     Regular - 280,070</t>
  </si>
  <si>
    <t xml:space="preserve">                     Fish and Marine Sanctuary Management - 4,899</t>
  </si>
  <si>
    <t xml:space="preserve">                     Harmful Algal Bloom Monitoring and IEC - 30,885</t>
  </si>
  <si>
    <t xml:space="preserve">                     Organizational Capacity Building for Fisherfolk - 56,542</t>
  </si>
  <si>
    <t xml:space="preserve">                     Operational Support to PRDP - 45,066</t>
  </si>
  <si>
    <t xml:space="preserve">                     Development of Rural Agricultural Center</t>
  </si>
  <si>
    <t xml:space="preserve">                     Farm Development Services - 3,787,174</t>
  </si>
  <si>
    <t xml:space="preserve">                     Regular - 2,691,380</t>
  </si>
  <si>
    <t xml:space="preserve">                     City Nursery - 562,500</t>
  </si>
  <si>
    <t xml:space="preserve">                     Gintong Butil Agri Farm - 632,500</t>
  </si>
  <si>
    <t xml:space="preserve">                     Enhanced Agricultural Productivity - 1,612,100</t>
  </si>
  <si>
    <t xml:space="preserve">                     Development of Mangingisda and Luzviminda Rural 
                     Agricultural Center - 223,750</t>
  </si>
  <si>
    <t xml:space="preserve">                     Operation/Maintenance of Tilapia Hatchery, Seaweeds Nursery 
                     and Aquaponics Demonstration Project - 392,500</t>
  </si>
  <si>
    <t xml:space="preserve">                     Organic Agriculture in Support to Urban Gardening - 102,350</t>
  </si>
  <si>
    <t xml:space="preserve">                     Development of Community-Based Production to Marketing
                     of Lowland Vegetables thru Bgy. Clustering and Services - 
                     8,919,160</t>
  </si>
  <si>
    <t xml:space="preserve">                     Regular - 52,960</t>
  </si>
  <si>
    <t xml:space="preserve">                     Fish and Marine Sanctuary Management - 58,000</t>
  </si>
  <si>
    <t xml:space="preserve">                     Harmful Algal Bloom Monitoring and IEC - 48,500</t>
  </si>
  <si>
    <t xml:space="preserve">                     Gintong Butil Agri Farm - 246,000</t>
  </si>
  <si>
    <t xml:space="preserve">                     Operation/Maintenance of Tilapia Hatchery, Seaweeds Nursery 
                     and Aquaponics Demonstration Project - 69,000</t>
  </si>
  <si>
    <t xml:space="preserve">                     Development of Rural Agricultural Center - 43,000</t>
  </si>
  <si>
    <t xml:space="preserve">                     Regular - 81,783</t>
  </si>
  <si>
    <t xml:space="preserve">                     City Nursery - 193,677</t>
  </si>
  <si>
    <t xml:space="preserve">                     Mango Pulp Weevil and Other Pests Control - 20,491</t>
  </si>
  <si>
    <t xml:space="preserve">                     Fish and Marine Sanctuary Management - 426,000</t>
  </si>
  <si>
    <t xml:space="preserve">                     Harmful Algal Bloom Monitoring and IEC - 55,510</t>
  </si>
  <si>
    <t xml:space="preserve">                     Gintong Butil Agri Farm - 1,785,330</t>
  </si>
  <si>
    <t xml:space="preserve">                     Operational Support to PRDP - 7,500</t>
  </si>
  <si>
    <t xml:space="preserve">                     Development of Mangingisda and Luzviminda Rural 
                     Agricultural Center - 523,836</t>
  </si>
  <si>
    <t xml:space="preserve">                     Operation/Maintenance of Tilapia Hatchery, Seaweeds Nursery 
                     and Aquaponics Demonstration Project - 327,570</t>
  </si>
  <si>
    <t xml:space="preserve">                     Development of Rural Agricultural Center - 367,057</t>
  </si>
  <si>
    <t xml:space="preserve">                     Establishment and Operation of Biological Control Facility 
                     - 146,806</t>
  </si>
  <si>
    <t>FDS</t>
  </si>
  <si>
    <t>HABS - 150</t>
  </si>
  <si>
    <t xml:space="preserve">                     Highland Vegetable Production Project - 4,955,400</t>
  </si>
  <si>
    <t xml:space="preserve">                     Sustainable Income Generating Project Support for Fisherfolk - 
                     10,197,960</t>
  </si>
  <si>
    <t xml:space="preserve">                     Institutional Development Support for Rural-Based 
                     Organizations - 44,400</t>
  </si>
  <si>
    <t xml:space="preserve">                     Fish and Marine Sanctuary Management - 74,000</t>
  </si>
  <si>
    <t xml:space="preserve">                     Harmful Algal Bloom Monitoring and IEC - 36,000</t>
  </si>
  <si>
    <t xml:space="preserve">                     Organizational Capacity Building for Fisherfolk - 185,000</t>
  </si>
  <si>
    <t xml:space="preserve">                     Operational Support to PRDP (Presentation, Assessment and 
                     Monitoring) - 74,000 </t>
  </si>
  <si>
    <t xml:space="preserve">                     Operational Support to PRDP (Permits/Clearances) - 30,000 </t>
  </si>
  <si>
    <t xml:space="preserve">                        City Nursery: </t>
  </si>
  <si>
    <t>rate/day</t>
  </si>
  <si>
    <t>no. of days</t>
  </si>
  <si>
    <t>no. of pax</t>
  </si>
  <si>
    <t xml:space="preserve">                        1 Farm Worker II @ 765/day for 26 days/mo. - 238,680</t>
  </si>
  <si>
    <t xml:space="preserve">                        17 Laborer I @ 639/day for 26 days/mo. - 3,389,256</t>
  </si>
  <si>
    <t xml:space="preserve">                        Highland Vegetable Production Project:</t>
  </si>
  <si>
    <t xml:space="preserve">                        4 Agricultural Technician I @ 861/day for 26 days/mo. 
                        - 1,074,528</t>
  </si>
  <si>
    <t xml:space="preserve">                        Institutional Dev't. Support for RBOs:</t>
  </si>
  <si>
    <t xml:space="preserve">                        1 Agricultural Technician I (Home Mgt. Technician) @ 861/day
                        for 22 days/mo. - 227,304</t>
  </si>
  <si>
    <t xml:space="preserve">                        Mango Pulp Weevil and Other Pests Control: </t>
  </si>
  <si>
    <t xml:space="preserve">                        2 Pest Control Worker I @ 765/day for 26 days/mo. - 477,360</t>
  </si>
  <si>
    <t xml:space="preserve">                        Fish and Marine Sanctuary Management: </t>
  </si>
  <si>
    <t xml:space="preserve">                        16 Watchman I @ 678/day for 26 days/mo. - 3,384,576</t>
  </si>
  <si>
    <t xml:space="preserve">                        Farm Development Services:  </t>
  </si>
  <si>
    <t xml:space="preserve">                        7 Light Equipment Operator (Tractor Operator) @ 678/day 
                        for 26 days/mo. - 1,480,752</t>
  </si>
  <si>
    <t xml:space="preserve">                        2 Light Equipment Operator (Driver) @ 678/day for 26 days 
                        /mo.- 423,072</t>
  </si>
  <si>
    <t xml:space="preserve">                        Harmful Algal Bloom Monitoring and IEC:  </t>
  </si>
  <si>
    <t xml:space="preserve">                        8 Aquacultural Technician I @ 861/day for 26 days/mo. 
                        - 2,149,056</t>
  </si>
  <si>
    <t xml:space="preserve">                        2 Administrative Aide IV (Boat Operator) @ 765/day for 26 
                        days/mo. - 477,360</t>
  </si>
  <si>
    <t xml:space="preserve">                        1 Light Equipment Operator (Driver) @ 678/day for 26 days 
                        /mo.- 211,536</t>
  </si>
  <si>
    <t xml:space="preserve">                        Gintong Butil Agri Farm: </t>
  </si>
  <si>
    <t xml:space="preserve">                        2 Farm Supervisor @ 974/day for 26 days/mo. - 607,776</t>
  </si>
  <si>
    <t xml:space="preserve">                        65 Farm Worker I @ 678/day for 26 days/mo. - 13,749,840</t>
  </si>
  <si>
    <t xml:space="preserve">                        Enhanced Agricultural Productivity: </t>
  </si>
  <si>
    <t xml:space="preserve">                        8 Agricultural Technican I @ 861/day for 26 days/mo. 
                         - 2,149,056</t>
  </si>
  <si>
    <t xml:space="preserve">                        Operational Support to PRDP: </t>
  </si>
  <si>
    <t xml:space="preserve">                        1 Engineering Assistant @ 974/day for 22 days/mo. - 257,136</t>
  </si>
  <si>
    <t xml:space="preserve">                        Dev't. of Mangingisda &amp; Luzviminda Rural Agricultural 
                        Center: </t>
  </si>
  <si>
    <t xml:space="preserve">                        1 Farm Supervisor @ 974/day for 26 days/mo. - 303,888</t>
  </si>
  <si>
    <t xml:space="preserve">                        20 Farm Worker I @ 678/day for 26 days/mo. - 4,230,720</t>
  </si>
  <si>
    <t xml:space="preserve">                        1 Agricultural Technician I @ 861/day for 26 days/mo. - 268,632</t>
  </si>
  <si>
    <t xml:space="preserve">                        Operation/Maintenance of Tilapia Hatchery, Seaweed Nursery
                        and Aquaponics Demonstration Project: </t>
  </si>
  <si>
    <t xml:space="preserve">                        1 Aquacultural Technician I @ 861/day for 26 days/mo. - 268,632</t>
  </si>
  <si>
    <t xml:space="preserve">                        2 Laborer I @ 639/day for 26 days/mo. - 398,736</t>
  </si>
  <si>
    <t xml:space="preserve">                        Organic Agriculture in Support to Urban Gardening: </t>
  </si>
  <si>
    <t xml:space="preserve">                        2 Agricultural Technician I @ 861/day for 26 days/mo. - 537,264</t>
  </si>
  <si>
    <t xml:space="preserve">                        Development of Community-Based Production to Marketing 
                        of Lowland Vegetables thru Bgy. Clustering and Services: </t>
  </si>
  <si>
    <t xml:space="preserve">                        2 Farm Worker II @ 765/day for 26 days/mo. - 477,360</t>
  </si>
  <si>
    <t xml:space="preserve">                        Development of Rural Agricultural Center: </t>
  </si>
  <si>
    <t xml:space="preserve">                        15 Laborer I @ 639/day for 26 days/mo. - 2,990,520</t>
  </si>
  <si>
    <t xml:space="preserve">                        Agricultural and Biosystems Engineering Support Services: </t>
  </si>
  <si>
    <t xml:space="preserve">                        1 Engineering Aide @ 765/day for 22 days/mo. - 201,960</t>
  </si>
  <si>
    <t xml:space="preserve">                        Establishment and Operation of Biological Control Facility: </t>
  </si>
  <si>
    <t xml:space="preserve">                        2 Laboratory Aide I @ 678/day for 26 days/mo. - 423,072</t>
  </si>
  <si>
    <t xml:space="preserve">                 Land Improvements</t>
  </si>
  <si>
    <t xml:space="preserve">                 Other Land Improvements</t>
  </si>
  <si>
    <t xml:space="preserve">                     1 Unit Coffee Dehuller</t>
  </si>
  <si>
    <t>Department: OFFICE OF THE CITY VETERINARIAN (8721)</t>
  </si>
  <si>
    <t xml:space="preserve">                 Postage and Courier Services</t>
  </si>
  <si>
    <r>
      <rPr>
        <b/>
        <sz val="12"/>
        <color theme="1"/>
        <rFont val="Calibri"/>
        <family val="2"/>
      </rPr>
      <t xml:space="preserve">                   </t>
    </r>
    <r>
      <rPr>
        <sz val="12"/>
        <color theme="1"/>
        <rFont val="Calibri"/>
        <family val="2"/>
      </rPr>
      <t>JO/COS (for 22 days/month):</t>
    </r>
  </si>
  <si>
    <r>
      <rPr>
        <b/>
        <sz val="12"/>
        <color theme="1"/>
        <rFont val="Calibri"/>
        <family val="2"/>
      </rPr>
      <t xml:space="preserve">                   </t>
    </r>
    <r>
      <rPr>
        <sz val="12"/>
        <color theme="1"/>
        <rFont val="Calibri"/>
        <family val="2"/>
      </rPr>
      <t>Artificial Insemination Project</t>
    </r>
  </si>
  <si>
    <r>
      <rPr>
        <b/>
        <sz val="12"/>
        <color theme="1"/>
        <rFont val="Calibri"/>
        <family val="2"/>
      </rPr>
      <t xml:space="preserve">                       </t>
    </r>
    <r>
      <rPr>
        <sz val="12"/>
        <color theme="1"/>
        <rFont val="Calibri"/>
        <family val="2"/>
      </rPr>
      <t>3 Admin. Aide II (Artificial Insemination Project) @ 678/day</t>
    </r>
  </si>
  <si>
    <t xml:space="preserve">                       - 536,976.00</t>
  </si>
  <si>
    <t xml:space="preserve">                   Dog Pound and Rabies Control</t>
  </si>
  <si>
    <t xml:space="preserve">                       4 Admin. Aide II (Vaccinator) @ 678/day - 715,968.00</t>
  </si>
  <si>
    <t xml:space="preserve">                       1 Admin. Aiide I (Dog Pound) @ 639/day - 168,696.00</t>
  </si>
  <si>
    <t xml:space="preserve">                       1 Light Eqpt. Operator @ 678/day - 178,992.00</t>
  </si>
  <si>
    <t xml:space="preserve">                   Livestock Farm Management</t>
  </si>
  <si>
    <t xml:space="preserve">                       1 Farm Worker I @ 678/day - 178,992.00</t>
  </si>
  <si>
    <t xml:space="preserve">                       2 Laborer I @ 639/day - 337,392.00</t>
  </si>
  <si>
    <t xml:space="preserve">                   Other Services</t>
  </si>
  <si>
    <t xml:space="preserve">                       2 Admin. Aide II @ 678/day - 357,984.00</t>
  </si>
  <si>
    <t>P/P/A 1. EMPOWERING COMMUNITIES THROUGH LIVESTOCK PRODUCTION PROGRAM (8721-1)</t>
  </si>
  <si>
    <t xml:space="preserve">                       1,600 heads piglets</t>
  </si>
  <si>
    <t>Department: OFFICE OF THE CITY ENVIRONMENT AND NATURAL RESOURCES OFFICER (8731)</t>
  </si>
  <si>
    <t xml:space="preserve">                     Regular - 200,000</t>
  </si>
  <si>
    <t xml:space="preserve">                     Training on Deputation of Environment and Natural Resources 
                      Officers - 74,000</t>
  </si>
  <si>
    <t xml:space="preserve">                     Training on Nursery Management - 33,300</t>
  </si>
  <si>
    <t xml:space="preserve">                     Training on Tree Growth Care and Maintenance - 22,200</t>
  </si>
  <si>
    <t xml:space="preserve">                     Capacity Building for Industrial/Commercial Sand and Gravel 
                     Permit Applicants and Operators - 25,900</t>
  </si>
  <si>
    <t xml:space="preserve">                     Summit for Industrial/Commercial Sand and Gravel Permit Holders 
                     in Puerto Princesa City - 12,950</t>
  </si>
  <si>
    <t xml:space="preserve">                     Seminar on Relevant Laws, Rules and Regulations on Priority
                     Threatened Species in 7 Barangays (Schools, OSYs, Communities, 
                     IPs) - 75,000</t>
  </si>
  <si>
    <t xml:space="preserve">                     Training and Deputation of CNCH Forest Rangers as DENROs - 22,200</t>
  </si>
  <si>
    <t xml:space="preserve">                     Training and Deputation of CNCH Forest Rangers as WEOs - 11,100</t>
  </si>
  <si>
    <t xml:space="preserve">                     Workshop on Identification of Annual Threats and Violations 
                     Mapping, Enforcement Operations, Assessment and Planning - 14,800</t>
  </si>
  <si>
    <t xml:space="preserve">                     Training on Biodiversity Assessment and Monitoring System - 22,200</t>
  </si>
  <si>
    <t xml:space="preserve">                     Training on Community-Based Forest Management Program 
                     Implementation and Forest Governance - 29,600</t>
  </si>
  <si>
    <t xml:space="preserve">                     Fisheries Law Enforcement Basic Orientation for Bantay Dagat/
                     Fish Warden - 81,000</t>
  </si>
  <si>
    <t xml:space="preserve">                     Training on Circular Economy 101 - 64,800</t>
  </si>
  <si>
    <t xml:space="preserve">                     Training on Extended Producers Responsibilty - 64,800</t>
  </si>
  <si>
    <t xml:space="preserve">                 Animal/Zoological Supplies Expenses </t>
  </si>
  <si>
    <t xml:space="preserve">                     Janitorial/Others - 1,527,593</t>
  </si>
  <si>
    <t xml:space="preserve">                     Bantay Pawikan Monitoring Supplies - 278,008</t>
  </si>
  <si>
    <t xml:space="preserve">                     Operation of CMRB - 910,350</t>
  </si>
  <si>
    <t xml:space="preserve">                     Office Assessment and Planning Activity - 46,500</t>
  </si>
  <si>
    <t xml:space="preserve">                     Water Samples Analysis Services - 1,000,000</t>
  </si>
  <si>
    <t xml:space="preserve">                     Operational Support for PPC Environmental Protection Task 
                     Force (PPC-EPTF Meetings) - 270,840 </t>
  </si>
  <si>
    <t xml:space="preserve">                     Compliance to Environmental Regulator Fees for City ENRO 
                     and Other City Gov't. Projects Needing ECC Permit to 
                     Operate Discharge Permits - 350,000</t>
  </si>
  <si>
    <t xml:space="preserve">                        Environmental Management Technical and Extension Services 
                        Project: </t>
  </si>
  <si>
    <t xml:space="preserve">                        2 Administrative Aide III (Research Aide) @ 720/day for 22 
                        days/mo. - 380,160</t>
  </si>
  <si>
    <t xml:space="preserve">                        2 Administrative Aide IV @ 765/day for 22 days/mo. - 403,920</t>
  </si>
  <si>
    <t xml:space="preserve">                        Establishment of Database of Various Forestry Projects: </t>
  </si>
  <si>
    <t xml:space="preserve">                        1 Project Development Assistant (Forest Technician) @ 974/day
                        for 22 days/mo. - 257,136 </t>
  </si>
  <si>
    <t xml:space="preserve">                        5 Administrative Aide III (Community Development Assistant) @ 
                        720/day for 22 days/mo. - 950,400</t>
  </si>
  <si>
    <t xml:space="preserve">                        5 Administrative Aide I (Laborer) @ 639/day for 22 days/mo. - 
                        843,480</t>
  </si>
  <si>
    <t xml:space="preserve">                        Forest Nurseries Project: </t>
  </si>
  <si>
    <t xml:space="preserve">                        17 Laborers @ 639/day for 22 days/mo. - 2,867,832</t>
  </si>
  <si>
    <t xml:space="preserve">                        Environmental Management: </t>
  </si>
  <si>
    <t xml:space="preserve">                        5 Administrative Aide I @ 639/day for 22 days/mo. - 843,480</t>
  </si>
  <si>
    <t xml:space="preserve">                        5 Administrative Aide II @ 678/day for 22 days/mo. - 894,960 </t>
  </si>
  <si>
    <t xml:space="preserve">                        Protection, Conservation and Sustainable Management of 
                        Puerto Princesa City - Victoria Anepahan Mountain Range 
                        (PPC-VAMR): </t>
  </si>
  <si>
    <t xml:space="preserve">                        2 Administrative Aide I @ 639/day for 22 days/mo. - 337,392</t>
  </si>
  <si>
    <t xml:space="preserve">                        3 Forest Ranger @ 765/day for 26 days/mo. - 716,040</t>
  </si>
  <si>
    <t xml:space="preserve">                        Urban Forestry Project: </t>
  </si>
  <si>
    <t xml:space="preserve">                        5 Laborers @ 639/day for 22 days/mo. - 843,480</t>
  </si>
  <si>
    <t xml:space="preserve">                        Implementation of Clean Air Act: </t>
  </si>
  <si>
    <t xml:space="preserve">                        Wildlife Management Division (Task Force Sagip Buhay Ilang): </t>
  </si>
  <si>
    <t xml:space="preserve">                        6 Laborers @ 639/day for 22 days/mo. - 1,012,176</t>
  </si>
  <si>
    <t xml:space="preserve">                        Sta. Lucia Hot Spring and Nature's Park Project: </t>
  </si>
  <si>
    <t xml:space="preserve">                        Small Scale Mining Program: </t>
  </si>
  <si>
    <t xml:space="preserve">                        1 Project Development Assistant (Mine Surveyor) @ 974/day 
                        for 22 days/mo. - 257,136</t>
  </si>
  <si>
    <t xml:space="preserve">                        9 Watchman II @ 765/day for 26 days/mo. - 2,148,120</t>
  </si>
  <si>
    <t xml:space="preserve">                        18 Watchman I @ 678/day for 26 days/mo. - 3,807,648</t>
  </si>
  <si>
    <t xml:space="preserve">                        3 Administrative Aide II @ 678/day for 22 days/mo. - 536,976</t>
  </si>
  <si>
    <t xml:space="preserve">                        20 Laborers @ 639/day for 22 days/mo. - 3,373,920</t>
  </si>
  <si>
    <t xml:space="preserve">                        Implementation of Palawan Flora, Fauna and Watershed Reserve
                        (PFFWR) Management Plan: </t>
  </si>
  <si>
    <t xml:space="preserve">                        6 Forest Rangers @ 765/day for 26 days/mo. - 1,432,080</t>
  </si>
  <si>
    <t xml:space="preserve">                        8 Laborers @ 639/day for 22 days/mo. - 1,349,568</t>
  </si>
  <si>
    <t xml:space="preserve">                        Forest Rehabilitation and Tree Improvement Project: </t>
  </si>
  <si>
    <t xml:space="preserve">                        Protected Area Management Project: </t>
  </si>
  <si>
    <t xml:space="preserve">                        1 Project Development Assistant (Biologist) @ 974/day 
                        for 22 days/mo. - 257,136</t>
  </si>
  <si>
    <t xml:space="preserve">                        Community Forestry Project: </t>
  </si>
  <si>
    <t xml:space="preserve">                        10 Laborers @ 639/day for 22 days/mo. - 1,686,960</t>
  </si>
  <si>
    <t xml:space="preserve">                        Ground Delineation, inc. Inventory of Wetland: </t>
  </si>
  <si>
    <t xml:space="preserve">                        Healing Forest Project: </t>
  </si>
  <si>
    <t xml:space="preserve">                        4 Laborers @ 639/day for 22 days/mo. - 674,784</t>
  </si>
  <si>
    <t xml:space="preserve">                        Bantay Dagat: </t>
  </si>
  <si>
    <t xml:space="preserve">                        2 Administrative Officer (Section Head/Program Manager) @ 
                        1,163/day for 22 days/mo. - 614,064</t>
  </si>
  <si>
    <t xml:space="preserve">                        5 Administrative Aide IV (Team Leader) @ 765/day for 26 
                        days/mo. - 1,193,400</t>
  </si>
  <si>
    <t xml:space="preserve">                        6 Administrative Aide III (Boat Operator) @ 720/day for 26 
                        days/mo. - 1,347,840</t>
  </si>
  <si>
    <t xml:space="preserve">                        1 Light Equipment Operator (Driver) @ 678/day for 22 days/mo. - 
                        178,992</t>
  </si>
  <si>
    <t xml:space="preserve">                        2 Administrative Aide II (Clerk) @ 678/day for 22 days/mo. - 
                        357,984</t>
  </si>
  <si>
    <t xml:space="preserve">                        42 Watchman I @ 678/day for 26 days/mo. - 8,884,512</t>
  </si>
  <si>
    <t xml:space="preserve">                        Bantay Bakawan: </t>
  </si>
  <si>
    <t xml:space="preserve">                        1 Administrative Officer (Section Head/Program Manager) @ 
                        1,163/day for 22 days/mo. - 307,032</t>
  </si>
  <si>
    <t xml:space="preserve">                        3 Administrative Aide IV (Team Leader) @ 765/day for 26 
                        days/mo. - 716,040</t>
  </si>
  <si>
    <t xml:space="preserve">                        2 Administrative Aide III (Boat Operator) @ 720/day for 26 
                        days/mo. - 449,280</t>
  </si>
  <si>
    <t xml:space="preserve">                        1 Administrative Aide II (Clerk) @ 678/day for 22 days/mo. - 
                        178,992</t>
  </si>
  <si>
    <t xml:space="preserve">                        24 Watchman I @ 678/day for 26 days/mo. - 5,076,864</t>
  </si>
  <si>
    <t xml:space="preserve">                        Bantay Gubat: </t>
  </si>
  <si>
    <t xml:space="preserve">                        6 Administrative Aide IV (Team Leader) @ 765/day for 26 
                        days/mo. - 1,432,080</t>
  </si>
  <si>
    <t xml:space="preserve">                        6 Light Equipment Operator (Driver) @ 678/day for 26 days/mo. - 
                        1,269,216</t>
  </si>
  <si>
    <t xml:space="preserve">                        4 Administrative Aide II (Clerk) @ 678/day for 22 days/mo. - 
                        715,968</t>
  </si>
  <si>
    <t xml:space="preserve">                        60 Watchman I @ 678/day for 26 days/mo. - 12,692,160</t>
  </si>
  <si>
    <t xml:space="preserve">                        Bantay Pawikan (Marine Turtle Protection and Conservation 
                        Project): </t>
  </si>
  <si>
    <t xml:space="preserve">                        1 Project Development Assistant (Marine Biologist) @ 974/day 
                        for 22 days/mo. - 257,136</t>
  </si>
  <si>
    <t xml:space="preserve">                        12 Administrative Aide I @ 639/day for 22 days/mo. - 2,024,352</t>
  </si>
  <si>
    <t xml:space="preserve">                        Caiholo Ecosystems Management Zone: </t>
  </si>
  <si>
    <t xml:space="preserve">                        1 Administrative Aide III (Community Development Assistant) @ 
                        720/day for 22 days/mo. - 190,080</t>
  </si>
  <si>
    <t xml:space="preserve">                        4 Forest Guards @ 639/day for 26 days/mo. - 797,472</t>
  </si>
  <si>
    <t xml:space="preserve">                        Cleopatra's Needle Critical Habitat: </t>
  </si>
  <si>
    <t xml:space="preserve">                        1 Administrative Officer (Critical Habitat Manager) @ 1,163/day
                        for 22 days/mo. - 307,032</t>
  </si>
  <si>
    <t xml:space="preserve">                        3 Project Development Assistant (Research Assistant) @ 974/day
                        for 22 days/mo. - 771,408</t>
  </si>
  <si>
    <t xml:space="preserve">                        3 Administrative Aide III (2 Community Development Assistant/ 
                        1 GIS Specialist) @ 720/day for 22 days/mo. - 570,240</t>
  </si>
  <si>
    <t xml:space="preserve">                        10 Forest Ranger @ 765/day for 26 days/mo. - 2,386,800</t>
  </si>
  <si>
    <t xml:space="preserve">                        14 Laborers @ 639/day for 22 days/mo. - 2,361,744</t>
  </si>
  <si>
    <t xml:space="preserve">                     Honoraria: </t>
  </si>
  <si>
    <t xml:space="preserve">                        Puerto Princesa Sanitary Waste Management Board: </t>
  </si>
  <si>
    <t xml:space="preserve">                        PPSWM Board Chairman @ 1,500/meeting for 4 meetings - 
                        6,000</t>
  </si>
  <si>
    <t xml:space="preserve">                        20 PPSWM Board Members @ 1,000/meeting for 4 meetings - 
                        80,000</t>
  </si>
  <si>
    <t xml:space="preserve">                        2 Secretariat @ 1,000/meeting for 4 meetings - 8,000</t>
  </si>
  <si>
    <t xml:space="preserve">                        Palawan Flora, Fauna and Watershed Reserve: </t>
  </si>
  <si>
    <t xml:space="preserve">                        Chairman @ 2,000/meeting for 6 meetings - 12,000</t>
  </si>
  <si>
    <t xml:space="preserve">                        12 Members  and 2 Secretariat @ 1,500/meeting for 6 meetings
                         - 126,000</t>
  </si>
  <si>
    <t xml:space="preserve">                        1 TWG Chairman @ 2,000/meeting for 12 meetings - 24,000</t>
  </si>
  <si>
    <t xml:space="preserve">                        14 TWG and 2 Secretariat @ 1,500/meeting for 12 meetings - 
                        288,000</t>
  </si>
  <si>
    <t xml:space="preserve">                        CNCH Mgt. Board Chairman @ 2,000/meeting for 6 meetings - 
                        12,000</t>
  </si>
  <si>
    <t xml:space="preserve">                        16 CNCH Committee Members @ 1,500/meeting for 6 meetings 
                        - 144,000</t>
  </si>
  <si>
    <t xml:space="preserve">                        2 CNCH Committee Secretariat @ 1,500/meeting for 6 meetings
                        - 18,000</t>
  </si>
  <si>
    <t xml:space="preserve">                        20 CNCH TWG Members @ 1,500/meeting for 12 meetings -
                        360,000</t>
  </si>
  <si>
    <t xml:space="preserve">                        1 CNCH Committee Chairman @ 2,000/meeting for 12 meetings
                        - 24,000</t>
  </si>
  <si>
    <t xml:space="preserve">                        2 CNCH TWG Secretariat @ 1,500/meeting for 12 meetings - 
                        36,000</t>
  </si>
  <si>
    <t xml:space="preserve">                 Total Maintenance and Other Operating Expenses</t>
  </si>
  <si>
    <t xml:space="preserve">                     1 Unit Desktop Computer (CNCH) - 60,600</t>
  </si>
  <si>
    <t xml:space="preserve">                     2 Units Laptop (EMD, PFFWR) - 105,600</t>
  </si>
  <si>
    <t xml:space="preserve">                     1 Unit Digital Single Lens Mirrorless Camera (CNCH) - 108,000</t>
  </si>
  <si>
    <t xml:space="preserve">                     2 Sets 50W VHF Analog/Digital Repeater</t>
  </si>
  <si>
    <t>P/P/A 1. LOVE AFFAIR WITH NATURE (8731-29)</t>
  </si>
  <si>
    <t xml:space="preserve">                 Other Maintenance and Operating Expenses </t>
  </si>
  <si>
    <t>P/P/A 2. PISTA Y ANG KAGUEBAN (8731-30)</t>
  </si>
  <si>
    <t>P/P/A 1. SOLID WASTE COLLECTION AND DISPOSAL (6522)</t>
  </si>
  <si>
    <t xml:space="preserve">                      1 Admin. Assistant I (Special Operations Officer) @ 914.00/day
                      for 26 days/mo. - 285,168.00</t>
  </si>
  <si>
    <t xml:space="preserve">                      8 Admin. Aide II @ 678.00/day for 26 days/mo. - 1,692,288.00</t>
  </si>
  <si>
    <t xml:space="preserve">                      1 Admin. Aide III (Landfill Supervisor) @ 720.00/day for 26
                      days/mo. - 224,640.00</t>
  </si>
  <si>
    <t xml:space="preserve">                      2 Mechanic I @ 765.00/day for 26 days/mo. - 477,360.00</t>
  </si>
  <si>
    <t xml:space="preserve">                      1 Laborer I (Helper Mechanic) @ 639.00/day for 26 days/mo. - 
                      199,368.00</t>
  </si>
  <si>
    <t xml:space="preserve">                      3 Welder I @ 765.00/day for 26 days/mo. - 716,040.00</t>
  </si>
  <si>
    <t xml:space="preserve">                      1 Electrician I @ 765.00/day for 26 days/mo. - 238,680.00</t>
  </si>
  <si>
    <t xml:space="preserve">                      49 Light Eqt. Operator (Garbage Truck) @ 678.00/day for 
                      26 days/mo. - 10,365,264.00</t>
  </si>
  <si>
    <t xml:space="preserve">                      3 Heavy Eqt. Operator I @ 765.00/day for 26 days/mo. - 
                      716,040.00</t>
  </si>
  <si>
    <t xml:space="preserve">                      160 Laborer I (Refuse Collector) @ 639.00/day for 26 days/mo.
                      - 31,898,880.00</t>
  </si>
  <si>
    <t>Office: OFFICE OF THE CITY ARCHITECT (8741)</t>
  </si>
  <si>
    <r>
      <rPr>
        <b/>
        <sz val="12"/>
        <color theme="1"/>
        <rFont val="Calibri"/>
        <family val="2"/>
      </rPr>
      <t xml:space="preserve">                       </t>
    </r>
    <r>
      <rPr>
        <sz val="12"/>
        <color theme="1"/>
        <rFont val="Calibri"/>
        <family val="2"/>
      </rPr>
      <t>Landline with Internet @ 5,000 per month - 60,000.00</t>
    </r>
  </si>
  <si>
    <r>
      <rPr>
        <b/>
        <sz val="12"/>
        <color theme="1"/>
        <rFont val="Calibri"/>
        <family val="2"/>
      </rPr>
      <t xml:space="preserve">                       </t>
    </r>
    <r>
      <rPr>
        <sz val="12"/>
        <color theme="1"/>
        <rFont val="Calibri"/>
        <family val="2"/>
      </rPr>
      <t>Installation fee - 5,000.00</t>
    </r>
  </si>
  <si>
    <t xml:space="preserve">                     Year-End Performance Evaluation &amp; Planning - 39,000</t>
  </si>
  <si>
    <t xml:space="preserve">                     Snacks for 5 Exhibits - 18,750</t>
  </si>
  <si>
    <t xml:space="preserve">                     Soil boring test @ 75 bore holes - 3,750,000</t>
  </si>
  <si>
    <t xml:space="preserve">                     Permit &amp; Licenses - 1,000,000</t>
  </si>
  <si>
    <t xml:space="preserve">                     JO/COS (for 22 days per month):</t>
  </si>
  <si>
    <t xml:space="preserve">                     1 Electronics &amp; Comm. Engineer I @ 1,466/day - 387,024</t>
  </si>
  <si>
    <t xml:space="preserve">                     5 Architects @ 1,466/day - 1,935,120</t>
  </si>
  <si>
    <t xml:space="preserve">                     2 Mechanical Engineers @ 1,466/day - 774,048</t>
  </si>
  <si>
    <t xml:space="preserve">                     1 Electrical Engineer @ 1,466/day - 387,024</t>
  </si>
  <si>
    <t xml:space="preserve">                     2 Civil Engineer @ 1,466/day - 774,048</t>
  </si>
  <si>
    <t xml:space="preserve">                     15 Draftsman @ 861 - 3,409,560</t>
  </si>
  <si>
    <t xml:space="preserve">                     1 Light Eqpt. Operator (Driver) @ 678/day - 178,992</t>
  </si>
  <si>
    <t xml:space="preserve">                     1 Admin. Aide II @ 678/day - 178,992</t>
  </si>
  <si>
    <t xml:space="preserve">                     1 Admin. Aide I (July - December) @ 639/day - 84,348</t>
  </si>
  <si>
    <t xml:space="preserve">                         1 Smart TV 65"</t>
  </si>
  <si>
    <t xml:space="preserve">                         3 Laptop - 299,247</t>
  </si>
  <si>
    <t xml:space="preserve">                         5 Desktop Computer (for Autocad) - 834,000</t>
  </si>
  <si>
    <t xml:space="preserve">                         1 DJI Mavic Air 3S Drone Unit Flymore Drone - 113,791</t>
  </si>
  <si>
    <t xml:space="preserve">                         2 Printer Automatic Duplex - 187,119</t>
  </si>
  <si>
    <t>Office: OFFICE OF THE CITY ENGINEER (8751)</t>
  </si>
  <si>
    <t xml:space="preserve">                           Pavement Markings - 107,467.00</t>
  </si>
  <si>
    <t xml:space="preserve">                           Batching Plant - 5,000,000.00</t>
  </si>
  <si>
    <r>
      <rPr>
        <b/>
        <sz val="12"/>
        <color theme="1"/>
        <rFont val="Calibri"/>
        <family val="2"/>
      </rPr>
      <t xml:space="preserve">                            </t>
    </r>
    <r>
      <rPr>
        <sz val="12"/>
        <color theme="1"/>
        <rFont val="Calibri"/>
        <family val="2"/>
      </rPr>
      <t>2 sets of Starlink Subscription @ 3,800/month.</t>
    </r>
  </si>
  <si>
    <r>
      <rPr>
        <b/>
        <sz val="12"/>
        <color theme="1"/>
        <rFont val="Calibri"/>
        <family val="2"/>
      </rPr>
      <t xml:space="preserve">                      </t>
    </r>
    <r>
      <rPr>
        <sz val="12"/>
        <color theme="1"/>
        <rFont val="Calibri"/>
        <family val="2"/>
      </rPr>
      <t>JO/COS:</t>
    </r>
  </si>
  <si>
    <t xml:space="preserve">                       Streetlight Maintenance</t>
  </si>
  <si>
    <t xml:space="preserve">                            1 Engineering Asst. (Safety Officer) @ 974/day for 26 </t>
  </si>
  <si>
    <t xml:space="preserve">                                days/mo. - 303,888</t>
  </si>
  <si>
    <t xml:space="preserve">                            10 Electrician @ 765/day for 26 days/mo. - 2,386,800</t>
  </si>
  <si>
    <t xml:space="preserve">                            1 Light Eqpt. Operator @ 678/day for 26 days/mo. - </t>
  </si>
  <si>
    <t xml:space="preserve">                               211,536</t>
  </si>
  <si>
    <t xml:space="preserve">                            1 Admin Aide II @ 678/day for 22 days/mo. - 178,992</t>
  </si>
  <si>
    <t xml:space="preserve">                       Desludging Services</t>
  </si>
  <si>
    <t xml:space="preserve">                            4 Laborer @ 639/day for 22 days/mo. - 674,784 </t>
  </si>
  <si>
    <t xml:space="preserve">                            1 Light Eqpt. Operator @ 678/day for 22 days/mo. - </t>
  </si>
  <si>
    <t xml:space="preserve">                                 178,992 </t>
  </si>
  <si>
    <t xml:space="preserve">                       Special Operation Task Force</t>
  </si>
  <si>
    <t xml:space="preserve">                            1 Labor Foreman @ 861/day for 26 days/mo - 268,632</t>
  </si>
  <si>
    <t xml:space="preserve">                            2 Welder @ 765/day for 26 days/mo. - 477,360</t>
  </si>
  <si>
    <t xml:space="preserve">                            5 Mason/Carpenter @ 720/day for 26 days/mo. - </t>
  </si>
  <si>
    <t xml:space="preserve">                               1,123,200</t>
  </si>
  <si>
    <t xml:space="preserve">                            2 Light Eqpt. Operator @ 678/day for 26 days/mo. - </t>
  </si>
  <si>
    <t xml:space="preserve">                               423,072</t>
  </si>
  <si>
    <t xml:space="preserve">                            2 Admin Aide I @ 639/day for 22 days/mo. - 337,392 </t>
  </si>
  <si>
    <t xml:space="preserve">                            26 Laborer @ 639/day for 26 days/mo. - 5,183,568</t>
  </si>
  <si>
    <t xml:space="preserve">                       MGB &amp; PPC Eco Tourism Park &amp; Research Center</t>
  </si>
  <si>
    <t xml:space="preserve">                            1 Laborer @ 639/day for 26 days/mo. - 199,368</t>
  </si>
  <si>
    <t xml:space="preserve">                       Mendoza Park Gazebo</t>
  </si>
  <si>
    <t xml:space="preserve">                            2 Audio Visual Eqpt. Operator 720/day for 26 days/mo</t>
  </si>
  <si>
    <t xml:space="preserve">                               - 449,280</t>
  </si>
  <si>
    <t xml:space="preserve">                       Pavement Markings</t>
  </si>
  <si>
    <t xml:space="preserve">                            1 Labor Foreman @ 861/day for 22 days/mo - 227,304</t>
  </si>
  <si>
    <t xml:space="preserve">                            2 Painter @ 720/day for 22 days/mo - 380,160</t>
  </si>
  <si>
    <t xml:space="preserve">                            7 Laborer @ 639/day for 22 days/mo - 1,180,872</t>
  </si>
  <si>
    <t xml:space="preserve">                        Annual Manpower for Implementation of Asphalt</t>
  </si>
  <si>
    <t xml:space="preserve">                        Overlay Projects</t>
  </si>
  <si>
    <t xml:space="preserve">                            1 Labor Foreman @ 861/day for 26 days/mo. - </t>
  </si>
  <si>
    <t xml:space="preserve">                               268,632</t>
  </si>
  <si>
    <t xml:space="preserve">                            12 Laborer @ 639/day for 26 days/mo. - 2,392,416</t>
  </si>
  <si>
    <t xml:space="preserve">                            3 Heavy Eqpt. Operator 765/day for 26 days/mo. - </t>
  </si>
  <si>
    <t xml:space="preserve">                               716,040</t>
  </si>
  <si>
    <t xml:space="preserve">                        Annual Manpower for Implementation of </t>
  </si>
  <si>
    <t xml:space="preserve">                        By-Administration Projects</t>
  </si>
  <si>
    <t xml:space="preserve">                        Annual Manpower for Monitoring and Supervision in the</t>
  </si>
  <si>
    <t xml:space="preserve">                        Implementation of By Contract Projects</t>
  </si>
  <si>
    <t xml:space="preserve">                            35 Site Engineers/Architects/Electrical/Mechanical @</t>
  </si>
  <si>
    <t xml:space="preserve">                                  1,466/day for 26 days/mo. - 16,008,720</t>
  </si>
  <si>
    <t xml:space="preserve">                            6 Engineering Asst. (Site Inspector) @ 974/day for 26</t>
  </si>
  <si>
    <t xml:space="preserve">                                days/mo. - 1,823,328</t>
  </si>
  <si>
    <t xml:space="preserve">                            3 Admin. Aide II @ 678/day for 22 days/mo - 536,976</t>
  </si>
  <si>
    <t xml:space="preserve">                            5 Admin. Aide I @ 639/day for 22 days/mo - 843,480</t>
  </si>
  <si>
    <t xml:space="preserve">                            4 Light Eqpt. Operator @ 678/day for 26 days/mo. - </t>
  </si>
  <si>
    <t xml:space="preserve">                               846,144</t>
  </si>
  <si>
    <t xml:space="preserve">                       Operation of Materials &amp; Quality Control</t>
  </si>
  <si>
    <t xml:space="preserve">                            1 Civil Engineer @1,466/day for 26 days/mo. -457,392</t>
  </si>
  <si>
    <t xml:space="preserve">                            4 Laboratory Aide @678/day for 26 days/mo - 846,144</t>
  </si>
  <si>
    <t xml:space="preserve">                            1 Admin. Aide I @ 639/day for 22 days/mo -   168,696 </t>
  </si>
  <si>
    <t xml:space="preserve">                       Operation of Asphalt &amp; Concrete Batching Plant</t>
  </si>
  <si>
    <t xml:space="preserve">                            3 Plant Operator II (Plant Supervisor) @ 861/day for </t>
  </si>
  <si>
    <t xml:space="preserve">                                26 days/mo. - 805,896</t>
  </si>
  <si>
    <t xml:space="preserve">                            3 Engineering Asst. (Safety Officer) @ 974/day for </t>
  </si>
  <si>
    <t xml:space="preserve">                                26 days/mo. - 911,664</t>
  </si>
  <si>
    <t xml:space="preserve">                            6 Plant Operator I @ 765/day for 26 days/mo. - </t>
  </si>
  <si>
    <t xml:space="preserve">                               1,432,080</t>
  </si>
  <si>
    <t xml:space="preserve">                            6 Heavy Eqpt. Operator @ 765/day for 26 days/mo. - </t>
  </si>
  <si>
    <t xml:space="preserve">                            3 Mechanic/Electrician/Welder @ 765/day for 26 </t>
  </si>
  <si>
    <t xml:space="preserve">                                days/mo. - 716,040</t>
  </si>
  <si>
    <t xml:space="preserve">                            1 Plumber @ 720/day for 26 days/mo. - 224,640</t>
  </si>
  <si>
    <t xml:space="preserve">                            14 Laborer @ 639/day for 26 days/mo. - 2,791,152</t>
  </si>
  <si>
    <t xml:space="preserve">                         Barangay Artesian Well/Water Pump/Drilling</t>
  </si>
  <si>
    <t xml:space="preserve">                            6 Laborer @ 639/day for 22 days/mo. - 1,012,176</t>
  </si>
  <si>
    <t xml:space="preserve">                         Mid-year and Year-end Assessment - 293,000</t>
  </si>
  <si>
    <t xml:space="preserve">                 Infrastructure Assets</t>
  </si>
  <si>
    <t xml:space="preserve">                      4 units Computer Desktop AMD Ryzen 7 - 384,000.00</t>
  </si>
  <si>
    <t xml:space="preserve">                      5 units Computer Desktopm AMD, 7600x - 345,000.00</t>
  </si>
  <si>
    <t xml:space="preserve">                      2 units Ecotank L15150 A3 All-in-1 Ink Tank</t>
  </si>
  <si>
    <t xml:space="preserve">                          Printer/Copier - 116,000.00</t>
  </si>
  <si>
    <t xml:space="preserve">                      1 unit Stake Truck with Boom</t>
  </si>
  <si>
    <t xml:space="preserve">                      1 Tamping Rammer</t>
  </si>
  <si>
    <t xml:space="preserve">                 Total Capital Outlay</t>
  </si>
  <si>
    <t>P/P/A 1. MAINTENANCE OF CITY AND BARANGAY ROADS (8753-1)</t>
  </si>
  <si>
    <r>
      <rPr>
        <b/>
        <sz val="12"/>
        <color theme="1"/>
        <rFont val="Calibri"/>
        <family val="2"/>
      </rPr>
      <t xml:space="preserve">                        </t>
    </r>
    <r>
      <rPr>
        <sz val="12"/>
        <color theme="1"/>
        <rFont val="Calibri"/>
        <family val="2"/>
      </rPr>
      <t>Fabrication of RCPC, CHB - 5,164,735.00</t>
    </r>
  </si>
  <si>
    <t xml:space="preserve">                        Spcl Hardware and Construction Materials - 3,003,756.00</t>
  </si>
  <si>
    <t xml:space="preserve">                        FMR - Mango Processing and Marketing Facilities,</t>
  </si>
  <si>
    <t xml:space="preserve">                        Bgy. Inagawan-Sub - 234,469.00</t>
  </si>
  <si>
    <r>
      <rPr>
        <b/>
        <sz val="12"/>
        <color theme="1"/>
        <rFont val="Calibri"/>
        <family val="2"/>
      </rPr>
      <t xml:space="preserve">                      </t>
    </r>
    <r>
      <rPr>
        <sz val="12"/>
        <color theme="1"/>
        <rFont val="Calibri"/>
        <family val="2"/>
      </rPr>
      <t>JO/COS:</t>
    </r>
  </si>
  <si>
    <t xml:space="preserve">                                days/mo. - 303,888.00</t>
  </si>
  <si>
    <t xml:space="preserve">                            20 Laborer @ 639/day for 26 days/mo. - 3,987,360.00</t>
  </si>
  <si>
    <t xml:space="preserve">                            8 Light Eqpt. Operator @ 678/day for 26 days/mo. - </t>
  </si>
  <si>
    <t xml:space="preserve">                               1,692,288.00</t>
  </si>
  <si>
    <t xml:space="preserve">                            7 Heavy Eqpt. Operator @ 765/day for 26 days/mo. - </t>
  </si>
  <si>
    <t xml:space="preserve">                               1,670,760.00</t>
  </si>
  <si>
    <r>
      <rPr>
        <b/>
        <sz val="12"/>
        <color theme="1"/>
        <rFont val="Calibri"/>
        <family val="2"/>
      </rPr>
      <t xml:space="preserve">                            </t>
    </r>
    <r>
      <rPr>
        <sz val="12"/>
        <color theme="1"/>
        <rFont val="Calibri"/>
        <family val="2"/>
      </rPr>
      <t>Operation and Maintenance</t>
    </r>
  </si>
  <si>
    <t xml:space="preserve">                            - Road Side Clearing of North West City Roads</t>
  </si>
  <si>
    <t xml:space="preserve">                            5 Laborer @ 639/day for 26 days/mo. - 996,840.00</t>
  </si>
  <si>
    <t xml:space="preserve">                            - Bukang Liwayway to Makandring FMR (5 days every</t>
  </si>
  <si>
    <t xml:space="preserve">                              quarter)</t>
  </si>
  <si>
    <t xml:space="preserve">                            10 Laborer @ 639/day - 127,800.00</t>
  </si>
  <si>
    <t xml:space="preserve">                            - Bual-bualan FMR (5 days every quarter)</t>
  </si>
  <si>
    <t xml:space="preserve">                            - Maruyugon to Buenavista FMR (5 days every quarter)</t>
  </si>
  <si>
    <t xml:space="preserve">                            10 Laborer @ 639/day  - 127,800.00</t>
  </si>
  <si>
    <t>P/P/A 2. OPERATION OF PUERTO PRINCESA CITY CEMETERY AT BGY. STA. LOURDES (8841)</t>
  </si>
  <si>
    <r>
      <rPr>
        <b/>
        <sz val="12"/>
        <color theme="1"/>
        <rFont val="Calibri"/>
        <family val="2"/>
      </rPr>
      <t xml:space="preserve">                 </t>
    </r>
    <r>
      <rPr>
        <sz val="12"/>
        <color theme="1"/>
        <rFont val="Calibri"/>
        <family val="2"/>
      </rPr>
      <t xml:space="preserve">Repairs and Maintenance – Land Improvements  </t>
    </r>
  </si>
  <si>
    <t xml:space="preserve">                       Painting of Existing Multi-Level Nitches and Columbarium</t>
  </si>
  <si>
    <t xml:space="preserve">                        - 2,508,278.00</t>
  </si>
  <si>
    <t xml:space="preserve">                        Fabrication of Riser for Multi-Level Nitches - 127,471.00</t>
  </si>
  <si>
    <t xml:space="preserve">                       1 Labor Foreman @ 861/day for 120 days - 103,320.00</t>
  </si>
  <si>
    <t xml:space="preserve">                       6 Painter @ 720/day for 120 days - 518,400.00</t>
  </si>
  <si>
    <t xml:space="preserve">                       5 Laborer @ 639/day for 120 days - 383,400.00</t>
  </si>
  <si>
    <r>
      <rPr>
        <b/>
        <sz val="12"/>
        <color theme="1"/>
        <rFont val="Calibri"/>
        <family val="2"/>
      </rPr>
      <t xml:space="preserve">                      </t>
    </r>
    <r>
      <rPr>
        <sz val="12"/>
        <color theme="1"/>
        <rFont val="Calibri"/>
        <family val="2"/>
      </rPr>
      <t>JO/COS:</t>
    </r>
  </si>
  <si>
    <t xml:space="preserve">                       1 Laborer @ 639/day for 26 days/mo. - 199,368.00</t>
  </si>
  <si>
    <t xml:space="preserve">                       3 Laborer/Grasscutter Operator @ 639/day for 26 days/mo</t>
  </si>
  <si>
    <t xml:space="preserve">                         - 598,104.00</t>
  </si>
  <si>
    <t xml:space="preserve">                       8 Laborer (Utility &amp; Retrieval Personnel) 639/day for </t>
  </si>
  <si>
    <t xml:space="preserve">                          26 days/mo. - 1,594,944.00</t>
  </si>
  <si>
    <t xml:space="preserve">                       1 Mason @ 720/day for 26 days/mo. - 224,640.00</t>
  </si>
  <si>
    <t xml:space="preserve">                       1 Light Eqpt. Operator @678/day for 26 days/mo - 211,536</t>
  </si>
  <si>
    <t>P/P/A 3. OPENING/REHABILITATION OF RURAL BARANGAY ROADS (8751-7)</t>
  </si>
  <si>
    <r>
      <rPr>
        <b/>
        <sz val="12"/>
        <color theme="1"/>
        <rFont val="Calibri"/>
        <family val="2"/>
      </rPr>
      <t xml:space="preserve">                      </t>
    </r>
    <r>
      <rPr>
        <sz val="12"/>
        <color theme="1"/>
        <rFont val="Calibri"/>
        <family val="2"/>
      </rPr>
      <t>JO/COS:</t>
    </r>
  </si>
  <si>
    <r>
      <rPr>
        <b/>
        <sz val="12"/>
        <color theme="1"/>
        <rFont val="Calibri"/>
        <family val="2"/>
      </rPr>
      <t xml:space="preserve">                      </t>
    </r>
    <r>
      <rPr>
        <sz val="12"/>
        <color theme="1"/>
        <rFont val="Calibri"/>
        <family val="2"/>
      </rPr>
      <t>9 Heavy Equipment Operator @ 765/day for 26 days/mo.  -</t>
    </r>
  </si>
  <si>
    <r>
      <rPr>
        <b/>
        <sz val="12"/>
        <color theme="1"/>
        <rFont val="Calibri"/>
        <family val="2"/>
      </rPr>
      <t xml:space="preserve">                          </t>
    </r>
    <r>
      <rPr>
        <sz val="12"/>
        <color theme="1"/>
        <rFont val="Calibri"/>
        <family val="2"/>
      </rPr>
      <t>2,148,120.00</t>
    </r>
  </si>
  <si>
    <r>
      <rPr>
        <b/>
        <sz val="12"/>
        <color theme="1"/>
        <rFont val="Calibri"/>
        <family val="2"/>
      </rPr>
      <t xml:space="preserve">                      </t>
    </r>
    <r>
      <rPr>
        <sz val="12"/>
        <color theme="1"/>
        <rFont val="Calibri"/>
        <family val="2"/>
      </rPr>
      <t>1 Driver @ 720/day for 26 days/mo.  - 224,640.00</t>
    </r>
  </si>
  <si>
    <r>
      <rPr>
        <b/>
        <sz val="12"/>
        <color theme="1"/>
        <rFont val="Calibri"/>
        <family val="2"/>
      </rPr>
      <t xml:space="preserve">                      </t>
    </r>
    <r>
      <rPr>
        <sz val="12"/>
        <color theme="1"/>
        <rFont val="Calibri"/>
        <family val="2"/>
      </rPr>
      <t>4 Laborer @ 639/day for 26 days/mo. - 797,472.00</t>
    </r>
  </si>
  <si>
    <t>P/P/A 4. MAINTENANCE OF GOVERNMENT FACILITIES</t>
  </si>
  <si>
    <r>
      <rPr>
        <b/>
        <sz val="12"/>
        <color theme="1"/>
        <rFont val="Calibri"/>
        <family val="2"/>
      </rPr>
      <t xml:space="preserve">                      </t>
    </r>
    <r>
      <rPr>
        <sz val="12"/>
        <color theme="1"/>
        <rFont val="Calibri"/>
        <family val="2"/>
      </rPr>
      <t>JO/COS:</t>
    </r>
  </si>
  <si>
    <t xml:space="preserve">                      1 Foreman @ 861/day for 22 days/month - 227,304.00</t>
  </si>
  <si>
    <t xml:space="preserve">                      1 Plumber @ 720/day for 22 days/month - 190,080.00</t>
  </si>
  <si>
    <t xml:space="preserve">                      1 Electrician @ 765/day for 22 days/month - 201,960.00</t>
  </si>
  <si>
    <t xml:space="preserve">                      1 Painter @ 720/day for 22 days/month - 190,080.00</t>
  </si>
  <si>
    <t xml:space="preserve">                      1 Carpenter @ 720/day for 22 days/month - 190,080.00</t>
  </si>
  <si>
    <t xml:space="preserve">                      1 Mason @ 720/day for 22 days/month - 190,080.00</t>
  </si>
  <si>
    <t>Office: OFFICE OF THE CITY ENGINEER - MOTORPOOL (8754)</t>
  </si>
  <si>
    <t xml:space="preserve">                              Heavy Equipment (New) - 2,422,000.00</t>
  </si>
  <si>
    <t xml:space="preserve">                              Heavy Equipment (Old) - 39,026,400.00</t>
  </si>
  <si>
    <r>
      <rPr>
        <b/>
        <sz val="12"/>
        <color theme="1"/>
        <rFont val="Calibri"/>
        <family val="2"/>
      </rPr>
      <t xml:space="preserve">                           </t>
    </r>
    <r>
      <rPr>
        <sz val="12"/>
        <color theme="1"/>
        <rFont val="Calibri"/>
        <family val="2"/>
      </rPr>
      <t>Planning and Assessment</t>
    </r>
  </si>
  <si>
    <t>Department: OFFICE OF THE CITY BUILDING OFFICIAL (8756)</t>
  </si>
  <si>
    <r>
      <rPr>
        <b/>
        <sz val="12"/>
        <color theme="1"/>
        <rFont val="Calibri"/>
        <family val="2"/>
      </rPr>
      <t xml:space="preserve">                            </t>
    </r>
    <r>
      <rPr>
        <sz val="12"/>
        <color theme="1"/>
        <rFont val="Calibri"/>
        <family val="2"/>
      </rPr>
      <t>Team Building</t>
    </r>
  </si>
  <si>
    <t>Department: OFFICE OF THE CITY TOURISM OFFICER (8852)</t>
  </si>
  <si>
    <t xml:space="preserve">                     Regular - 150,000</t>
  </si>
  <si>
    <t xml:space="preserve">                     Basic Sound System and Audio Workshop - 85,000</t>
  </si>
  <si>
    <t xml:space="preserve">                     DOT-Specific and Mandatory Trainings: </t>
  </si>
  <si>
    <t xml:space="preserve">                          Tourism Awareness and Capability-Building Seminar for 
                          LGU - 65,500</t>
  </si>
  <si>
    <t xml:space="preserve">                          Basic Tourism Statistics Training - 65,500</t>
  </si>
  <si>
    <t xml:space="preserve">                          Local Tourism Guidebook Orientation - 65,500</t>
  </si>
  <si>
    <t xml:space="preserve">                     Tourism Frontliner Training - 363,000</t>
  </si>
  <si>
    <t xml:space="preserve">                     Accessible Tourism Training - 145,000</t>
  </si>
  <si>
    <t xml:space="preserve">                     CBST Tourism Awareness, Product Development, Safety and 
                     Security Seminar Workshop - 160,000</t>
  </si>
  <si>
    <t xml:space="preserve">                     Seminar-Workshop on CBST Itinerary Planning and Tour Packaging 
                     - 100,000</t>
  </si>
  <si>
    <t xml:space="preserve">                     CBST Convention - 464,000</t>
  </si>
  <si>
    <t xml:space="preserve">                     Administrative Division - 30,000</t>
  </si>
  <si>
    <t xml:space="preserve">                     Smart Tourism - 16,500</t>
  </si>
  <si>
    <t xml:space="preserve">                     Operation of Honda Bay Wharf as Tourism Port - 30,000</t>
  </si>
  <si>
    <t xml:space="preserve">                     Maintenance of Lights and Sound System - 177,500</t>
  </si>
  <si>
    <t xml:space="preserve">                     Operation of City Band, Choir and Banwa:</t>
  </si>
  <si>
    <t xml:space="preserve">                          Banwa - 12,600</t>
  </si>
  <si>
    <t xml:space="preserve">                          Band - 30,000</t>
  </si>
  <si>
    <t xml:space="preserve">                          Choir - 22,000</t>
  </si>
  <si>
    <t xml:space="preserve">                     Product Planning and Dev't Division - 43,500</t>
  </si>
  <si>
    <t xml:space="preserve">                     Social Media Production - 84,600</t>
  </si>
  <si>
    <t xml:space="preserve">                     Administrative Division - 45,000</t>
  </si>
  <si>
    <t xml:space="preserve">                     Product Planning and Dev't Division - 30,000</t>
  </si>
  <si>
    <t xml:space="preserve">                 Other Supplies and Material Expenses</t>
  </si>
  <si>
    <t xml:space="preserve">                     Operation of Tagkawayan Beach - 62,000</t>
  </si>
  <si>
    <t xml:space="preserve">                     Operation of Honda Bay Wharf as Tourism Port - 57,408</t>
  </si>
  <si>
    <t xml:space="preserve">                     Main Office and Airport Extension Office - 117,608</t>
  </si>
  <si>
    <t xml:space="preserve">                     Leis - 1,500,000</t>
  </si>
  <si>
    <t xml:space="preserve">                     Brochures, Flyers and CBST Destinations Booklet - 1,000,000</t>
  </si>
  <si>
    <t xml:space="preserve">                     Souvenirs and Tokens - 2,900,000</t>
  </si>
  <si>
    <t xml:space="preserve">                     Tarpaulin and Promotional Signages - 1,000,000</t>
  </si>
  <si>
    <t xml:space="preserve">                     ID for Tourism Frontliners - 255,000</t>
  </si>
  <si>
    <t xml:space="preserve">                     Stickers - 500,000</t>
  </si>
  <si>
    <t xml:space="preserve">                     Social Media Production - 3,080</t>
  </si>
  <si>
    <t xml:space="preserve">                     Operation of City Band, Choir and Banwa: </t>
  </si>
  <si>
    <t xml:space="preserve">                          Banwa - 209,500</t>
  </si>
  <si>
    <t xml:space="preserve">                          Choir - 99,000</t>
  </si>
  <si>
    <t xml:space="preserve">                     Strategic Planning, Performance Evaluation and Capacity
                     Building - 55,500</t>
  </si>
  <si>
    <t xml:space="preserve">                     Regulation, Accreditation, Orientation and Monitoring of 
                     Tourism-Related Enterprises - 74,000</t>
  </si>
  <si>
    <t xml:space="preserve">                     International Travel Expo and Local - 3,429,000</t>
  </si>
  <si>
    <t xml:space="preserve">                     Puerto Princesa City Tourism Council - 100,000</t>
  </si>
  <si>
    <t xml:space="preserve">                     Puerto Princesa City Tourism Promotions Board - 100,000</t>
  </si>
  <si>
    <t xml:space="preserve">                     Social Media Campaign - 1,000,000</t>
  </si>
  <si>
    <t xml:space="preserve">                     Pangalipay sa Baybay and Seafoods Festival - 1,000,000</t>
  </si>
  <si>
    <t xml:space="preserve">                     Amos Taren sa Beach - 700,000</t>
  </si>
  <si>
    <t xml:space="preserve">                     Tourism Month Celebration - 2,000,000</t>
  </si>
  <si>
    <t xml:space="preserve">                     Cruise Ship Welcome Reception and Send-Off Courtesies - 1,500,000</t>
  </si>
  <si>
    <t xml:space="preserve">                     4 Tourism Roadshows - 2,000,000</t>
  </si>
  <si>
    <t xml:space="preserve">                     Social Media Production: </t>
  </si>
  <si>
    <t xml:space="preserve">                        1 Light Equipment Operator (Driver) @ 678/day for 22 days/
                        mo. - 178,992</t>
  </si>
  <si>
    <t xml:space="preserve">                        2 Administrative Aide III (Video/Camera Operator) @ 720/day 
                        for 22 days/mo. - 380,160</t>
  </si>
  <si>
    <t xml:space="preserve">                        1 Administrative Aide III (Technical Writer) @ 720/day for 22 
                        days/mo. - 190,080</t>
  </si>
  <si>
    <t xml:space="preserve">                     Operation of Tagkawayan Beach: </t>
  </si>
  <si>
    <t xml:space="preserve">                        1 Administrative Aide III (Beach Facility Supervisor) @ 720/day
                        for 26 days/mo. - 224,640</t>
  </si>
  <si>
    <t xml:space="preserve">                        4 Administrative Aide II (Lifeguard) @ 678/day for 26 days/mo. 
                        - 846,144</t>
  </si>
  <si>
    <t xml:space="preserve">                        6 Administrative Aide II (Watchman) @ 678/day for 26 days/mo. 
                        - 1,269,216</t>
  </si>
  <si>
    <t xml:space="preserve">                        2 Administrative Aide I (Utility Worker I) @ 639/day for 26 days/
                        mo. - 398,736</t>
  </si>
  <si>
    <t xml:space="preserve">                     Operation of Honda Bay Wharf as Tourism Port: </t>
  </si>
  <si>
    <t xml:space="preserve">                        3 Administrative Aide I @ 639/day for 26 days/mo. - 598,104</t>
  </si>
  <si>
    <t xml:space="preserve">                        18 Administrative Aide II (Banwa Dancers) @ 678/day for 26 
                        days/mo. - 3,807,648</t>
  </si>
  <si>
    <t xml:space="preserve">                        18 Administrative Aide II (Choir Members) @ 678/day for 26 
                        days/mo. - 3,807,648</t>
  </si>
  <si>
    <t xml:space="preserve">                        1 Administrative Aide III (Choir Supervisor) @ 720/day for 26 
                        days/mo. - 224,640</t>
  </si>
  <si>
    <t xml:space="preserve">                        6 Administrative Aide II (Band Members) @ 678/day for 22 
                        days/mo. - 1,073,952</t>
  </si>
  <si>
    <t xml:space="preserve">                     CBST Gear Up Program: </t>
  </si>
  <si>
    <t xml:space="preserve">                        13 Administrative Aide I (CBST Aide) @ 639/day for 22 days/mo. 
                        - 2,193,048</t>
  </si>
  <si>
    <t xml:space="preserve">                     Maintenance and Management of Lights and Sound System: </t>
  </si>
  <si>
    <t xml:space="preserve">                        2 Administrative Aide III (Sound and Light Technician) @ 720/
                        day for 22 days/mo. - 380,160</t>
  </si>
  <si>
    <t xml:space="preserve">                     Airport Tourism Information Center: </t>
  </si>
  <si>
    <t xml:space="preserve">                        3 Administrative Aide II @ 678/day for 26 days/mo.- 634,608</t>
  </si>
  <si>
    <t xml:space="preserve">                     Smart Tourism: </t>
  </si>
  <si>
    <t xml:space="preserve">                        2 Administrative Aide II @ 678/day for 22 days/mo.- 357,984</t>
  </si>
  <si>
    <t xml:space="preserve">                        1 Banwa Choreographer @ 10,000/mo. - 120,000</t>
  </si>
  <si>
    <t xml:space="preserve">                        19 City Band Members @ 5,000/mo. - 1,140,000</t>
  </si>
  <si>
    <t xml:space="preserve">                     Honda Bay Concrete Signage- 137,538</t>
  </si>
  <si>
    <t xml:space="preserve">                     Sabang Mangrove Concrete Signage - 165,238</t>
  </si>
  <si>
    <t xml:space="preserve">                     Tagkuriring Waterfalls Concrete Signage - 155,675</t>
  </si>
  <si>
    <t xml:space="preserve">                     Administrative Division: </t>
  </si>
  <si>
    <t xml:space="preserve">                     1 Unit Laptop - 52,800</t>
  </si>
  <si>
    <t xml:space="preserve">                     1 Unit Desktop Computer - 60,600</t>
  </si>
  <si>
    <t xml:space="preserve">                     Product Planning and Devleopment and Statistics Division: </t>
  </si>
  <si>
    <t xml:space="preserve">                     2 Units Zoom Lens - 330,000</t>
  </si>
  <si>
    <t xml:space="preserve">                     8 Units Customized Client Counter </t>
  </si>
  <si>
    <t xml:space="preserve">       Total Capital Outlay </t>
  </si>
  <si>
    <t xml:space="preserve">P/P/A 1. CULTURE AND ARTS PROGRAM </t>
  </si>
  <si>
    <t xml:space="preserve">                     Cultural Mapping Workshop - 995,000</t>
  </si>
  <si>
    <t xml:space="preserve">                     Commentary Development Training - 140,000</t>
  </si>
  <si>
    <t xml:space="preserve">                 Communication Expenses </t>
  </si>
  <si>
    <t xml:space="preserve">                     Puerto Princesa City Culture and Arts Council - 200,000</t>
  </si>
  <si>
    <t xml:space="preserve">                     The Gov. Higinio Mendoza Sr. Day Commemorating 
                     Committee - 100,000</t>
  </si>
  <si>
    <t xml:space="preserve">                     Puerto Princesa City Cuyonon Cultural Council - 100,000</t>
  </si>
  <si>
    <t xml:space="preserve">                     Gov. Higinio Mendoza Sr. Day - 154,000</t>
  </si>
  <si>
    <t xml:space="preserve">                     Chinese New Year - 500,000</t>
  </si>
  <si>
    <t xml:space="preserve">                     Culture and Arts Month - 690,000</t>
  </si>
  <si>
    <t xml:space="preserve">                     Independence Day Celebration - 175,000</t>
  </si>
  <si>
    <t xml:space="preserve">                     Cuyonon Festival - 2,000,000</t>
  </si>
  <si>
    <t xml:space="preserve">                     National History Month - 1,000,000</t>
  </si>
  <si>
    <t xml:space="preserve">                     Museum and Galleries Month - 395,000</t>
  </si>
  <si>
    <t xml:space="preserve">                     Salute to Valor - 250,000</t>
  </si>
  <si>
    <t xml:space="preserve">                     Karakol Fluvial Procession Festival - 300,000</t>
  </si>
  <si>
    <t xml:space="preserve">                     Local Cultural Inventory Marker Launching - 37,000</t>
  </si>
  <si>
    <t xml:space="preserve">                     Mural Paintings inside the Museum - 100,000</t>
  </si>
  <si>
    <t xml:space="preserve">                     Cultural Mapping: </t>
  </si>
  <si>
    <t xml:space="preserve">                        8 Administrative Aide II @ 678/day for 22 days/mo. - 
                        1,431,936</t>
  </si>
  <si>
    <t xml:space="preserve">                     Cultural Tourism Program for Indigenous People: </t>
  </si>
  <si>
    <t xml:space="preserve">                        9 Administrative Aide I (Cultural Tourism Worker) @ 639/day 
                        for 22 days/mo. - 1,518,264</t>
  </si>
  <si>
    <t xml:space="preserve">                     Database of Cultural Properties: </t>
  </si>
  <si>
    <t xml:space="preserve">                        2 Administrative Aide II @ 678/day for 22 days/mo. - 
                        357,984</t>
  </si>
  <si>
    <t xml:space="preserve">                     City Museum: </t>
  </si>
  <si>
    <t xml:space="preserve">                        1 Administrative Aide I @ 639/day for 26 days/mo. - 
                        199,368</t>
  </si>
  <si>
    <t xml:space="preserve">                        2 Administrative Aide II @ 678/day for 26 days/mo. - 
                        423,072</t>
  </si>
  <si>
    <t xml:space="preserve">                        1 Administrative Aide III @ 720/day for 26 days/mo. -
                        224,640</t>
  </si>
  <si>
    <t xml:space="preserve">                 Power Supply Systems </t>
  </si>
  <si>
    <t xml:space="preserve">                     Procurement and Installation of Transformer (City Museum) </t>
  </si>
  <si>
    <t xml:space="preserve">                     2 Units 4HP Floor Mounted Aircon (including installation 
                     costs) </t>
  </si>
  <si>
    <t xml:space="preserve">                     1 Unit Desktop - 110,000</t>
  </si>
  <si>
    <t>for database</t>
  </si>
  <si>
    <t xml:space="preserve">                     1 Unit Mirrorles Camera - 108,000</t>
  </si>
  <si>
    <t xml:space="preserve">                     Base Radio Set for Office - 55,000</t>
  </si>
  <si>
    <t xml:space="preserve">                     Repair/Installation of the Division of 2nd Floor </t>
  </si>
  <si>
    <t>Office: PUERTO PRINCESA CITY PUBLIC MARKET (8811)</t>
  </si>
  <si>
    <t xml:space="preserve">                Personnel Benefit Contributions</t>
  </si>
  <si>
    <t xml:space="preserve">                 Utility Expenses </t>
  </si>
  <si>
    <t xml:space="preserve">                     Market Committee Honorarium and Meetings - 200,000</t>
  </si>
  <si>
    <t xml:space="preserve">                     Team Building Activity - 201,000</t>
  </si>
  <si>
    <t xml:space="preserve">                     Palengke Festival - 400,000</t>
  </si>
  <si>
    <t xml:space="preserve">                     Regular Meeting of Vendors - 111,000</t>
  </si>
  <si>
    <t xml:space="preserve">                        Salvacion Public Market: </t>
  </si>
  <si>
    <t xml:space="preserve">                        5 Administrative Aide I @ 639/day for 26 days/mo. - 
                        996,840</t>
  </si>
  <si>
    <t xml:space="preserve">                        1 Watchman I @ 678/day for 26 days/mo. - 211,536</t>
  </si>
  <si>
    <t xml:space="preserve">                        Kamuning Public Market: </t>
  </si>
  <si>
    <t xml:space="preserve">                        San Jose Public Market: </t>
  </si>
  <si>
    <t xml:space="preserve">                        3 Administrative Aide IV @ 765/day for 26 days/mo. - 716,040</t>
  </si>
  <si>
    <t xml:space="preserve">                        1 Electrician @ 765/day for 26 days/mo. - 238,680</t>
  </si>
  <si>
    <t xml:space="preserve">                        13 Administrative Aide II @ 678/day for 26 days/mo. - 
                        2,749,968</t>
  </si>
  <si>
    <t xml:space="preserve">                        3 Administrative Aide I @ 639/day for 26 days/mo. - 
                        598,104</t>
  </si>
  <si>
    <t xml:space="preserve">                        7 Watchman I @ 678/day for 26 days/mo. - 1,480,752</t>
  </si>
  <si>
    <t xml:space="preserve">                        Tagumpay Public Market: </t>
  </si>
  <si>
    <t xml:space="preserve">                        3 Administrative Aide IV @ 765/day for 26 days/mo. 
                        - 716,040</t>
  </si>
  <si>
    <t xml:space="preserve">                        18 Administrative Aide II @ 678/day for 26 days/mo. - 
                        3,807,648</t>
  </si>
  <si>
    <t xml:space="preserve">                        7 Administrative Aide I @ 639/day for 26 days/mo. - 
                        1,395,576</t>
  </si>
  <si>
    <t xml:space="preserve">                        Irawan Bagsakan Market: </t>
  </si>
  <si>
    <t xml:space="preserve">                        Irawan Public Market: </t>
  </si>
  <si>
    <t xml:space="preserve">                        1 Administrative Aide IV @ 765/day for 26 days/mo. 
                        - 238,680</t>
  </si>
  <si>
    <t xml:space="preserve">                        17 Administrative Aide II @ 678/day for 26 days/mo. - 
                        3,596,112</t>
  </si>
  <si>
    <t xml:space="preserve">                        4 Administrative Aide I @ 639/day for 26 days/mo. - 
                        797,472</t>
  </si>
  <si>
    <t>P/P/A 1. ESTABLISHMENT OF VERMICOMPOSTING FACILITY IN PUERTO PRINCESA CITY PUBLIC MARKETS</t>
  </si>
  <si>
    <t>1.0 Capital Outlay</t>
  </si>
  <si>
    <t xml:space="preserve">                     Construction of Composting Shed</t>
  </si>
  <si>
    <t xml:space="preserve">                     1 Unit Stake Truck</t>
  </si>
  <si>
    <t>Office: PUERTO PRINCESA CITY SLAUGHTERHOUSE (8812)</t>
  </si>
  <si>
    <t xml:space="preserve">                 Repair and Maintenance</t>
  </si>
  <si>
    <t xml:space="preserve">                 Repairs and Maintenance - Building and Other Structures</t>
  </si>
  <si>
    <t xml:space="preserve">                     Accreditation Fee/NMIS - 20,000</t>
  </si>
  <si>
    <t xml:space="preserve">                        35 Administrative Aide I (Utility Worker/Laborers) @ 639/day 
                        for 26 days/mo. - 6,977,880</t>
  </si>
  <si>
    <t xml:space="preserve">                        2 Light Equipment Operator (Driver) @ 678/day for 26 days/
                        mo. - 423,072</t>
  </si>
  <si>
    <t xml:space="preserve">                        1 Mechanic @ 765/day for 26 days/mo. - 238,680</t>
  </si>
  <si>
    <t xml:space="preserve">                        2 Plant Operators @ 765/day for 26 days/mo. - 477,360</t>
  </si>
  <si>
    <t xml:space="preserve">                        1 Welder @ 765/day for 26 days/mo. - 238,680</t>
  </si>
  <si>
    <t xml:space="preserve">                        6 Watchman I @ 678/day for 26 days/mo. - 1,269,216</t>
  </si>
  <si>
    <t xml:space="preserve">                        6 Support Worker (for 4th Quarter) @ 639/day for 78 days -
                        299,052</t>
  </si>
  <si>
    <t xml:space="preserve">                  1 unit Laptop Computer</t>
  </si>
  <si>
    <t xml:space="preserve">                   1 unit Industrial Gas Burner, Automatic dual stage</t>
  </si>
  <si>
    <t>Office: CITY FISHPORT MANAGEMENT OFFICE (8712)</t>
  </si>
  <si>
    <t xml:space="preserve">                     Honorarium FMB - 72,000</t>
  </si>
  <si>
    <t xml:space="preserve">                     Team-Building Activity - 25,500</t>
  </si>
  <si>
    <t xml:space="preserve">                        10 Administrative Aide I @ 639/day for 26 days/mo. 
                        - 1,993,680</t>
  </si>
  <si>
    <t>ok</t>
  </si>
  <si>
    <t xml:space="preserve">                        15 Administrative Aide II @ 678/day for 26 days/mo. 
                        - 3,173,040</t>
  </si>
  <si>
    <t xml:space="preserve">                        4 Administrative Aide III @ 720/day for 26 days/mo. 
                        - 898,560</t>
  </si>
  <si>
    <t>Office: OPERATION OF PPC LAND TRANSPORT TERMINAL (8821)</t>
  </si>
  <si>
    <t>sticker</t>
  </si>
  <si>
    <t xml:space="preserve">uniform </t>
  </si>
  <si>
    <t>janitorial</t>
  </si>
  <si>
    <t xml:space="preserve">                 Repairs and Maintenance  </t>
  </si>
  <si>
    <t xml:space="preserve">                     PPLTT Mgt. Board Honorarium - 64,000</t>
  </si>
  <si>
    <t xml:space="preserve">                     Meetings - 10,000</t>
  </si>
  <si>
    <t xml:space="preserve">                     Team-Building Activity - 37,500</t>
  </si>
  <si>
    <t xml:space="preserve">                        2 Administrative Aide I (Utility Worker) @ 639/day for 
                        26 days/mo. - 398,736</t>
  </si>
  <si>
    <t xml:space="preserve">                        12 Administrative Aide II @ 678/day for 26 days/mo. 
                        - 2,538,432</t>
  </si>
  <si>
    <t xml:space="preserve">                     Solar Power System </t>
  </si>
  <si>
    <t xml:space="preserve">                     Rehabilitation of Terminal Building</t>
  </si>
  <si>
    <t xml:space="preserve">total df: </t>
  </si>
  <si>
    <t>PPA: 20% DEVELOPMENT FUND PROJECTS</t>
  </si>
  <si>
    <t xml:space="preserve">             Land Improvements</t>
  </si>
  <si>
    <t xml:space="preserve">                     Construction of Perimeter Fence for Palawan Flora and 
                     Fauna Watershed Reservation, Bgy. Irawan</t>
  </si>
  <si>
    <t xml:space="preserve">                     Construction of Open Parking with Perimeter Fence at 
                     ESH Coliseum, Bgy. San Pedro </t>
  </si>
  <si>
    <t xml:space="preserve">                     Site Development of San Jose Public Market (Road, Parking, 
                     Sidewalk, Drainage and Streetlight), Bgy. San Jose</t>
  </si>
  <si>
    <t xml:space="preserve">                     Improvement of City Motorpool Compound (Road, Parking, 
                     Fence, Gate and Slope Protection), Bgy. Sta. Monica</t>
  </si>
  <si>
    <t xml:space="preserve">                     Construction of Puerto Princesa City Memorial Garden 
                     Phase VII, Bgy. Sta. Lourdes</t>
  </si>
  <si>
    <t xml:space="preserve">             Infrastructure Assets</t>
  </si>
  <si>
    <t xml:space="preserve">               Road Networks</t>
  </si>
  <si>
    <t xml:space="preserve">                     Reconstruction and Widening of Kamuning-Inagawan Road 
                     with Sidewalk and Drainage System, Bgys. Kamuning and 
                     Inagawan </t>
  </si>
  <si>
    <t xml:space="preserve">                     Road Reblocking of San Pedro-San Manuel Parallel Road 
                     (Macopa Street to Santol Road), Bgy. San Jose</t>
  </si>
  <si>
    <t xml:space="preserve">                     Concreting of Cross Road 2 from Purok Kapalaran to Purok
                     Kaunlaran, Bgy. Luzviminda</t>
  </si>
  <si>
    <t xml:space="preserve">                     Concreting of Road Shoulder at Taft Street (Cathedral-
                     Sandoval-Concepcion), Various Barangays </t>
  </si>
  <si>
    <t xml:space="preserve">                     Road Reblocking of Rengel Road (Rizal Avenue to Manalo 
                     Street), Bgy. Bancao-Bancao</t>
  </si>
  <si>
    <t xml:space="preserve">                     Concreting of Road I, II and III at Golden Valley Relocation 
                     Site (Quito - Phase IV), Bgy. Sicsican</t>
  </si>
  <si>
    <t xml:space="preserve">                     Concreting of Yellowbell Street, Bgy. San Miguel</t>
  </si>
  <si>
    <t xml:space="preserve">                     Concreting of Fisherman's Village Road Networks, Bgy. Sta. 
                     Monica</t>
  </si>
  <si>
    <t xml:space="preserve">                     Concreting of Perimeter Road at Purok Baybay with 
                     Breakwater and Drainage System, Bgy. Babuyan</t>
  </si>
  <si>
    <t xml:space="preserve">                     Asphalt Overlay of Bonoan Road, Bgy. Tagumpay</t>
  </si>
  <si>
    <t xml:space="preserve">                     Asphalt Overlay of Quezon Street, Bgy. Maligaya</t>
  </si>
  <si>
    <t xml:space="preserve">                     Road Reblocking of Macopa Road (Muslim Cemetery to 
                     Baptist Church), Bgy. San Jose</t>
  </si>
  <si>
    <t xml:space="preserve">                     Road Reblocking of Mabini Street (Oliveros to Valencia 
                     Street), Bgys. Maunlad and Bagong Sikat</t>
  </si>
  <si>
    <t xml:space="preserve">                     Concreting of Main Circulation Road of Sta. Lourdes 
                     Resettlement Project (Zost Subdivision), Bgy. Sta. Lourdes</t>
  </si>
  <si>
    <t xml:space="preserve">                     Opening and Gravelling of Purok Tres FMR, Bgy. Inagawan 
                     Sub-Colony</t>
  </si>
  <si>
    <t xml:space="preserve">                     Completion of San Jose Market By-Pass Road (Sidewalk, 
                     Paved Shoulder and Drainage System), Bgy. San Jose</t>
  </si>
  <si>
    <t xml:space="preserve">                     Upgrading/Modification of Tagnaya Hanging Bridge 2, 
                     Bgy. Concepcion</t>
  </si>
  <si>
    <t xml:space="preserve">                     Construction of Sidewalk with Drainage System along 
                     Valencia Street (Manalo to Bonifacio), Bgy. Masipag</t>
  </si>
  <si>
    <t xml:space="preserve">                     Construction of Drainage System at Sitio Sabang, Bgy. 
                     Cabayugan </t>
  </si>
  <si>
    <t xml:space="preserve">                     Construction of Slope Protection for Maoyon Access Road, 
                     Bgy. Maoyon</t>
  </si>
  <si>
    <t xml:space="preserve">                     Construction of Sidewalk with Drainage System along 
                     Sampaloc Road, Bgy. San Jose</t>
  </si>
  <si>
    <t xml:space="preserve">                     Construction of Slope Protection for Tagnaya Hanging 
                     Bridge 1, Bgy. Concepcion</t>
  </si>
  <si>
    <t xml:space="preserve">                     Construction of Concrete Footbridge from Purok Pag-asa
                     to Purok Pagkakaisa, Bgy. Marufinas</t>
  </si>
  <si>
    <t xml:space="preserve">               Water Supply Systems</t>
  </si>
  <si>
    <t xml:space="preserve">                     Construction and Rehabilitation of Water Supply System 
                     at Sitio Sto. Niño, Bgy. Napsan </t>
  </si>
  <si>
    <t xml:space="preserve">                     Construction and Rehabilitation of Water Supply System 
                     at Sitio Tagkuriring, Bgy. Simpocan </t>
  </si>
  <si>
    <t xml:space="preserve">                     Water Supply System of Toilets at Balayong Park, Bgy. Sta. 
                     Monica</t>
  </si>
  <si>
    <t xml:space="preserve">                     Lighting of Forest Parking in Balayong People's Park, Bgy. 
                     Sta. Monica </t>
  </si>
  <si>
    <t xml:space="preserve">                     Balayong Interactive Water Park Audio System, Bgy. Sta. 
                     Monica</t>
  </si>
  <si>
    <t xml:space="preserve">               Other Infrastructure Assets</t>
  </si>
  <si>
    <t xml:space="preserve">                     Construction of Drainage System at Tagbarungis Elementary
                     and High School, Bgy. Inagawan Sub-Colony</t>
  </si>
  <si>
    <t xml:space="preserve">             Buildings and Other Structures</t>
  </si>
  <si>
    <t xml:space="preserve">               Buildings</t>
  </si>
  <si>
    <t xml:space="preserve">                     Construction of Visitor's Information and Training Center, 
                     Bgy. Irawan </t>
  </si>
  <si>
    <t xml:space="preserve">                     Construction of City Engineering and Architecture Building
                     Auxiliary (Elevator, Electronics Work and Covered 
                     Fabrication Shed), Bgy. Sta. Monica</t>
  </si>
  <si>
    <t xml:space="preserve">                     Supply and Installation of Flooring System for Indoor 
                     Sports Event at ESH Coliseum, Bgy. San Pedro</t>
  </si>
  <si>
    <t xml:space="preserve">               School Buildings</t>
  </si>
  <si>
    <t xml:space="preserve">                     Construction of Standard Day Care Center, Bgy. Bahile</t>
  </si>
  <si>
    <t xml:space="preserve">                     Construction of Standard Day Care Center, Bgy. Sicsican</t>
  </si>
  <si>
    <t xml:space="preserve">                     Construction of Standard Day Care Center at Purok New 
                     Princesa, Bgy. Tiniguiban</t>
  </si>
  <si>
    <t xml:space="preserve">                     Construction of Standard Day Care Center, Bgy. Irawan </t>
  </si>
  <si>
    <t xml:space="preserve">                     Construction of Standard Day Care Center, Bgy. Salvacion</t>
  </si>
  <si>
    <t xml:space="preserve">                     Construction of Standard Day Care Center, Bgy. Macarascas</t>
  </si>
  <si>
    <t xml:space="preserve">                     Construction of Standard Day Care Center at Sitio Bayatao, 
                     Bgy. Tagabinet</t>
  </si>
  <si>
    <t xml:space="preserve">               Hospitals and Health Centers</t>
  </si>
  <si>
    <t xml:space="preserve">                     Satellite Clinic (Ancillary Structures), Bgy. Napsan</t>
  </si>
  <si>
    <t xml:space="preserve">                     Completion of Mangingisda Satellite Clinic (Fence, Site 
                     Development and Ancillary Structures), Bgy. Mangingisda</t>
  </si>
  <si>
    <t xml:space="preserve">               Markets</t>
  </si>
  <si>
    <t xml:space="preserve">                     Completion of Public Market at Irawan Agricultural Center, 
                     Bgy. Irawan </t>
  </si>
  <si>
    <t xml:space="preserve">               Slaughterhouses</t>
  </si>
  <si>
    <t xml:space="preserve">                     Construction and Improvement of Facilities at City 
                     Slaughterhouse Compound, Bgy. Tagburos</t>
  </si>
  <si>
    <t xml:space="preserve">               Other Structures</t>
  </si>
  <si>
    <t xml:space="preserve">                     Construction of Zipline Support Facilities at Balayong Park, 
                     Bgy. Sta. Monica</t>
  </si>
  <si>
    <t xml:space="preserve">                     Construction of Covered Court, Bgy. San Isidro</t>
  </si>
  <si>
    <t xml:space="preserve">                     Molecular Laboratory Fence and Power Generator House, 
                     Bgy. Sta. Monica</t>
  </si>
  <si>
    <t>(Estimate)</t>
  </si>
  <si>
    <t>2026</t>
  </si>
  <si>
    <t xml:space="preserve">                     Construction of Perimeter Fence and Columbarium at Old 
                     City Cemetery, Bgys. Masipag and Maunlad</t>
  </si>
  <si>
    <t xml:space="preserve">                     Concreting of Access Road from Purok Tawiran to Caltex 
                     Depot, Bgy. Luzviminda</t>
  </si>
  <si>
    <t xml:space="preserve">                     Concreting of Tagbarungis Road (Elementary School to 
                     Riverside), Bgy. Inagawan Sub-Colony</t>
  </si>
  <si>
    <t xml:space="preserve">                     Reconstruction/Upgrading of Macarascas-Sabang Road 
                     (Road Reblocking and Slope Protection) Phase II, Various 
                     Barangays</t>
  </si>
  <si>
    <t xml:space="preserve">                     Supply and Installation of Integrated Solar Streetlights with
                     Lamp Post, Various Barangays</t>
  </si>
  <si>
    <t xml:space="preserve">                     Supply and Installation of Up Light for Balayong Trees, Bgy. 
                     Sta. Monica</t>
  </si>
  <si>
    <t xml:space="preserve">                     Supply and Installation of LED Lightings at Acacia Tunnel, 
                     Bgy. Inagawan</t>
  </si>
  <si>
    <t xml:space="preserve">                     Supply and Installation of Integrated Solar Streetlights with
                     Lamp Post at Balayong Park, Bgy. Sta. Monica</t>
  </si>
  <si>
    <t xml:space="preserve">                     Supply and Installation of Integrated Solar Streetlights with
                     Lamp Post at Tagkawayan City Beach, Bgy. Bacungan </t>
  </si>
  <si>
    <t xml:space="preserve">                     Construction of Slope Protection at City Employees Village
                     Covered Court, Bgy. Sta. Monica</t>
  </si>
  <si>
    <t xml:space="preserve">                     Construction of City Sports Office (Public Toilet and 
                     Storage), Bgy. Sta. Monica</t>
  </si>
  <si>
    <t xml:space="preserve">                     Improvement and Repair of Green City Hall Building (Main
                     Roof Replacement, Mechanical, Water System, Power 
                     Supply, Fence, Outpost and Repainting), Bgy. Sta. Monica</t>
  </si>
  <si>
    <t xml:space="preserve">                     Conversion of Octagonal Toilet to Cafe at Interactive Water
                     Park, Bgy. Sta. Monica</t>
  </si>
  <si>
    <t xml:space="preserve">                     Construction of Standard Day Care Center at Purok Sto. 
                     Niño, Bgy. Napsan</t>
  </si>
  <si>
    <t xml:space="preserve">                     Construction of Public Toilet, Bgy. Inagawan Sub-Colony</t>
  </si>
  <si>
    <t xml:space="preserve">                     Construction of Bleachers with Metal Barrier at Swimming 
                     Pool Area, Bgy. Sta. Monica</t>
  </si>
  <si>
    <t xml:space="preserve">                     Supply and Installation of Baywalk Musical Fountain 
                     (Complete Fountain Equipment, Power Supply and Civil 
                     Works), Bgy. San Isidro </t>
  </si>
  <si>
    <t>PPA: OTHER DEVELOPMENT PROJECTS</t>
  </si>
  <si>
    <t xml:space="preserve">         1.1  Maintenance and Other Operating Expenses</t>
  </si>
  <si>
    <t xml:space="preserve">                 Professional Services </t>
  </si>
  <si>
    <t xml:space="preserve">                     Updating of Drainage Master Plan for Urban Areas and 
                     Selected Barangays of Puerto Princesa (Various Barangays) </t>
  </si>
  <si>
    <t xml:space="preserve">                     Concreting of Circumferential Road from Purok Magkakaisa 
                     to Melwang River, Bgy. Lucbuan</t>
  </si>
  <si>
    <t xml:space="preserve">                     Concreting of Road Networks at Blessy Torres Subdivision, 
                     Bgy. Tiniguiban</t>
  </si>
  <si>
    <t xml:space="preserve">                     Concreting of City Employee's Village Road Networks and 
                     Drainage System, Bgy. San Jose </t>
  </si>
  <si>
    <t xml:space="preserve">                     Concreting of Manga Road at Purok Pag-asa, Bgy. Irawan</t>
  </si>
  <si>
    <t xml:space="preserve">                 Water Supply Systems</t>
  </si>
  <si>
    <t xml:space="preserve">                     Electrification of New Tagburos Village Phase II, Bgy. 
                     Tagburos</t>
  </si>
  <si>
    <t xml:space="preserve">                     Electrification of Golden Valley Resettlement Project Phase 
                     IV, Bgy. Sicsican</t>
  </si>
  <si>
    <t xml:space="preserve">                 Parks, Plazas and Monuments</t>
  </si>
  <si>
    <t xml:space="preserve">                     Improvement of Pre-Painted Metal Sheets (Learning Pod)
                     at Balayong Park, Bgy. Sta. Monica</t>
  </si>
  <si>
    <t xml:space="preserve">                     Improvement of Painting Works (Steel, Benches, Concrete
                     Walls) at Balayong Park, Bgy. Sta. Monica</t>
  </si>
  <si>
    <t xml:space="preserve">                     Improvement of Metal Structure Accessories (Rusted 
                     Railings) at Balayong Park, Bgy. Sta. Monica</t>
  </si>
  <si>
    <t xml:space="preserve">                     Construction of Drainage System at Irawan Agricultural 
                     Center (Bagsakan), Bgy. Irawan </t>
  </si>
  <si>
    <t xml:space="preserve">                     Improvement of Pressurized Laminated Wood Deck 
                     (Watch Tower and Elevated View Deck) at Balayong Park, 
                     Bgy. Sta. Monica</t>
  </si>
  <si>
    <t xml:space="preserve">                     Renovation of Public Toilets at Balayong People's 
                     Park and City Sports Complex, Bgy. Sta. Monica</t>
  </si>
  <si>
    <t xml:space="preserve">                         1 Admin. Assistant I @ 914.00/day for 22 days/mo. - 
                         241,296</t>
  </si>
  <si>
    <t xml:space="preserve">                         1 Admin. Aide IV @ 765.00/day for 22 days/mo. - 
                         201,960</t>
  </si>
  <si>
    <t xml:space="preserve">                         1 Admin. Aide III @ 720.00/day for 22 days/mo. - 
                         190,080</t>
  </si>
  <si>
    <t xml:space="preserve">                    - Strengthening Local Councils, Committees, Task Force, 
                      and Teams - 94,632.00</t>
  </si>
  <si>
    <r>
      <t xml:space="preserve">                      </t>
    </r>
    <r>
      <rPr>
        <b/>
        <i/>
        <sz val="12"/>
        <color theme="1"/>
        <rFont val="Calibri"/>
        <family val="2"/>
      </rPr>
      <t>Zipline Operations</t>
    </r>
  </si>
  <si>
    <r>
      <t xml:space="preserve">                      </t>
    </r>
    <r>
      <rPr>
        <b/>
        <i/>
        <sz val="12"/>
        <color theme="1"/>
        <rFont val="Calibri"/>
        <family val="2"/>
      </rPr>
      <t>Facility Maintenance Services</t>
    </r>
  </si>
  <si>
    <r>
      <t xml:space="preserve">                      </t>
    </r>
    <r>
      <rPr>
        <b/>
        <i/>
        <sz val="12"/>
        <color theme="1"/>
        <rFont val="Calibri"/>
        <family val="2"/>
      </rPr>
      <t>Friendship Park</t>
    </r>
  </si>
  <si>
    <r>
      <t xml:space="preserve">                      </t>
    </r>
    <r>
      <rPr>
        <b/>
        <i/>
        <sz val="12"/>
        <color theme="1"/>
        <rFont val="Calibri"/>
        <family val="2"/>
      </rPr>
      <t>Cascading Park</t>
    </r>
  </si>
  <si>
    <t xml:space="preserve">                      1 Admin. Assistant I @ 914/day for 22 days/mo. - 241,296</t>
  </si>
  <si>
    <t xml:space="preserve">                      2 Admin. Aide II @ 678.00/day for 22 days/mo. - 
                      357,984</t>
  </si>
  <si>
    <t xml:space="preserve">                      1 Admin. Aide VI @ 861/day for 22 days/mo. - 
                      227,304</t>
  </si>
  <si>
    <t xml:space="preserve">                      14 Admin. Aide II (Zipline Staff) @ 678.00/day for 
                      22 days/mo. - 2,505,888</t>
  </si>
  <si>
    <t xml:space="preserve">2026 </t>
  </si>
  <si>
    <t xml:space="preserve">                     33 Units Multi-Purpose Vehicle </t>
  </si>
  <si>
    <t xml:space="preserve">                     Operational Support to Task Force Government Center &amp; 
                     Nature's Park</t>
  </si>
  <si>
    <t xml:space="preserve">                   - Bomb Threat Awareness Seminar - 39,600</t>
  </si>
  <si>
    <t xml:space="preserve">                     1 Watchman III @ 914/day for 26 days/mo. - 285,168</t>
  </si>
  <si>
    <t xml:space="preserve">                     1 Admin. Aide I @ 639/day for 22 days/mo. - 168,696</t>
  </si>
  <si>
    <t xml:space="preserve">                    14 Watchman II @ 765/day for 26 days/mo. -3,341,520</t>
  </si>
  <si>
    <t xml:space="preserve">                   155 Watchman I @ 678/day for 26 days/mo. - 32,788,080</t>
  </si>
  <si>
    <t xml:space="preserve">                    1 Watchman III @ 914/day for 26days/mo. - 285,168</t>
  </si>
  <si>
    <t xml:space="preserve">                    3 Watchman II @ 765/day for 26days/mo. - 716,040</t>
  </si>
  <si>
    <t xml:space="preserve">                    21 Watchman I @ 678/day for 26days/mo. - 4,442,256</t>
  </si>
  <si>
    <t xml:space="preserve">                    1 Admin. Aide I @ 639/day for 26days/mo. - 199,368</t>
  </si>
  <si>
    <t xml:space="preserve">                    20 Watchman I @ 678/day for 26days/mo.                   </t>
  </si>
  <si>
    <t xml:space="preserve">                    1 Admin. Aide II @ 678/day for 22days/mo. - 178,992</t>
  </si>
  <si>
    <t xml:space="preserve">                       1 Admin. Aide II@ 678day for 22days/mo. - 178,992</t>
  </si>
  <si>
    <t xml:space="preserve">                       17 Admin. Aide I@ 639/day for 22days/mo. -2,867,832</t>
  </si>
  <si>
    <r>
      <t xml:space="preserve">                        </t>
    </r>
    <r>
      <rPr>
        <i/>
        <sz val="12"/>
        <color theme="1"/>
        <rFont val="Calibri"/>
        <family val="2"/>
      </rPr>
      <t>PPC Police Office (1,000 Personnel @ 2,000.00/mo.) - 
                       24,000,000.00</t>
    </r>
  </si>
  <si>
    <r>
      <t xml:space="preserve">                       </t>
    </r>
    <r>
      <rPr>
        <i/>
        <sz val="12"/>
        <color theme="1"/>
        <rFont val="Calibri"/>
        <family val="2"/>
      </rPr>
      <t>Palawan Cyber Response Team (5 Personnel @ 
                       2,000.00/mo.) - 120,000.00</t>
    </r>
  </si>
  <si>
    <t xml:space="preserve">                       PPC Forensic Unit (13 Personnel @ 2,000.00/mo.) -
                       312,000.00</t>
  </si>
  <si>
    <t>P/P/A 8. MICRO AND SMALL ENTERPRISE PROJECT (INTEREST-FREE LOAN FOR MARKET VENDORS) (8971-1)</t>
  </si>
  <si>
    <t>P/P/A 9. GAD WOMEN SECTOR PROGRAM</t>
  </si>
  <si>
    <r>
      <t xml:space="preserve">                    </t>
    </r>
    <r>
      <rPr>
        <sz val="12"/>
        <color theme="1"/>
        <rFont val="Calibri"/>
        <family val="2"/>
      </rPr>
      <t>1 Social Welfare Aide @ 765/day for 22 days/mo. - 
                    201,960</t>
    </r>
  </si>
  <si>
    <t>P/P/A 10.  ASSISTANCE TO BARANGAY SMALL INFRASTRUCTURE PROJECTS (8752-5)</t>
  </si>
  <si>
    <r>
      <t xml:space="preserve">                       </t>
    </r>
    <r>
      <rPr>
        <b/>
        <i/>
        <sz val="12"/>
        <color theme="1"/>
        <rFont val="Calibri"/>
        <family val="2"/>
      </rPr>
      <t>General Administration (98)</t>
    </r>
  </si>
  <si>
    <t xml:space="preserve">                       1 Admin. Assistant II @ 974/day for 26 days/mo. - 303,888</t>
  </si>
  <si>
    <t xml:space="preserve">                       11 Admin. Aide VI @ 861/day for 26 days/mo. - 2,954,952</t>
  </si>
  <si>
    <t xml:space="preserve">                       10 Admin. Aide III @ 720/day for 26 days/mo. - 2,246,400</t>
  </si>
  <si>
    <t xml:space="preserve">                       70 Admin. Aide I @ 639/day for 26 days/mo. - 13,955,760</t>
  </si>
  <si>
    <t xml:space="preserve">                       6  Admin. Aide IV @ 765/day for 26 days/mo. - 1,432,080</t>
  </si>
  <si>
    <r>
      <t xml:space="preserve">                       </t>
    </r>
    <r>
      <rPr>
        <b/>
        <i/>
        <sz val="12"/>
        <color theme="1"/>
        <rFont val="Calibri"/>
        <family val="2"/>
      </rPr>
      <t>Tourism (40)</t>
    </r>
  </si>
  <si>
    <t xml:space="preserve">                       1 Admin. Aide VI @ 861/day for 26 days/mo. - 268,632</t>
  </si>
  <si>
    <t xml:space="preserve">                       2  Admin. Aide IV @ 765/day for 26 days/mo. - 477,360</t>
  </si>
  <si>
    <t xml:space="preserve">                       8  Admin. Aide II @ 678/day for 26 days/mo. - 1,692,288</t>
  </si>
  <si>
    <t xml:space="preserve">                       28  Admin. Aide I @ 639/day for 26 days/mo. - 5,582,304</t>
  </si>
  <si>
    <r>
      <t xml:space="preserve">                       </t>
    </r>
    <r>
      <rPr>
        <b/>
        <i/>
        <sz val="12"/>
        <color theme="1"/>
        <rFont val="Calibri"/>
        <family val="2"/>
      </rPr>
      <t>Biodiversity Conservation and Protection (45)</t>
    </r>
  </si>
  <si>
    <t xml:space="preserve">                       3 Admin. Aide VI @ 861/day for 26 days/mo. - 805,896</t>
  </si>
  <si>
    <t xml:space="preserve">                       3  Admin. Aide IV @ 765/day for 26 days/mo. - 716,040</t>
  </si>
  <si>
    <t xml:space="preserve">                       2  Admin. Aide I @ 639/day for 26 days/mo. - 398,736</t>
  </si>
  <si>
    <t xml:space="preserve">                       36 Admin. Aide III @ 720/day for 26 days/mo. - 8,087,040</t>
  </si>
  <si>
    <t xml:space="preserve">                    - Insurance (183 Personnel @ 2,200.00) - 402,600.00</t>
  </si>
  <si>
    <t xml:space="preserve">                    - Quarterly Water Quality Sampling - 441,943</t>
  </si>
  <si>
    <t xml:space="preserve">                        6 Admin. Aide III @ 720/day for 26 days/mo. - 1,347,840</t>
  </si>
  <si>
    <t xml:space="preserve">                        29 Admin. Aide I @ 639/day for 26 days/mo. - 5,781,672</t>
  </si>
  <si>
    <t xml:space="preserve">                        1 Admin. Aide V @ 812/day for 26 days/mo. - 253,344.00</t>
  </si>
  <si>
    <t xml:space="preserve">                    - Accidental Insurance (36 Personnel @ 2,200.00) - 
                      79,200.00</t>
  </si>
  <si>
    <t xml:space="preserve">                    - Conduct of Multi-Sectoral Quarterly Foot Patrolling in all 
                      Green Recovery Program (GRP) Sites - 298,440</t>
  </si>
  <si>
    <t>P/P/A 48. CITY COOPERATIVE DEVELOPMENT SERVICES</t>
  </si>
  <si>
    <t xml:space="preserve">                       Business Forum (1 Local Business Forum) - 2,000,000.00</t>
  </si>
  <si>
    <r>
      <t xml:space="preserve">                        </t>
    </r>
    <r>
      <rPr>
        <i/>
        <sz val="12"/>
        <color theme="1"/>
        <rFont val="Calibri"/>
        <family val="2"/>
      </rPr>
      <t>Treasury Operations on Satellite Mini City Halls</t>
    </r>
  </si>
  <si>
    <r>
      <t xml:space="preserve">                        </t>
    </r>
    <r>
      <rPr>
        <i/>
        <sz val="12"/>
        <color theme="1"/>
        <rFont val="Calibri"/>
        <family val="2"/>
      </rPr>
      <t>Data Cleansing Project</t>
    </r>
  </si>
  <si>
    <r>
      <t xml:space="preserve">                        </t>
    </r>
    <r>
      <rPr>
        <i/>
        <sz val="12"/>
        <color theme="1"/>
        <rFont val="Calibri"/>
        <family val="2"/>
      </rPr>
      <t>Digitizing the Archives of the City Treasurer</t>
    </r>
  </si>
  <si>
    <r>
      <t xml:space="preserve">                        </t>
    </r>
    <r>
      <rPr>
        <i/>
        <sz val="12"/>
        <color theme="1"/>
        <rFont val="Calibri"/>
        <family val="2"/>
      </rPr>
      <t>Examination of Books of Accounts and Pertinent Records
                        of Businessmen</t>
    </r>
  </si>
  <si>
    <t xml:space="preserve">                     - Annotation - 111,204</t>
  </si>
  <si>
    <t xml:space="preserve">                          2 Accountant (Bank Reconciliation) @ 1,465/day for  22 days/
                          mo. - 761,800</t>
  </si>
  <si>
    <t xml:space="preserve">                          10 Admin. Aide II @ 678.00/day for 22 days/mo. - 
                          1,762,800</t>
  </si>
  <si>
    <t xml:space="preserve">                          8 Admin. Aide II @ 678.00/day for 22 days/mo. - 
                          1,410,240</t>
  </si>
  <si>
    <t xml:space="preserve">                          16 Admin. Aide II @ 678.00/day for 22 days/mo. - 
                          2,820,480</t>
  </si>
  <si>
    <t xml:space="preserve">                          3 Accountant (Fiscal Examiner I) @ 1,465.00/day for
                          22 days/mo. -1,142,700</t>
  </si>
  <si>
    <t>P/P/A 2. COMMUNITY ENVIRONMENT AND NATURAL RESOURCE OFFICE PROOF OF OWNERSHIP OF LAND, OFFICE OF THE CITY ASSESSOR DATA CLEANSING AND LAND TITLING AND OFFICE OF THE CITY TREASURER PUBLIC AUCTION SALE OF DELINQUENT REAL PROPERTIES JOINT ENDEAVOR (1101-2)</t>
  </si>
  <si>
    <t xml:space="preserve">                    - Year-End Assessment &amp; Staff Development - 10,500.00</t>
  </si>
  <si>
    <t xml:space="preserve">                        1 Medical Lab Technician III @ 1,163/day for 26 days/mo. - 362,856</t>
  </si>
  <si>
    <t xml:space="preserve">                     CHO - 30,400</t>
  </si>
  <si>
    <t xml:space="preserve">                     Satellite Clinics - 364,800</t>
  </si>
  <si>
    <t xml:space="preserve">                     City Epidemiology Surveillance Unit - 49,200</t>
  </si>
  <si>
    <t xml:space="preserve">                        5 Administrative Aide II @ 678/day for 22 days/mo. - 894,960</t>
  </si>
  <si>
    <t xml:space="preserve">                        4 Administrative Aide II (Utility Worker/Watchman) @ 678/day for 
                        26 days/mo. - 846,144</t>
  </si>
  <si>
    <t xml:space="preserve">                        1 Administrative Aide III @ 720/day for 26 days/mo. - 224,640</t>
  </si>
  <si>
    <t xml:space="preserve">                     Stakeholders' Quarterly Meeting - 50,000</t>
  </si>
  <si>
    <t xml:space="preserve">                        3 Administrative Aide I (House Parent) @ 639/day for 
                        26 days/mo. - 598,104</t>
  </si>
  <si>
    <t xml:space="preserve">                     Deliberation of Reformist Prior to Change - 78,788</t>
  </si>
  <si>
    <t>P/P/A 4. SUBSIDY TO HEALTH EMERGENCY RESPONSE MANAGEMENT AND PREPAREDNESS OPERATIONS (CDRRMF) (9991-8)</t>
  </si>
  <si>
    <t>P/P/A 4. DISASTER PREPAREDNESS CAMP COORDINATION AND MANAGEMENT (CDRRMF) (9991-5)</t>
  </si>
  <si>
    <t>P/P/A 5. DISASTER RESPONSE AND EARLY REHABILITATION AND RECOVERY (CDRRMF) (9991-6)</t>
  </si>
  <si>
    <t xml:space="preserve">                           Regular - 190,479</t>
  </si>
  <si>
    <t xml:space="preserve">                           Desludging Services - 53,580</t>
  </si>
  <si>
    <t xml:space="preserve">                           Maintenance of Parks &amp; Plazas - 77,537</t>
  </si>
  <si>
    <t xml:space="preserve">                           Special Events - 410,786</t>
  </si>
  <si>
    <t xml:space="preserve">                           By Administration Projects - 960,466</t>
  </si>
  <si>
    <t xml:space="preserve">                           Safety and Health (By Administration Projects) - 1,158,445</t>
  </si>
  <si>
    <t xml:space="preserve">                           Maintenance of Streetlights - 7,500,000</t>
  </si>
  <si>
    <t xml:space="preserve">                           Installation and Repair of Electrical System of City Government 
                           Facilities - 2,000,000</t>
  </si>
  <si>
    <t xml:space="preserve">                           Restoration of Damaged Underground Cabling/Streetlights -       
                           3,000,000</t>
  </si>
  <si>
    <t xml:space="preserve">                           Pavement Markings - 4,715,127</t>
  </si>
  <si>
    <t xml:space="preserve">                           Repair and Replacement of Water System - 67,090</t>
  </si>
  <si>
    <t xml:space="preserve">                           Materials Testing Equipment - 84,667</t>
  </si>
  <si>
    <t xml:space="preserve">                           Operation of Asphalt and Concrete Batching Plant - 3,544,441</t>
  </si>
  <si>
    <t xml:space="preserve">                     Concreting of Road from Mt. Calvary Access Road, Bgy. Irawan</t>
  </si>
  <si>
    <t xml:space="preserve">                     Other Development Projects</t>
  </si>
  <si>
    <t xml:space="preserve">                       Incentives - 17,148,000.00</t>
  </si>
  <si>
    <t>Other Property, Plant and Equipment</t>
  </si>
  <si>
    <t>SUMMARY OF THE FY 2026 NEW APPROPRIATIONS</t>
  </si>
  <si>
    <t xml:space="preserve">A. New Appropriations By Object of Expenditure and By Sector </t>
  </si>
  <si>
    <t>Object of Expenses</t>
  </si>
  <si>
    <t>General Public Services</t>
  </si>
  <si>
    <t>Social Services</t>
  </si>
  <si>
    <t>Economic Services</t>
  </si>
  <si>
    <t>Other Services</t>
  </si>
  <si>
    <t>Economic Enterprise</t>
  </si>
  <si>
    <t>Total</t>
  </si>
  <si>
    <t>A. Current Operating Expenditures</t>
  </si>
  <si>
    <t>1. Personal Services</t>
  </si>
  <si>
    <t>Salaries and Wages- Regular</t>
  </si>
  <si>
    <t>Personal Economic Relief Allowance (PERA)</t>
  </si>
  <si>
    <t>Representation Allowance (RA)</t>
  </si>
  <si>
    <t>Transportation Allowance (TA)</t>
  </si>
  <si>
    <t>Clothing/Uniform Allowance</t>
  </si>
  <si>
    <t>Subsistence Allowance</t>
  </si>
  <si>
    <t>-</t>
  </si>
  <si>
    <t>Laundry Allowance</t>
  </si>
  <si>
    <t>Honorarium (Medico Legal)</t>
  </si>
  <si>
    <t>Hazard Pay</t>
  </si>
  <si>
    <t>Longevity Pay</t>
  </si>
  <si>
    <t>Overtime Pay and Night pay</t>
  </si>
  <si>
    <t>Year End Bonus</t>
  </si>
  <si>
    <t>Cash Gift</t>
  </si>
  <si>
    <t xml:space="preserve">   Loyalty Cash Bonus</t>
  </si>
  <si>
    <t xml:space="preserve">   Mid Year Bonus</t>
  </si>
  <si>
    <t>Personnel Benefit Contributions</t>
  </si>
  <si>
    <t xml:space="preserve">   Life and Retirement Insurance Premiums</t>
  </si>
  <si>
    <t xml:space="preserve">   Pag-IBIG Contributions</t>
  </si>
  <si>
    <t xml:space="preserve">   Philhealth Contributions</t>
  </si>
  <si>
    <t xml:space="preserve">   Employees Compensation Insurance Premiums</t>
  </si>
  <si>
    <t>Other Personnel Benefits</t>
  </si>
  <si>
    <t xml:space="preserve">   Terminal Leave Benefits</t>
  </si>
  <si>
    <t xml:space="preserve">   Vacation and Sick Leave Benefits</t>
  </si>
  <si>
    <t xml:space="preserve">   Productivity Enhancement Incentives</t>
  </si>
  <si>
    <t>Provision for 3rd Tranche of Salary Increase per 
Executive Order No. 64</t>
  </si>
  <si>
    <t>Total Personal Services</t>
  </si>
  <si>
    <t>2. Maintenance and Other Operating Expenses</t>
  </si>
  <si>
    <t>Travelling Expenses- Local</t>
  </si>
  <si>
    <t>Travelling Expenses - Foreign</t>
  </si>
  <si>
    <t>Accountable Forms Expenses</t>
  </si>
  <si>
    <t>Welfare Good Expenses</t>
  </si>
  <si>
    <t>Medical, Dental and Lab. Supplies Expenses</t>
  </si>
  <si>
    <t>Semi-Expendable Furniture, Fixtures and Books Expenses</t>
  </si>
  <si>
    <t>Postage and Courier Services</t>
  </si>
  <si>
    <t>Cable, Satellite, Telegraph, and Radio Expenses</t>
  </si>
  <si>
    <t>Consultancy Services</t>
  </si>
  <si>
    <t>5-02-11-040</t>
  </si>
  <si>
    <t>Environment/Sanitary Services</t>
  </si>
  <si>
    <t>Repair &amp; Maint.- Land Improvements</t>
  </si>
  <si>
    <t>Repair &amp; Maint. - Buildings &amp; Other Structures</t>
  </si>
  <si>
    <t xml:space="preserve">Repair &amp; Maint.- Machinery &amp; Equipment </t>
  </si>
  <si>
    <t>Repair &amp; Maint.- Transportation Equipment</t>
  </si>
  <si>
    <t>Repair &amp; Maint. - Furniture &amp; Fixtures</t>
  </si>
  <si>
    <t>Repair &amp; Maint. - Other Property Plant and Eqpt.</t>
  </si>
  <si>
    <t>Subsidy to Local Government Units</t>
  </si>
  <si>
    <t>Fidelity Bond Premiums</t>
  </si>
  <si>
    <t>Printing and Binding Expenses</t>
  </si>
  <si>
    <t>Transportation &amp; Delivery Expenses</t>
  </si>
  <si>
    <t>Rent/Lease Expenses</t>
  </si>
  <si>
    <t>Membership Dues &amp; Contributions to Org.</t>
  </si>
  <si>
    <t>Donations</t>
  </si>
  <si>
    <t>Total Maintenance and Other Operating Expenses</t>
  </si>
  <si>
    <t>Total Current Operating Expenditures</t>
  </si>
  <si>
    <t>B. Financial Expenses</t>
  </si>
  <si>
    <t>C. Capital Outlay</t>
  </si>
  <si>
    <t>Other Infrastructure Assets</t>
  </si>
  <si>
    <t>Markets</t>
  </si>
  <si>
    <t>Slaughterhouses</t>
  </si>
  <si>
    <t xml:space="preserve">Other Info. and Communication Technology Equipment </t>
  </si>
  <si>
    <t xml:space="preserve">Disaster Response and Rescue Equipment  </t>
  </si>
  <si>
    <t>Military, Police and Security Equipment</t>
  </si>
  <si>
    <t xml:space="preserve">Medical Equipment </t>
  </si>
  <si>
    <t xml:space="preserve">Other Transportation Equipment  </t>
  </si>
  <si>
    <t>Other Intangible Assets</t>
  </si>
  <si>
    <t>Total Capital Outlay</t>
  </si>
  <si>
    <t>Prepared by:</t>
  </si>
  <si>
    <t>Approved:</t>
  </si>
  <si>
    <t>MARIA REGINA S. CANTILLO</t>
  </si>
  <si>
    <t>LUCILO R. BAYRON</t>
  </si>
  <si>
    <t>City Budget Officer</t>
  </si>
  <si>
    <t>City Mayor</t>
  </si>
  <si>
    <t xml:space="preserve">                                                                 Approved:</t>
  </si>
  <si>
    <t xml:space="preserve">                                     City Budget Officer                                                City Treasurer                       City Planning and Development Coordinator</t>
  </si>
  <si>
    <t xml:space="preserve">                           MARIA REGINA S. CANTILLO                            JEROME M. PADRONES                                       JOVENEE C. SAGUN</t>
  </si>
  <si>
    <t>Certified Correct:</t>
  </si>
  <si>
    <t>TOTAL</t>
  </si>
  <si>
    <t>Cash Subsidy for Solo Parents</t>
  </si>
  <si>
    <t>Drive Against Professional Squatting Syndicates</t>
  </si>
  <si>
    <t xml:space="preserve">Operational Support to BJMP </t>
  </si>
  <si>
    <t>Operational Support for PLEB</t>
  </si>
  <si>
    <t>Operational Support to Centers for CAR &amp; CICL</t>
  </si>
  <si>
    <t>Operational Support to Council Against Professional Squatting Syndicates</t>
  </si>
  <si>
    <t xml:space="preserve">Civil Security Group (CSG) </t>
  </si>
  <si>
    <t>Operational Support for PDEA</t>
  </si>
  <si>
    <t>Operational Support for Katarungang Pambarangay</t>
  </si>
  <si>
    <t>Operational Support to City PNP Station</t>
  </si>
  <si>
    <t>Operational Support for Peace and Order Council</t>
  </si>
  <si>
    <t xml:space="preserve">Drug Reformation and Community-Based Drug Rehabilitation Program </t>
  </si>
  <si>
    <t xml:space="preserve">Capacity Building Program for Response Clusters, Communities and Private Sector </t>
  </si>
  <si>
    <t xml:space="preserve">Early Warning System Enhancement Program </t>
  </si>
  <si>
    <t xml:space="preserve">Upgrading, Activation and Maintenance of EOC </t>
  </si>
  <si>
    <t>Disaster Risk Reduction Management Center</t>
  </si>
  <si>
    <t xml:space="preserve">Disaster Response and Early Rehabilitation and Recovery </t>
  </si>
  <si>
    <t xml:space="preserve">Disaster Preparedness Camp Coordination and Management </t>
  </si>
  <si>
    <t xml:space="preserve">Health Emergency Response Management and Preparedness Operations </t>
  </si>
  <si>
    <t xml:space="preserve">Risk Communication Program </t>
  </si>
  <si>
    <t xml:space="preserve">Peace and Order Programs </t>
  </si>
  <si>
    <t>4. Other Budgetary Requirements</t>
  </si>
  <si>
    <t>Local Youth Development Office - AKAPP Drug Prevention and Mental Health Awareness Training</t>
  </si>
  <si>
    <t xml:space="preserve">Operational Support for PDEA </t>
  </si>
  <si>
    <t>Public Order and Safety - Anti-Drug Abuse</t>
  </si>
  <si>
    <t>Public Order and Safety - Anti-Illegal Drugs</t>
  </si>
  <si>
    <t xml:space="preserve">PPAs to Address Illegal Drugs </t>
  </si>
  <si>
    <t>Local Youth Development Office - AKAPP HIV-AIDS Prevention and Adolescent Sexual and Reproductive Health Training</t>
  </si>
  <si>
    <t xml:space="preserve">Operation of the HIV Treatment Hub / STI/HIV/AIDS Prevention and Control Program </t>
  </si>
  <si>
    <t>PPAs to Combat HIV/AIDS</t>
  </si>
  <si>
    <t>Capability Building for Stakeholders on Basic and Intermediate Sign Language</t>
  </si>
  <si>
    <t>Tuloy Aral Walang Sagabal (TAWAG) Project</t>
  </si>
  <si>
    <t>Persons with Disability Affairs Program</t>
  </si>
  <si>
    <t xml:space="preserve">PPAs for PWDs </t>
  </si>
  <si>
    <t>Senior Citizen Assistance Program/OSCA</t>
  </si>
  <si>
    <t>PPAs for Senior Citizens</t>
  </si>
  <si>
    <t>Operational Support for Council for the Protection of Children</t>
  </si>
  <si>
    <t xml:space="preserve">Student Assistance Program </t>
  </si>
  <si>
    <t>Establishment of Child Friendly Barangays</t>
  </si>
  <si>
    <t>Unlad Kabataan Program</t>
  </si>
  <si>
    <t>Services for Minors</t>
  </si>
  <si>
    <t>Supplementary Feeding Program</t>
  </si>
  <si>
    <t>City Day Care Services Program</t>
  </si>
  <si>
    <t>Local Council for the Protection of Children</t>
  </si>
  <si>
    <t>Local Youth Development Office</t>
  </si>
  <si>
    <t>Strengthening GAD Focal System Office</t>
  </si>
  <si>
    <t xml:space="preserve">Comprehensive Household Information System (CHIS) Project (CDRRMF) </t>
  </si>
  <si>
    <t>Operation of Edward S. Hagedorn Coliseum</t>
  </si>
  <si>
    <t>Office of the City Nutritionist</t>
  </si>
  <si>
    <t>Aid to Individuals in Crisis Situation</t>
  </si>
  <si>
    <t>Health Education and Promotion Unit</t>
  </si>
  <si>
    <t>Office of the City Population Control Officer</t>
  </si>
  <si>
    <t>Program for Indigenous People</t>
  </si>
  <si>
    <t>Oplan Linis Program</t>
  </si>
  <si>
    <t>Gender and Development &amp; Values Orientation under Office of the City Human Resource Management Officer</t>
  </si>
  <si>
    <t>Risk Communication Program (CDRRMF)</t>
  </si>
  <si>
    <t>Operation of Halfway Home Drop In Center</t>
  </si>
  <si>
    <t xml:space="preserve">Subsidy to Health Emergency Response Management and Preparedness Operations (CDRRMF) </t>
  </si>
  <si>
    <t xml:space="preserve">Medical &amp; Dental Outreach Program (Tarabidan sa Kalusugan) </t>
  </si>
  <si>
    <t>Sustainable Income Generating Project Support for Fisherfolk</t>
  </si>
  <si>
    <t>Negosyo Serbisyo Caravan sa Barangay</t>
  </si>
  <si>
    <t>Services for Solo Parent</t>
  </si>
  <si>
    <t xml:space="preserve">Balayong People's Park Management </t>
  </si>
  <si>
    <t>SPES under City Public Employment Services Office</t>
  </si>
  <si>
    <t>Urban Poor Affairs Program</t>
  </si>
  <si>
    <t>Housing Development Office</t>
  </si>
  <si>
    <t xml:space="preserve">Burial Assistance for Indigent </t>
  </si>
  <si>
    <t>Solid Waste Collection and Disposal</t>
  </si>
  <si>
    <t>Gender and Development (GAD) Budget</t>
  </si>
  <si>
    <t>3. Budgetary Requirements by Attribution</t>
  </si>
  <si>
    <t>Financial Assistance to Barangays (Php 1,000.00 minimum aid)</t>
  </si>
  <si>
    <t xml:space="preserve">     Disaster Response and Early Rehabilitation and Recovery</t>
  </si>
  <si>
    <t>Thematic Area 4: Disaster Recovery and Rehabilitation</t>
  </si>
  <si>
    <t xml:space="preserve">     Disaster Preparedness Camp Coordination &amp; Management</t>
  </si>
  <si>
    <t xml:space="preserve">     Subsidy to Health Emergency Response Management and Preparedness Operations</t>
  </si>
  <si>
    <t>Thematic Area 3: Disaster Response</t>
  </si>
  <si>
    <t xml:space="preserve">     Disaster Risk Reduction Management Center</t>
  </si>
  <si>
    <t xml:space="preserve">     Comprehensive Household Information System (CHIS) Project</t>
  </si>
  <si>
    <t xml:space="preserve">     Capacity Building Program for Response Clusters, Communities and Private Sector </t>
  </si>
  <si>
    <t xml:space="preserve">     Early Warning System Enhancement Program </t>
  </si>
  <si>
    <t xml:space="preserve">     Upgrading, Activation and Maintenance of EOC</t>
  </si>
  <si>
    <t>Thematic Area 2: Disaster Preparedness</t>
  </si>
  <si>
    <t xml:space="preserve">     Risk Communication Program</t>
  </si>
  <si>
    <t xml:space="preserve">Thematic Area 1: Disaster Prevention and Mitigation </t>
  </si>
  <si>
    <t>2.2.2 Disaster Prevention &amp; Mitigation, Preparedness, Response and Recovery and Rehabilitation</t>
  </si>
  <si>
    <t>2.2.1 Quick Response Fund (30%)</t>
  </si>
  <si>
    <t>5% Local Disaster Risk Reduction and Management Fund (LDRRMF)</t>
  </si>
  <si>
    <t>20% of NTA for Development Fund</t>
  </si>
  <si>
    <t>2. Budgetary Requirements</t>
  </si>
  <si>
    <t>Retirement and Life Insurance Premiums</t>
  </si>
  <si>
    <t>Pag-IBIG Contributions</t>
  </si>
  <si>
    <t>PhilHealth Contributions</t>
  </si>
  <si>
    <t>Employees Compensation Insurance Premiums</t>
  </si>
  <si>
    <t>Debt Service &amp; Other Financial Charges</t>
  </si>
  <si>
    <t>Terminal Leave Benefits</t>
  </si>
  <si>
    <t>Retirement Gratuity</t>
  </si>
  <si>
    <t>1. Statutory and Contractual Obligation</t>
  </si>
  <si>
    <t>Amounts</t>
  </si>
  <si>
    <t>Description</t>
  </si>
  <si>
    <t>Summary of Statement of All Statutory and Contractual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</si>
</sst>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00_-;\-* #,##0.00_-;_-* &quot;-&quot;??_-;_-@"/>
    <numFmt numFmtId="166" formatCode="d/m/yyyy"/>
    <numFmt numFmtId="167" formatCode="#,##0.00;\(#,##0.00\)"/>
    <numFmt numFmtId="168" formatCode="_(* #,##0.000_);_(* \(#,##0.000\);_(* &quot;-&quot;??.0_);_(@_)"/>
    <numFmt numFmtId="169" formatCode="_(* #,##0_);_(* \(#,##0\);_(* &quot;-&quot;??_);_(@_)"/>
    <numFmt numFmtId="170" formatCode="_-* #,##0_-;\-* #,##0_-;_-* &quot;-&quot;??_-;_-@"/>
    <numFmt numFmtId="171" formatCode="#,##0;\(#,##0\)"/>
  </numFmts>
  <fonts count="58"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sz val="11"/>
      <color theme="1"/>
      <name val="Calibri"/>
      <family val="2"/>
    </font>
    <font>
      <b/>
      <sz val="12"/>
      <color theme="1"/>
      <name val="Calibri"/>
      <family val="2"/>
    </font>
    <font>
      <sz val="12"/>
      <color theme="1"/>
      <name val="Calibri"/>
      <family val="2"/>
    </font>
    <font>
      <sz val="11"/>
      <name val="Calibri"/>
      <family val="2"/>
    </font>
    <font>
      <sz val="11"/>
      <color theme="1"/>
      <name val="Calibri"/>
      <family val="2"/>
      <scheme val="minor"/>
    </font>
    <font>
      <b/>
      <sz val="12"/>
      <color rgb="FFFF0000"/>
      <name val="Calibri"/>
      <family val="2"/>
    </font>
    <font>
      <b/>
      <sz val="12"/>
      <color rgb="FF000000"/>
      <name val="Calibri"/>
      <family val="2"/>
    </font>
    <font>
      <i/>
      <sz val="11"/>
      <color theme="1"/>
      <name val="Calibri"/>
      <family val="2"/>
    </font>
    <font>
      <i/>
      <sz val="11"/>
      <color theme="1"/>
      <name val="Calibri"/>
      <family val="2"/>
    </font>
    <font>
      <i/>
      <sz val="12"/>
      <color theme="1"/>
      <name val="Calibri"/>
      <family val="2"/>
    </font>
    <font>
      <b/>
      <u/>
      <sz val="12"/>
      <color theme="1"/>
      <name val="Calibri"/>
      <family val="2"/>
    </font>
    <font>
      <b/>
      <u/>
      <sz val="12"/>
      <color theme="1"/>
      <name val="Calibri"/>
      <family val="2"/>
    </font>
    <font>
      <sz val="12"/>
      <color rgb="FF000000"/>
      <name val="Calibri"/>
      <family val="2"/>
    </font>
    <font>
      <sz val="11"/>
      <color rgb="FFFF0000"/>
      <name val="Calibri"/>
      <family val="2"/>
    </font>
    <font>
      <sz val="12"/>
      <color rgb="FF434343"/>
      <name val="Calibri"/>
      <family val="2"/>
    </font>
    <font>
      <b/>
      <sz val="11"/>
      <color rgb="FFFF0000"/>
      <name val="Calibri"/>
      <family val="2"/>
    </font>
    <font>
      <sz val="12"/>
      <color rgb="FFFF0000"/>
      <name val="Calibri"/>
      <family val="2"/>
    </font>
    <font>
      <strike/>
      <sz val="12"/>
      <color rgb="FFFF0000"/>
      <name val="Calibri"/>
      <family val="2"/>
    </font>
    <font>
      <b/>
      <strike/>
      <sz val="12"/>
      <color rgb="FFFF0000"/>
      <name val="Calibri"/>
      <family val="2"/>
    </font>
    <font>
      <sz val="11"/>
      <color rgb="FFFF0000"/>
      <name val="Calibri"/>
      <family val="2"/>
      <scheme val="minor"/>
    </font>
    <font>
      <b/>
      <sz val="11"/>
      <color theme="1"/>
      <name val="Calibri"/>
      <family val="2"/>
      <scheme val="minor"/>
    </font>
    <font>
      <u/>
      <sz val="11"/>
      <color theme="1"/>
      <name val="Calibri"/>
      <family val="2"/>
    </font>
    <font>
      <b/>
      <i/>
      <sz val="12"/>
      <color theme="1"/>
      <name val="Calibri"/>
      <family val="2"/>
    </font>
    <font>
      <sz val="12"/>
      <color theme="1"/>
      <name val="Calibri"/>
      <family val="2"/>
      <scheme val="minor"/>
    </font>
    <font>
      <sz val="10"/>
      <color rgb="FF00B050"/>
      <name val="Calibri"/>
      <family val="2"/>
    </font>
    <font>
      <b/>
      <u/>
      <sz val="12"/>
      <color theme="1"/>
      <name val="Calibri"/>
      <family val="2"/>
    </font>
    <font>
      <i/>
      <sz val="12"/>
      <color rgb="FF000000"/>
      <name val="Calibri"/>
      <family val="2"/>
    </font>
    <font>
      <b/>
      <sz val="12"/>
      <color theme="4"/>
      <name val="Calibri"/>
      <family val="2"/>
    </font>
    <font>
      <b/>
      <sz val="11"/>
      <color rgb="FF000000"/>
      <name val="Calibri"/>
      <family val="2"/>
    </font>
    <font>
      <sz val="11"/>
      <color rgb="FF00B0F0"/>
      <name val="Calibri"/>
      <family val="2"/>
    </font>
    <font>
      <sz val="12"/>
      <color rgb="FF00B0F0"/>
      <name val="Calibri"/>
      <family val="2"/>
    </font>
    <font>
      <b/>
      <i/>
      <sz val="10"/>
      <color theme="1"/>
      <name val="Calibri"/>
      <family val="2"/>
    </font>
    <font>
      <sz val="11"/>
      <color rgb="FF000000"/>
      <name val="Calibri"/>
      <family val="2"/>
      <scheme val="minor"/>
    </font>
    <font>
      <sz val="11"/>
      <color rgb="FF000000"/>
      <name val="Calibri"/>
      <family val="2"/>
    </font>
    <font>
      <b/>
      <sz val="11"/>
      <color rgb="FFFF0000"/>
      <name val="Calibri"/>
      <family val="2"/>
      <scheme val="minor"/>
    </font>
    <font>
      <sz val="11"/>
      <color theme="1"/>
      <name val="Calibri"/>
      <family val="2"/>
      <scheme val="minor"/>
    </font>
    <font>
      <b/>
      <sz val="12"/>
      <name val="Calibri"/>
      <family val="2"/>
    </font>
    <font>
      <sz val="11"/>
      <color theme="1"/>
      <name val="Calibri"/>
      <scheme val="minor"/>
    </font>
    <font>
      <sz val="10"/>
      <color theme="1"/>
      <name val="Calibri"/>
      <family val="2"/>
    </font>
    <font>
      <sz val="14"/>
      <color theme="1"/>
      <name val="Calibri"/>
      <family val="2"/>
    </font>
    <font>
      <sz val="8"/>
      <color theme="1"/>
      <name val="Calibri"/>
      <family val="2"/>
    </font>
    <font>
      <b/>
      <sz val="14"/>
      <color theme="1"/>
      <name val="Calibri"/>
      <family val="2"/>
    </font>
    <font>
      <b/>
      <sz val="14"/>
      <name val="Calibri"/>
      <family val="2"/>
    </font>
    <font>
      <b/>
      <sz val="14"/>
      <color theme="0"/>
      <name val="Calibri"/>
      <family val="2"/>
    </font>
    <font>
      <sz val="14"/>
      <name val="Calibri"/>
      <family val="2"/>
    </font>
    <font>
      <sz val="11"/>
      <name val="Calibri"/>
      <family val="2"/>
      <scheme val="minor"/>
    </font>
    <font>
      <b/>
      <sz val="12"/>
      <color theme="1"/>
      <name val="Calibri"/>
      <family val="2"/>
      <scheme val="minor"/>
    </font>
    <font>
      <sz val="12"/>
      <color theme="0"/>
      <name val="Calibri"/>
      <family val="2"/>
      <scheme val="minor"/>
    </font>
    <font>
      <b/>
      <sz val="12"/>
      <color theme="0"/>
      <name val="Calibri"/>
      <family val="2"/>
      <scheme val="minor"/>
    </font>
    <font>
      <b/>
      <sz val="12"/>
      <name val="Calibri"/>
      <family val="2"/>
      <scheme val="minor"/>
    </font>
    <font>
      <sz val="12"/>
      <color rgb="FFFF0000"/>
      <name val="Calibri"/>
      <family val="2"/>
      <scheme val="minor"/>
    </font>
    <font>
      <sz val="12"/>
      <name val="Calibri"/>
      <family val="2"/>
      <scheme val="minor"/>
    </font>
    <font>
      <b/>
      <sz val="14"/>
      <color theme="1"/>
      <name val="Calibri"/>
      <family val="2"/>
      <scheme val="minor"/>
    </font>
  </fonts>
  <fills count="11">
    <fill>
      <patternFill patternType="none"/>
    </fill>
    <fill>
      <patternFill patternType="gray125"/>
    </fill>
    <fill>
      <patternFill patternType="solid">
        <fgColor rgb="FFD8D8D8"/>
        <bgColor rgb="FFD8D8D8"/>
      </patternFill>
    </fill>
    <fill>
      <patternFill patternType="solid">
        <fgColor rgb="FF00FF00"/>
        <bgColor rgb="FF00FF00"/>
      </patternFill>
    </fill>
    <fill>
      <patternFill patternType="solid">
        <fgColor rgb="FFFFFFFF"/>
        <bgColor rgb="FFFFFFFF"/>
      </patternFill>
    </fill>
    <fill>
      <patternFill patternType="solid">
        <fgColor rgb="FFFFFF00"/>
        <bgColor rgb="FFFFFF00"/>
      </patternFill>
    </fill>
    <fill>
      <patternFill patternType="solid">
        <fgColor theme="0"/>
        <bgColor theme="0"/>
      </patternFill>
    </fill>
    <fill>
      <patternFill patternType="solid">
        <fgColor rgb="FF00FFFF"/>
        <bgColor rgb="FF00FFFF"/>
      </patternFill>
    </fill>
    <fill>
      <patternFill patternType="solid">
        <fgColor rgb="FFFFFF00"/>
        <bgColor indexed="64"/>
      </patternFill>
    </fill>
    <fill>
      <patternFill patternType="solid">
        <fgColor rgb="FFBFBFBF"/>
        <bgColor rgb="FFBFBFBF"/>
      </patternFill>
    </fill>
    <fill>
      <patternFill patternType="solid">
        <fgColor theme="0" tint="-0.249977111117893"/>
        <bgColor indexed="64"/>
      </patternFill>
    </fill>
  </fills>
  <borders count="9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style="thin">
        <color rgb="FF000000"/>
      </bottom>
      <diagonal/>
    </border>
    <border>
      <left/>
      <right/>
      <top/>
      <bottom/>
      <diagonal/>
    </border>
    <border>
      <left/>
      <right style="thin">
        <color rgb="FF000000"/>
      </right>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999999"/>
      </left>
      <right style="thin">
        <color rgb="FF999999"/>
      </right>
      <top/>
      <bottom/>
      <diagonal/>
    </border>
    <border>
      <left style="thin">
        <color rgb="FF999999"/>
      </left>
      <right style="thin">
        <color rgb="FF999999"/>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right style="thin">
        <color indexed="64"/>
      </right>
      <top/>
      <bottom/>
      <diagonal/>
    </border>
    <border>
      <left style="thin">
        <color rgb="FF000000"/>
      </left>
      <right style="thin">
        <color indexed="64"/>
      </right>
      <top/>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rgb="FF000000"/>
      </left>
      <right style="thin">
        <color rgb="FF000000"/>
      </right>
      <top/>
      <bottom style="thin">
        <color auto="1"/>
      </bottom>
      <diagonal/>
    </border>
    <border>
      <left style="thin">
        <color rgb="FF000000"/>
      </left>
      <right/>
      <top/>
      <bottom style="thin">
        <color auto="1"/>
      </bottom>
      <diagonal/>
    </border>
    <border>
      <left style="thin">
        <color rgb="FF000000"/>
      </left>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right style="thin">
        <color rgb="FF000000"/>
      </right>
      <top style="thin">
        <color rgb="FF000000"/>
      </top>
      <bottom style="thin">
        <color auto="1"/>
      </bottom>
      <diagonal/>
    </border>
    <border>
      <left style="thin">
        <color indexed="64"/>
      </left>
      <right style="thin">
        <color rgb="FF000000"/>
      </right>
      <top style="thin">
        <color rgb="FF000000"/>
      </top>
      <bottom style="thin">
        <color auto="1"/>
      </bottom>
      <diagonal/>
    </border>
    <border>
      <left/>
      <right/>
      <top style="thin">
        <color auto="1"/>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auto="1"/>
      </right>
      <top style="thin">
        <color rgb="FF000000"/>
      </top>
      <bottom style="thin">
        <color rgb="FF000000"/>
      </bottom>
      <diagonal/>
    </border>
    <border>
      <left style="thin">
        <color rgb="FF000000"/>
      </left>
      <right/>
      <top style="thin">
        <color indexed="64"/>
      </top>
      <bottom/>
      <diagonal/>
    </border>
    <border>
      <left style="thin">
        <color indexed="64"/>
      </left>
      <right style="thin">
        <color indexed="64"/>
      </right>
      <top/>
      <bottom style="thin">
        <color rgb="FF000000"/>
      </bottom>
      <diagonal/>
    </border>
    <border>
      <left style="thin">
        <color theme="1"/>
      </left>
      <right style="thin">
        <color theme="1"/>
      </right>
      <top style="thin">
        <color theme="1"/>
      </top>
      <bottom style="thin">
        <color theme="1"/>
      </bottom>
      <diagonal/>
    </border>
    <border>
      <left style="thin">
        <color auto="1"/>
      </left>
      <right style="thin">
        <color rgb="FF000000"/>
      </right>
      <top style="thin">
        <color auto="1"/>
      </top>
      <bottom/>
      <diagonal/>
    </border>
    <border>
      <left style="thin">
        <color auto="1"/>
      </left>
      <right style="thin">
        <color auto="1"/>
      </right>
      <top/>
      <bottom style="thin">
        <color theme="1"/>
      </bottom>
      <diagonal/>
    </border>
    <border>
      <left style="thin">
        <color auto="1"/>
      </left>
      <right style="thin">
        <color rgb="FF000000"/>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rgb="FF000000"/>
      </top>
      <bottom/>
      <diagonal/>
    </border>
    <border>
      <left style="thin">
        <color theme="1"/>
      </left>
      <right style="thin">
        <color theme="1"/>
      </right>
      <top/>
      <bottom style="thin">
        <color theme="1"/>
      </bottom>
      <diagonal/>
    </border>
    <border>
      <left style="thin">
        <color indexed="64"/>
      </left>
      <right/>
      <top style="thin">
        <color rgb="FF000000"/>
      </top>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6">
    <xf numFmtId="0" fontId="0" fillId="0" borderId="0"/>
    <xf numFmtId="164" fontId="40" fillId="0" borderId="0" applyFont="0" applyFill="0" applyBorder="0" applyAlignment="0" applyProtection="0"/>
    <xf numFmtId="0" fontId="42" fillId="0" borderId="34"/>
    <xf numFmtId="164" fontId="2" fillId="0" borderId="34" applyFont="0" applyFill="0" applyBorder="0" applyAlignment="0" applyProtection="0"/>
    <xf numFmtId="0" fontId="1" fillId="0" borderId="34"/>
    <xf numFmtId="164" fontId="1" fillId="0" borderId="34" applyFont="0" applyFill="0" applyBorder="0" applyAlignment="0" applyProtection="0"/>
  </cellStyleXfs>
  <cellXfs count="958">
    <xf numFmtId="0" fontId="0" fillId="0" borderId="0" xfId="0"/>
    <xf numFmtId="164" fontId="3" fillId="0" borderId="1" xfId="0" applyNumberFormat="1" applyFont="1" applyBorder="1" applyAlignment="1">
      <alignment horizontal="center"/>
    </xf>
    <xf numFmtId="0" fontId="3" fillId="0" borderId="1" xfId="0" applyFont="1" applyBorder="1" applyAlignment="1">
      <alignment horizontal="center"/>
    </xf>
    <xf numFmtId="164" fontId="4" fillId="0" borderId="1" xfId="0" applyNumberFormat="1" applyFont="1" applyBorder="1"/>
    <xf numFmtId="0" fontId="4" fillId="0" borderId="1" xfId="0" quotePrefix="1" applyFont="1" applyBorder="1" applyAlignment="1">
      <alignment horizontal="center"/>
    </xf>
    <xf numFmtId="0" fontId="5" fillId="0" borderId="0" xfId="0" quotePrefix="1" applyFont="1"/>
    <xf numFmtId="0" fontId="4" fillId="0" borderId="1" xfId="0" applyFont="1" applyBorder="1" applyAlignment="1">
      <alignment horizontal="center"/>
    </xf>
    <xf numFmtId="164" fontId="4" fillId="0" borderId="0" xfId="0" applyNumberFormat="1" applyFont="1"/>
    <xf numFmtId="0" fontId="4" fillId="0" borderId="0" xfId="0" applyFont="1" applyAlignment="1">
      <alignment horizontal="center"/>
    </xf>
    <xf numFmtId="0" fontId="6" fillId="0" borderId="2" xfId="0" applyFont="1" applyBorder="1"/>
    <xf numFmtId="0" fontId="7" fillId="0" borderId="3" xfId="0" applyFont="1" applyBorder="1"/>
    <xf numFmtId="0" fontId="7" fillId="0" borderId="3" xfId="0" applyFont="1" applyBorder="1" applyAlignment="1">
      <alignment horizontal="center"/>
    </xf>
    <xf numFmtId="164" fontId="7" fillId="0" borderId="3" xfId="0" applyNumberFormat="1" applyFont="1" applyBorder="1"/>
    <xf numFmtId="0" fontId="6" fillId="0" borderId="4" xfId="0" applyFont="1" applyBorder="1"/>
    <xf numFmtId="164" fontId="7" fillId="0" borderId="0" xfId="0" applyNumberFormat="1" applyFont="1"/>
    <xf numFmtId="0" fontId="7" fillId="0" borderId="0" xfId="0" applyFont="1"/>
    <xf numFmtId="4" fontId="7" fillId="0" borderId="0" xfId="0" applyNumberFormat="1" applyFont="1"/>
    <xf numFmtId="0" fontId="6" fillId="0" borderId="5" xfId="0" applyFont="1" applyBorder="1"/>
    <xf numFmtId="0" fontId="7" fillId="0" borderId="0" xfId="0" applyFont="1" applyAlignment="1">
      <alignment horizontal="center"/>
    </xf>
    <xf numFmtId="0" fontId="6" fillId="0" borderId="6" xfId="0" applyFont="1" applyBorder="1"/>
    <xf numFmtId="0" fontId="6" fillId="0" borderId="5" xfId="0" applyFont="1" applyBorder="1" applyAlignment="1">
      <alignment horizontal="center"/>
    </xf>
    <xf numFmtId="0" fontId="7" fillId="0" borderId="5" xfId="0" applyFont="1" applyBorder="1" applyAlignment="1">
      <alignment horizontal="center"/>
    </xf>
    <xf numFmtId="164" fontId="7" fillId="0" borderId="0" xfId="0" applyNumberFormat="1" applyFont="1" applyAlignment="1">
      <alignment horizontal="center"/>
    </xf>
    <xf numFmtId="0" fontId="7" fillId="0" borderId="6" xfId="0" applyFont="1" applyBorder="1" applyAlignment="1">
      <alignment horizontal="center"/>
    </xf>
    <xf numFmtId="0" fontId="6" fillId="0" borderId="0" xfId="0" applyFont="1"/>
    <xf numFmtId="0" fontId="6" fillId="0" borderId="0" xfId="0" applyFont="1" applyAlignment="1">
      <alignment horizontal="center"/>
    </xf>
    <xf numFmtId="164" fontId="6" fillId="0" borderId="0" xfId="0" applyNumberFormat="1" applyFont="1"/>
    <xf numFmtId="0" fontId="6" fillId="0" borderId="7" xfId="0" applyFont="1" applyBorder="1" applyAlignment="1">
      <alignment horizontal="center"/>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5" xfId="0" applyFont="1" applyFill="1" applyBorder="1" applyAlignment="1">
      <alignment horizontal="center"/>
    </xf>
    <xf numFmtId="0" fontId="6" fillId="2" borderId="26" xfId="0" applyFont="1" applyFill="1" applyBorder="1" applyAlignment="1">
      <alignment horizontal="center"/>
    </xf>
    <xf numFmtId="0" fontId="6" fillId="2" borderId="27" xfId="0" applyFont="1" applyFill="1" applyBorder="1" applyAlignment="1">
      <alignment horizontal="center"/>
    </xf>
    <xf numFmtId="0" fontId="6" fillId="2" borderId="27" xfId="0" applyFont="1" applyFill="1" applyBorder="1" applyAlignment="1">
      <alignment horizontal="center" vertical="center" wrapText="1"/>
    </xf>
    <xf numFmtId="0" fontId="6" fillId="0" borderId="10" xfId="0" applyFont="1" applyBorder="1"/>
    <xf numFmtId="0" fontId="6" fillId="0" borderId="10" xfId="0" applyFont="1" applyBorder="1" applyAlignment="1">
      <alignment horizontal="center"/>
    </xf>
    <xf numFmtId="164" fontId="6" fillId="0" borderId="4" xfId="0" applyNumberFormat="1" applyFont="1" applyBorder="1"/>
    <xf numFmtId="4" fontId="9" fillId="0" borderId="0" xfId="0" applyNumberFormat="1" applyFont="1"/>
    <xf numFmtId="0" fontId="6" fillId="0" borderId="15" xfId="0" applyFont="1" applyBorder="1" applyAlignment="1">
      <alignment horizontal="center"/>
    </xf>
    <xf numFmtId="0" fontId="6" fillId="0" borderId="15" xfId="0" applyFont="1" applyBorder="1"/>
    <xf numFmtId="164" fontId="6" fillId="0" borderId="15" xfId="0" applyNumberFormat="1" applyFont="1" applyBorder="1"/>
    <xf numFmtId="0" fontId="7" fillId="0" borderId="5" xfId="0" applyFont="1" applyBorder="1"/>
    <xf numFmtId="164" fontId="6" fillId="0" borderId="6" xfId="0" applyNumberFormat="1" applyFont="1" applyBorder="1"/>
    <xf numFmtId="164" fontId="10" fillId="0" borderId="15" xfId="0" applyNumberFormat="1" applyFont="1" applyBorder="1"/>
    <xf numFmtId="165" fontId="6" fillId="0" borderId="15" xfId="0" applyNumberFormat="1" applyFont="1" applyBorder="1"/>
    <xf numFmtId="0" fontId="7" fillId="0" borderId="15" xfId="0" applyFont="1" applyBorder="1"/>
    <xf numFmtId="0" fontId="6" fillId="0" borderId="6" xfId="0" applyFont="1" applyBorder="1" applyAlignment="1">
      <alignment horizontal="center"/>
    </xf>
    <xf numFmtId="0" fontId="6" fillId="0" borderId="7" xfId="0" applyFont="1" applyBorder="1"/>
    <xf numFmtId="0" fontId="6" fillId="0" borderId="24" xfId="0" applyFont="1" applyBorder="1" applyAlignment="1">
      <alignment horizontal="center"/>
    </xf>
    <xf numFmtId="164" fontId="6" fillId="0" borderId="9" xfId="0" applyNumberFormat="1" applyFont="1" applyBorder="1"/>
    <xf numFmtId="164" fontId="6" fillId="0" borderId="24" xfId="0" applyNumberFormat="1" applyFont="1" applyBorder="1"/>
    <xf numFmtId="164" fontId="6" fillId="0" borderId="1" xfId="0" applyNumberFormat="1" applyFont="1" applyBorder="1"/>
    <xf numFmtId="164" fontId="6" fillId="0" borderId="10" xfId="0" applyNumberFormat="1" applyFont="1" applyBorder="1"/>
    <xf numFmtId="164" fontId="6" fillId="0" borderId="5" xfId="0" applyNumberFormat="1" applyFont="1" applyBorder="1"/>
    <xf numFmtId="0" fontId="9" fillId="0" borderId="0" xfId="0" applyFont="1"/>
    <xf numFmtId="164" fontId="6" fillId="0" borderId="5" xfId="0" applyNumberFormat="1" applyFont="1" applyBorder="1" applyAlignment="1">
      <alignment horizontal="right"/>
    </xf>
    <xf numFmtId="164" fontId="10" fillId="0" borderId="5" xfId="0" applyNumberFormat="1" applyFont="1" applyBorder="1"/>
    <xf numFmtId="4" fontId="4" fillId="0" borderId="0" xfId="0" applyNumberFormat="1" applyFont="1"/>
    <xf numFmtId="164" fontId="6" fillId="0" borderId="6" xfId="0" applyNumberFormat="1" applyFont="1" applyBorder="1" applyAlignment="1">
      <alignment horizontal="center"/>
    </xf>
    <xf numFmtId="164" fontId="6" fillId="0" borderId="6" xfId="0" applyNumberFormat="1" applyFont="1" applyBorder="1" applyAlignment="1">
      <alignment horizontal="right"/>
    </xf>
    <xf numFmtId="0" fontId="10" fillId="0" borderId="5" xfId="0" applyFont="1" applyBorder="1"/>
    <xf numFmtId="4" fontId="6" fillId="0" borderId="15" xfId="0" applyNumberFormat="1" applyFont="1" applyBorder="1"/>
    <xf numFmtId="164" fontId="6" fillId="0" borderId="7" xfId="0" applyNumberFormat="1" applyFont="1" applyBorder="1"/>
    <xf numFmtId="164" fontId="11" fillId="0" borderId="15" xfId="0" applyNumberFormat="1" applyFont="1" applyBorder="1"/>
    <xf numFmtId="0" fontId="12" fillId="0" borderId="0" xfId="0" applyFont="1"/>
    <xf numFmtId="0" fontId="7" fillId="0" borderId="15" xfId="0" applyFont="1" applyBorder="1" applyAlignment="1">
      <alignment wrapText="1"/>
    </xf>
    <xf numFmtId="0" fontId="6" fillId="0" borderId="6" xfId="0" applyFont="1" applyBorder="1" applyAlignment="1">
      <alignment horizontal="center" wrapText="1"/>
    </xf>
    <xf numFmtId="164" fontId="6" fillId="0" borderId="6" xfId="0" applyNumberFormat="1" applyFont="1" applyBorder="1" applyAlignment="1">
      <alignment wrapText="1"/>
    </xf>
    <xf numFmtId="0" fontId="13" fillId="0" borderId="0" xfId="0" applyFont="1" applyAlignment="1">
      <alignment wrapText="1"/>
    </xf>
    <xf numFmtId="0" fontId="4" fillId="0" borderId="0" xfId="0" applyFont="1" applyAlignment="1">
      <alignment wrapText="1"/>
    </xf>
    <xf numFmtId="4" fontId="4" fillId="0" borderId="0" xfId="0" applyNumberFormat="1" applyFont="1" applyAlignment="1">
      <alignment wrapText="1"/>
    </xf>
    <xf numFmtId="0" fontId="7" fillId="0" borderId="15" xfId="0" applyFont="1" applyBorder="1" applyAlignment="1">
      <alignment horizontal="left"/>
    </xf>
    <xf numFmtId="164" fontId="11" fillId="0" borderId="0" xfId="0" applyNumberFormat="1" applyFont="1"/>
    <xf numFmtId="164" fontId="11" fillId="0" borderId="6" xfId="0" applyNumberFormat="1" applyFont="1" applyBorder="1"/>
    <xf numFmtId="164" fontId="6" fillId="0" borderId="8" xfId="0" applyNumberFormat="1" applyFont="1" applyBorder="1"/>
    <xf numFmtId="0" fontId="14" fillId="0" borderId="5" xfId="0" applyFont="1" applyBorder="1"/>
    <xf numFmtId="164" fontId="6" fillId="0" borderId="28" xfId="0" applyNumberFormat="1" applyFont="1" applyBorder="1"/>
    <xf numFmtId="166" fontId="6" fillId="0" borderId="15" xfId="0" applyNumberFormat="1" applyFont="1" applyBorder="1" applyAlignment="1">
      <alignment horizontal="center"/>
    </xf>
    <xf numFmtId="164" fontId="6" fillId="0" borderId="3" xfId="0" applyNumberFormat="1" applyFont="1" applyBorder="1"/>
    <xf numFmtId="166" fontId="6" fillId="0" borderId="0" xfId="0" applyNumberFormat="1" applyFont="1" applyAlignment="1">
      <alignment horizontal="center"/>
    </xf>
    <xf numFmtId="166" fontId="6" fillId="0" borderId="5" xfId="0" applyNumberFormat="1" applyFont="1" applyBorder="1" applyAlignment="1">
      <alignment horizontal="center"/>
    </xf>
    <xf numFmtId="164" fontId="6" fillId="0" borderId="2" xfId="0" applyNumberFormat="1" applyFont="1" applyBorder="1" applyAlignment="1">
      <alignment horizontal="center"/>
    </xf>
    <xf numFmtId="166" fontId="6" fillId="0" borderId="10" xfId="0" applyNumberFormat="1" applyFont="1" applyBorder="1" applyAlignment="1">
      <alignment horizontal="center"/>
    </xf>
    <xf numFmtId="164" fontId="6" fillId="0" borderId="5" xfId="0" applyNumberFormat="1" applyFont="1" applyBorder="1" applyAlignment="1">
      <alignment horizontal="center"/>
    </xf>
    <xf numFmtId="164" fontId="6" fillId="0" borderId="0" xfId="0" applyNumberFormat="1" applyFont="1" applyAlignment="1">
      <alignment horizontal="center"/>
    </xf>
    <xf numFmtId="0" fontId="6" fillId="0" borderId="15" xfId="0" applyFont="1" applyBorder="1" applyAlignment="1">
      <alignment wrapText="1"/>
    </xf>
    <xf numFmtId="167" fontId="6" fillId="0" borderId="15" xfId="0" applyNumberFormat="1" applyFont="1" applyBorder="1" applyAlignment="1">
      <alignment horizontal="center"/>
    </xf>
    <xf numFmtId="0" fontId="7" fillId="0" borderId="15" xfId="0" applyFont="1" applyBorder="1" applyAlignment="1">
      <alignment horizontal="left" wrapText="1"/>
    </xf>
    <xf numFmtId="164" fontId="6" fillId="0" borderId="15" xfId="0" applyNumberFormat="1" applyFont="1" applyBorder="1" applyAlignment="1">
      <alignment horizontal="center"/>
    </xf>
    <xf numFmtId="167" fontId="6" fillId="0" borderId="0" xfId="0" applyNumberFormat="1" applyFont="1" applyAlignment="1">
      <alignment horizontal="center"/>
    </xf>
    <xf numFmtId="167" fontId="6" fillId="0" borderId="15" xfId="0" applyNumberFormat="1" applyFont="1" applyBorder="1"/>
    <xf numFmtId="0" fontId="7" fillId="0" borderId="15" xfId="0" applyFont="1" applyBorder="1" applyAlignment="1">
      <alignment horizontal="center"/>
    </xf>
    <xf numFmtId="167" fontId="6" fillId="0" borderId="0" xfId="0" applyNumberFormat="1" applyFont="1"/>
    <xf numFmtId="0" fontId="7" fillId="0" borderId="5" xfId="0" applyFont="1" applyBorder="1" applyAlignment="1">
      <alignment horizontal="left"/>
    </xf>
    <xf numFmtId="164" fontId="6" fillId="0" borderId="29" xfId="0" applyNumberFormat="1" applyFont="1" applyBorder="1"/>
    <xf numFmtId="0" fontId="6" fillId="0" borderId="0" xfId="0" applyFont="1" applyAlignment="1">
      <alignment horizontal="left"/>
    </xf>
    <xf numFmtId="4" fontId="6" fillId="0" borderId="0" xfId="0" applyNumberFormat="1" applyFont="1"/>
    <xf numFmtId="0" fontId="15" fillId="0" borderId="0" xfId="0" applyFont="1"/>
    <xf numFmtId="0" fontId="16" fillId="0" borderId="0" xfId="0" applyFont="1" applyAlignment="1">
      <alignment horizontal="left"/>
    </xf>
    <xf numFmtId="0" fontId="7" fillId="0" borderId="0" xfId="0" applyFont="1" applyAlignment="1">
      <alignment wrapText="1"/>
    </xf>
    <xf numFmtId="0" fontId="7" fillId="0" borderId="0" xfId="0" applyFont="1" applyAlignment="1">
      <alignment horizontal="left"/>
    </xf>
    <xf numFmtId="0" fontId="6" fillId="0" borderId="3" xfId="0" applyFont="1" applyBorder="1" applyAlignment="1">
      <alignment horizontal="center"/>
    </xf>
    <xf numFmtId="0" fontId="6" fillId="0" borderId="3" xfId="0" applyFont="1" applyBorder="1"/>
    <xf numFmtId="4" fontId="7" fillId="0" borderId="4" xfId="0" applyNumberFormat="1" applyFont="1" applyBorder="1"/>
    <xf numFmtId="4" fontId="7" fillId="0" borderId="6" xfId="0" applyNumberFormat="1" applyFont="1" applyBorder="1"/>
    <xf numFmtId="0" fontId="6" fillId="0" borderId="5" xfId="0" applyFont="1" applyBorder="1" applyAlignment="1">
      <alignment vertical="center"/>
    </xf>
    <xf numFmtId="0" fontId="6" fillId="2" borderId="30" xfId="0" applyFont="1" applyFill="1" applyBorder="1" applyAlignment="1">
      <alignment horizontal="center"/>
    </xf>
    <xf numFmtId="0" fontId="6" fillId="2" borderId="31" xfId="0" applyFont="1" applyFill="1" applyBorder="1" applyAlignment="1">
      <alignment horizontal="center"/>
    </xf>
    <xf numFmtId="0" fontId="6" fillId="2" borderId="32" xfId="0" applyFont="1" applyFill="1" applyBorder="1" applyAlignment="1">
      <alignment horizontal="center"/>
    </xf>
    <xf numFmtId="0" fontId="3" fillId="0" borderId="10" xfId="0" applyFont="1" applyBorder="1" applyAlignment="1">
      <alignment horizontal="center"/>
    </xf>
    <xf numFmtId="4" fontId="6" fillId="0" borderId="10" xfId="0" applyNumberFormat="1" applyFont="1" applyBorder="1"/>
    <xf numFmtId="0" fontId="4" fillId="0" borderId="0" xfId="0" applyFont="1"/>
    <xf numFmtId="4" fontId="6" fillId="3" borderId="0" xfId="0" applyNumberFormat="1" applyFont="1" applyFill="1"/>
    <xf numFmtId="4" fontId="4" fillId="3" borderId="0" xfId="0" applyNumberFormat="1" applyFont="1" applyFill="1"/>
    <xf numFmtId="0" fontId="6" fillId="0" borderId="5" xfId="0" applyFont="1" applyBorder="1" applyAlignment="1">
      <alignment wrapText="1"/>
    </xf>
    <xf numFmtId="0" fontId="7" fillId="0" borderId="5" xfId="0" applyFont="1" applyBorder="1" applyAlignment="1">
      <alignment wrapText="1"/>
    </xf>
    <xf numFmtId="0" fontId="7" fillId="0" borderId="5" xfId="0" applyFont="1" applyBorder="1" applyAlignment="1">
      <alignment vertical="center" wrapText="1"/>
    </xf>
    <xf numFmtId="0" fontId="6" fillId="0" borderId="15" xfId="0" applyFont="1" applyBorder="1" applyAlignment="1">
      <alignment horizontal="center" vertical="center"/>
    </xf>
    <xf numFmtId="164" fontId="6" fillId="0" borderId="15" xfId="0" applyNumberFormat="1" applyFont="1" applyBorder="1" applyAlignment="1">
      <alignment vertical="center"/>
    </xf>
    <xf numFmtId="164" fontId="6" fillId="0" borderId="5" xfId="0" applyNumberFormat="1" applyFont="1" applyBorder="1" applyAlignment="1">
      <alignment vertical="center"/>
    </xf>
    <xf numFmtId="4" fontId="6" fillId="3" borderId="0" xfId="0" applyNumberFormat="1" applyFont="1" applyFill="1" applyAlignment="1">
      <alignment vertical="center"/>
    </xf>
    <xf numFmtId="0" fontId="4" fillId="0" borderId="0" xfId="0" applyFont="1" applyAlignment="1">
      <alignment vertical="center"/>
    </xf>
    <xf numFmtId="0" fontId="17" fillId="0" borderId="15" xfId="0" applyFont="1" applyBorder="1" applyAlignment="1">
      <alignment horizontal="left"/>
    </xf>
    <xf numFmtId="4" fontId="4" fillId="0" borderId="5" xfId="0" applyNumberFormat="1" applyFont="1" applyBorder="1"/>
    <xf numFmtId="0" fontId="10" fillId="0" borderId="15" xfId="0" applyFont="1" applyBorder="1" applyAlignment="1">
      <alignment horizontal="center"/>
    </xf>
    <xf numFmtId="0" fontId="10" fillId="0" borderId="10" xfId="0" applyFont="1" applyBorder="1"/>
    <xf numFmtId="0" fontId="10" fillId="0" borderId="2" xfId="0" applyFont="1" applyBorder="1"/>
    <xf numFmtId="0" fontId="18" fillId="0" borderId="10" xfId="0" applyFont="1" applyBorder="1"/>
    <xf numFmtId="4" fontId="18" fillId="0" borderId="10" xfId="0" applyNumberFormat="1" applyFont="1" applyBorder="1"/>
    <xf numFmtId="0" fontId="3" fillId="0" borderId="5" xfId="0" applyFont="1" applyBorder="1" applyAlignment="1">
      <alignment horizontal="center"/>
    </xf>
    <xf numFmtId="0" fontId="3" fillId="0" borderId="24" xfId="0" applyFont="1" applyBorder="1" applyAlignment="1">
      <alignment horizontal="center"/>
    </xf>
    <xf numFmtId="0" fontId="7" fillId="0" borderId="0" xfId="0" applyFont="1" applyAlignment="1">
      <alignment vertical="top"/>
    </xf>
    <xf numFmtId="0" fontId="17" fillId="0" borderId="5" xfId="0" applyFont="1" applyBorder="1" applyAlignment="1">
      <alignment horizontal="left"/>
    </xf>
    <xf numFmtId="4" fontId="6" fillId="0" borderId="6" xfId="0" applyNumberFormat="1" applyFont="1" applyBorder="1"/>
    <xf numFmtId="0" fontId="10" fillId="0" borderId="6" xfId="0" applyFont="1" applyBorder="1"/>
    <xf numFmtId="4" fontId="6" fillId="0" borderId="5" xfId="0" applyNumberFormat="1" applyFont="1" applyBorder="1"/>
    <xf numFmtId="4" fontId="5" fillId="0" borderId="0" xfId="0" applyNumberFormat="1" applyFont="1"/>
    <xf numFmtId="0" fontId="4" fillId="0" borderId="24" xfId="0" applyFont="1" applyBorder="1"/>
    <xf numFmtId="0" fontId="4" fillId="0" borderId="15" xfId="0" applyFont="1" applyBorder="1"/>
    <xf numFmtId="0" fontId="4" fillId="0" borderId="5" xfId="0" applyFont="1" applyBorder="1"/>
    <xf numFmtId="0" fontId="4" fillId="0" borderId="6" xfId="0" applyFont="1" applyBorder="1"/>
    <xf numFmtId="4" fontId="6" fillId="0" borderId="3" xfId="0" applyNumberFormat="1" applyFont="1" applyBorder="1"/>
    <xf numFmtId="0" fontId="11" fillId="0" borderId="5" xfId="0" applyFont="1" applyBorder="1"/>
    <xf numFmtId="0" fontId="6" fillId="0" borderId="15" xfId="0" applyFont="1" applyBorder="1" applyAlignment="1">
      <alignment horizontal="left"/>
    </xf>
    <xf numFmtId="4" fontId="9" fillId="3" borderId="0" xfId="0" applyNumberFormat="1" applyFont="1" applyFill="1"/>
    <xf numFmtId="0" fontId="10" fillId="0" borderId="0" xfId="0" applyFont="1"/>
    <xf numFmtId="0" fontId="20" fillId="0" borderId="0" xfId="0" applyFont="1" applyAlignment="1">
      <alignment horizontal="center"/>
    </xf>
    <xf numFmtId="0" fontId="18" fillId="0" borderId="0" xfId="0" applyFont="1"/>
    <xf numFmtId="4" fontId="18" fillId="0" borderId="0" xfId="0" applyNumberFormat="1" applyFont="1"/>
    <xf numFmtId="0" fontId="10" fillId="0" borderId="15" xfId="0" applyFont="1" applyBorder="1"/>
    <xf numFmtId="164" fontId="10" fillId="0" borderId="10" xfId="0" applyNumberFormat="1" applyFont="1" applyBorder="1"/>
    <xf numFmtId="164" fontId="10" fillId="0" borderId="6" xfId="0" applyNumberFormat="1" applyFont="1" applyBorder="1"/>
    <xf numFmtId="0" fontId="10" fillId="0" borderId="0" xfId="0" applyFont="1" applyAlignment="1">
      <alignment horizontal="center"/>
    </xf>
    <xf numFmtId="164" fontId="10" fillId="0" borderId="0" xfId="0" applyNumberFormat="1" applyFont="1"/>
    <xf numFmtId="0" fontId="23" fillId="0" borderId="0" xfId="0" applyFont="1" applyAlignment="1">
      <alignment horizontal="center"/>
    </xf>
    <xf numFmtId="4" fontId="24" fillId="0" borderId="0" xfId="0" applyNumberFormat="1" applyFont="1"/>
    <xf numFmtId="0" fontId="23" fillId="0" borderId="0" xfId="0" applyFont="1"/>
    <xf numFmtId="0" fontId="6" fillId="0" borderId="24" xfId="0" applyFont="1" applyBorder="1"/>
    <xf numFmtId="0" fontId="6" fillId="0" borderId="5" xfId="0" applyFont="1" applyBorder="1" applyAlignment="1">
      <alignment horizontal="left"/>
    </xf>
    <xf numFmtId="164" fontId="7" fillId="0" borderId="5" xfId="0" applyNumberFormat="1" applyFont="1" applyBorder="1" applyAlignment="1">
      <alignment horizontal="left"/>
    </xf>
    <xf numFmtId="164" fontId="6" fillId="0" borderId="2" xfId="0" applyNumberFormat="1" applyFont="1" applyBorder="1"/>
    <xf numFmtId="164" fontId="6" fillId="0" borderId="15" xfId="0" applyNumberFormat="1" applyFont="1" applyBorder="1" applyAlignment="1">
      <alignment horizontal="right"/>
    </xf>
    <xf numFmtId="164" fontId="6" fillId="4" borderId="15" xfId="0" applyNumberFormat="1" applyFont="1" applyFill="1" applyBorder="1"/>
    <xf numFmtId="164" fontId="6" fillId="4" borderId="1" xfId="0" applyNumberFormat="1" applyFont="1" applyFill="1" applyBorder="1"/>
    <xf numFmtId="167" fontId="7" fillId="0" borderId="0" xfId="0" applyNumberFormat="1" applyFont="1"/>
    <xf numFmtId="167" fontId="9" fillId="0" borderId="0" xfId="0" applyNumberFormat="1" applyFont="1"/>
    <xf numFmtId="164" fontId="6" fillId="0" borderId="33" xfId="0" applyNumberFormat="1" applyFont="1" applyBorder="1"/>
    <xf numFmtId="0" fontId="6" fillId="0" borderId="2" xfId="0" applyFont="1" applyBorder="1" applyAlignment="1">
      <alignment horizontal="center"/>
    </xf>
    <xf numFmtId="0" fontId="6" fillId="4" borderId="15" xfId="0" applyFont="1" applyFill="1" applyBorder="1"/>
    <xf numFmtId="0" fontId="3" fillId="0" borderId="15" xfId="0" applyFont="1" applyBorder="1" applyAlignment="1">
      <alignment horizontal="center"/>
    </xf>
    <xf numFmtId="0" fontId="3" fillId="0" borderId="9" xfId="0" applyFont="1" applyBorder="1" applyAlignment="1">
      <alignment horizontal="center"/>
    </xf>
    <xf numFmtId="0" fontId="3" fillId="0" borderId="0" xfId="0" applyFont="1" applyAlignment="1">
      <alignment horizontal="center"/>
    </xf>
    <xf numFmtId="164" fontId="3" fillId="0" borderId="0" xfId="0" applyNumberFormat="1" applyFont="1"/>
    <xf numFmtId="0" fontId="4" fillId="0" borderId="8" xfId="0" applyFont="1" applyBorder="1"/>
    <xf numFmtId="4" fontId="4" fillId="0" borderId="8" xfId="0" applyNumberFormat="1" applyFont="1" applyBorder="1"/>
    <xf numFmtId="0" fontId="4" fillId="0" borderId="3" xfId="0" applyFont="1" applyBorder="1"/>
    <xf numFmtId="4" fontId="4" fillId="0" borderId="3" xfId="0" applyNumberFormat="1" applyFont="1" applyBorder="1"/>
    <xf numFmtId="0" fontId="7" fillId="0" borderId="4" xfId="0" applyFont="1" applyBorder="1"/>
    <xf numFmtId="0" fontId="7" fillId="0" borderId="6" xfId="0" applyFont="1" applyBorder="1"/>
    <xf numFmtId="168" fontId="9" fillId="0" borderId="0" xfId="0" applyNumberFormat="1" applyFont="1"/>
    <xf numFmtId="168" fontId="4" fillId="0" borderId="0" xfId="0" applyNumberFormat="1" applyFont="1"/>
    <xf numFmtId="4" fontId="3" fillId="0" borderId="0" xfId="0" applyNumberFormat="1" applyFont="1"/>
    <xf numFmtId="0" fontId="25" fillId="0" borderId="0" xfId="0" applyFont="1"/>
    <xf numFmtId="166" fontId="6" fillId="0" borderId="6" xfId="0" applyNumberFormat="1" applyFont="1" applyBorder="1" applyAlignment="1">
      <alignment horizontal="center"/>
    </xf>
    <xf numFmtId="0" fontId="26" fillId="0" borderId="0" xfId="0" applyFont="1"/>
    <xf numFmtId="0" fontId="7" fillId="0" borderId="5" xfId="0" quotePrefix="1" applyFont="1" applyBorder="1"/>
    <xf numFmtId="164" fontId="7" fillId="0" borderId="5" xfId="0" applyNumberFormat="1" applyFont="1" applyBorder="1"/>
    <xf numFmtId="0" fontId="6" fillId="0" borderId="15" xfId="0" quotePrefix="1" applyFont="1" applyBorder="1" applyAlignment="1">
      <alignment horizontal="center"/>
    </xf>
    <xf numFmtId="0" fontId="11" fillId="0" borderId="15" xfId="0" applyFont="1" applyBorder="1" applyAlignment="1">
      <alignment horizontal="center"/>
    </xf>
    <xf numFmtId="164" fontId="3" fillId="0" borderId="15" xfId="0" applyNumberFormat="1" applyFont="1" applyBorder="1"/>
    <xf numFmtId="164" fontId="7" fillId="0" borderId="8" xfId="0" applyNumberFormat="1" applyFont="1" applyBorder="1"/>
    <xf numFmtId="164" fontId="4" fillId="0" borderId="8" xfId="0" applyNumberFormat="1" applyFont="1" applyBorder="1"/>
    <xf numFmtId="164" fontId="4" fillId="0" borderId="3" xfId="0" applyNumberFormat="1" applyFont="1" applyBorder="1"/>
    <xf numFmtId="164" fontId="4" fillId="0" borderId="15" xfId="0" applyNumberFormat="1" applyFont="1" applyBorder="1"/>
    <xf numFmtId="164" fontId="7" fillId="0" borderId="15" xfId="0" applyNumberFormat="1" applyFont="1" applyBorder="1"/>
    <xf numFmtId="0" fontId="6" fillId="0" borderId="5" xfId="0" applyFont="1" applyBorder="1" applyAlignment="1">
      <alignment horizontal="center" vertical="center"/>
    </xf>
    <xf numFmtId="0" fontId="3" fillId="0" borderId="6" xfId="0" applyFont="1" applyBorder="1" applyAlignment="1">
      <alignment horizontal="center"/>
    </xf>
    <xf numFmtId="0" fontId="7" fillId="0" borderId="10" xfId="0" applyFont="1" applyBorder="1"/>
    <xf numFmtId="0" fontId="3" fillId="0" borderId="0" xfId="0" applyFont="1"/>
    <xf numFmtId="164" fontId="18" fillId="0" borderId="0" xfId="0" applyNumberFormat="1" applyFont="1"/>
    <xf numFmtId="4" fontId="7" fillId="0" borderId="8" xfId="0" applyNumberFormat="1" applyFont="1" applyBorder="1"/>
    <xf numFmtId="164" fontId="7" fillId="0" borderId="6" xfId="0" applyNumberFormat="1" applyFont="1" applyBorder="1"/>
    <xf numFmtId="0" fontId="6" fillId="0" borderId="5" xfId="0" quotePrefix="1" applyFont="1" applyBorder="1" applyAlignment="1">
      <alignment horizontal="center"/>
    </xf>
    <xf numFmtId="4" fontId="7" fillId="0" borderId="5" xfId="0" applyNumberFormat="1" applyFont="1" applyBorder="1"/>
    <xf numFmtId="4" fontId="4" fillId="0" borderId="0" xfId="0" applyNumberFormat="1" applyFont="1" applyAlignment="1">
      <alignment vertical="center"/>
    </xf>
    <xf numFmtId="0" fontId="6" fillId="0" borderId="5" xfId="0" applyFont="1" applyBorder="1" applyAlignment="1">
      <alignment vertical="center" wrapText="1"/>
    </xf>
    <xf numFmtId="164" fontId="6" fillId="0" borderId="1" xfId="0" applyNumberFormat="1" applyFont="1" applyBorder="1" applyAlignment="1">
      <alignment vertical="center"/>
    </xf>
    <xf numFmtId="4" fontId="4" fillId="0" borderId="0" xfId="0" applyNumberFormat="1" applyFont="1" applyAlignment="1">
      <alignment horizontal="center"/>
    </xf>
    <xf numFmtId="0" fontId="9" fillId="0" borderId="0" xfId="0" applyFont="1" applyAlignment="1">
      <alignment horizontal="center"/>
    </xf>
    <xf numFmtId="167" fontId="4" fillId="0" borderId="0" xfId="0" applyNumberFormat="1" applyFont="1"/>
    <xf numFmtId="0" fontId="6" fillId="2" borderId="24" xfId="0" applyFont="1" applyFill="1" applyBorder="1" applyAlignment="1">
      <alignment horizontal="center"/>
    </xf>
    <xf numFmtId="0" fontId="14" fillId="0" borderId="15" xfId="0" applyFont="1" applyBorder="1"/>
    <xf numFmtId="0" fontId="22" fillId="0" borderId="0" xfId="0" applyFont="1"/>
    <xf numFmtId="0" fontId="6" fillId="2" borderId="36" xfId="0" applyFont="1" applyFill="1" applyBorder="1" applyAlignment="1">
      <alignment horizontal="center"/>
    </xf>
    <xf numFmtId="0" fontId="28" fillId="0" borderId="5" xfId="0" applyFont="1" applyBorder="1"/>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0" fontId="4" fillId="0" borderId="0" xfId="0" applyFont="1" applyAlignment="1">
      <alignment horizontal="center" vertical="center"/>
    </xf>
    <xf numFmtId="164" fontId="6" fillId="0" borderId="1" xfId="0" applyNumberFormat="1" applyFont="1" applyBorder="1" applyAlignment="1">
      <alignment horizontal="center"/>
    </xf>
    <xf numFmtId="0" fontId="27" fillId="0" borderId="5" xfId="0" applyFont="1" applyBorder="1"/>
    <xf numFmtId="3" fontId="4" fillId="0" borderId="0" xfId="0" applyNumberFormat="1" applyFont="1" applyAlignment="1">
      <alignment horizontal="center"/>
    </xf>
    <xf numFmtId="0" fontId="6" fillId="0" borderId="8" xfId="0" applyFont="1" applyBorder="1" applyAlignment="1">
      <alignment horizontal="center"/>
    </xf>
    <xf numFmtId="0" fontId="11" fillId="0" borderId="5" xfId="0" applyFont="1" applyBorder="1" applyAlignment="1">
      <alignment vertical="center"/>
    </xf>
    <xf numFmtId="0" fontId="6" fillId="0" borderId="6" xfId="0" quotePrefix="1" applyFont="1" applyBorder="1" applyAlignment="1">
      <alignment horizontal="center"/>
    </xf>
    <xf numFmtId="0" fontId="6" fillId="0" borderId="5" xfId="0" applyFont="1" applyBorder="1" applyAlignment="1">
      <alignment horizontal="left" vertical="center"/>
    </xf>
    <xf numFmtId="0" fontId="6" fillId="0" borderId="1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5" xfId="0" applyFont="1" applyBorder="1" applyAlignment="1">
      <alignment horizontal="left" vertical="center"/>
    </xf>
    <xf numFmtId="164" fontId="6" fillId="0" borderId="29" xfId="0" applyNumberFormat="1" applyFont="1" applyBorder="1" applyAlignment="1">
      <alignment horizontal="center"/>
    </xf>
    <xf numFmtId="0" fontId="7" fillId="0" borderId="8" xfId="0" applyFont="1" applyBorder="1"/>
    <xf numFmtId="165" fontId="7" fillId="0" borderId="0" xfId="0" applyNumberFormat="1" applyFont="1"/>
    <xf numFmtId="0" fontId="6" fillId="0" borderId="15" xfId="0" applyFont="1" applyBorder="1" applyAlignment="1">
      <alignment vertical="center"/>
    </xf>
    <xf numFmtId="0" fontId="7" fillId="0" borderId="15" xfId="0" applyFont="1" applyBorder="1" applyAlignment="1">
      <alignment horizontal="center" vertical="center"/>
    </xf>
    <xf numFmtId="0" fontId="7" fillId="0" borderId="5" xfId="0" applyFont="1" applyBorder="1" applyAlignment="1">
      <alignment vertical="center"/>
    </xf>
    <xf numFmtId="0" fontId="6" fillId="0" borderId="15" xfId="0" applyFont="1" applyBorder="1" applyAlignment="1">
      <alignment horizontal="left" vertical="center"/>
    </xf>
    <xf numFmtId="0" fontId="6" fillId="0" borderId="6" xfId="0" applyFont="1" applyBorder="1" applyAlignment="1">
      <alignment horizontal="center" vertical="center"/>
    </xf>
    <xf numFmtId="164" fontId="6" fillId="6" borderId="15" xfId="0" applyNumberFormat="1" applyFont="1" applyFill="1" applyBorder="1"/>
    <xf numFmtId="0" fontId="6" fillId="0" borderId="0" xfId="0" applyFont="1" applyAlignment="1">
      <alignment vertical="center"/>
    </xf>
    <xf numFmtId="0" fontId="6" fillId="0" borderId="0" xfId="0" applyFont="1" applyAlignment="1">
      <alignment horizontal="center" vertical="center"/>
    </xf>
    <xf numFmtId="0" fontId="7" fillId="0" borderId="0" xfId="0" applyFont="1" applyAlignment="1">
      <alignment vertical="center"/>
    </xf>
    <xf numFmtId="0" fontId="6" fillId="0" borderId="2" xfId="0" applyFont="1" applyBorder="1" applyAlignment="1">
      <alignment vertical="center"/>
    </xf>
    <xf numFmtId="0" fontId="7" fillId="0" borderId="3" xfId="0" applyFont="1" applyBorder="1" applyAlignment="1">
      <alignment vertical="center"/>
    </xf>
    <xf numFmtId="0" fontId="7" fillId="0" borderId="3" xfId="0" applyFont="1" applyBorder="1" applyAlignment="1">
      <alignment horizontal="center" vertical="center"/>
    </xf>
    <xf numFmtId="0" fontId="6" fillId="0" borderId="4" xfId="0" applyFont="1" applyBorder="1" applyAlignment="1">
      <alignment vertical="center"/>
    </xf>
    <xf numFmtId="167" fontId="7" fillId="0" borderId="0" xfId="0" applyNumberFormat="1" applyFont="1" applyAlignment="1">
      <alignment vertical="center"/>
    </xf>
    <xf numFmtId="0" fontId="7" fillId="0" borderId="0" xfId="0" applyFont="1" applyAlignment="1">
      <alignment horizontal="center" vertical="center"/>
    </xf>
    <xf numFmtId="0" fontId="6" fillId="0" borderId="6" xfId="0" applyFont="1" applyBorder="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167" fontId="7" fillId="0" borderId="8" xfId="0" applyNumberFormat="1" applyFont="1" applyBorder="1" applyAlignment="1">
      <alignment vertical="center"/>
    </xf>
    <xf numFmtId="0" fontId="7" fillId="0" borderId="8" xfId="0" applyFont="1" applyBorder="1" applyAlignment="1">
      <alignment vertical="center"/>
    </xf>
    <xf numFmtId="164" fontId="6" fillId="0" borderId="10" xfId="0" applyNumberFormat="1" applyFont="1" applyBorder="1" applyAlignment="1">
      <alignment vertical="center"/>
    </xf>
    <xf numFmtId="0" fontId="7" fillId="0" borderId="5" xfId="0" quotePrefix="1" applyFont="1" applyBorder="1" applyAlignment="1">
      <alignment vertical="center"/>
    </xf>
    <xf numFmtId="0" fontId="7" fillId="0" borderId="15" xfId="0" applyFont="1" applyBorder="1" applyAlignment="1">
      <alignment vertical="center"/>
    </xf>
    <xf numFmtId="164" fontId="6" fillId="0" borderId="15" xfId="0" applyNumberFormat="1" applyFont="1" applyBorder="1" applyAlignment="1">
      <alignment vertical="center" wrapText="1"/>
    </xf>
    <xf numFmtId="164" fontId="6" fillId="4" borderId="15" xfId="0" applyNumberFormat="1" applyFont="1" applyFill="1" applyBorder="1" applyAlignment="1">
      <alignment vertical="center"/>
    </xf>
    <xf numFmtId="0" fontId="5" fillId="0" borderId="0" xfId="0" applyFont="1"/>
    <xf numFmtId="167" fontId="7" fillId="0" borderId="8" xfId="0" applyNumberFormat="1" applyFont="1" applyBorder="1"/>
    <xf numFmtId="164" fontId="6" fillId="0" borderId="10" xfId="0" applyNumberFormat="1" applyFont="1" applyBorder="1" applyAlignment="1">
      <alignment horizontal="center"/>
    </xf>
    <xf numFmtId="167" fontId="7" fillId="0" borderId="3" xfId="0" applyNumberFormat="1" applyFont="1" applyBorder="1"/>
    <xf numFmtId="0" fontId="7" fillId="4" borderId="5" xfId="0" applyFont="1" applyFill="1" applyBorder="1"/>
    <xf numFmtId="0" fontId="7" fillId="4" borderId="5" xfId="0" quotePrefix="1" applyFont="1" applyFill="1" applyBorder="1"/>
    <xf numFmtId="0" fontId="6" fillId="0" borderId="4" xfId="0" applyFont="1" applyBorder="1" applyAlignment="1">
      <alignment horizontal="center"/>
    </xf>
    <xf numFmtId="169" fontId="7" fillId="0" borderId="0" xfId="0" applyNumberFormat="1" applyFont="1"/>
    <xf numFmtId="169" fontId="4" fillId="0" borderId="0" xfId="0" applyNumberFormat="1" applyFont="1"/>
    <xf numFmtId="169" fontId="7" fillId="0" borderId="8" xfId="0" applyNumberFormat="1" applyFont="1" applyBorder="1"/>
    <xf numFmtId="169" fontId="7" fillId="0" borderId="3" xfId="0" applyNumberFormat="1" applyFont="1" applyBorder="1"/>
    <xf numFmtId="169" fontId="29" fillId="0" borderId="0" xfId="0" applyNumberFormat="1" applyFont="1"/>
    <xf numFmtId="169" fontId="7" fillId="6" borderId="34" xfId="0" applyNumberFormat="1" applyFont="1" applyFill="1" applyBorder="1"/>
    <xf numFmtId="169" fontId="7" fillId="6" borderId="0" xfId="0" applyNumberFormat="1" applyFont="1" applyFill="1"/>
    <xf numFmtId="0" fontId="7" fillId="0" borderId="5" xfId="0" quotePrefix="1" applyFont="1" applyBorder="1" applyAlignment="1">
      <alignment horizontal="left"/>
    </xf>
    <xf numFmtId="164" fontId="6" fillId="4" borderId="6" xfId="0" applyNumberFormat="1" applyFont="1" applyFill="1" applyBorder="1"/>
    <xf numFmtId="0" fontId="3" fillId="0" borderId="7" xfId="0" applyFont="1" applyBorder="1" applyAlignment="1">
      <alignment horizontal="center"/>
    </xf>
    <xf numFmtId="169" fontId="4" fillId="0" borderId="8" xfId="0" applyNumberFormat="1" applyFont="1" applyBorder="1"/>
    <xf numFmtId="167" fontId="4" fillId="0" borderId="8" xfId="0" applyNumberFormat="1" applyFont="1" applyBorder="1"/>
    <xf numFmtId="169" fontId="9" fillId="0" borderId="0" xfId="0" applyNumberFormat="1" applyFont="1"/>
    <xf numFmtId="4" fontId="7" fillId="0" borderId="3" xfId="0" applyNumberFormat="1" applyFont="1" applyBorder="1"/>
    <xf numFmtId="0" fontId="7" fillId="0" borderId="33" xfId="0" applyFont="1" applyBorder="1"/>
    <xf numFmtId="4" fontId="7" fillId="0" borderId="33" xfId="0" applyNumberFormat="1" applyFont="1" applyBorder="1"/>
    <xf numFmtId="0" fontId="21" fillId="0" borderId="3" xfId="0" applyFont="1" applyBorder="1"/>
    <xf numFmtId="0" fontId="21" fillId="0" borderId="0" xfId="0" applyFont="1"/>
    <xf numFmtId="164" fontId="21" fillId="0" borderId="0" xfId="0" applyNumberFormat="1" applyFont="1"/>
    <xf numFmtId="0" fontId="20" fillId="0" borderId="15" xfId="0" applyFont="1" applyBorder="1" applyAlignment="1">
      <alignment horizontal="center"/>
    </xf>
    <xf numFmtId="164" fontId="6" fillId="0" borderId="15" xfId="0" applyNumberFormat="1" applyFont="1" applyBorder="1" applyAlignment="1">
      <alignment horizontal="center" vertical="center"/>
    </xf>
    <xf numFmtId="164" fontId="27" fillId="0" borderId="0" xfId="0" applyNumberFormat="1" applyFont="1"/>
    <xf numFmtId="39" fontId="11" fillId="0" borderId="0" xfId="0" applyNumberFormat="1" applyFont="1" applyAlignment="1">
      <alignment horizontal="right" vertical="center"/>
    </xf>
    <xf numFmtId="167" fontId="4" fillId="0" borderId="3" xfId="0" applyNumberFormat="1" applyFont="1" applyBorder="1"/>
    <xf numFmtId="0" fontId="7" fillId="0" borderId="15" xfId="0" quotePrefix="1" applyFont="1" applyBorder="1"/>
    <xf numFmtId="4" fontId="0" fillId="0" borderId="0" xfId="0" applyNumberFormat="1"/>
    <xf numFmtId="0" fontId="7" fillId="0" borderId="5" xfId="0" applyFont="1" applyBorder="1" applyAlignment="1">
      <alignment horizontal="left" wrapText="1"/>
    </xf>
    <xf numFmtId="169" fontId="7" fillId="0" borderId="0" xfId="0" applyNumberFormat="1" applyFont="1" applyAlignment="1">
      <alignment horizontal="center"/>
    </xf>
    <xf numFmtId="4" fontId="7" fillId="0" borderId="0" xfId="0" applyNumberFormat="1" applyFont="1" applyAlignment="1">
      <alignment horizontal="center"/>
    </xf>
    <xf numFmtId="0" fontId="30" fillId="0" borderId="0" xfId="0" applyFont="1" applyAlignment="1">
      <alignment horizontal="center"/>
    </xf>
    <xf numFmtId="0" fontId="7" fillId="3" borderId="15" xfId="0" applyFont="1" applyFill="1" applyBorder="1" applyAlignment="1">
      <alignment horizontal="left"/>
    </xf>
    <xf numFmtId="0" fontId="14" fillId="0" borderId="15" xfId="0" applyFont="1" applyBorder="1" applyAlignment="1">
      <alignment horizontal="left"/>
    </xf>
    <xf numFmtId="39" fontId="6" fillId="0" borderId="0" xfId="0" applyNumberFormat="1" applyFont="1" applyAlignment="1">
      <alignment horizontal="right" vertical="center"/>
    </xf>
    <xf numFmtId="0" fontId="17" fillId="0" borderId="5" xfId="0" applyFont="1" applyBorder="1"/>
    <xf numFmtId="164" fontId="11" fillId="0" borderId="24" xfId="0" applyNumberFormat="1" applyFont="1" applyBorder="1"/>
    <xf numFmtId="0" fontId="11" fillId="0" borderId="5" xfId="0" applyFont="1" applyBorder="1" applyAlignment="1">
      <alignment horizontal="center"/>
    </xf>
    <xf numFmtId="164" fontId="11" fillId="0" borderId="5" xfId="0" applyNumberFormat="1" applyFont="1" applyBorder="1"/>
    <xf numFmtId="4" fontId="21" fillId="0" borderId="0" xfId="0" applyNumberFormat="1" applyFont="1"/>
    <xf numFmtId="164" fontId="11" fillId="3" borderId="0" xfId="0" applyNumberFormat="1" applyFont="1" applyFill="1"/>
    <xf numFmtId="164" fontId="7" fillId="5" borderId="0" xfId="0" applyNumberFormat="1" applyFont="1" applyFill="1"/>
    <xf numFmtId="4" fontId="7" fillId="5" borderId="0" xfId="0" applyNumberFormat="1" applyFont="1" applyFill="1"/>
    <xf numFmtId="4" fontId="6" fillId="5" borderId="0" xfId="0" applyNumberFormat="1" applyFont="1" applyFill="1"/>
    <xf numFmtId="0" fontId="31" fillId="0" borderId="15" xfId="0" applyFont="1" applyBorder="1" applyAlignment="1">
      <alignment horizontal="left"/>
    </xf>
    <xf numFmtId="164" fontId="32" fillId="0" borderId="0" xfId="0" applyNumberFormat="1" applyFont="1"/>
    <xf numFmtId="0" fontId="20" fillId="0" borderId="6" xfId="0" applyFont="1" applyBorder="1" applyAlignment="1">
      <alignment horizontal="center"/>
    </xf>
    <xf numFmtId="164" fontId="10" fillId="0" borderId="4" xfId="0" applyNumberFormat="1" applyFont="1" applyBorder="1"/>
    <xf numFmtId="0" fontId="5" fillId="0" borderId="6" xfId="0" applyFont="1" applyBorder="1"/>
    <xf numFmtId="164" fontId="3" fillId="0" borderId="6" xfId="0" applyNumberFormat="1" applyFont="1" applyBorder="1"/>
    <xf numFmtId="0" fontId="6" fillId="4" borderId="5" xfId="0" applyFont="1" applyFill="1" applyBorder="1"/>
    <xf numFmtId="0" fontId="3" fillId="4" borderId="15" xfId="0" applyFont="1" applyFill="1" applyBorder="1" applyAlignment="1">
      <alignment horizontal="center"/>
    </xf>
    <xf numFmtId="0" fontId="3" fillId="4" borderId="6" xfId="0" applyFont="1" applyFill="1" applyBorder="1" applyAlignment="1">
      <alignment horizontal="center"/>
    </xf>
    <xf numFmtId="0" fontId="6" fillId="4" borderId="15" xfId="0" applyFont="1" applyFill="1" applyBorder="1" applyAlignment="1">
      <alignment horizontal="center"/>
    </xf>
    <xf numFmtId="164" fontId="6" fillId="4" borderId="0" xfId="0" applyNumberFormat="1" applyFont="1" applyFill="1"/>
    <xf numFmtId="164" fontId="6" fillId="4" borderId="10" xfId="0" applyNumberFormat="1" applyFont="1" applyFill="1" applyBorder="1"/>
    <xf numFmtId="0" fontId="6" fillId="4" borderId="7" xfId="0" applyFont="1" applyFill="1" applyBorder="1"/>
    <xf numFmtId="0" fontId="6" fillId="4" borderId="24" xfId="0" applyFont="1" applyFill="1" applyBorder="1" applyAlignment="1">
      <alignment horizontal="center"/>
    </xf>
    <xf numFmtId="0" fontId="11" fillId="0" borderId="2" xfId="0" applyFont="1" applyBorder="1"/>
    <xf numFmtId="0" fontId="11" fillId="0" borderId="3" xfId="0" applyFont="1" applyBorder="1" applyAlignment="1">
      <alignment horizontal="center"/>
    </xf>
    <xf numFmtId="0" fontId="11" fillId="0" borderId="3" xfId="0" applyFont="1" applyBorder="1"/>
    <xf numFmtId="0" fontId="17" fillId="0" borderId="3" xfId="0" applyFont="1" applyBorder="1"/>
    <xf numFmtId="0" fontId="17" fillId="0" borderId="4" xfId="0" applyFont="1" applyBorder="1"/>
    <xf numFmtId="0" fontId="11" fillId="0" borderId="0" xfId="0" applyFont="1" applyAlignment="1">
      <alignment horizontal="center"/>
    </xf>
    <xf numFmtId="0" fontId="11" fillId="0" borderId="0" xfId="0" applyFont="1"/>
    <xf numFmtId="0" fontId="17" fillId="0" borderId="6" xfId="0" applyFont="1" applyBorder="1"/>
    <xf numFmtId="164" fontId="17" fillId="0" borderId="0" xfId="0" applyNumberFormat="1" applyFont="1"/>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5" xfId="0" applyFont="1" applyFill="1" applyBorder="1" applyAlignment="1">
      <alignment horizontal="center"/>
    </xf>
    <xf numFmtId="0" fontId="11" fillId="2" borderId="26" xfId="0" applyFont="1" applyFill="1" applyBorder="1" applyAlignment="1">
      <alignment horizontal="center"/>
    </xf>
    <xf numFmtId="0" fontId="11" fillId="2" borderId="27" xfId="0" applyFont="1" applyFill="1" applyBorder="1" applyAlignment="1">
      <alignment horizontal="center"/>
    </xf>
    <xf numFmtId="0" fontId="11" fillId="4" borderId="5" xfId="0" applyFont="1" applyFill="1" applyBorder="1"/>
    <xf numFmtId="0" fontId="33" fillId="4" borderId="15" xfId="0" applyFont="1" applyFill="1" applyBorder="1" applyAlignment="1">
      <alignment horizontal="center"/>
    </xf>
    <xf numFmtId="0" fontId="11" fillId="4" borderId="15" xfId="0" applyFont="1" applyFill="1" applyBorder="1"/>
    <xf numFmtId="0" fontId="33" fillId="4" borderId="6" xfId="0" applyFont="1" applyFill="1" applyBorder="1" applyAlignment="1">
      <alignment horizontal="center"/>
    </xf>
    <xf numFmtId="164" fontId="11" fillId="4" borderId="15" xfId="0" applyNumberFormat="1" applyFont="1" applyFill="1" applyBorder="1"/>
    <xf numFmtId="0" fontId="17" fillId="4" borderId="5" xfId="0" applyFont="1" applyFill="1" applyBorder="1"/>
    <xf numFmtId="0" fontId="11" fillId="4" borderId="15" xfId="0" applyFont="1" applyFill="1" applyBorder="1" applyAlignment="1">
      <alignment horizontal="center"/>
    </xf>
    <xf numFmtId="0" fontId="11" fillId="4" borderId="6" xfId="0" applyFont="1" applyFill="1" applyBorder="1" applyAlignment="1">
      <alignment horizontal="center"/>
    </xf>
    <xf numFmtId="164" fontId="11" fillId="4" borderId="6" xfId="0" applyNumberFormat="1" applyFont="1" applyFill="1" applyBorder="1" applyAlignment="1">
      <alignment horizontal="center"/>
    </xf>
    <xf numFmtId="164" fontId="11" fillId="4" borderId="1" xfId="0" applyNumberFormat="1" applyFont="1" applyFill="1" applyBorder="1"/>
    <xf numFmtId="164" fontId="11" fillId="4" borderId="10" xfId="0" applyNumberFormat="1" applyFont="1" applyFill="1" applyBorder="1"/>
    <xf numFmtId="0" fontId="11" fillId="4" borderId="5" xfId="0" applyFont="1" applyFill="1" applyBorder="1" applyAlignment="1">
      <alignment horizontal="center"/>
    </xf>
    <xf numFmtId="164" fontId="11" fillId="4" borderId="5" xfId="0" applyNumberFormat="1" applyFont="1" applyFill="1" applyBorder="1"/>
    <xf numFmtId="164" fontId="11" fillId="4" borderId="0" xfId="0" applyNumberFormat="1" applyFont="1" applyFill="1"/>
    <xf numFmtId="0" fontId="11" fillId="4" borderId="7" xfId="0" applyFont="1" applyFill="1" applyBorder="1"/>
    <xf numFmtId="0" fontId="11" fillId="4" borderId="24" xfId="0" applyFont="1" applyFill="1" applyBorder="1" applyAlignment="1">
      <alignment horizontal="center"/>
    </xf>
    <xf numFmtId="0" fontId="6" fillId="4" borderId="5" xfId="0" applyFont="1" applyFill="1" applyBorder="1" applyAlignment="1">
      <alignment horizontal="center"/>
    </xf>
    <xf numFmtId="0" fontId="6" fillId="4" borderId="15" xfId="0" applyFont="1" applyFill="1" applyBorder="1" applyAlignment="1">
      <alignment horizontal="center" vertical="center"/>
    </xf>
    <xf numFmtId="0" fontId="6" fillId="4" borderId="6" xfId="0" applyFont="1" applyFill="1" applyBorder="1" applyAlignment="1">
      <alignment horizontal="center"/>
    </xf>
    <xf numFmtId="0" fontId="7" fillId="4" borderId="15" xfId="0" applyFont="1" applyFill="1" applyBorder="1" applyAlignment="1">
      <alignment horizontal="left"/>
    </xf>
    <xf numFmtId="0" fontId="6" fillId="4" borderId="0" xfId="0" applyFont="1" applyFill="1" applyAlignment="1">
      <alignment horizontal="center"/>
    </xf>
    <xf numFmtId="0" fontId="7" fillId="4" borderId="15" xfId="0" applyFont="1" applyFill="1" applyBorder="1"/>
    <xf numFmtId="164" fontId="6" fillId="4" borderId="5" xfId="0" applyNumberFormat="1" applyFont="1" applyFill="1" applyBorder="1"/>
    <xf numFmtId="0" fontId="6" fillId="4" borderId="24" xfId="0" applyFont="1" applyFill="1" applyBorder="1"/>
    <xf numFmtId="167" fontId="7" fillId="0" borderId="5" xfId="0" applyNumberFormat="1" applyFont="1" applyBorder="1"/>
    <xf numFmtId="0" fontId="3" fillId="0" borderId="4" xfId="0" applyFont="1" applyBorder="1" applyAlignment="1">
      <alignment horizontal="center"/>
    </xf>
    <xf numFmtId="167" fontId="6" fillId="0" borderId="10" xfId="0" applyNumberFormat="1" applyFont="1" applyBorder="1"/>
    <xf numFmtId="164" fontId="6" fillId="0" borderId="15" xfId="0" applyNumberFormat="1" applyFont="1" applyBorder="1" applyAlignment="1">
      <alignment horizontal="right" vertical="center"/>
    </xf>
    <xf numFmtId="49" fontId="7" fillId="0" borderId="15" xfId="0" applyNumberFormat="1" applyFont="1" applyBorder="1" applyAlignment="1">
      <alignment horizontal="left"/>
    </xf>
    <xf numFmtId="164" fontId="6" fillId="0" borderId="6" xfId="0" applyNumberFormat="1" applyFont="1" applyBorder="1" applyAlignment="1">
      <alignment horizontal="right" vertical="center"/>
    </xf>
    <xf numFmtId="165" fontId="6" fillId="0" borderId="5" xfId="0" applyNumberFormat="1" applyFont="1" applyBorder="1" applyAlignment="1">
      <alignment horizontal="center"/>
    </xf>
    <xf numFmtId="0" fontId="34" fillId="0" borderId="0" xfId="0" applyFont="1"/>
    <xf numFmtId="164" fontId="34" fillId="0" borderId="0" xfId="0" applyNumberFormat="1" applyFont="1"/>
    <xf numFmtId="0" fontId="35" fillId="0" borderId="0" xfId="0" applyFont="1"/>
    <xf numFmtId="164" fontId="35" fillId="0" borderId="0" xfId="0" applyNumberFormat="1" applyFont="1"/>
    <xf numFmtId="0" fontId="35" fillId="0" borderId="8" xfId="0" applyFont="1" applyBorder="1"/>
    <xf numFmtId="164" fontId="35" fillId="0" borderId="8" xfId="0" applyNumberFormat="1" applyFont="1" applyBorder="1"/>
    <xf numFmtId="164" fontId="21" fillId="0" borderId="8" xfId="0" applyNumberFormat="1" applyFont="1" applyBorder="1"/>
    <xf numFmtId="0" fontId="21" fillId="0" borderId="8" xfId="0" applyFont="1" applyBorder="1"/>
    <xf numFmtId="0" fontId="35" fillId="0" borderId="3" xfId="0" applyFont="1" applyBorder="1"/>
    <xf numFmtId="164" fontId="35" fillId="0" borderId="3" xfId="0" applyNumberFormat="1" applyFont="1" applyBorder="1"/>
    <xf numFmtId="164" fontId="21" fillId="0" borderId="3" xfId="0" applyNumberFormat="1" applyFont="1" applyBorder="1"/>
    <xf numFmtId="0" fontId="7" fillId="7" borderId="0" xfId="0" applyFont="1" applyFill="1"/>
    <xf numFmtId="164" fontId="6" fillId="7" borderId="0" xfId="0" applyNumberFormat="1" applyFont="1" applyFill="1"/>
    <xf numFmtId="0" fontId="6" fillId="0" borderId="15" xfId="0" applyFont="1" applyBorder="1" applyAlignment="1">
      <alignment horizontal="left" wrapText="1"/>
    </xf>
    <xf numFmtId="170" fontId="7" fillId="0" borderId="0" xfId="0" applyNumberFormat="1" applyFont="1"/>
    <xf numFmtId="170" fontId="9" fillId="0" borderId="0" xfId="0" applyNumberFormat="1" applyFont="1"/>
    <xf numFmtId="170" fontId="4" fillId="0" borderId="0" xfId="0" applyNumberFormat="1" applyFont="1"/>
    <xf numFmtId="170" fontId="7" fillId="0" borderId="8" xfId="0" applyNumberFormat="1" applyFont="1" applyBorder="1"/>
    <xf numFmtId="49" fontId="7" fillId="0" borderId="5" xfId="0" applyNumberFormat="1" applyFont="1" applyBorder="1" applyAlignment="1">
      <alignment horizontal="left"/>
    </xf>
    <xf numFmtId="164" fontId="36" fillId="0" borderId="5" xfId="0" applyNumberFormat="1" applyFont="1" applyBorder="1"/>
    <xf numFmtId="170" fontId="36" fillId="0" borderId="0" xfId="0" applyNumberFormat="1" applyFont="1"/>
    <xf numFmtId="164" fontId="6" fillId="6" borderId="1" xfId="0" applyNumberFormat="1" applyFont="1" applyFill="1" applyBorder="1"/>
    <xf numFmtId="0" fontId="4" fillId="0" borderId="15" xfId="0" applyFont="1" applyBorder="1" applyAlignment="1">
      <alignment horizontal="center"/>
    </xf>
    <xf numFmtId="164" fontId="6" fillId="0" borderId="15" xfId="0" applyNumberFormat="1" applyFont="1" applyBorder="1" applyAlignment="1">
      <alignment shrinkToFit="1"/>
    </xf>
    <xf numFmtId="171" fontId="9" fillId="0" borderId="0" xfId="0" applyNumberFormat="1" applyFont="1"/>
    <xf numFmtId="171" fontId="7" fillId="0" borderId="0" xfId="0" applyNumberFormat="1" applyFont="1"/>
    <xf numFmtId="0" fontId="6" fillId="4" borderId="5" xfId="0" applyFont="1" applyFill="1" applyBorder="1" applyAlignment="1">
      <alignment horizontal="left" vertical="center"/>
    </xf>
    <xf numFmtId="0" fontId="7" fillId="4" borderId="5" xfId="0" applyFont="1" applyFill="1" applyBorder="1" applyAlignment="1">
      <alignment horizontal="left"/>
    </xf>
    <xf numFmtId="0" fontId="6" fillId="4" borderId="5" xfId="0" applyFont="1" applyFill="1" applyBorder="1" applyAlignment="1">
      <alignment horizontal="left"/>
    </xf>
    <xf numFmtId="0" fontId="6" fillId="4" borderId="15" xfId="0" quotePrefix="1" applyFont="1" applyFill="1" applyBorder="1"/>
    <xf numFmtId="49" fontId="6" fillId="0" borderId="15" xfId="0" applyNumberFormat="1" applyFont="1" applyBorder="1" applyAlignment="1">
      <alignment horizontal="left"/>
    </xf>
    <xf numFmtId="4" fontId="25" fillId="0" borderId="0" xfId="0" applyNumberFormat="1" applyFont="1"/>
    <xf numFmtId="0" fontId="37" fillId="0" borderId="0" xfId="0" applyFont="1"/>
    <xf numFmtId="164" fontId="38" fillId="0" borderId="0" xfId="0" applyNumberFormat="1" applyFont="1"/>
    <xf numFmtId="0" fontId="9" fillId="3" borderId="0" xfId="0" applyFont="1" applyFill="1"/>
    <xf numFmtId="0" fontId="4" fillId="0" borderId="15" xfId="0" applyFont="1" applyBorder="1" applyAlignment="1">
      <alignment horizontal="left"/>
    </xf>
    <xf numFmtId="164" fontId="4" fillId="3" borderId="0" xfId="0" applyNumberFormat="1" applyFont="1" applyFill="1"/>
    <xf numFmtId="0" fontId="11" fillId="0" borderId="15" xfId="0" applyFont="1" applyBorder="1"/>
    <xf numFmtId="0" fontId="17" fillId="0" borderId="15" xfId="0" applyFont="1" applyBorder="1"/>
    <xf numFmtId="0" fontId="27" fillId="0" borderId="15" xfId="0" applyFont="1" applyBorder="1" applyAlignment="1">
      <alignment horizontal="left"/>
    </xf>
    <xf numFmtId="164" fontId="6" fillId="0" borderId="1" xfId="0" applyNumberFormat="1" applyFont="1" applyBorder="1" applyAlignment="1">
      <alignment horizontal="left"/>
    </xf>
    <xf numFmtId="39" fontId="11" fillId="0" borderId="15" xfId="0" applyNumberFormat="1" applyFont="1" applyBorder="1" applyAlignment="1">
      <alignment horizontal="right" vertical="center"/>
    </xf>
    <xf numFmtId="164" fontId="9" fillId="0" borderId="0" xfId="0" applyNumberFormat="1" applyFont="1"/>
    <xf numFmtId="4" fontId="39" fillId="5" borderId="0" xfId="0" applyNumberFormat="1" applyFont="1" applyFill="1"/>
    <xf numFmtId="4" fontId="6" fillId="0" borderId="4" xfId="0" applyNumberFormat="1" applyFont="1" applyBorder="1" applyAlignment="1">
      <alignment vertical="center"/>
    </xf>
    <xf numFmtId="4" fontId="6" fillId="0" borderId="6" xfId="0" applyNumberFormat="1" applyFont="1" applyBorder="1" applyAlignment="1">
      <alignment vertical="center"/>
    </xf>
    <xf numFmtId="4" fontId="7" fillId="0" borderId="6" xfId="0" applyNumberFormat="1" applyFont="1" applyBorder="1" applyAlignment="1">
      <alignment horizontal="center" vertical="center"/>
    </xf>
    <xf numFmtId="0" fontId="24" fillId="0" borderId="0" xfId="0" applyFont="1"/>
    <xf numFmtId="0" fontId="6" fillId="0" borderId="43" xfId="0" applyFont="1" applyBorder="1"/>
    <xf numFmtId="164" fontId="6" fillId="0" borderId="43" xfId="0" applyNumberFormat="1" applyFont="1" applyBorder="1"/>
    <xf numFmtId="4" fontId="6" fillId="0" borderId="43" xfId="0" applyNumberFormat="1" applyFont="1" applyBorder="1" applyAlignment="1">
      <alignment vertical="center"/>
    </xf>
    <xf numFmtId="0" fontId="6" fillId="0" borderId="44" xfId="0" applyFont="1" applyBorder="1"/>
    <xf numFmtId="164" fontId="6" fillId="0" borderId="44" xfId="0" applyNumberFormat="1" applyFont="1" applyBorder="1"/>
    <xf numFmtId="4" fontId="6" fillId="0" borderId="0" xfId="0" applyNumberFormat="1" applyFont="1" applyAlignment="1">
      <alignment vertical="center"/>
    </xf>
    <xf numFmtId="4" fontId="37" fillId="0" borderId="0" xfId="0" applyNumberFormat="1" applyFont="1"/>
    <xf numFmtId="0" fontId="11" fillId="0" borderId="43" xfId="0" applyFont="1" applyBorder="1"/>
    <xf numFmtId="164" fontId="17" fillId="0" borderId="43" xfId="0" applyNumberFormat="1" applyFont="1" applyBorder="1" applyAlignment="1">
      <alignment horizontal="left"/>
    </xf>
    <xf numFmtId="164" fontId="17" fillId="0" borderId="0" xfId="0" applyNumberFormat="1" applyFont="1" applyAlignment="1">
      <alignment horizontal="left"/>
    </xf>
    <xf numFmtId="0" fontId="11" fillId="0" borderId="44" xfId="0" applyFont="1" applyBorder="1"/>
    <xf numFmtId="0" fontId="11" fillId="0" borderId="9" xfId="0" applyFont="1" applyBorder="1" applyAlignment="1">
      <alignment horizontal="center"/>
    </xf>
    <xf numFmtId="164" fontId="11" fillId="0" borderId="7" xfId="0" applyNumberFormat="1" applyFont="1" applyBorder="1"/>
    <xf numFmtId="164" fontId="11" fillId="0" borderId="44" xfId="0" applyNumberFormat="1" applyFont="1" applyBorder="1"/>
    <xf numFmtId="164" fontId="11" fillId="0" borderId="8" xfId="0" applyNumberFormat="1" applyFont="1" applyBorder="1"/>
    <xf numFmtId="4" fontId="9" fillId="0" borderId="0" xfId="0" applyNumberFormat="1" applyFont="1" applyAlignment="1">
      <alignment vertical="center"/>
    </xf>
    <xf numFmtId="0" fontId="6" fillId="0" borderId="31" xfId="0" applyFont="1" applyBorder="1" applyAlignment="1">
      <alignment horizontal="center"/>
    </xf>
    <xf numFmtId="164" fontId="6" fillId="0" borderId="31" xfId="0" applyNumberFormat="1" applyFont="1" applyBorder="1"/>
    <xf numFmtId="164" fontId="4" fillId="8" borderId="0" xfId="1" applyFont="1" applyFill="1"/>
    <xf numFmtId="164" fontId="6" fillId="0" borderId="15" xfId="1" applyFont="1" applyBorder="1"/>
    <xf numFmtId="0" fontId="17" fillId="0" borderId="15" xfId="0" applyFont="1" applyBorder="1" applyAlignment="1">
      <alignment horizontal="left" wrapText="1"/>
    </xf>
    <xf numFmtId="0" fontId="6" fillId="2" borderId="22" xfId="0" quotePrefix="1" applyFont="1" applyFill="1" applyBorder="1" applyAlignment="1">
      <alignment horizontal="center" vertical="center" wrapText="1"/>
    </xf>
    <xf numFmtId="164" fontId="6" fillId="0" borderId="34" xfId="0" applyNumberFormat="1" applyFont="1" applyBorder="1"/>
    <xf numFmtId="164" fontId="6" fillId="0" borderId="45" xfId="0" applyNumberFormat="1" applyFont="1" applyBorder="1"/>
    <xf numFmtId="164" fontId="6" fillId="0" borderId="46" xfId="0" applyNumberFormat="1" applyFont="1" applyBorder="1"/>
    <xf numFmtId="0" fontId="6" fillId="0" borderId="30" xfId="0" applyFont="1" applyBorder="1"/>
    <xf numFmtId="0" fontId="6" fillId="0" borderId="30" xfId="0" applyFont="1" applyBorder="1" applyAlignment="1">
      <alignment horizontal="center"/>
    </xf>
    <xf numFmtId="164" fontId="6" fillId="0" borderId="17" xfId="0" applyNumberFormat="1" applyFont="1" applyBorder="1"/>
    <xf numFmtId="164" fontId="6" fillId="0" borderId="19" xfId="0" applyNumberFormat="1" applyFont="1" applyBorder="1"/>
    <xf numFmtId="0" fontId="4" fillId="0" borderId="34" xfId="0" applyFont="1" applyBorder="1"/>
    <xf numFmtId="167" fontId="4" fillId="0" borderId="34" xfId="0" applyNumberFormat="1" applyFont="1" applyBorder="1"/>
    <xf numFmtId="164" fontId="6" fillId="0" borderId="42" xfId="0" applyNumberFormat="1" applyFont="1" applyBorder="1"/>
    <xf numFmtId="164" fontId="6" fillId="0" borderId="40" xfId="0" applyNumberFormat="1" applyFont="1" applyBorder="1"/>
    <xf numFmtId="0" fontId="6" fillId="0" borderId="34" xfId="0" applyFont="1" applyBorder="1" applyAlignment="1">
      <alignment horizontal="center"/>
    </xf>
    <xf numFmtId="0" fontId="6" fillId="0" borderId="47" xfId="0" applyFont="1" applyBorder="1" applyAlignment="1">
      <alignment wrapText="1"/>
    </xf>
    <xf numFmtId="0" fontId="6" fillId="0" borderId="47" xfId="0" applyFont="1" applyBorder="1"/>
    <xf numFmtId="164" fontId="6" fillId="0" borderId="26" xfId="0" applyNumberFormat="1" applyFont="1" applyBorder="1"/>
    <xf numFmtId="0" fontId="0" fillId="0" borderId="34" xfId="0" applyBorder="1"/>
    <xf numFmtId="0" fontId="9" fillId="0" borderId="34" xfId="0" applyFont="1" applyBorder="1"/>
    <xf numFmtId="0" fontId="7" fillId="0" borderId="47" xfId="0" applyFont="1" applyBorder="1"/>
    <xf numFmtId="0" fontId="6" fillId="0" borderId="47" xfId="0" applyFont="1" applyBorder="1" applyAlignment="1">
      <alignment horizontal="center"/>
    </xf>
    <xf numFmtId="164" fontId="6" fillId="0" borderId="47" xfId="0" applyNumberFormat="1" applyFont="1" applyBorder="1"/>
    <xf numFmtId="164" fontId="11" fillId="0" borderId="47" xfId="0" applyNumberFormat="1" applyFont="1" applyBorder="1"/>
    <xf numFmtId="0" fontId="14" fillId="0" borderId="47" xfId="0" applyFont="1" applyBorder="1"/>
    <xf numFmtId="0" fontId="7" fillId="0" borderId="47" xfId="0" applyFont="1" applyBorder="1" applyAlignment="1">
      <alignment horizontal="left" wrapText="1"/>
    </xf>
    <xf numFmtId="164" fontId="6" fillId="0" borderId="15" xfId="1" applyFont="1" applyBorder="1" applyAlignment="1">
      <alignment horizontal="center"/>
    </xf>
    <xf numFmtId="167" fontId="6" fillId="0" borderId="34" xfId="0" applyNumberFormat="1" applyFont="1" applyBorder="1"/>
    <xf numFmtId="0" fontId="7" fillId="0" borderId="47" xfId="0" applyFont="1" applyBorder="1" applyAlignment="1">
      <alignment horizontal="left"/>
    </xf>
    <xf numFmtId="0" fontId="6" fillId="0" borderId="34" xfId="0" applyFont="1" applyBorder="1" applyAlignment="1">
      <alignment horizontal="center" vertical="center"/>
    </xf>
    <xf numFmtId="164" fontId="6" fillId="0" borderId="34" xfId="0" applyNumberFormat="1" applyFont="1" applyBorder="1" applyAlignment="1">
      <alignment vertical="center"/>
    </xf>
    <xf numFmtId="0" fontId="7" fillId="0" borderId="47" xfId="0" applyFont="1" applyBorder="1" applyAlignment="1">
      <alignment vertical="center" wrapText="1"/>
    </xf>
    <xf numFmtId="164" fontId="6" fillId="0" borderId="47" xfId="0" applyNumberFormat="1" applyFont="1" applyBorder="1" applyAlignment="1">
      <alignment vertical="center"/>
    </xf>
    <xf numFmtId="164" fontId="6" fillId="0" borderId="37" xfId="0" applyNumberFormat="1" applyFont="1" applyBorder="1"/>
    <xf numFmtId="0" fontId="6" fillId="0" borderId="48" xfId="0" applyFont="1" applyBorder="1"/>
    <xf numFmtId="0" fontId="6" fillId="0" borderId="48" xfId="0" applyFont="1" applyBorder="1" applyAlignment="1">
      <alignment horizontal="center"/>
    </xf>
    <xf numFmtId="164" fontId="6" fillId="0" borderId="1" xfId="1" applyFont="1" applyBorder="1"/>
    <xf numFmtId="0" fontId="14" fillId="0" borderId="5" xfId="0" applyFont="1" applyBorder="1" applyAlignment="1">
      <alignment wrapText="1"/>
    </xf>
    <xf numFmtId="0" fontId="6" fillId="0" borderId="45" xfId="0" applyFont="1" applyBorder="1" applyAlignment="1">
      <alignment horizontal="center"/>
    </xf>
    <xf numFmtId="0" fontId="7" fillId="0" borderId="47" xfId="0" applyFont="1" applyBorder="1" applyAlignment="1">
      <alignment wrapText="1"/>
    </xf>
    <xf numFmtId="0" fontId="6" fillId="0" borderId="47" xfId="0" applyFont="1" applyBorder="1" applyAlignment="1">
      <alignment horizontal="left"/>
    </xf>
    <xf numFmtId="164" fontId="6" fillId="0" borderId="47" xfId="0" applyNumberFormat="1" applyFont="1" applyBorder="1" applyAlignment="1">
      <alignment horizontal="center"/>
    </xf>
    <xf numFmtId="0" fontId="6" fillId="0" borderId="41" xfId="0" applyFont="1" applyBorder="1"/>
    <xf numFmtId="0" fontId="6" fillId="0" borderId="26" xfId="0" applyFont="1" applyBorder="1" applyAlignment="1">
      <alignment horizontal="center"/>
    </xf>
    <xf numFmtId="164" fontId="6" fillId="0" borderId="30" xfId="0" applyNumberFormat="1" applyFont="1" applyBorder="1"/>
    <xf numFmtId="0" fontId="7" fillId="0" borderId="30" xfId="0" applyFont="1" applyBorder="1"/>
    <xf numFmtId="0" fontId="6" fillId="0" borderId="31" xfId="0" applyFont="1" applyBorder="1"/>
    <xf numFmtId="0" fontId="6" fillId="0" borderId="37" xfId="0" applyFont="1" applyBorder="1" applyAlignment="1">
      <alignment horizontal="center"/>
    </xf>
    <xf numFmtId="0" fontId="7" fillId="0" borderId="34" xfId="0" applyFont="1" applyBorder="1" applyAlignment="1">
      <alignment horizontal="center"/>
    </xf>
    <xf numFmtId="165" fontId="6" fillId="0" borderId="34" xfId="0" applyNumberFormat="1" applyFont="1" applyBorder="1"/>
    <xf numFmtId="4" fontId="7" fillId="0" borderId="5" xfId="0" applyNumberFormat="1" applyFont="1" applyBorder="1" applyAlignment="1">
      <alignment wrapText="1"/>
    </xf>
    <xf numFmtId="164" fontId="6" fillId="0" borderId="49" xfId="0" applyNumberFormat="1" applyFont="1" applyBorder="1"/>
    <xf numFmtId="164" fontId="4" fillId="0" borderId="0" xfId="1" applyFont="1"/>
    <xf numFmtId="164" fontId="0" fillId="0" borderId="0" xfId="1" applyFont="1"/>
    <xf numFmtId="164" fontId="6" fillId="0" borderId="6" xfId="1" applyFont="1" applyBorder="1"/>
    <xf numFmtId="164" fontId="6" fillId="0" borderId="6" xfId="1" applyFont="1" applyBorder="1" applyAlignment="1">
      <alignment horizontal="center"/>
    </xf>
    <xf numFmtId="164" fontId="6" fillId="0" borderId="39" xfId="0" applyNumberFormat="1" applyFont="1" applyBorder="1"/>
    <xf numFmtId="164" fontId="6" fillId="0" borderId="13" xfId="0" applyNumberFormat="1" applyFont="1" applyBorder="1"/>
    <xf numFmtId="164" fontId="6" fillId="0" borderId="38" xfId="0" applyNumberFormat="1" applyFont="1" applyBorder="1"/>
    <xf numFmtId="164" fontId="6" fillId="0" borderId="50" xfId="0" applyNumberFormat="1" applyFont="1" applyBorder="1"/>
    <xf numFmtId="164" fontId="6" fillId="0" borderId="51" xfId="0" applyNumberFormat="1" applyFont="1" applyBorder="1"/>
    <xf numFmtId="164" fontId="6" fillId="0" borderId="47" xfId="0" applyNumberFormat="1" applyFont="1" applyBorder="1" applyAlignment="1">
      <alignment horizontal="right"/>
    </xf>
    <xf numFmtId="166" fontId="6" fillId="0" borderId="47" xfId="0" applyNumberFormat="1" applyFont="1" applyBorder="1" applyAlignment="1">
      <alignment horizontal="center"/>
    </xf>
    <xf numFmtId="0" fontId="19" fillId="0" borderId="5" xfId="0" applyFont="1" applyBorder="1" applyAlignment="1">
      <alignment horizontal="left" wrapText="1"/>
    </xf>
    <xf numFmtId="4" fontId="6" fillId="0" borderId="47" xfId="0" applyNumberFormat="1" applyFont="1" applyBorder="1"/>
    <xf numFmtId="4" fontId="9" fillId="0" borderId="34" xfId="0" applyNumberFormat="1" applyFont="1" applyBorder="1"/>
    <xf numFmtId="4" fontId="9" fillId="3" borderId="34" xfId="0" applyNumberFormat="1" applyFont="1" applyFill="1" applyBorder="1"/>
    <xf numFmtId="164" fontId="6" fillId="0" borderId="47" xfId="1" applyFont="1" applyBorder="1"/>
    <xf numFmtId="164" fontId="6" fillId="0" borderId="17" xfId="1" applyFont="1" applyBorder="1"/>
    <xf numFmtId="164" fontId="6" fillId="4" borderId="47" xfId="1" applyFont="1" applyFill="1" applyBorder="1"/>
    <xf numFmtId="0" fontId="6" fillId="0" borderId="30" xfId="0" applyFont="1" applyBorder="1" applyAlignment="1">
      <alignment wrapText="1"/>
    </xf>
    <xf numFmtId="0" fontId="7" fillId="0" borderId="30" xfId="0" applyFont="1" applyBorder="1" applyAlignment="1">
      <alignment horizontal="left"/>
    </xf>
    <xf numFmtId="164" fontId="7" fillId="0" borderId="30" xfId="0" applyNumberFormat="1" applyFont="1" applyBorder="1" applyAlignment="1">
      <alignment horizontal="left"/>
    </xf>
    <xf numFmtId="164" fontId="6" fillId="0" borderId="12" xfId="0" applyNumberFormat="1" applyFont="1" applyBorder="1"/>
    <xf numFmtId="164" fontId="10" fillId="0" borderId="34" xfId="0" applyNumberFormat="1" applyFont="1" applyBorder="1"/>
    <xf numFmtId="0" fontId="7" fillId="0" borderId="34" xfId="0" applyFont="1" applyBorder="1"/>
    <xf numFmtId="0" fontId="6" fillId="0" borderId="45" xfId="0" applyFont="1" applyBorder="1"/>
    <xf numFmtId="166" fontId="6" fillId="0" borderId="34" xfId="0" applyNumberFormat="1" applyFont="1" applyBorder="1" applyAlignment="1">
      <alignment horizontal="center"/>
    </xf>
    <xf numFmtId="0" fontId="3" fillId="0" borderId="37" xfId="0" applyFont="1" applyBorder="1" applyAlignment="1">
      <alignment horizontal="center"/>
    </xf>
    <xf numFmtId="0" fontId="3" fillId="0" borderId="34" xfId="0" applyFont="1" applyBorder="1" applyAlignment="1">
      <alignment horizontal="center"/>
    </xf>
    <xf numFmtId="0" fontId="3" fillId="0" borderId="47" xfId="0" applyFont="1" applyBorder="1" applyAlignment="1">
      <alignment horizontal="center"/>
    </xf>
    <xf numFmtId="164" fontId="3" fillId="0" borderId="15" xfId="1" applyFont="1" applyBorder="1"/>
    <xf numFmtId="0" fontId="7" fillId="0" borderId="53" xfId="0" applyFont="1" applyBorder="1" applyAlignment="1">
      <alignment wrapText="1"/>
    </xf>
    <xf numFmtId="0" fontId="6" fillId="0" borderId="34" xfId="0" quotePrefix="1" applyFont="1" applyBorder="1" applyAlignment="1">
      <alignment horizontal="center"/>
    </xf>
    <xf numFmtId="167" fontId="7" fillId="0" borderId="34" xfId="0" applyNumberFormat="1" applyFont="1" applyBorder="1"/>
    <xf numFmtId="164" fontId="6" fillId="0" borderId="17" xfId="0" applyNumberFormat="1" applyFont="1" applyBorder="1" applyAlignment="1">
      <alignment vertical="center"/>
    </xf>
    <xf numFmtId="164" fontId="6" fillId="0" borderId="31" xfId="0" applyNumberFormat="1" applyFont="1" applyBorder="1" applyAlignment="1">
      <alignment vertical="center"/>
    </xf>
    <xf numFmtId="167" fontId="7" fillId="0" borderId="34" xfId="0" applyNumberFormat="1" applyFont="1" applyBorder="1" applyAlignment="1">
      <alignment vertical="center"/>
    </xf>
    <xf numFmtId="0" fontId="7" fillId="0" borderId="34" xfId="0" applyFont="1" applyBorder="1" applyAlignment="1">
      <alignment vertical="center"/>
    </xf>
    <xf numFmtId="164" fontId="6" fillId="0" borderId="40" xfId="0" applyNumberFormat="1" applyFont="1" applyBorder="1" applyAlignment="1">
      <alignment vertical="center"/>
    </xf>
    <xf numFmtId="164" fontId="6" fillId="0" borderId="19" xfId="0" applyNumberFormat="1" applyFont="1" applyBorder="1" applyAlignment="1">
      <alignment vertical="center"/>
    </xf>
    <xf numFmtId="0" fontId="6" fillId="0" borderId="37" xfId="0" applyFont="1" applyBorder="1" applyAlignment="1">
      <alignment horizontal="center" vertical="center"/>
    </xf>
    <xf numFmtId="164" fontId="6" fillId="0" borderId="37" xfId="0" applyNumberFormat="1" applyFont="1" applyBorder="1" applyAlignment="1">
      <alignment vertical="center"/>
    </xf>
    <xf numFmtId="167" fontId="7" fillId="0" borderId="13" xfId="0" applyNumberFormat="1" applyFont="1" applyBorder="1" applyAlignment="1">
      <alignment vertical="center"/>
    </xf>
    <xf numFmtId="0" fontId="6" fillId="0" borderId="47" xfId="0" applyFont="1" applyBorder="1" applyAlignment="1">
      <alignment vertical="center"/>
    </xf>
    <xf numFmtId="0" fontId="6" fillId="0" borderId="52" xfId="0" applyFont="1" applyBorder="1" applyAlignment="1">
      <alignment horizontal="center" vertical="center"/>
    </xf>
    <xf numFmtId="164" fontId="6" fillId="0" borderId="51" xfId="0" applyNumberFormat="1" applyFont="1" applyBorder="1" applyAlignment="1">
      <alignment vertical="center"/>
    </xf>
    <xf numFmtId="164" fontId="6" fillId="0" borderId="15" xfId="1" applyFont="1" applyBorder="1" applyAlignment="1">
      <alignment vertical="center"/>
    </xf>
    <xf numFmtId="164" fontId="7" fillId="0" borderId="34" xfId="0" applyNumberFormat="1" applyFont="1" applyBorder="1"/>
    <xf numFmtId="0" fontId="6" fillId="0" borderId="12" xfId="0" applyFont="1" applyBorder="1" applyAlignment="1">
      <alignment horizontal="center"/>
    </xf>
    <xf numFmtId="0" fontId="6" fillId="0" borderId="52" xfId="0" applyFont="1" applyBorder="1" applyAlignment="1">
      <alignment horizontal="center"/>
    </xf>
    <xf numFmtId="164" fontId="6" fillId="0" borderId="31" xfId="1" applyFont="1" applyBorder="1"/>
    <xf numFmtId="0" fontId="6" fillId="0" borderId="19" xfId="0" applyFont="1" applyBorder="1" applyAlignment="1">
      <alignment horizontal="center"/>
    </xf>
    <xf numFmtId="0" fontId="7" fillId="0" borderId="13" xfId="0" applyFont="1" applyBorder="1"/>
    <xf numFmtId="169" fontId="7" fillId="0" borderId="34" xfId="0" applyNumberFormat="1" applyFont="1" applyBorder="1"/>
    <xf numFmtId="164" fontId="6" fillId="4" borderId="15" xfId="1" applyFont="1" applyFill="1" applyBorder="1"/>
    <xf numFmtId="0" fontId="7" fillId="0" borderId="47" xfId="0" quotePrefix="1" applyFont="1" applyBorder="1"/>
    <xf numFmtId="164" fontId="6" fillId="4" borderId="45" xfId="0" applyNumberFormat="1" applyFont="1" applyFill="1" applyBorder="1"/>
    <xf numFmtId="0" fontId="8" fillId="0" borderId="31" xfId="0" applyFont="1" applyBorder="1"/>
    <xf numFmtId="0" fontId="6" fillId="2" borderId="37" xfId="0" applyFont="1" applyFill="1" applyBorder="1" applyAlignment="1">
      <alignment horizontal="center"/>
    </xf>
    <xf numFmtId="0" fontId="6" fillId="2" borderId="37" xfId="0" applyFont="1" applyFill="1" applyBorder="1" applyAlignment="1">
      <alignment horizontal="center" vertical="center" wrapText="1"/>
    </xf>
    <xf numFmtId="0" fontId="6" fillId="0" borderId="37" xfId="0" applyFont="1" applyBorder="1" applyAlignment="1">
      <alignment horizontal="center" vertical="center" wrapText="1"/>
    </xf>
    <xf numFmtId="4" fontId="7" fillId="0" borderId="34" xfId="0" applyNumberFormat="1" applyFont="1" applyBorder="1"/>
    <xf numFmtId="164" fontId="4" fillId="0" borderId="34" xfId="0" applyNumberFormat="1" applyFont="1" applyBorder="1"/>
    <xf numFmtId="164" fontId="6" fillId="0" borderId="10" xfId="1" applyFont="1" applyBorder="1"/>
    <xf numFmtId="0" fontId="3" fillId="0" borderId="26" xfId="0" applyFont="1" applyBorder="1" applyAlignment="1">
      <alignment horizontal="center"/>
    </xf>
    <xf numFmtId="164" fontId="3" fillId="0" borderId="34" xfId="0" applyNumberFormat="1" applyFont="1" applyBorder="1" applyAlignment="1">
      <alignment horizontal="center"/>
    </xf>
    <xf numFmtId="0" fontId="7" fillId="0" borderId="30" xfId="0" applyFont="1" applyBorder="1" applyAlignment="1">
      <alignment wrapText="1"/>
    </xf>
    <xf numFmtId="0" fontId="3" fillId="0" borderId="31" xfId="0" applyFont="1" applyBorder="1" applyAlignment="1">
      <alignment horizontal="center"/>
    </xf>
    <xf numFmtId="0" fontId="14" fillId="0" borderId="15" xfId="0" applyFont="1" applyBorder="1" applyAlignment="1">
      <alignment horizontal="left" wrapText="1"/>
    </xf>
    <xf numFmtId="0" fontId="11" fillId="0" borderId="34" xfId="0" applyFont="1" applyBorder="1" applyAlignment="1">
      <alignment horizontal="center"/>
    </xf>
    <xf numFmtId="164" fontId="11" fillId="0" borderId="34" xfId="0" applyNumberFormat="1" applyFont="1" applyBorder="1"/>
    <xf numFmtId="0" fontId="17" fillId="0" borderId="47" xfId="0" applyFont="1" applyBorder="1" applyAlignment="1">
      <alignment horizontal="left" wrapText="1"/>
    </xf>
    <xf numFmtId="164" fontId="10" fillId="0" borderId="47" xfId="0" applyNumberFormat="1" applyFont="1" applyBorder="1"/>
    <xf numFmtId="0" fontId="31" fillId="0" borderId="15" xfId="0" applyFont="1" applyBorder="1" applyAlignment="1">
      <alignment horizontal="left" wrapText="1"/>
    </xf>
    <xf numFmtId="164" fontId="41" fillId="0" borderId="15" xfId="0" applyNumberFormat="1" applyFont="1" applyBorder="1"/>
    <xf numFmtId="0" fontId="11" fillId="0" borderId="31" xfId="0" applyFont="1" applyBorder="1" applyAlignment="1">
      <alignment horizontal="center"/>
    </xf>
    <xf numFmtId="164" fontId="11" fillId="0" borderId="31" xfId="0" applyNumberFormat="1" applyFont="1" applyBorder="1"/>
    <xf numFmtId="164" fontId="10" fillId="0" borderId="31" xfId="0" applyNumberFormat="1" applyFont="1" applyBorder="1"/>
    <xf numFmtId="164" fontId="6" fillId="0" borderId="54" xfId="0" applyNumberFormat="1" applyFont="1" applyBorder="1"/>
    <xf numFmtId="164" fontId="0" fillId="0" borderId="0" xfId="0" applyNumberFormat="1"/>
    <xf numFmtId="164" fontId="9" fillId="0" borderId="0" xfId="1" applyFont="1"/>
    <xf numFmtId="0" fontId="6" fillId="0" borderId="34" xfId="0" applyFont="1" applyBorder="1"/>
    <xf numFmtId="164" fontId="3" fillId="0" borderId="34" xfId="0" applyNumberFormat="1" applyFont="1" applyBorder="1"/>
    <xf numFmtId="0" fontId="6" fillId="4" borderId="30" xfId="0" applyFont="1" applyFill="1" applyBorder="1"/>
    <xf numFmtId="0" fontId="6" fillId="4" borderId="30" xfId="0" applyFont="1" applyFill="1" applyBorder="1" applyAlignment="1">
      <alignment horizontal="center"/>
    </xf>
    <xf numFmtId="164" fontId="6" fillId="4" borderId="30" xfId="0" applyNumberFormat="1" applyFont="1" applyFill="1" applyBorder="1"/>
    <xf numFmtId="164" fontId="6" fillId="4" borderId="31" xfId="0" applyNumberFormat="1" applyFont="1" applyFill="1" applyBorder="1"/>
    <xf numFmtId="164" fontId="6" fillId="4" borderId="34" xfId="0" applyNumberFormat="1" applyFont="1" applyFill="1" applyBorder="1"/>
    <xf numFmtId="0" fontId="6" fillId="4" borderId="47" xfId="0" applyFont="1" applyFill="1" applyBorder="1"/>
    <xf numFmtId="0" fontId="6" fillId="4" borderId="47" xfId="0" applyFont="1" applyFill="1" applyBorder="1" applyAlignment="1">
      <alignment horizontal="center"/>
    </xf>
    <xf numFmtId="164" fontId="6" fillId="4" borderId="47" xfId="0" applyNumberFormat="1" applyFont="1" applyFill="1" applyBorder="1"/>
    <xf numFmtId="164" fontId="6" fillId="0" borderId="6" xfId="1" applyFont="1" applyBorder="1" applyAlignment="1">
      <alignment horizontal="right" vertical="center"/>
    </xf>
    <xf numFmtId="0" fontId="7" fillId="0" borderId="31" xfId="0" applyFont="1" applyBorder="1"/>
    <xf numFmtId="0" fontId="14" fillId="0" borderId="47" xfId="0" applyFont="1" applyBorder="1" applyAlignment="1">
      <alignment horizontal="left" wrapText="1"/>
    </xf>
    <xf numFmtId="0" fontId="14" fillId="0" borderId="47" xfId="0" applyFont="1" applyBorder="1" applyAlignment="1">
      <alignment horizontal="left"/>
    </xf>
    <xf numFmtId="0" fontId="3" fillId="0" borderId="12" xfId="0" applyFont="1" applyBorder="1" applyAlignment="1">
      <alignment horizontal="center"/>
    </xf>
    <xf numFmtId="170" fontId="7" fillId="0" borderId="34" xfId="0" applyNumberFormat="1" applyFont="1" applyBorder="1"/>
    <xf numFmtId="49" fontId="7" fillId="0" borderId="47" xfId="0" applyNumberFormat="1" applyFont="1" applyBorder="1" applyAlignment="1">
      <alignment horizontal="left"/>
    </xf>
    <xf numFmtId="49" fontId="7" fillId="0" borderId="5" xfId="0" applyNumberFormat="1" applyFont="1" applyBorder="1" applyAlignment="1">
      <alignment horizontal="left" wrapText="1"/>
    </xf>
    <xf numFmtId="164" fontId="6" fillId="4" borderId="6" xfId="1" applyFont="1" applyFill="1" applyBorder="1"/>
    <xf numFmtId="164" fontId="6" fillId="4" borderId="6" xfId="1" applyFont="1" applyFill="1" applyBorder="1" applyAlignment="1">
      <alignment horizontal="center"/>
    </xf>
    <xf numFmtId="164" fontId="17" fillId="0" borderId="43" xfId="1" applyFont="1" applyBorder="1" applyAlignment="1">
      <alignment horizontal="left" vertical="center"/>
    </xf>
    <xf numFmtId="164" fontId="11" fillId="0" borderId="44" xfId="1" applyFont="1" applyBorder="1"/>
    <xf numFmtId="164" fontId="37" fillId="0" borderId="0" xfId="1" applyFont="1" applyAlignment="1">
      <alignment vertical="center"/>
    </xf>
    <xf numFmtId="164" fontId="9" fillId="0" borderId="0" xfId="1" applyFont="1" applyAlignment="1">
      <alignment vertical="center"/>
    </xf>
    <xf numFmtId="0" fontId="11" fillId="0" borderId="47" xfId="0" applyFont="1" applyBorder="1"/>
    <xf numFmtId="0" fontId="7" fillId="0" borderId="26" xfId="0" applyFont="1" applyBorder="1"/>
    <xf numFmtId="0" fontId="6" fillId="0" borderId="42" xfId="0" applyFont="1" applyBorder="1" applyAlignment="1">
      <alignment horizontal="center"/>
    </xf>
    <xf numFmtId="0" fontId="6" fillId="0" borderId="12" xfId="0" applyFont="1" applyBorder="1"/>
    <xf numFmtId="164" fontId="6" fillId="0" borderId="19" xfId="0" applyNumberFormat="1" applyFont="1" applyBorder="1" applyAlignment="1">
      <alignment horizontal="center"/>
    </xf>
    <xf numFmtId="0" fontId="6" fillId="0" borderId="17" xfId="0" applyFont="1" applyBorder="1" applyAlignment="1">
      <alignment horizontal="center"/>
    </xf>
    <xf numFmtId="0" fontId="7" fillId="0" borderId="26" xfId="0" applyFont="1" applyBorder="1" applyAlignment="1">
      <alignment horizontal="left"/>
    </xf>
    <xf numFmtId="0" fontId="6" fillId="0" borderId="41" xfId="0" applyFont="1" applyBorder="1" applyAlignment="1">
      <alignment horizontal="center"/>
    </xf>
    <xf numFmtId="0" fontId="14" fillId="0" borderId="12" xfId="0" applyFont="1" applyBorder="1"/>
    <xf numFmtId="164" fontId="6" fillId="0" borderId="55" xfId="0" applyNumberFormat="1" applyFont="1" applyBorder="1"/>
    <xf numFmtId="0" fontId="6" fillId="0" borderId="26" xfId="0" applyFont="1" applyBorder="1"/>
    <xf numFmtId="0" fontId="6" fillId="0" borderId="26" xfId="0" applyFont="1" applyBorder="1" applyAlignment="1">
      <alignment horizontal="center" vertical="center"/>
    </xf>
    <xf numFmtId="0" fontId="6" fillId="0" borderId="12" xfId="0" applyFont="1" applyBorder="1" applyAlignment="1">
      <alignment horizontal="left" vertical="center"/>
    </xf>
    <xf numFmtId="0" fontId="6" fillId="0" borderId="17" xfId="0" applyFont="1" applyBorder="1" applyAlignment="1">
      <alignment horizontal="center" vertical="center"/>
    </xf>
    <xf numFmtId="0" fontId="7" fillId="0" borderId="41" xfId="0" applyFont="1" applyBorder="1"/>
    <xf numFmtId="0" fontId="7" fillId="0" borderId="12" xfId="0" applyFont="1" applyBorder="1"/>
    <xf numFmtId="0" fontId="7" fillId="0" borderId="41" xfId="0" applyFont="1" applyBorder="1" applyAlignment="1">
      <alignment wrapText="1"/>
    </xf>
    <xf numFmtId="0" fontId="27" fillId="0" borderId="12" xfId="0" applyFont="1" applyBorder="1"/>
    <xf numFmtId="0" fontId="7" fillId="0" borderId="12" xfId="0" applyFont="1" applyBorder="1" applyAlignment="1">
      <alignment wrapText="1"/>
    </xf>
    <xf numFmtId="0" fontId="7" fillId="0" borderId="17" xfId="0" applyFont="1" applyBorder="1"/>
    <xf numFmtId="0" fontId="7" fillId="0" borderId="26" xfId="0" applyFont="1" applyBorder="1" applyAlignment="1">
      <alignment wrapText="1"/>
    </xf>
    <xf numFmtId="0" fontId="7" fillId="0" borderId="17" xfId="0" applyFont="1" applyBorder="1" applyAlignment="1">
      <alignment wrapText="1"/>
    </xf>
    <xf numFmtId="164" fontId="6" fillId="0" borderId="41" xfId="0" applyNumberFormat="1" applyFont="1" applyBorder="1"/>
    <xf numFmtId="0" fontId="6" fillId="0" borderId="42" xfId="0" applyFont="1" applyBorder="1"/>
    <xf numFmtId="0" fontId="7" fillId="0" borderId="17" xfId="0" applyFont="1" applyBorder="1" applyAlignment="1">
      <alignment horizontal="left" wrapText="1"/>
    </xf>
    <xf numFmtId="0" fontId="6" fillId="0" borderId="19" xfId="0" applyFont="1" applyBorder="1"/>
    <xf numFmtId="4" fontId="6" fillId="0" borderId="17" xfId="0" applyNumberFormat="1" applyFont="1" applyBorder="1"/>
    <xf numFmtId="164" fontId="6" fillId="0" borderId="26" xfId="1" applyFont="1" applyBorder="1"/>
    <xf numFmtId="0" fontId="3" fillId="0" borderId="17" xfId="0" applyFont="1" applyBorder="1" applyAlignment="1">
      <alignment horizontal="center"/>
    </xf>
    <xf numFmtId="0" fontId="6" fillId="0" borderId="17" xfId="0" applyFont="1" applyBorder="1"/>
    <xf numFmtId="0" fontId="7" fillId="0" borderId="26" xfId="0" applyFont="1" applyBorder="1" applyAlignment="1">
      <alignment horizontal="left" wrapText="1"/>
    </xf>
    <xf numFmtId="0" fontId="7" fillId="0" borderId="31" xfId="0" applyFont="1" applyBorder="1" applyAlignment="1">
      <alignment horizontal="left" wrapText="1"/>
    </xf>
    <xf numFmtId="166" fontId="6" fillId="0" borderId="17" xfId="0" applyNumberFormat="1" applyFont="1" applyBorder="1" applyAlignment="1">
      <alignment horizontal="center"/>
    </xf>
    <xf numFmtId="0" fontId="7" fillId="0" borderId="41" xfId="0" applyFont="1" applyBorder="1" applyAlignment="1">
      <alignment horizontal="left"/>
    </xf>
    <xf numFmtId="0" fontId="7" fillId="0" borderId="12" xfId="0" applyFont="1" applyBorder="1" applyAlignment="1">
      <alignment horizontal="left"/>
    </xf>
    <xf numFmtId="0" fontId="6" fillId="0" borderId="56" xfId="0" applyFont="1" applyBorder="1"/>
    <xf numFmtId="0" fontId="6" fillId="0" borderId="57" xfId="0" applyFont="1" applyBorder="1" applyAlignment="1">
      <alignment horizontal="center"/>
    </xf>
    <xf numFmtId="164" fontId="6" fillId="0" borderId="58" xfId="0" applyNumberFormat="1" applyFont="1" applyBorder="1"/>
    <xf numFmtId="164" fontId="6" fillId="0" borderId="59" xfId="0" applyNumberFormat="1" applyFont="1" applyBorder="1"/>
    <xf numFmtId="164" fontId="6" fillId="0" borderId="60" xfId="0" applyNumberFormat="1" applyFont="1" applyBorder="1"/>
    <xf numFmtId="164" fontId="6" fillId="0" borderId="61" xfId="0" applyNumberFormat="1" applyFont="1" applyBorder="1"/>
    <xf numFmtId="0" fontId="6" fillId="0" borderId="62" xfId="0" applyFont="1" applyBorder="1"/>
    <xf numFmtId="0" fontId="6" fillId="0" borderId="62" xfId="0" applyFont="1" applyBorder="1" applyAlignment="1">
      <alignment horizontal="center"/>
    </xf>
    <xf numFmtId="0" fontId="0" fillId="0" borderId="62" xfId="0" applyBorder="1"/>
    <xf numFmtId="0" fontId="6" fillId="0" borderId="57" xfId="0" applyFont="1" applyBorder="1"/>
    <xf numFmtId="0" fontId="3" fillId="0" borderId="56" xfId="0" applyFont="1" applyBorder="1" applyAlignment="1">
      <alignment horizontal="center"/>
    </xf>
    <xf numFmtId="0" fontId="9" fillId="0" borderId="30" xfId="0" applyFont="1" applyBorder="1"/>
    <xf numFmtId="0" fontId="0" fillId="0" borderId="30" xfId="0" applyBorder="1"/>
    <xf numFmtId="167" fontId="9" fillId="0" borderId="34" xfId="0" applyNumberFormat="1" applyFont="1" applyBorder="1"/>
    <xf numFmtId="167" fontId="9" fillId="0" borderId="62" xfId="0" applyNumberFormat="1" applyFont="1" applyBorder="1"/>
    <xf numFmtId="0" fontId="7" fillId="0" borderId="41" xfId="0" quotePrefix="1" applyFont="1" applyBorder="1"/>
    <xf numFmtId="0" fontId="6" fillId="0" borderId="56" xfId="0" applyFont="1" applyBorder="1" applyAlignment="1">
      <alignment horizontal="center"/>
    </xf>
    <xf numFmtId="0" fontId="6" fillId="0" borderId="26" xfId="0" quotePrefix="1" applyFont="1" applyBorder="1" applyAlignment="1">
      <alignment horizontal="center"/>
    </xf>
    <xf numFmtId="164" fontId="6" fillId="4" borderId="26" xfId="0" applyNumberFormat="1" applyFont="1" applyFill="1" applyBorder="1"/>
    <xf numFmtId="0" fontId="6" fillId="0" borderId="57" xfId="0" applyFont="1" applyBorder="1" applyAlignment="1">
      <alignment vertical="center"/>
    </xf>
    <xf numFmtId="0" fontId="6" fillId="0" borderId="56" xfId="0" applyFont="1" applyBorder="1" applyAlignment="1">
      <alignment horizontal="center" vertical="center"/>
    </xf>
    <xf numFmtId="164" fontId="6" fillId="0" borderId="59" xfId="0" applyNumberFormat="1" applyFont="1" applyBorder="1" applyAlignment="1">
      <alignment vertical="center"/>
    </xf>
    <xf numFmtId="0" fontId="7" fillId="0" borderId="41" xfId="0" applyFont="1" applyBorder="1" applyAlignment="1">
      <alignment vertical="center"/>
    </xf>
    <xf numFmtId="0" fontId="6" fillId="0" borderId="41" xfId="0" applyFont="1" applyBorder="1" applyAlignment="1">
      <alignment horizontal="center" vertical="center"/>
    </xf>
    <xf numFmtId="164" fontId="6" fillId="0" borderId="41" xfId="0" applyNumberFormat="1" applyFont="1" applyBorder="1" applyAlignment="1">
      <alignment vertical="center"/>
    </xf>
    <xf numFmtId="164" fontId="6" fillId="0" borderId="26" xfId="0" applyNumberFormat="1" applyFont="1" applyBorder="1" applyAlignment="1">
      <alignment vertical="center"/>
    </xf>
    <xf numFmtId="164" fontId="6" fillId="0" borderId="26" xfId="1" applyFont="1" applyBorder="1" applyAlignment="1">
      <alignment vertical="center"/>
    </xf>
    <xf numFmtId="0" fontId="7" fillId="0" borderId="12" xfId="0" applyFont="1" applyBorder="1" applyAlignment="1">
      <alignment vertical="center"/>
    </xf>
    <xf numFmtId="0" fontId="6" fillId="0" borderId="12" xfId="0" applyFont="1" applyBorder="1" applyAlignment="1">
      <alignment horizontal="center" vertical="center"/>
    </xf>
    <xf numFmtId="164" fontId="6" fillId="0" borderId="12" xfId="0" applyNumberFormat="1" applyFont="1" applyBorder="1" applyAlignment="1">
      <alignment vertical="center"/>
    </xf>
    <xf numFmtId="164" fontId="6" fillId="0" borderId="17" xfId="1" applyFont="1" applyBorder="1" applyAlignment="1">
      <alignment vertical="center"/>
    </xf>
    <xf numFmtId="0" fontId="7" fillId="4" borderId="41" xfId="0" applyFont="1" applyFill="1" applyBorder="1"/>
    <xf numFmtId="0" fontId="3" fillId="0" borderId="62" xfId="0" applyFont="1" applyBorder="1" applyAlignment="1">
      <alignment horizontal="center"/>
    </xf>
    <xf numFmtId="4" fontId="6" fillId="0" borderId="62" xfId="0" applyNumberFormat="1" applyFont="1" applyBorder="1"/>
    <xf numFmtId="4" fontId="5" fillId="0" borderId="62" xfId="0" applyNumberFormat="1" applyFont="1" applyBorder="1"/>
    <xf numFmtId="4" fontId="3" fillId="0" borderId="62" xfId="0" applyNumberFormat="1" applyFont="1" applyBorder="1" applyAlignment="1">
      <alignment horizontal="center"/>
    </xf>
    <xf numFmtId="4" fontId="4" fillId="0" borderId="62" xfId="0" applyNumberFormat="1" applyFont="1" applyBorder="1"/>
    <xf numFmtId="0" fontId="11" fillId="0" borderId="26" xfId="0" applyFont="1" applyBorder="1" applyAlignment="1">
      <alignment horizontal="center"/>
    </xf>
    <xf numFmtId="164" fontId="11" fillId="0" borderId="26" xfId="0" applyNumberFormat="1" applyFont="1" applyBorder="1"/>
    <xf numFmtId="164" fontId="10" fillId="0" borderId="26" xfId="0" applyNumberFormat="1" applyFont="1" applyBorder="1"/>
    <xf numFmtId="0" fontId="7" fillId="0" borderId="17" xfId="0" applyFont="1" applyBorder="1" applyAlignment="1">
      <alignment horizontal="left"/>
    </xf>
    <xf numFmtId="0" fontId="11" fillId="0" borderId="17" xfId="0" applyFont="1" applyBorder="1" applyAlignment="1">
      <alignment horizontal="center"/>
    </xf>
    <xf numFmtId="164" fontId="11" fillId="0" borderId="17" xfId="0" applyNumberFormat="1" applyFont="1" applyBorder="1"/>
    <xf numFmtId="164" fontId="10" fillId="0" borderId="17" xfId="0" applyNumberFormat="1" applyFont="1" applyBorder="1"/>
    <xf numFmtId="0" fontId="6" fillId="0" borderId="64" xfId="0" applyFont="1" applyBorder="1"/>
    <xf numFmtId="0" fontId="6" fillId="0" borderId="63" xfId="0" applyFont="1" applyBorder="1" applyAlignment="1">
      <alignment horizontal="center"/>
    </xf>
    <xf numFmtId="164" fontId="6" fillId="0" borderId="63" xfId="0" applyNumberFormat="1" applyFont="1" applyBorder="1"/>
    <xf numFmtId="164" fontId="6" fillId="0" borderId="64" xfId="0" applyNumberFormat="1" applyFont="1" applyBorder="1"/>
    <xf numFmtId="0" fontId="6" fillId="0" borderId="65" xfId="0" applyFont="1" applyBorder="1"/>
    <xf numFmtId="0" fontId="6" fillId="0" borderId="66" xfId="0" applyFont="1" applyBorder="1" applyAlignment="1">
      <alignment horizontal="center"/>
    </xf>
    <xf numFmtId="164" fontId="6" fillId="0" borderId="67" xfId="0" applyNumberFormat="1" applyFont="1" applyBorder="1"/>
    <xf numFmtId="164" fontId="6" fillId="0" borderId="53" xfId="0" applyNumberFormat="1" applyFont="1" applyBorder="1"/>
    <xf numFmtId="0" fontId="7" fillId="0" borderId="48" xfId="0" applyFont="1" applyBorder="1"/>
    <xf numFmtId="164" fontId="6" fillId="0" borderId="68" xfId="0" applyNumberFormat="1" applyFont="1" applyBorder="1"/>
    <xf numFmtId="0" fontId="7" fillId="0" borderId="26" xfId="0" quotePrefix="1" applyFont="1" applyBorder="1"/>
    <xf numFmtId="0" fontId="7" fillId="0" borderId="64" xfId="0" applyFont="1" applyBorder="1" applyAlignment="1">
      <alignment horizontal="left" wrapText="1"/>
    </xf>
    <xf numFmtId="0" fontId="7" fillId="0" borderId="69" xfId="0" applyFont="1" applyBorder="1" applyAlignment="1">
      <alignment horizontal="left"/>
    </xf>
    <xf numFmtId="0" fontId="6" fillId="0" borderId="69" xfId="0" applyFont="1" applyBorder="1" applyAlignment="1">
      <alignment horizontal="center"/>
    </xf>
    <xf numFmtId="164" fontId="6" fillId="0" borderId="66" xfId="0" applyNumberFormat="1" applyFont="1" applyBorder="1"/>
    <xf numFmtId="164" fontId="6" fillId="0" borderId="69" xfId="0" applyNumberFormat="1" applyFont="1" applyBorder="1"/>
    <xf numFmtId="164" fontId="6" fillId="0" borderId="65" xfId="0" applyNumberFormat="1" applyFont="1" applyBorder="1"/>
    <xf numFmtId="0" fontId="14" fillId="0" borderId="26" xfId="0" applyFont="1" applyBorder="1" applyAlignment="1">
      <alignment horizontal="left" wrapText="1"/>
    </xf>
    <xf numFmtId="164" fontId="6" fillId="0" borderId="70" xfId="0" applyNumberFormat="1" applyFont="1" applyBorder="1"/>
    <xf numFmtId="164" fontId="6" fillId="0" borderId="19" xfId="0" applyNumberFormat="1" applyFont="1" applyBorder="1" applyAlignment="1">
      <alignment horizontal="right" vertical="center"/>
    </xf>
    <xf numFmtId="164" fontId="6" fillId="0" borderId="17" xfId="0" applyNumberFormat="1" applyFont="1" applyBorder="1" applyAlignment="1">
      <alignment horizontal="right" vertical="center"/>
    </xf>
    <xf numFmtId="0" fontId="7" fillId="0" borderId="31" xfId="0" applyFont="1" applyBorder="1" applyAlignment="1">
      <alignment horizontal="left"/>
    </xf>
    <xf numFmtId="164" fontId="6" fillId="0" borderId="37" xfId="0" applyNumberFormat="1" applyFont="1" applyBorder="1" applyAlignment="1">
      <alignment horizontal="right" vertical="center"/>
    </xf>
    <xf numFmtId="164" fontId="6" fillId="0" borderId="31" xfId="0" applyNumberFormat="1" applyFont="1" applyBorder="1" applyAlignment="1">
      <alignment horizontal="right" vertical="center"/>
    </xf>
    <xf numFmtId="0" fontId="14" fillId="0" borderId="26" xfId="0" applyFont="1" applyBorder="1" applyAlignment="1">
      <alignment horizontal="left"/>
    </xf>
    <xf numFmtId="0" fontId="7" fillId="0" borderId="62" xfId="0" applyFont="1" applyBorder="1"/>
    <xf numFmtId="0" fontId="7" fillId="0" borderId="45" xfId="0" applyFont="1" applyBorder="1"/>
    <xf numFmtId="49" fontId="7" fillId="0" borderId="41" xfId="0" applyNumberFormat="1" applyFont="1" applyBorder="1" applyAlignment="1">
      <alignment horizontal="left"/>
    </xf>
    <xf numFmtId="49" fontId="7" fillId="0" borderId="12" xfId="0" applyNumberFormat="1" applyFont="1" applyBorder="1" applyAlignment="1">
      <alignment horizontal="left" wrapText="1"/>
    </xf>
    <xf numFmtId="49" fontId="7" fillId="0" borderId="31" xfId="0" applyNumberFormat="1" applyFont="1" applyBorder="1" applyAlignment="1">
      <alignment horizontal="left"/>
    </xf>
    <xf numFmtId="0" fontId="17" fillId="0" borderId="31" xfId="0" applyFont="1" applyBorder="1" applyAlignment="1">
      <alignment horizontal="left"/>
    </xf>
    <xf numFmtId="0" fontId="9" fillId="0" borderId="31" xfId="0" applyFont="1" applyBorder="1"/>
    <xf numFmtId="0" fontId="14" fillId="0" borderId="31" xfId="0" applyFont="1" applyBorder="1" applyAlignment="1">
      <alignment horizontal="left"/>
    </xf>
    <xf numFmtId="0" fontId="14" fillId="0" borderId="17" xfId="0" applyFont="1" applyBorder="1" applyAlignment="1">
      <alignment horizontal="left"/>
    </xf>
    <xf numFmtId="0" fontId="6" fillId="0" borderId="13" xfId="0" applyFont="1" applyBorder="1" applyAlignment="1">
      <alignment horizontal="center"/>
    </xf>
    <xf numFmtId="0" fontId="7" fillId="0" borderId="13" xfId="0" applyFont="1" applyBorder="1" applyAlignment="1">
      <alignment horizontal="center"/>
    </xf>
    <xf numFmtId="0" fontId="6" fillId="0" borderId="37" xfId="0" applyFont="1" applyBorder="1"/>
    <xf numFmtId="0" fontId="6" fillId="0" borderId="13" xfId="0" applyFont="1" applyBorder="1"/>
    <xf numFmtId="4" fontId="7" fillId="0" borderId="19" xfId="0" applyNumberFormat="1" applyFont="1" applyBorder="1"/>
    <xf numFmtId="4" fontId="7" fillId="0" borderId="37" xfId="0" applyNumberFormat="1" applyFont="1" applyBorder="1"/>
    <xf numFmtId="0" fontId="6" fillId="0" borderId="30" xfId="0" applyFont="1" applyBorder="1" applyAlignment="1">
      <alignment vertical="center"/>
    </xf>
    <xf numFmtId="0" fontId="6" fillId="0" borderId="71" xfId="0" applyFont="1" applyBorder="1"/>
    <xf numFmtId="0" fontId="6" fillId="0" borderId="71" xfId="0" applyFont="1" applyBorder="1" applyAlignment="1">
      <alignment horizontal="center"/>
    </xf>
    <xf numFmtId="0" fontId="7" fillId="0" borderId="71" xfId="0" applyFont="1" applyBorder="1" applyAlignment="1">
      <alignment horizontal="left"/>
    </xf>
    <xf numFmtId="4" fontId="4" fillId="0" borderId="71" xfId="0" applyNumberFormat="1" applyFont="1" applyBorder="1" applyAlignment="1">
      <alignment vertical="center"/>
    </xf>
    <xf numFmtId="0" fontId="6" fillId="0" borderId="71" xfId="0" applyFont="1" applyBorder="1" applyAlignment="1">
      <alignment horizontal="left"/>
    </xf>
    <xf numFmtId="164" fontId="7" fillId="0" borderId="71" xfId="0" applyNumberFormat="1" applyFont="1" applyBorder="1" applyAlignment="1">
      <alignment horizontal="left"/>
    </xf>
    <xf numFmtId="0" fontId="7" fillId="4" borderId="71" xfId="0" applyFont="1" applyFill="1" applyBorder="1" applyAlignment="1">
      <alignment horizontal="left"/>
    </xf>
    <xf numFmtId="0" fontId="7" fillId="0" borderId="71" xfId="0" applyFont="1" applyBorder="1" applyAlignment="1">
      <alignment horizontal="left" wrapText="1"/>
    </xf>
    <xf numFmtId="164" fontId="4" fillId="0" borderId="71" xfId="0" applyNumberFormat="1" applyFont="1" applyBorder="1"/>
    <xf numFmtId="164" fontId="4" fillId="0" borderId="71" xfId="1" applyFont="1" applyBorder="1" applyAlignment="1">
      <alignment vertical="center"/>
    </xf>
    <xf numFmtId="0" fontId="9" fillId="0" borderId="71" xfId="0" applyFont="1" applyBorder="1"/>
    <xf numFmtId="0" fontId="17" fillId="0" borderId="71" xfId="0" applyFont="1" applyBorder="1" applyAlignment="1">
      <alignment horizontal="left" wrapText="1"/>
    </xf>
    <xf numFmtId="0" fontId="11" fillId="0" borderId="71" xfId="0" applyFont="1" applyBorder="1" applyAlignment="1">
      <alignment horizontal="center"/>
    </xf>
    <xf numFmtId="0" fontId="17" fillId="0" borderId="71" xfId="0" applyFont="1" applyBorder="1" applyAlignment="1">
      <alignment horizontal="left"/>
    </xf>
    <xf numFmtId="0" fontId="11" fillId="0" borderId="71" xfId="0" applyFont="1" applyBorder="1"/>
    <xf numFmtId="164" fontId="38" fillId="0" borderId="71" xfId="0" applyNumberFormat="1" applyFont="1" applyBorder="1"/>
    <xf numFmtId="164" fontId="38" fillId="0" borderId="71" xfId="1" applyFont="1" applyBorder="1" applyAlignment="1">
      <alignment vertical="center"/>
    </xf>
    <xf numFmtId="0" fontId="37" fillId="0" borderId="71" xfId="0" applyFont="1" applyBorder="1"/>
    <xf numFmtId="0" fontId="17" fillId="0" borderId="71" xfId="0" applyFont="1" applyBorder="1" applyAlignment="1">
      <alignment horizontal="left" vertical="center" wrapText="1"/>
    </xf>
    <xf numFmtId="0" fontId="7" fillId="0" borderId="71" xfId="0" applyFont="1" applyBorder="1" applyAlignment="1">
      <alignment horizontal="left" vertical="center" wrapText="1"/>
    </xf>
    <xf numFmtId="0" fontId="6" fillId="2" borderId="51"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5" xfId="0" quotePrefix="1" applyFont="1" applyFill="1" applyBorder="1" applyAlignment="1">
      <alignment horizontal="center" vertical="center" wrapText="1"/>
    </xf>
    <xf numFmtId="0" fontId="6" fillId="2" borderId="73" xfId="0" applyFont="1" applyFill="1" applyBorder="1" applyAlignment="1">
      <alignment horizontal="center"/>
    </xf>
    <xf numFmtId="0" fontId="6" fillId="2" borderId="74" xfId="0" applyFont="1" applyFill="1" applyBorder="1" applyAlignment="1">
      <alignment horizontal="center" vertical="center" wrapText="1"/>
    </xf>
    <xf numFmtId="164" fontId="6" fillId="0" borderId="44" xfId="1" applyFont="1" applyBorder="1"/>
    <xf numFmtId="0" fontId="7" fillId="0" borderId="71" xfId="0" applyFont="1" applyBorder="1"/>
    <xf numFmtId="164" fontId="6" fillId="0" borderId="71" xfId="0" applyNumberFormat="1" applyFont="1" applyBorder="1"/>
    <xf numFmtId="164" fontId="7" fillId="0" borderId="71" xfId="0" applyNumberFormat="1" applyFont="1" applyBorder="1" applyAlignment="1">
      <alignment vertical="center"/>
    </xf>
    <xf numFmtId="164" fontId="6" fillId="0" borderId="71" xfId="0" applyNumberFormat="1" applyFont="1" applyBorder="1" applyAlignment="1">
      <alignment vertical="center"/>
    </xf>
    <xf numFmtId="4" fontId="17" fillId="0" borderId="71" xfId="0" applyNumberFormat="1" applyFont="1" applyBorder="1" applyAlignment="1">
      <alignment horizontal="left"/>
    </xf>
    <xf numFmtId="4" fontId="11" fillId="0" borderId="71" xfId="0" applyNumberFormat="1" applyFont="1" applyBorder="1"/>
    <xf numFmtId="4" fontId="38" fillId="0" borderId="71" xfId="0" applyNumberFormat="1" applyFont="1" applyBorder="1"/>
    <xf numFmtId="4" fontId="38" fillId="0" borderId="71" xfId="0" applyNumberFormat="1" applyFont="1" applyBorder="1" applyAlignment="1">
      <alignment vertical="center"/>
    </xf>
    <xf numFmtId="0" fontId="6" fillId="2" borderId="77" xfId="0" applyFont="1" applyFill="1" applyBorder="1" applyAlignment="1">
      <alignment horizontal="center" vertical="center" wrapText="1"/>
    </xf>
    <xf numFmtId="0" fontId="6" fillId="2" borderId="76" xfId="0" applyFont="1" applyFill="1" applyBorder="1" applyAlignment="1">
      <alignment horizontal="center" vertical="center" wrapText="1"/>
    </xf>
    <xf numFmtId="0" fontId="6" fillId="2" borderId="76" xfId="0" quotePrefix="1" applyFont="1" applyFill="1" applyBorder="1" applyAlignment="1">
      <alignment horizontal="center" vertical="center" wrapText="1"/>
    </xf>
    <xf numFmtId="0" fontId="6" fillId="2" borderId="78" xfId="0" applyFont="1" applyFill="1" applyBorder="1" applyAlignment="1">
      <alignment horizontal="center"/>
    </xf>
    <xf numFmtId="0" fontId="6" fillId="2" borderId="78" xfId="0" applyFont="1" applyFill="1" applyBorder="1" applyAlignment="1">
      <alignment horizontal="center" vertical="center" wrapText="1"/>
    </xf>
    <xf numFmtId="167" fontId="6" fillId="0" borderId="31" xfId="0" applyNumberFormat="1" applyFont="1" applyBorder="1"/>
    <xf numFmtId="0" fontId="7" fillId="0" borderId="31" xfId="0" quotePrefix="1" applyFont="1" applyBorder="1"/>
    <xf numFmtId="167" fontId="6" fillId="0" borderId="26" xfId="0" applyNumberFormat="1" applyFont="1" applyBorder="1"/>
    <xf numFmtId="167" fontId="6" fillId="0" borderId="17" xfId="0" applyNumberFormat="1" applyFont="1" applyBorder="1"/>
    <xf numFmtId="4" fontId="6" fillId="0" borderId="31" xfId="0" applyNumberFormat="1" applyFont="1" applyBorder="1"/>
    <xf numFmtId="4" fontId="6" fillId="0" borderId="34" xfId="0" applyNumberFormat="1" applyFont="1" applyBorder="1"/>
    <xf numFmtId="0" fontId="17" fillId="0" borderId="12" xfId="0" applyFont="1" applyBorder="1" applyAlignment="1">
      <alignment horizontal="left" wrapText="1"/>
    </xf>
    <xf numFmtId="0" fontId="4" fillId="0" borderId="17" xfId="0" applyFont="1" applyBorder="1"/>
    <xf numFmtId="0" fontId="3" fillId="0" borderId="12" xfId="0" applyFont="1" applyBorder="1"/>
    <xf numFmtId="0" fontId="4" fillId="0" borderId="1" xfId="0" applyFont="1" applyBorder="1"/>
    <xf numFmtId="0" fontId="6" fillId="0" borderId="15" xfId="0" applyFont="1" applyBorder="1" applyAlignment="1">
      <alignment horizontal="left" indent="5"/>
    </xf>
    <xf numFmtId="0" fontId="7" fillId="0" borderId="15" xfId="0" applyFont="1" applyBorder="1" applyAlignment="1">
      <alignment horizontal="left" indent="6"/>
    </xf>
    <xf numFmtId="164" fontId="6" fillId="0" borderId="31" xfId="0" applyNumberFormat="1" applyFont="1" applyBorder="1" applyAlignment="1">
      <alignment horizontal="right"/>
    </xf>
    <xf numFmtId="0" fontId="43" fillId="0" borderId="34" xfId="2" applyFont="1"/>
    <xf numFmtId="0" fontId="44" fillId="0" borderId="34" xfId="2" applyFont="1"/>
    <xf numFmtId="0" fontId="45" fillId="0" borderId="34" xfId="2" applyFont="1"/>
    <xf numFmtId="0" fontId="44" fillId="0" borderId="34" xfId="2" applyFont="1" applyAlignment="1">
      <alignment horizontal="center"/>
    </xf>
    <xf numFmtId="164" fontId="44" fillId="0" borderId="34" xfId="2" applyNumberFormat="1" applyFont="1"/>
    <xf numFmtId="0" fontId="42" fillId="0" borderId="34" xfId="2"/>
    <xf numFmtId="0" fontId="46" fillId="0" borderId="34" xfId="2" applyFont="1"/>
    <xf numFmtId="0" fontId="44" fillId="9" borderId="17" xfId="2" applyFont="1" applyFill="1" applyBorder="1" applyAlignment="1">
      <alignment horizontal="center" vertical="center" wrapText="1"/>
    </xf>
    <xf numFmtId="0" fontId="44" fillId="0" borderId="79" xfId="2" applyFont="1" applyBorder="1"/>
    <xf numFmtId="0" fontId="44" fillId="0" borderId="13" xfId="2" applyFont="1" applyBorder="1"/>
    <xf numFmtId="0" fontId="44" fillId="0" borderId="17" xfId="2" applyFont="1" applyBorder="1"/>
    <xf numFmtId="0" fontId="44" fillId="0" borderId="17" xfId="2" applyFont="1" applyBorder="1" applyAlignment="1">
      <alignment horizontal="center"/>
    </xf>
    <xf numFmtId="0" fontId="44" fillId="0" borderId="12" xfId="2" applyFont="1" applyBorder="1"/>
    <xf numFmtId="0" fontId="44" fillId="0" borderId="30" xfId="2" applyFont="1" applyBorder="1"/>
    <xf numFmtId="0" fontId="44" fillId="0" borderId="31" xfId="2" applyFont="1" applyBorder="1"/>
    <xf numFmtId="0" fontId="44" fillId="0" borderId="37" xfId="2" applyFont="1" applyBorder="1" applyAlignment="1">
      <alignment horizontal="center"/>
    </xf>
    <xf numFmtId="164" fontId="44" fillId="0" borderId="31" xfId="2" applyNumberFormat="1" applyFont="1" applyBorder="1"/>
    <xf numFmtId="164" fontId="44" fillId="0" borderId="30" xfId="2" applyNumberFormat="1" applyFont="1" applyBorder="1"/>
    <xf numFmtId="0" fontId="44" fillId="0" borderId="37" xfId="2" applyFont="1" applyBorder="1"/>
    <xf numFmtId="0" fontId="44" fillId="0" borderId="31" xfId="2" applyFont="1" applyBorder="1" applyAlignment="1">
      <alignment horizontal="center"/>
    </xf>
    <xf numFmtId="164" fontId="44" fillId="0" borderId="31" xfId="3" applyFont="1" applyBorder="1" applyAlignment="1">
      <alignment horizontal="right"/>
    </xf>
    <xf numFmtId="164" fontId="44" fillId="0" borderId="31" xfId="3" applyFont="1" applyBorder="1"/>
    <xf numFmtId="164" fontId="44" fillId="0" borderId="31" xfId="2" applyNumberFormat="1" applyFont="1" applyBorder="1" applyAlignment="1">
      <alignment horizontal="right"/>
    </xf>
    <xf numFmtId="0" fontId="44" fillId="0" borderId="37" xfId="2" applyFont="1" applyBorder="1" applyAlignment="1">
      <alignment wrapText="1"/>
    </xf>
    <xf numFmtId="164" fontId="46" fillId="0" borderId="30" xfId="2" applyNumberFormat="1" applyFont="1" applyBorder="1"/>
    <xf numFmtId="0" fontId="44" fillId="0" borderId="80" xfId="2" applyFont="1" applyBorder="1"/>
    <xf numFmtId="0" fontId="44" fillId="0" borderId="81" xfId="2" applyFont="1" applyBorder="1"/>
    <xf numFmtId="0" fontId="44" fillId="0" borderId="82" xfId="2" applyFont="1" applyBorder="1"/>
    <xf numFmtId="0" fontId="44" fillId="0" borderId="54" xfId="2" applyFont="1" applyBorder="1" applyAlignment="1">
      <alignment horizontal="center"/>
    </xf>
    <xf numFmtId="164" fontId="46" fillId="0" borderId="54" xfId="2" applyNumberFormat="1" applyFont="1" applyBorder="1"/>
    <xf numFmtId="164" fontId="46" fillId="0" borderId="80" xfId="2" applyNumberFormat="1" applyFont="1" applyBorder="1"/>
    <xf numFmtId="164" fontId="46" fillId="0" borderId="31" xfId="2" applyNumberFormat="1" applyFont="1" applyBorder="1"/>
    <xf numFmtId="0" fontId="44" fillId="0" borderId="34" xfId="2" applyFont="1" applyBorder="1"/>
    <xf numFmtId="0" fontId="44" fillId="0" borderId="47" xfId="2" applyFont="1" applyBorder="1" applyAlignment="1">
      <alignment horizontal="center"/>
    </xf>
    <xf numFmtId="164" fontId="44" fillId="0" borderId="34" xfId="2" applyNumberFormat="1" applyFont="1" applyBorder="1"/>
    <xf numFmtId="164" fontId="44" fillId="0" borderId="47" xfId="2" applyNumberFormat="1" applyFont="1" applyBorder="1"/>
    <xf numFmtId="164" fontId="44" fillId="0" borderId="37" xfId="2" applyNumberFormat="1" applyFont="1" applyBorder="1"/>
    <xf numFmtId="0" fontId="44" fillId="0" borderId="48" xfId="2" applyFont="1" applyBorder="1"/>
    <xf numFmtId="0" fontId="44" fillId="0" borderId="83" xfId="2" applyFont="1" applyBorder="1"/>
    <xf numFmtId="0" fontId="44" fillId="0" borderId="84" xfId="2" applyFont="1" applyBorder="1"/>
    <xf numFmtId="0" fontId="44" fillId="0" borderId="85" xfId="2" applyFont="1" applyBorder="1"/>
    <xf numFmtId="0" fontId="44" fillId="0" borderId="86" xfId="2" applyFont="1" applyBorder="1" applyAlignment="1">
      <alignment horizontal="center"/>
    </xf>
    <xf numFmtId="164" fontId="46" fillId="0" borderId="86" xfId="2" applyNumberFormat="1" applyFont="1" applyBorder="1"/>
    <xf numFmtId="164" fontId="46" fillId="0" borderId="83" xfId="2" applyNumberFormat="1" applyFont="1" applyBorder="1"/>
    <xf numFmtId="0" fontId="44" fillId="0" borderId="58" xfId="2" applyFont="1" applyBorder="1"/>
    <xf numFmtId="0" fontId="44" fillId="0" borderId="87" xfId="2" applyFont="1" applyBorder="1"/>
    <xf numFmtId="0" fontId="44" fillId="0" borderId="60" xfId="2" applyFont="1" applyBorder="1"/>
    <xf numFmtId="0" fontId="44" fillId="0" borderId="60" xfId="2" applyFont="1" applyBorder="1" applyAlignment="1">
      <alignment horizontal="center"/>
    </xf>
    <xf numFmtId="164" fontId="44" fillId="0" borderId="60" xfId="2" applyNumberFormat="1" applyFont="1" applyBorder="1"/>
    <xf numFmtId="164" fontId="44" fillId="0" borderId="87" xfId="2" applyNumberFormat="1" applyFont="1" applyBorder="1"/>
    <xf numFmtId="0" fontId="44" fillId="0" borderId="82" xfId="2" applyFont="1" applyBorder="1" applyAlignment="1">
      <alignment horizontal="center"/>
    </xf>
    <xf numFmtId="164" fontId="46" fillId="0" borderId="82" xfId="2" applyNumberFormat="1" applyFont="1" applyBorder="1"/>
    <xf numFmtId="164" fontId="46" fillId="0" borderId="81" xfId="2" applyNumberFormat="1" applyFont="1" applyBorder="1"/>
    <xf numFmtId="164" fontId="44" fillId="0" borderId="81" xfId="2" applyNumberFormat="1" applyFont="1" applyBorder="1"/>
    <xf numFmtId="0" fontId="42" fillId="0" borderId="81" xfId="2" applyBorder="1"/>
    <xf numFmtId="0" fontId="44" fillId="0" borderId="30" xfId="2" applyFont="1" applyBorder="1" applyAlignment="1">
      <alignment horizontal="center"/>
    </xf>
    <xf numFmtId="164" fontId="44" fillId="0" borderId="63" xfId="2" applyNumberFormat="1" applyFont="1" applyBorder="1"/>
    <xf numFmtId="0" fontId="44" fillId="0" borderId="63" xfId="2" applyFont="1" applyBorder="1"/>
    <xf numFmtId="0" fontId="42" fillId="0" borderId="63" xfId="2" applyBorder="1"/>
    <xf numFmtId="164" fontId="44" fillId="0" borderId="62" xfId="2" applyNumberFormat="1" applyFont="1" applyBorder="1"/>
    <xf numFmtId="0" fontId="44" fillId="0" borderId="62" xfId="2" applyFont="1" applyBorder="1"/>
    <xf numFmtId="0" fontId="42" fillId="0" borderId="62" xfId="2" applyBorder="1"/>
    <xf numFmtId="0" fontId="7" fillId="0" borderId="31" xfId="2" applyFont="1" applyBorder="1" applyAlignment="1">
      <alignment horizontal="center"/>
    </xf>
    <xf numFmtId="164" fontId="46" fillId="0" borderId="34" xfId="2" applyNumberFormat="1" applyFont="1"/>
    <xf numFmtId="0" fontId="44" fillId="0" borderId="38" xfId="2" applyFont="1" applyBorder="1"/>
    <xf numFmtId="0" fontId="44" fillId="0" borderId="39" xfId="2" applyFont="1" applyBorder="1"/>
    <xf numFmtId="0" fontId="46" fillId="0" borderId="40" xfId="2" applyFont="1" applyBorder="1" applyAlignment="1">
      <alignment horizontal="right"/>
    </xf>
    <xf numFmtId="0" fontId="44" fillId="0" borderId="1" xfId="2" applyFont="1" applyBorder="1" applyAlignment="1">
      <alignment horizontal="center"/>
    </xf>
    <xf numFmtId="164" fontId="46" fillId="0" borderId="1" xfId="2" applyNumberFormat="1" applyFont="1" applyBorder="1"/>
    <xf numFmtId="0" fontId="44" fillId="0" borderId="13" xfId="2" applyFont="1" applyBorder="1" applyAlignment="1">
      <alignment horizontal="center"/>
    </xf>
    <xf numFmtId="164" fontId="46" fillId="0" borderId="13" xfId="2" applyNumberFormat="1" applyFont="1" applyBorder="1"/>
    <xf numFmtId="0" fontId="42" fillId="0" borderId="13" xfId="2" applyBorder="1"/>
    <xf numFmtId="164" fontId="47" fillId="0" borderId="34" xfId="2" applyNumberFormat="1" applyFont="1"/>
    <xf numFmtId="164" fontId="48" fillId="0" borderId="34" xfId="2" applyNumberFormat="1" applyFont="1"/>
    <xf numFmtId="0" fontId="49" fillId="0" borderId="34" xfId="2" applyFont="1"/>
    <xf numFmtId="0" fontId="47" fillId="0" borderId="34" xfId="2" applyFont="1"/>
    <xf numFmtId="0" fontId="49" fillId="0" borderId="34" xfId="2" applyFont="1" applyAlignment="1">
      <alignment horizontal="center"/>
    </xf>
    <xf numFmtId="164" fontId="49" fillId="0" borderId="34" xfId="2" applyNumberFormat="1" applyFont="1"/>
    <xf numFmtId="0" fontId="50" fillId="0" borderId="34" xfId="2" applyFont="1"/>
    <xf numFmtId="164" fontId="6" fillId="0" borderId="31" xfId="2" applyNumberFormat="1" applyFont="1" applyBorder="1"/>
    <xf numFmtId="164" fontId="6" fillId="0" borderId="34" xfId="2" applyNumberFormat="1" applyFont="1"/>
    <xf numFmtId="0" fontId="42" fillId="0" borderId="34" xfId="2" applyAlignment="1">
      <alignment horizontal="center"/>
    </xf>
    <xf numFmtId="0" fontId="46" fillId="0" borderId="34" xfId="2" applyFont="1" applyAlignment="1">
      <alignment horizontal="center"/>
    </xf>
    <xf numFmtId="0" fontId="42" fillId="0" borderId="34" xfId="2"/>
    <xf numFmtId="0" fontId="46" fillId="0" borderId="34" xfId="2" applyFont="1" applyAlignment="1">
      <alignment horizontal="left"/>
    </xf>
    <xf numFmtId="0" fontId="42" fillId="0" borderId="34" xfId="2" applyAlignment="1">
      <alignment horizontal="left"/>
    </xf>
    <xf numFmtId="0" fontId="44" fillId="9" borderId="79" xfId="2" applyFont="1" applyFill="1" applyBorder="1" applyAlignment="1">
      <alignment horizontal="center" vertical="center" wrapText="1"/>
    </xf>
    <xf numFmtId="0" fontId="8" fillId="0" borderId="13" xfId="2" applyFont="1" applyBorder="1"/>
    <xf numFmtId="0" fontId="8" fillId="0" borderId="19" xfId="2" applyFont="1" applyBorder="1"/>
    <xf numFmtId="0" fontId="6" fillId="2" borderId="10" xfId="0" applyFont="1" applyFill="1" applyBorder="1" applyAlignment="1">
      <alignment horizontal="center" vertical="center" wrapText="1"/>
    </xf>
    <xf numFmtId="0" fontId="8" fillId="0" borderId="15" xfId="0" applyFont="1" applyBorder="1"/>
    <xf numFmtId="164" fontId="6" fillId="2" borderId="19" xfId="0" applyNumberFormat="1" applyFont="1" applyFill="1" applyBorder="1" applyAlignment="1">
      <alignment horizontal="center" vertical="center" wrapText="1"/>
    </xf>
    <xf numFmtId="0" fontId="8" fillId="0" borderId="23" xfId="0" applyFont="1" applyBorder="1"/>
    <xf numFmtId="0" fontId="6" fillId="0" borderId="5" xfId="0" applyFont="1" applyBorder="1" applyAlignment="1">
      <alignment horizontal="center"/>
    </xf>
    <xf numFmtId="0" fontId="0" fillId="0" borderId="0" xfId="0"/>
    <xf numFmtId="0" fontId="8" fillId="0" borderId="6" xfId="0" applyFont="1" applyBorder="1"/>
    <xf numFmtId="0" fontId="7" fillId="0" borderId="5" xfId="0" applyFont="1" applyBorder="1" applyAlignment="1">
      <alignment horizontal="center"/>
    </xf>
    <xf numFmtId="0" fontId="6" fillId="0" borderId="7" xfId="0" applyFont="1" applyBorder="1" applyAlignment="1">
      <alignment horizontal="center"/>
    </xf>
    <xf numFmtId="0" fontId="8" fillId="0" borderId="8" xfId="0" applyFont="1" applyBorder="1"/>
    <xf numFmtId="0" fontId="8" fillId="0" borderId="9" xfId="0" applyFont="1" applyBorder="1"/>
    <xf numFmtId="0" fontId="6" fillId="2" borderId="10" xfId="0" applyFont="1" applyFill="1" applyBorder="1" applyAlignment="1">
      <alignment horizontal="center" vertical="center"/>
    </xf>
    <xf numFmtId="0" fontId="8" fillId="0" borderId="24" xfId="0" applyFont="1" applyBorder="1"/>
    <xf numFmtId="0" fontId="6" fillId="2" borderId="11" xfId="0" applyFont="1" applyFill="1" applyBorder="1" applyAlignment="1">
      <alignment horizontal="center" vertical="center" wrapText="1"/>
    </xf>
    <xf numFmtId="0" fontId="8" fillId="0" borderId="16" xfId="0" applyFont="1" applyBorder="1"/>
    <xf numFmtId="0" fontId="6" fillId="2" borderId="12" xfId="0" applyFont="1" applyFill="1" applyBorder="1" applyAlignment="1">
      <alignment horizontal="center" vertical="center"/>
    </xf>
    <xf numFmtId="0" fontId="8" fillId="0" borderId="13" xfId="0" applyFont="1" applyBorder="1"/>
    <xf numFmtId="0" fontId="8" fillId="0" borderId="14" xfId="0" applyFont="1" applyBorder="1"/>
    <xf numFmtId="0" fontId="6" fillId="2" borderId="19"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8" fillId="0" borderId="35" xfId="0" applyFont="1" applyBorder="1"/>
    <xf numFmtId="0" fontId="6" fillId="0" borderId="30" xfId="0" applyFont="1" applyBorder="1" applyAlignment="1">
      <alignment horizontal="left" vertical="center" wrapText="1"/>
    </xf>
    <xf numFmtId="0" fontId="6" fillId="0" borderId="34" xfId="0" applyFont="1" applyBorder="1" applyAlignment="1">
      <alignment horizontal="left" vertical="center" wrapText="1"/>
    </xf>
    <xf numFmtId="0" fontId="6" fillId="0" borderId="37" xfId="0" applyFont="1" applyBorder="1" applyAlignment="1">
      <alignment horizontal="left" vertical="center" wrapText="1"/>
    </xf>
    <xf numFmtId="0" fontId="6" fillId="0" borderId="5" xfId="0" applyFont="1" applyBorder="1" applyAlignment="1">
      <alignment horizontal="center" vertical="center"/>
    </xf>
    <xf numFmtId="0" fontId="7" fillId="0" borderId="5" xfId="0" applyFont="1" applyBorder="1" applyAlignment="1">
      <alignment horizontal="center" vertical="center"/>
    </xf>
    <xf numFmtId="0" fontId="6" fillId="0" borderId="7" xfId="0" applyFont="1" applyBorder="1" applyAlignment="1">
      <alignment horizontal="center" vertical="center"/>
    </xf>
    <xf numFmtId="0" fontId="6" fillId="2" borderId="29" xfId="0" applyFont="1" applyFill="1" applyBorder="1" applyAlignment="1">
      <alignment horizontal="center" vertical="center"/>
    </xf>
    <xf numFmtId="0" fontId="8" fillId="0" borderId="33" xfId="0" applyFont="1" applyBorder="1"/>
    <xf numFmtId="0" fontId="8" fillId="0" borderId="28" xfId="0" applyFont="1" applyBorder="1"/>
    <xf numFmtId="0" fontId="11" fillId="0" borderId="7" xfId="0" applyFont="1" applyBorder="1" applyAlignment="1">
      <alignment horizontal="center"/>
    </xf>
    <xf numFmtId="0" fontId="11" fillId="2" borderId="10" xfId="0" applyFont="1" applyFill="1" applyBorder="1" applyAlignment="1">
      <alignment horizontal="center" vertical="center"/>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xf>
    <xf numFmtId="0" fontId="11" fillId="2" borderId="19"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8" fillId="0" borderId="45" xfId="0" applyFont="1" applyBorder="1"/>
    <xf numFmtId="0" fontId="6" fillId="2" borderId="51" xfId="0" applyFont="1" applyFill="1" applyBorder="1" applyAlignment="1">
      <alignment horizontal="center" vertical="center" wrapText="1"/>
    </xf>
    <xf numFmtId="0" fontId="8" fillId="0" borderId="47" xfId="0" applyFont="1" applyBorder="1"/>
    <xf numFmtId="0" fontId="6" fillId="2" borderId="65" xfId="0" applyFont="1" applyFill="1" applyBorder="1" applyAlignment="1">
      <alignment horizontal="center" vertical="center"/>
    </xf>
    <xf numFmtId="0" fontId="8" fillId="0" borderId="73" xfId="0" applyFont="1" applyBorder="1"/>
    <xf numFmtId="0" fontId="6" fillId="2" borderId="65" xfId="0" applyFont="1" applyFill="1" applyBorder="1" applyAlignment="1">
      <alignment horizontal="center" vertical="center" wrapText="1"/>
    </xf>
    <xf numFmtId="0" fontId="8" fillId="0" borderId="65" xfId="0" applyFont="1" applyBorder="1"/>
    <xf numFmtId="0" fontId="6" fillId="2" borderId="75" xfId="0" applyFont="1" applyFill="1" applyBorder="1" applyAlignment="1">
      <alignment horizontal="center" vertical="center" wrapText="1"/>
    </xf>
    <xf numFmtId="0" fontId="8" fillId="0" borderId="76" xfId="0" applyFont="1" applyBorder="1"/>
    <xf numFmtId="0" fontId="6" fillId="2" borderId="77" xfId="0" applyFont="1" applyFill="1" applyBorder="1" applyAlignment="1">
      <alignment horizontal="center" vertical="center" wrapText="1"/>
    </xf>
    <xf numFmtId="0" fontId="6" fillId="2" borderId="75" xfId="0" applyFont="1" applyFill="1" applyBorder="1" applyAlignment="1">
      <alignment horizontal="center" vertical="center"/>
    </xf>
    <xf numFmtId="0" fontId="8" fillId="0" borderId="78" xfId="0" applyFont="1" applyBorder="1"/>
    <xf numFmtId="0" fontId="8" fillId="0" borderId="75" xfId="0" applyFont="1" applyBorder="1"/>
    <xf numFmtId="0" fontId="28" fillId="0" borderId="34" xfId="4" applyFont="1"/>
    <xf numFmtId="164" fontId="28" fillId="0" borderId="34" xfId="5" applyFont="1"/>
    <xf numFmtId="0" fontId="28" fillId="0" borderId="34" xfId="4" applyFont="1" applyAlignment="1">
      <alignment horizontal="center"/>
    </xf>
    <xf numFmtId="0" fontId="51" fillId="0" borderId="34" xfId="4" applyFont="1" applyAlignment="1">
      <alignment horizontal="center"/>
    </xf>
    <xf numFmtId="0" fontId="52" fillId="0" borderId="34" xfId="4" applyFont="1"/>
    <xf numFmtId="0" fontId="53" fillId="0" borderId="34" xfId="4" applyFont="1"/>
    <xf numFmtId="0" fontId="28" fillId="0" borderId="34" xfId="4" applyFont="1" applyAlignment="1">
      <alignment horizontal="right"/>
    </xf>
    <xf numFmtId="164" fontId="28" fillId="0" borderId="62" xfId="5" applyFont="1" applyBorder="1"/>
    <xf numFmtId="0" fontId="28" fillId="0" borderId="62" xfId="4" applyFont="1" applyBorder="1"/>
    <xf numFmtId="164" fontId="51" fillId="0" borderId="88" xfId="5" applyFont="1" applyBorder="1"/>
    <xf numFmtId="164" fontId="51" fillId="0" borderId="89" xfId="5" applyFont="1" applyBorder="1"/>
    <xf numFmtId="0" fontId="51" fillId="0" borderId="89" xfId="4" applyFont="1" applyBorder="1"/>
    <xf numFmtId="0" fontId="28" fillId="0" borderId="81" xfId="4" applyFont="1" applyBorder="1"/>
    <xf numFmtId="0" fontId="28" fillId="0" borderId="90" xfId="4" applyFont="1" applyBorder="1"/>
    <xf numFmtId="164" fontId="54" fillId="0" borderId="64" xfId="5" applyFont="1" applyBorder="1"/>
    <xf numFmtId="164" fontId="55" fillId="0" borderId="91" xfId="5" applyFont="1" applyBorder="1"/>
    <xf numFmtId="0" fontId="28" fillId="0" borderId="91" xfId="4" applyFont="1" applyBorder="1"/>
    <xf numFmtId="0" fontId="28" fillId="0" borderId="63" xfId="4" applyFont="1" applyBorder="1"/>
    <xf numFmtId="0" fontId="51" fillId="0" borderId="92" xfId="4" applyFont="1" applyBorder="1"/>
    <xf numFmtId="164" fontId="55" fillId="0" borderId="47" xfId="5" applyFont="1" applyFill="1" applyBorder="1"/>
    <xf numFmtId="164" fontId="56" fillId="0" borderId="47" xfId="5" applyFont="1" applyFill="1" applyBorder="1"/>
    <xf numFmtId="0" fontId="51" fillId="0" borderId="48" xfId="4" applyFont="1" applyBorder="1"/>
    <xf numFmtId="164" fontId="54" fillId="0" borderId="47" xfId="5" applyFont="1" applyFill="1" applyBorder="1"/>
    <xf numFmtId="164" fontId="51" fillId="0" borderId="47" xfId="5" applyFont="1" applyFill="1" applyBorder="1"/>
    <xf numFmtId="0" fontId="51" fillId="0" borderId="47" xfId="4" applyFont="1" applyBorder="1"/>
    <xf numFmtId="164" fontId="28" fillId="0" borderId="47" xfId="5" applyFont="1" applyFill="1" applyBorder="1"/>
    <xf numFmtId="0" fontId="28" fillId="0" borderId="34" xfId="4" applyFont="1" applyAlignment="1">
      <alignment wrapText="1"/>
    </xf>
    <xf numFmtId="0" fontId="28" fillId="0" borderId="48" xfId="4" applyFont="1" applyBorder="1"/>
    <xf numFmtId="164" fontId="55" fillId="0" borderId="65" xfId="5" applyFont="1" applyFill="1" applyBorder="1"/>
    <xf numFmtId="164" fontId="28" fillId="0" borderId="65" xfId="5" applyFont="1" applyFill="1" applyBorder="1"/>
    <xf numFmtId="0" fontId="28" fillId="0" borderId="93" xfId="4" applyFont="1" applyBorder="1"/>
    <xf numFmtId="164" fontId="55" fillId="0" borderId="64" xfId="5" applyFont="1" applyFill="1" applyBorder="1"/>
    <xf numFmtId="164" fontId="28" fillId="0" borderId="64" xfId="5" applyFont="1" applyFill="1" applyBorder="1"/>
    <xf numFmtId="0" fontId="28" fillId="0" borderId="92" xfId="4" applyFont="1" applyBorder="1"/>
    <xf numFmtId="164" fontId="55" fillId="0" borderId="47" xfId="5" applyFont="1" applyBorder="1"/>
    <xf numFmtId="164" fontId="51" fillId="0" borderId="47" xfId="5" applyFont="1" applyBorder="1"/>
    <xf numFmtId="164" fontId="55" fillId="0" borderId="52" xfId="5" applyFont="1" applyBorder="1"/>
    <xf numFmtId="0" fontId="28" fillId="0" borderId="52" xfId="4" applyFont="1" applyBorder="1"/>
    <xf numFmtId="164" fontId="28" fillId="0" borderId="48" xfId="5" applyFont="1" applyFill="1" applyBorder="1"/>
    <xf numFmtId="164" fontId="28" fillId="0" borderId="47" xfId="5" applyFont="1" applyBorder="1"/>
    <xf numFmtId="164" fontId="28" fillId="0" borderId="52" xfId="5" applyFont="1" applyBorder="1"/>
    <xf numFmtId="164" fontId="51" fillId="0" borderId="52" xfId="5" applyFont="1" applyBorder="1"/>
    <xf numFmtId="0" fontId="51" fillId="0" borderId="52" xfId="4" applyFont="1" applyBorder="1"/>
    <xf numFmtId="0" fontId="51" fillId="0" borderId="34" xfId="4" applyFont="1"/>
    <xf numFmtId="0" fontId="28" fillId="0" borderId="62" xfId="4" applyFont="1" applyBorder="1" applyAlignment="1">
      <alignment vertical="center"/>
    </xf>
    <xf numFmtId="164" fontId="51" fillId="10" borderId="88" xfId="5" applyFont="1" applyFill="1" applyBorder="1" applyAlignment="1">
      <alignment horizontal="center" vertical="center"/>
    </xf>
    <xf numFmtId="164" fontId="51" fillId="10" borderId="89" xfId="5" applyFont="1" applyFill="1" applyBorder="1" applyAlignment="1">
      <alignment horizontal="center" vertical="center"/>
    </xf>
    <xf numFmtId="0" fontId="51" fillId="10" borderId="89" xfId="4" applyFont="1" applyFill="1" applyBorder="1" applyAlignment="1">
      <alignment horizontal="center" vertical="center"/>
    </xf>
    <xf numFmtId="0" fontId="51" fillId="10" borderId="81" xfId="4" applyFont="1" applyFill="1" applyBorder="1" applyAlignment="1">
      <alignment horizontal="center" vertical="center"/>
    </xf>
    <xf numFmtId="0" fontId="51" fillId="10" borderId="90" xfId="4" applyFont="1" applyFill="1" applyBorder="1" applyAlignment="1">
      <alignment horizontal="center" vertical="center"/>
    </xf>
    <xf numFmtId="0" fontId="57" fillId="0" borderId="34" xfId="4" applyFont="1" applyAlignment="1">
      <alignment horizontal="center"/>
    </xf>
  </cellXfs>
  <cellStyles count="6">
    <cellStyle name="Comma" xfId="1" builtinId="3"/>
    <cellStyle name="Comma 2" xfId="3"/>
    <cellStyle name="Comma 3" xfId="5"/>
    <cellStyle name="Normal" xfId="0" builtinId="0"/>
    <cellStyle name="Normal 2" xfId="2"/>
    <cellStyle name="Normal 3" xfId="4"/>
  </cellStyles>
  <dxfs count="0"/>
  <tableStyles count="0" defaultTableStyle="TableStyleMedium2" defaultPivotStyle="PivotStyleLight16"/>
  <colors>
    <mruColors>
      <color rgb="FFFD8D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5</xdr:col>
      <xdr:colOff>1075764</xdr:colOff>
      <xdr:row>125</xdr:row>
      <xdr:rowOff>58109</xdr:rowOff>
    </xdr:from>
    <xdr:to>
      <xdr:col>7</xdr:col>
      <xdr:colOff>251012</xdr:colOff>
      <xdr:row>132</xdr:row>
      <xdr:rowOff>214798</xdr:rowOff>
    </xdr:to>
    <xdr:pic>
      <xdr:nvPicPr>
        <xdr:cNvPr id="2" name="Picture 1">
          <a:extLst>
            <a:ext uri="{FF2B5EF4-FFF2-40B4-BE49-F238E27FC236}">
              <a16:creationId xmlns:a16="http://schemas.microsoft.com/office/drawing/2014/main" id="{0416900E-7056-5EC0-704A-B228C397E2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14739" y="30280934"/>
          <a:ext cx="2137523" cy="1823564"/>
        </a:xfrm>
        <a:prstGeom prst="rect">
          <a:avLst/>
        </a:prstGeom>
      </xdr:spPr>
    </xdr:pic>
    <xdr:clientData/>
  </xdr:twoCellAnchor>
  <xdr:twoCellAnchor editAs="oneCell">
    <xdr:from>
      <xdr:col>1</xdr:col>
      <xdr:colOff>96212</xdr:colOff>
      <xdr:row>126</xdr:row>
      <xdr:rowOff>45412</xdr:rowOff>
    </xdr:from>
    <xdr:to>
      <xdr:col>2</xdr:col>
      <xdr:colOff>2375648</xdr:colOff>
      <xdr:row>131</xdr:row>
      <xdr:rowOff>191323</xdr:rowOff>
    </xdr:to>
    <xdr:pic>
      <xdr:nvPicPr>
        <xdr:cNvPr id="3" name="Picture 2">
          <a:extLst>
            <a:ext uri="{FF2B5EF4-FFF2-40B4-BE49-F238E27FC236}">
              <a16:creationId xmlns:a16="http://schemas.microsoft.com/office/drawing/2014/main" id="{67F61F0D-B27C-4F69-3490-B6D0CB7457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7187" y="30506362"/>
          <a:ext cx="2460411" cy="1336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588579</xdr:colOff>
      <xdr:row>119</xdr:row>
      <xdr:rowOff>59856</xdr:rowOff>
    </xdr:from>
    <xdr:ext cx="1970690" cy="999061"/>
    <xdr:pic>
      <xdr:nvPicPr>
        <xdr:cNvPr id="2" name="Picture 1">
          <a:extLst>
            <a:ext uri="{FF2B5EF4-FFF2-40B4-BE49-F238E27FC236}">
              <a16:creationId xmlns:a16="http://schemas.microsoft.com/office/drawing/2014/main" id="{0F6C190D-BF33-9FB5-3B65-32C32CE7C4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8729" y="22729356"/>
          <a:ext cx="1970690" cy="999061"/>
        </a:xfrm>
        <a:prstGeom prst="rect">
          <a:avLst/>
        </a:prstGeom>
      </xdr:spPr>
    </xdr:pic>
    <xdr:clientData/>
  </xdr:oneCellAnchor>
  <xdr:oneCellAnchor>
    <xdr:from>
      <xdr:col>2</xdr:col>
      <xdr:colOff>5649310</xdr:colOff>
      <xdr:row>117</xdr:row>
      <xdr:rowOff>168166</xdr:rowOff>
    </xdr:from>
    <xdr:ext cx="2619714" cy="1118038"/>
    <xdr:pic>
      <xdr:nvPicPr>
        <xdr:cNvPr id="3" name="Picture 2">
          <a:extLst>
            <a:ext uri="{FF2B5EF4-FFF2-40B4-BE49-F238E27FC236}">
              <a16:creationId xmlns:a16="http://schemas.microsoft.com/office/drawing/2014/main" id="{E068340D-9B67-6208-86E6-B6967F366C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1210" y="22456666"/>
          <a:ext cx="2619714" cy="1118038"/>
        </a:xfrm>
        <a:prstGeom prst="rect">
          <a:avLst/>
        </a:prstGeom>
      </xdr:spPr>
    </xdr:pic>
    <xdr:clientData/>
  </xdr:oneCellAnchor>
  <xdr:oneCellAnchor>
    <xdr:from>
      <xdr:col>2</xdr:col>
      <xdr:colOff>2785103</xdr:colOff>
      <xdr:row>126</xdr:row>
      <xdr:rowOff>152398</xdr:rowOff>
    </xdr:from>
    <xdr:ext cx="2226441" cy="1700048"/>
    <xdr:pic>
      <xdr:nvPicPr>
        <xdr:cNvPr id="4" name="Picture 3">
          <a:extLst>
            <a:ext uri="{FF2B5EF4-FFF2-40B4-BE49-F238E27FC236}">
              <a16:creationId xmlns:a16="http://schemas.microsoft.com/office/drawing/2014/main" id="{4CBB9B24-DFE3-D387-0795-8442EFC3A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4028" y="24155398"/>
          <a:ext cx="2226441" cy="1700048"/>
        </a:xfrm>
        <a:prstGeom prst="rect">
          <a:avLst/>
        </a:prstGeom>
      </xdr:spPr>
    </xdr:pic>
    <xdr:clientData/>
  </xdr:oneCellAnchor>
  <xdr:oneCellAnchor>
    <xdr:from>
      <xdr:col>2</xdr:col>
      <xdr:colOff>3384332</xdr:colOff>
      <xdr:row>119</xdr:row>
      <xdr:rowOff>73572</xdr:rowOff>
    </xdr:from>
    <xdr:ext cx="1675298" cy="696310"/>
    <xdr:pic>
      <xdr:nvPicPr>
        <xdr:cNvPr id="5" name="Picture 4">
          <a:extLst>
            <a:ext uri="{FF2B5EF4-FFF2-40B4-BE49-F238E27FC236}">
              <a16:creationId xmlns:a16="http://schemas.microsoft.com/office/drawing/2014/main" id="{BA69582C-18A8-59C8-B120-7B60FF8AD4E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3182" y="22743072"/>
          <a:ext cx="1675298" cy="69631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5838\Local%20Settings\Temporary%20Internet%20Files\Content.IE5\0TMFK96Z\Anna%20Report\D%20Drive\LGU-CORON\anna-revised%20%20proj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5838\Local%20Settings\Temporary%20Internet%20Files\Content.IE5\0TMFK96Z\Anna%20Report\D%20Drive\LGU-CORON\anna-revised%20%20projec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spd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LEP%202026%20for%20Disclosure/LBP%20Form%20No.%207%202026%20AB%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udget/LEP%202026%20for%20Disclosure/LBP%20Form%20No.%206%2020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5838\Local%20Settings\Temporary%20Internet%20Files\Content.IE5\0TMFK96Z\Anna%20Report\D%20Drive\LGU-CORON\anna-revised%20%20proje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covered_Sheet1"/>
      <sheetName val="ORIG-PROJ'N(2008)"/>
      <sheetName val="FINAL-CONSOLIDATED2008"/>
      <sheetName val="annay.-final"/>
      <sheetName val="sense 1"/>
      <sheetName val="sense 2"/>
      <sheetName val="sense 3"/>
      <sheetName val="proj'n-water"/>
      <sheetName val="Sheet1"/>
      <sheetName val="Sheet2"/>
    </sheetNames>
    <sheetDataSet>
      <sheetData sheetId="0"/>
      <sheetData sheetId="1"/>
      <sheetData sheetId="2"/>
      <sheetData sheetId="3">
        <row r="125">
          <cell r="B125" t="str">
            <v>Year 1</v>
          </cell>
          <cell r="F125" t="str">
            <v>Year 5</v>
          </cell>
        </row>
        <row r="126">
          <cell r="B126" t="str">
            <v>(2008)</v>
          </cell>
          <cell r="F126" t="str">
            <v>(2012)</v>
          </cell>
        </row>
        <row r="127">
          <cell r="B127" t="str">
            <v>-</v>
          </cell>
          <cell r="F127" t="str">
            <v>-</v>
          </cell>
        </row>
        <row r="130">
          <cell r="B130">
            <v>39.843240856900017</v>
          </cell>
          <cell r="F130">
            <v>86.462292851590107</v>
          </cell>
        </row>
        <row r="131">
          <cell r="B131">
            <v>20.018158199999998</v>
          </cell>
          <cell r="F131">
            <v>22.686515099260617</v>
          </cell>
        </row>
        <row r="132">
          <cell r="B132">
            <v>0</v>
          </cell>
          <cell r="F132">
            <v>0</v>
          </cell>
        </row>
        <row r="133">
          <cell r="B133" t="str">
            <v>-</v>
          </cell>
          <cell r="F133" t="str">
            <v>-</v>
          </cell>
        </row>
        <row r="134">
          <cell r="B134">
            <v>59.861399056900012</v>
          </cell>
          <cell r="F134">
            <v>109.14880795085072</v>
          </cell>
        </row>
        <row r="135">
          <cell r="B135" t="str">
            <v>-</v>
          </cell>
          <cell r="F135" t="str">
            <v>-</v>
          </cell>
        </row>
        <row r="137">
          <cell r="B137">
            <v>33.76998433</v>
          </cell>
          <cell r="F137">
            <v>33.76998433</v>
          </cell>
        </row>
        <row r="138">
          <cell r="B138">
            <v>30.464372829999999</v>
          </cell>
          <cell r="F138">
            <v>30.464372829999999</v>
          </cell>
        </row>
        <row r="139">
          <cell r="B139">
            <v>10.597264640000001</v>
          </cell>
          <cell r="F139">
            <v>10.597264640000001</v>
          </cell>
        </row>
        <row r="140">
          <cell r="B140">
            <v>34.989595840000007</v>
          </cell>
          <cell r="F140">
            <v>34.989595840000007</v>
          </cell>
        </row>
        <row r="141">
          <cell r="B141">
            <v>26</v>
          </cell>
          <cell r="F141">
            <v>26</v>
          </cell>
        </row>
        <row r="142">
          <cell r="B142" t="str">
            <v>-</v>
          </cell>
          <cell r="F142" t="str">
            <v>-</v>
          </cell>
        </row>
        <row r="143">
          <cell r="B143">
            <v>135.82121764000001</v>
          </cell>
          <cell r="F143">
            <v>135.82121764000001</v>
          </cell>
        </row>
        <row r="144">
          <cell r="B144" t="str">
            <v>-</v>
          </cell>
          <cell r="F144" t="str">
            <v>-</v>
          </cell>
        </row>
        <row r="145">
          <cell r="B145">
            <v>195.68261669690003</v>
          </cell>
          <cell r="F145">
            <v>244.97002559085075</v>
          </cell>
        </row>
        <row r="146">
          <cell r="B146" t="str">
            <v>=</v>
          </cell>
          <cell r="F146" t="str">
            <v>=</v>
          </cell>
        </row>
        <row r="151">
          <cell r="B151">
            <v>0</v>
          </cell>
          <cell r="F151">
            <v>4.0725063875723979</v>
          </cell>
        </row>
        <row r="152">
          <cell r="B152">
            <v>1.8229166699999999</v>
          </cell>
          <cell r="F152">
            <v>4.7118055600000002</v>
          </cell>
        </row>
        <row r="153">
          <cell r="B153" t="str">
            <v>-</v>
          </cell>
          <cell r="F153" t="str">
            <v>-</v>
          </cell>
        </row>
        <row r="154">
          <cell r="B154">
            <v>1.8229166699999999</v>
          </cell>
          <cell r="F154">
            <v>8.7843119475723981</v>
          </cell>
        </row>
        <row r="155">
          <cell r="B155" t="str">
            <v>-</v>
          </cell>
          <cell r="F155" t="str">
            <v>-</v>
          </cell>
        </row>
        <row r="157">
          <cell r="B157">
            <v>36.9375</v>
          </cell>
          <cell r="F157">
            <v>15.201388869999997</v>
          </cell>
        </row>
        <row r="158">
          <cell r="B158" t="str">
            <v>-</v>
          </cell>
          <cell r="F158" t="str">
            <v>-</v>
          </cell>
        </row>
        <row r="159">
          <cell r="B159">
            <v>36.9375</v>
          </cell>
          <cell r="F159">
            <v>15.201388869999997</v>
          </cell>
        </row>
        <row r="160">
          <cell r="B160" t="str">
            <v>-</v>
          </cell>
          <cell r="F160" t="str">
            <v>-</v>
          </cell>
        </row>
        <row r="161">
          <cell r="B161">
            <v>34.900192683</v>
          </cell>
          <cell r="F161">
            <v>19.388995934999997</v>
          </cell>
        </row>
        <row r="162">
          <cell r="B162" t="str">
            <v>-</v>
          </cell>
          <cell r="F162" t="str">
            <v>-</v>
          </cell>
        </row>
        <row r="163">
          <cell r="B163">
            <v>73.660609352999998</v>
          </cell>
          <cell r="F163">
            <v>43.37469675257239</v>
          </cell>
        </row>
        <row r="164">
          <cell r="B164" t="str">
            <v>-</v>
          </cell>
          <cell r="F164" t="str">
            <v>-</v>
          </cell>
        </row>
        <row r="166">
          <cell r="B166">
            <v>102.89864874</v>
          </cell>
          <cell r="F166">
            <v>182.68557527553341</v>
          </cell>
        </row>
        <row r="167">
          <cell r="B167">
            <v>19.123358613899999</v>
          </cell>
          <cell r="F167">
            <v>19.40458807790985</v>
          </cell>
        </row>
        <row r="168">
          <cell r="B168" t="str">
            <v>-</v>
          </cell>
          <cell r="F168" t="str">
            <v>-</v>
          </cell>
        </row>
        <row r="169">
          <cell r="B169">
            <v>122.02200735389999</v>
          </cell>
          <cell r="F169">
            <v>202.09016335344324</v>
          </cell>
        </row>
        <row r="170">
          <cell r="B170" t="str">
            <v>-</v>
          </cell>
          <cell r="F170" t="str">
            <v>-</v>
          </cell>
        </row>
        <row r="171">
          <cell r="B171">
            <v>195.68261670689998</v>
          </cell>
          <cell r="F171">
            <v>245.46486010601564</v>
          </cell>
        </row>
        <row r="172">
          <cell r="B172" t="str">
            <v>=</v>
          </cell>
          <cell r="F172" t="str">
            <v>=</v>
          </cell>
        </row>
        <row r="174">
          <cell r="B174">
            <v>-9.9999510894122068E-9</v>
          </cell>
          <cell r="F174">
            <v>-0.4948345151648823</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covered_Sheet1"/>
      <sheetName val="ORIG-PROJ'N(2008)"/>
      <sheetName val="FINAL-CONSOLIDATED2008"/>
      <sheetName val="annay.-final"/>
      <sheetName val="sense 1"/>
      <sheetName val="sense 2"/>
      <sheetName val="sense 3"/>
      <sheetName val="proj'n-water"/>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Capinig"/>
      <sheetName val="Vergara"/>
    </sheetNames>
    <sheetDataSet>
      <sheetData sheetId="0" refreshError="1"/>
      <sheetData sheetId="1" refreshError="1"/>
      <sheetData sheetId="2">
        <row r="1">
          <cell r="B1" t="str">
            <v>LAND BANK OF THE PHILIPPINES</v>
          </cell>
        </row>
        <row r="2">
          <cell r="B2" t="str">
            <v>PALAWAN LENDING CENTER</v>
          </cell>
        </row>
        <row r="3">
          <cell r="B3" t="str">
            <v>Puerto Princesa City</v>
          </cell>
        </row>
        <row r="4">
          <cell r="B4" t="str">
            <v>SPS. EVIGILDO &amp; EDNA VERGARA</v>
          </cell>
        </row>
        <row r="5">
          <cell r="B5" t="str">
            <v>Poblacion, Narra, Palawan</v>
          </cell>
        </row>
        <row r="7">
          <cell r="B7" t="str">
            <v>COMPARATIVE ANALYSIS OF THE STATEMENT OF CONDITIONS</v>
          </cell>
        </row>
        <row r="8">
          <cell r="B8" t="str">
            <v>(Based on BIR Filed FS)</v>
          </cell>
        </row>
        <row r="10">
          <cell r="B10"/>
          <cell r="D10" t="str">
            <v>2 0 0 1</v>
          </cell>
          <cell r="E10"/>
          <cell r="F10" t="str">
            <v>2 0 0 2</v>
          </cell>
          <cell r="I10" t="str">
            <v>2 0 0 3</v>
          </cell>
        </row>
        <row r="11">
          <cell r="B11" t="str">
            <v>BALANCE SHEET</v>
          </cell>
          <cell r="C11" t="str">
            <v>% to</v>
          </cell>
          <cell r="E11" t="str">
            <v>% to</v>
          </cell>
          <cell r="G11" t="str">
            <v>%</v>
          </cell>
          <cell r="H11" t="str">
            <v>% to</v>
          </cell>
          <cell r="J11" t="str">
            <v>%</v>
          </cell>
        </row>
        <row r="12">
          <cell r="B12" t="str">
            <v>(In P' Thousand)</v>
          </cell>
          <cell r="C12" t="str">
            <v>Total</v>
          </cell>
          <cell r="D12" t="str">
            <v>Amount</v>
          </cell>
          <cell r="E12" t="str">
            <v>Total</v>
          </cell>
          <cell r="F12" t="str">
            <v>Amount</v>
          </cell>
          <cell r="G12" t="str">
            <v>Change</v>
          </cell>
          <cell r="H12" t="str">
            <v>Total</v>
          </cell>
          <cell r="I12" t="str">
            <v>Amount</v>
          </cell>
          <cell r="J12" t="str">
            <v>Change</v>
          </cell>
        </row>
        <row r="14">
          <cell r="B14" t="str">
            <v>Cash</v>
          </cell>
          <cell r="C14">
            <v>6.9473684210526312E-2</v>
          </cell>
          <cell r="D14">
            <v>66</v>
          </cell>
          <cell r="E14">
            <v>0.23855037833532458</v>
          </cell>
          <cell r="F14">
            <v>599</v>
          </cell>
          <cell r="G14">
            <v>8.0757575757575761</v>
          </cell>
          <cell r="H14">
            <v>0.22795797167656465</v>
          </cell>
          <cell r="I14">
            <v>499</v>
          </cell>
          <cell r="J14">
            <v>-0.1669449081803005</v>
          </cell>
        </row>
        <row r="15">
          <cell r="B15" t="str">
            <v>Accounts Receivables</v>
          </cell>
          <cell r="C15">
            <v>0.12947368421052632</v>
          </cell>
          <cell r="D15">
            <v>123</v>
          </cell>
          <cell r="E15">
            <v>0.37594583831142969</v>
          </cell>
          <cell r="F15">
            <v>944</v>
          </cell>
          <cell r="G15">
            <v>6.6747967479674797</v>
          </cell>
          <cell r="H15">
            <v>0</v>
          </cell>
          <cell r="I15">
            <v>0</v>
          </cell>
          <cell r="J15">
            <v>-1</v>
          </cell>
        </row>
        <row r="16">
          <cell r="B16" t="str">
            <v>Supplies</v>
          </cell>
          <cell r="C16">
            <v>8.4210526315789472E-3</v>
          </cell>
          <cell r="D16">
            <v>8</v>
          </cell>
          <cell r="E16">
            <v>1.0354440461967344E-2</v>
          </cell>
          <cell r="F16">
            <v>26</v>
          </cell>
          <cell r="G16">
            <v>2.25</v>
          </cell>
          <cell r="H16">
            <v>1.187756966651439E-2</v>
          </cell>
          <cell r="I16">
            <v>26</v>
          </cell>
          <cell r="J16">
            <v>0</v>
          </cell>
        </row>
        <row r="17">
          <cell r="B17" t="str">
            <v>Advances to Employees</v>
          </cell>
          <cell r="C17">
            <v>2.9473684210526315E-2</v>
          </cell>
          <cell r="D17">
            <v>28</v>
          </cell>
          <cell r="E17">
            <v>2.5886101154918358E-2</v>
          </cell>
          <cell r="F17">
            <v>65</v>
          </cell>
          <cell r="G17">
            <v>1.3214285714285714</v>
          </cell>
          <cell r="H17">
            <v>3.4262220191868434E-2</v>
          </cell>
          <cell r="I17">
            <v>75</v>
          </cell>
          <cell r="J17">
            <v>0.15384615384615385</v>
          </cell>
        </row>
        <row r="18">
          <cell r="C18" t="str">
            <v>-</v>
          </cell>
          <cell r="D18" t="str">
            <v>-</v>
          </cell>
          <cell r="E18" t="str">
            <v>-</v>
          </cell>
          <cell r="F18" t="str">
            <v>-</v>
          </cell>
          <cell r="G18" t="str">
            <v>-</v>
          </cell>
          <cell r="H18" t="str">
            <v>-</v>
          </cell>
          <cell r="I18" t="str">
            <v>-</v>
          </cell>
          <cell r="J18" t="str">
            <v>-</v>
          </cell>
        </row>
        <row r="19">
          <cell r="B19" t="str">
            <v>Total Current Assets</v>
          </cell>
          <cell r="C19">
            <v>0.23684210526315791</v>
          </cell>
          <cell r="D19">
            <v>225</v>
          </cell>
          <cell r="E19">
            <v>0.65073675826363997</v>
          </cell>
          <cell r="F19">
            <v>1634</v>
          </cell>
          <cell r="G19">
            <v>6.2622222222222224</v>
          </cell>
          <cell r="H19">
            <v>0.27409776153494747</v>
          </cell>
          <cell r="I19">
            <v>600</v>
          </cell>
          <cell r="J19">
            <v>-0.63280293757649941</v>
          </cell>
        </row>
        <row r="20">
          <cell r="C20" t="str">
            <v>-</v>
          </cell>
          <cell r="D20" t="str">
            <v>-</v>
          </cell>
          <cell r="E20" t="str">
            <v>-</v>
          </cell>
          <cell r="F20" t="str">
            <v>-</v>
          </cell>
          <cell r="G20" t="str">
            <v>-</v>
          </cell>
          <cell r="H20" t="str">
            <v>-</v>
          </cell>
          <cell r="I20" t="str">
            <v>-</v>
          </cell>
          <cell r="J20" t="str">
            <v>-</v>
          </cell>
        </row>
        <row r="21">
          <cell r="B21" t="str">
            <v>Leasehold Rights</v>
          </cell>
          <cell r="C21">
            <v>0</v>
          </cell>
          <cell r="D21">
            <v>0</v>
          </cell>
          <cell r="E21">
            <v>0</v>
          </cell>
          <cell r="F21">
            <v>0</v>
          </cell>
          <cell r="G21" t="e">
            <v>#DIV/0!</v>
          </cell>
          <cell r="H21">
            <v>0</v>
          </cell>
          <cell r="I21">
            <v>0</v>
          </cell>
          <cell r="J21" t="str">
            <v>-</v>
          </cell>
        </row>
        <row r="22">
          <cell r="B22" t="str">
            <v>Property, Plant &amp; Equipment</v>
          </cell>
          <cell r="C22">
            <v>0.76315789473684215</v>
          </cell>
          <cell r="D22">
            <v>725</v>
          </cell>
          <cell r="E22">
            <v>0.34926324173636003</v>
          </cell>
          <cell r="F22">
            <v>877</v>
          </cell>
          <cell r="G22">
            <v>0.20965517241379311</v>
          </cell>
          <cell r="H22">
            <v>0.72590223846505253</v>
          </cell>
          <cell r="I22">
            <v>1589</v>
          </cell>
          <cell r="J22">
            <v>0.81185860889395667</v>
          </cell>
        </row>
        <row r="23">
          <cell r="B23" t="str">
            <v>Deposit &amp; Other Assets</v>
          </cell>
          <cell r="C23">
            <v>0</v>
          </cell>
          <cell r="D23">
            <v>0</v>
          </cell>
          <cell r="E23">
            <v>0</v>
          </cell>
          <cell r="F23">
            <v>0</v>
          </cell>
          <cell r="G23" t="str">
            <v>-</v>
          </cell>
          <cell r="H23">
            <v>0</v>
          </cell>
          <cell r="I23">
            <v>0</v>
          </cell>
          <cell r="J23" t="str">
            <v>-</v>
          </cell>
        </row>
        <row r="24">
          <cell r="C24" t="str">
            <v>-</v>
          </cell>
          <cell r="D24" t="str">
            <v>-</v>
          </cell>
          <cell r="E24" t="str">
            <v>-</v>
          </cell>
          <cell r="F24" t="str">
            <v>-</v>
          </cell>
          <cell r="G24" t="str">
            <v>-</v>
          </cell>
          <cell r="H24" t="str">
            <v>-</v>
          </cell>
          <cell r="I24" t="str">
            <v>-</v>
          </cell>
          <cell r="J24" t="str">
            <v>-</v>
          </cell>
        </row>
        <row r="25">
          <cell r="B25" t="str">
            <v>Total Fixed Assets</v>
          </cell>
          <cell r="C25">
            <v>0.76315789473684215</v>
          </cell>
          <cell r="D25">
            <v>725</v>
          </cell>
          <cell r="E25">
            <v>0.34926324173636003</v>
          </cell>
          <cell r="F25">
            <v>877</v>
          </cell>
          <cell r="G25">
            <v>0.20965517241379311</v>
          </cell>
          <cell r="H25">
            <v>0.72590223846505253</v>
          </cell>
          <cell r="I25">
            <v>1589</v>
          </cell>
          <cell r="J25">
            <v>0.81185860889395667</v>
          </cell>
        </row>
        <row r="26">
          <cell r="C26" t="str">
            <v>-</v>
          </cell>
          <cell r="D26" t="str">
            <v>-</v>
          </cell>
          <cell r="E26" t="str">
            <v>-</v>
          </cell>
          <cell r="F26" t="str">
            <v>-</v>
          </cell>
          <cell r="G26" t="str">
            <v>-</v>
          </cell>
          <cell r="H26" t="str">
            <v>-</v>
          </cell>
          <cell r="I26" t="str">
            <v>-</v>
          </cell>
          <cell r="J26" t="str">
            <v>-</v>
          </cell>
        </row>
        <row r="27">
          <cell r="B27" t="str">
            <v>Total Assets</v>
          </cell>
          <cell r="C27">
            <v>1</v>
          </cell>
          <cell r="D27">
            <v>950</v>
          </cell>
          <cell r="E27">
            <v>1</v>
          </cell>
          <cell r="F27">
            <v>2511</v>
          </cell>
          <cell r="G27">
            <v>1.6431578947368422</v>
          </cell>
          <cell r="H27">
            <v>1</v>
          </cell>
          <cell r="I27">
            <v>2189</v>
          </cell>
          <cell r="J27">
            <v>-0.12823576264436479</v>
          </cell>
        </row>
        <row r="28">
          <cell r="C28" t="str">
            <v>-</v>
          </cell>
          <cell r="D28" t="str">
            <v>-</v>
          </cell>
          <cell r="E28" t="str">
            <v>-</v>
          </cell>
          <cell r="F28" t="str">
            <v>-</v>
          </cell>
          <cell r="G28" t="str">
            <v>-</v>
          </cell>
          <cell r="H28" t="str">
            <v>-</v>
          </cell>
          <cell r="I28" t="str">
            <v>-</v>
          </cell>
          <cell r="J28" t="str">
            <v>-</v>
          </cell>
        </row>
        <row r="29">
          <cell r="B29" t="str">
            <v>Accounts Payables</v>
          </cell>
          <cell r="C29">
            <v>3.5789473684210524E-2</v>
          </cell>
          <cell r="D29">
            <v>34</v>
          </cell>
          <cell r="E29">
            <v>1.9514137793707687E-2</v>
          </cell>
          <cell r="F29">
            <v>49</v>
          </cell>
          <cell r="G29">
            <v>0.44117647058823528</v>
          </cell>
          <cell r="H29">
            <v>1.1420740063956145E-2</v>
          </cell>
          <cell r="I29">
            <v>25</v>
          </cell>
          <cell r="J29">
            <v>-0.48979591836734693</v>
          </cell>
        </row>
        <row r="30">
          <cell r="B30" t="str">
            <v>Loans Payable</v>
          </cell>
          <cell r="C30">
            <v>0</v>
          </cell>
          <cell r="D30">
            <v>0</v>
          </cell>
          <cell r="E30">
            <v>1.9912385503783351E-3</v>
          </cell>
          <cell r="F30">
            <v>5</v>
          </cell>
          <cell r="G30" t="e">
            <v>#DIV/0!</v>
          </cell>
          <cell r="H30">
            <v>2.2841480127912287E-3</v>
          </cell>
          <cell r="I30">
            <v>5</v>
          </cell>
          <cell r="J30">
            <v>0</v>
          </cell>
        </row>
        <row r="31">
          <cell r="B31" t="str">
            <v>Accrued Exp.  &amp; Taxes</v>
          </cell>
          <cell r="C31">
            <v>9.4736842105263164E-3</v>
          </cell>
          <cell r="D31">
            <v>9</v>
          </cell>
          <cell r="E31">
            <v>0</v>
          </cell>
          <cell r="F31">
            <v>0</v>
          </cell>
          <cell r="G31" t="str">
            <v>-</v>
          </cell>
          <cell r="H31">
            <v>0</v>
          </cell>
          <cell r="I31">
            <v>0</v>
          </cell>
          <cell r="J31" t="e">
            <v>#DIV/0!</v>
          </cell>
        </row>
        <row r="32">
          <cell r="C32" t="str">
            <v>-</v>
          </cell>
          <cell r="D32" t="str">
            <v>-</v>
          </cell>
          <cell r="E32" t="str">
            <v>-</v>
          </cell>
          <cell r="F32" t="str">
            <v>-</v>
          </cell>
          <cell r="G32" t="str">
            <v>-</v>
          </cell>
          <cell r="H32" t="str">
            <v>-</v>
          </cell>
          <cell r="I32" t="str">
            <v>-</v>
          </cell>
          <cell r="J32" t="str">
            <v>-</v>
          </cell>
        </row>
        <row r="33">
          <cell r="B33" t="str">
            <v>Total Current Liabilities</v>
          </cell>
          <cell r="C33">
            <v>4.5263157894736838E-2</v>
          </cell>
          <cell r="D33">
            <v>43</v>
          </cell>
          <cell r="E33">
            <v>2.1505376344086023E-2</v>
          </cell>
          <cell r="F33">
            <v>54</v>
          </cell>
          <cell r="G33">
            <v>0.2558139534883721</v>
          </cell>
          <cell r="H33">
            <v>1.3704888076747374E-2</v>
          </cell>
          <cell r="I33">
            <v>30</v>
          </cell>
          <cell r="J33">
            <v>-0.44444444444444442</v>
          </cell>
        </row>
        <row r="34">
          <cell r="C34" t="str">
            <v>-</v>
          </cell>
          <cell r="D34" t="str">
            <v>-</v>
          </cell>
          <cell r="E34" t="str">
            <v>-</v>
          </cell>
          <cell r="F34" t="str">
            <v>-</v>
          </cell>
          <cell r="G34" t="str">
            <v>-</v>
          </cell>
          <cell r="H34" t="str">
            <v>-</v>
          </cell>
          <cell r="I34" t="str">
            <v>-</v>
          </cell>
          <cell r="J34" t="str">
            <v>-</v>
          </cell>
        </row>
        <row r="35">
          <cell r="B35" t="str">
            <v>Long Term Liabilities</v>
          </cell>
          <cell r="C35">
            <v>0</v>
          </cell>
          <cell r="D35">
            <v>0</v>
          </cell>
          <cell r="E35">
            <v>0</v>
          </cell>
          <cell r="F35">
            <v>0</v>
          </cell>
          <cell r="G35" t="str">
            <v>-</v>
          </cell>
          <cell r="H35">
            <v>0</v>
          </cell>
          <cell r="I35">
            <v>0</v>
          </cell>
          <cell r="J35" t="str">
            <v>-</v>
          </cell>
        </row>
        <row r="36">
          <cell r="C36" t="str">
            <v>-</v>
          </cell>
          <cell r="D36" t="str">
            <v>-</v>
          </cell>
          <cell r="E36" t="str">
            <v>-</v>
          </cell>
          <cell r="F36" t="str">
            <v>-</v>
          </cell>
          <cell r="G36" t="str">
            <v>-</v>
          </cell>
          <cell r="H36" t="str">
            <v>-</v>
          </cell>
          <cell r="I36" t="str">
            <v>-</v>
          </cell>
          <cell r="J36" t="str">
            <v>-</v>
          </cell>
        </row>
        <row r="37">
          <cell r="B37" t="str">
            <v>Total Long Term Liabilities</v>
          </cell>
          <cell r="C37">
            <v>0</v>
          </cell>
          <cell r="D37">
            <v>0</v>
          </cell>
          <cell r="E37">
            <v>0</v>
          </cell>
          <cell r="F37">
            <v>0</v>
          </cell>
          <cell r="G37" t="str">
            <v>-</v>
          </cell>
          <cell r="H37">
            <v>0</v>
          </cell>
          <cell r="I37">
            <v>0</v>
          </cell>
          <cell r="J37" t="str">
            <v>-</v>
          </cell>
        </row>
        <row r="38">
          <cell r="C38" t="str">
            <v>-</v>
          </cell>
          <cell r="D38" t="str">
            <v>-</v>
          </cell>
          <cell r="E38" t="str">
            <v>-</v>
          </cell>
          <cell r="F38" t="str">
            <v>-</v>
          </cell>
          <cell r="G38" t="str">
            <v>-</v>
          </cell>
          <cell r="H38" t="str">
            <v>-</v>
          </cell>
          <cell r="I38" t="str">
            <v>-</v>
          </cell>
          <cell r="J38" t="str">
            <v>-</v>
          </cell>
        </row>
        <row r="39">
          <cell r="B39" t="str">
            <v>Total Liabilities</v>
          </cell>
          <cell r="C39">
            <v>4.5263157894736845E-2</v>
          </cell>
          <cell r="D39">
            <v>43</v>
          </cell>
          <cell r="E39">
            <v>2.1505376344086023E-2</v>
          </cell>
          <cell r="F39">
            <v>54</v>
          </cell>
          <cell r="G39">
            <v>0.2558139534883721</v>
          </cell>
          <cell r="H39">
            <v>1.3704888076747372E-2</v>
          </cell>
          <cell r="I39">
            <v>30</v>
          </cell>
          <cell r="J39">
            <v>-0.44444444444444442</v>
          </cell>
        </row>
        <row r="40">
          <cell r="C40" t="str">
            <v>-</v>
          </cell>
          <cell r="D40" t="str">
            <v>-</v>
          </cell>
          <cell r="E40" t="str">
            <v>-</v>
          </cell>
          <cell r="F40" t="str">
            <v>-</v>
          </cell>
          <cell r="G40" t="str">
            <v>-</v>
          </cell>
          <cell r="H40" t="str">
            <v>-</v>
          </cell>
          <cell r="I40" t="str">
            <v>-</v>
          </cell>
          <cell r="J40" t="str">
            <v>-</v>
          </cell>
        </row>
        <row r="41">
          <cell r="B41" t="str">
            <v>Owner's Capital/Equity</v>
          </cell>
          <cell r="C41">
            <v>0.95473684210526311</v>
          </cell>
          <cell r="D41">
            <v>907</v>
          </cell>
          <cell r="E41">
            <v>0.978494623655914</v>
          </cell>
          <cell r="F41">
            <v>2457</v>
          </cell>
          <cell r="G41">
            <v>1.7089305402425579</v>
          </cell>
          <cell r="H41">
            <v>0.98629511192325259</v>
          </cell>
          <cell r="I41">
            <v>2159</v>
          </cell>
          <cell r="J41">
            <v>-0.12128612128612129</v>
          </cell>
        </row>
        <row r="42">
          <cell r="C42" t="str">
            <v>-</v>
          </cell>
          <cell r="D42" t="str">
            <v>-</v>
          </cell>
          <cell r="E42" t="str">
            <v>-</v>
          </cell>
          <cell r="F42" t="str">
            <v>-</v>
          </cell>
          <cell r="G42" t="str">
            <v>-</v>
          </cell>
          <cell r="H42" t="str">
            <v>-</v>
          </cell>
          <cell r="I42" t="str">
            <v>-</v>
          </cell>
          <cell r="J42" t="str">
            <v>-</v>
          </cell>
        </row>
        <row r="43">
          <cell r="B43" t="str">
            <v>Total Liab. &amp; Owner's Equity</v>
          </cell>
          <cell r="C43">
            <v>1</v>
          </cell>
          <cell r="D43">
            <v>950</v>
          </cell>
          <cell r="E43">
            <v>1</v>
          </cell>
          <cell r="F43">
            <v>2511</v>
          </cell>
          <cell r="G43">
            <v>1.6431578947368422</v>
          </cell>
          <cell r="H43">
            <v>1</v>
          </cell>
          <cell r="I43">
            <v>2189</v>
          </cell>
          <cell r="J43">
            <v>-0.12823576264436479</v>
          </cell>
        </row>
        <row r="44">
          <cell r="D44">
            <v>0</v>
          </cell>
          <cell r="F44">
            <v>0</v>
          </cell>
          <cell r="I44">
            <v>0</v>
          </cell>
        </row>
        <row r="46">
          <cell r="B46" t="str">
            <v>SPS. EVIGILDO &amp; EDNA VERGARA</v>
          </cell>
        </row>
        <row r="47">
          <cell r="B47" t="str">
            <v>Poblacion, Narra, Palawan</v>
          </cell>
        </row>
        <row r="49">
          <cell r="B49" t="str">
            <v>COMPARATIVE ANALYSIS OF INCOME &amp; EXPENSES</v>
          </cell>
        </row>
        <row r="51">
          <cell r="B51"/>
          <cell r="C51" t="str">
            <v>2 0 0 1</v>
          </cell>
          <cell r="E51" t="str">
            <v xml:space="preserve"> </v>
          </cell>
          <cell r="F51" t="str">
            <v>2 0 0 2</v>
          </cell>
          <cell r="I51" t="str">
            <v>2 0 0 3</v>
          </cell>
        </row>
        <row r="53">
          <cell r="B53" t="str">
            <v>INCOME STATEMENT</v>
          </cell>
          <cell r="C53" t="str">
            <v>% to</v>
          </cell>
          <cell r="E53" t="str">
            <v>% to</v>
          </cell>
          <cell r="G53" t="str">
            <v>%</v>
          </cell>
          <cell r="H53" t="str">
            <v>% to</v>
          </cell>
          <cell r="J53" t="str">
            <v>%</v>
          </cell>
        </row>
        <row r="54">
          <cell r="B54" t="str">
            <v>(In P' Thousand)</v>
          </cell>
          <cell r="C54" t="str">
            <v>Total</v>
          </cell>
          <cell r="D54" t="str">
            <v>Amount</v>
          </cell>
          <cell r="E54" t="str">
            <v>Total</v>
          </cell>
          <cell r="F54" t="str">
            <v>Amount</v>
          </cell>
          <cell r="G54" t="str">
            <v>Change</v>
          </cell>
          <cell r="H54" t="str">
            <v>Total</v>
          </cell>
          <cell r="I54" t="str">
            <v>Amount</v>
          </cell>
          <cell r="J54" t="str">
            <v>Change</v>
          </cell>
        </row>
        <row r="56">
          <cell r="B56" t="str">
            <v>Sales/Revenues</v>
          </cell>
          <cell r="C56">
            <v>1</v>
          </cell>
          <cell r="D56">
            <v>248</v>
          </cell>
          <cell r="E56">
            <v>1</v>
          </cell>
          <cell r="F56">
            <v>1827</v>
          </cell>
          <cell r="G56">
            <v>6.366935483870968</v>
          </cell>
          <cell r="H56">
            <v>1</v>
          </cell>
          <cell r="I56">
            <v>2975</v>
          </cell>
          <cell r="J56">
            <v>0.62835249042145591</v>
          </cell>
        </row>
        <row r="57">
          <cell r="B57" t="str">
            <v>Less: Cost &amp; Operating Exp.</v>
          </cell>
          <cell r="G57"/>
          <cell r="J57"/>
        </row>
        <row r="58">
          <cell r="B58" t="str">
            <v xml:space="preserve">      Cost of Goods Sold</v>
          </cell>
          <cell r="C58">
            <v>0.35080645161290325</v>
          </cell>
          <cell r="D58">
            <v>87</v>
          </cell>
          <cell r="E58">
            <v>0.37985769020251781</v>
          </cell>
          <cell r="F58">
            <v>694</v>
          </cell>
          <cell r="G58">
            <v>6.9770114942528734</v>
          </cell>
          <cell r="H58">
            <v>0.62991596638655467</v>
          </cell>
          <cell r="I58">
            <v>1874</v>
          </cell>
          <cell r="J58">
            <v>1.7002881844380404</v>
          </cell>
        </row>
        <row r="59">
          <cell r="B59" t="str">
            <v xml:space="preserve">      Selling, Gen. &amp; Adm. Exp.</v>
          </cell>
          <cell r="C59">
            <v>8.4677419354838704E-2</v>
          </cell>
          <cell r="D59">
            <v>21</v>
          </cell>
          <cell r="E59">
            <v>0.42145593869731801</v>
          </cell>
          <cell r="F59">
            <v>770</v>
          </cell>
          <cell r="G59">
            <v>35.666666666666664</v>
          </cell>
          <cell r="H59">
            <v>0.23193277310924371</v>
          </cell>
          <cell r="I59">
            <v>690</v>
          </cell>
          <cell r="J59">
            <v>-0.1038961038961039</v>
          </cell>
        </row>
        <row r="60">
          <cell r="C60" t="str">
            <v>-</v>
          </cell>
          <cell r="D60" t="str">
            <v>-</v>
          </cell>
          <cell r="E60" t="str">
            <v>-</v>
          </cell>
          <cell r="F60" t="str">
            <v>-</v>
          </cell>
          <cell r="G60" t="str">
            <v>-</v>
          </cell>
          <cell r="H60" t="str">
            <v>-</v>
          </cell>
          <cell r="I60" t="str">
            <v>-</v>
          </cell>
          <cell r="J60" t="str">
            <v>-</v>
          </cell>
        </row>
        <row r="61">
          <cell r="B61"/>
          <cell r="C61">
            <v>0.43548387096774194</v>
          </cell>
          <cell r="D61">
            <v>108</v>
          </cell>
          <cell r="E61">
            <v>0.80131362889983582</v>
          </cell>
          <cell r="F61">
            <v>1464</v>
          </cell>
          <cell r="G61">
            <v>12.555555555555555</v>
          </cell>
          <cell r="H61">
            <v>0.86184873949579832</v>
          </cell>
          <cell r="I61">
            <v>2564</v>
          </cell>
          <cell r="J61">
            <v>0.75136612021857918</v>
          </cell>
        </row>
        <row r="62">
          <cell r="C62" t="str">
            <v>-</v>
          </cell>
          <cell r="D62" t="str">
            <v>-</v>
          </cell>
          <cell r="E62" t="str">
            <v>-</v>
          </cell>
          <cell r="F62" t="str">
            <v>-</v>
          </cell>
          <cell r="G62" t="str">
            <v>-</v>
          </cell>
          <cell r="H62" t="str">
            <v>-</v>
          </cell>
          <cell r="I62" t="str">
            <v>-</v>
          </cell>
          <cell r="J62" t="str">
            <v>-</v>
          </cell>
        </row>
        <row r="63">
          <cell r="B63" t="str">
            <v>Operating Profit</v>
          </cell>
          <cell r="C63">
            <v>0.56451612903225812</v>
          </cell>
          <cell r="D63">
            <v>140</v>
          </cell>
          <cell r="E63">
            <v>0.19868637110016421</v>
          </cell>
          <cell r="F63">
            <v>363</v>
          </cell>
          <cell r="G63">
            <v>1.5928571428571427</v>
          </cell>
          <cell r="H63">
            <v>0.13815126050420168</v>
          </cell>
          <cell r="I63">
            <v>411</v>
          </cell>
          <cell r="J63">
            <v>0.13223140495867769</v>
          </cell>
        </row>
        <row r="64">
          <cell r="B64" t="str">
            <v>Less: Depreciation</v>
          </cell>
          <cell r="C64">
            <v>2.0161290322580645E-2</v>
          </cell>
          <cell r="D64">
            <v>5</v>
          </cell>
          <cell r="E64">
            <v>3.1746031746031744E-2</v>
          </cell>
          <cell r="F64">
            <v>58</v>
          </cell>
          <cell r="G64">
            <v>10.6</v>
          </cell>
          <cell r="H64">
            <v>1.9495798319327733E-2</v>
          </cell>
          <cell r="I64">
            <v>58</v>
          </cell>
          <cell r="J64">
            <v>0</v>
          </cell>
        </row>
        <row r="65">
          <cell r="C65" t="str">
            <v>-</v>
          </cell>
          <cell r="D65" t="str">
            <v>-</v>
          </cell>
          <cell r="E65" t="str">
            <v>-</v>
          </cell>
          <cell r="F65" t="str">
            <v>-</v>
          </cell>
          <cell r="G65" t="str">
            <v>-</v>
          </cell>
          <cell r="H65" t="str">
            <v>-</v>
          </cell>
          <cell r="I65" t="str">
            <v>-</v>
          </cell>
          <cell r="J65" t="str">
            <v>-</v>
          </cell>
        </row>
        <row r="66">
          <cell r="B66" t="str">
            <v>Income Before Income Taxes</v>
          </cell>
          <cell r="C66">
            <v>0.54435483870967738</v>
          </cell>
          <cell r="D66">
            <v>135</v>
          </cell>
          <cell r="E66">
            <v>0.16694033935413247</v>
          </cell>
          <cell r="F66">
            <v>305</v>
          </cell>
          <cell r="G66">
            <v>1.2592592592592593</v>
          </cell>
          <cell r="H66">
            <v>0.11865546218487395</v>
          </cell>
          <cell r="I66">
            <v>353</v>
          </cell>
          <cell r="J66">
            <v>0.15737704918032788</v>
          </cell>
        </row>
        <row r="67">
          <cell r="B67" t="str">
            <v>Add: Other Income</v>
          </cell>
          <cell r="C67">
            <v>0</v>
          </cell>
          <cell r="D67">
            <v>0</v>
          </cell>
          <cell r="E67">
            <v>0</v>
          </cell>
          <cell r="F67">
            <v>0</v>
          </cell>
          <cell r="G67" t="e">
            <v>#DIV/0!</v>
          </cell>
          <cell r="H67">
            <v>0</v>
          </cell>
          <cell r="I67">
            <v>0</v>
          </cell>
          <cell r="J67" t="e">
            <v>#DIV/0!</v>
          </cell>
        </row>
        <row r="68">
          <cell r="B68" t="str">
            <v>Less: Interest  Expense</v>
          </cell>
          <cell r="C68">
            <v>0</v>
          </cell>
          <cell r="D68">
            <v>0</v>
          </cell>
          <cell r="E68">
            <v>0</v>
          </cell>
          <cell r="F68">
            <v>0</v>
          </cell>
          <cell r="G68" t="e">
            <v>#DIV/0!</v>
          </cell>
          <cell r="H68">
            <v>0</v>
          </cell>
          <cell r="I68">
            <v>0</v>
          </cell>
          <cell r="J68" t="e">
            <v>#DIV/0!</v>
          </cell>
        </row>
        <row r="69">
          <cell r="B69" t="str">
            <v xml:space="preserve">         Other Expenses</v>
          </cell>
          <cell r="C69">
            <v>0</v>
          </cell>
          <cell r="D69">
            <v>0</v>
          </cell>
          <cell r="E69">
            <v>0</v>
          </cell>
          <cell r="F69">
            <v>0</v>
          </cell>
          <cell r="G69" t="e">
            <v>#DIV/0!</v>
          </cell>
          <cell r="H69">
            <v>0</v>
          </cell>
          <cell r="I69">
            <v>0</v>
          </cell>
          <cell r="J69" t="e">
            <v>#DIV/0!</v>
          </cell>
        </row>
        <row r="70">
          <cell r="C70" t="str">
            <v>-</v>
          </cell>
          <cell r="D70" t="str">
            <v>-</v>
          </cell>
          <cell r="E70" t="str">
            <v>-</v>
          </cell>
          <cell r="F70" t="str">
            <v>-</v>
          </cell>
          <cell r="G70" t="str">
            <v>-</v>
          </cell>
          <cell r="H70" t="str">
            <v>-</v>
          </cell>
          <cell r="I70" t="str">
            <v>-</v>
          </cell>
          <cell r="J70" t="str">
            <v>-</v>
          </cell>
        </row>
        <row r="71">
          <cell r="B71" t="str">
            <v>Net Income Before Tax</v>
          </cell>
          <cell r="C71">
            <v>0.54435483870967738</v>
          </cell>
          <cell r="D71">
            <v>135</v>
          </cell>
          <cell r="E71">
            <v>0.16694033935413247</v>
          </cell>
          <cell r="F71">
            <v>305</v>
          </cell>
          <cell r="G71">
            <v>1.2592592592592593</v>
          </cell>
          <cell r="H71">
            <v>0.11865546218487395</v>
          </cell>
          <cell r="I71">
            <v>353</v>
          </cell>
          <cell r="J71">
            <v>0.15737704918032788</v>
          </cell>
        </row>
        <row r="72">
          <cell r="B72" t="str">
            <v>Provision for Income Tax</v>
          </cell>
          <cell r="C72">
            <v>0</v>
          </cell>
          <cell r="D72">
            <v>0</v>
          </cell>
          <cell r="E72">
            <v>0</v>
          </cell>
          <cell r="F72">
            <v>0</v>
          </cell>
          <cell r="G72" t="e">
            <v>#DIV/0!</v>
          </cell>
          <cell r="H72">
            <v>0</v>
          </cell>
          <cell r="I72">
            <v>0</v>
          </cell>
          <cell r="J72" t="e">
            <v>#DIV/0!</v>
          </cell>
        </row>
        <row r="73">
          <cell r="C73" t="str">
            <v>-</v>
          </cell>
          <cell r="D73" t="str">
            <v>-</v>
          </cell>
          <cell r="E73" t="str">
            <v>-</v>
          </cell>
          <cell r="F73" t="str">
            <v>-</v>
          </cell>
          <cell r="G73" t="str">
            <v>-</v>
          </cell>
          <cell r="H73" t="str">
            <v>-</v>
          </cell>
          <cell r="I73" t="str">
            <v>-</v>
          </cell>
          <cell r="J73" t="str">
            <v>-</v>
          </cell>
        </row>
        <row r="74">
          <cell r="B74" t="str">
            <v>Income After Tax</v>
          </cell>
          <cell r="C74">
            <v>0.54435483870967738</v>
          </cell>
          <cell r="D74">
            <v>135</v>
          </cell>
          <cell r="E74">
            <v>0.16694033935413247</v>
          </cell>
          <cell r="F74">
            <v>305</v>
          </cell>
          <cell r="G74">
            <v>1.2592592592592593</v>
          </cell>
          <cell r="H74">
            <v>0.11865546218487395</v>
          </cell>
          <cell r="I74">
            <v>353</v>
          </cell>
          <cell r="J74">
            <v>0.15737704918032788</v>
          </cell>
        </row>
        <row r="75">
          <cell r="B75" t="str">
            <v>Extraordinary Income</v>
          </cell>
          <cell r="C75">
            <v>0</v>
          </cell>
          <cell r="D75">
            <v>0</v>
          </cell>
          <cell r="E75">
            <v>0</v>
          </cell>
          <cell r="F75">
            <v>0</v>
          </cell>
          <cell r="G75" t="str">
            <v>-</v>
          </cell>
          <cell r="H75">
            <v>0</v>
          </cell>
          <cell r="I75">
            <v>0</v>
          </cell>
          <cell r="J75" t="str">
            <v>-</v>
          </cell>
        </row>
        <row r="76">
          <cell r="C76" t="str">
            <v>-</v>
          </cell>
          <cell r="D76" t="str">
            <v>-</v>
          </cell>
          <cell r="E76" t="str">
            <v>-</v>
          </cell>
          <cell r="F76" t="str">
            <v>-</v>
          </cell>
          <cell r="G76" t="str">
            <v>-</v>
          </cell>
          <cell r="H76" t="str">
            <v>-</v>
          </cell>
          <cell r="I76" t="str">
            <v>-</v>
          </cell>
          <cell r="J76" t="str">
            <v>-</v>
          </cell>
        </row>
        <row r="77">
          <cell r="B77" t="str">
            <v>Net Income</v>
          </cell>
          <cell r="C77">
            <v>0.54435483870967738</v>
          </cell>
          <cell r="D77">
            <v>135</v>
          </cell>
          <cell r="E77">
            <v>0.16694033935413247</v>
          </cell>
          <cell r="F77">
            <v>305</v>
          </cell>
          <cell r="G77">
            <v>1.2592592592592593</v>
          </cell>
          <cell r="H77">
            <v>0.11865546218487395</v>
          </cell>
          <cell r="I77">
            <v>353</v>
          </cell>
          <cell r="J77">
            <v>0.15737704918032788</v>
          </cell>
        </row>
        <row r="79">
          <cell r="D79" t="str">
            <v xml:space="preserve"> </v>
          </cell>
        </row>
        <row r="83">
          <cell r="B83" t="str">
            <v>SPS. EVIGILDO &amp; EDNA VERGARA</v>
          </cell>
        </row>
        <row r="84">
          <cell r="B84" t="str">
            <v>Poblacion, Narra, Palawan</v>
          </cell>
        </row>
        <row r="86">
          <cell r="B86" t="str">
            <v>FINANCIAL SUMMARY</v>
          </cell>
          <cell r="C86" t="str">
            <v>Audited</v>
          </cell>
          <cell r="F86" t="str">
            <v>Audited</v>
          </cell>
          <cell r="I86" t="str">
            <v>Audited</v>
          </cell>
        </row>
        <row r="87">
          <cell r="B87" t="str">
            <v>(In P'Millions)</v>
          </cell>
          <cell r="C87" t="str">
            <v>2 0 0 1</v>
          </cell>
          <cell r="F87" t="str">
            <v>2 0 0 2</v>
          </cell>
          <cell r="I87" t="str">
            <v>2 0 0 3</v>
          </cell>
        </row>
        <row r="89">
          <cell r="B89" t="str">
            <v>No. of Months</v>
          </cell>
          <cell r="D89" t="str">
            <v>12</v>
          </cell>
          <cell r="E89"/>
          <cell r="F89" t="str">
            <v>12</v>
          </cell>
          <cell r="I89" t="str">
            <v>12</v>
          </cell>
        </row>
        <row r="90">
          <cell r="B90" t="str">
            <v>Net Sales</v>
          </cell>
          <cell r="D90">
            <v>248</v>
          </cell>
          <cell r="F90">
            <v>1827</v>
          </cell>
          <cell r="I90">
            <v>2975</v>
          </cell>
        </row>
        <row r="91">
          <cell r="B91" t="str">
            <v xml:space="preserve">  Sales Growth Rate (In %)</v>
          </cell>
          <cell r="F91">
            <v>6.366935483870968</v>
          </cell>
          <cell r="I91">
            <v>0.62835249042145591</v>
          </cell>
        </row>
        <row r="92">
          <cell r="B92" t="str">
            <v>Net Income</v>
          </cell>
          <cell r="D92">
            <v>135</v>
          </cell>
          <cell r="F92">
            <v>305</v>
          </cell>
          <cell r="I92">
            <v>353</v>
          </cell>
        </row>
        <row r="93">
          <cell r="B93" t="str">
            <v xml:space="preserve">  Net Income Margin</v>
          </cell>
          <cell r="D93">
            <v>0.54435483870967738</v>
          </cell>
          <cell r="F93">
            <v>0.16694033935413247</v>
          </cell>
          <cell r="I93">
            <v>0.11865546218487395</v>
          </cell>
        </row>
        <row r="94">
          <cell r="B94" t="str">
            <v>Working Capital</v>
          </cell>
          <cell r="D94">
            <v>182</v>
          </cell>
          <cell r="F94">
            <v>1580</v>
          </cell>
          <cell r="I94">
            <v>570</v>
          </cell>
        </row>
        <row r="95">
          <cell r="B95" t="str">
            <v xml:space="preserve">  Current Ratio</v>
          </cell>
          <cell r="D95">
            <v>5.2325581395348841</v>
          </cell>
          <cell r="E95" t="str">
            <v>: 1</v>
          </cell>
          <cell r="F95">
            <v>30.25925925925926</v>
          </cell>
          <cell r="G95" t="str">
            <v>: 1</v>
          </cell>
          <cell r="I95">
            <v>20</v>
          </cell>
          <cell r="J95" t="str">
            <v>: 1</v>
          </cell>
        </row>
        <row r="96">
          <cell r="B96" t="str">
            <v xml:space="preserve">  Quick Ratio</v>
          </cell>
          <cell r="D96">
            <v>5.0465116279069768</v>
          </cell>
          <cell r="E96" t="str">
            <v>: 1</v>
          </cell>
          <cell r="F96">
            <v>29.777777777777779</v>
          </cell>
          <cell r="G96" t="str">
            <v>: 1</v>
          </cell>
          <cell r="I96">
            <v>19.133333333333333</v>
          </cell>
          <cell r="J96" t="str">
            <v>: 1</v>
          </cell>
        </row>
        <row r="97">
          <cell r="B97" t="str">
            <v xml:space="preserve">  Days Receivables</v>
          </cell>
          <cell r="D97">
            <v>110.9983870967742</v>
          </cell>
          <cell r="F97">
            <v>105.0031527093596</v>
          </cell>
          <cell r="I97">
            <v>57.425966386554627</v>
          </cell>
        </row>
        <row r="98">
          <cell r="B98" t="str">
            <v xml:space="preserve">  Days Inventory</v>
          </cell>
          <cell r="D98">
            <v>37.001379310344824</v>
          </cell>
          <cell r="F98">
            <v>8.9984438040345811</v>
          </cell>
          <cell r="I98">
            <v>5.2946638207043755</v>
          </cell>
        </row>
        <row r="99">
          <cell r="B99" t="str">
            <v xml:space="preserve">  Days A/P</v>
          </cell>
          <cell r="D99">
            <v>18.995454545454546</v>
          </cell>
          <cell r="F99">
            <v>66.99818181818182</v>
          </cell>
          <cell r="I99">
            <v>37</v>
          </cell>
        </row>
        <row r="100">
          <cell r="B100" t="str">
            <v>Tangible Networth</v>
          </cell>
          <cell r="D100">
            <v>907</v>
          </cell>
          <cell r="F100">
            <v>2457</v>
          </cell>
          <cell r="I100">
            <v>2159</v>
          </cell>
        </row>
        <row r="101">
          <cell r="B101" t="str">
            <v xml:space="preserve">  Leverage Ratio</v>
          </cell>
          <cell r="D101">
            <v>4.7409040793825796E-2</v>
          </cell>
          <cell r="E101" t="str">
            <v>: 1</v>
          </cell>
          <cell r="F101">
            <v>2.197802197802198E-2</v>
          </cell>
          <cell r="G101" t="str">
            <v>: 1</v>
          </cell>
          <cell r="I101">
            <v>1.3895321908290875E-2</v>
          </cell>
          <cell r="J101" t="str">
            <v>: 1</v>
          </cell>
        </row>
        <row r="102">
          <cell r="B102" t="str">
            <v xml:space="preserve">  L.T. Leverage Ratio</v>
          </cell>
          <cell r="D102">
            <v>0</v>
          </cell>
          <cell r="E102" t="str">
            <v>: 1</v>
          </cell>
          <cell r="F102">
            <v>0</v>
          </cell>
          <cell r="G102" t="str">
            <v>: 1</v>
          </cell>
          <cell r="I102">
            <v>0</v>
          </cell>
          <cell r="J102" t="str">
            <v>: 1</v>
          </cell>
        </row>
        <row r="103">
          <cell r="B103" t="str">
            <v xml:space="preserve">  Debt Equity Ratio</v>
          </cell>
          <cell r="D103">
            <v>4.5263157894736845E-2</v>
          </cell>
          <cell r="E103">
            <v>0.95473684210526311</v>
          </cell>
          <cell r="F103">
            <v>2.1505376344086023E-2</v>
          </cell>
          <cell r="G103">
            <v>0.978494623655914</v>
          </cell>
          <cell r="I103">
            <v>1.3704888076747372E-2</v>
          </cell>
          <cell r="J103">
            <v>0.98629511192325259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OBJECT OF EXP.(PS an"/>
      <sheetName val="PS"/>
      <sheetName val="SUMMARY BY OBJECT OF EXP. (CO)"/>
      <sheetName val="SUMMARY BY SECTOR (with CO)"/>
      <sheetName val="duplicatess"/>
      <sheetName val="SUMMARY BY SECTOR"/>
    </sheetNames>
    <sheetDataSet>
      <sheetData sheetId="0">
        <row r="95">
          <cell r="E95">
            <v>8226691</v>
          </cell>
          <cell r="F95">
            <v>500000</v>
          </cell>
          <cell r="G95">
            <v>14082124</v>
          </cell>
          <cell r="H95">
            <v>17865516</v>
          </cell>
          <cell r="I95">
            <v>7600000</v>
          </cell>
          <cell r="J95">
            <v>228600</v>
          </cell>
          <cell r="K95">
            <v>210654</v>
          </cell>
          <cell r="L95">
            <v>0</v>
          </cell>
          <cell r="M95">
            <v>0</v>
          </cell>
          <cell r="N95">
            <v>0</v>
          </cell>
          <cell r="O95">
            <v>0</v>
          </cell>
          <cell r="P95">
            <v>73770480</v>
          </cell>
          <cell r="Q95">
            <v>0</v>
          </cell>
          <cell r="T95">
            <v>11121576</v>
          </cell>
          <cell r="U95">
            <v>2763379</v>
          </cell>
          <cell r="V95">
            <v>24145612</v>
          </cell>
          <cell r="W95">
            <v>7973000</v>
          </cell>
          <cell r="X95">
            <v>130375000</v>
          </cell>
          <cell r="Y95">
            <v>344500</v>
          </cell>
          <cell r="Z95">
            <v>1282400</v>
          </cell>
          <cell r="AA95">
            <v>1295400</v>
          </cell>
          <cell r="AB95">
            <v>2491204</v>
          </cell>
          <cell r="AC95">
            <v>1658000</v>
          </cell>
          <cell r="AD95">
            <v>0</v>
          </cell>
          <cell r="AE95">
            <v>0</v>
          </cell>
          <cell r="AF95">
            <v>2995802</v>
          </cell>
          <cell r="AG95">
            <v>0</v>
          </cell>
          <cell r="AH95">
            <v>65408000</v>
          </cell>
          <cell r="AI95">
            <v>3876000</v>
          </cell>
          <cell r="AJ95">
            <v>0</v>
          </cell>
          <cell r="AL95">
            <v>2973360</v>
          </cell>
          <cell r="AM95">
            <v>20000000</v>
          </cell>
          <cell r="AN95">
            <v>18527350</v>
          </cell>
          <cell r="AO95">
            <v>0</v>
          </cell>
          <cell r="AP95">
            <v>0</v>
          </cell>
          <cell r="AQ95">
            <v>26928000</v>
          </cell>
          <cell r="AS95">
            <v>2053000</v>
          </cell>
          <cell r="AT95">
            <v>15000000</v>
          </cell>
          <cell r="AU95">
            <v>6300000</v>
          </cell>
          <cell r="AV95">
            <v>50000</v>
          </cell>
          <cell r="AW95">
            <v>11000000</v>
          </cell>
          <cell r="AX95">
            <v>430000</v>
          </cell>
          <cell r="AY95">
            <v>0</v>
          </cell>
          <cell r="AZ95">
            <v>1275000</v>
          </cell>
          <cell r="BA95">
            <v>530100</v>
          </cell>
          <cell r="BB95">
            <v>3670000</v>
          </cell>
          <cell r="BC95">
            <v>477622824</v>
          </cell>
        </row>
        <row r="165">
          <cell r="E165">
            <v>5749120</v>
          </cell>
          <cell r="F165">
            <v>0</v>
          </cell>
          <cell r="G165">
            <v>32331233</v>
          </cell>
          <cell r="H165">
            <v>6975802</v>
          </cell>
          <cell r="I165">
            <v>35000</v>
          </cell>
          <cell r="J165">
            <v>0</v>
          </cell>
          <cell r="K165">
            <v>444500</v>
          </cell>
          <cell r="L165">
            <v>12456929</v>
          </cell>
          <cell r="M165">
            <v>2587974</v>
          </cell>
          <cell r="N165">
            <v>97586209</v>
          </cell>
          <cell r="O165">
            <v>60870278</v>
          </cell>
          <cell r="P165">
            <v>72860555</v>
          </cell>
          <cell r="Q165">
            <v>469374</v>
          </cell>
          <cell r="T165">
            <v>12558728</v>
          </cell>
          <cell r="U165">
            <v>11572137</v>
          </cell>
          <cell r="V165">
            <v>45630887.899999999</v>
          </cell>
          <cell r="W165">
            <v>250000</v>
          </cell>
          <cell r="X165">
            <v>0</v>
          </cell>
          <cell r="Y165">
            <v>2500</v>
          </cell>
          <cell r="Z165">
            <v>140100</v>
          </cell>
          <cell r="AA165">
            <v>337280</v>
          </cell>
          <cell r="AB165">
            <v>1236600</v>
          </cell>
          <cell r="AC165">
            <v>100000</v>
          </cell>
          <cell r="AD165">
            <v>180000</v>
          </cell>
          <cell r="AE165">
            <v>4890000</v>
          </cell>
          <cell r="AF165">
            <v>0</v>
          </cell>
          <cell r="AG165">
            <v>2000000</v>
          </cell>
          <cell r="AH165">
            <v>0</v>
          </cell>
          <cell r="AI165">
            <v>0</v>
          </cell>
          <cell r="AJ165">
            <v>0</v>
          </cell>
          <cell r="AL165">
            <v>590390</v>
          </cell>
          <cell r="AM165">
            <v>4215000</v>
          </cell>
          <cell r="AN165">
            <v>12000000</v>
          </cell>
          <cell r="AO165">
            <v>250000</v>
          </cell>
          <cell r="AP165">
            <v>300000</v>
          </cell>
          <cell r="AQ165">
            <v>0</v>
          </cell>
          <cell r="AS165">
            <v>230000</v>
          </cell>
          <cell r="AT165">
            <v>0</v>
          </cell>
          <cell r="AU165">
            <v>1115000</v>
          </cell>
          <cell r="AV165">
            <v>4051450</v>
          </cell>
          <cell r="AW165">
            <v>0</v>
          </cell>
          <cell r="AX165">
            <v>50000</v>
          </cell>
          <cell r="AY165">
            <v>294000</v>
          </cell>
          <cell r="AZ165">
            <v>0</v>
          </cell>
          <cell r="BA165">
            <v>0</v>
          </cell>
          <cell r="BB165">
            <v>934969000</v>
          </cell>
          <cell r="BC165">
            <v>617453560.10000002</v>
          </cell>
        </row>
        <row r="214">
          <cell r="E214">
            <v>4050000</v>
          </cell>
          <cell r="F214">
            <v>0</v>
          </cell>
          <cell r="G214">
            <v>8316208</v>
          </cell>
          <cell r="H214">
            <v>5810800</v>
          </cell>
          <cell r="I214">
            <v>0</v>
          </cell>
          <cell r="J214">
            <v>0</v>
          </cell>
          <cell r="K214">
            <v>4763409</v>
          </cell>
          <cell r="L214">
            <v>0</v>
          </cell>
          <cell r="M214">
            <v>0</v>
          </cell>
          <cell r="N214">
            <v>58102</v>
          </cell>
          <cell r="O214">
            <v>15094</v>
          </cell>
          <cell r="P214">
            <v>57998429</v>
          </cell>
          <cell r="Q214">
            <v>13735540</v>
          </cell>
          <cell r="T214">
            <v>7629580</v>
          </cell>
          <cell r="U214">
            <v>1398544</v>
          </cell>
          <cell r="V214">
            <v>97420763</v>
          </cell>
          <cell r="W214">
            <v>3016000</v>
          </cell>
          <cell r="X214">
            <v>25970000</v>
          </cell>
          <cell r="Y214">
            <v>12000</v>
          </cell>
          <cell r="Z214">
            <v>276788</v>
          </cell>
          <cell r="AA214">
            <v>396000</v>
          </cell>
          <cell r="AB214">
            <v>519747</v>
          </cell>
          <cell r="AC214">
            <v>0</v>
          </cell>
          <cell r="AD214">
            <v>0</v>
          </cell>
          <cell r="AE214">
            <v>0</v>
          </cell>
          <cell r="AF214">
            <v>0</v>
          </cell>
          <cell r="AG214">
            <v>28400000</v>
          </cell>
          <cell r="AH214">
            <v>0</v>
          </cell>
          <cell r="AI214">
            <v>0</v>
          </cell>
          <cell r="AJ214">
            <v>2635749</v>
          </cell>
          <cell r="AL214">
            <v>3074545</v>
          </cell>
          <cell r="AM214">
            <v>43298400</v>
          </cell>
          <cell r="AN214">
            <v>5263846</v>
          </cell>
          <cell r="AO214">
            <v>50000</v>
          </cell>
          <cell r="AP214">
            <v>0</v>
          </cell>
          <cell r="AQ214">
            <v>0</v>
          </cell>
          <cell r="AS214">
            <v>0</v>
          </cell>
          <cell r="AT214">
            <v>0</v>
          </cell>
          <cell r="AU214">
            <v>2318000</v>
          </cell>
          <cell r="AV214">
            <v>199000</v>
          </cell>
          <cell r="AW214">
            <v>0</v>
          </cell>
          <cell r="AX214">
            <v>6000</v>
          </cell>
          <cell r="AY214">
            <v>290000</v>
          </cell>
          <cell r="AZ214">
            <v>0</v>
          </cell>
          <cell r="BA214">
            <v>0</v>
          </cell>
          <cell r="BB214">
            <v>30653360</v>
          </cell>
          <cell r="BC214">
            <v>376438951</v>
          </cell>
        </row>
        <row r="219">
          <cell r="E219">
            <v>100000</v>
          </cell>
          <cell r="F219">
            <v>0</v>
          </cell>
          <cell r="G219">
            <v>76500</v>
          </cell>
          <cell r="H219">
            <v>664118</v>
          </cell>
          <cell r="I219">
            <v>0</v>
          </cell>
          <cell r="J219">
            <v>0</v>
          </cell>
          <cell r="K219">
            <v>0</v>
          </cell>
          <cell r="L219">
            <v>0</v>
          </cell>
          <cell r="M219">
            <v>0</v>
          </cell>
          <cell r="N219">
            <v>0</v>
          </cell>
          <cell r="O219">
            <v>0</v>
          </cell>
          <cell r="P219">
            <v>2993504</v>
          </cell>
          <cell r="Q219">
            <v>0</v>
          </cell>
          <cell r="T219">
            <v>1190142</v>
          </cell>
          <cell r="U219">
            <v>33500</v>
          </cell>
          <cell r="V219">
            <v>1421708</v>
          </cell>
          <cell r="W219">
            <v>1920000</v>
          </cell>
          <cell r="X219">
            <v>13730000</v>
          </cell>
          <cell r="Y219">
            <v>0</v>
          </cell>
          <cell r="Z219">
            <v>115788</v>
          </cell>
          <cell r="AA219">
            <v>12000</v>
          </cell>
          <cell r="AB219">
            <v>30000</v>
          </cell>
          <cell r="AC219">
            <v>0</v>
          </cell>
          <cell r="AD219">
            <v>0</v>
          </cell>
          <cell r="AE219">
            <v>0</v>
          </cell>
          <cell r="AF219">
            <v>0</v>
          </cell>
          <cell r="AG219">
            <v>0</v>
          </cell>
          <cell r="AH219">
            <v>0</v>
          </cell>
          <cell r="AI219">
            <v>0</v>
          </cell>
          <cell r="AJ219">
            <v>0</v>
          </cell>
          <cell r="AL219">
            <v>1247544</v>
          </cell>
          <cell r="AM219">
            <v>250000</v>
          </cell>
          <cell r="AN219">
            <v>354246</v>
          </cell>
          <cell r="AO219">
            <v>0</v>
          </cell>
          <cell r="AP219">
            <v>0</v>
          </cell>
          <cell r="AQ219">
            <v>0</v>
          </cell>
          <cell r="AS219">
            <v>0</v>
          </cell>
          <cell r="AT219">
            <v>0</v>
          </cell>
          <cell r="AU219">
            <v>0</v>
          </cell>
          <cell r="AV219">
            <v>0</v>
          </cell>
          <cell r="AW219">
            <v>0</v>
          </cell>
          <cell r="AX219">
            <v>0</v>
          </cell>
          <cell r="AY219">
            <v>0</v>
          </cell>
          <cell r="AZ219">
            <v>0</v>
          </cell>
          <cell r="BA219">
            <v>0</v>
          </cell>
          <cell r="BB219">
            <v>0</v>
          </cell>
          <cell r="BC219">
            <v>47424076</v>
          </cell>
        </row>
      </sheetData>
      <sheetData sheetId="1" refreshError="1"/>
      <sheetData sheetId="2">
        <row r="91">
          <cell r="F91">
            <v>0</v>
          </cell>
          <cell r="G91">
            <v>0</v>
          </cell>
          <cell r="J91">
            <v>0</v>
          </cell>
          <cell r="K91">
            <v>900000</v>
          </cell>
          <cell r="O91">
            <v>0</v>
          </cell>
          <cell r="P91">
            <v>0</v>
          </cell>
          <cell r="Q91">
            <v>0</v>
          </cell>
          <cell r="R91">
            <v>0</v>
          </cell>
          <cell r="W91">
            <v>0</v>
          </cell>
          <cell r="Y91">
            <v>5130000</v>
          </cell>
          <cell r="Z91">
            <v>4720524</v>
          </cell>
          <cell r="AA91">
            <v>1099495</v>
          </cell>
          <cell r="AB91">
            <v>0</v>
          </cell>
          <cell r="AE91">
            <v>268000</v>
          </cell>
          <cell r="AF91">
            <v>0</v>
          </cell>
          <cell r="AG91">
            <v>0</v>
          </cell>
          <cell r="AH91">
            <v>5760000</v>
          </cell>
          <cell r="AI91">
            <v>0</v>
          </cell>
          <cell r="AL91">
            <v>0</v>
          </cell>
          <cell r="AM91">
            <v>0</v>
          </cell>
          <cell r="AN91">
            <v>48400000</v>
          </cell>
          <cell r="AQ91">
            <v>0</v>
          </cell>
          <cell r="AR91">
            <v>100000</v>
          </cell>
          <cell r="AS91">
            <v>240000</v>
          </cell>
          <cell r="AV91">
            <v>2650000</v>
          </cell>
          <cell r="BB91">
            <v>0</v>
          </cell>
          <cell r="BC91">
            <v>750000</v>
          </cell>
        </row>
        <row r="156">
          <cell r="F156">
            <v>0</v>
          </cell>
          <cell r="G156">
            <v>0</v>
          </cell>
          <cell r="J156">
            <v>0</v>
          </cell>
          <cell r="K156">
            <v>0</v>
          </cell>
          <cell r="O156">
            <v>0</v>
          </cell>
          <cell r="P156">
            <v>0</v>
          </cell>
          <cell r="Q156">
            <v>4999947</v>
          </cell>
          <cell r="R156">
            <v>0</v>
          </cell>
          <cell r="W156">
            <v>3450000</v>
          </cell>
          <cell r="Y156">
            <v>1253000</v>
          </cell>
          <cell r="Z156">
            <v>5240850</v>
          </cell>
          <cell r="AA156">
            <v>0</v>
          </cell>
          <cell r="AB156">
            <v>0</v>
          </cell>
          <cell r="AE156">
            <v>4525000</v>
          </cell>
          <cell r="AF156">
            <v>0</v>
          </cell>
          <cell r="AG156">
            <v>37930000</v>
          </cell>
          <cell r="AI156">
            <v>27465400</v>
          </cell>
          <cell r="AL156">
            <v>5115000</v>
          </cell>
          <cell r="AM156">
            <v>16054200</v>
          </cell>
          <cell r="AN156">
            <v>26100000</v>
          </cell>
          <cell r="AQ156">
            <v>6550000</v>
          </cell>
          <cell r="AR156">
            <v>10300000</v>
          </cell>
          <cell r="AS156">
            <v>0</v>
          </cell>
          <cell r="AV156">
            <v>3980000</v>
          </cell>
          <cell r="BB156">
            <v>11900000</v>
          </cell>
          <cell r="BC156">
            <v>0</v>
          </cell>
        </row>
        <row r="201">
          <cell r="F201">
            <v>175607500</v>
          </cell>
          <cell r="G201">
            <v>575611071</v>
          </cell>
          <cell r="J201">
            <v>12413332</v>
          </cell>
          <cell r="K201">
            <v>9020000</v>
          </cell>
          <cell r="O201">
            <v>38175088</v>
          </cell>
          <cell r="P201">
            <v>106046627</v>
          </cell>
          <cell r="Q201">
            <v>124057280</v>
          </cell>
          <cell r="R201">
            <v>49006502</v>
          </cell>
          <cell r="S201">
            <v>30430000</v>
          </cell>
          <cell r="T201">
            <v>33000000</v>
          </cell>
          <cell r="U201">
            <v>3000000</v>
          </cell>
          <cell r="W201">
            <v>104799274</v>
          </cell>
          <cell r="Y201">
            <v>355000</v>
          </cell>
          <cell r="Z201">
            <v>26946857</v>
          </cell>
          <cell r="AA201">
            <v>0</v>
          </cell>
          <cell r="AB201">
            <v>250000</v>
          </cell>
          <cell r="AE201">
            <v>555000</v>
          </cell>
          <cell r="AF201">
            <v>5500000</v>
          </cell>
          <cell r="AG201">
            <v>0</v>
          </cell>
          <cell r="AI201">
            <v>0</v>
          </cell>
          <cell r="AL201">
            <v>0</v>
          </cell>
          <cell r="AM201">
            <v>2428855</v>
          </cell>
          <cell r="AN201">
            <v>1400000</v>
          </cell>
          <cell r="AQ201">
            <v>0</v>
          </cell>
          <cell r="AR201">
            <v>3440000</v>
          </cell>
          <cell r="AS201">
            <v>500000</v>
          </cell>
          <cell r="AV201">
            <v>0</v>
          </cell>
          <cell r="BB201">
            <v>0</v>
          </cell>
          <cell r="BC201">
            <v>0</v>
          </cell>
        </row>
      </sheetData>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covered_Sheet1"/>
      <sheetName val="ORIG-PROJ'N(2008)"/>
      <sheetName val="FINAL-CONSOLIDATED2008"/>
      <sheetName val="annay.-final"/>
      <sheetName val="sense 1"/>
      <sheetName val="sense 2"/>
      <sheetName val="sense 3"/>
      <sheetName val="proj'n-water"/>
      <sheetName val="Sheet1"/>
      <sheetName val="Sheet2"/>
    </sheetNames>
    <sheetDataSet>
      <sheetData sheetId="0"/>
      <sheetData sheetId="1"/>
      <sheetData sheetId="2"/>
      <sheetData sheetId="3">
        <row r="125">
          <cell r="B125" t="str">
            <v>Year 1</v>
          </cell>
          <cell r="E125" t="str">
            <v>Year 4</v>
          </cell>
          <cell r="F125" t="str">
            <v>Year 5</v>
          </cell>
        </row>
        <row r="126">
          <cell r="B126" t="str">
            <v>(2008)</v>
          </cell>
          <cell r="E126" t="str">
            <v>(2011)</v>
          </cell>
          <cell r="F126" t="str">
            <v>(2012)</v>
          </cell>
        </row>
        <row r="127">
          <cell r="B127" t="str">
            <v>-</v>
          </cell>
          <cell r="E127" t="str">
            <v>-</v>
          </cell>
          <cell r="F127" t="str">
            <v>-</v>
          </cell>
        </row>
        <row r="130">
          <cell r="B130">
            <v>39.843240856900017</v>
          </cell>
          <cell r="E130">
            <v>76.120179346436942</v>
          </cell>
          <cell r="F130">
            <v>86.462292851590107</v>
          </cell>
        </row>
        <row r="131">
          <cell r="B131">
            <v>20.018158199999998</v>
          </cell>
          <cell r="E131">
            <v>21.995992347167117</v>
          </cell>
          <cell r="F131">
            <v>22.686515099260617</v>
          </cell>
        </row>
        <row r="132">
          <cell r="B132">
            <v>0</v>
          </cell>
          <cell r="E132">
            <v>0</v>
          </cell>
          <cell r="F132">
            <v>0</v>
          </cell>
        </row>
        <row r="133">
          <cell r="B133" t="str">
            <v>-</v>
          </cell>
          <cell r="E133" t="str">
            <v>-</v>
          </cell>
          <cell r="F133" t="str">
            <v>-</v>
          </cell>
        </row>
        <row r="134">
          <cell r="B134">
            <v>59.861399056900012</v>
          </cell>
          <cell r="E134">
            <v>98.116171693604059</v>
          </cell>
          <cell r="F134">
            <v>109.14880795085072</v>
          </cell>
        </row>
        <row r="135">
          <cell r="B135" t="str">
            <v>-</v>
          </cell>
          <cell r="E135" t="str">
            <v>-</v>
          </cell>
          <cell r="F135" t="str">
            <v>-</v>
          </cell>
        </row>
        <row r="137">
          <cell r="B137">
            <v>33.76998433</v>
          </cell>
          <cell r="E137">
            <v>33.76998433</v>
          </cell>
          <cell r="F137">
            <v>33.76998433</v>
          </cell>
        </row>
        <row r="138">
          <cell r="B138">
            <v>30.464372829999999</v>
          </cell>
          <cell r="E138">
            <v>30.464372829999999</v>
          </cell>
          <cell r="F138">
            <v>30.464372829999999</v>
          </cell>
        </row>
        <row r="139">
          <cell r="B139">
            <v>10.597264640000001</v>
          </cell>
          <cell r="E139">
            <v>10.597264640000001</v>
          </cell>
          <cell r="F139">
            <v>10.597264640000001</v>
          </cell>
        </row>
        <row r="140">
          <cell r="B140">
            <v>34.989595840000007</v>
          </cell>
          <cell r="E140">
            <v>34.989595840000007</v>
          </cell>
          <cell r="F140">
            <v>34.989595840000007</v>
          </cell>
        </row>
        <row r="141">
          <cell r="B141">
            <v>26</v>
          </cell>
          <cell r="E141">
            <v>26</v>
          </cell>
          <cell r="F141">
            <v>26</v>
          </cell>
        </row>
        <row r="142">
          <cell r="B142" t="str">
            <v>-</v>
          </cell>
          <cell r="E142" t="str">
            <v>-</v>
          </cell>
          <cell r="F142" t="str">
            <v>-</v>
          </cell>
        </row>
        <row r="143">
          <cell r="B143">
            <v>135.82121764000001</v>
          </cell>
          <cell r="E143">
            <v>135.82121764000001</v>
          </cell>
          <cell r="F143">
            <v>135.82121764000001</v>
          </cell>
        </row>
        <row r="144">
          <cell r="B144" t="str">
            <v>-</v>
          </cell>
          <cell r="E144" t="str">
            <v>-</v>
          </cell>
          <cell r="F144" t="str">
            <v>-</v>
          </cell>
        </row>
        <row r="145">
          <cell r="B145">
            <v>195.68261669690003</v>
          </cell>
          <cell r="E145">
            <v>233.93738933360407</v>
          </cell>
          <cell r="F145">
            <v>244.97002559085075</v>
          </cell>
        </row>
        <row r="146">
          <cell r="B146" t="str">
            <v>=</v>
          </cell>
          <cell r="E146" t="str">
            <v>=</v>
          </cell>
          <cell r="F146" t="str">
            <v>=</v>
          </cell>
        </row>
        <row r="151">
          <cell r="B151">
            <v>0</v>
          </cell>
          <cell r="E151">
            <v>3.8548534612356158</v>
          </cell>
          <cell r="F151">
            <v>4.0725063875723979</v>
          </cell>
        </row>
        <row r="152">
          <cell r="B152">
            <v>1.8229166699999999</v>
          </cell>
          <cell r="E152">
            <v>4.7118055600000002</v>
          </cell>
          <cell r="F152">
            <v>4.7118055600000002</v>
          </cell>
        </row>
        <row r="153">
          <cell r="B153" t="str">
            <v>-</v>
          </cell>
          <cell r="E153" t="str">
            <v>-</v>
          </cell>
          <cell r="F153" t="str">
            <v>-</v>
          </cell>
        </row>
        <row r="154">
          <cell r="B154">
            <v>1.8229166699999999</v>
          </cell>
          <cell r="E154">
            <v>8.5666590212356155</v>
          </cell>
          <cell r="F154">
            <v>8.7843119475723981</v>
          </cell>
        </row>
        <row r="155">
          <cell r="B155" t="str">
            <v>-</v>
          </cell>
          <cell r="E155" t="str">
            <v>-</v>
          </cell>
          <cell r="F155" t="str">
            <v>-</v>
          </cell>
        </row>
        <row r="157">
          <cell r="B157">
            <v>36.9375</v>
          </cell>
          <cell r="E157">
            <v>19.913194429999997</v>
          </cell>
          <cell r="F157">
            <v>15.201388869999997</v>
          </cell>
        </row>
        <row r="158">
          <cell r="B158" t="str">
            <v>-</v>
          </cell>
          <cell r="E158" t="str">
            <v>-</v>
          </cell>
          <cell r="F158" t="str">
            <v>-</v>
          </cell>
        </row>
        <row r="159">
          <cell r="B159">
            <v>36.9375</v>
          </cell>
          <cell r="E159">
            <v>19.913194429999997</v>
          </cell>
          <cell r="F159">
            <v>15.201388869999997</v>
          </cell>
        </row>
        <row r="160">
          <cell r="B160" t="str">
            <v>-</v>
          </cell>
          <cell r="E160" t="str">
            <v>-</v>
          </cell>
          <cell r="F160" t="str">
            <v>-</v>
          </cell>
        </row>
        <row r="161">
          <cell r="B161">
            <v>34.900192683</v>
          </cell>
          <cell r="E161">
            <v>23.266795121999998</v>
          </cell>
          <cell r="F161">
            <v>19.388995934999997</v>
          </cell>
        </row>
        <row r="162">
          <cell r="B162" t="str">
            <v>-</v>
          </cell>
          <cell r="E162" t="str">
            <v>-</v>
          </cell>
          <cell r="F162" t="str">
            <v>-</v>
          </cell>
        </row>
        <row r="163">
          <cell r="B163">
            <v>73.660609352999998</v>
          </cell>
          <cell r="E163">
            <v>51.746648573235611</v>
          </cell>
          <cell r="F163">
            <v>43.37469675257239</v>
          </cell>
        </row>
        <row r="164">
          <cell r="B164" t="str">
            <v>-</v>
          </cell>
          <cell r="E164" t="str">
            <v>-</v>
          </cell>
          <cell r="F164" t="str">
            <v>-</v>
          </cell>
        </row>
        <row r="166">
          <cell r="B166">
            <v>102.89864874</v>
          </cell>
          <cell r="E166">
            <v>162.54703495426887</v>
          </cell>
          <cell r="F166">
            <v>182.68557527553341</v>
          </cell>
        </row>
        <row r="167">
          <cell r="B167">
            <v>19.123358613899999</v>
          </cell>
          <cell r="E167">
            <v>20.138540321264536</v>
          </cell>
          <cell r="F167">
            <v>19.40458807790985</v>
          </cell>
        </row>
        <row r="168">
          <cell r="B168" t="str">
            <v>-</v>
          </cell>
          <cell r="E168" t="str">
            <v>-</v>
          </cell>
          <cell r="F168" t="str">
            <v>-</v>
          </cell>
        </row>
        <row r="169">
          <cell r="B169">
            <v>122.02200735389999</v>
          </cell>
          <cell r="E169">
            <v>182.68557527553341</v>
          </cell>
          <cell r="F169">
            <v>202.09016335344324</v>
          </cell>
        </row>
        <row r="170">
          <cell r="B170" t="str">
            <v>-</v>
          </cell>
          <cell r="E170" t="str">
            <v>-</v>
          </cell>
          <cell r="F170" t="str">
            <v>-</v>
          </cell>
        </row>
        <row r="171">
          <cell r="B171">
            <v>195.68261670689998</v>
          </cell>
          <cell r="E171">
            <v>234.43222384876901</v>
          </cell>
          <cell r="F171">
            <v>245.46486010601564</v>
          </cell>
        </row>
        <row r="172">
          <cell r="B172" t="str">
            <v>=</v>
          </cell>
          <cell r="E172" t="str">
            <v>=</v>
          </cell>
          <cell r="F172" t="str">
            <v>=</v>
          </cell>
        </row>
        <row r="174">
          <cell r="B174">
            <v>-9.9999510894122068E-9</v>
          </cell>
          <cell r="E174">
            <v>-0.49483451516493915</v>
          </cell>
          <cell r="F174">
            <v>-0.4948345151648823</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63"/>
  <sheetViews>
    <sheetView view="pageBreakPreview" zoomScale="85" zoomScaleNormal="100" zoomScaleSheetLayoutView="85" workbookViewId="0">
      <selection activeCell="E136" sqref="E136"/>
    </sheetView>
  </sheetViews>
  <sheetFormatPr defaultColWidth="14.42578125" defaultRowHeight="15" customHeight="1" x14ac:dyDescent="0.25"/>
  <cols>
    <col min="1" max="2" width="2.7109375" style="773" customWidth="1"/>
    <col min="3" max="3" width="62.85546875" style="773" customWidth="1"/>
    <col min="4" max="4" width="14.7109375" style="849" customWidth="1"/>
    <col min="5" max="5" width="22.5703125" style="773" customWidth="1"/>
    <col min="6" max="6" width="22.28515625" style="773" customWidth="1"/>
    <col min="7" max="7" width="22.140625" style="773" customWidth="1"/>
    <col min="8" max="8" width="20.85546875" style="773" customWidth="1"/>
    <col min="9" max="9" width="20" style="773" hidden="1" customWidth="1"/>
    <col min="10" max="10" width="21.42578125" style="773" customWidth="1"/>
    <col min="11" max="12" width="23.42578125" style="773" customWidth="1"/>
    <col min="13" max="14" width="9" style="773" customWidth="1"/>
    <col min="15" max="15" width="18.28515625" style="773" customWidth="1"/>
    <col min="16" max="16" width="21.140625" style="773" customWidth="1"/>
    <col min="17" max="17" width="19.7109375" style="773" customWidth="1"/>
    <col min="18" max="19" width="9.140625" style="773" customWidth="1"/>
    <col min="20" max="20" width="21.140625" style="773" customWidth="1"/>
    <col min="21" max="26" width="9" style="773" customWidth="1"/>
    <col min="27" max="16384" width="14.42578125" style="773"/>
  </cols>
  <sheetData>
    <row r="1" spans="1:26" ht="18.75" customHeight="1" x14ac:dyDescent="0.3">
      <c r="A1" s="768"/>
      <c r="B1" s="769"/>
      <c r="C1" s="770"/>
      <c r="D1" s="771"/>
      <c r="E1" s="769"/>
      <c r="F1" s="769"/>
      <c r="G1" s="769"/>
      <c r="H1" s="769"/>
      <c r="I1" s="769"/>
      <c r="J1" s="769"/>
      <c r="K1" s="772"/>
      <c r="L1" s="769"/>
      <c r="M1" s="769"/>
      <c r="N1" s="769"/>
      <c r="O1" s="769"/>
      <c r="P1" s="769"/>
      <c r="Q1" s="769"/>
      <c r="R1" s="769"/>
      <c r="S1" s="769"/>
      <c r="T1" s="769"/>
      <c r="U1" s="769"/>
      <c r="V1" s="769"/>
      <c r="W1" s="769"/>
      <c r="X1" s="769"/>
      <c r="Y1" s="769"/>
      <c r="Z1" s="769"/>
    </row>
    <row r="2" spans="1:26" ht="18.75" customHeight="1" x14ac:dyDescent="0.3">
      <c r="A2" s="850" t="s">
        <v>2807</v>
      </c>
      <c r="B2" s="851"/>
      <c r="C2" s="851"/>
      <c r="D2" s="851"/>
      <c r="E2" s="851"/>
      <c r="F2" s="851"/>
      <c r="G2" s="851"/>
      <c r="H2" s="851"/>
      <c r="I2" s="851"/>
      <c r="J2" s="851"/>
      <c r="K2" s="772"/>
      <c r="L2" s="769"/>
      <c r="M2" s="769"/>
      <c r="N2" s="769"/>
      <c r="O2" s="769"/>
      <c r="P2" s="769"/>
      <c r="Q2" s="769"/>
      <c r="R2" s="769"/>
      <c r="S2" s="769"/>
      <c r="T2" s="769"/>
      <c r="U2" s="769"/>
      <c r="V2" s="769"/>
      <c r="W2" s="769"/>
      <c r="X2" s="769"/>
      <c r="Y2" s="769"/>
      <c r="Z2" s="769"/>
    </row>
    <row r="3" spans="1:26" ht="18" customHeight="1" x14ac:dyDescent="0.3">
      <c r="A3" s="852" t="s">
        <v>2808</v>
      </c>
      <c r="B3" s="853"/>
      <c r="C3" s="853"/>
      <c r="D3" s="853"/>
      <c r="E3" s="853"/>
      <c r="F3" s="853"/>
      <c r="G3" s="853"/>
      <c r="H3" s="853"/>
      <c r="I3" s="853"/>
      <c r="J3" s="853"/>
      <c r="K3" s="772"/>
      <c r="L3" s="769"/>
      <c r="M3" s="769"/>
      <c r="N3" s="769"/>
      <c r="O3" s="769"/>
      <c r="P3" s="769"/>
      <c r="Q3" s="769"/>
      <c r="R3" s="769"/>
      <c r="S3" s="769"/>
      <c r="T3" s="769"/>
      <c r="U3" s="769"/>
      <c r="V3" s="769"/>
      <c r="W3" s="769"/>
      <c r="X3" s="769"/>
      <c r="Y3" s="769"/>
      <c r="Z3" s="769"/>
    </row>
    <row r="4" spans="1:26" ht="18" customHeight="1" x14ac:dyDescent="0.3">
      <c r="A4" s="774"/>
      <c r="B4" s="769"/>
      <c r="C4" s="769"/>
      <c r="D4" s="771"/>
      <c r="E4" s="769"/>
      <c r="F4" s="769"/>
      <c r="G4" s="769"/>
      <c r="H4" s="769"/>
      <c r="I4" s="769"/>
      <c r="J4" s="769"/>
      <c r="K4" s="772"/>
      <c r="L4" s="769"/>
      <c r="M4" s="769"/>
      <c r="N4" s="769"/>
      <c r="O4" s="769"/>
      <c r="P4" s="769"/>
      <c r="Q4" s="769"/>
      <c r="R4" s="769"/>
      <c r="S4" s="769"/>
      <c r="T4" s="769"/>
      <c r="U4" s="769"/>
      <c r="V4" s="769"/>
      <c r="W4" s="769"/>
      <c r="X4" s="769"/>
      <c r="Y4" s="769"/>
      <c r="Z4" s="769"/>
    </row>
    <row r="5" spans="1:26" ht="37.5" x14ac:dyDescent="0.3">
      <c r="A5" s="854" t="s">
        <v>2809</v>
      </c>
      <c r="B5" s="855"/>
      <c r="C5" s="856"/>
      <c r="D5" s="775" t="s">
        <v>354</v>
      </c>
      <c r="E5" s="775" t="s">
        <v>2810</v>
      </c>
      <c r="F5" s="775" t="s">
        <v>2811</v>
      </c>
      <c r="G5" s="775" t="s">
        <v>2812</v>
      </c>
      <c r="H5" s="775" t="s">
        <v>2813</v>
      </c>
      <c r="I5" s="775" t="s">
        <v>2814</v>
      </c>
      <c r="J5" s="775" t="s">
        <v>2815</v>
      </c>
      <c r="K5" s="772"/>
      <c r="L5" s="769"/>
      <c r="M5" s="769"/>
      <c r="N5" s="769"/>
      <c r="O5" s="769"/>
      <c r="P5" s="769"/>
      <c r="Q5" s="769"/>
      <c r="R5" s="769"/>
      <c r="S5" s="769"/>
      <c r="T5" s="769"/>
      <c r="U5" s="769"/>
      <c r="V5" s="769"/>
      <c r="W5" s="769"/>
      <c r="X5" s="769"/>
      <c r="Y5" s="769"/>
      <c r="Z5" s="769"/>
    </row>
    <row r="6" spans="1:26" ht="18.75" x14ac:dyDescent="0.3">
      <c r="A6" s="776" t="s">
        <v>2816</v>
      </c>
      <c r="B6" s="777"/>
      <c r="C6" s="778"/>
      <c r="D6" s="779"/>
      <c r="E6" s="778"/>
      <c r="F6" s="778"/>
      <c r="G6" s="778"/>
      <c r="H6" s="778"/>
      <c r="I6" s="780"/>
      <c r="J6" s="778"/>
      <c r="K6" s="772"/>
      <c r="L6" s="769"/>
      <c r="M6" s="769"/>
      <c r="N6" s="769"/>
      <c r="O6" s="769"/>
      <c r="P6" s="769"/>
      <c r="Q6" s="769"/>
      <c r="R6" s="769"/>
      <c r="S6" s="769"/>
      <c r="T6" s="769"/>
      <c r="U6" s="769"/>
      <c r="V6" s="769"/>
      <c r="W6" s="769"/>
      <c r="X6" s="769"/>
      <c r="Y6" s="769"/>
      <c r="Z6" s="769"/>
    </row>
    <row r="7" spans="1:26" ht="18.75" x14ac:dyDescent="0.3">
      <c r="A7" s="781"/>
      <c r="B7" s="769" t="s">
        <v>2817</v>
      </c>
      <c r="C7" s="782"/>
      <c r="D7" s="783"/>
      <c r="E7" s="784"/>
      <c r="F7" s="784"/>
      <c r="G7" s="784"/>
      <c r="H7" s="784"/>
      <c r="I7" s="785"/>
      <c r="J7" s="784"/>
      <c r="K7" s="772"/>
      <c r="L7" s="769"/>
      <c r="M7" s="769"/>
      <c r="N7" s="769"/>
      <c r="O7" s="769"/>
      <c r="P7" s="769"/>
      <c r="Q7" s="769"/>
      <c r="R7" s="769"/>
      <c r="S7" s="769"/>
      <c r="T7" s="769"/>
      <c r="U7" s="769"/>
      <c r="V7" s="769"/>
      <c r="W7" s="769"/>
      <c r="X7" s="769"/>
      <c r="Y7" s="769"/>
      <c r="Z7" s="769"/>
    </row>
    <row r="8" spans="1:26" ht="18.75" x14ac:dyDescent="0.3">
      <c r="A8" s="781"/>
      <c r="B8" s="769"/>
      <c r="C8" s="786" t="s">
        <v>2818</v>
      </c>
      <c r="D8" s="783" t="s">
        <v>121</v>
      </c>
      <c r="E8" s="784">
        <v>386035724</v>
      </c>
      <c r="F8" s="784">
        <v>136881396</v>
      </c>
      <c r="G8" s="784">
        <v>186905520</v>
      </c>
      <c r="H8" s="784">
        <v>0</v>
      </c>
      <c r="I8" s="785">
        <v>6843960</v>
      </c>
      <c r="J8" s="784">
        <f t="shared" ref="J8:J20" si="0">SUM(E8:G8,H8)</f>
        <v>709822640</v>
      </c>
      <c r="K8" s="772"/>
      <c r="L8" s="772"/>
      <c r="M8" s="769"/>
      <c r="N8" s="769"/>
      <c r="O8" s="769"/>
      <c r="P8" s="769"/>
      <c r="Q8" s="769"/>
      <c r="R8" s="769"/>
      <c r="S8" s="769"/>
      <c r="T8" s="769"/>
      <c r="U8" s="769"/>
      <c r="V8" s="769"/>
      <c r="W8" s="769"/>
      <c r="X8" s="769"/>
      <c r="Y8" s="769"/>
      <c r="Z8" s="769"/>
    </row>
    <row r="9" spans="1:26" ht="18.75" x14ac:dyDescent="0.3">
      <c r="A9" s="781"/>
      <c r="B9" s="769"/>
      <c r="C9" s="786" t="s">
        <v>2819</v>
      </c>
      <c r="D9" s="787" t="s">
        <v>125</v>
      </c>
      <c r="E9" s="784">
        <v>17496000</v>
      </c>
      <c r="F9" s="784">
        <v>8016000</v>
      </c>
      <c r="G9" s="784">
        <v>11496000</v>
      </c>
      <c r="H9" s="784">
        <v>0</v>
      </c>
      <c r="I9" s="785">
        <v>576000</v>
      </c>
      <c r="J9" s="784">
        <f t="shared" si="0"/>
        <v>37008000</v>
      </c>
      <c r="K9" s="772"/>
      <c r="L9" s="772"/>
      <c r="M9" s="769"/>
      <c r="N9" s="769"/>
      <c r="O9" s="769"/>
      <c r="P9" s="769"/>
      <c r="Q9" s="769"/>
      <c r="R9" s="769"/>
      <c r="S9" s="769"/>
      <c r="T9" s="769"/>
      <c r="U9" s="769"/>
      <c r="V9" s="769"/>
      <c r="W9" s="769"/>
      <c r="X9" s="769"/>
      <c r="Y9" s="769"/>
      <c r="Z9" s="769"/>
    </row>
    <row r="10" spans="1:26" ht="18.75" x14ac:dyDescent="0.3">
      <c r="A10" s="781"/>
      <c r="B10" s="769"/>
      <c r="C10" s="786" t="s">
        <v>2820</v>
      </c>
      <c r="D10" s="787" t="s">
        <v>127</v>
      </c>
      <c r="E10" s="784">
        <v>4272000</v>
      </c>
      <c r="F10" s="784">
        <v>792000</v>
      </c>
      <c r="G10" s="784">
        <v>1410000</v>
      </c>
      <c r="H10" s="784">
        <v>0</v>
      </c>
      <c r="I10" s="785">
        <v>0</v>
      </c>
      <c r="J10" s="784">
        <f t="shared" si="0"/>
        <v>6474000</v>
      </c>
      <c r="K10" s="772"/>
      <c r="L10" s="772"/>
      <c r="M10" s="769"/>
      <c r="N10" s="769"/>
      <c r="O10" s="769"/>
      <c r="P10" s="769"/>
      <c r="Q10" s="769"/>
      <c r="R10" s="769"/>
      <c r="S10" s="769"/>
      <c r="T10" s="769"/>
      <c r="U10" s="769"/>
      <c r="V10" s="769"/>
      <c r="W10" s="769"/>
      <c r="X10" s="769"/>
      <c r="Y10" s="769"/>
      <c r="Z10" s="769"/>
    </row>
    <row r="11" spans="1:26" ht="18.75" x14ac:dyDescent="0.3">
      <c r="A11" s="781"/>
      <c r="B11" s="769"/>
      <c r="C11" s="786" t="s">
        <v>2821</v>
      </c>
      <c r="D11" s="787" t="s">
        <v>372</v>
      </c>
      <c r="E11" s="784">
        <v>4272000</v>
      </c>
      <c r="F11" s="784">
        <v>792000</v>
      </c>
      <c r="G11" s="784">
        <v>1410000</v>
      </c>
      <c r="H11" s="784">
        <v>0</v>
      </c>
      <c r="I11" s="785">
        <v>0</v>
      </c>
      <c r="J11" s="784">
        <f t="shared" si="0"/>
        <v>6474000</v>
      </c>
      <c r="K11" s="772"/>
      <c r="L11" s="772"/>
      <c r="M11" s="769"/>
      <c r="N11" s="769"/>
      <c r="O11" s="769"/>
      <c r="P11" s="769"/>
      <c r="Q11" s="769"/>
      <c r="R11" s="769"/>
      <c r="S11" s="769"/>
      <c r="T11" s="769"/>
      <c r="U11" s="769"/>
      <c r="V11" s="769"/>
      <c r="W11" s="769"/>
      <c r="X11" s="769"/>
      <c r="Y11" s="769"/>
      <c r="Z11" s="769"/>
    </row>
    <row r="12" spans="1:26" ht="18.75" x14ac:dyDescent="0.3">
      <c r="A12" s="781"/>
      <c r="B12" s="769"/>
      <c r="C12" s="786" t="s">
        <v>2822</v>
      </c>
      <c r="D12" s="787" t="s">
        <v>131</v>
      </c>
      <c r="E12" s="784">
        <v>5103000</v>
      </c>
      <c r="F12" s="784">
        <v>2338000</v>
      </c>
      <c r="G12" s="784">
        <v>3353000</v>
      </c>
      <c r="H12" s="784">
        <v>0</v>
      </c>
      <c r="I12" s="785">
        <v>168000</v>
      </c>
      <c r="J12" s="784">
        <f t="shared" si="0"/>
        <v>10794000</v>
      </c>
      <c r="K12" s="772"/>
      <c r="L12" s="772"/>
      <c r="M12" s="769"/>
      <c r="N12" s="769"/>
      <c r="O12" s="769"/>
      <c r="P12" s="769"/>
      <c r="Q12" s="769"/>
      <c r="R12" s="769"/>
      <c r="S12" s="769"/>
      <c r="T12" s="769"/>
      <c r="U12" s="769"/>
      <c r="V12" s="769"/>
      <c r="W12" s="769"/>
      <c r="X12" s="769"/>
      <c r="Y12" s="769"/>
      <c r="Z12" s="769"/>
    </row>
    <row r="13" spans="1:26" ht="18.75" x14ac:dyDescent="0.3">
      <c r="A13" s="781"/>
      <c r="B13" s="769"/>
      <c r="C13" s="786" t="s">
        <v>2823</v>
      </c>
      <c r="D13" s="787" t="s">
        <v>133</v>
      </c>
      <c r="E13" s="788" t="s">
        <v>2824</v>
      </c>
      <c r="F13" s="789">
        <v>5724000</v>
      </c>
      <c r="G13" s="788">
        <v>414000</v>
      </c>
      <c r="H13" s="784">
        <v>0</v>
      </c>
      <c r="I13" s="785">
        <v>0</v>
      </c>
      <c r="J13" s="784">
        <f t="shared" si="0"/>
        <v>6138000</v>
      </c>
      <c r="K13" s="772"/>
      <c r="L13" s="772"/>
      <c r="M13" s="769"/>
      <c r="N13" s="769"/>
      <c r="O13" s="769"/>
      <c r="P13" s="769"/>
      <c r="Q13" s="769"/>
      <c r="R13" s="769"/>
      <c r="S13" s="769"/>
      <c r="T13" s="769"/>
      <c r="U13" s="769"/>
      <c r="V13" s="769"/>
      <c r="W13" s="769"/>
      <c r="X13" s="769"/>
      <c r="Y13" s="769"/>
      <c r="Z13" s="769"/>
    </row>
    <row r="14" spans="1:26" ht="18.75" x14ac:dyDescent="0.3">
      <c r="A14" s="781"/>
      <c r="B14" s="769"/>
      <c r="C14" s="786" t="s">
        <v>2825</v>
      </c>
      <c r="D14" s="787" t="s">
        <v>135</v>
      </c>
      <c r="E14" s="788" t="s">
        <v>2824</v>
      </c>
      <c r="F14" s="789">
        <v>424800</v>
      </c>
      <c r="G14" s="788" t="s">
        <v>2824</v>
      </c>
      <c r="H14" s="784">
        <v>0</v>
      </c>
      <c r="I14" s="785">
        <v>0</v>
      </c>
      <c r="J14" s="784">
        <f t="shared" si="0"/>
        <v>424800</v>
      </c>
      <c r="K14" s="772"/>
      <c r="L14" s="772"/>
      <c r="M14" s="769"/>
      <c r="N14" s="769"/>
      <c r="O14" s="769"/>
      <c r="P14" s="769"/>
      <c r="Q14" s="769"/>
      <c r="R14" s="769"/>
      <c r="S14" s="769"/>
      <c r="T14" s="769"/>
      <c r="U14" s="769"/>
      <c r="V14" s="769"/>
      <c r="W14" s="769"/>
      <c r="X14" s="769"/>
      <c r="Y14" s="769"/>
      <c r="Z14" s="769"/>
    </row>
    <row r="15" spans="1:26" ht="18.75" x14ac:dyDescent="0.3">
      <c r="A15" s="781"/>
      <c r="B15" s="769"/>
      <c r="C15" s="786" t="s">
        <v>2826</v>
      </c>
      <c r="D15" s="787" t="s">
        <v>143</v>
      </c>
      <c r="E15" s="788" t="s">
        <v>2824</v>
      </c>
      <c r="F15" s="789">
        <v>3060000</v>
      </c>
      <c r="G15" s="788" t="s">
        <v>2824</v>
      </c>
      <c r="H15" s="784">
        <v>0</v>
      </c>
      <c r="I15" s="785">
        <v>0</v>
      </c>
      <c r="J15" s="784">
        <f t="shared" si="0"/>
        <v>3060000</v>
      </c>
      <c r="K15" s="772"/>
      <c r="L15" s="772"/>
      <c r="M15" s="769"/>
      <c r="N15" s="769"/>
      <c r="O15" s="769"/>
      <c r="P15" s="769"/>
      <c r="Q15" s="769"/>
      <c r="R15" s="769"/>
      <c r="S15" s="769"/>
      <c r="T15" s="769"/>
      <c r="U15" s="769"/>
      <c r="V15" s="769"/>
      <c r="W15" s="769"/>
      <c r="X15" s="769"/>
      <c r="Y15" s="769"/>
      <c r="Z15" s="769"/>
    </row>
    <row r="16" spans="1:26" ht="18.75" x14ac:dyDescent="0.3">
      <c r="A16" s="781"/>
      <c r="B16" s="769"/>
      <c r="C16" s="786" t="s">
        <v>2827</v>
      </c>
      <c r="D16" s="787" t="s">
        <v>145</v>
      </c>
      <c r="E16" s="788" t="s">
        <v>2824</v>
      </c>
      <c r="F16" s="789">
        <v>27449235</v>
      </c>
      <c r="G16" s="788">
        <v>1786381</v>
      </c>
      <c r="H16" s="784">
        <v>0</v>
      </c>
      <c r="I16" s="785">
        <v>0</v>
      </c>
      <c r="J16" s="784">
        <f t="shared" si="0"/>
        <v>29235616</v>
      </c>
      <c r="K16" s="772"/>
      <c r="L16" s="772"/>
      <c r="M16" s="769"/>
      <c r="N16" s="769"/>
      <c r="O16" s="769"/>
      <c r="P16" s="769"/>
      <c r="Q16" s="769"/>
      <c r="R16" s="769"/>
      <c r="S16" s="769"/>
      <c r="T16" s="769"/>
      <c r="U16" s="769"/>
      <c r="V16" s="769"/>
      <c r="W16" s="769"/>
      <c r="X16" s="769"/>
      <c r="Y16" s="769"/>
      <c r="Z16" s="769"/>
    </row>
    <row r="17" spans="1:26" ht="18.75" x14ac:dyDescent="0.3">
      <c r="A17" s="781"/>
      <c r="B17" s="769"/>
      <c r="C17" s="786" t="s">
        <v>2828</v>
      </c>
      <c r="D17" s="787" t="s">
        <v>147</v>
      </c>
      <c r="E17" s="788" t="s">
        <v>2824</v>
      </c>
      <c r="F17" s="789">
        <v>6164548</v>
      </c>
      <c r="G17" s="788" t="s">
        <v>2824</v>
      </c>
      <c r="H17" s="784">
        <v>0</v>
      </c>
      <c r="I17" s="785">
        <v>0</v>
      </c>
      <c r="J17" s="784">
        <f t="shared" si="0"/>
        <v>6164548</v>
      </c>
      <c r="K17" s="772"/>
      <c r="L17" s="772"/>
      <c r="M17" s="769"/>
      <c r="N17" s="769"/>
      <c r="O17" s="769"/>
      <c r="P17" s="769"/>
      <c r="Q17" s="769"/>
      <c r="R17" s="769"/>
      <c r="S17" s="769"/>
      <c r="T17" s="769"/>
      <c r="U17" s="769"/>
      <c r="V17" s="769"/>
      <c r="W17" s="769"/>
      <c r="X17" s="769"/>
      <c r="Y17" s="769"/>
      <c r="Z17" s="769"/>
    </row>
    <row r="18" spans="1:26" ht="18.75" x14ac:dyDescent="0.3">
      <c r="A18" s="781"/>
      <c r="B18" s="769"/>
      <c r="C18" s="786" t="s">
        <v>2829</v>
      </c>
      <c r="D18" s="787" t="s">
        <v>149</v>
      </c>
      <c r="E18" s="789">
        <v>2720000</v>
      </c>
      <c r="F18" s="789">
        <v>5402635</v>
      </c>
      <c r="G18" s="788">
        <v>1901922</v>
      </c>
      <c r="H18" s="784">
        <v>0</v>
      </c>
      <c r="I18" s="785">
        <v>463924</v>
      </c>
      <c r="J18" s="784">
        <f t="shared" si="0"/>
        <v>10024557</v>
      </c>
      <c r="K18" s="772"/>
      <c r="L18" s="772"/>
      <c r="M18" s="769"/>
      <c r="N18" s="769"/>
      <c r="O18" s="769"/>
      <c r="P18" s="769"/>
      <c r="Q18" s="769"/>
      <c r="R18" s="769"/>
      <c r="S18" s="769"/>
      <c r="T18" s="769"/>
      <c r="U18" s="769"/>
      <c r="V18" s="769"/>
      <c r="W18" s="769"/>
      <c r="X18" s="769"/>
      <c r="Y18" s="769"/>
      <c r="Z18" s="769"/>
    </row>
    <row r="19" spans="1:26" ht="18.75" x14ac:dyDescent="0.3">
      <c r="A19" s="781"/>
      <c r="B19" s="769"/>
      <c r="C19" s="786" t="s">
        <v>2830</v>
      </c>
      <c r="D19" s="787" t="s">
        <v>151</v>
      </c>
      <c r="E19" s="784">
        <v>28002977</v>
      </c>
      <c r="F19" s="784">
        <v>11406783</v>
      </c>
      <c r="G19" s="790">
        <v>15575460</v>
      </c>
      <c r="H19" s="784">
        <v>0</v>
      </c>
      <c r="I19" s="785">
        <v>570330</v>
      </c>
      <c r="J19" s="784">
        <f t="shared" si="0"/>
        <v>54985220</v>
      </c>
      <c r="K19" s="772"/>
      <c r="L19" s="772"/>
      <c r="M19" s="769"/>
      <c r="N19" s="769"/>
      <c r="O19" s="769"/>
      <c r="P19" s="769"/>
      <c r="Q19" s="769"/>
      <c r="R19" s="769"/>
      <c r="S19" s="769"/>
      <c r="T19" s="769"/>
      <c r="U19" s="769"/>
      <c r="V19" s="769"/>
      <c r="W19" s="769"/>
      <c r="X19" s="769"/>
      <c r="Y19" s="769"/>
      <c r="Z19" s="769"/>
    </row>
    <row r="20" spans="1:26" ht="18.75" x14ac:dyDescent="0.3">
      <c r="A20" s="781"/>
      <c r="B20" s="769"/>
      <c r="C20" s="786" t="s">
        <v>2831</v>
      </c>
      <c r="D20" s="787" t="s">
        <v>153</v>
      </c>
      <c r="E20" s="784">
        <v>3645000</v>
      </c>
      <c r="F20" s="784">
        <v>1670000</v>
      </c>
      <c r="G20" s="790">
        <v>2395000</v>
      </c>
      <c r="H20" s="784">
        <v>0</v>
      </c>
      <c r="I20" s="785">
        <v>120000</v>
      </c>
      <c r="J20" s="784">
        <f t="shared" si="0"/>
        <v>7710000</v>
      </c>
      <c r="K20" s="772"/>
      <c r="L20" s="772"/>
      <c r="M20" s="769"/>
      <c r="N20" s="769"/>
      <c r="O20" s="769"/>
      <c r="P20" s="769"/>
      <c r="Q20" s="769"/>
      <c r="R20" s="769"/>
      <c r="S20" s="769"/>
      <c r="T20" s="769"/>
      <c r="U20" s="769"/>
      <c r="V20" s="769"/>
      <c r="W20" s="769"/>
      <c r="X20" s="769"/>
      <c r="Y20" s="769"/>
      <c r="Z20" s="769"/>
    </row>
    <row r="21" spans="1:26" ht="18.75" x14ac:dyDescent="0.3">
      <c r="A21" s="781"/>
      <c r="B21" s="769"/>
      <c r="C21" s="786" t="s">
        <v>154</v>
      </c>
      <c r="D21" s="787" t="s">
        <v>155</v>
      </c>
      <c r="E21" s="784"/>
      <c r="F21" s="784"/>
      <c r="G21" s="790"/>
      <c r="H21" s="784"/>
      <c r="I21" s="785"/>
      <c r="J21" s="784"/>
      <c r="K21" s="772"/>
      <c r="L21" s="772"/>
      <c r="M21" s="769"/>
      <c r="N21" s="769"/>
      <c r="O21" s="769"/>
      <c r="P21" s="769"/>
      <c r="Q21" s="769"/>
      <c r="R21" s="769"/>
      <c r="S21" s="769"/>
      <c r="T21" s="769"/>
      <c r="U21" s="769"/>
      <c r="V21" s="769"/>
      <c r="W21" s="769"/>
      <c r="X21" s="769"/>
      <c r="Y21" s="769"/>
      <c r="Z21" s="769"/>
    </row>
    <row r="22" spans="1:26" ht="18.75" x14ac:dyDescent="0.3">
      <c r="A22" s="781"/>
      <c r="B22" s="769"/>
      <c r="C22" s="786" t="s">
        <v>2832</v>
      </c>
      <c r="D22" s="787" t="s">
        <v>157</v>
      </c>
      <c r="E22" s="784">
        <v>435000</v>
      </c>
      <c r="F22" s="784">
        <v>350000</v>
      </c>
      <c r="G22" s="784">
        <v>405000</v>
      </c>
      <c r="H22" s="784">
        <v>0</v>
      </c>
      <c r="I22" s="785">
        <v>5000</v>
      </c>
      <c r="J22" s="784">
        <f t="shared" ref="J22:J23" si="1">SUM(E22:G22,H22)</f>
        <v>1190000</v>
      </c>
      <c r="K22" s="772"/>
      <c r="L22" s="772"/>
      <c r="M22" s="769"/>
      <c r="N22" s="769"/>
      <c r="O22" s="769"/>
      <c r="P22" s="769"/>
      <c r="Q22" s="769"/>
      <c r="R22" s="769"/>
      <c r="S22" s="769"/>
      <c r="T22" s="769"/>
      <c r="U22" s="769"/>
      <c r="V22" s="769"/>
      <c r="W22" s="769"/>
      <c r="X22" s="769"/>
      <c r="Y22" s="769"/>
      <c r="Z22" s="769"/>
    </row>
    <row r="23" spans="1:26" ht="18.75" x14ac:dyDescent="0.3">
      <c r="A23" s="781"/>
      <c r="B23" s="769"/>
      <c r="C23" s="786" t="s">
        <v>2833</v>
      </c>
      <c r="D23" s="787" t="s">
        <v>161</v>
      </c>
      <c r="E23" s="784">
        <v>28002977</v>
      </c>
      <c r="F23" s="784">
        <v>11406783</v>
      </c>
      <c r="G23" s="784">
        <v>15575460</v>
      </c>
      <c r="H23" s="784">
        <v>0</v>
      </c>
      <c r="I23" s="785">
        <v>570330</v>
      </c>
      <c r="J23" s="784">
        <f t="shared" si="1"/>
        <v>54985220</v>
      </c>
      <c r="K23" s="772"/>
      <c r="L23" s="772"/>
      <c r="M23" s="769"/>
      <c r="N23" s="769"/>
      <c r="O23" s="769"/>
      <c r="P23" s="769"/>
      <c r="Q23" s="769"/>
      <c r="R23" s="769"/>
      <c r="S23" s="769"/>
      <c r="T23" s="769"/>
      <c r="U23" s="769"/>
      <c r="V23" s="769"/>
      <c r="W23" s="769"/>
      <c r="X23" s="769"/>
      <c r="Y23" s="769"/>
      <c r="Z23" s="769"/>
    </row>
    <row r="24" spans="1:26" ht="18.75" x14ac:dyDescent="0.3">
      <c r="A24" s="781"/>
      <c r="B24" s="769"/>
      <c r="C24" s="786" t="s">
        <v>2834</v>
      </c>
      <c r="D24" s="787"/>
      <c r="E24" s="784"/>
      <c r="F24" s="784"/>
      <c r="G24" s="784"/>
      <c r="H24" s="784"/>
      <c r="I24" s="785"/>
      <c r="J24" s="784"/>
      <c r="K24" s="772"/>
      <c r="L24" s="772"/>
      <c r="M24" s="769"/>
      <c r="N24" s="769"/>
      <c r="O24" s="769"/>
      <c r="P24" s="769"/>
      <c r="Q24" s="769"/>
      <c r="R24" s="769"/>
      <c r="S24" s="769"/>
      <c r="T24" s="769"/>
      <c r="U24" s="769"/>
      <c r="V24" s="769"/>
      <c r="W24" s="769"/>
      <c r="X24" s="769"/>
      <c r="Y24" s="769"/>
      <c r="Z24" s="769"/>
    </row>
    <row r="25" spans="1:26" ht="18.75" x14ac:dyDescent="0.3">
      <c r="A25" s="781"/>
      <c r="B25" s="769"/>
      <c r="C25" s="786" t="s">
        <v>2835</v>
      </c>
      <c r="D25" s="787" t="s">
        <v>165</v>
      </c>
      <c r="E25" s="784">
        <v>40324297</v>
      </c>
      <c r="F25" s="784">
        <v>16425771</v>
      </c>
      <c r="G25" s="784">
        <v>22428666</v>
      </c>
      <c r="H25" s="784">
        <v>0</v>
      </c>
      <c r="I25" s="785">
        <v>821276</v>
      </c>
      <c r="J25" s="784">
        <f t="shared" ref="J25:J28" si="2">SUM(E25:G25,H25)</f>
        <v>79178734</v>
      </c>
      <c r="K25" s="772"/>
      <c r="L25" s="772"/>
      <c r="M25" s="769"/>
      <c r="N25" s="769"/>
      <c r="O25" s="769"/>
      <c r="P25" s="769"/>
      <c r="Q25" s="769"/>
      <c r="R25" s="769"/>
      <c r="S25" s="769"/>
      <c r="T25" s="769"/>
      <c r="U25" s="769"/>
      <c r="V25" s="769"/>
      <c r="W25" s="769"/>
      <c r="X25" s="769"/>
      <c r="Y25" s="769"/>
      <c r="Z25" s="769"/>
    </row>
    <row r="26" spans="1:26" ht="18.75" x14ac:dyDescent="0.3">
      <c r="A26" s="781"/>
      <c r="B26" s="769"/>
      <c r="C26" s="786" t="s">
        <v>2836</v>
      </c>
      <c r="D26" s="787" t="s">
        <v>167</v>
      </c>
      <c r="E26" s="784">
        <v>6720726</v>
      </c>
      <c r="F26" s="784">
        <v>2737630</v>
      </c>
      <c r="G26" s="784">
        <v>3738116</v>
      </c>
      <c r="H26" s="784">
        <v>0</v>
      </c>
      <c r="I26" s="785">
        <v>136880</v>
      </c>
      <c r="J26" s="784">
        <f t="shared" si="2"/>
        <v>13196472</v>
      </c>
      <c r="K26" s="772"/>
      <c r="L26" s="772"/>
      <c r="M26" s="769"/>
      <c r="N26" s="769"/>
      <c r="O26" s="769"/>
      <c r="P26" s="769"/>
      <c r="Q26" s="769"/>
      <c r="R26" s="769"/>
      <c r="S26" s="769"/>
      <c r="T26" s="769"/>
      <c r="U26" s="769"/>
      <c r="V26" s="769"/>
      <c r="W26" s="769"/>
      <c r="X26" s="769"/>
      <c r="Y26" s="769"/>
      <c r="Z26" s="769"/>
    </row>
    <row r="27" spans="1:26" ht="18.75" x14ac:dyDescent="0.3">
      <c r="A27" s="781"/>
      <c r="B27" s="769"/>
      <c r="C27" s="786" t="s">
        <v>2837</v>
      </c>
      <c r="D27" s="787" t="s">
        <v>169</v>
      </c>
      <c r="E27" s="784">
        <v>8050980</v>
      </c>
      <c r="F27" s="784">
        <v>3406079</v>
      </c>
      <c r="G27" s="784">
        <v>4605977</v>
      </c>
      <c r="H27" s="784">
        <v>0</v>
      </c>
      <c r="I27" s="785">
        <v>171112</v>
      </c>
      <c r="J27" s="784">
        <f t="shared" si="2"/>
        <v>16063036</v>
      </c>
      <c r="K27" s="772"/>
      <c r="L27" s="772"/>
      <c r="M27" s="769"/>
      <c r="N27" s="769"/>
      <c r="O27" s="769"/>
      <c r="P27" s="769"/>
      <c r="Q27" s="769"/>
      <c r="R27" s="769"/>
      <c r="S27" s="769"/>
      <c r="T27" s="769"/>
      <c r="U27" s="769"/>
      <c r="V27" s="769"/>
      <c r="W27" s="769"/>
      <c r="X27" s="769"/>
      <c r="Y27" s="769"/>
      <c r="Z27" s="769"/>
    </row>
    <row r="28" spans="1:26" ht="18.75" x14ac:dyDescent="0.3">
      <c r="A28" s="781"/>
      <c r="B28" s="769"/>
      <c r="C28" s="786" t="s">
        <v>2838</v>
      </c>
      <c r="D28" s="787" t="s">
        <v>171</v>
      </c>
      <c r="E28" s="784">
        <v>874800</v>
      </c>
      <c r="F28" s="784">
        <v>400800</v>
      </c>
      <c r="G28" s="784">
        <v>574800</v>
      </c>
      <c r="H28" s="784">
        <v>0</v>
      </c>
      <c r="I28" s="785">
        <v>28800</v>
      </c>
      <c r="J28" s="784">
        <f t="shared" si="2"/>
        <v>1850400</v>
      </c>
      <c r="K28" s="772"/>
      <c r="L28" s="772"/>
      <c r="M28" s="769"/>
      <c r="N28" s="769"/>
      <c r="O28" s="769"/>
      <c r="P28" s="769"/>
      <c r="Q28" s="769"/>
      <c r="R28" s="769"/>
      <c r="S28" s="769"/>
      <c r="T28" s="769"/>
      <c r="U28" s="769"/>
      <c r="V28" s="769"/>
      <c r="W28" s="769"/>
      <c r="X28" s="769"/>
      <c r="Y28" s="769"/>
      <c r="Z28" s="769"/>
    </row>
    <row r="29" spans="1:26" ht="18.75" x14ac:dyDescent="0.3">
      <c r="A29" s="781"/>
      <c r="B29" s="769"/>
      <c r="C29" s="786" t="s">
        <v>2839</v>
      </c>
      <c r="D29" s="787"/>
      <c r="E29" s="784"/>
      <c r="F29" s="784"/>
      <c r="G29" s="784"/>
      <c r="H29" s="784"/>
      <c r="I29" s="785"/>
      <c r="J29" s="784"/>
      <c r="K29" s="772"/>
      <c r="L29" s="772"/>
      <c r="M29" s="769"/>
      <c r="N29" s="769"/>
      <c r="O29" s="769"/>
      <c r="P29" s="769"/>
      <c r="Q29" s="769"/>
      <c r="R29" s="769"/>
      <c r="S29" s="769"/>
      <c r="T29" s="769"/>
      <c r="U29" s="769"/>
      <c r="V29" s="769"/>
      <c r="W29" s="769"/>
      <c r="X29" s="769"/>
      <c r="Y29" s="769"/>
      <c r="Z29" s="769"/>
    </row>
    <row r="30" spans="1:26" ht="18.75" x14ac:dyDescent="0.3">
      <c r="A30" s="781"/>
      <c r="B30" s="769"/>
      <c r="C30" s="786" t="s">
        <v>2840</v>
      </c>
      <c r="D30" s="787" t="s">
        <v>179</v>
      </c>
      <c r="E30" s="784">
        <v>6353915</v>
      </c>
      <c r="F30" s="784">
        <v>1458364</v>
      </c>
      <c r="G30" s="784">
        <v>5975011</v>
      </c>
      <c r="H30" s="784">
        <v>0</v>
      </c>
      <c r="I30" s="785">
        <v>107972</v>
      </c>
      <c r="J30" s="784">
        <f t="shared" ref="J30:J33" si="3">SUM(E30:G30,H30)</f>
        <v>13787290</v>
      </c>
      <c r="K30" s="772"/>
      <c r="L30" s="772"/>
      <c r="M30" s="769"/>
      <c r="N30" s="769"/>
      <c r="O30" s="769"/>
      <c r="P30" s="769"/>
      <c r="Q30" s="769"/>
      <c r="R30" s="769"/>
      <c r="S30" s="769"/>
      <c r="T30" s="769"/>
      <c r="U30" s="769"/>
      <c r="V30" s="769"/>
      <c r="W30" s="769"/>
      <c r="X30" s="769"/>
      <c r="Y30" s="769"/>
      <c r="Z30" s="769"/>
    </row>
    <row r="31" spans="1:26" ht="18.75" x14ac:dyDescent="0.3">
      <c r="A31" s="781"/>
      <c r="B31" s="769"/>
      <c r="C31" s="786" t="s">
        <v>2841</v>
      </c>
      <c r="D31" s="787" t="s">
        <v>181</v>
      </c>
      <c r="E31" s="784">
        <v>13495403</v>
      </c>
      <c r="F31" s="784">
        <v>5497239</v>
      </c>
      <c r="G31" s="784">
        <v>7506239</v>
      </c>
      <c r="H31" s="784">
        <v>0</v>
      </c>
      <c r="I31" s="785">
        <v>274858</v>
      </c>
      <c r="J31" s="784">
        <f t="shared" si="3"/>
        <v>26498881</v>
      </c>
      <c r="K31" s="772"/>
      <c r="L31" s="772"/>
      <c r="M31" s="769"/>
      <c r="N31" s="769"/>
      <c r="O31" s="769"/>
      <c r="P31" s="769"/>
      <c r="Q31" s="769"/>
      <c r="R31" s="769"/>
      <c r="S31" s="769"/>
      <c r="T31" s="769"/>
      <c r="U31" s="769"/>
      <c r="V31" s="769"/>
      <c r="W31" s="769"/>
      <c r="X31" s="769"/>
      <c r="Y31" s="769"/>
      <c r="Z31" s="769"/>
    </row>
    <row r="32" spans="1:26" ht="18.75" x14ac:dyDescent="0.3">
      <c r="A32" s="781"/>
      <c r="B32" s="769"/>
      <c r="C32" s="786" t="s">
        <v>2842</v>
      </c>
      <c r="D32" s="787" t="s">
        <v>181</v>
      </c>
      <c r="E32" s="784">
        <v>3645000</v>
      </c>
      <c r="F32" s="784">
        <v>1670000</v>
      </c>
      <c r="G32" s="784">
        <v>2395000</v>
      </c>
      <c r="H32" s="784">
        <v>0</v>
      </c>
      <c r="I32" s="785">
        <v>120000</v>
      </c>
      <c r="J32" s="784">
        <f t="shared" si="3"/>
        <v>7710000</v>
      </c>
      <c r="K32" s="772"/>
      <c r="L32" s="772"/>
      <c r="M32" s="769"/>
      <c r="N32" s="769"/>
      <c r="O32" s="769"/>
      <c r="P32" s="769"/>
      <c r="Q32" s="769"/>
      <c r="R32" s="769"/>
      <c r="S32" s="769"/>
      <c r="T32" s="769"/>
      <c r="U32" s="769"/>
      <c r="V32" s="769"/>
      <c r="W32" s="769"/>
      <c r="X32" s="769"/>
      <c r="Y32" s="769"/>
      <c r="Z32" s="769"/>
    </row>
    <row r="33" spans="1:26" ht="37.5" x14ac:dyDescent="0.3">
      <c r="A33" s="781"/>
      <c r="B33" s="769"/>
      <c r="C33" s="791" t="s">
        <v>2843</v>
      </c>
      <c r="D33" s="787"/>
      <c r="E33" s="784">
        <v>9445082</v>
      </c>
      <c r="F33" s="784">
        <v>4508777</v>
      </c>
      <c r="G33" s="784">
        <v>5253317</v>
      </c>
      <c r="H33" s="784">
        <v>0</v>
      </c>
      <c r="I33" s="792"/>
      <c r="J33" s="784">
        <f t="shared" si="3"/>
        <v>19207176</v>
      </c>
      <c r="K33" s="772"/>
      <c r="L33" s="772"/>
      <c r="M33" s="769"/>
      <c r="N33" s="769"/>
      <c r="O33" s="769"/>
      <c r="P33" s="769"/>
      <c r="Q33" s="769"/>
      <c r="R33" s="769"/>
      <c r="S33" s="769"/>
      <c r="T33" s="769"/>
      <c r="U33" s="769"/>
      <c r="V33" s="769"/>
      <c r="W33" s="769"/>
      <c r="X33" s="769"/>
      <c r="Y33" s="769"/>
      <c r="Z33" s="769"/>
    </row>
    <row r="34" spans="1:26" ht="18.75" x14ac:dyDescent="0.3">
      <c r="A34" s="793"/>
      <c r="B34" s="794"/>
      <c r="C34" s="795" t="s">
        <v>2844</v>
      </c>
      <c r="D34" s="796"/>
      <c r="E34" s="797">
        <f t="shared" ref="E34:J34" si="4">SUM(E8:E33)</f>
        <v>568894881</v>
      </c>
      <c r="F34" s="797">
        <f t="shared" si="4"/>
        <v>257982840</v>
      </c>
      <c r="G34" s="797">
        <f t="shared" si="4"/>
        <v>295104869</v>
      </c>
      <c r="H34" s="797">
        <f t="shared" si="4"/>
        <v>0</v>
      </c>
      <c r="I34" s="798">
        <f t="shared" si="4"/>
        <v>10978442</v>
      </c>
      <c r="J34" s="797">
        <f t="shared" si="4"/>
        <v>1121982590</v>
      </c>
      <c r="K34" s="772"/>
      <c r="L34" s="772"/>
      <c r="M34" s="769"/>
      <c r="N34" s="769"/>
      <c r="O34" s="769"/>
      <c r="P34" s="769"/>
      <c r="Q34" s="769"/>
      <c r="R34" s="769"/>
      <c r="S34" s="769"/>
      <c r="T34" s="769"/>
      <c r="U34" s="769"/>
      <c r="V34" s="769"/>
      <c r="W34" s="769"/>
      <c r="X34" s="769"/>
      <c r="Y34" s="769"/>
      <c r="Z34" s="769"/>
    </row>
    <row r="35" spans="1:26" ht="18.75" x14ac:dyDescent="0.3">
      <c r="A35" s="781"/>
      <c r="B35" s="769"/>
      <c r="C35" s="786"/>
      <c r="D35" s="787"/>
      <c r="E35" s="799"/>
      <c r="F35" s="799"/>
      <c r="G35" s="799"/>
      <c r="H35" s="799"/>
      <c r="I35" s="792"/>
      <c r="J35" s="799"/>
      <c r="K35" s="772"/>
      <c r="L35" s="772"/>
      <c r="M35" s="769"/>
      <c r="N35" s="769"/>
      <c r="O35" s="769"/>
      <c r="P35" s="769"/>
      <c r="Q35" s="769"/>
      <c r="R35" s="769"/>
      <c r="S35" s="769"/>
      <c r="T35" s="769"/>
      <c r="U35" s="769"/>
      <c r="V35" s="769"/>
      <c r="W35" s="769"/>
      <c r="X35" s="769"/>
      <c r="Y35" s="769"/>
      <c r="Z35" s="769"/>
    </row>
    <row r="36" spans="1:26" ht="18.75" x14ac:dyDescent="0.3">
      <c r="A36" s="781"/>
      <c r="B36" s="769" t="s">
        <v>2845</v>
      </c>
      <c r="C36" s="786"/>
      <c r="D36" s="787"/>
      <c r="E36" s="784"/>
      <c r="F36" s="784"/>
      <c r="G36" s="784"/>
      <c r="H36" s="784"/>
      <c r="I36" s="785"/>
      <c r="J36" s="784"/>
      <c r="K36" s="772"/>
      <c r="L36" s="772"/>
      <c r="M36" s="769"/>
      <c r="N36" s="769"/>
      <c r="O36" s="769"/>
      <c r="P36" s="769"/>
      <c r="Q36" s="769"/>
      <c r="R36" s="769"/>
      <c r="S36" s="769"/>
      <c r="T36" s="769"/>
      <c r="U36" s="769"/>
      <c r="V36" s="769"/>
      <c r="W36" s="769"/>
      <c r="X36" s="769"/>
      <c r="Y36" s="769"/>
      <c r="Z36" s="769"/>
    </row>
    <row r="37" spans="1:26" ht="18.75" x14ac:dyDescent="0.3">
      <c r="A37" s="781"/>
      <c r="B37" s="769"/>
      <c r="C37" s="786" t="s">
        <v>2846</v>
      </c>
      <c r="D37" s="787" t="s">
        <v>187</v>
      </c>
      <c r="E37" s="784">
        <f>'[4]SUMMARY BY OBJECT OF EXP.(PS an'!E95</f>
        <v>8226691</v>
      </c>
      <c r="F37" s="784">
        <f>'[4]SUMMARY BY OBJECT OF EXP.(PS an'!E165</f>
        <v>5749120</v>
      </c>
      <c r="G37" s="784">
        <f>'[4]SUMMARY BY OBJECT OF EXP.(PS an'!E214</f>
        <v>4050000</v>
      </c>
      <c r="H37" s="784">
        <v>0</v>
      </c>
      <c r="I37" s="785">
        <f>'[4]SUMMARY BY OBJECT OF EXP.(PS an'!E219</f>
        <v>100000</v>
      </c>
      <c r="J37" s="784">
        <f t="shared" ref="J37:J83" si="5">SUM(E37:G37,H37)</f>
        <v>18025811</v>
      </c>
      <c r="K37" s="772"/>
      <c r="L37" s="772"/>
      <c r="M37" s="769"/>
      <c r="N37" s="769"/>
      <c r="O37" s="769"/>
      <c r="P37" s="769"/>
      <c r="Q37" s="769"/>
      <c r="R37" s="769"/>
      <c r="S37" s="769"/>
      <c r="T37" s="769"/>
      <c r="U37" s="769"/>
      <c r="V37" s="769"/>
      <c r="W37" s="769"/>
      <c r="X37" s="769"/>
      <c r="Y37" s="769"/>
      <c r="Z37" s="769"/>
    </row>
    <row r="38" spans="1:26" ht="18.75" x14ac:dyDescent="0.3">
      <c r="A38" s="781"/>
      <c r="B38" s="769"/>
      <c r="C38" s="786" t="s">
        <v>2847</v>
      </c>
      <c r="D38" s="787" t="s">
        <v>189</v>
      </c>
      <c r="E38" s="784">
        <f>'[4]SUMMARY BY OBJECT OF EXP.(PS an'!F95</f>
        <v>500000</v>
      </c>
      <c r="F38" s="784">
        <f>'[4]SUMMARY BY OBJECT OF EXP.(PS an'!F165</f>
        <v>0</v>
      </c>
      <c r="G38" s="784">
        <f>'[4]SUMMARY BY OBJECT OF EXP.(PS an'!F214</f>
        <v>0</v>
      </c>
      <c r="H38" s="784">
        <v>0</v>
      </c>
      <c r="I38" s="785">
        <f>'[4]SUMMARY BY OBJECT OF EXP.(PS an'!F219</f>
        <v>0</v>
      </c>
      <c r="J38" s="784">
        <f t="shared" si="5"/>
        <v>500000</v>
      </c>
      <c r="K38" s="772"/>
      <c r="L38" s="772"/>
      <c r="M38" s="769"/>
      <c r="N38" s="769"/>
      <c r="O38" s="769"/>
      <c r="P38" s="769"/>
      <c r="Q38" s="769"/>
      <c r="R38" s="769"/>
      <c r="S38" s="769"/>
      <c r="T38" s="769"/>
      <c r="U38" s="769"/>
      <c r="V38" s="769"/>
      <c r="W38" s="769"/>
      <c r="X38" s="769"/>
      <c r="Y38" s="769"/>
      <c r="Z38" s="769"/>
    </row>
    <row r="39" spans="1:26" ht="18.75" x14ac:dyDescent="0.3">
      <c r="A39" s="781"/>
      <c r="B39" s="769"/>
      <c r="C39" s="786" t="s">
        <v>190</v>
      </c>
      <c r="D39" s="787" t="s">
        <v>191</v>
      </c>
      <c r="E39" s="784">
        <f>'[4]SUMMARY BY OBJECT OF EXP.(PS an'!G95</f>
        <v>14082124</v>
      </c>
      <c r="F39" s="784">
        <f>'[4]SUMMARY BY OBJECT OF EXP.(PS an'!G165</f>
        <v>32331233</v>
      </c>
      <c r="G39" s="784">
        <f>'[4]SUMMARY BY OBJECT OF EXP.(PS an'!G214</f>
        <v>8316208</v>
      </c>
      <c r="H39" s="784">
        <v>0</v>
      </c>
      <c r="I39" s="785">
        <f>'[4]SUMMARY BY OBJECT OF EXP.(PS an'!G219</f>
        <v>76500</v>
      </c>
      <c r="J39" s="784">
        <f t="shared" si="5"/>
        <v>54729565</v>
      </c>
      <c r="K39" s="772"/>
      <c r="L39" s="772"/>
      <c r="M39" s="769"/>
      <c r="N39" s="769"/>
      <c r="O39" s="769"/>
      <c r="P39" s="769"/>
      <c r="Q39" s="769"/>
      <c r="R39" s="769"/>
      <c r="S39" s="769"/>
      <c r="T39" s="769"/>
      <c r="U39" s="769"/>
      <c r="V39" s="769"/>
      <c r="W39" s="769"/>
      <c r="X39" s="769"/>
      <c r="Y39" s="769"/>
      <c r="Z39" s="769"/>
    </row>
    <row r="40" spans="1:26" ht="18.75" x14ac:dyDescent="0.3">
      <c r="A40" s="781"/>
      <c r="B40" s="769"/>
      <c r="C40" s="800" t="s">
        <v>194</v>
      </c>
      <c r="D40" s="801" t="s">
        <v>195</v>
      </c>
      <c r="E40" s="802">
        <f>'[4]SUMMARY BY OBJECT OF EXP.(PS an'!H95</f>
        <v>17865516</v>
      </c>
      <c r="F40" s="803">
        <f>'[4]SUMMARY BY OBJECT OF EXP.(PS an'!H165</f>
        <v>6975802</v>
      </c>
      <c r="G40" s="804">
        <f>'[4]SUMMARY BY OBJECT OF EXP.(PS an'!H214</f>
        <v>5810800</v>
      </c>
      <c r="H40" s="784">
        <v>0</v>
      </c>
      <c r="I40" s="785">
        <f>'[4]SUMMARY BY OBJECT OF EXP.(PS an'!H219</f>
        <v>664118</v>
      </c>
      <c r="J40" s="803">
        <f t="shared" si="5"/>
        <v>30652118</v>
      </c>
      <c r="K40" s="802"/>
      <c r="L40" s="772"/>
      <c r="M40" s="769"/>
      <c r="N40" s="769"/>
      <c r="O40" s="769"/>
      <c r="P40" s="769"/>
      <c r="Q40" s="769"/>
      <c r="R40" s="769"/>
      <c r="S40" s="769"/>
      <c r="T40" s="769"/>
      <c r="U40" s="769"/>
      <c r="V40" s="769"/>
      <c r="W40" s="769"/>
      <c r="X40" s="769"/>
      <c r="Y40" s="769"/>
      <c r="Z40" s="769"/>
    </row>
    <row r="41" spans="1:26" ht="18.75" x14ac:dyDescent="0.3">
      <c r="A41" s="805"/>
      <c r="B41" s="769"/>
      <c r="C41" s="800" t="s">
        <v>2848</v>
      </c>
      <c r="D41" s="801" t="s">
        <v>197</v>
      </c>
      <c r="E41" s="802">
        <f>'[4]SUMMARY BY OBJECT OF EXP.(PS an'!I95</f>
        <v>7600000</v>
      </c>
      <c r="F41" s="803">
        <f>'[4]SUMMARY BY OBJECT OF EXP.(PS an'!I165</f>
        <v>35000</v>
      </c>
      <c r="G41" s="802">
        <f>'[4]SUMMARY BY OBJECT OF EXP.(PS an'!I214</f>
        <v>0</v>
      </c>
      <c r="H41" s="803">
        <v>0</v>
      </c>
      <c r="I41" s="802">
        <f>'[4]SUMMARY BY OBJECT OF EXP.(PS an'!I219</f>
        <v>0</v>
      </c>
      <c r="J41" s="803">
        <f t="shared" si="5"/>
        <v>7635000</v>
      </c>
      <c r="K41" s="802"/>
      <c r="L41" s="772"/>
      <c r="M41" s="769"/>
      <c r="N41" s="769"/>
      <c r="O41" s="769"/>
      <c r="P41" s="769"/>
      <c r="Q41" s="769"/>
      <c r="R41" s="769"/>
      <c r="S41" s="769"/>
      <c r="T41" s="769"/>
      <c r="U41" s="769"/>
      <c r="V41" s="769"/>
      <c r="W41" s="769"/>
      <c r="X41" s="769"/>
      <c r="Y41" s="769"/>
      <c r="Z41" s="769"/>
    </row>
    <row r="42" spans="1:26" ht="18.75" x14ac:dyDescent="0.3">
      <c r="A42" s="805"/>
      <c r="B42" s="800"/>
      <c r="C42" s="800" t="s">
        <v>198</v>
      </c>
      <c r="D42" s="801" t="s">
        <v>199</v>
      </c>
      <c r="E42" s="802">
        <f>'[4]SUMMARY BY OBJECT OF EXP.(PS an'!J95</f>
        <v>228600</v>
      </c>
      <c r="F42" s="803">
        <f>'[4]SUMMARY BY OBJECT OF EXP.(PS an'!J165</f>
        <v>0</v>
      </c>
      <c r="G42" s="802">
        <f>'[4]SUMMARY BY OBJECT OF EXP.(PS an'!J214</f>
        <v>0</v>
      </c>
      <c r="H42" s="803">
        <v>0</v>
      </c>
      <c r="I42" s="802">
        <f>'[4]SUMMARY BY OBJECT OF EXP.(PS an'!J219</f>
        <v>0</v>
      </c>
      <c r="J42" s="803">
        <f t="shared" si="5"/>
        <v>228600</v>
      </c>
      <c r="K42" s="802"/>
      <c r="L42" s="772"/>
      <c r="M42" s="769"/>
      <c r="N42" s="769"/>
      <c r="O42" s="769"/>
      <c r="P42" s="769"/>
      <c r="Q42" s="769"/>
      <c r="R42" s="769"/>
      <c r="S42" s="769"/>
      <c r="T42" s="769"/>
      <c r="U42" s="769"/>
      <c r="V42" s="769"/>
      <c r="W42" s="769"/>
      <c r="X42" s="769"/>
      <c r="Y42" s="769"/>
      <c r="Z42" s="769"/>
    </row>
    <row r="43" spans="1:26" ht="18.75" x14ac:dyDescent="0.3">
      <c r="A43" s="805"/>
      <c r="B43" s="800"/>
      <c r="C43" s="800" t="s">
        <v>200</v>
      </c>
      <c r="D43" s="801" t="s">
        <v>201</v>
      </c>
      <c r="E43" s="802">
        <f>'[4]SUMMARY BY OBJECT OF EXP.(PS an'!K95</f>
        <v>210654</v>
      </c>
      <c r="F43" s="803">
        <f>'[4]SUMMARY BY OBJECT OF EXP.(PS an'!K165</f>
        <v>444500</v>
      </c>
      <c r="G43" s="802">
        <f>'[4]SUMMARY BY OBJECT OF EXP.(PS an'!K214</f>
        <v>4763409</v>
      </c>
      <c r="H43" s="803">
        <v>0</v>
      </c>
      <c r="I43" s="802">
        <f>'[4]SUMMARY BY OBJECT OF EXP.(PS an'!K219</f>
        <v>0</v>
      </c>
      <c r="J43" s="803">
        <f t="shared" si="5"/>
        <v>5418563</v>
      </c>
      <c r="K43" s="802"/>
      <c r="L43" s="772"/>
      <c r="M43" s="769"/>
      <c r="N43" s="769"/>
      <c r="O43" s="769"/>
      <c r="P43" s="769"/>
      <c r="Q43" s="769"/>
      <c r="R43" s="769"/>
      <c r="S43" s="769"/>
      <c r="T43" s="769"/>
      <c r="U43" s="769"/>
      <c r="V43" s="769"/>
      <c r="W43" s="769"/>
      <c r="X43" s="769"/>
      <c r="Y43" s="769"/>
      <c r="Z43" s="769"/>
    </row>
    <row r="44" spans="1:26" ht="18.75" x14ac:dyDescent="0.3">
      <c r="A44" s="805"/>
      <c r="B44" s="769"/>
      <c r="C44" s="800" t="s">
        <v>202</v>
      </c>
      <c r="D44" s="801" t="s">
        <v>203</v>
      </c>
      <c r="E44" s="802">
        <f>'[4]SUMMARY BY OBJECT OF EXP.(PS an'!L95</f>
        <v>0</v>
      </c>
      <c r="F44" s="803">
        <f>'[4]SUMMARY BY OBJECT OF EXP.(PS an'!L165</f>
        <v>12456929</v>
      </c>
      <c r="G44" s="804">
        <f>'[4]SUMMARY BY OBJECT OF EXP.(PS an'!L214</f>
        <v>0</v>
      </c>
      <c r="H44" s="804">
        <v>0</v>
      </c>
      <c r="I44" s="772">
        <f>'[4]SUMMARY BY OBJECT OF EXP.(PS an'!L219</f>
        <v>0</v>
      </c>
      <c r="J44" s="804">
        <f t="shared" si="5"/>
        <v>12456929</v>
      </c>
      <c r="K44" s="772"/>
      <c r="L44" s="772"/>
      <c r="M44" s="769"/>
      <c r="N44" s="769"/>
      <c r="O44" s="769"/>
      <c r="P44" s="769"/>
      <c r="Q44" s="769"/>
      <c r="R44" s="769"/>
      <c r="S44" s="769"/>
      <c r="T44" s="769"/>
      <c r="U44" s="769"/>
      <c r="V44" s="769"/>
      <c r="W44" s="769"/>
      <c r="X44" s="769"/>
      <c r="Y44" s="769"/>
      <c r="Z44" s="769"/>
    </row>
    <row r="45" spans="1:26" ht="18.75" x14ac:dyDescent="0.3">
      <c r="A45" s="805"/>
      <c r="B45" s="769"/>
      <c r="C45" s="786" t="s">
        <v>2849</v>
      </c>
      <c r="D45" s="787" t="s">
        <v>205</v>
      </c>
      <c r="E45" s="784">
        <f>'[4]SUMMARY BY OBJECT OF EXP.(PS an'!M95</f>
        <v>0</v>
      </c>
      <c r="F45" s="784">
        <f>'[4]SUMMARY BY OBJECT OF EXP.(PS an'!M165</f>
        <v>2587974</v>
      </c>
      <c r="G45" s="784">
        <f>'[4]SUMMARY BY OBJECT OF EXP.(PS an'!M214</f>
        <v>0</v>
      </c>
      <c r="H45" s="784">
        <v>0</v>
      </c>
      <c r="I45" s="785">
        <f>'[4]SUMMARY BY OBJECT OF EXP.(PS an'!M219</f>
        <v>0</v>
      </c>
      <c r="J45" s="784">
        <f t="shared" si="5"/>
        <v>2587974</v>
      </c>
      <c r="K45" s="772"/>
      <c r="L45" s="772"/>
      <c r="M45" s="769"/>
      <c r="N45" s="769"/>
      <c r="O45" s="769"/>
      <c r="P45" s="769"/>
      <c r="Q45" s="769"/>
      <c r="R45" s="769"/>
      <c r="S45" s="769"/>
      <c r="T45" s="769"/>
      <c r="U45" s="769"/>
      <c r="V45" s="769"/>
      <c r="W45" s="769"/>
      <c r="X45" s="769"/>
      <c r="Y45" s="769"/>
      <c r="Z45" s="769"/>
    </row>
    <row r="46" spans="1:26" ht="18.75" x14ac:dyDescent="0.3">
      <c r="A46" s="781"/>
      <c r="B46" s="769"/>
      <c r="C46" s="786" t="s">
        <v>206</v>
      </c>
      <c r="D46" s="787" t="s">
        <v>207</v>
      </c>
      <c r="E46" s="784">
        <f>'[4]SUMMARY BY OBJECT OF EXP.(PS an'!N95</f>
        <v>0</v>
      </c>
      <c r="F46" s="784">
        <f>'[4]SUMMARY BY OBJECT OF EXP.(PS an'!N165</f>
        <v>97586209</v>
      </c>
      <c r="G46" s="784">
        <f>'[4]SUMMARY BY OBJECT OF EXP.(PS an'!N214</f>
        <v>58102</v>
      </c>
      <c r="H46" s="784">
        <v>0</v>
      </c>
      <c r="I46" s="785">
        <f>'[4]SUMMARY BY OBJECT OF EXP.(PS an'!N219</f>
        <v>0</v>
      </c>
      <c r="J46" s="784">
        <f t="shared" si="5"/>
        <v>97644311</v>
      </c>
      <c r="K46" s="772"/>
      <c r="L46" s="772"/>
      <c r="M46" s="769"/>
      <c r="N46" s="769"/>
      <c r="O46" s="769"/>
      <c r="P46" s="769"/>
      <c r="Q46" s="769"/>
      <c r="R46" s="769"/>
      <c r="S46" s="769"/>
      <c r="T46" s="769"/>
      <c r="U46" s="769"/>
      <c r="V46" s="769"/>
      <c r="W46" s="769"/>
      <c r="X46" s="769"/>
      <c r="Y46" s="769"/>
      <c r="Z46" s="769"/>
    </row>
    <row r="47" spans="1:26" ht="18.75" x14ac:dyDescent="0.3">
      <c r="A47" s="781"/>
      <c r="B47" s="769"/>
      <c r="C47" s="786" t="s">
        <v>2850</v>
      </c>
      <c r="D47" s="787" t="s">
        <v>209</v>
      </c>
      <c r="E47" s="784">
        <f>'[4]SUMMARY BY OBJECT OF EXP.(PS an'!O95</f>
        <v>0</v>
      </c>
      <c r="F47" s="784">
        <f>'[4]SUMMARY BY OBJECT OF EXP.(PS an'!O165</f>
        <v>60870278</v>
      </c>
      <c r="G47" s="784">
        <f>'[4]SUMMARY BY OBJECT OF EXP.(PS an'!O214</f>
        <v>15094</v>
      </c>
      <c r="H47" s="784">
        <v>0</v>
      </c>
      <c r="I47" s="804">
        <f>'[4]SUMMARY BY OBJECT OF EXP.(PS an'!O219</f>
        <v>0</v>
      </c>
      <c r="J47" s="784">
        <f t="shared" si="5"/>
        <v>60885372</v>
      </c>
      <c r="K47" s="772"/>
      <c r="L47" s="772"/>
      <c r="M47" s="769"/>
      <c r="N47" s="769"/>
      <c r="O47" s="769"/>
      <c r="P47" s="769"/>
      <c r="Q47" s="769"/>
      <c r="R47" s="769"/>
      <c r="S47" s="769"/>
      <c r="T47" s="769"/>
      <c r="U47" s="769"/>
      <c r="V47" s="769"/>
      <c r="W47" s="769"/>
      <c r="X47" s="769"/>
      <c r="Y47" s="769"/>
      <c r="Z47" s="769"/>
    </row>
    <row r="48" spans="1:26" ht="18.75" x14ac:dyDescent="0.3">
      <c r="A48" s="781"/>
      <c r="B48" s="769"/>
      <c r="C48" s="786" t="s">
        <v>210</v>
      </c>
      <c r="D48" s="787" t="s">
        <v>211</v>
      </c>
      <c r="E48" s="784">
        <f>'[4]SUMMARY BY OBJECT OF EXP.(PS an'!P95</f>
        <v>73770480</v>
      </c>
      <c r="F48" s="784">
        <f>'[4]SUMMARY BY OBJECT OF EXP.(PS an'!P165</f>
        <v>72860555</v>
      </c>
      <c r="G48" s="784">
        <f>'[4]SUMMARY BY OBJECT OF EXP.(PS an'!P214</f>
        <v>57998429</v>
      </c>
      <c r="H48" s="784">
        <v>0</v>
      </c>
      <c r="I48" s="804">
        <f>'[4]SUMMARY BY OBJECT OF EXP.(PS an'!P219</f>
        <v>2993504</v>
      </c>
      <c r="J48" s="784">
        <f t="shared" si="5"/>
        <v>204629464</v>
      </c>
      <c r="K48" s="772"/>
      <c r="L48" s="772"/>
      <c r="M48" s="769"/>
      <c r="N48" s="769"/>
      <c r="O48" s="769"/>
      <c r="P48" s="769"/>
      <c r="Q48" s="769"/>
      <c r="R48" s="769"/>
      <c r="S48" s="769"/>
      <c r="T48" s="769"/>
      <c r="U48" s="769"/>
      <c r="V48" s="769"/>
      <c r="W48" s="769"/>
      <c r="X48" s="769"/>
      <c r="Y48" s="769"/>
      <c r="Z48" s="769"/>
    </row>
    <row r="49" spans="1:26" ht="18.75" x14ac:dyDescent="0.3">
      <c r="A49" s="781"/>
      <c r="B49" s="769"/>
      <c r="C49" s="786" t="s">
        <v>212</v>
      </c>
      <c r="D49" s="787" t="s">
        <v>213</v>
      </c>
      <c r="E49" s="784">
        <f>'[4]SUMMARY BY OBJECT OF EXP.(PS an'!Q95</f>
        <v>0</v>
      </c>
      <c r="F49" s="784">
        <f>'[4]SUMMARY BY OBJECT OF EXP.(PS an'!Q165</f>
        <v>469374</v>
      </c>
      <c r="G49" s="784">
        <f>'[4]SUMMARY BY OBJECT OF EXP.(PS an'!Q214</f>
        <v>13735540</v>
      </c>
      <c r="H49" s="784">
        <v>0</v>
      </c>
      <c r="I49" s="785">
        <f>'[4]SUMMARY BY OBJECT OF EXP.(PS an'!Q219</f>
        <v>0</v>
      </c>
      <c r="J49" s="784">
        <f t="shared" si="5"/>
        <v>14204914</v>
      </c>
      <c r="K49" s="772"/>
      <c r="L49" s="772"/>
      <c r="M49" s="769"/>
      <c r="N49" s="769"/>
      <c r="O49" s="769"/>
      <c r="P49" s="769"/>
      <c r="Q49" s="769"/>
      <c r="R49" s="769"/>
      <c r="S49" s="769"/>
      <c r="T49" s="769"/>
      <c r="U49" s="769"/>
      <c r="V49" s="769"/>
      <c r="W49" s="769"/>
      <c r="X49" s="769"/>
      <c r="Y49" s="769"/>
      <c r="Z49" s="769"/>
    </row>
    <row r="50" spans="1:26" ht="18.75" x14ac:dyDescent="0.3">
      <c r="A50" s="781"/>
      <c r="B50" s="769"/>
      <c r="C50" s="786" t="s">
        <v>220</v>
      </c>
      <c r="D50" s="787" t="s">
        <v>221</v>
      </c>
      <c r="E50" s="784">
        <f>'[4]SUMMARY BY OBJECT OF EXP.(PS an'!T95</f>
        <v>11121576</v>
      </c>
      <c r="F50" s="784">
        <f>'[4]SUMMARY BY OBJECT OF EXP.(PS an'!T165</f>
        <v>12558728</v>
      </c>
      <c r="G50" s="784">
        <f>'[4]SUMMARY BY OBJECT OF EXP.(PS an'!T214</f>
        <v>7629580</v>
      </c>
      <c r="H50" s="784">
        <v>0</v>
      </c>
      <c r="I50" s="785">
        <f>'[4]SUMMARY BY OBJECT OF EXP.(PS an'!T219</f>
        <v>1190142</v>
      </c>
      <c r="J50" s="784">
        <f t="shared" si="5"/>
        <v>31309884</v>
      </c>
      <c r="K50" s="772"/>
      <c r="L50" s="772"/>
      <c r="M50" s="769"/>
      <c r="N50" s="769"/>
      <c r="O50" s="769"/>
      <c r="P50" s="769"/>
      <c r="Q50" s="769"/>
      <c r="R50" s="769"/>
      <c r="S50" s="769"/>
      <c r="T50" s="769"/>
      <c r="U50" s="769"/>
      <c r="V50" s="769"/>
      <c r="W50" s="769"/>
      <c r="X50" s="769"/>
      <c r="Y50" s="769"/>
      <c r="Z50" s="769"/>
    </row>
    <row r="51" spans="1:26" ht="18.75" x14ac:dyDescent="0.3">
      <c r="A51" s="781"/>
      <c r="B51" s="769"/>
      <c r="C51" s="786" t="s">
        <v>2851</v>
      </c>
      <c r="D51" s="787" t="s">
        <v>223</v>
      </c>
      <c r="E51" s="784">
        <f>'[4]SUMMARY BY OBJECT OF EXP.(PS an'!U95</f>
        <v>2763379</v>
      </c>
      <c r="F51" s="784">
        <f>'[4]SUMMARY BY OBJECT OF EXP.(PS an'!U165</f>
        <v>11572137</v>
      </c>
      <c r="G51" s="784">
        <f>'[4]SUMMARY BY OBJECT OF EXP.(PS an'!U214</f>
        <v>1398544</v>
      </c>
      <c r="H51" s="784">
        <v>0</v>
      </c>
      <c r="I51" s="785">
        <f>'[4]SUMMARY BY OBJECT OF EXP.(PS an'!U219</f>
        <v>33500</v>
      </c>
      <c r="J51" s="784">
        <f t="shared" si="5"/>
        <v>15734060</v>
      </c>
      <c r="K51" s="772"/>
      <c r="L51" s="772"/>
      <c r="M51" s="769"/>
      <c r="N51" s="769"/>
      <c r="O51" s="769"/>
      <c r="P51" s="769"/>
      <c r="Q51" s="769"/>
      <c r="R51" s="769"/>
      <c r="S51" s="769"/>
      <c r="T51" s="769"/>
      <c r="U51" s="769"/>
      <c r="V51" s="769"/>
      <c r="W51" s="769"/>
      <c r="X51" s="769"/>
      <c r="Y51" s="769"/>
      <c r="Z51" s="769"/>
    </row>
    <row r="52" spans="1:26" ht="18.75" x14ac:dyDescent="0.3">
      <c r="A52" s="781"/>
      <c r="B52" s="769"/>
      <c r="C52" s="786" t="s">
        <v>224</v>
      </c>
      <c r="D52" s="787" t="s">
        <v>225</v>
      </c>
      <c r="E52" s="784">
        <f>'[4]SUMMARY BY OBJECT OF EXP.(PS an'!V95</f>
        <v>24145612</v>
      </c>
      <c r="F52" s="784">
        <f>'[4]SUMMARY BY OBJECT OF EXP.(PS an'!V165</f>
        <v>45630887.899999999</v>
      </c>
      <c r="G52" s="784">
        <f>'[4]SUMMARY BY OBJECT OF EXP.(PS an'!V214</f>
        <v>97420763</v>
      </c>
      <c r="H52" s="784">
        <v>0</v>
      </c>
      <c r="I52" s="785">
        <f>'[4]SUMMARY BY OBJECT OF EXP.(PS an'!V219</f>
        <v>1421708</v>
      </c>
      <c r="J52" s="784">
        <f t="shared" si="5"/>
        <v>167197262.90000001</v>
      </c>
      <c r="K52" s="772"/>
      <c r="L52" s="772"/>
      <c r="M52" s="769"/>
      <c r="N52" s="769"/>
      <c r="O52" s="769"/>
      <c r="P52" s="769"/>
      <c r="Q52" s="769"/>
      <c r="R52" s="769"/>
      <c r="S52" s="769"/>
      <c r="T52" s="769"/>
      <c r="U52" s="769"/>
      <c r="V52" s="769"/>
      <c r="W52" s="769"/>
      <c r="X52" s="769"/>
      <c r="Y52" s="769"/>
      <c r="Z52" s="769"/>
    </row>
    <row r="53" spans="1:26" ht="18.75" x14ac:dyDescent="0.3">
      <c r="A53" s="781"/>
      <c r="B53" s="769"/>
      <c r="C53" s="786" t="s">
        <v>226</v>
      </c>
      <c r="D53" s="787" t="s">
        <v>227</v>
      </c>
      <c r="E53" s="784">
        <f>'[4]SUMMARY BY OBJECT OF EXP.(PS an'!W95</f>
        <v>7973000</v>
      </c>
      <c r="F53" s="784">
        <f>'[4]SUMMARY BY OBJECT OF EXP.(PS an'!W165</f>
        <v>250000</v>
      </c>
      <c r="G53" s="784">
        <f>'[4]SUMMARY BY OBJECT OF EXP.(PS an'!W214</f>
        <v>3016000</v>
      </c>
      <c r="H53" s="784">
        <v>0</v>
      </c>
      <c r="I53" s="785">
        <f>'[4]SUMMARY BY OBJECT OF EXP.(PS an'!W219</f>
        <v>1920000</v>
      </c>
      <c r="J53" s="784">
        <f t="shared" si="5"/>
        <v>11239000</v>
      </c>
      <c r="K53" s="772"/>
      <c r="L53" s="772"/>
      <c r="M53" s="769"/>
      <c r="N53" s="769"/>
      <c r="O53" s="769"/>
      <c r="P53" s="769"/>
      <c r="Q53" s="769"/>
      <c r="R53" s="769"/>
      <c r="S53" s="769"/>
      <c r="T53" s="769"/>
      <c r="U53" s="769"/>
      <c r="V53" s="769"/>
      <c r="W53" s="769"/>
      <c r="X53" s="769"/>
      <c r="Y53" s="769"/>
      <c r="Z53" s="769"/>
    </row>
    <row r="54" spans="1:26" ht="18.75" x14ac:dyDescent="0.3">
      <c r="A54" s="781"/>
      <c r="B54" s="769"/>
      <c r="C54" s="786" t="s">
        <v>228</v>
      </c>
      <c r="D54" s="787" t="s">
        <v>229</v>
      </c>
      <c r="E54" s="784">
        <f>'[4]SUMMARY BY OBJECT OF EXP.(PS an'!X95</f>
        <v>130375000</v>
      </c>
      <c r="F54" s="784">
        <f>'[4]SUMMARY BY OBJECT OF EXP.(PS an'!X165</f>
        <v>0</v>
      </c>
      <c r="G54" s="784">
        <f>'[4]SUMMARY BY OBJECT OF EXP.(PS an'!X214</f>
        <v>25970000</v>
      </c>
      <c r="H54" s="784">
        <v>0</v>
      </c>
      <c r="I54" s="785">
        <f>'[4]SUMMARY BY OBJECT OF EXP.(PS an'!X219</f>
        <v>13730000</v>
      </c>
      <c r="J54" s="784">
        <f t="shared" si="5"/>
        <v>156345000</v>
      </c>
      <c r="K54" s="772"/>
      <c r="L54" s="772"/>
      <c r="M54" s="769"/>
      <c r="N54" s="769"/>
      <c r="O54" s="769"/>
      <c r="P54" s="769"/>
      <c r="Q54" s="769"/>
      <c r="R54" s="769"/>
      <c r="S54" s="769"/>
      <c r="T54" s="769"/>
      <c r="U54" s="769"/>
      <c r="V54" s="769"/>
      <c r="W54" s="769"/>
      <c r="X54" s="769"/>
      <c r="Y54" s="769"/>
      <c r="Z54" s="769"/>
    </row>
    <row r="55" spans="1:26" ht="18.75" x14ac:dyDescent="0.3">
      <c r="A55" s="781"/>
      <c r="B55" s="769"/>
      <c r="C55" s="786" t="s">
        <v>2852</v>
      </c>
      <c r="D55" s="787" t="s">
        <v>231</v>
      </c>
      <c r="E55" s="784">
        <f>'[4]SUMMARY BY OBJECT OF EXP.(PS an'!Y95</f>
        <v>344500</v>
      </c>
      <c r="F55" s="784">
        <f>'[4]SUMMARY BY OBJECT OF EXP.(PS an'!Y165</f>
        <v>2500</v>
      </c>
      <c r="G55" s="784">
        <f>'[4]SUMMARY BY OBJECT OF EXP.(PS an'!Y214</f>
        <v>12000</v>
      </c>
      <c r="H55" s="784">
        <v>0</v>
      </c>
      <c r="I55" s="785">
        <f>'[4]SUMMARY BY OBJECT OF EXP.(PS an'!Y219</f>
        <v>0</v>
      </c>
      <c r="J55" s="784">
        <f t="shared" si="5"/>
        <v>359000</v>
      </c>
      <c r="K55" s="772"/>
      <c r="L55" s="772"/>
      <c r="M55" s="769"/>
      <c r="N55" s="769"/>
      <c r="O55" s="769"/>
      <c r="P55" s="769"/>
      <c r="Q55" s="769"/>
      <c r="R55" s="769"/>
      <c r="S55" s="769"/>
      <c r="T55" s="769"/>
      <c r="U55" s="769"/>
      <c r="V55" s="769"/>
      <c r="W55" s="769"/>
      <c r="X55" s="769"/>
      <c r="Y55" s="769"/>
      <c r="Z55" s="769"/>
    </row>
    <row r="56" spans="1:26" ht="18.75" x14ac:dyDescent="0.3">
      <c r="A56" s="781"/>
      <c r="B56" s="769"/>
      <c r="C56" s="786" t="s">
        <v>232</v>
      </c>
      <c r="D56" s="787" t="s">
        <v>233</v>
      </c>
      <c r="E56" s="784">
        <f>'[4]SUMMARY BY OBJECT OF EXP.(PS an'!Z95</f>
        <v>1282400</v>
      </c>
      <c r="F56" s="784">
        <f>'[4]SUMMARY BY OBJECT OF EXP.(PS an'!Z165</f>
        <v>140100</v>
      </c>
      <c r="G56" s="784">
        <f>'[4]SUMMARY BY OBJECT OF EXP.(PS an'!Z214</f>
        <v>276788</v>
      </c>
      <c r="H56" s="784">
        <v>0</v>
      </c>
      <c r="I56" s="785">
        <f>'[4]SUMMARY BY OBJECT OF EXP.(PS an'!Z219</f>
        <v>115788</v>
      </c>
      <c r="J56" s="784">
        <f t="shared" si="5"/>
        <v>1699288</v>
      </c>
      <c r="K56" s="772"/>
      <c r="L56" s="772"/>
      <c r="M56" s="769"/>
      <c r="N56" s="769"/>
      <c r="O56" s="769"/>
      <c r="P56" s="769"/>
      <c r="Q56" s="769"/>
      <c r="R56" s="769"/>
      <c r="S56" s="769"/>
      <c r="T56" s="769"/>
      <c r="U56" s="769"/>
      <c r="V56" s="769"/>
      <c r="W56" s="769"/>
      <c r="X56" s="769"/>
      <c r="Y56" s="769"/>
      <c r="Z56" s="769"/>
    </row>
    <row r="57" spans="1:26" ht="18.75" x14ac:dyDescent="0.3">
      <c r="A57" s="781"/>
      <c r="B57" s="769"/>
      <c r="C57" s="786" t="s">
        <v>234</v>
      </c>
      <c r="D57" s="787" t="s">
        <v>235</v>
      </c>
      <c r="E57" s="784">
        <f>'[4]SUMMARY BY OBJECT OF EXP.(PS an'!AA95</f>
        <v>1295400</v>
      </c>
      <c r="F57" s="784">
        <f>'[4]SUMMARY BY OBJECT OF EXP.(PS an'!AA165</f>
        <v>337280</v>
      </c>
      <c r="G57" s="784">
        <f>'[4]SUMMARY BY OBJECT OF EXP.(PS an'!AA214</f>
        <v>396000</v>
      </c>
      <c r="H57" s="784">
        <v>0</v>
      </c>
      <c r="I57" s="785">
        <f>'[4]SUMMARY BY OBJECT OF EXP.(PS an'!AA219</f>
        <v>12000</v>
      </c>
      <c r="J57" s="784">
        <f t="shared" si="5"/>
        <v>2028680</v>
      </c>
      <c r="K57" s="772"/>
      <c r="L57" s="772"/>
      <c r="M57" s="769"/>
      <c r="N57" s="769"/>
      <c r="O57" s="769"/>
      <c r="P57" s="769"/>
      <c r="Q57" s="769"/>
      <c r="R57" s="769"/>
      <c r="S57" s="769"/>
      <c r="T57" s="769"/>
      <c r="U57" s="769"/>
      <c r="V57" s="769"/>
      <c r="W57" s="769"/>
      <c r="X57" s="769"/>
      <c r="Y57" s="769"/>
      <c r="Z57" s="769"/>
    </row>
    <row r="58" spans="1:26" ht="18.75" x14ac:dyDescent="0.3">
      <c r="A58" s="781"/>
      <c r="B58" s="769"/>
      <c r="C58" s="786" t="s">
        <v>236</v>
      </c>
      <c r="D58" s="787" t="s">
        <v>237</v>
      </c>
      <c r="E58" s="784">
        <f>'[4]SUMMARY BY OBJECT OF EXP.(PS an'!AB95</f>
        <v>2491204</v>
      </c>
      <c r="F58" s="784">
        <f>'[4]SUMMARY BY OBJECT OF EXP.(PS an'!AB165</f>
        <v>1236600</v>
      </c>
      <c r="G58" s="784">
        <f>'[4]SUMMARY BY OBJECT OF EXP.(PS an'!AB214</f>
        <v>519747</v>
      </c>
      <c r="H58" s="784">
        <v>0</v>
      </c>
      <c r="I58" s="785">
        <f>'[4]SUMMARY BY OBJECT OF EXP.(PS an'!AB219</f>
        <v>30000</v>
      </c>
      <c r="J58" s="784">
        <f t="shared" si="5"/>
        <v>4247551</v>
      </c>
      <c r="K58" s="772"/>
      <c r="L58" s="772"/>
      <c r="M58" s="769"/>
      <c r="N58" s="769"/>
      <c r="O58" s="769"/>
      <c r="P58" s="769"/>
      <c r="Q58" s="769"/>
      <c r="R58" s="769"/>
      <c r="S58" s="769"/>
      <c r="T58" s="769"/>
      <c r="U58" s="769"/>
      <c r="V58" s="769"/>
      <c r="W58" s="769"/>
      <c r="X58" s="769"/>
      <c r="Y58" s="769"/>
      <c r="Z58" s="769"/>
    </row>
    <row r="59" spans="1:26" ht="18.75" x14ac:dyDescent="0.3">
      <c r="A59" s="781"/>
      <c r="B59" s="769"/>
      <c r="C59" s="786" t="s">
        <v>2853</v>
      </c>
      <c r="D59" s="787" t="s">
        <v>239</v>
      </c>
      <c r="E59" s="784">
        <f>'[4]SUMMARY BY OBJECT OF EXP.(PS an'!AC95</f>
        <v>1658000</v>
      </c>
      <c r="F59" s="784">
        <f>'[4]SUMMARY BY OBJECT OF EXP.(PS an'!AC165</f>
        <v>100000</v>
      </c>
      <c r="G59" s="784">
        <f>'[4]SUMMARY BY OBJECT OF EXP.(PS an'!AC214</f>
        <v>0</v>
      </c>
      <c r="H59" s="784">
        <v>0</v>
      </c>
      <c r="I59" s="785">
        <f>'[4]SUMMARY BY OBJECT OF EXP.(PS an'!AC219</f>
        <v>0</v>
      </c>
      <c r="J59" s="784">
        <f t="shared" si="5"/>
        <v>1758000</v>
      </c>
      <c r="K59" s="772"/>
      <c r="L59" s="772"/>
      <c r="M59" s="769"/>
      <c r="N59" s="769"/>
      <c r="O59" s="769"/>
      <c r="P59" s="769"/>
      <c r="Q59" s="769"/>
      <c r="R59" s="769"/>
      <c r="S59" s="769"/>
      <c r="T59" s="769"/>
      <c r="U59" s="769"/>
      <c r="V59" s="769"/>
      <c r="W59" s="769"/>
      <c r="X59" s="769"/>
      <c r="Y59" s="769"/>
      <c r="Z59" s="769"/>
    </row>
    <row r="60" spans="1:26" ht="18.75" x14ac:dyDescent="0.3">
      <c r="A60" s="781"/>
      <c r="B60" s="769"/>
      <c r="C60" s="786" t="s">
        <v>242</v>
      </c>
      <c r="D60" s="787" t="s">
        <v>243</v>
      </c>
      <c r="E60" s="784">
        <f>'[4]SUMMARY BY OBJECT OF EXP.(PS an'!AD95</f>
        <v>0</v>
      </c>
      <c r="F60" s="784">
        <f>'[4]SUMMARY BY OBJECT OF EXP.(PS an'!AD165</f>
        <v>180000</v>
      </c>
      <c r="G60" s="784">
        <f>'[4]SUMMARY BY OBJECT OF EXP.(PS an'!AD214</f>
        <v>0</v>
      </c>
      <c r="H60" s="784">
        <v>0</v>
      </c>
      <c r="I60" s="785">
        <f>'[4]SUMMARY BY OBJECT OF EXP.(PS an'!AD219</f>
        <v>0</v>
      </c>
      <c r="J60" s="784">
        <f t="shared" si="5"/>
        <v>180000</v>
      </c>
      <c r="K60" s="772"/>
      <c r="L60" s="772"/>
      <c r="M60" s="769"/>
      <c r="N60" s="769"/>
      <c r="O60" s="769"/>
      <c r="P60" s="769"/>
      <c r="Q60" s="769"/>
      <c r="R60" s="769"/>
      <c r="S60" s="769"/>
      <c r="T60" s="769"/>
      <c r="U60" s="769"/>
      <c r="V60" s="769"/>
      <c r="W60" s="769"/>
      <c r="X60" s="769"/>
      <c r="Y60" s="769"/>
      <c r="Z60" s="769"/>
    </row>
    <row r="61" spans="1:26" ht="18.75" x14ac:dyDescent="0.3">
      <c r="A61" s="781"/>
      <c r="B61" s="769"/>
      <c r="C61" s="786" t="s">
        <v>244</v>
      </c>
      <c r="D61" s="787" t="s">
        <v>245</v>
      </c>
      <c r="E61" s="784">
        <f>'[4]SUMMARY BY OBJECT OF EXP.(PS an'!AE95</f>
        <v>0</v>
      </c>
      <c r="F61" s="784">
        <f>'[4]SUMMARY BY OBJECT OF EXP.(PS an'!AE165</f>
        <v>4890000</v>
      </c>
      <c r="G61" s="784">
        <f>'[4]SUMMARY BY OBJECT OF EXP.(PS an'!AE214</f>
        <v>0</v>
      </c>
      <c r="H61" s="784">
        <v>0</v>
      </c>
      <c r="I61" s="785">
        <f>'[4]SUMMARY BY OBJECT OF EXP.(PS an'!AE219</f>
        <v>0</v>
      </c>
      <c r="J61" s="784">
        <f t="shared" si="5"/>
        <v>4890000</v>
      </c>
      <c r="K61" s="772"/>
      <c r="L61" s="772"/>
      <c r="M61" s="769"/>
      <c r="N61" s="769"/>
      <c r="O61" s="769"/>
      <c r="P61" s="769"/>
      <c r="Q61" s="769"/>
      <c r="R61" s="769"/>
      <c r="S61" s="769"/>
      <c r="T61" s="769"/>
      <c r="U61" s="769"/>
      <c r="V61" s="769"/>
      <c r="W61" s="769"/>
      <c r="X61" s="769"/>
      <c r="Y61" s="769"/>
      <c r="Z61" s="769"/>
    </row>
    <row r="62" spans="1:26" ht="18.75" x14ac:dyDescent="0.3">
      <c r="A62" s="781"/>
      <c r="B62" s="769"/>
      <c r="C62" s="786" t="s">
        <v>258</v>
      </c>
      <c r="D62" s="787" t="s">
        <v>259</v>
      </c>
      <c r="E62" s="784">
        <f>'[4]SUMMARY BY OBJECT OF EXP.(PS an'!AF95</f>
        <v>2995802</v>
      </c>
      <c r="F62" s="784">
        <f>'[4]SUMMARY BY OBJECT OF EXP.(PS an'!AF165</f>
        <v>0</v>
      </c>
      <c r="G62" s="784">
        <f>'[4]SUMMARY BY OBJECT OF EXP.(PS an'!AF214</f>
        <v>0</v>
      </c>
      <c r="H62" s="784">
        <v>0</v>
      </c>
      <c r="I62" s="785">
        <f>'[4]SUMMARY BY OBJECT OF EXP.(PS an'!AF219</f>
        <v>0</v>
      </c>
      <c r="J62" s="784">
        <f t="shared" si="5"/>
        <v>2995802</v>
      </c>
      <c r="K62" s="772"/>
      <c r="L62" s="772"/>
      <c r="M62" s="769"/>
      <c r="N62" s="769"/>
      <c r="O62" s="769"/>
      <c r="P62" s="769"/>
      <c r="Q62" s="769"/>
      <c r="R62" s="769"/>
      <c r="S62" s="769"/>
      <c r="T62" s="769"/>
      <c r="U62" s="769"/>
      <c r="V62" s="769"/>
      <c r="W62" s="769"/>
      <c r="X62" s="769"/>
      <c r="Y62" s="769"/>
      <c r="Z62" s="769"/>
    </row>
    <row r="63" spans="1:26" ht="18.75" x14ac:dyDescent="0.3">
      <c r="A63" s="781"/>
      <c r="B63" s="769"/>
      <c r="C63" s="786" t="s">
        <v>2854</v>
      </c>
      <c r="D63" s="787" t="s">
        <v>265</v>
      </c>
      <c r="E63" s="784">
        <f>'[4]SUMMARY BY OBJECT OF EXP.(PS an'!AG95</f>
        <v>0</v>
      </c>
      <c r="F63" s="784">
        <f>'[4]SUMMARY BY OBJECT OF EXP.(PS an'!AG165</f>
        <v>2000000</v>
      </c>
      <c r="G63" s="784">
        <f>'[4]SUMMARY BY OBJECT OF EXP.(PS an'!AG214</f>
        <v>28400000</v>
      </c>
      <c r="H63" s="784">
        <v>0</v>
      </c>
      <c r="I63" s="785">
        <f>'[4]SUMMARY BY OBJECT OF EXP.(PS an'!AG219</f>
        <v>0</v>
      </c>
      <c r="J63" s="784">
        <f t="shared" si="5"/>
        <v>30400000</v>
      </c>
      <c r="K63" s="772"/>
      <c r="L63" s="772"/>
      <c r="M63" s="769"/>
      <c r="N63" s="769"/>
      <c r="O63" s="769"/>
      <c r="P63" s="769"/>
      <c r="Q63" s="769"/>
      <c r="R63" s="769"/>
      <c r="S63" s="769"/>
      <c r="T63" s="769"/>
      <c r="U63" s="769"/>
      <c r="V63" s="769"/>
      <c r="W63" s="769"/>
      <c r="X63" s="769"/>
      <c r="Y63" s="769"/>
      <c r="Z63" s="769"/>
    </row>
    <row r="64" spans="1:26" ht="18.75" x14ac:dyDescent="0.3">
      <c r="A64" s="781"/>
      <c r="B64" s="769"/>
      <c r="C64" s="786" t="s">
        <v>266</v>
      </c>
      <c r="D64" s="787" t="s">
        <v>2855</v>
      </c>
      <c r="E64" s="784">
        <f>'[4]SUMMARY BY OBJECT OF EXP.(PS an'!AI95</f>
        <v>3876000</v>
      </c>
      <c r="F64" s="784">
        <f>'[4]SUMMARY BY OBJECT OF EXP.(PS an'!AI165</f>
        <v>0</v>
      </c>
      <c r="G64" s="784">
        <f>'[4]SUMMARY BY OBJECT OF EXP.(PS an'!AI214</f>
        <v>0</v>
      </c>
      <c r="H64" s="784">
        <v>0</v>
      </c>
      <c r="I64" s="785">
        <f>'[4]SUMMARY BY OBJECT OF EXP.(PS an'!AI219</f>
        <v>0</v>
      </c>
      <c r="J64" s="784">
        <f t="shared" si="5"/>
        <v>3876000</v>
      </c>
      <c r="K64" s="772"/>
      <c r="L64" s="772"/>
      <c r="M64" s="769"/>
      <c r="N64" s="769"/>
      <c r="O64" s="769"/>
      <c r="P64" s="769"/>
      <c r="Q64" s="769"/>
      <c r="R64" s="769"/>
      <c r="S64" s="769"/>
      <c r="T64" s="769"/>
      <c r="U64" s="769"/>
      <c r="V64" s="769"/>
      <c r="W64" s="769"/>
      <c r="X64" s="769"/>
      <c r="Y64" s="769"/>
      <c r="Z64" s="769"/>
    </row>
    <row r="65" spans="1:26" ht="18.75" x14ac:dyDescent="0.3">
      <c r="A65" s="781"/>
      <c r="B65" s="769"/>
      <c r="C65" s="786" t="s">
        <v>2856</v>
      </c>
      <c r="D65" s="787" t="s">
        <v>269</v>
      </c>
      <c r="E65" s="784">
        <f>'[4]SUMMARY BY OBJECT OF EXP.(PS an'!AH95</f>
        <v>65408000</v>
      </c>
      <c r="F65" s="784">
        <f>'[4]SUMMARY BY OBJECT OF EXP.(PS an'!AH165</f>
        <v>0</v>
      </c>
      <c r="G65" s="784">
        <f>'[4]SUMMARY BY OBJECT OF EXP.(PS an'!AH214</f>
        <v>0</v>
      </c>
      <c r="H65" s="784">
        <v>0</v>
      </c>
      <c r="I65" s="785">
        <f>'[4]SUMMARY BY OBJECT OF EXP.(PS an'!AH219</f>
        <v>0</v>
      </c>
      <c r="J65" s="784">
        <f t="shared" si="5"/>
        <v>65408000</v>
      </c>
      <c r="K65" s="772"/>
      <c r="L65" s="772"/>
      <c r="M65" s="769"/>
      <c r="N65" s="769"/>
      <c r="O65" s="769"/>
      <c r="P65" s="769"/>
      <c r="Q65" s="769"/>
      <c r="R65" s="769"/>
      <c r="S65" s="769"/>
      <c r="T65" s="769"/>
      <c r="U65" s="769"/>
      <c r="V65" s="769"/>
      <c r="W65" s="769"/>
      <c r="X65" s="769"/>
      <c r="Y65" s="769"/>
      <c r="Z65" s="769"/>
    </row>
    <row r="66" spans="1:26" ht="18.75" x14ac:dyDescent="0.3">
      <c r="A66" s="781"/>
      <c r="B66" s="769"/>
      <c r="C66" s="786" t="s">
        <v>2857</v>
      </c>
      <c r="D66" s="787" t="s">
        <v>279</v>
      </c>
      <c r="E66" s="784">
        <f>'[4]SUMMARY BY OBJECT OF EXP.(PS an'!AJ95</f>
        <v>0</v>
      </c>
      <c r="F66" s="784">
        <f>'[4]SUMMARY BY OBJECT OF EXP.(PS an'!AJ165</f>
        <v>0</v>
      </c>
      <c r="G66" s="784">
        <f>'[4]SUMMARY BY OBJECT OF EXP.(PS an'!AJ214</f>
        <v>2635749</v>
      </c>
      <c r="H66" s="784">
        <v>0</v>
      </c>
      <c r="I66" s="785">
        <f>'[4]SUMMARY BY OBJECT OF EXP.(PS an'!AJ219</f>
        <v>0</v>
      </c>
      <c r="J66" s="784">
        <f t="shared" si="5"/>
        <v>2635749</v>
      </c>
      <c r="K66" s="772"/>
      <c r="L66" s="772"/>
      <c r="M66" s="769"/>
      <c r="N66" s="769"/>
      <c r="O66" s="769"/>
      <c r="P66" s="769"/>
      <c r="Q66" s="769"/>
      <c r="R66" s="769"/>
      <c r="S66" s="769"/>
      <c r="T66" s="769"/>
      <c r="U66" s="769"/>
      <c r="V66" s="769"/>
      <c r="W66" s="769"/>
      <c r="X66" s="769"/>
      <c r="Y66" s="769"/>
      <c r="Z66" s="769"/>
    </row>
    <row r="67" spans="1:26" ht="18.75" x14ac:dyDescent="0.3">
      <c r="A67" s="781"/>
      <c r="B67" s="769"/>
      <c r="C67" s="786" t="s">
        <v>2858</v>
      </c>
      <c r="D67" s="787" t="s">
        <v>283</v>
      </c>
      <c r="E67" s="784">
        <f>'[4]SUMMARY BY OBJECT OF EXP.(PS an'!AL95</f>
        <v>2973360</v>
      </c>
      <c r="F67" s="784">
        <f>'[4]SUMMARY BY OBJECT OF EXP.(PS an'!AL165</f>
        <v>590390</v>
      </c>
      <c r="G67" s="784">
        <f>'[4]SUMMARY BY OBJECT OF EXP.(PS an'!AL214</f>
        <v>3074545</v>
      </c>
      <c r="H67" s="784">
        <v>0</v>
      </c>
      <c r="I67" s="785">
        <f>'[4]SUMMARY BY OBJECT OF EXP.(PS an'!AL219</f>
        <v>1247544</v>
      </c>
      <c r="J67" s="784">
        <f t="shared" si="5"/>
        <v>6638295</v>
      </c>
      <c r="K67" s="772"/>
      <c r="L67" s="772"/>
      <c r="M67" s="769"/>
      <c r="N67" s="769"/>
      <c r="O67" s="769"/>
      <c r="P67" s="769"/>
      <c r="Q67" s="769"/>
      <c r="R67" s="769"/>
      <c r="S67" s="769"/>
      <c r="T67" s="769"/>
      <c r="U67" s="769"/>
      <c r="V67" s="769"/>
      <c r="W67" s="769"/>
      <c r="X67" s="769"/>
      <c r="Y67" s="769"/>
      <c r="Z67" s="769"/>
    </row>
    <row r="68" spans="1:26" ht="18.75" x14ac:dyDescent="0.3">
      <c r="A68" s="781"/>
      <c r="B68" s="769"/>
      <c r="C68" s="786" t="s">
        <v>2859</v>
      </c>
      <c r="D68" s="787" t="s">
        <v>285</v>
      </c>
      <c r="E68" s="784">
        <f>'[4]SUMMARY BY OBJECT OF EXP.(PS an'!AM95</f>
        <v>20000000</v>
      </c>
      <c r="F68" s="784">
        <f>'[4]SUMMARY BY OBJECT OF EXP.(PS an'!AM165</f>
        <v>4215000</v>
      </c>
      <c r="G68" s="784">
        <f>'[4]SUMMARY BY OBJECT OF EXP.(PS an'!AM214</f>
        <v>43298400</v>
      </c>
      <c r="H68" s="784">
        <v>0</v>
      </c>
      <c r="I68" s="785">
        <f>'[4]SUMMARY BY OBJECT OF EXP.(PS an'!AM219</f>
        <v>250000</v>
      </c>
      <c r="J68" s="784">
        <f t="shared" si="5"/>
        <v>67513400</v>
      </c>
      <c r="K68" s="772"/>
      <c r="L68" s="772"/>
      <c r="M68" s="769"/>
      <c r="N68" s="769"/>
      <c r="O68" s="769"/>
      <c r="P68" s="769"/>
      <c r="Q68" s="769"/>
      <c r="R68" s="769"/>
      <c r="S68" s="769"/>
      <c r="T68" s="769"/>
      <c r="U68" s="769"/>
      <c r="V68" s="769"/>
      <c r="W68" s="769"/>
      <c r="X68" s="769"/>
      <c r="Y68" s="769"/>
      <c r="Z68" s="769"/>
    </row>
    <row r="69" spans="1:26" ht="18.75" x14ac:dyDescent="0.3">
      <c r="A69" s="781"/>
      <c r="B69" s="769"/>
      <c r="C69" s="786" t="s">
        <v>2860</v>
      </c>
      <c r="D69" s="787" t="s">
        <v>287</v>
      </c>
      <c r="E69" s="784">
        <f>'[4]SUMMARY BY OBJECT OF EXP.(PS an'!AN95</f>
        <v>18527350</v>
      </c>
      <c r="F69" s="784">
        <f>'[4]SUMMARY BY OBJECT OF EXP.(PS an'!AN165</f>
        <v>12000000</v>
      </c>
      <c r="G69" s="784">
        <f>'[4]SUMMARY BY OBJECT OF EXP.(PS an'!AN214</f>
        <v>5263846</v>
      </c>
      <c r="H69" s="784">
        <v>0</v>
      </c>
      <c r="I69" s="785">
        <f>'[4]SUMMARY BY OBJECT OF EXP.(PS an'!AN219</f>
        <v>354246</v>
      </c>
      <c r="J69" s="784">
        <f t="shared" si="5"/>
        <v>35791196</v>
      </c>
      <c r="K69" s="772"/>
      <c r="L69" s="772"/>
      <c r="M69" s="769"/>
      <c r="N69" s="769"/>
      <c r="O69" s="769"/>
      <c r="P69" s="769"/>
      <c r="Q69" s="769"/>
      <c r="R69" s="769"/>
      <c r="S69" s="769"/>
      <c r="T69" s="769"/>
      <c r="U69" s="769"/>
      <c r="V69" s="769"/>
      <c r="W69" s="769"/>
      <c r="X69" s="769"/>
      <c r="Y69" s="769"/>
      <c r="Z69" s="769"/>
    </row>
    <row r="70" spans="1:26" ht="18.75" x14ac:dyDescent="0.3">
      <c r="A70" s="781"/>
      <c r="B70" s="769"/>
      <c r="C70" s="786" t="s">
        <v>2861</v>
      </c>
      <c r="D70" s="787" t="s">
        <v>289</v>
      </c>
      <c r="E70" s="784">
        <f>'[4]SUMMARY BY OBJECT OF EXP.(PS an'!AO95</f>
        <v>0</v>
      </c>
      <c r="F70" s="784">
        <f>'[4]SUMMARY BY OBJECT OF EXP.(PS an'!AO165</f>
        <v>250000</v>
      </c>
      <c r="G70" s="784">
        <f>'[4]SUMMARY BY OBJECT OF EXP.(PS an'!AO214</f>
        <v>50000</v>
      </c>
      <c r="H70" s="784">
        <v>0</v>
      </c>
      <c r="I70" s="785">
        <f>'[4]SUMMARY BY OBJECT OF EXP.(PS an'!AO219</f>
        <v>0</v>
      </c>
      <c r="J70" s="784">
        <f t="shared" si="5"/>
        <v>300000</v>
      </c>
      <c r="K70" s="772"/>
      <c r="L70" s="772"/>
      <c r="M70" s="769"/>
      <c r="N70" s="769"/>
      <c r="O70" s="769"/>
      <c r="P70" s="769"/>
      <c r="Q70" s="769"/>
      <c r="R70" s="769"/>
      <c r="S70" s="769"/>
      <c r="T70" s="769"/>
      <c r="U70" s="769"/>
      <c r="V70" s="769"/>
      <c r="W70" s="769"/>
      <c r="X70" s="769"/>
      <c r="Y70" s="769"/>
      <c r="Z70" s="769"/>
    </row>
    <row r="71" spans="1:26" ht="18.75" x14ac:dyDescent="0.3">
      <c r="A71" s="781"/>
      <c r="B71" s="769"/>
      <c r="C71" s="786" t="s">
        <v>2862</v>
      </c>
      <c r="D71" s="787" t="s">
        <v>295</v>
      </c>
      <c r="E71" s="784">
        <f>'[4]SUMMARY BY OBJECT OF EXP.(PS an'!AP95</f>
        <v>0</v>
      </c>
      <c r="F71" s="784">
        <f>'[4]SUMMARY BY OBJECT OF EXP.(PS an'!AP165</f>
        <v>300000</v>
      </c>
      <c r="G71" s="784">
        <f>'[4]SUMMARY BY OBJECT OF EXP.(PS an'!AP214</f>
        <v>0</v>
      </c>
      <c r="H71" s="784">
        <v>0</v>
      </c>
      <c r="I71" s="785">
        <f>'[4]SUMMARY BY OBJECT OF EXP.(PS an'!AP219</f>
        <v>0</v>
      </c>
      <c r="J71" s="784">
        <f t="shared" si="5"/>
        <v>300000</v>
      </c>
      <c r="K71" s="772"/>
      <c r="L71" s="772"/>
      <c r="M71" s="769"/>
      <c r="N71" s="769"/>
      <c r="O71" s="769"/>
      <c r="P71" s="769"/>
      <c r="Q71" s="769"/>
      <c r="R71" s="769"/>
      <c r="S71" s="769"/>
      <c r="T71" s="769"/>
      <c r="U71" s="769"/>
      <c r="V71" s="769"/>
      <c r="W71" s="769"/>
      <c r="X71" s="769"/>
      <c r="Y71" s="769"/>
      <c r="Z71" s="769"/>
    </row>
    <row r="72" spans="1:26" ht="18.75" x14ac:dyDescent="0.3">
      <c r="A72" s="781"/>
      <c r="B72" s="769"/>
      <c r="C72" s="786" t="s">
        <v>2863</v>
      </c>
      <c r="D72" s="787" t="s">
        <v>299</v>
      </c>
      <c r="E72" s="784">
        <f>'[4]SUMMARY BY OBJECT OF EXP.(PS an'!AQ95</f>
        <v>26928000</v>
      </c>
      <c r="F72" s="784">
        <f>'[4]SUMMARY BY OBJECT OF EXP.(PS an'!AQ165</f>
        <v>0</v>
      </c>
      <c r="G72" s="784">
        <f>'[4]SUMMARY BY OBJECT OF EXP.(PS an'!AQ214</f>
        <v>0</v>
      </c>
      <c r="H72" s="784">
        <v>0</v>
      </c>
      <c r="I72" s="785">
        <f>'[4]SUMMARY BY OBJECT OF EXP.(PS an'!AQ219</f>
        <v>0</v>
      </c>
      <c r="J72" s="784">
        <f t="shared" si="5"/>
        <v>26928000</v>
      </c>
      <c r="K72" s="772"/>
      <c r="L72" s="772"/>
      <c r="M72" s="769"/>
      <c r="N72" s="769"/>
      <c r="O72" s="769"/>
      <c r="P72" s="769"/>
      <c r="Q72" s="769"/>
      <c r="R72" s="769"/>
      <c r="S72" s="769"/>
      <c r="T72" s="769"/>
      <c r="U72" s="769"/>
      <c r="V72" s="769"/>
      <c r="W72" s="769"/>
      <c r="X72" s="769"/>
      <c r="Y72" s="769"/>
      <c r="Z72" s="769"/>
    </row>
    <row r="73" spans="1:26" ht="18.75" x14ac:dyDescent="0.3">
      <c r="A73" s="781"/>
      <c r="B73" s="769"/>
      <c r="C73" s="786" t="s">
        <v>2864</v>
      </c>
      <c r="D73" s="787" t="s">
        <v>315</v>
      </c>
      <c r="E73" s="784">
        <f>'[4]SUMMARY BY OBJECT OF EXP.(PS an'!AS95</f>
        <v>2053000</v>
      </c>
      <c r="F73" s="784">
        <f>'[4]SUMMARY BY OBJECT OF EXP.(PS an'!AS165</f>
        <v>230000</v>
      </c>
      <c r="G73" s="784">
        <f>'[4]SUMMARY BY OBJECT OF EXP.(PS an'!AS214</f>
        <v>0</v>
      </c>
      <c r="H73" s="784">
        <v>0</v>
      </c>
      <c r="I73" s="785">
        <f>'[4]SUMMARY BY OBJECT OF EXP.(PS an'!AS219</f>
        <v>0</v>
      </c>
      <c r="J73" s="784">
        <f t="shared" si="5"/>
        <v>2283000</v>
      </c>
      <c r="K73" s="772"/>
      <c r="L73" s="772"/>
      <c r="M73" s="769"/>
      <c r="N73" s="769"/>
      <c r="O73" s="769"/>
      <c r="P73" s="769"/>
      <c r="Q73" s="769"/>
      <c r="R73" s="769"/>
      <c r="S73" s="769"/>
      <c r="T73" s="769"/>
      <c r="U73" s="769"/>
      <c r="V73" s="769"/>
      <c r="W73" s="769"/>
      <c r="X73" s="769"/>
      <c r="Y73" s="769"/>
      <c r="Z73" s="769"/>
    </row>
    <row r="74" spans="1:26" ht="18.75" x14ac:dyDescent="0.3">
      <c r="A74" s="781"/>
      <c r="B74" s="769"/>
      <c r="C74" s="786" t="s">
        <v>316</v>
      </c>
      <c r="D74" s="787" t="s">
        <v>317</v>
      </c>
      <c r="E74" s="784">
        <f>'[4]SUMMARY BY OBJECT OF EXP.(PS an'!AT95</f>
        <v>15000000</v>
      </c>
      <c r="F74" s="784">
        <f>'[4]SUMMARY BY OBJECT OF EXP.(PS an'!AT165</f>
        <v>0</v>
      </c>
      <c r="G74" s="784">
        <f>'[4]SUMMARY BY OBJECT OF EXP.(PS an'!AT214</f>
        <v>0</v>
      </c>
      <c r="H74" s="784">
        <v>0</v>
      </c>
      <c r="I74" s="785">
        <f>'[4]SUMMARY BY OBJECT OF EXP.(PS an'!AT219</f>
        <v>0</v>
      </c>
      <c r="J74" s="784">
        <f t="shared" si="5"/>
        <v>15000000</v>
      </c>
      <c r="K74" s="772"/>
      <c r="L74" s="772"/>
      <c r="M74" s="769"/>
      <c r="N74" s="769"/>
      <c r="O74" s="769"/>
      <c r="P74" s="769"/>
      <c r="Q74" s="769"/>
      <c r="R74" s="769"/>
      <c r="S74" s="769"/>
      <c r="T74" s="769"/>
      <c r="U74" s="769"/>
      <c r="V74" s="769"/>
      <c r="W74" s="769"/>
      <c r="X74" s="769"/>
      <c r="Y74" s="769"/>
      <c r="Z74" s="769"/>
    </row>
    <row r="75" spans="1:26" ht="18.75" x14ac:dyDescent="0.3">
      <c r="A75" s="781"/>
      <c r="B75" s="769"/>
      <c r="C75" s="786" t="s">
        <v>318</v>
      </c>
      <c r="D75" s="787" t="s">
        <v>319</v>
      </c>
      <c r="E75" s="784">
        <f>'[4]SUMMARY BY OBJECT OF EXP.(PS an'!AU95</f>
        <v>6300000</v>
      </c>
      <c r="F75" s="784">
        <f>'[4]SUMMARY BY OBJECT OF EXP.(PS an'!AU165</f>
        <v>1115000</v>
      </c>
      <c r="G75" s="784">
        <f>'[4]SUMMARY BY OBJECT OF EXP.(PS an'!AU214</f>
        <v>2318000</v>
      </c>
      <c r="H75" s="784">
        <v>0</v>
      </c>
      <c r="I75" s="785">
        <f>'[4]SUMMARY BY OBJECT OF EXP.(PS an'!AU219</f>
        <v>0</v>
      </c>
      <c r="J75" s="784">
        <f t="shared" si="5"/>
        <v>9733000</v>
      </c>
      <c r="K75" s="772"/>
      <c r="L75" s="772"/>
      <c r="M75" s="769"/>
      <c r="N75" s="769"/>
      <c r="O75" s="769"/>
      <c r="P75" s="769"/>
      <c r="Q75" s="769"/>
      <c r="R75" s="769"/>
      <c r="S75" s="769"/>
      <c r="T75" s="769"/>
      <c r="U75" s="769"/>
      <c r="V75" s="769"/>
      <c r="W75" s="769"/>
      <c r="X75" s="769"/>
      <c r="Y75" s="769"/>
      <c r="Z75" s="769"/>
    </row>
    <row r="76" spans="1:26" ht="18.75" x14ac:dyDescent="0.3">
      <c r="A76" s="781"/>
      <c r="B76" s="769"/>
      <c r="C76" s="786" t="s">
        <v>2865</v>
      </c>
      <c r="D76" s="787" t="s">
        <v>321</v>
      </c>
      <c r="E76" s="784">
        <f>'[4]SUMMARY BY OBJECT OF EXP.(PS an'!AV95</f>
        <v>50000</v>
      </c>
      <c r="F76" s="784">
        <f>'[4]SUMMARY BY OBJECT OF EXP.(PS an'!AV165</f>
        <v>4051450</v>
      </c>
      <c r="G76" s="784">
        <f>'[4]SUMMARY BY OBJECT OF EXP.(PS an'!AV214</f>
        <v>199000</v>
      </c>
      <c r="H76" s="784">
        <v>0</v>
      </c>
      <c r="I76" s="785">
        <f>'[4]SUMMARY BY OBJECT OF EXP.(PS an'!AV219</f>
        <v>0</v>
      </c>
      <c r="J76" s="784">
        <f t="shared" si="5"/>
        <v>4300450</v>
      </c>
      <c r="K76" s="772"/>
      <c r="L76" s="772"/>
      <c r="M76" s="769"/>
      <c r="N76" s="769"/>
      <c r="O76" s="769"/>
      <c r="P76" s="769"/>
      <c r="Q76" s="769"/>
      <c r="R76" s="769"/>
      <c r="S76" s="769"/>
      <c r="T76" s="769"/>
      <c r="U76" s="769"/>
      <c r="V76" s="769"/>
      <c r="W76" s="769"/>
      <c r="X76" s="769"/>
      <c r="Y76" s="769"/>
      <c r="Z76" s="769"/>
    </row>
    <row r="77" spans="1:26" ht="18.75" x14ac:dyDescent="0.3">
      <c r="A77" s="781"/>
      <c r="B77" s="769"/>
      <c r="C77" s="786" t="s">
        <v>322</v>
      </c>
      <c r="D77" s="787" t="s">
        <v>323</v>
      </c>
      <c r="E77" s="784">
        <f>'[4]SUMMARY BY OBJECT OF EXP.(PS an'!AW95</f>
        <v>11000000</v>
      </c>
      <c r="F77" s="784">
        <f>'[4]SUMMARY BY OBJECT OF EXP.(PS an'!AW165</f>
        <v>0</v>
      </c>
      <c r="G77" s="784">
        <f>'[4]SUMMARY BY OBJECT OF EXP.(PS an'!AW214</f>
        <v>0</v>
      </c>
      <c r="H77" s="784">
        <v>0</v>
      </c>
      <c r="I77" s="785">
        <f>'[4]SUMMARY BY OBJECT OF EXP.(PS an'!AW219</f>
        <v>0</v>
      </c>
      <c r="J77" s="784">
        <f t="shared" si="5"/>
        <v>11000000</v>
      </c>
      <c r="K77" s="772"/>
      <c r="L77" s="772"/>
      <c r="M77" s="769"/>
      <c r="N77" s="769"/>
      <c r="O77" s="769"/>
      <c r="P77" s="769"/>
      <c r="Q77" s="769"/>
      <c r="R77" s="769"/>
      <c r="S77" s="769"/>
      <c r="T77" s="769"/>
      <c r="U77" s="769"/>
      <c r="V77" s="769"/>
      <c r="W77" s="769"/>
      <c r="X77" s="769"/>
      <c r="Y77" s="769"/>
      <c r="Z77" s="769"/>
    </row>
    <row r="78" spans="1:26" ht="18.75" x14ac:dyDescent="0.3">
      <c r="A78" s="781"/>
      <c r="B78" s="769"/>
      <c r="C78" s="786" t="s">
        <v>2866</v>
      </c>
      <c r="D78" s="787" t="s">
        <v>325</v>
      </c>
      <c r="E78" s="784">
        <f>'[4]SUMMARY BY OBJECT OF EXP.(PS an'!AX95</f>
        <v>430000</v>
      </c>
      <c r="F78" s="784">
        <f>'[4]SUMMARY BY OBJECT OF EXP.(PS an'!AX165</f>
        <v>50000</v>
      </c>
      <c r="G78" s="784">
        <f>'[4]SUMMARY BY OBJECT OF EXP.(PS an'!AX214</f>
        <v>6000</v>
      </c>
      <c r="H78" s="784">
        <v>0</v>
      </c>
      <c r="I78" s="785">
        <f>'[4]SUMMARY BY OBJECT OF EXP.(PS an'!AX219</f>
        <v>0</v>
      </c>
      <c r="J78" s="784">
        <f t="shared" si="5"/>
        <v>486000</v>
      </c>
      <c r="K78" s="772"/>
      <c r="L78" s="772"/>
      <c r="M78" s="769"/>
      <c r="N78" s="769"/>
      <c r="O78" s="769"/>
      <c r="P78" s="769"/>
      <c r="Q78" s="769"/>
      <c r="R78" s="769"/>
      <c r="S78" s="769"/>
      <c r="T78" s="769"/>
      <c r="U78" s="769"/>
      <c r="V78" s="769"/>
      <c r="W78" s="769"/>
      <c r="X78" s="769"/>
      <c r="Y78" s="769"/>
      <c r="Z78" s="769"/>
    </row>
    <row r="79" spans="1:26" ht="18.75" x14ac:dyDescent="0.3">
      <c r="A79" s="781"/>
      <c r="B79" s="769"/>
      <c r="C79" s="786" t="s">
        <v>2867</v>
      </c>
      <c r="D79" s="787" t="s">
        <v>327</v>
      </c>
      <c r="E79" s="784">
        <f>'[4]SUMMARY BY OBJECT OF EXP.(PS an'!AY95</f>
        <v>0</v>
      </c>
      <c r="F79" s="784">
        <f>'[4]SUMMARY BY OBJECT OF EXP.(PS an'!AY165</f>
        <v>294000</v>
      </c>
      <c r="G79" s="784">
        <f>'[4]SUMMARY BY OBJECT OF EXP.(PS an'!AY214</f>
        <v>290000</v>
      </c>
      <c r="H79" s="784">
        <v>0</v>
      </c>
      <c r="I79" s="785">
        <f>'[4]SUMMARY BY OBJECT OF EXP.(PS an'!AY219</f>
        <v>0</v>
      </c>
      <c r="J79" s="784">
        <f t="shared" si="5"/>
        <v>584000</v>
      </c>
      <c r="K79" s="772"/>
      <c r="L79" s="772"/>
      <c r="M79" s="769"/>
      <c r="N79" s="769"/>
      <c r="O79" s="769"/>
      <c r="P79" s="769"/>
      <c r="Q79" s="769"/>
      <c r="R79" s="769"/>
      <c r="S79" s="769"/>
      <c r="T79" s="769"/>
      <c r="U79" s="769"/>
      <c r="V79" s="769"/>
      <c r="W79" s="769"/>
      <c r="X79" s="769"/>
      <c r="Y79" s="769"/>
      <c r="Z79" s="769"/>
    </row>
    <row r="80" spans="1:26" ht="18.75" x14ac:dyDescent="0.3">
      <c r="A80" s="781"/>
      <c r="B80" s="769"/>
      <c r="C80" s="786" t="s">
        <v>2868</v>
      </c>
      <c r="D80" s="787" t="s">
        <v>329</v>
      </c>
      <c r="E80" s="784">
        <f>'[4]SUMMARY BY OBJECT OF EXP.(PS an'!AZ95</f>
        <v>1275000</v>
      </c>
      <c r="F80" s="784">
        <f>'[4]SUMMARY BY OBJECT OF EXP.(PS an'!AZ165</f>
        <v>0</v>
      </c>
      <c r="G80" s="784">
        <f>'[4]SUMMARY BY OBJECT OF EXP.(PS an'!AZ214</f>
        <v>0</v>
      </c>
      <c r="H80" s="784">
        <v>0</v>
      </c>
      <c r="I80" s="785">
        <f>'[4]SUMMARY BY OBJECT OF EXP.(PS an'!AZ219</f>
        <v>0</v>
      </c>
      <c r="J80" s="784">
        <f t="shared" si="5"/>
        <v>1275000</v>
      </c>
      <c r="K80" s="772"/>
      <c r="L80" s="772"/>
      <c r="M80" s="769"/>
      <c r="N80" s="769"/>
      <c r="O80" s="769"/>
      <c r="P80" s="769"/>
      <c r="Q80" s="769"/>
      <c r="R80" s="769"/>
      <c r="S80" s="769"/>
      <c r="T80" s="769"/>
      <c r="U80" s="769"/>
      <c r="V80" s="769"/>
      <c r="W80" s="769"/>
      <c r="X80" s="769"/>
      <c r="Y80" s="769"/>
      <c r="Z80" s="769"/>
    </row>
    <row r="81" spans="1:26" ht="18.75" x14ac:dyDescent="0.3">
      <c r="A81" s="781"/>
      <c r="B81" s="769"/>
      <c r="C81" s="786" t="s">
        <v>330</v>
      </c>
      <c r="D81" s="787" t="s">
        <v>331</v>
      </c>
      <c r="E81" s="784">
        <f>'[4]SUMMARY BY OBJECT OF EXP.(PS an'!BA95</f>
        <v>530100</v>
      </c>
      <c r="F81" s="784">
        <f>'[4]SUMMARY BY OBJECT OF EXP.(PS an'!BA165</f>
        <v>0</v>
      </c>
      <c r="G81" s="784">
        <f>'[4]SUMMARY BY OBJECT OF EXP.(PS an'!BA214</f>
        <v>0</v>
      </c>
      <c r="H81" s="784">
        <v>0</v>
      </c>
      <c r="I81" s="785">
        <f>'[4]SUMMARY BY OBJECT OF EXP.(PS an'!BA219</f>
        <v>0</v>
      </c>
      <c r="J81" s="784">
        <f t="shared" si="5"/>
        <v>530100</v>
      </c>
      <c r="K81" s="772"/>
      <c r="L81" s="772"/>
      <c r="M81" s="769"/>
      <c r="N81" s="769"/>
      <c r="O81" s="769"/>
      <c r="P81" s="769"/>
      <c r="Q81" s="769"/>
      <c r="R81" s="769"/>
      <c r="S81" s="769"/>
      <c r="T81" s="769"/>
      <c r="U81" s="769"/>
      <c r="V81" s="769"/>
      <c r="W81" s="769"/>
      <c r="X81" s="769"/>
      <c r="Y81" s="769"/>
      <c r="Z81" s="769"/>
    </row>
    <row r="82" spans="1:26" ht="18.75" x14ac:dyDescent="0.3">
      <c r="A82" s="781"/>
      <c r="B82" s="769"/>
      <c r="C82" s="786" t="s">
        <v>2869</v>
      </c>
      <c r="D82" s="787" t="s">
        <v>333</v>
      </c>
      <c r="E82" s="784">
        <f>'[4]SUMMARY BY OBJECT OF EXP.(PS an'!BB95</f>
        <v>3670000</v>
      </c>
      <c r="F82" s="784">
        <f>'[4]SUMMARY BY OBJECT OF EXP.(PS an'!BB165</f>
        <v>934969000</v>
      </c>
      <c r="G82" s="784">
        <f>'[4]SUMMARY BY OBJECT OF EXP.(PS an'!BB214</f>
        <v>30653360</v>
      </c>
      <c r="H82" s="784">
        <v>0</v>
      </c>
      <c r="I82" s="785">
        <f>'[4]SUMMARY BY OBJECT OF EXP.(PS an'!BB219</f>
        <v>0</v>
      </c>
      <c r="J82" s="784">
        <f t="shared" si="5"/>
        <v>969292360</v>
      </c>
      <c r="K82" s="772"/>
      <c r="L82" s="772"/>
      <c r="M82" s="769"/>
      <c r="N82" s="769"/>
      <c r="O82" s="772">
        <v>4670000</v>
      </c>
      <c r="P82" s="772">
        <v>712243060</v>
      </c>
      <c r="Q82" s="772">
        <v>41541500</v>
      </c>
      <c r="R82" s="772">
        <v>0</v>
      </c>
      <c r="S82" s="772">
        <v>0</v>
      </c>
      <c r="T82" s="772">
        <v>758454560</v>
      </c>
      <c r="U82" s="769"/>
      <c r="V82" s="769"/>
      <c r="W82" s="769"/>
      <c r="X82" s="769"/>
      <c r="Y82" s="769"/>
      <c r="Z82" s="769"/>
    </row>
    <row r="83" spans="1:26" ht="18.75" x14ac:dyDescent="0.3">
      <c r="A83" s="781"/>
      <c r="B83" s="769"/>
      <c r="C83" s="786" t="s">
        <v>334</v>
      </c>
      <c r="D83" s="787" t="s">
        <v>335</v>
      </c>
      <c r="E83" s="784">
        <f>'[4]SUMMARY BY OBJECT OF EXP.(PS an'!BC95</f>
        <v>477622824</v>
      </c>
      <c r="F83" s="784">
        <f>'[4]SUMMARY BY OBJECT OF EXP.(PS an'!BC165</f>
        <v>617453560.10000002</v>
      </c>
      <c r="G83" s="784">
        <f>'[4]SUMMARY BY OBJECT OF EXP.(PS an'!BC214</f>
        <v>376438951</v>
      </c>
      <c r="H83" s="784">
        <v>0</v>
      </c>
      <c r="I83" s="785">
        <f>'[4]SUMMARY BY OBJECT OF EXP.(PS an'!BC219</f>
        <v>47424076</v>
      </c>
      <c r="J83" s="784">
        <f t="shared" si="5"/>
        <v>1471515335.0999999</v>
      </c>
      <c r="K83" s="772"/>
      <c r="L83" s="772"/>
      <c r="M83" s="769"/>
      <c r="N83" s="769"/>
      <c r="O83" s="769"/>
      <c r="P83" s="769"/>
      <c r="Q83" s="769"/>
      <c r="R83" s="769"/>
      <c r="S83" s="769"/>
      <c r="T83" s="769"/>
      <c r="U83" s="769"/>
      <c r="V83" s="769"/>
      <c r="W83" s="769"/>
      <c r="X83" s="769"/>
      <c r="Y83" s="769"/>
      <c r="Z83" s="769"/>
    </row>
    <row r="84" spans="1:26" ht="18.75" x14ac:dyDescent="0.3">
      <c r="A84" s="793"/>
      <c r="B84" s="794"/>
      <c r="C84" s="795" t="s">
        <v>2870</v>
      </c>
      <c r="D84" s="796"/>
      <c r="E84" s="797">
        <f t="shared" ref="E84:J84" si="6">SUM(E37:E83)</f>
        <v>964573572</v>
      </c>
      <c r="F84" s="797">
        <f t="shared" si="6"/>
        <v>1946783607</v>
      </c>
      <c r="G84" s="797">
        <f t="shared" si="6"/>
        <v>724014855</v>
      </c>
      <c r="H84" s="797">
        <f t="shared" si="6"/>
        <v>0</v>
      </c>
      <c r="I84" s="798">
        <f t="shared" si="6"/>
        <v>71563126</v>
      </c>
      <c r="J84" s="797">
        <f t="shared" si="6"/>
        <v>3635372034</v>
      </c>
      <c r="K84" s="772"/>
      <c r="L84" s="772"/>
      <c r="M84" s="769"/>
      <c r="N84" s="769"/>
      <c r="O84" s="769"/>
      <c r="P84" s="769"/>
      <c r="Q84" s="769"/>
      <c r="R84" s="769"/>
      <c r="S84" s="769"/>
      <c r="T84" s="769"/>
      <c r="U84" s="769"/>
      <c r="V84" s="769"/>
      <c r="W84" s="769"/>
      <c r="X84" s="769"/>
      <c r="Y84" s="769"/>
      <c r="Z84" s="769"/>
    </row>
    <row r="85" spans="1:26" ht="18.75" x14ac:dyDescent="0.3">
      <c r="A85" s="781"/>
      <c r="B85" s="769"/>
      <c r="C85" s="786"/>
      <c r="D85" s="787"/>
      <c r="E85" s="784"/>
      <c r="F85" s="784"/>
      <c r="G85" s="784"/>
      <c r="H85" s="784"/>
      <c r="I85" s="785"/>
      <c r="J85" s="784"/>
      <c r="K85" s="772"/>
      <c r="L85" s="772"/>
      <c r="M85" s="769"/>
      <c r="N85" s="769"/>
      <c r="O85" s="769"/>
      <c r="P85" s="769"/>
      <c r="Q85" s="769"/>
      <c r="R85" s="769"/>
      <c r="S85" s="769"/>
      <c r="T85" s="769"/>
      <c r="U85" s="769"/>
      <c r="V85" s="769"/>
      <c r="W85" s="769"/>
      <c r="X85" s="769"/>
      <c r="Y85" s="769"/>
      <c r="Z85" s="769"/>
    </row>
    <row r="86" spans="1:26" ht="18.75" x14ac:dyDescent="0.3">
      <c r="A86" s="806" t="s">
        <v>2871</v>
      </c>
      <c r="B86" s="807"/>
      <c r="C86" s="808"/>
      <c r="D86" s="809"/>
      <c r="E86" s="810">
        <f t="shared" ref="E86:J86" si="7">E34+E84</f>
        <v>1533468453</v>
      </c>
      <c r="F86" s="810">
        <f t="shared" si="7"/>
        <v>2204766447</v>
      </c>
      <c r="G86" s="810">
        <f t="shared" si="7"/>
        <v>1019119724</v>
      </c>
      <c r="H86" s="810">
        <f t="shared" si="7"/>
        <v>0</v>
      </c>
      <c r="I86" s="811">
        <f t="shared" si="7"/>
        <v>82541568</v>
      </c>
      <c r="J86" s="810">
        <f t="shared" si="7"/>
        <v>4757354624</v>
      </c>
      <c r="K86" s="772"/>
      <c r="L86" s="772"/>
      <c r="M86" s="769"/>
      <c r="N86" s="769"/>
      <c r="O86" s="769"/>
      <c r="P86" s="769"/>
      <c r="Q86" s="769"/>
      <c r="R86" s="769"/>
      <c r="S86" s="769"/>
      <c r="T86" s="769"/>
      <c r="U86" s="769"/>
      <c r="V86" s="769"/>
      <c r="W86" s="769"/>
      <c r="X86" s="769"/>
      <c r="Y86" s="769"/>
      <c r="Z86" s="769"/>
    </row>
    <row r="87" spans="1:26" ht="18.75" x14ac:dyDescent="0.3">
      <c r="A87" s="812"/>
      <c r="B87" s="813"/>
      <c r="C87" s="814"/>
      <c r="D87" s="815"/>
      <c r="E87" s="816"/>
      <c r="F87" s="816"/>
      <c r="G87" s="816"/>
      <c r="H87" s="816"/>
      <c r="I87" s="817"/>
      <c r="J87" s="816"/>
      <c r="K87" s="772"/>
      <c r="L87" s="772"/>
      <c r="M87" s="769"/>
      <c r="N87" s="769"/>
      <c r="O87" s="769"/>
      <c r="P87" s="769"/>
      <c r="Q87" s="769"/>
      <c r="R87" s="769"/>
      <c r="S87" s="769"/>
      <c r="T87" s="769"/>
      <c r="U87" s="769"/>
      <c r="V87" s="769"/>
      <c r="W87" s="769"/>
      <c r="X87" s="769"/>
      <c r="Y87" s="769"/>
      <c r="Z87" s="769"/>
    </row>
    <row r="88" spans="1:26" s="822" customFormat="1" ht="18.75" x14ac:dyDescent="0.3">
      <c r="A88" s="793" t="s">
        <v>2872</v>
      </c>
      <c r="B88" s="794"/>
      <c r="C88" s="795"/>
      <c r="D88" s="818"/>
      <c r="E88" s="819">
        <v>50000</v>
      </c>
      <c r="F88" s="819">
        <v>0</v>
      </c>
      <c r="G88" s="819">
        <v>0</v>
      </c>
      <c r="H88" s="819">
        <v>246990964.62</v>
      </c>
      <c r="I88" s="820">
        <v>0</v>
      </c>
      <c r="J88" s="819">
        <f>SUM(E88:G88,H88)</f>
        <v>247040964.62</v>
      </c>
      <c r="K88" s="821"/>
      <c r="L88" s="821"/>
      <c r="M88" s="794"/>
      <c r="N88" s="794"/>
      <c r="O88" s="794"/>
      <c r="P88" s="794"/>
      <c r="Q88" s="794"/>
      <c r="R88" s="794"/>
      <c r="S88" s="794"/>
      <c r="T88" s="794"/>
      <c r="U88" s="794"/>
      <c r="V88" s="794"/>
      <c r="W88" s="794"/>
      <c r="X88" s="794"/>
      <c r="Y88" s="794"/>
      <c r="Z88" s="794"/>
    </row>
    <row r="89" spans="1:26" ht="18.75" x14ac:dyDescent="0.3">
      <c r="A89" s="781"/>
      <c r="B89" s="769"/>
      <c r="C89" s="786"/>
      <c r="D89" s="787"/>
      <c r="E89" s="784"/>
      <c r="F89" s="784"/>
      <c r="G89" s="784"/>
      <c r="H89" s="784"/>
      <c r="I89" s="785"/>
      <c r="J89" s="784"/>
      <c r="K89" s="772"/>
      <c r="L89" s="772"/>
      <c r="M89" s="769"/>
      <c r="N89" s="769"/>
      <c r="O89" s="769"/>
      <c r="P89" s="769"/>
      <c r="Q89" s="769"/>
      <c r="R89" s="769"/>
      <c r="S89" s="769"/>
      <c r="T89" s="769"/>
      <c r="U89" s="769"/>
      <c r="V89" s="769"/>
      <c r="W89" s="769"/>
      <c r="X89" s="769"/>
      <c r="Y89" s="769"/>
      <c r="Z89" s="769"/>
    </row>
    <row r="90" spans="1:26" ht="18.75" x14ac:dyDescent="0.3">
      <c r="A90" s="781" t="s">
        <v>2873</v>
      </c>
      <c r="B90" s="769"/>
      <c r="C90" s="786"/>
      <c r="D90" s="787"/>
      <c r="E90" s="784"/>
      <c r="F90" s="784"/>
      <c r="G90" s="784"/>
      <c r="H90" s="784"/>
      <c r="I90" s="804"/>
      <c r="J90" s="784"/>
      <c r="K90" s="772"/>
      <c r="L90" s="772"/>
      <c r="M90" s="769"/>
      <c r="N90" s="769"/>
      <c r="O90" s="769"/>
      <c r="P90" s="769"/>
      <c r="Q90" s="769"/>
      <c r="R90" s="769"/>
      <c r="S90" s="769"/>
      <c r="T90" s="769"/>
      <c r="U90" s="769"/>
      <c r="V90" s="769"/>
      <c r="W90" s="769"/>
      <c r="X90" s="769"/>
      <c r="Y90" s="769"/>
      <c r="Z90" s="769"/>
    </row>
    <row r="91" spans="1:26" ht="18.75" x14ac:dyDescent="0.3">
      <c r="A91" s="781"/>
      <c r="B91" s="769"/>
      <c r="C91" s="786" t="s">
        <v>6</v>
      </c>
      <c r="D91" s="823" t="s">
        <v>7</v>
      </c>
      <c r="E91" s="785">
        <f>'[4]SUMMARY BY OBJECT OF EXP. (CO)'!F91</f>
        <v>0</v>
      </c>
      <c r="F91" s="784">
        <f>'[4]SUMMARY BY OBJECT OF EXP. (CO)'!F156</f>
        <v>0</v>
      </c>
      <c r="G91" s="804">
        <f>'[4]SUMMARY BY OBJECT OF EXP. (CO)'!F201</f>
        <v>175607500</v>
      </c>
      <c r="H91" s="804">
        <v>0</v>
      </c>
      <c r="I91" s="804">
        <v>0</v>
      </c>
      <c r="J91" s="784">
        <f t="shared" ref="J91:J120" si="8">SUM(E91:G91,H91)</f>
        <v>175607500</v>
      </c>
      <c r="K91" s="772"/>
      <c r="L91" s="772"/>
      <c r="M91" s="769"/>
      <c r="N91" s="769"/>
      <c r="O91" s="769"/>
      <c r="P91" s="769"/>
      <c r="Q91" s="769"/>
      <c r="R91" s="769"/>
      <c r="S91" s="769"/>
      <c r="T91" s="769"/>
      <c r="U91" s="769"/>
      <c r="V91" s="769"/>
      <c r="W91" s="769"/>
      <c r="X91" s="769"/>
      <c r="Y91" s="769"/>
      <c r="Z91" s="769"/>
    </row>
    <row r="92" spans="1:26" ht="18.75" x14ac:dyDescent="0.3">
      <c r="A92" s="781"/>
      <c r="B92" s="769"/>
      <c r="C92" s="786" t="s">
        <v>8</v>
      </c>
      <c r="D92" s="787" t="s">
        <v>9</v>
      </c>
      <c r="E92" s="772">
        <f>'[4]SUMMARY BY OBJECT OF EXP. (CO)'!G91</f>
        <v>0</v>
      </c>
      <c r="F92" s="784">
        <f>'[4]SUMMARY BY OBJECT OF EXP. (CO)'!G156</f>
        <v>0</v>
      </c>
      <c r="G92" s="804">
        <f>'[4]SUMMARY BY OBJECT OF EXP. (CO)'!G201</f>
        <v>575611071</v>
      </c>
      <c r="H92" s="804">
        <v>0</v>
      </c>
      <c r="I92" s="804">
        <v>0</v>
      </c>
      <c r="J92" s="784">
        <f t="shared" si="8"/>
        <v>575611071</v>
      </c>
      <c r="K92" s="772">
        <v>488552078</v>
      </c>
      <c r="L92" s="772"/>
      <c r="M92" s="769"/>
      <c r="N92" s="769"/>
      <c r="O92" s="769"/>
      <c r="P92" s="769"/>
      <c r="Q92" s="769"/>
      <c r="R92" s="769"/>
      <c r="S92" s="769"/>
      <c r="T92" s="769"/>
      <c r="U92" s="769"/>
      <c r="V92" s="769"/>
      <c r="W92" s="769"/>
      <c r="X92" s="769"/>
      <c r="Y92" s="769"/>
      <c r="Z92" s="769"/>
    </row>
    <row r="93" spans="1:26" ht="18.75" x14ac:dyDescent="0.3">
      <c r="A93" s="781"/>
      <c r="B93" s="769"/>
      <c r="C93" s="786" t="s">
        <v>14</v>
      </c>
      <c r="D93" s="787" t="s">
        <v>15</v>
      </c>
      <c r="E93" s="772">
        <f>'[4]SUMMARY BY OBJECT OF EXP. (CO)'!J91</f>
        <v>0</v>
      </c>
      <c r="F93" s="784">
        <f>'[4]SUMMARY BY OBJECT OF EXP. (CO)'!J156</f>
        <v>0</v>
      </c>
      <c r="G93" s="804">
        <f>'[4]SUMMARY BY OBJECT OF EXP. (CO)'!J201</f>
        <v>12413332</v>
      </c>
      <c r="H93" s="804">
        <v>0</v>
      </c>
      <c r="I93" s="804">
        <v>0</v>
      </c>
      <c r="J93" s="784">
        <f t="shared" si="8"/>
        <v>12413332</v>
      </c>
      <c r="K93" s="772"/>
      <c r="L93" s="772"/>
      <c r="M93" s="769"/>
      <c r="N93" s="769"/>
      <c r="O93" s="769"/>
      <c r="P93" s="769"/>
      <c r="Q93" s="769"/>
      <c r="R93" s="769"/>
      <c r="S93" s="769"/>
      <c r="T93" s="769"/>
      <c r="U93" s="769"/>
      <c r="V93" s="769"/>
      <c r="W93" s="769"/>
      <c r="X93" s="769"/>
      <c r="Y93" s="769"/>
      <c r="Z93" s="769"/>
    </row>
    <row r="94" spans="1:26" ht="18.75" x14ac:dyDescent="0.3">
      <c r="A94" s="781"/>
      <c r="B94" s="769"/>
      <c r="C94" s="786" t="s">
        <v>16</v>
      </c>
      <c r="D94" s="787" t="s">
        <v>17</v>
      </c>
      <c r="E94" s="784">
        <f>'[4]SUMMARY BY OBJECT OF EXP. (CO)'!K91</f>
        <v>900000</v>
      </c>
      <c r="F94" s="784">
        <f>'[4]SUMMARY BY OBJECT OF EXP. (CO)'!K156</f>
        <v>0</v>
      </c>
      <c r="G94" s="784">
        <f>'[4]SUMMARY BY OBJECT OF EXP. (CO)'!K201</f>
        <v>9020000</v>
      </c>
      <c r="H94" s="784">
        <v>0</v>
      </c>
      <c r="I94" s="804">
        <v>0</v>
      </c>
      <c r="J94" s="784">
        <f t="shared" si="8"/>
        <v>9920000</v>
      </c>
      <c r="K94" s="772">
        <v>12420857</v>
      </c>
      <c r="L94" s="772"/>
      <c r="M94" s="769"/>
      <c r="N94" s="769"/>
      <c r="O94" s="769"/>
      <c r="P94" s="769"/>
      <c r="Q94" s="769"/>
      <c r="R94" s="769"/>
      <c r="S94" s="769"/>
      <c r="T94" s="769"/>
      <c r="U94" s="769"/>
      <c r="V94" s="769"/>
      <c r="W94" s="769"/>
      <c r="X94" s="769"/>
      <c r="Y94" s="769"/>
      <c r="Z94" s="769"/>
    </row>
    <row r="95" spans="1:26" ht="18.75" x14ac:dyDescent="0.3">
      <c r="A95" s="781"/>
      <c r="B95" s="769"/>
      <c r="C95" s="786" t="s">
        <v>24</v>
      </c>
      <c r="D95" s="787" t="s">
        <v>25</v>
      </c>
      <c r="E95" s="784">
        <f>'[4]SUMMARY BY OBJECT OF EXP. (CO)'!O91</f>
        <v>0</v>
      </c>
      <c r="F95" s="784">
        <f>'[4]SUMMARY BY OBJECT OF EXP. (CO)'!O156</f>
        <v>0</v>
      </c>
      <c r="G95" s="784">
        <f>'[4]SUMMARY BY OBJECT OF EXP. (CO)'!O201</f>
        <v>38175088</v>
      </c>
      <c r="H95" s="784">
        <v>0</v>
      </c>
      <c r="I95" s="804">
        <v>0</v>
      </c>
      <c r="J95" s="784">
        <f t="shared" si="8"/>
        <v>38175088</v>
      </c>
      <c r="K95" s="772"/>
      <c r="L95" s="772"/>
      <c r="M95" s="769"/>
      <c r="N95" s="769"/>
      <c r="O95" s="769"/>
      <c r="P95" s="769"/>
      <c r="Q95" s="769"/>
      <c r="R95" s="769"/>
      <c r="S95" s="769"/>
      <c r="T95" s="769"/>
      <c r="U95" s="769"/>
      <c r="V95" s="769"/>
      <c r="W95" s="769"/>
      <c r="X95" s="769"/>
      <c r="Y95" s="769"/>
      <c r="Z95" s="769"/>
    </row>
    <row r="96" spans="1:26" ht="18.75" x14ac:dyDescent="0.3">
      <c r="A96" s="781"/>
      <c r="B96" s="769"/>
      <c r="C96" s="786" t="s">
        <v>2874</v>
      </c>
      <c r="D96" s="787" t="s">
        <v>27</v>
      </c>
      <c r="E96" s="784">
        <f>'[4]SUMMARY BY OBJECT OF EXP. (CO)'!P91</f>
        <v>0</v>
      </c>
      <c r="F96" s="784">
        <f>'[4]SUMMARY BY OBJECT OF EXP. (CO)'!P156</f>
        <v>0</v>
      </c>
      <c r="G96" s="784">
        <f>'[4]SUMMARY BY OBJECT OF EXP. (CO)'!P201</f>
        <v>106046627</v>
      </c>
      <c r="H96" s="784">
        <v>0</v>
      </c>
      <c r="I96" s="804"/>
      <c r="J96" s="784">
        <f t="shared" si="8"/>
        <v>106046627</v>
      </c>
      <c r="K96" s="772">
        <v>189104763</v>
      </c>
      <c r="L96" s="772"/>
      <c r="M96" s="769"/>
      <c r="N96" s="769"/>
      <c r="O96" s="769"/>
      <c r="P96" s="769"/>
      <c r="Q96" s="769"/>
      <c r="R96" s="769"/>
      <c r="S96" s="769"/>
      <c r="T96" s="769"/>
      <c r="U96" s="769"/>
      <c r="V96" s="769"/>
      <c r="W96" s="769"/>
      <c r="X96" s="769"/>
      <c r="Y96" s="769"/>
      <c r="Z96" s="769"/>
    </row>
    <row r="97" spans="1:26" ht="18.75" x14ac:dyDescent="0.3">
      <c r="A97" s="781"/>
      <c r="B97" s="769"/>
      <c r="C97" s="786" t="s">
        <v>28</v>
      </c>
      <c r="D97" s="787" t="s">
        <v>29</v>
      </c>
      <c r="E97" s="784">
        <f>'[4]SUMMARY BY OBJECT OF EXP. (CO)'!Q91</f>
        <v>0</v>
      </c>
      <c r="F97" s="784">
        <f>'[4]SUMMARY BY OBJECT OF EXP. (CO)'!Q156</f>
        <v>4999947</v>
      </c>
      <c r="G97" s="784">
        <f>'[4]SUMMARY BY OBJECT OF EXP. (CO)'!Q201</f>
        <v>124057280</v>
      </c>
      <c r="H97" s="784">
        <v>0</v>
      </c>
      <c r="I97" s="804">
        <v>0</v>
      </c>
      <c r="J97" s="784">
        <f t="shared" si="8"/>
        <v>129057227</v>
      </c>
      <c r="K97" s="772">
        <v>124057227</v>
      </c>
      <c r="L97" s="772"/>
      <c r="M97" s="769"/>
      <c r="N97" s="769"/>
      <c r="O97" s="769"/>
      <c r="P97" s="769"/>
      <c r="Q97" s="769"/>
      <c r="R97" s="769"/>
      <c r="S97" s="769"/>
      <c r="T97" s="769"/>
      <c r="U97" s="769"/>
      <c r="V97" s="769"/>
      <c r="W97" s="769"/>
      <c r="X97" s="769"/>
      <c r="Y97" s="769"/>
      <c r="Z97" s="769"/>
    </row>
    <row r="98" spans="1:26" ht="18.75" x14ac:dyDescent="0.3">
      <c r="A98" s="781"/>
      <c r="B98" s="769"/>
      <c r="C98" s="786" t="s">
        <v>30</v>
      </c>
      <c r="D98" s="787" t="s">
        <v>31</v>
      </c>
      <c r="E98" s="784">
        <f>'[4]SUMMARY BY OBJECT OF EXP. (CO)'!R91</f>
        <v>0</v>
      </c>
      <c r="F98" s="784">
        <f>'[4]SUMMARY BY OBJECT OF EXP. (CO)'!R156</f>
        <v>0</v>
      </c>
      <c r="G98" s="784">
        <f>'[4]SUMMARY BY OBJECT OF EXP. (CO)'!R201</f>
        <v>49006502</v>
      </c>
      <c r="H98" s="784">
        <v>0</v>
      </c>
      <c r="I98" s="804">
        <v>0</v>
      </c>
      <c r="J98" s="784">
        <f t="shared" si="8"/>
        <v>49006502</v>
      </c>
      <c r="K98" s="772"/>
      <c r="L98" s="772"/>
      <c r="M98" s="769"/>
      <c r="N98" s="769"/>
      <c r="O98" s="769"/>
      <c r="P98" s="769"/>
      <c r="Q98" s="769"/>
      <c r="R98" s="769"/>
      <c r="S98" s="769"/>
      <c r="T98" s="769"/>
      <c r="U98" s="769"/>
      <c r="V98" s="769"/>
      <c r="W98" s="769"/>
      <c r="X98" s="769"/>
      <c r="Y98" s="769"/>
      <c r="Z98" s="769"/>
    </row>
    <row r="99" spans="1:26" ht="18.75" x14ac:dyDescent="0.3">
      <c r="A99" s="781"/>
      <c r="B99" s="769"/>
      <c r="C99" s="786" t="s">
        <v>32</v>
      </c>
      <c r="D99" s="787" t="s">
        <v>33</v>
      </c>
      <c r="E99" s="784">
        <v>0</v>
      </c>
      <c r="F99" s="784">
        <v>0</v>
      </c>
      <c r="G99" s="784">
        <f>'[4]SUMMARY BY OBJECT OF EXP. (CO)'!S201</f>
        <v>30430000</v>
      </c>
      <c r="H99" s="784">
        <v>0</v>
      </c>
      <c r="I99" s="804"/>
      <c r="J99" s="784">
        <f t="shared" si="8"/>
        <v>30430000</v>
      </c>
      <c r="K99" s="772"/>
      <c r="L99" s="772"/>
      <c r="M99" s="769"/>
      <c r="N99" s="769"/>
      <c r="O99" s="769"/>
      <c r="P99" s="769"/>
      <c r="Q99" s="769"/>
      <c r="R99" s="769"/>
      <c r="S99" s="769"/>
      <c r="T99" s="769"/>
      <c r="U99" s="769"/>
      <c r="V99" s="769"/>
      <c r="W99" s="769"/>
      <c r="X99" s="769"/>
      <c r="Y99" s="769"/>
      <c r="Z99" s="769"/>
    </row>
    <row r="100" spans="1:26" ht="18.75" x14ac:dyDescent="0.3">
      <c r="A100" s="781"/>
      <c r="B100" s="769"/>
      <c r="C100" s="786" t="s">
        <v>2875</v>
      </c>
      <c r="D100" s="787" t="s">
        <v>35</v>
      </c>
      <c r="E100" s="784">
        <v>0</v>
      </c>
      <c r="F100" s="784">
        <v>0</v>
      </c>
      <c r="G100" s="784">
        <f>'[4]SUMMARY BY OBJECT OF EXP. (CO)'!T201</f>
        <v>33000000</v>
      </c>
      <c r="H100" s="784">
        <v>0</v>
      </c>
      <c r="I100" s="804"/>
      <c r="J100" s="784">
        <f t="shared" si="8"/>
        <v>33000000</v>
      </c>
      <c r="K100" s="772"/>
      <c r="L100" s="772"/>
      <c r="M100" s="769"/>
      <c r="N100" s="769"/>
      <c r="O100" s="769"/>
      <c r="P100" s="769"/>
      <c r="Q100" s="769"/>
      <c r="R100" s="769"/>
      <c r="S100" s="769"/>
      <c r="T100" s="769"/>
      <c r="U100" s="769"/>
      <c r="V100" s="769"/>
      <c r="W100" s="769"/>
      <c r="X100" s="769"/>
      <c r="Y100" s="769"/>
      <c r="Z100" s="769"/>
    </row>
    <row r="101" spans="1:26" ht="18.75" x14ac:dyDescent="0.3">
      <c r="A101" s="781"/>
      <c r="B101" s="769"/>
      <c r="C101" s="786" t="s">
        <v>2876</v>
      </c>
      <c r="D101" s="787" t="s">
        <v>37</v>
      </c>
      <c r="E101" s="784">
        <v>0</v>
      </c>
      <c r="F101" s="784">
        <v>0</v>
      </c>
      <c r="G101" s="784">
        <f>'[4]SUMMARY BY OBJECT OF EXP. (CO)'!U201</f>
        <v>3000000</v>
      </c>
      <c r="H101" s="784">
        <v>0</v>
      </c>
      <c r="I101" s="804"/>
      <c r="J101" s="784">
        <f t="shared" si="8"/>
        <v>3000000</v>
      </c>
      <c r="K101" s="772"/>
      <c r="L101" s="772"/>
      <c r="M101" s="769"/>
      <c r="N101" s="769"/>
      <c r="O101" s="769"/>
      <c r="P101" s="769"/>
      <c r="Q101" s="769"/>
      <c r="R101" s="769"/>
      <c r="S101" s="769"/>
      <c r="T101" s="769"/>
      <c r="U101" s="769"/>
      <c r="V101" s="769"/>
      <c r="W101" s="769"/>
      <c r="X101" s="769"/>
      <c r="Y101" s="769"/>
      <c r="Z101" s="769"/>
    </row>
    <row r="102" spans="1:26" ht="18.75" x14ac:dyDescent="0.3">
      <c r="A102" s="781"/>
      <c r="B102" s="769"/>
      <c r="C102" s="786" t="s">
        <v>40</v>
      </c>
      <c r="D102" s="787" t="s">
        <v>41</v>
      </c>
      <c r="E102" s="784">
        <f>'[4]SUMMARY BY OBJECT OF EXP. (CO)'!W91</f>
        <v>0</v>
      </c>
      <c r="F102" s="784">
        <f>'[4]SUMMARY BY OBJECT OF EXP. (CO)'!W156</f>
        <v>3450000</v>
      </c>
      <c r="G102" s="784">
        <f>'[4]SUMMARY BY OBJECT OF EXP. (CO)'!W201</f>
        <v>104799274</v>
      </c>
      <c r="H102" s="784">
        <v>0</v>
      </c>
      <c r="I102" s="804">
        <v>0</v>
      </c>
      <c r="J102" s="784">
        <f t="shared" si="8"/>
        <v>108249274</v>
      </c>
      <c r="K102" s="772">
        <v>114749274</v>
      </c>
      <c r="L102" s="772"/>
      <c r="M102" s="769"/>
      <c r="N102" s="769"/>
      <c r="O102" s="769"/>
      <c r="P102" s="769"/>
      <c r="Q102" s="769"/>
      <c r="R102" s="769"/>
      <c r="S102" s="769"/>
      <c r="T102" s="769"/>
      <c r="U102" s="769"/>
      <c r="V102" s="769"/>
      <c r="W102" s="769"/>
      <c r="X102" s="769"/>
      <c r="Y102" s="769"/>
      <c r="Z102" s="769"/>
    </row>
    <row r="103" spans="1:26" s="826" customFormat="1" ht="18.75" x14ac:dyDescent="0.3">
      <c r="A103" s="781"/>
      <c r="B103" s="800"/>
      <c r="C103" s="786" t="s">
        <v>44</v>
      </c>
      <c r="D103" s="787" t="s">
        <v>45</v>
      </c>
      <c r="E103" s="784">
        <f>'[4]SUMMARY BY OBJECT OF EXP. (CO)'!Y91</f>
        <v>5130000</v>
      </c>
      <c r="F103" s="784">
        <f>'[4]SUMMARY BY OBJECT OF EXP. (CO)'!Y156</f>
        <v>1253000</v>
      </c>
      <c r="G103" s="784">
        <f>'[4]SUMMARY BY OBJECT OF EXP. (CO)'!Y201</f>
        <v>355000</v>
      </c>
      <c r="H103" s="784">
        <v>0</v>
      </c>
      <c r="I103" s="804">
        <v>0</v>
      </c>
      <c r="J103" s="784">
        <f t="shared" si="8"/>
        <v>6738000</v>
      </c>
      <c r="K103" s="824"/>
      <c r="L103" s="824"/>
      <c r="M103" s="825"/>
      <c r="N103" s="825"/>
      <c r="O103" s="825"/>
      <c r="P103" s="825"/>
      <c r="Q103" s="825"/>
      <c r="R103" s="825"/>
      <c r="S103" s="825"/>
      <c r="T103" s="825"/>
      <c r="U103" s="825"/>
      <c r="V103" s="825"/>
      <c r="W103" s="825"/>
      <c r="X103" s="825"/>
      <c r="Y103" s="825"/>
      <c r="Z103" s="825"/>
    </row>
    <row r="104" spans="1:26" s="829" customFormat="1" ht="18.75" x14ac:dyDescent="0.3">
      <c r="A104" s="781"/>
      <c r="B104" s="800"/>
      <c r="C104" s="786" t="s">
        <v>46</v>
      </c>
      <c r="D104" s="787" t="s">
        <v>47</v>
      </c>
      <c r="E104" s="784">
        <f>'[4]SUMMARY BY OBJECT OF EXP. (CO)'!Z91</f>
        <v>4720524</v>
      </c>
      <c r="F104" s="784">
        <f>'[4]SUMMARY BY OBJECT OF EXP. (CO)'!Z156</f>
        <v>5240850</v>
      </c>
      <c r="G104" s="784">
        <f>'[4]SUMMARY BY OBJECT OF EXP. (CO)'!Z201</f>
        <v>26946857</v>
      </c>
      <c r="H104" s="784">
        <v>0</v>
      </c>
      <c r="I104" s="804">
        <v>0</v>
      </c>
      <c r="J104" s="784">
        <f t="shared" si="8"/>
        <v>36908231</v>
      </c>
      <c r="K104" s="827">
        <v>42608231</v>
      </c>
      <c r="L104" s="827"/>
      <c r="M104" s="828"/>
      <c r="N104" s="828"/>
      <c r="O104" s="828"/>
      <c r="P104" s="828"/>
      <c r="Q104" s="828"/>
      <c r="R104" s="828"/>
      <c r="S104" s="828"/>
      <c r="T104" s="828"/>
      <c r="U104" s="828"/>
      <c r="V104" s="828"/>
      <c r="W104" s="828"/>
      <c r="X104" s="828"/>
      <c r="Y104" s="828"/>
      <c r="Z104" s="828"/>
    </row>
    <row r="105" spans="1:26" ht="18.75" x14ac:dyDescent="0.3">
      <c r="A105" s="781"/>
      <c r="B105" s="769"/>
      <c r="C105" s="786" t="s">
        <v>2877</v>
      </c>
      <c r="D105" s="830" t="s">
        <v>49</v>
      </c>
      <c r="E105" s="784">
        <f>'[4]SUMMARY BY OBJECT OF EXP. (CO)'!AA91</f>
        <v>1099495</v>
      </c>
      <c r="F105" s="784">
        <f>'[4]SUMMARY BY OBJECT OF EXP. (CO)'!AA156</f>
        <v>0</v>
      </c>
      <c r="G105" s="784">
        <f>'[4]SUMMARY BY OBJECT OF EXP. (CO)'!AA201</f>
        <v>0</v>
      </c>
      <c r="H105" s="784">
        <v>0</v>
      </c>
      <c r="I105" s="804">
        <v>0</v>
      </c>
      <c r="J105" s="784">
        <f t="shared" si="8"/>
        <v>1099495</v>
      </c>
      <c r="K105" s="772"/>
      <c r="L105" s="772"/>
      <c r="M105" s="769"/>
      <c r="N105" s="769"/>
      <c r="O105" s="769"/>
      <c r="P105" s="769"/>
      <c r="Q105" s="769"/>
      <c r="R105" s="769"/>
      <c r="S105" s="769"/>
      <c r="T105" s="769"/>
      <c r="U105" s="769"/>
      <c r="V105" s="769"/>
      <c r="W105" s="769"/>
      <c r="X105" s="769"/>
      <c r="Y105" s="769"/>
      <c r="Z105" s="769"/>
    </row>
    <row r="106" spans="1:26" ht="18.75" x14ac:dyDescent="0.3">
      <c r="A106" s="805"/>
      <c r="B106" s="769"/>
      <c r="C106" s="786" t="s">
        <v>50</v>
      </c>
      <c r="D106" s="787" t="s">
        <v>51</v>
      </c>
      <c r="E106" s="784">
        <f>'[4]SUMMARY BY OBJECT OF EXP. (CO)'!AB91</f>
        <v>0</v>
      </c>
      <c r="F106" s="784">
        <f>'[4]SUMMARY BY OBJECT OF EXP. (CO)'!AB156</f>
        <v>0</v>
      </c>
      <c r="G106" s="784">
        <f>'[4]SUMMARY BY OBJECT OF EXP. (CO)'!AB201</f>
        <v>250000</v>
      </c>
      <c r="H106" s="784">
        <v>0</v>
      </c>
      <c r="I106" s="804">
        <v>0</v>
      </c>
      <c r="J106" s="784">
        <f t="shared" si="8"/>
        <v>250000</v>
      </c>
      <c r="K106" s="772"/>
      <c r="L106" s="772"/>
      <c r="M106" s="769"/>
      <c r="N106" s="769"/>
      <c r="O106" s="769"/>
      <c r="P106" s="769"/>
      <c r="Q106" s="769"/>
      <c r="R106" s="769"/>
      <c r="S106" s="769"/>
      <c r="T106" s="769"/>
      <c r="U106" s="769"/>
      <c r="V106" s="769"/>
      <c r="W106" s="769"/>
      <c r="X106" s="769"/>
      <c r="Y106" s="769"/>
      <c r="Z106" s="769"/>
    </row>
    <row r="107" spans="1:26" ht="18.75" x14ac:dyDescent="0.3">
      <c r="A107" s="805"/>
      <c r="B107" s="769"/>
      <c r="C107" s="786" t="s">
        <v>58</v>
      </c>
      <c r="D107" s="787" t="s">
        <v>52</v>
      </c>
      <c r="E107" s="784">
        <f>'[4]SUMMARY BY OBJECT OF EXP. (CO)'!AE91</f>
        <v>268000</v>
      </c>
      <c r="F107" s="784">
        <f>'[4]SUMMARY BY OBJECT OF EXP. (CO)'!AE156</f>
        <v>4525000</v>
      </c>
      <c r="G107" s="784">
        <f>'[4]SUMMARY BY OBJECT OF EXP. (CO)'!AE201</f>
        <v>555000</v>
      </c>
      <c r="H107" s="784">
        <v>0</v>
      </c>
      <c r="I107" s="804">
        <v>0</v>
      </c>
      <c r="J107" s="784">
        <f t="shared" si="8"/>
        <v>5348000</v>
      </c>
      <c r="K107" s="772">
        <v>5408000</v>
      </c>
      <c r="L107" s="772"/>
      <c r="M107" s="769"/>
      <c r="N107" s="769"/>
      <c r="O107" s="769"/>
      <c r="P107" s="769"/>
      <c r="Q107" s="769"/>
      <c r="R107" s="769"/>
      <c r="S107" s="769"/>
      <c r="T107" s="769"/>
      <c r="U107" s="769"/>
      <c r="V107" s="769"/>
      <c r="W107" s="769"/>
      <c r="X107" s="769"/>
      <c r="Y107" s="769"/>
      <c r="Z107" s="769"/>
    </row>
    <row r="108" spans="1:26" ht="18.75" x14ac:dyDescent="0.3">
      <c r="A108" s="805"/>
      <c r="B108" s="769"/>
      <c r="C108" s="786" t="s">
        <v>59</v>
      </c>
      <c r="D108" s="787" t="s">
        <v>60</v>
      </c>
      <c r="E108" s="784">
        <f>'[4]SUMMARY BY OBJECT OF EXP. (CO)'!AF91</f>
        <v>0</v>
      </c>
      <c r="F108" s="784">
        <f>'[4]SUMMARY BY OBJECT OF EXP. (CO)'!AF156</f>
        <v>0</v>
      </c>
      <c r="G108" s="784">
        <f>'[4]SUMMARY BY OBJECT OF EXP. (CO)'!AF201</f>
        <v>5500000</v>
      </c>
      <c r="H108" s="784">
        <v>0</v>
      </c>
      <c r="I108" s="804">
        <v>0</v>
      </c>
      <c r="J108" s="784">
        <f t="shared" si="8"/>
        <v>5500000</v>
      </c>
      <c r="K108" s="772"/>
      <c r="L108" s="772"/>
      <c r="M108" s="769"/>
      <c r="N108" s="769"/>
      <c r="O108" s="769"/>
      <c r="P108" s="769"/>
      <c r="Q108" s="769"/>
      <c r="R108" s="769"/>
      <c r="S108" s="769"/>
      <c r="T108" s="769"/>
      <c r="U108" s="769"/>
      <c r="V108" s="769"/>
      <c r="W108" s="769"/>
      <c r="X108" s="769"/>
      <c r="Y108" s="769"/>
      <c r="Z108" s="769"/>
    </row>
    <row r="109" spans="1:26" ht="18.75" x14ac:dyDescent="0.3">
      <c r="A109" s="805"/>
      <c r="B109" s="769"/>
      <c r="C109" s="786" t="s">
        <v>2878</v>
      </c>
      <c r="D109" s="787" t="s">
        <v>62</v>
      </c>
      <c r="E109" s="784">
        <f>'[4]SUMMARY BY OBJECT OF EXP. (CO)'!AG91</f>
        <v>0</v>
      </c>
      <c r="F109" s="784">
        <f>'[4]SUMMARY BY OBJECT OF EXP. (CO)'!AG156</f>
        <v>37930000</v>
      </c>
      <c r="G109" s="784">
        <f>'[4]SUMMARY BY OBJECT OF EXP. (CO)'!AG201</f>
        <v>0</v>
      </c>
      <c r="H109" s="784">
        <v>0</v>
      </c>
      <c r="I109" s="804"/>
      <c r="J109" s="784">
        <f t="shared" si="8"/>
        <v>37930000</v>
      </c>
      <c r="K109" s="772"/>
      <c r="L109" s="772"/>
      <c r="M109" s="769"/>
      <c r="N109" s="769"/>
      <c r="O109" s="769"/>
      <c r="P109" s="769"/>
      <c r="Q109" s="769"/>
      <c r="R109" s="769"/>
      <c r="S109" s="769"/>
      <c r="T109" s="769"/>
      <c r="U109" s="769"/>
      <c r="V109" s="769"/>
      <c r="W109" s="769"/>
      <c r="X109" s="769"/>
      <c r="Y109" s="769"/>
      <c r="Z109" s="769"/>
    </row>
    <row r="110" spans="1:26" s="826" customFormat="1" ht="18.75" x14ac:dyDescent="0.3">
      <c r="A110" s="805"/>
      <c r="B110" s="800"/>
      <c r="C110" s="800" t="s">
        <v>2879</v>
      </c>
      <c r="D110" s="801" t="s">
        <v>64</v>
      </c>
      <c r="E110" s="802">
        <f>+'[4]SUMMARY BY OBJECT OF EXP. (CO)'!AH91</f>
        <v>5760000</v>
      </c>
      <c r="F110" s="803">
        <v>0</v>
      </c>
      <c r="G110" s="803">
        <v>0</v>
      </c>
      <c r="H110" s="802">
        <v>0</v>
      </c>
      <c r="I110" s="802"/>
      <c r="J110" s="803">
        <f t="shared" si="8"/>
        <v>5760000</v>
      </c>
      <c r="K110" s="824"/>
      <c r="L110" s="824"/>
      <c r="M110" s="825"/>
      <c r="N110" s="825"/>
      <c r="O110" s="825"/>
      <c r="P110" s="825"/>
      <c r="Q110" s="825"/>
      <c r="R110" s="825"/>
      <c r="S110" s="825"/>
      <c r="T110" s="825"/>
      <c r="U110" s="825"/>
      <c r="V110" s="825"/>
      <c r="W110" s="825"/>
      <c r="X110" s="825"/>
      <c r="Y110" s="825"/>
      <c r="Z110" s="825"/>
    </row>
    <row r="111" spans="1:26" s="829" customFormat="1" ht="18.75" x14ac:dyDescent="0.3">
      <c r="A111" s="805"/>
      <c r="B111" s="800"/>
      <c r="C111" s="800" t="s">
        <v>2880</v>
      </c>
      <c r="D111" s="801" t="s">
        <v>66</v>
      </c>
      <c r="E111" s="802">
        <f>'[4]SUMMARY BY OBJECT OF EXP. (CO)'!AI91</f>
        <v>0</v>
      </c>
      <c r="F111" s="803">
        <f>'[4]SUMMARY BY OBJECT OF EXP. (CO)'!AI156</f>
        <v>27465400</v>
      </c>
      <c r="G111" s="803">
        <f>'[4]SUMMARY BY OBJECT OF EXP. (CO)'!AI201</f>
        <v>0</v>
      </c>
      <c r="H111" s="802">
        <v>0</v>
      </c>
      <c r="I111" s="802"/>
      <c r="J111" s="803">
        <f t="shared" si="8"/>
        <v>27465400</v>
      </c>
      <c r="K111" s="827"/>
      <c r="L111" s="827"/>
      <c r="M111" s="828"/>
      <c r="N111" s="828"/>
      <c r="O111" s="828"/>
      <c r="P111" s="828"/>
      <c r="Q111" s="828"/>
      <c r="R111" s="828"/>
      <c r="S111" s="828"/>
      <c r="T111" s="828"/>
      <c r="U111" s="828"/>
      <c r="V111" s="828"/>
      <c r="W111" s="828"/>
      <c r="X111" s="828"/>
      <c r="Y111" s="828"/>
      <c r="Z111" s="828"/>
    </row>
    <row r="112" spans="1:26" ht="18.75" x14ac:dyDescent="0.3">
      <c r="A112" s="805"/>
      <c r="B112" s="769"/>
      <c r="C112" s="786" t="s">
        <v>71</v>
      </c>
      <c r="D112" s="787" t="s">
        <v>72</v>
      </c>
      <c r="E112" s="784">
        <f>'[4]SUMMARY BY OBJECT OF EXP. (CO)'!AL91</f>
        <v>0</v>
      </c>
      <c r="F112" s="784">
        <f>'[4]SUMMARY BY OBJECT OF EXP. (CO)'!AL156</f>
        <v>5115000</v>
      </c>
      <c r="G112" s="784">
        <f>'[4]SUMMARY BY OBJECT OF EXP. (CO)'!AL201</f>
        <v>0</v>
      </c>
      <c r="H112" s="784">
        <v>0</v>
      </c>
      <c r="I112" s="804">
        <v>0</v>
      </c>
      <c r="J112" s="784">
        <f t="shared" si="8"/>
        <v>5115000</v>
      </c>
      <c r="K112" s="772"/>
      <c r="L112" s="772"/>
      <c r="M112" s="769"/>
      <c r="N112" s="769"/>
      <c r="O112" s="769"/>
      <c r="P112" s="769"/>
      <c r="Q112" s="769"/>
      <c r="R112" s="769"/>
      <c r="S112" s="769"/>
      <c r="T112" s="769"/>
      <c r="U112" s="769"/>
      <c r="V112" s="769"/>
      <c r="W112" s="769"/>
      <c r="X112" s="769"/>
      <c r="Y112" s="769"/>
      <c r="Z112" s="769"/>
    </row>
    <row r="113" spans="1:26" ht="18.75" x14ac:dyDescent="0.3">
      <c r="A113" s="805"/>
      <c r="B113" s="769"/>
      <c r="C113" s="786" t="s">
        <v>73</v>
      </c>
      <c r="D113" s="787" t="s">
        <v>74</v>
      </c>
      <c r="E113" s="784">
        <f>'[4]SUMMARY BY OBJECT OF EXP. (CO)'!AM91</f>
        <v>0</v>
      </c>
      <c r="F113" s="784">
        <f>'[4]SUMMARY BY OBJECT OF EXP. (CO)'!AM156</f>
        <v>16054200</v>
      </c>
      <c r="G113" s="784">
        <f>'[4]SUMMARY BY OBJECT OF EXP. (CO)'!AM201</f>
        <v>2428855</v>
      </c>
      <c r="H113" s="784">
        <v>0</v>
      </c>
      <c r="I113" s="804">
        <v>0</v>
      </c>
      <c r="J113" s="784">
        <f t="shared" si="8"/>
        <v>18483055</v>
      </c>
      <c r="K113" s="772">
        <v>19883055</v>
      </c>
      <c r="L113" s="772"/>
      <c r="M113" s="769"/>
      <c r="N113" s="769"/>
      <c r="O113" s="769"/>
      <c r="P113" s="769"/>
      <c r="Q113" s="769"/>
      <c r="R113" s="769"/>
      <c r="S113" s="769"/>
      <c r="T113" s="769"/>
      <c r="U113" s="769"/>
      <c r="V113" s="769"/>
      <c r="W113" s="769"/>
      <c r="X113" s="769"/>
      <c r="Y113" s="769"/>
      <c r="Z113" s="769"/>
    </row>
    <row r="114" spans="1:26" ht="18.75" x14ac:dyDescent="0.3">
      <c r="A114" s="805"/>
      <c r="B114" s="769"/>
      <c r="C114" s="786" t="s">
        <v>75</v>
      </c>
      <c r="D114" s="787" t="s">
        <v>55</v>
      </c>
      <c r="E114" s="784">
        <f>'[4]SUMMARY BY OBJECT OF EXP. (CO)'!AN91</f>
        <v>48400000</v>
      </c>
      <c r="F114" s="784">
        <f>'[4]SUMMARY BY OBJECT OF EXP. (CO)'!AN156</f>
        <v>26100000</v>
      </c>
      <c r="G114" s="784">
        <f>'[4]SUMMARY BY OBJECT OF EXP. (CO)'!AN201</f>
        <v>1400000</v>
      </c>
      <c r="H114" s="784">
        <v>0</v>
      </c>
      <c r="I114" s="804">
        <v>360000</v>
      </c>
      <c r="J114" s="784">
        <f t="shared" si="8"/>
        <v>75900000</v>
      </c>
      <c r="K114" s="772">
        <v>7535000</v>
      </c>
      <c r="L114" s="772"/>
      <c r="M114" s="769"/>
      <c r="N114" s="769"/>
      <c r="O114" s="769"/>
      <c r="P114" s="769"/>
      <c r="Q114" s="769"/>
      <c r="R114" s="769"/>
      <c r="S114" s="769"/>
      <c r="T114" s="769"/>
      <c r="U114" s="769"/>
      <c r="V114" s="769"/>
      <c r="W114" s="769"/>
      <c r="X114" s="769"/>
      <c r="Y114" s="769"/>
      <c r="Z114" s="769"/>
    </row>
    <row r="115" spans="1:26" ht="18.75" x14ac:dyDescent="0.3">
      <c r="A115" s="781"/>
      <c r="B115" s="769"/>
      <c r="C115" s="786" t="s">
        <v>80</v>
      </c>
      <c r="D115" s="787" t="s">
        <v>81</v>
      </c>
      <c r="E115" s="784">
        <f>'[4]SUMMARY BY OBJECT OF EXP. (CO)'!AQ91</f>
        <v>0</v>
      </c>
      <c r="F115" s="784">
        <f>'[4]SUMMARY BY OBJECT OF EXP. (CO)'!AQ156</f>
        <v>6550000</v>
      </c>
      <c r="G115" s="784">
        <f>'[4]SUMMARY BY OBJECT OF EXP. (CO)'!AQ201</f>
        <v>0</v>
      </c>
      <c r="H115" s="784">
        <v>0</v>
      </c>
      <c r="I115" s="804">
        <v>0</v>
      </c>
      <c r="J115" s="784">
        <f t="shared" si="8"/>
        <v>6550000</v>
      </c>
      <c r="K115" s="772"/>
      <c r="L115" s="772"/>
      <c r="M115" s="769"/>
      <c r="N115" s="769"/>
      <c r="O115" s="769"/>
      <c r="P115" s="769"/>
      <c r="Q115" s="769"/>
      <c r="R115" s="769"/>
      <c r="S115" s="769"/>
      <c r="T115" s="769"/>
      <c r="U115" s="769"/>
      <c r="V115" s="769"/>
      <c r="W115" s="769"/>
      <c r="X115" s="769"/>
      <c r="Y115" s="769"/>
      <c r="Z115" s="769"/>
    </row>
    <row r="116" spans="1:26" ht="18.75" x14ac:dyDescent="0.3">
      <c r="A116" s="781"/>
      <c r="B116" s="769"/>
      <c r="C116" s="786" t="s">
        <v>2881</v>
      </c>
      <c r="D116" s="787" t="s">
        <v>83</v>
      </c>
      <c r="E116" s="784">
        <f>'[4]SUMMARY BY OBJECT OF EXP. (CO)'!AR91</f>
        <v>100000</v>
      </c>
      <c r="F116" s="784">
        <f>'[4]SUMMARY BY OBJECT OF EXP. (CO)'!AR156</f>
        <v>10300000</v>
      </c>
      <c r="G116" s="784">
        <f>'[4]SUMMARY BY OBJECT OF EXP. (CO)'!AR201</f>
        <v>3440000</v>
      </c>
      <c r="H116" s="784">
        <v>0</v>
      </c>
      <c r="I116" s="804"/>
      <c r="J116" s="784">
        <f t="shared" si="8"/>
        <v>13840000</v>
      </c>
      <c r="K116" s="772"/>
      <c r="L116" s="772"/>
      <c r="M116" s="769"/>
      <c r="N116" s="769"/>
      <c r="O116" s="769"/>
      <c r="P116" s="769"/>
      <c r="Q116" s="769"/>
      <c r="R116" s="769"/>
      <c r="S116" s="769"/>
      <c r="T116" s="769"/>
      <c r="U116" s="769"/>
      <c r="V116" s="769"/>
      <c r="W116" s="769"/>
      <c r="X116" s="769"/>
      <c r="Y116" s="769"/>
      <c r="Z116" s="769"/>
    </row>
    <row r="117" spans="1:26" ht="18.75" x14ac:dyDescent="0.3">
      <c r="A117" s="781"/>
      <c r="B117" s="769"/>
      <c r="C117" s="786" t="s">
        <v>84</v>
      </c>
      <c r="D117" s="787" t="s">
        <v>85</v>
      </c>
      <c r="E117" s="784">
        <f>'[4]SUMMARY BY OBJECT OF EXP. (CO)'!AS91</f>
        <v>240000</v>
      </c>
      <c r="F117" s="784">
        <f>'[4]SUMMARY BY OBJECT OF EXP. (CO)'!AS156</f>
        <v>0</v>
      </c>
      <c r="G117" s="784">
        <f>'[4]SUMMARY BY OBJECT OF EXP. (CO)'!AS201</f>
        <v>500000</v>
      </c>
      <c r="H117" s="784">
        <v>0</v>
      </c>
      <c r="I117" s="804">
        <v>0</v>
      </c>
      <c r="J117" s="784">
        <f t="shared" si="8"/>
        <v>740000</v>
      </c>
      <c r="K117" s="772"/>
      <c r="L117" s="772"/>
      <c r="M117" s="769"/>
      <c r="N117" s="769"/>
      <c r="O117" s="769"/>
      <c r="P117" s="769"/>
      <c r="Q117" s="769"/>
      <c r="R117" s="769"/>
      <c r="S117" s="769"/>
      <c r="T117" s="769"/>
      <c r="U117" s="769"/>
      <c r="V117" s="769"/>
      <c r="W117" s="769"/>
      <c r="X117" s="769"/>
      <c r="Y117" s="769"/>
      <c r="Z117" s="769"/>
    </row>
    <row r="118" spans="1:26" ht="18.75" x14ac:dyDescent="0.3">
      <c r="A118" s="781"/>
      <c r="B118" s="769"/>
      <c r="C118" s="786" t="s">
        <v>106</v>
      </c>
      <c r="D118" s="787" t="s">
        <v>107</v>
      </c>
      <c r="E118" s="784">
        <f>'[4]SUMMARY BY OBJECT OF EXP. (CO)'!AV91</f>
        <v>2650000</v>
      </c>
      <c r="F118" s="784">
        <f>'[4]SUMMARY BY OBJECT OF EXP. (CO)'!AV156</f>
        <v>3980000</v>
      </c>
      <c r="G118" s="784">
        <f>'[4]SUMMARY BY OBJECT OF EXP. (CO)'!AV201</f>
        <v>0</v>
      </c>
      <c r="H118" s="784">
        <v>0</v>
      </c>
      <c r="I118" s="804">
        <v>0</v>
      </c>
      <c r="J118" s="784">
        <f t="shared" si="8"/>
        <v>6630000</v>
      </c>
      <c r="K118" s="772">
        <v>5780000</v>
      </c>
      <c r="L118" s="772"/>
      <c r="M118" s="769"/>
      <c r="N118" s="769"/>
      <c r="O118" s="769"/>
      <c r="P118" s="769"/>
      <c r="Q118" s="769"/>
      <c r="R118" s="769"/>
      <c r="S118" s="769"/>
      <c r="T118" s="769"/>
      <c r="U118" s="769"/>
      <c r="V118" s="769"/>
      <c r="W118" s="769"/>
      <c r="X118" s="769"/>
      <c r="Y118" s="769"/>
      <c r="Z118" s="769"/>
    </row>
    <row r="119" spans="1:26" ht="18.75" x14ac:dyDescent="0.3">
      <c r="A119" s="781"/>
      <c r="B119" s="769"/>
      <c r="C119" s="786" t="s">
        <v>118</v>
      </c>
      <c r="D119" s="787" t="s">
        <v>119</v>
      </c>
      <c r="E119" s="784">
        <f>'[4]SUMMARY BY OBJECT OF EXP. (CO)'!BC91</f>
        <v>750000</v>
      </c>
      <c r="F119" s="784">
        <f>'[4]SUMMARY BY OBJECT OF EXP. (CO)'!BC156</f>
        <v>0</v>
      </c>
      <c r="G119" s="784">
        <f>'[4]SUMMARY BY OBJECT OF EXP. (CO)'!BC201</f>
        <v>0</v>
      </c>
      <c r="H119" s="784">
        <v>0</v>
      </c>
      <c r="I119" s="804">
        <v>0</v>
      </c>
      <c r="J119" s="784">
        <f t="shared" si="8"/>
        <v>750000</v>
      </c>
      <c r="K119" s="772"/>
      <c r="L119" s="772"/>
      <c r="M119" s="769"/>
      <c r="N119" s="769"/>
      <c r="O119" s="769"/>
      <c r="P119" s="769"/>
      <c r="Q119" s="769"/>
      <c r="R119" s="769"/>
      <c r="S119" s="769"/>
      <c r="T119" s="769"/>
      <c r="U119" s="769"/>
      <c r="V119" s="769"/>
      <c r="W119" s="769"/>
      <c r="X119" s="769"/>
      <c r="Y119" s="769"/>
      <c r="Z119" s="769"/>
    </row>
    <row r="120" spans="1:26" ht="18.75" x14ac:dyDescent="0.3">
      <c r="A120" s="781"/>
      <c r="B120" s="769"/>
      <c r="C120" s="786" t="s">
        <v>2882</v>
      </c>
      <c r="D120" s="787" t="s">
        <v>1758</v>
      </c>
      <c r="E120" s="784">
        <f>'[4]SUMMARY BY OBJECT OF EXP. (CO)'!BB91</f>
        <v>0</v>
      </c>
      <c r="F120" s="784">
        <f>'[4]SUMMARY BY OBJECT OF EXP. (CO)'!BB156</f>
        <v>11900000</v>
      </c>
      <c r="G120" s="784">
        <f>'[4]SUMMARY BY OBJECT OF EXP. (CO)'!BB201</f>
        <v>0</v>
      </c>
      <c r="H120" s="799"/>
      <c r="I120" s="831"/>
      <c r="J120" s="784">
        <f t="shared" si="8"/>
        <v>11900000</v>
      </c>
      <c r="K120" s="772"/>
      <c r="L120" s="772"/>
      <c r="M120" s="769"/>
      <c r="N120" s="769"/>
      <c r="O120" s="769"/>
      <c r="P120" s="769"/>
      <c r="Q120" s="769"/>
      <c r="R120" s="769"/>
      <c r="S120" s="769"/>
      <c r="T120" s="769"/>
      <c r="U120" s="769"/>
      <c r="V120" s="769"/>
      <c r="W120" s="769"/>
      <c r="X120" s="769"/>
      <c r="Y120" s="769"/>
      <c r="Z120" s="769"/>
    </row>
    <row r="121" spans="1:26" s="822" customFormat="1" ht="18.75" x14ac:dyDescent="0.3">
      <c r="A121" s="793"/>
      <c r="B121" s="794"/>
      <c r="C121" s="795" t="s">
        <v>2883</v>
      </c>
      <c r="D121" s="796"/>
      <c r="E121" s="797">
        <f>SUM(E91:E120)</f>
        <v>70018019</v>
      </c>
      <c r="F121" s="797">
        <f t="shared" ref="F121:J121" si="9">SUM(F91:F120)</f>
        <v>164863397</v>
      </c>
      <c r="G121" s="797">
        <f t="shared" si="9"/>
        <v>1302542386</v>
      </c>
      <c r="H121" s="797">
        <f t="shared" si="9"/>
        <v>0</v>
      </c>
      <c r="I121" s="797">
        <f t="shared" si="9"/>
        <v>360000</v>
      </c>
      <c r="J121" s="797">
        <f t="shared" si="9"/>
        <v>1537423802</v>
      </c>
      <c r="K121" s="821">
        <f>SUM(K92:K120)</f>
        <v>1010098485</v>
      </c>
      <c r="L121" s="821"/>
      <c r="M121" s="794"/>
      <c r="N121" s="794"/>
      <c r="O121" s="794"/>
      <c r="P121" s="794"/>
      <c r="Q121" s="794"/>
      <c r="R121" s="794"/>
      <c r="S121" s="794"/>
      <c r="T121" s="794"/>
      <c r="U121" s="794"/>
      <c r="V121" s="794"/>
      <c r="W121" s="794"/>
      <c r="X121" s="794"/>
      <c r="Y121" s="794"/>
      <c r="Z121" s="794"/>
    </row>
    <row r="122" spans="1:26" ht="18.75" x14ac:dyDescent="0.3">
      <c r="A122" s="781"/>
      <c r="B122" s="769"/>
      <c r="C122" s="786"/>
      <c r="D122" s="787"/>
      <c r="E122" s="799"/>
      <c r="F122" s="799"/>
      <c r="G122" s="799"/>
      <c r="H122" s="799"/>
      <c r="I122" s="792"/>
      <c r="J122" s="799"/>
      <c r="K122" s="772"/>
      <c r="L122" s="772"/>
      <c r="M122" s="769"/>
      <c r="N122" s="769"/>
      <c r="O122" s="769"/>
      <c r="P122" s="769"/>
      <c r="Q122" s="769"/>
      <c r="R122" s="769"/>
      <c r="S122" s="769"/>
      <c r="T122" s="769"/>
      <c r="U122" s="769"/>
      <c r="V122" s="769"/>
      <c r="W122" s="769"/>
      <c r="X122" s="769"/>
      <c r="Y122" s="769"/>
      <c r="Z122" s="769"/>
    </row>
    <row r="123" spans="1:26" ht="18.75" x14ac:dyDescent="0.3">
      <c r="A123" s="832"/>
      <c r="B123" s="833"/>
      <c r="C123" s="834" t="s">
        <v>487</v>
      </c>
      <c r="D123" s="835"/>
      <c r="E123" s="836">
        <f>E86+E88+E90+E121</f>
        <v>1603536472</v>
      </c>
      <c r="F123" s="836">
        <f t="shared" ref="F123:J123" si="10">F86+F88+F90+F121</f>
        <v>2369629844</v>
      </c>
      <c r="G123" s="836">
        <f t="shared" si="10"/>
        <v>2321662110</v>
      </c>
      <c r="H123" s="836">
        <f t="shared" si="10"/>
        <v>246990964.62</v>
      </c>
      <c r="I123" s="836">
        <f t="shared" si="10"/>
        <v>82901568</v>
      </c>
      <c r="J123" s="836">
        <f t="shared" si="10"/>
        <v>6541819390.6199999</v>
      </c>
      <c r="K123" s="772"/>
      <c r="L123" s="772"/>
      <c r="M123" s="769"/>
      <c r="N123" s="769"/>
      <c r="O123" s="769"/>
      <c r="P123" s="769"/>
      <c r="Q123" s="769"/>
      <c r="R123" s="769"/>
      <c r="S123" s="769"/>
      <c r="T123" s="769"/>
      <c r="U123" s="769"/>
      <c r="V123" s="769"/>
      <c r="W123" s="769"/>
      <c r="X123" s="769"/>
      <c r="Y123" s="769"/>
      <c r="Z123" s="769"/>
    </row>
    <row r="124" spans="1:26" ht="18.75" x14ac:dyDescent="0.3">
      <c r="A124" s="777"/>
      <c r="B124" s="777"/>
      <c r="C124" s="777"/>
      <c r="D124" s="837"/>
      <c r="E124" s="838"/>
      <c r="F124" s="838"/>
      <c r="G124" s="838"/>
      <c r="H124" s="838"/>
      <c r="I124" s="838"/>
      <c r="J124" s="839"/>
      <c r="K124" s="772"/>
      <c r="L124" s="769"/>
      <c r="M124" s="769"/>
      <c r="N124" s="769"/>
      <c r="O124" s="769"/>
      <c r="P124" s="769"/>
      <c r="Q124" s="769"/>
      <c r="R124" s="769"/>
      <c r="S124" s="769"/>
      <c r="T124" s="769"/>
      <c r="U124" s="769"/>
      <c r="V124" s="769"/>
      <c r="W124" s="769"/>
      <c r="X124" s="769"/>
      <c r="Y124" s="769"/>
      <c r="Z124" s="769"/>
    </row>
    <row r="125" spans="1:26" ht="18.75" x14ac:dyDescent="0.3">
      <c r="A125" s="769"/>
      <c r="B125" s="769"/>
      <c r="C125" s="769" t="s">
        <v>2884</v>
      </c>
      <c r="D125" s="771"/>
      <c r="E125" s="772"/>
      <c r="F125" s="772"/>
      <c r="G125" s="772" t="s">
        <v>2885</v>
      </c>
      <c r="H125" s="772"/>
      <c r="I125" s="772"/>
      <c r="J125" s="840"/>
      <c r="K125" s="772"/>
      <c r="L125" s="769"/>
      <c r="M125" s="769"/>
      <c r="N125" s="769"/>
      <c r="O125" s="769"/>
      <c r="P125" s="769"/>
      <c r="Q125" s="769"/>
      <c r="R125" s="769"/>
      <c r="S125" s="769"/>
      <c r="T125" s="769"/>
      <c r="U125" s="769"/>
      <c r="V125" s="769"/>
      <c r="W125" s="769"/>
      <c r="X125" s="769"/>
      <c r="Y125" s="769"/>
      <c r="Z125" s="769"/>
    </row>
    <row r="126" spans="1:26" ht="18.75" x14ac:dyDescent="0.3">
      <c r="A126" s="769"/>
      <c r="B126" s="769"/>
      <c r="C126" s="769"/>
      <c r="D126" s="771"/>
      <c r="E126" s="772"/>
      <c r="F126" s="772"/>
      <c r="G126" s="772"/>
      <c r="H126" s="772"/>
      <c r="I126" s="772"/>
      <c r="J126" s="840"/>
      <c r="K126" s="772"/>
      <c r="L126" s="769"/>
      <c r="M126" s="769"/>
      <c r="N126" s="769"/>
      <c r="O126" s="769"/>
      <c r="P126" s="769"/>
      <c r="Q126" s="769"/>
      <c r="R126" s="769"/>
      <c r="S126" s="769"/>
      <c r="T126" s="769"/>
      <c r="U126" s="769"/>
      <c r="V126" s="769"/>
      <c r="W126" s="769"/>
      <c r="X126" s="769"/>
      <c r="Y126" s="769"/>
      <c r="Z126" s="769"/>
    </row>
    <row r="127" spans="1:26" ht="18.75" x14ac:dyDescent="0.3">
      <c r="A127" s="769"/>
      <c r="B127" s="769"/>
      <c r="C127" s="769"/>
      <c r="D127" s="771"/>
      <c r="E127" s="772"/>
      <c r="F127" s="772"/>
      <c r="G127" s="772"/>
      <c r="H127" s="772"/>
      <c r="I127" s="772"/>
      <c r="J127" s="841"/>
      <c r="K127" s="772"/>
      <c r="L127" s="769"/>
      <c r="M127" s="769"/>
      <c r="N127" s="769"/>
      <c r="O127" s="769"/>
      <c r="P127" s="769"/>
      <c r="Q127" s="769"/>
      <c r="R127" s="769"/>
      <c r="S127" s="769"/>
      <c r="T127" s="769"/>
      <c r="U127" s="769"/>
      <c r="V127" s="769"/>
      <c r="W127" s="769"/>
      <c r="X127" s="769"/>
      <c r="Y127" s="769"/>
      <c r="Z127" s="769"/>
    </row>
    <row r="128" spans="1:26" ht="18.75" x14ac:dyDescent="0.3">
      <c r="A128" s="769"/>
      <c r="B128" s="769"/>
      <c r="C128" s="769"/>
      <c r="D128" s="771"/>
      <c r="E128" s="772"/>
      <c r="F128" s="772"/>
      <c r="G128" s="772"/>
      <c r="H128" s="772"/>
      <c r="I128" s="772"/>
      <c r="J128" s="831"/>
      <c r="K128" s="772"/>
      <c r="L128" s="769"/>
      <c r="M128" s="769"/>
      <c r="N128" s="769"/>
      <c r="O128" s="769"/>
      <c r="P128" s="769"/>
      <c r="Q128" s="769"/>
      <c r="R128" s="769"/>
      <c r="S128" s="769"/>
      <c r="T128" s="769"/>
      <c r="U128" s="769"/>
      <c r="V128" s="769"/>
      <c r="W128" s="769"/>
      <c r="X128" s="769"/>
      <c r="Y128" s="769"/>
      <c r="Z128" s="769"/>
    </row>
    <row r="129" spans="1:26" s="846" customFormat="1" ht="18.75" x14ac:dyDescent="0.3">
      <c r="A129" s="842"/>
      <c r="B129" s="842"/>
      <c r="C129" s="843" t="s">
        <v>2886</v>
      </c>
      <c r="D129" s="844"/>
      <c r="E129" s="845"/>
      <c r="F129" s="845"/>
      <c r="G129" s="840" t="s">
        <v>2887</v>
      </c>
      <c r="H129" s="845"/>
      <c r="I129" s="845"/>
      <c r="J129" s="840"/>
      <c r="K129" s="845"/>
      <c r="L129" s="842"/>
      <c r="M129" s="842"/>
      <c r="N129" s="842"/>
      <c r="O129" s="842"/>
      <c r="P129" s="842"/>
      <c r="Q129" s="842"/>
      <c r="R129" s="842"/>
      <c r="S129" s="842"/>
      <c r="T129" s="842"/>
      <c r="U129" s="842"/>
      <c r="V129" s="842"/>
      <c r="W129" s="842"/>
      <c r="X129" s="842"/>
      <c r="Y129" s="842"/>
      <c r="Z129" s="842"/>
    </row>
    <row r="130" spans="1:26" s="846" customFormat="1" ht="18.75" x14ac:dyDescent="0.3">
      <c r="A130" s="842"/>
      <c r="B130" s="842"/>
      <c r="C130" s="842" t="s">
        <v>2888</v>
      </c>
      <c r="D130" s="844"/>
      <c r="E130" s="845"/>
      <c r="F130" s="845"/>
      <c r="G130" s="845" t="s">
        <v>2889</v>
      </c>
      <c r="H130" s="845"/>
      <c r="I130" s="845"/>
      <c r="J130" s="840"/>
      <c r="K130" s="845"/>
      <c r="L130" s="842"/>
      <c r="M130" s="842"/>
      <c r="N130" s="842"/>
      <c r="O130" s="842"/>
      <c r="P130" s="842"/>
      <c r="Q130" s="842"/>
      <c r="R130" s="842"/>
      <c r="S130" s="842"/>
      <c r="T130" s="842"/>
      <c r="U130" s="842"/>
      <c r="V130" s="842"/>
      <c r="W130" s="842"/>
      <c r="X130" s="842"/>
      <c r="Y130" s="842"/>
      <c r="Z130" s="842"/>
    </row>
    <row r="131" spans="1:26" ht="18.75" x14ac:dyDescent="0.3">
      <c r="A131" s="769"/>
      <c r="B131" s="769"/>
      <c r="C131" s="769"/>
      <c r="D131" s="771"/>
      <c r="E131" s="772"/>
      <c r="F131" s="772"/>
      <c r="G131" s="772"/>
      <c r="H131" s="772"/>
      <c r="I131" s="772"/>
      <c r="J131" s="831"/>
      <c r="K131" s="772"/>
      <c r="L131" s="769"/>
      <c r="M131" s="769"/>
      <c r="N131" s="769"/>
      <c r="O131" s="769"/>
      <c r="P131" s="769"/>
      <c r="Q131" s="769"/>
      <c r="R131" s="769"/>
      <c r="S131" s="769"/>
      <c r="T131" s="769"/>
      <c r="U131" s="769"/>
      <c r="V131" s="769"/>
      <c r="W131" s="769"/>
      <c r="X131" s="769"/>
      <c r="Y131" s="769"/>
      <c r="Z131" s="769"/>
    </row>
    <row r="132" spans="1:26" ht="18.75" x14ac:dyDescent="0.3">
      <c r="A132" s="769"/>
      <c r="B132" s="769"/>
      <c r="C132" s="769"/>
      <c r="D132" s="771"/>
      <c r="E132" s="772"/>
      <c r="F132" s="772"/>
      <c r="G132" s="772"/>
      <c r="H132" s="772"/>
      <c r="I132" s="772"/>
      <c r="J132" s="831"/>
      <c r="K132" s="772"/>
      <c r="L132" s="769"/>
      <c r="M132" s="769"/>
      <c r="N132" s="769"/>
      <c r="O132" s="769"/>
      <c r="P132" s="769"/>
      <c r="Q132" s="769"/>
      <c r="R132" s="769"/>
      <c r="S132" s="769"/>
      <c r="T132" s="769"/>
      <c r="U132" s="769"/>
      <c r="V132" s="769"/>
      <c r="W132" s="769"/>
      <c r="X132" s="769"/>
      <c r="Y132" s="769"/>
      <c r="Z132" s="769"/>
    </row>
    <row r="133" spans="1:26" ht="18.75" x14ac:dyDescent="0.3">
      <c r="A133" s="769"/>
      <c r="B133" s="769"/>
      <c r="C133" s="769"/>
      <c r="D133" s="771"/>
      <c r="E133" s="772"/>
      <c r="F133" s="772"/>
      <c r="G133" s="772"/>
      <c r="H133" s="772"/>
      <c r="I133" s="772"/>
      <c r="J133" s="831"/>
      <c r="K133" s="772"/>
      <c r="L133" s="769"/>
      <c r="M133" s="769"/>
      <c r="N133" s="769"/>
      <c r="O133" s="769"/>
      <c r="P133" s="769"/>
      <c r="Q133" s="769"/>
      <c r="R133" s="769"/>
      <c r="S133" s="769"/>
      <c r="T133" s="769"/>
      <c r="U133" s="769"/>
      <c r="V133" s="769"/>
      <c r="W133" s="769"/>
      <c r="X133" s="769"/>
      <c r="Y133" s="769"/>
      <c r="Z133" s="769"/>
    </row>
    <row r="134" spans="1:26" ht="18.75" x14ac:dyDescent="0.3">
      <c r="A134" s="769"/>
      <c r="B134" s="769"/>
      <c r="C134" s="769"/>
      <c r="D134" s="771"/>
      <c r="E134" s="772"/>
      <c r="F134" s="772"/>
      <c r="G134" s="772"/>
      <c r="H134" s="772"/>
      <c r="I134" s="772"/>
      <c r="J134" s="831"/>
      <c r="K134" s="772"/>
      <c r="L134" s="769"/>
      <c r="M134" s="769"/>
      <c r="N134" s="769"/>
      <c r="O134" s="769"/>
      <c r="P134" s="769"/>
      <c r="Q134" s="769"/>
      <c r="R134" s="769"/>
      <c r="S134" s="769"/>
      <c r="T134" s="769"/>
      <c r="U134" s="769"/>
      <c r="V134" s="769"/>
      <c r="W134" s="769"/>
      <c r="X134" s="769"/>
      <c r="Y134" s="769"/>
      <c r="Z134" s="769"/>
    </row>
    <row r="135" spans="1:26" ht="18.75" x14ac:dyDescent="0.3">
      <c r="A135" s="769"/>
      <c r="B135" s="769"/>
      <c r="C135" s="769"/>
      <c r="D135" s="771"/>
      <c r="E135" s="772"/>
      <c r="F135" s="772"/>
      <c r="G135" s="772"/>
      <c r="H135" s="772"/>
      <c r="I135" s="772"/>
      <c r="J135" s="831"/>
      <c r="K135" s="772"/>
      <c r="L135" s="769"/>
      <c r="M135" s="769"/>
      <c r="N135" s="769"/>
      <c r="O135" s="769"/>
      <c r="P135" s="769"/>
      <c r="Q135" s="769"/>
      <c r="R135" s="769"/>
      <c r="S135" s="769"/>
      <c r="T135" s="769"/>
      <c r="U135" s="769"/>
      <c r="V135" s="769"/>
      <c r="W135" s="769"/>
      <c r="X135" s="769"/>
      <c r="Y135" s="769"/>
      <c r="Z135" s="769"/>
    </row>
    <row r="136" spans="1:26" ht="18.75" x14ac:dyDescent="0.3">
      <c r="A136" s="769"/>
      <c r="B136" s="769"/>
      <c r="C136" s="769"/>
      <c r="D136" s="771"/>
      <c r="E136" s="772"/>
      <c r="F136" s="772"/>
      <c r="G136" s="772"/>
      <c r="H136" s="772"/>
      <c r="I136" s="772"/>
      <c r="J136" s="831"/>
      <c r="K136" s="772"/>
      <c r="L136" s="769"/>
      <c r="M136" s="769"/>
      <c r="N136" s="769"/>
      <c r="O136" s="769"/>
      <c r="P136" s="769"/>
      <c r="Q136" s="769"/>
      <c r="R136" s="769"/>
      <c r="S136" s="769"/>
      <c r="T136" s="769"/>
      <c r="U136" s="769"/>
      <c r="V136" s="769"/>
      <c r="W136" s="769"/>
      <c r="X136" s="769"/>
      <c r="Y136" s="769"/>
      <c r="Z136" s="769"/>
    </row>
    <row r="137" spans="1:26" ht="18.75" x14ac:dyDescent="0.3">
      <c r="A137" s="769"/>
      <c r="B137" s="769"/>
      <c r="C137" s="769"/>
      <c r="D137" s="771"/>
      <c r="E137" s="772"/>
      <c r="F137" s="772"/>
      <c r="G137" s="772"/>
      <c r="H137" s="772"/>
      <c r="I137" s="772"/>
      <c r="J137" s="831">
        <f>SUM(E123:H123)</f>
        <v>6541819390.6199999</v>
      </c>
      <c r="K137" s="772"/>
      <c r="L137" s="769"/>
      <c r="M137" s="769"/>
      <c r="N137" s="769"/>
      <c r="O137" s="769"/>
      <c r="P137" s="769"/>
      <c r="Q137" s="769"/>
      <c r="R137" s="769"/>
      <c r="S137" s="769"/>
      <c r="T137" s="769"/>
      <c r="U137" s="769"/>
      <c r="V137" s="769"/>
      <c r="W137" s="769"/>
      <c r="X137" s="769"/>
      <c r="Y137" s="769"/>
      <c r="Z137" s="769"/>
    </row>
    <row r="138" spans="1:26" ht="18.75" x14ac:dyDescent="0.3">
      <c r="A138" s="769"/>
      <c r="B138" s="769"/>
      <c r="C138" s="769"/>
      <c r="D138" s="771"/>
      <c r="E138" s="769"/>
      <c r="F138" s="769"/>
      <c r="G138" s="769"/>
      <c r="H138" s="769"/>
      <c r="I138" s="769"/>
      <c r="J138" s="772">
        <f>J123-J137</f>
        <v>0</v>
      </c>
      <c r="K138" s="772"/>
      <c r="L138" s="769"/>
      <c r="M138" s="769"/>
      <c r="N138" s="769"/>
      <c r="O138" s="769"/>
      <c r="P138" s="769"/>
      <c r="Q138" s="769"/>
      <c r="R138" s="769"/>
      <c r="S138" s="769"/>
      <c r="T138" s="769"/>
      <c r="U138" s="769"/>
      <c r="V138" s="769"/>
      <c r="W138" s="769"/>
      <c r="X138" s="769"/>
      <c r="Y138" s="769"/>
      <c r="Z138" s="769"/>
    </row>
    <row r="139" spans="1:26" ht="18.75" x14ac:dyDescent="0.3">
      <c r="A139" s="769"/>
      <c r="B139" s="769"/>
      <c r="C139" s="769"/>
      <c r="D139" s="771"/>
      <c r="E139" s="769"/>
      <c r="F139" s="769"/>
      <c r="G139" s="769"/>
      <c r="H139" s="769"/>
      <c r="I139" s="769"/>
      <c r="J139" s="769"/>
      <c r="K139" s="772"/>
      <c r="L139" s="769"/>
      <c r="M139" s="769"/>
      <c r="N139" s="769"/>
      <c r="O139" s="769"/>
      <c r="P139" s="769"/>
      <c r="Q139" s="769"/>
      <c r="R139" s="769"/>
      <c r="S139" s="769"/>
      <c r="T139" s="769"/>
      <c r="U139" s="769"/>
      <c r="V139" s="769"/>
      <c r="W139" s="769"/>
      <c r="X139" s="769"/>
      <c r="Y139" s="769"/>
      <c r="Z139" s="769"/>
    </row>
    <row r="140" spans="1:26" ht="18.75" x14ac:dyDescent="0.3">
      <c r="A140" s="769"/>
      <c r="B140" s="769"/>
      <c r="C140" s="769"/>
      <c r="D140" s="771"/>
      <c r="E140" s="769"/>
      <c r="F140" s="769"/>
      <c r="G140" s="769"/>
      <c r="H140" s="769"/>
      <c r="I140" s="769"/>
      <c r="J140" s="769"/>
      <c r="K140" s="772"/>
      <c r="L140" s="769"/>
      <c r="M140" s="769"/>
      <c r="N140" s="769"/>
      <c r="O140" s="769"/>
      <c r="P140" s="769"/>
      <c r="Q140" s="769"/>
      <c r="R140" s="769"/>
      <c r="S140" s="769"/>
      <c r="T140" s="769"/>
      <c r="U140" s="769"/>
      <c r="V140" s="769"/>
      <c r="W140" s="769"/>
      <c r="X140" s="769"/>
      <c r="Y140" s="769"/>
      <c r="Z140" s="769"/>
    </row>
    <row r="141" spans="1:26" ht="18.75" x14ac:dyDescent="0.3">
      <c r="A141" s="769"/>
      <c r="B141" s="769"/>
      <c r="C141" s="769"/>
      <c r="D141" s="771"/>
      <c r="E141" s="769"/>
      <c r="F141" s="769"/>
      <c r="G141" s="769"/>
      <c r="H141" s="769"/>
      <c r="I141" s="769"/>
      <c r="J141" s="769"/>
      <c r="K141" s="772"/>
      <c r="L141" s="769"/>
      <c r="M141" s="769"/>
      <c r="N141" s="769"/>
      <c r="O141" s="769"/>
      <c r="P141" s="769"/>
      <c r="Q141" s="769"/>
      <c r="R141" s="769"/>
      <c r="S141" s="769"/>
      <c r="T141" s="769"/>
      <c r="U141" s="769"/>
      <c r="V141" s="769"/>
      <c r="W141" s="769"/>
      <c r="X141" s="769"/>
      <c r="Y141" s="769"/>
      <c r="Z141" s="769"/>
    </row>
    <row r="142" spans="1:26" ht="18.75" x14ac:dyDescent="0.3">
      <c r="A142" s="769"/>
      <c r="B142" s="769"/>
      <c r="C142" s="769"/>
      <c r="D142" s="771"/>
      <c r="E142" s="769"/>
      <c r="F142" s="769"/>
      <c r="G142" s="769"/>
      <c r="H142" s="769"/>
      <c r="I142" s="769"/>
      <c r="J142" s="769"/>
      <c r="K142" s="772"/>
      <c r="L142" s="769"/>
      <c r="M142" s="769"/>
      <c r="N142" s="769"/>
      <c r="O142" s="769"/>
      <c r="P142" s="769"/>
      <c r="Q142" s="769"/>
      <c r="R142" s="769"/>
      <c r="S142" s="769"/>
      <c r="T142" s="769"/>
      <c r="U142" s="769"/>
      <c r="V142" s="769"/>
      <c r="W142" s="769"/>
      <c r="X142" s="769"/>
      <c r="Y142" s="769"/>
      <c r="Z142" s="769"/>
    </row>
    <row r="143" spans="1:26" ht="18.75" x14ac:dyDescent="0.3">
      <c r="A143" s="769"/>
      <c r="B143" s="769"/>
      <c r="C143" s="769"/>
      <c r="D143" s="771"/>
      <c r="E143" s="769"/>
      <c r="F143" s="769"/>
      <c r="G143" s="769"/>
      <c r="H143" s="769"/>
      <c r="I143" s="769"/>
      <c r="J143" s="769"/>
      <c r="K143" s="772"/>
      <c r="L143" s="769"/>
      <c r="M143" s="769"/>
      <c r="N143" s="769"/>
      <c r="O143" s="769"/>
      <c r="P143" s="769"/>
      <c r="Q143" s="769"/>
      <c r="R143" s="769"/>
      <c r="S143" s="769"/>
      <c r="T143" s="769"/>
      <c r="U143" s="769"/>
      <c r="V143" s="769"/>
      <c r="W143" s="769"/>
      <c r="X143" s="769"/>
      <c r="Y143" s="769"/>
      <c r="Z143" s="769"/>
    </row>
    <row r="144" spans="1:26" ht="18.75" x14ac:dyDescent="0.3">
      <c r="A144" s="769"/>
      <c r="B144" s="769"/>
      <c r="C144" s="769"/>
      <c r="D144" s="771"/>
      <c r="E144" s="769"/>
      <c r="F144" s="769"/>
      <c r="G144" s="769"/>
      <c r="H144" s="769"/>
      <c r="I144" s="769"/>
      <c r="J144" s="769"/>
      <c r="K144" s="772"/>
      <c r="L144" s="769"/>
      <c r="M144" s="769"/>
      <c r="N144" s="769"/>
      <c r="O144" s="769"/>
      <c r="P144" s="769"/>
      <c r="Q144" s="769"/>
      <c r="R144" s="769"/>
      <c r="S144" s="769"/>
      <c r="T144" s="769"/>
      <c r="U144" s="769"/>
      <c r="V144" s="769"/>
      <c r="W144" s="769"/>
      <c r="X144" s="769"/>
      <c r="Y144" s="769"/>
      <c r="Z144" s="769"/>
    </row>
    <row r="145" spans="1:26" ht="18.75" x14ac:dyDescent="0.3">
      <c r="A145" s="769"/>
      <c r="B145" s="769"/>
      <c r="C145" s="769"/>
      <c r="D145" s="771"/>
      <c r="E145" s="769"/>
      <c r="F145" s="769"/>
      <c r="G145" s="769"/>
      <c r="H145" s="769"/>
      <c r="I145" s="769"/>
      <c r="J145" s="769"/>
      <c r="K145" s="772"/>
      <c r="L145" s="769"/>
      <c r="M145" s="769"/>
      <c r="N145" s="769"/>
      <c r="O145" s="769"/>
      <c r="P145" s="769"/>
      <c r="Q145" s="769"/>
      <c r="R145" s="769"/>
      <c r="S145" s="769"/>
      <c r="T145" s="769"/>
      <c r="U145" s="769"/>
      <c r="V145" s="769"/>
      <c r="W145" s="769"/>
      <c r="X145" s="769"/>
      <c r="Y145" s="769"/>
      <c r="Z145" s="769"/>
    </row>
    <row r="146" spans="1:26" ht="18.75" x14ac:dyDescent="0.3">
      <c r="A146" s="769"/>
      <c r="B146" s="769"/>
      <c r="C146" s="769"/>
      <c r="D146" s="771"/>
      <c r="E146" s="769"/>
      <c r="F146" s="769"/>
      <c r="G146" s="769"/>
      <c r="H146" s="769"/>
      <c r="I146" s="769"/>
      <c r="J146" s="769"/>
      <c r="K146" s="772"/>
      <c r="L146" s="769"/>
      <c r="M146" s="769"/>
      <c r="N146" s="769"/>
      <c r="O146" s="769"/>
      <c r="P146" s="769"/>
      <c r="Q146" s="769"/>
      <c r="R146" s="769"/>
      <c r="S146" s="769"/>
      <c r="T146" s="769"/>
      <c r="U146" s="769"/>
      <c r="V146" s="769"/>
      <c r="W146" s="769"/>
      <c r="X146" s="769"/>
      <c r="Y146" s="769"/>
      <c r="Z146" s="769"/>
    </row>
    <row r="147" spans="1:26" ht="18.75" x14ac:dyDescent="0.3">
      <c r="A147" s="769"/>
      <c r="B147" s="769"/>
      <c r="C147" s="769"/>
      <c r="D147" s="771"/>
      <c r="E147" s="769"/>
      <c r="F147" s="769"/>
      <c r="G147" s="769"/>
      <c r="H147" s="769"/>
      <c r="I147" s="769"/>
      <c r="J147" s="769"/>
      <c r="K147" s="772"/>
      <c r="L147" s="769"/>
      <c r="M147" s="769"/>
      <c r="N147" s="769"/>
      <c r="O147" s="769"/>
      <c r="P147" s="769"/>
      <c r="Q147" s="769"/>
      <c r="R147" s="769"/>
      <c r="S147" s="769"/>
      <c r="T147" s="769"/>
      <c r="U147" s="769"/>
      <c r="V147" s="769"/>
      <c r="W147" s="769"/>
      <c r="X147" s="769"/>
      <c r="Y147" s="769"/>
      <c r="Z147" s="769"/>
    </row>
    <row r="148" spans="1:26" ht="18.75" x14ac:dyDescent="0.3">
      <c r="A148" s="769"/>
      <c r="B148" s="769"/>
      <c r="C148" s="769"/>
      <c r="D148" s="771"/>
      <c r="E148" s="769"/>
      <c r="F148" s="769"/>
      <c r="G148" s="769"/>
      <c r="H148" s="769"/>
      <c r="I148" s="769"/>
      <c r="J148" s="769"/>
      <c r="K148" s="772"/>
      <c r="L148" s="769"/>
      <c r="M148" s="769"/>
      <c r="N148" s="769"/>
      <c r="O148" s="769"/>
      <c r="P148" s="769"/>
      <c r="Q148" s="769"/>
      <c r="R148" s="769"/>
      <c r="S148" s="769"/>
      <c r="T148" s="769"/>
      <c r="U148" s="769"/>
      <c r="V148" s="769"/>
      <c r="W148" s="769"/>
      <c r="X148" s="769"/>
      <c r="Y148" s="769"/>
      <c r="Z148" s="769"/>
    </row>
    <row r="149" spans="1:26" ht="18.75" x14ac:dyDescent="0.3">
      <c r="A149" s="769"/>
      <c r="B149" s="769"/>
      <c r="C149" s="769"/>
      <c r="D149" s="771"/>
      <c r="E149" s="769"/>
      <c r="F149" s="769"/>
      <c r="G149" s="769"/>
      <c r="H149" s="769"/>
      <c r="I149" s="769"/>
      <c r="J149" s="769"/>
      <c r="K149" s="772"/>
      <c r="L149" s="769"/>
      <c r="M149" s="769"/>
      <c r="N149" s="769"/>
      <c r="O149" s="769"/>
      <c r="P149" s="769"/>
      <c r="Q149" s="769"/>
      <c r="R149" s="769"/>
      <c r="S149" s="769"/>
      <c r="T149" s="769"/>
      <c r="U149" s="769"/>
      <c r="V149" s="769"/>
      <c r="W149" s="769"/>
      <c r="X149" s="769"/>
      <c r="Y149" s="769"/>
      <c r="Z149" s="769"/>
    </row>
    <row r="150" spans="1:26" ht="18.75" x14ac:dyDescent="0.3">
      <c r="A150" s="769"/>
      <c r="B150" s="769"/>
      <c r="C150" s="769"/>
      <c r="D150" s="771"/>
      <c r="E150" s="769"/>
      <c r="F150" s="769"/>
      <c r="G150" s="769"/>
      <c r="H150" s="769"/>
      <c r="I150" s="769"/>
      <c r="J150" s="769"/>
      <c r="K150" s="772"/>
      <c r="L150" s="769"/>
      <c r="M150" s="769"/>
      <c r="N150" s="769"/>
      <c r="O150" s="769"/>
      <c r="P150" s="769"/>
      <c r="Q150" s="769"/>
      <c r="R150" s="769"/>
      <c r="S150" s="769"/>
      <c r="T150" s="769"/>
      <c r="U150" s="769"/>
      <c r="V150" s="769"/>
      <c r="W150" s="769"/>
      <c r="X150" s="769"/>
      <c r="Y150" s="769"/>
      <c r="Z150" s="769"/>
    </row>
    <row r="151" spans="1:26" ht="18.75" x14ac:dyDescent="0.3">
      <c r="A151" s="769"/>
      <c r="B151" s="769"/>
      <c r="C151" s="769"/>
      <c r="D151" s="771"/>
      <c r="E151" s="769"/>
      <c r="F151" s="769"/>
      <c r="G151" s="769"/>
      <c r="H151" s="769"/>
      <c r="I151" s="769"/>
      <c r="J151" s="769"/>
      <c r="K151" s="772"/>
      <c r="L151" s="769"/>
      <c r="M151" s="769"/>
      <c r="N151" s="769"/>
      <c r="O151" s="769"/>
      <c r="P151" s="769"/>
      <c r="Q151" s="769"/>
      <c r="R151" s="769"/>
      <c r="S151" s="769"/>
      <c r="T151" s="769"/>
      <c r="U151" s="769"/>
      <c r="V151" s="769"/>
      <c r="W151" s="769"/>
      <c r="X151" s="769"/>
      <c r="Y151" s="769"/>
      <c r="Z151" s="769"/>
    </row>
    <row r="152" spans="1:26" ht="18.75" x14ac:dyDescent="0.3">
      <c r="A152" s="769"/>
      <c r="B152" s="769"/>
      <c r="C152" s="769"/>
      <c r="D152" s="771"/>
      <c r="E152" s="769"/>
      <c r="F152" s="769"/>
      <c r="G152" s="769"/>
      <c r="H152" s="769"/>
      <c r="I152" s="769"/>
      <c r="J152" s="769"/>
      <c r="K152" s="772"/>
      <c r="L152" s="769"/>
      <c r="M152" s="769"/>
      <c r="N152" s="769"/>
      <c r="O152" s="769"/>
      <c r="P152" s="769"/>
      <c r="Q152" s="769"/>
      <c r="R152" s="769"/>
      <c r="S152" s="769"/>
      <c r="T152" s="769"/>
      <c r="U152" s="769"/>
      <c r="V152" s="769"/>
      <c r="W152" s="769"/>
      <c r="X152" s="769"/>
      <c r="Y152" s="769"/>
      <c r="Z152" s="769"/>
    </row>
    <row r="153" spans="1:26" ht="18.75" x14ac:dyDescent="0.3">
      <c r="A153" s="769"/>
      <c r="B153" s="769"/>
      <c r="C153" s="769"/>
      <c r="D153" s="771"/>
      <c r="E153" s="769"/>
      <c r="F153" s="769"/>
      <c r="G153" s="769"/>
      <c r="H153" s="769"/>
      <c r="I153" s="769"/>
      <c r="J153" s="769"/>
      <c r="K153" s="772"/>
      <c r="L153" s="769"/>
      <c r="M153" s="769"/>
      <c r="N153" s="769"/>
      <c r="O153" s="769"/>
      <c r="P153" s="769"/>
      <c r="Q153" s="769"/>
      <c r="R153" s="769"/>
      <c r="S153" s="769"/>
      <c r="T153" s="769"/>
      <c r="U153" s="769"/>
      <c r="V153" s="769"/>
      <c r="W153" s="769"/>
      <c r="X153" s="769"/>
      <c r="Y153" s="769"/>
      <c r="Z153" s="769"/>
    </row>
    <row r="154" spans="1:26" ht="18.75" x14ac:dyDescent="0.3">
      <c r="A154" s="769"/>
      <c r="B154" s="769"/>
      <c r="C154" s="769"/>
      <c r="D154" s="771"/>
      <c r="E154" s="769"/>
      <c r="F154" s="769"/>
      <c r="G154" s="769"/>
      <c r="H154" s="769"/>
      <c r="I154" s="769"/>
      <c r="J154" s="769"/>
      <c r="K154" s="772"/>
      <c r="L154" s="769"/>
      <c r="M154" s="769"/>
      <c r="N154" s="769"/>
      <c r="O154" s="769"/>
      <c r="P154" s="769"/>
      <c r="Q154" s="769"/>
      <c r="R154" s="769"/>
      <c r="S154" s="769"/>
      <c r="T154" s="769"/>
      <c r="U154" s="769"/>
      <c r="V154" s="769"/>
      <c r="W154" s="769"/>
      <c r="X154" s="769"/>
      <c r="Y154" s="769"/>
      <c r="Z154" s="769"/>
    </row>
    <row r="155" spans="1:26" ht="18.75" x14ac:dyDescent="0.3">
      <c r="A155" s="769"/>
      <c r="B155" s="769"/>
      <c r="C155" s="769"/>
      <c r="D155" s="771"/>
      <c r="E155" s="769"/>
      <c r="F155" s="769"/>
      <c r="G155" s="769"/>
      <c r="H155" s="769"/>
      <c r="I155" s="769"/>
      <c r="J155" s="769"/>
      <c r="K155" s="772"/>
      <c r="L155" s="769"/>
      <c r="M155" s="769"/>
      <c r="N155" s="769"/>
      <c r="O155" s="769"/>
      <c r="P155" s="769"/>
      <c r="Q155" s="769"/>
      <c r="R155" s="769"/>
      <c r="S155" s="769"/>
      <c r="T155" s="769"/>
      <c r="U155" s="769"/>
      <c r="V155" s="769"/>
      <c r="W155" s="769"/>
      <c r="X155" s="769"/>
      <c r="Y155" s="769"/>
      <c r="Z155" s="769"/>
    </row>
    <row r="156" spans="1:26" ht="18.75" x14ac:dyDescent="0.3">
      <c r="A156" s="769"/>
      <c r="B156" s="769"/>
      <c r="C156" s="769"/>
      <c r="D156" s="771"/>
      <c r="E156" s="769"/>
      <c r="F156" s="769"/>
      <c r="G156" s="769"/>
      <c r="H156" s="769"/>
      <c r="I156" s="769"/>
      <c r="J156" s="769"/>
      <c r="K156" s="772"/>
      <c r="L156" s="769"/>
      <c r="M156" s="769"/>
      <c r="N156" s="769"/>
      <c r="O156" s="769"/>
      <c r="P156" s="769"/>
      <c r="Q156" s="769"/>
      <c r="R156" s="769"/>
      <c r="S156" s="769"/>
      <c r="T156" s="769"/>
      <c r="U156" s="769"/>
      <c r="V156" s="769"/>
      <c r="W156" s="769"/>
      <c r="X156" s="769"/>
      <c r="Y156" s="769"/>
      <c r="Z156" s="769"/>
    </row>
    <row r="157" spans="1:26" ht="18.75" x14ac:dyDescent="0.3">
      <c r="A157" s="769"/>
      <c r="B157" s="769"/>
      <c r="C157" s="769"/>
      <c r="D157" s="771"/>
      <c r="E157" s="769"/>
      <c r="F157" s="769"/>
      <c r="G157" s="769"/>
      <c r="H157" s="769"/>
      <c r="I157" s="769"/>
      <c r="J157" s="769"/>
      <c r="K157" s="772"/>
      <c r="L157" s="769"/>
      <c r="M157" s="769"/>
      <c r="N157" s="769"/>
      <c r="O157" s="769"/>
      <c r="P157" s="769"/>
      <c r="Q157" s="769"/>
      <c r="R157" s="769"/>
      <c r="S157" s="769"/>
      <c r="T157" s="769"/>
      <c r="U157" s="769"/>
      <c r="V157" s="769"/>
      <c r="W157" s="769"/>
      <c r="X157" s="769"/>
      <c r="Y157" s="769"/>
      <c r="Z157" s="769"/>
    </row>
    <row r="158" spans="1:26" ht="18.75" x14ac:dyDescent="0.3">
      <c r="A158" s="769"/>
      <c r="B158" s="769"/>
      <c r="C158" s="769"/>
      <c r="D158" s="771"/>
      <c r="E158" s="769"/>
      <c r="F158" s="769"/>
      <c r="G158" s="769"/>
      <c r="H158" s="769"/>
      <c r="I158" s="769"/>
      <c r="J158" s="769"/>
      <c r="K158" s="772"/>
      <c r="L158" s="769"/>
      <c r="M158" s="769"/>
      <c r="N158" s="769"/>
      <c r="O158" s="769"/>
      <c r="P158" s="769"/>
      <c r="Q158" s="769"/>
      <c r="R158" s="769"/>
      <c r="S158" s="769"/>
      <c r="T158" s="769"/>
      <c r="U158" s="769"/>
      <c r="V158" s="769"/>
      <c r="W158" s="769"/>
      <c r="X158" s="769"/>
      <c r="Y158" s="769"/>
      <c r="Z158" s="769"/>
    </row>
    <row r="159" spans="1:26" ht="18.75" x14ac:dyDescent="0.3">
      <c r="A159" s="769"/>
      <c r="B159" s="769"/>
      <c r="C159" s="769"/>
      <c r="D159" s="771"/>
      <c r="E159" s="769"/>
      <c r="F159" s="769"/>
      <c r="G159" s="769"/>
      <c r="H159" s="769"/>
      <c r="I159" s="769"/>
      <c r="J159" s="769"/>
      <c r="K159" s="772"/>
      <c r="L159" s="769"/>
      <c r="M159" s="769"/>
      <c r="N159" s="769"/>
      <c r="O159" s="769"/>
      <c r="P159" s="769"/>
      <c r="Q159" s="769"/>
      <c r="R159" s="769"/>
      <c r="S159" s="769"/>
      <c r="T159" s="769"/>
      <c r="U159" s="769"/>
      <c r="V159" s="769"/>
      <c r="W159" s="769"/>
      <c r="X159" s="769"/>
      <c r="Y159" s="769"/>
      <c r="Z159" s="769"/>
    </row>
    <row r="160" spans="1:26" ht="18.75" x14ac:dyDescent="0.3">
      <c r="A160" s="769"/>
      <c r="B160" s="769"/>
      <c r="C160" s="769"/>
      <c r="D160" s="771"/>
      <c r="E160" s="769"/>
      <c r="F160" s="769"/>
      <c r="G160" s="769"/>
      <c r="H160" s="769"/>
      <c r="I160" s="769"/>
      <c r="J160" s="769"/>
      <c r="K160" s="772"/>
      <c r="L160" s="769"/>
      <c r="M160" s="769"/>
      <c r="N160" s="769"/>
      <c r="O160" s="769"/>
      <c r="P160" s="769"/>
      <c r="Q160" s="769"/>
      <c r="R160" s="769"/>
      <c r="S160" s="769"/>
      <c r="T160" s="769"/>
      <c r="U160" s="769"/>
      <c r="V160" s="769"/>
      <c r="W160" s="769"/>
      <c r="X160" s="769"/>
      <c r="Y160" s="769"/>
      <c r="Z160" s="769"/>
    </row>
    <row r="161" spans="1:26" ht="18.75" x14ac:dyDescent="0.3">
      <c r="A161" s="769"/>
      <c r="B161" s="769"/>
      <c r="C161" s="769"/>
      <c r="D161" s="771"/>
      <c r="E161" s="769"/>
      <c r="F161" s="769"/>
      <c r="G161" s="769"/>
      <c r="H161" s="769"/>
      <c r="I161" s="769"/>
      <c r="J161" s="769"/>
      <c r="K161" s="772"/>
      <c r="L161" s="769"/>
      <c r="M161" s="769"/>
      <c r="N161" s="769"/>
      <c r="O161" s="769"/>
      <c r="P161" s="769"/>
      <c r="Q161" s="769"/>
      <c r="R161" s="769"/>
      <c r="S161" s="769"/>
      <c r="T161" s="769"/>
      <c r="U161" s="769"/>
      <c r="V161" s="769"/>
      <c r="W161" s="769"/>
      <c r="X161" s="769"/>
      <c r="Y161" s="769"/>
      <c r="Z161" s="769"/>
    </row>
    <row r="162" spans="1:26" ht="18.75" x14ac:dyDescent="0.3">
      <c r="A162" s="769"/>
      <c r="B162" s="769"/>
      <c r="C162" s="769"/>
      <c r="D162" s="771"/>
      <c r="E162" s="769"/>
      <c r="F162" s="769"/>
      <c r="G162" s="769"/>
      <c r="H162" s="769"/>
      <c r="I162" s="769"/>
      <c r="J162" s="769"/>
      <c r="K162" s="772"/>
      <c r="L162" s="769"/>
      <c r="M162" s="769"/>
      <c r="N162" s="769"/>
      <c r="O162" s="769"/>
      <c r="P162" s="769"/>
      <c r="Q162" s="769"/>
      <c r="R162" s="769"/>
      <c r="S162" s="769"/>
      <c r="T162" s="769"/>
      <c r="U162" s="769"/>
      <c r="V162" s="769"/>
      <c r="W162" s="769"/>
      <c r="X162" s="769"/>
      <c r="Y162" s="769"/>
      <c r="Z162" s="769"/>
    </row>
    <row r="163" spans="1:26" ht="18.75" x14ac:dyDescent="0.3">
      <c r="A163" s="769"/>
      <c r="B163" s="769"/>
      <c r="C163" s="769"/>
      <c r="D163" s="771"/>
      <c r="E163" s="769"/>
      <c r="F163" s="769"/>
      <c r="G163" s="769"/>
      <c r="H163" s="769"/>
      <c r="I163" s="769"/>
      <c r="J163" s="769"/>
      <c r="K163" s="772"/>
      <c r="L163" s="769"/>
      <c r="M163" s="769"/>
      <c r="N163" s="769"/>
      <c r="O163" s="769"/>
      <c r="P163" s="769"/>
      <c r="Q163" s="769"/>
      <c r="R163" s="769"/>
      <c r="S163" s="769"/>
      <c r="T163" s="769"/>
      <c r="U163" s="769"/>
      <c r="V163" s="769"/>
      <c r="W163" s="769"/>
      <c r="X163" s="769"/>
      <c r="Y163" s="769"/>
      <c r="Z163" s="769"/>
    </row>
    <row r="164" spans="1:26" ht="18.75" x14ac:dyDescent="0.3">
      <c r="A164" s="769"/>
      <c r="B164" s="769"/>
      <c r="C164" s="769"/>
      <c r="D164" s="771"/>
      <c r="E164" s="769"/>
      <c r="F164" s="769"/>
      <c r="G164" s="769"/>
      <c r="H164" s="769"/>
      <c r="I164" s="769"/>
      <c r="J164" s="769"/>
      <c r="K164" s="772"/>
      <c r="L164" s="769"/>
      <c r="M164" s="769"/>
      <c r="N164" s="769"/>
      <c r="O164" s="769"/>
      <c r="P164" s="769"/>
      <c r="Q164" s="769"/>
      <c r="R164" s="769"/>
      <c r="S164" s="769"/>
      <c r="T164" s="769"/>
      <c r="U164" s="769"/>
      <c r="V164" s="769"/>
      <c r="W164" s="769"/>
      <c r="X164" s="769"/>
      <c r="Y164" s="769"/>
      <c r="Z164" s="769"/>
    </row>
    <row r="165" spans="1:26" ht="18.75" x14ac:dyDescent="0.3">
      <c r="A165" s="769"/>
      <c r="B165" s="769"/>
      <c r="C165" s="769"/>
      <c r="D165" s="771"/>
      <c r="E165" s="769"/>
      <c r="F165" s="769"/>
      <c r="G165" s="769"/>
      <c r="H165" s="769"/>
      <c r="I165" s="769"/>
      <c r="J165" s="769"/>
      <c r="K165" s="772"/>
      <c r="L165" s="769"/>
      <c r="M165" s="769"/>
      <c r="N165" s="769"/>
      <c r="O165" s="769"/>
      <c r="P165" s="769"/>
      <c r="Q165" s="769"/>
      <c r="R165" s="769"/>
      <c r="S165" s="769"/>
      <c r="T165" s="769"/>
      <c r="U165" s="769"/>
      <c r="V165" s="769"/>
      <c r="W165" s="769"/>
      <c r="X165" s="769"/>
      <c r="Y165" s="769"/>
      <c r="Z165" s="769"/>
    </row>
    <row r="166" spans="1:26" ht="18.75" x14ac:dyDescent="0.3">
      <c r="A166" s="769"/>
      <c r="B166" s="769"/>
      <c r="C166" s="769"/>
      <c r="D166" s="771"/>
      <c r="E166" s="769"/>
      <c r="F166" s="769"/>
      <c r="G166" s="769"/>
      <c r="H166" s="769"/>
      <c r="I166" s="769"/>
      <c r="J166" s="769"/>
      <c r="K166" s="772"/>
      <c r="L166" s="769"/>
      <c r="M166" s="769"/>
      <c r="N166" s="769"/>
      <c r="O166" s="769"/>
      <c r="P166" s="769"/>
      <c r="Q166" s="769"/>
      <c r="R166" s="769"/>
      <c r="S166" s="769"/>
      <c r="T166" s="769"/>
      <c r="U166" s="769"/>
      <c r="V166" s="769"/>
      <c r="W166" s="769"/>
      <c r="X166" s="769"/>
      <c r="Y166" s="769"/>
      <c r="Z166" s="769"/>
    </row>
    <row r="167" spans="1:26" ht="18.75" x14ac:dyDescent="0.3">
      <c r="A167" s="769"/>
      <c r="B167" s="769"/>
      <c r="C167" s="769"/>
      <c r="D167" s="771"/>
      <c r="E167" s="769"/>
      <c r="F167" s="769"/>
      <c r="G167" s="769"/>
      <c r="H167" s="769"/>
      <c r="I167" s="769"/>
      <c r="J167" s="769"/>
      <c r="K167" s="772"/>
      <c r="L167" s="769"/>
      <c r="M167" s="769"/>
      <c r="N167" s="769"/>
      <c r="O167" s="769"/>
      <c r="P167" s="769"/>
      <c r="Q167" s="769"/>
      <c r="R167" s="769"/>
      <c r="S167" s="769"/>
      <c r="T167" s="769"/>
      <c r="U167" s="769"/>
      <c r="V167" s="769"/>
      <c r="W167" s="769"/>
      <c r="X167" s="769"/>
      <c r="Y167" s="769"/>
      <c r="Z167" s="769"/>
    </row>
    <row r="168" spans="1:26" ht="18.75" x14ac:dyDescent="0.3">
      <c r="A168" s="769"/>
      <c r="B168" s="769"/>
      <c r="C168" s="769"/>
      <c r="D168" s="771"/>
      <c r="E168" s="769"/>
      <c r="F168" s="769"/>
      <c r="G168" s="769"/>
      <c r="H168" s="769"/>
      <c r="I168" s="769"/>
      <c r="J168" s="769"/>
      <c r="K168" s="772"/>
      <c r="L168" s="769"/>
      <c r="M168" s="769"/>
      <c r="N168" s="769"/>
      <c r="O168" s="769"/>
      <c r="P168" s="769"/>
      <c r="Q168" s="769"/>
      <c r="R168" s="769"/>
      <c r="S168" s="769"/>
      <c r="T168" s="769"/>
      <c r="U168" s="769"/>
      <c r="V168" s="769"/>
      <c r="W168" s="769"/>
      <c r="X168" s="769"/>
      <c r="Y168" s="769"/>
      <c r="Z168" s="769"/>
    </row>
    <row r="169" spans="1:26" ht="18.75" x14ac:dyDescent="0.3">
      <c r="A169" s="769"/>
      <c r="B169" s="769"/>
      <c r="C169" s="769"/>
      <c r="D169" s="771"/>
      <c r="E169" s="769"/>
      <c r="F169" s="769"/>
      <c r="G169" s="769"/>
      <c r="H169" s="769"/>
      <c r="I169" s="769"/>
      <c r="J169" s="769"/>
      <c r="K169" s="772"/>
      <c r="L169" s="769"/>
      <c r="M169" s="769"/>
      <c r="N169" s="769"/>
      <c r="O169" s="769"/>
      <c r="P169" s="769"/>
      <c r="Q169" s="769"/>
      <c r="R169" s="769"/>
      <c r="S169" s="769"/>
      <c r="T169" s="769"/>
      <c r="U169" s="769"/>
      <c r="V169" s="769"/>
      <c r="W169" s="769"/>
      <c r="X169" s="769"/>
      <c r="Y169" s="769"/>
      <c r="Z169" s="769"/>
    </row>
    <row r="170" spans="1:26" ht="18.75" x14ac:dyDescent="0.3">
      <c r="A170" s="769"/>
      <c r="B170" s="769"/>
      <c r="C170" s="769"/>
      <c r="D170" s="771"/>
      <c r="E170" s="769"/>
      <c r="F170" s="769"/>
      <c r="G170" s="769"/>
      <c r="H170" s="769"/>
      <c r="I170" s="769"/>
      <c r="J170" s="769"/>
      <c r="K170" s="772"/>
      <c r="L170" s="769"/>
      <c r="M170" s="769"/>
      <c r="N170" s="769"/>
      <c r="O170" s="769"/>
      <c r="P170" s="769"/>
      <c r="Q170" s="769"/>
      <c r="R170" s="769"/>
      <c r="S170" s="769"/>
      <c r="T170" s="769"/>
      <c r="U170" s="769"/>
      <c r="V170" s="769"/>
      <c r="W170" s="769"/>
      <c r="X170" s="769"/>
      <c r="Y170" s="769"/>
      <c r="Z170" s="769"/>
    </row>
    <row r="171" spans="1:26" ht="18.75" x14ac:dyDescent="0.3">
      <c r="A171" s="769"/>
      <c r="B171" s="769"/>
      <c r="C171" s="769"/>
      <c r="D171" s="771"/>
      <c r="E171" s="769"/>
      <c r="F171" s="769"/>
      <c r="G171" s="769"/>
      <c r="H171" s="769"/>
      <c r="I171" s="769"/>
      <c r="J171" s="769"/>
      <c r="K171" s="772"/>
      <c r="L171" s="769"/>
      <c r="M171" s="769"/>
      <c r="N171" s="769"/>
      <c r="O171" s="769"/>
      <c r="P171" s="769"/>
      <c r="Q171" s="769"/>
      <c r="R171" s="769"/>
      <c r="S171" s="769"/>
      <c r="T171" s="769"/>
      <c r="U171" s="769"/>
      <c r="V171" s="769"/>
      <c r="W171" s="769"/>
      <c r="X171" s="769"/>
      <c r="Y171" s="769"/>
      <c r="Z171" s="769"/>
    </row>
    <row r="172" spans="1:26" ht="18.75" x14ac:dyDescent="0.3">
      <c r="A172" s="769"/>
      <c r="B172" s="769"/>
      <c r="C172" s="769"/>
      <c r="D172" s="771"/>
      <c r="E172" s="769"/>
      <c r="F172" s="769"/>
      <c r="G172" s="769"/>
      <c r="H172" s="769"/>
      <c r="I172" s="769"/>
      <c r="J172" s="769"/>
      <c r="K172" s="772"/>
      <c r="L172" s="769"/>
      <c r="M172" s="769"/>
      <c r="N172" s="769"/>
      <c r="O172" s="769"/>
      <c r="P172" s="769"/>
      <c r="Q172" s="769"/>
      <c r="R172" s="769"/>
      <c r="S172" s="769"/>
      <c r="T172" s="769"/>
      <c r="U172" s="769"/>
      <c r="V172" s="769"/>
      <c r="W172" s="769"/>
      <c r="X172" s="769"/>
      <c r="Y172" s="769"/>
      <c r="Z172" s="769"/>
    </row>
    <row r="173" spans="1:26" ht="18.75" x14ac:dyDescent="0.3">
      <c r="A173" s="769"/>
      <c r="B173" s="769"/>
      <c r="C173" s="769"/>
      <c r="D173" s="771"/>
      <c r="E173" s="769"/>
      <c r="F173" s="769"/>
      <c r="G173" s="769"/>
      <c r="H173" s="769"/>
      <c r="I173" s="769"/>
      <c r="J173" s="769"/>
      <c r="K173" s="772"/>
      <c r="L173" s="769"/>
      <c r="M173" s="769"/>
      <c r="N173" s="769"/>
      <c r="O173" s="769"/>
      <c r="P173" s="769"/>
      <c r="Q173" s="769"/>
      <c r="R173" s="769"/>
      <c r="S173" s="769"/>
      <c r="T173" s="769"/>
      <c r="U173" s="769"/>
      <c r="V173" s="769"/>
      <c r="W173" s="769"/>
      <c r="X173" s="769"/>
      <c r="Y173" s="769"/>
      <c r="Z173" s="769"/>
    </row>
    <row r="174" spans="1:26" ht="18.75" x14ac:dyDescent="0.3">
      <c r="A174" s="769"/>
      <c r="B174" s="769"/>
      <c r="C174" s="769"/>
      <c r="D174" s="771"/>
      <c r="E174" s="769"/>
      <c r="F174" s="769"/>
      <c r="G174" s="769"/>
      <c r="H174" s="769"/>
      <c r="I174" s="769"/>
      <c r="J174" s="769"/>
      <c r="K174" s="772"/>
      <c r="L174" s="769"/>
      <c r="M174" s="769"/>
      <c r="N174" s="769"/>
      <c r="O174" s="769"/>
      <c r="P174" s="769"/>
      <c r="Q174" s="769"/>
      <c r="R174" s="769"/>
      <c r="S174" s="769"/>
      <c r="T174" s="769"/>
      <c r="U174" s="769"/>
      <c r="V174" s="769"/>
      <c r="W174" s="769"/>
      <c r="X174" s="769"/>
      <c r="Y174" s="769"/>
      <c r="Z174" s="769"/>
    </row>
    <row r="175" spans="1:26" ht="18.75" x14ac:dyDescent="0.3">
      <c r="A175" s="769"/>
      <c r="B175" s="769"/>
      <c r="C175" s="769"/>
      <c r="D175" s="771"/>
      <c r="E175" s="769"/>
      <c r="F175" s="769"/>
      <c r="G175" s="769"/>
      <c r="H175" s="769"/>
      <c r="I175" s="769"/>
      <c r="J175" s="769"/>
      <c r="K175" s="772"/>
      <c r="L175" s="769"/>
      <c r="M175" s="769"/>
      <c r="N175" s="769"/>
      <c r="O175" s="769"/>
      <c r="P175" s="769"/>
      <c r="Q175" s="769"/>
      <c r="R175" s="769"/>
      <c r="S175" s="769"/>
      <c r="T175" s="769"/>
      <c r="U175" s="769"/>
      <c r="V175" s="769"/>
      <c r="W175" s="769"/>
      <c r="X175" s="769"/>
      <c r="Y175" s="769"/>
      <c r="Z175" s="769"/>
    </row>
    <row r="176" spans="1:26" ht="18.75" x14ac:dyDescent="0.3">
      <c r="A176" s="769"/>
      <c r="B176" s="769"/>
      <c r="C176" s="769"/>
      <c r="D176" s="771"/>
      <c r="E176" s="769"/>
      <c r="F176" s="769"/>
      <c r="G176" s="769"/>
      <c r="H176" s="769"/>
      <c r="I176" s="769"/>
      <c r="J176" s="769"/>
      <c r="K176" s="772"/>
      <c r="L176" s="769"/>
      <c r="M176" s="769"/>
      <c r="N176" s="769"/>
      <c r="O176" s="769"/>
      <c r="P176" s="769"/>
      <c r="Q176" s="769"/>
      <c r="R176" s="769"/>
      <c r="S176" s="769"/>
      <c r="T176" s="769"/>
      <c r="U176" s="769"/>
      <c r="V176" s="769"/>
      <c r="W176" s="769"/>
      <c r="X176" s="769"/>
      <c r="Y176" s="769"/>
      <c r="Z176" s="769"/>
    </row>
    <row r="177" spans="1:26" ht="18.75" x14ac:dyDescent="0.3">
      <c r="A177" s="769"/>
      <c r="B177" s="769"/>
      <c r="C177" s="769"/>
      <c r="D177" s="771"/>
      <c r="E177" s="769"/>
      <c r="F177" s="769"/>
      <c r="G177" s="769"/>
      <c r="H177" s="769"/>
      <c r="I177" s="769"/>
      <c r="J177" s="769"/>
      <c r="K177" s="772"/>
      <c r="L177" s="769"/>
      <c r="M177" s="769"/>
      <c r="N177" s="769"/>
      <c r="O177" s="769"/>
      <c r="P177" s="769"/>
      <c r="Q177" s="769"/>
      <c r="R177" s="769"/>
      <c r="S177" s="769"/>
      <c r="T177" s="769"/>
      <c r="U177" s="769"/>
      <c r="V177" s="769"/>
      <c r="W177" s="769"/>
      <c r="X177" s="769"/>
      <c r="Y177" s="769"/>
      <c r="Z177" s="769"/>
    </row>
    <row r="178" spans="1:26" ht="18.75" x14ac:dyDescent="0.3">
      <c r="A178" s="769"/>
      <c r="B178" s="769"/>
      <c r="C178" s="769"/>
      <c r="D178" s="771"/>
      <c r="E178" s="769"/>
      <c r="F178" s="769"/>
      <c r="G178" s="769"/>
      <c r="H178" s="769"/>
      <c r="I178" s="769"/>
      <c r="J178" s="769"/>
      <c r="K178" s="772"/>
      <c r="L178" s="769"/>
      <c r="M178" s="769"/>
      <c r="N178" s="769"/>
      <c r="O178" s="769"/>
      <c r="P178" s="769"/>
      <c r="Q178" s="769"/>
      <c r="R178" s="769"/>
      <c r="S178" s="769"/>
      <c r="T178" s="769"/>
      <c r="U178" s="769"/>
      <c r="V178" s="769"/>
      <c r="W178" s="769"/>
      <c r="X178" s="769"/>
      <c r="Y178" s="769"/>
      <c r="Z178" s="769"/>
    </row>
    <row r="179" spans="1:26" ht="18.75" x14ac:dyDescent="0.3">
      <c r="A179" s="769"/>
      <c r="B179" s="769"/>
      <c r="C179" s="769"/>
      <c r="D179" s="771"/>
      <c r="E179" s="769"/>
      <c r="F179" s="769"/>
      <c r="G179" s="769"/>
      <c r="H179" s="769"/>
      <c r="I179" s="769"/>
      <c r="J179" s="769"/>
      <c r="K179" s="772"/>
      <c r="L179" s="769"/>
      <c r="M179" s="769"/>
      <c r="N179" s="769"/>
      <c r="O179" s="769"/>
      <c r="P179" s="769"/>
      <c r="Q179" s="769"/>
      <c r="R179" s="769"/>
      <c r="S179" s="769"/>
      <c r="T179" s="769"/>
      <c r="U179" s="769"/>
      <c r="V179" s="769"/>
      <c r="W179" s="769"/>
      <c r="X179" s="769"/>
      <c r="Y179" s="769"/>
      <c r="Z179" s="769"/>
    </row>
    <row r="180" spans="1:26" ht="18.75" x14ac:dyDescent="0.3">
      <c r="A180" s="769"/>
      <c r="B180" s="769"/>
      <c r="C180" s="769"/>
      <c r="D180" s="771"/>
      <c r="E180" s="769"/>
      <c r="F180" s="769"/>
      <c r="G180" s="769"/>
      <c r="H180" s="769"/>
      <c r="I180" s="769"/>
      <c r="J180" s="769"/>
      <c r="K180" s="772"/>
      <c r="L180" s="769"/>
      <c r="M180" s="769"/>
      <c r="N180" s="769"/>
      <c r="O180" s="769"/>
      <c r="P180" s="769"/>
      <c r="Q180" s="769"/>
      <c r="R180" s="769"/>
      <c r="S180" s="769"/>
      <c r="T180" s="769"/>
      <c r="U180" s="769"/>
      <c r="V180" s="769"/>
      <c r="W180" s="769"/>
      <c r="X180" s="769"/>
      <c r="Y180" s="769"/>
      <c r="Z180" s="769"/>
    </row>
    <row r="181" spans="1:26" ht="18.75" x14ac:dyDescent="0.3">
      <c r="A181" s="769"/>
      <c r="B181" s="769"/>
      <c r="C181" s="769"/>
      <c r="D181" s="771"/>
      <c r="E181" s="769"/>
      <c r="F181" s="769"/>
      <c r="G181" s="769"/>
      <c r="H181" s="769"/>
      <c r="I181" s="769"/>
      <c r="J181" s="769"/>
      <c r="K181" s="772"/>
      <c r="L181" s="769"/>
      <c r="M181" s="769"/>
      <c r="N181" s="769"/>
      <c r="O181" s="769"/>
      <c r="P181" s="769"/>
      <c r="Q181" s="769"/>
      <c r="R181" s="769"/>
      <c r="S181" s="769"/>
      <c r="T181" s="769"/>
      <c r="U181" s="769"/>
      <c r="V181" s="769"/>
      <c r="W181" s="769"/>
      <c r="X181" s="769"/>
      <c r="Y181" s="769"/>
      <c r="Z181" s="769"/>
    </row>
    <row r="182" spans="1:26" ht="18.75" x14ac:dyDescent="0.3">
      <c r="A182" s="769"/>
      <c r="B182" s="769"/>
      <c r="C182" s="769"/>
      <c r="D182" s="771"/>
      <c r="E182" s="769"/>
      <c r="F182" s="769"/>
      <c r="G182" s="769"/>
      <c r="H182" s="769"/>
      <c r="I182" s="769"/>
      <c r="J182" s="769"/>
      <c r="K182" s="772"/>
      <c r="L182" s="769"/>
      <c r="M182" s="769"/>
      <c r="N182" s="769"/>
      <c r="O182" s="769"/>
      <c r="P182" s="769"/>
      <c r="Q182" s="769"/>
      <c r="R182" s="769"/>
      <c r="S182" s="769"/>
      <c r="T182" s="769"/>
      <c r="U182" s="769"/>
      <c r="V182" s="769"/>
      <c r="W182" s="769"/>
      <c r="X182" s="769"/>
      <c r="Y182" s="769"/>
      <c r="Z182" s="769"/>
    </row>
    <row r="183" spans="1:26" ht="18.75" x14ac:dyDescent="0.3">
      <c r="A183" s="769"/>
      <c r="B183" s="769"/>
      <c r="C183" s="769"/>
      <c r="D183" s="771"/>
      <c r="E183" s="769"/>
      <c r="F183" s="769"/>
      <c r="G183" s="769"/>
      <c r="H183" s="769"/>
      <c r="I183" s="769"/>
      <c r="J183" s="769"/>
      <c r="K183" s="772"/>
      <c r="L183" s="769"/>
      <c r="M183" s="769"/>
      <c r="N183" s="769"/>
      <c r="O183" s="769"/>
      <c r="P183" s="769"/>
      <c r="Q183" s="769"/>
      <c r="R183" s="769"/>
      <c r="S183" s="769"/>
      <c r="T183" s="769"/>
      <c r="U183" s="769"/>
      <c r="V183" s="769"/>
      <c r="W183" s="769"/>
      <c r="X183" s="769"/>
      <c r="Y183" s="769"/>
      <c r="Z183" s="769"/>
    </row>
    <row r="184" spans="1:26" ht="18.75" x14ac:dyDescent="0.3">
      <c r="A184" s="769"/>
      <c r="B184" s="769"/>
      <c r="C184" s="769"/>
      <c r="D184" s="771"/>
      <c r="E184" s="769"/>
      <c r="F184" s="769"/>
      <c r="G184" s="769"/>
      <c r="H184" s="769"/>
      <c r="I184" s="769"/>
      <c r="J184" s="769"/>
      <c r="K184" s="772"/>
      <c r="L184" s="769"/>
      <c r="M184" s="769"/>
      <c r="N184" s="769"/>
      <c r="O184" s="769"/>
      <c r="P184" s="769"/>
      <c r="Q184" s="769"/>
      <c r="R184" s="769"/>
      <c r="S184" s="769"/>
      <c r="T184" s="769"/>
      <c r="U184" s="769"/>
      <c r="V184" s="769"/>
      <c r="W184" s="769"/>
      <c r="X184" s="769"/>
      <c r="Y184" s="769"/>
      <c r="Z184" s="769"/>
    </row>
    <row r="185" spans="1:26" ht="18.75" x14ac:dyDescent="0.3">
      <c r="A185" s="769"/>
      <c r="B185" s="769"/>
      <c r="C185" s="769"/>
      <c r="D185" s="771"/>
      <c r="E185" s="769"/>
      <c r="F185" s="769"/>
      <c r="G185" s="769"/>
      <c r="H185" s="769"/>
      <c r="I185" s="769"/>
      <c r="J185" s="769"/>
      <c r="K185" s="772"/>
      <c r="L185" s="769"/>
      <c r="M185" s="769"/>
      <c r="N185" s="769"/>
      <c r="O185" s="769"/>
      <c r="P185" s="769"/>
      <c r="Q185" s="769"/>
      <c r="R185" s="769"/>
      <c r="S185" s="769"/>
      <c r="T185" s="769"/>
      <c r="U185" s="769"/>
      <c r="V185" s="769"/>
      <c r="W185" s="769"/>
      <c r="X185" s="769"/>
      <c r="Y185" s="769"/>
      <c r="Z185" s="769"/>
    </row>
    <row r="186" spans="1:26" ht="18.75" x14ac:dyDescent="0.3">
      <c r="A186" s="769"/>
      <c r="B186" s="769"/>
      <c r="C186" s="769"/>
      <c r="D186" s="771"/>
      <c r="E186" s="769"/>
      <c r="F186" s="769"/>
      <c r="G186" s="769"/>
      <c r="H186" s="769"/>
      <c r="I186" s="769"/>
      <c r="J186" s="769"/>
      <c r="K186" s="772"/>
      <c r="L186" s="769"/>
      <c r="M186" s="769"/>
      <c r="N186" s="769"/>
      <c r="O186" s="769"/>
      <c r="P186" s="769"/>
      <c r="Q186" s="769"/>
      <c r="R186" s="769"/>
      <c r="S186" s="769"/>
      <c r="T186" s="769"/>
      <c r="U186" s="769"/>
      <c r="V186" s="769"/>
      <c r="W186" s="769"/>
      <c r="X186" s="769"/>
      <c r="Y186" s="769"/>
      <c r="Z186" s="769"/>
    </row>
    <row r="187" spans="1:26" ht="18.75" x14ac:dyDescent="0.3">
      <c r="A187" s="769"/>
      <c r="B187" s="769"/>
      <c r="C187" s="769"/>
      <c r="D187" s="771"/>
      <c r="E187" s="769"/>
      <c r="F187" s="769"/>
      <c r="G187" s="769"/>
      <c r="H187" s="769"/>
      <c r="I187" s="769"/>
      <c r="J187" s="769"/>
      <c r="K187" s="772"/>
      <c r="L187" s="769"/>
      <c r="M187" s="769"/>
      <c r="N187" s="769"/>
      <c r="O187" s="769"/>
      <c r="P187" s="769"/>
      <c r="Q187" s="769"/>
      <c r="R187" s="769"/>
      <c r="S187" s="769"/>
      <c r="T187" s="769"/>
      <c r="U187" s="769"/>
      <c r="V187" s="769"/>
      <c r="W187" s="769"/>
      <c r="X187" s="769"/>
      <c r="Y187" s="769"/>
      <c r="Z187" s="769"/>
    </row>
    <row r="188" spans="1:26" ht="18.75" x14ac:dyDescent="0.3">
      <c r="A188" s="769"/>
      <c r="B188" s="769"/>
      <c r="C188" s="769"/>
      <c r="D188" s="771"/>
      <c r="E188" s="769"/>
      <c r="F188" s="769"/>
      <c r="G188" s="769"/>
      <c r="H188" s="769"/>
      <c r="I188" s="769"/>
      <c r="J188" s="769"/>
      <c r="K188" s="772"/>
      <c r="L188" s="769"/>
      <c r="M188" s="769"/>
      <c r="N188" s="769"/>
      <c r="O188" s="769"/>
      <c r="P188" s="769"/>
      <c r="Q188" s="769"/>
      <c r="R188" s="769"/>
      <c r="S188" s="769"/>
      <c r="T188" s="769"/>
      <c r="U188" s="769"/>
      <c r="V188" s="769"/>
      <c r="W188" s="769"/>
      <c r="X188" s="769"/>
      <c r="Y188" s="769"/>
      <c r="Z188" s="769"/>
    </row>
    <row r="189" spans="1:26" ht="18.75" x14ac:dyDescent="0.3">
      <c r="A189" s="769"/>
      <c r="B189" s="769"/>
      <c r="C189" s="769"/>
      <c r="D189" s="771"/>
      <c r="E189" s="769"/>
      <c r="F189" s="769"/>
      <c r="G189" s="769"/>
      <c r="H189" s="769"/>
      <c r="I189" s="769"/>
      <c r="J189" s="769"/>
      <c r="K189" s="772"/>
      <c r="L189" s="769"/>
      <c r="M189" s="769"/>
      <c r="N189" s="769"/>
      <c r="O189" s="769"/>
      <c r="P189" s="769"/>
      <c r="Q189" s="769"/>
      <c r="R189" s="769"/>
      <c r="S189" s="769"/>
      <c r="T189" s="769"/>
      <c r="U189" s="769"/>
      <c r="V189" s="769"/>
      <c r="W189" s="769"/>
      <c r="X189" s="769"/>
      <c r="Y189" s="769"/>
      <c r="Z189" s="769"/>
    </row>
    <row r="190" spans="1:26" ht="18.75" x14ac:dyDescent="0.3">
      <c r="A190" s="769"/>
      <c r="B190" s="769"/>
      <c r="C190" s="769"/>
      <c r="D190" s="771"/>
      <c r="E190" s="769"/>
      <c r="F190" s="769"/>
      <c r="G190" s="769"/>
      <c r="H190" s="769"/>
      <c r="I190" s="769"/>
      <c r="J190" s="769"/>
      <c r="K190" s="772"/>
      <c r="L190" s="769"/>
      <c r="M190" s="769"/>
      <c r="N190" s="769"/>
      <c r="O190" s="769"/>
      <c r="P190" s="769"/>
      <c r="Q190" s="769"/>
      <c r="R190" s="769"/>
      <c r="S190" s="769"/>
      <c r="T190" s="769"/>
      <c r="U190" s="769"/>
      <c r="V190" s="769"/>
      <c r="W190" s="769"/>
      <c r="X190" s="769"/>
      <c r="Y190" s="769"/>
      <c r="Z190" s="769"/>
    </row>
    <row r="191" spans="1:26" ht="18.75" x14ac:dyDescent="0.3">
      <c r="A191" s="769"/>
      <c r="B191" s="769"/>
      <c r="C191" s="769"/>
      <c r="D191" s="771"/>
      <c r="E191" s="769"/>
      <c r="F191" s="769"/>
      <c r="G191" s="769"/>
      <c r="H191" s="769"/>
      <c r="I191" s="769"/>
      <c r="J191" s="769"/>
      <c r="K191" s="772"/>
      <c r="L191" s="769"/>
      <c r="M191" s="769"/>
      <c r="N191" s="769"/>
      <c r="O191" s="769"/>
      <c r="P191" s="769"/>
      <c r="Q191" s="769"/>
      <c r="R191" s="769"/>
      <c r="S191" s="769"/>
      <c r="T191" s="769"/>
      <c r="U191" s="769"/>
      <c r="V191" s="769"/>
      <c r="W191" s="769"/>
      <c r="X191" s="769"/>
      <c r="Y191" s="769"/>
      <c r="Z191" s="769"/>
    </row>
    <row r="192" spans="1:26" ht="18.75" x14ac:dyDescent="0.3">
      <c r="A192" s="769"/>
      <c r="B192" s="769"/>
      <c r="C192" s="769"/>
      <c r="D192" s="771"/>
      <c r="E192" s="769"/>
      <c r="F192" s="769"/>
      <c r="G192" s="769"/>
      <c r="H192" s="769"/>
      <c r="I192" s="769"/>
      <c r="J192" s="769"/>
      <c r="K192" s="772"/>
      <c r="L192" s="769"/>
      <c r="M192" s="769"/>
      <c r="N192" s="769"/>
      <c r="O192" s="769"/>
      <c r="P192" s="769"/>
      <c r="Q192" s="769"/>
      <c r="R192" s="769"/>
      <c r="S192" s="769"/>
      <c r="T192" s="769"/>
      <c r="U192" s="769"/>
      <c r="V192" s="769"/>
      <c r="W192" s="769"/>
      <c r="X192" s="769"/>
      <c r="Y192" s="769"/>
      <c r="Z192" s="769"/>
    </row>
    <row r="193" spans="1:26" ht="18.75" x14ac:dyDescent="0.3">
      <c r="A193" s="769"/>
      <c r="B193" s="769"/>
      <c r="C193" s="769"/>
      <c r="D193" s="771"/>
      <c r="E193" s="769"/>
      <c r="F193" s="769"/>
      <c r="G193" s="769"/>
      <c r="H193" s="769"/>
      <c r="I193" s="769"/>
      <c r="J193" s="769"/>
      <c r="K193" s="772"/>
      <c r="L193" s="769"/>
      <c r="M193" s="769"/>
      <c r="N193" s="769"/>
      <c r="O193" s="769"/>
      <c r="P193" s="769"/>
      <c r="Q193" s="769"/>
      <c r="R193" s="769"/>
      <c r="S193" s="769"/>
      <c r="T193" s="769"/>
      <c r="U193" s="769"/>
      <c r="V193" s="769"/>
      <c r="W193" s="769"/>
      <c r="X193" s="769"/>
      <c r="Y193" s="769"/>
      <c r="Z193" s="769"/>
    </row>
    <row r="194" spans="1:26" ht="18.75" x14ac:dyDescent="0.3">
      <c r="A194" s="769"/>
      <c r="B194" s="769"/>
      <c r="C194" s="769"/>
      <c r="D194" s="771"/>
      <c r="E194" s="769"/>
      <c r="F194" s="769"/>
      <c r="G194" s="769"/>
      <c r="H194" s="769"/>
      <c r="I194" s="769"/>
      <c r="J194" s="769"/>
      <c r="K194" s="772"/>
      <c r="L194" s="769"/>
      <c r="M194" s="769"/>
      <c r="N194" s="769"/>
      <c r="O194" s="769"/>
      <c r="P194" s="769"/>
      <c r="Q194" s="769"/>
      <c r="R194" s="769"/>
      <c r="S194" s="769"/>
      <c r="T194" s="769"/>
      <c r="U194" s="769"/>
      <c r="V194" s="769"/>
      <c r="W194" s="769"/>
      <c r="X194" s="769"/>
      <c r="Y194" s="769"/>
      <c r="Z194" s="769"/>
    </row>
    <row r="195" spans="1:26" ht="18.75" x14ac:dyDescent="0.3">
      <c r="A195" s="769"/>
      <c r="B195" s="769"/>
      <c r="C195" s="769"/>
      <c r="D195" s="771"/>
      <c r="E195" s="769"/>
      <c r="F195" s="769"/>
      <c r="G195" s="769"/>
      <c r="H195" s="769"/>
      <c r="I195" s="769"/>
      <c r="J195" s="769"/>
      <c r="K195" s="772"/>
      <c r="L195" s="769"/>
      <c r="M195" s="769"/>
      <c r="N195" s="769"/>
      <c r="O195" s="769"/>
      <c r="P195" s="769"/>
      <c r="Q195" s="769"/>
      <c r="R195" s="769"/>
      <c r="S195" s="769"/>
      <c r="T195" s="769"/>
      <c r="U195" s="769"/>
      <c r="V195" s="769"/>
      <c r="W195" s="769"/>
      <c r="X195" s="769"/>
      <c r="Y195" s="769"/>
      <c r="Z195" s="769"/>
    </row>
    <row r="196" spans="1:26" ht="18.75" x14ac:dyDescent="0.3">
      <c r="A196" s="769"/>
      <c r="B196" s="769"/>
      <c r="C196" s="769"/>
      <c r="D196" s="771"/>
      <c r="E196" s="769"/>
      <c r="F196" s="769"/>
      <c r="G196" s="769"/>
      <c r="H196" s="769"/>
      <c r="I196" s="769"/>
      <c r="J196" s="769"/>
      <c r="K196" s="772"/>
      <c r="L196" s="769"/>
      <c r="M196" s="769"/>
      <c r="N196" s="769"/>
      <c r="O196" s="769"/>
      <c r="P196" s="769"/>
      <c r="Q196" s="769"/>
      <c r="R196" s="769"/>
      <c r="S196" s="769"/>
      <c r="T196" s="769"/>
      <c r="U196" s="769"/>
      <c r="V196" s="769"/>
      <c r="W196" s="769"/>
      <c r="X196" s="769"/>
      <c r="Y196" s="769"/>
      <c r="Z196" s="769"/>
    </row>
    <row r="197" spans="1:26" ht="18.75" x14ac:dyDescent="0.3">
      <c r="A197" s="769"/>
      <c r="B197" s="769"/>
      <c r="C197" s="769"/>
      <c r="D197" s="771"/>
      <c r="E197" s="769"/>
      <c r="F197" s="769"/>
      <c r="G197" s="769"/>
      <c r="H197" s="769"/>
      <c r="I197" s="769"/>
      <c r="J197" s="769"/>
      <c r="K197" s="772"/>
      <c r="L197" s="769"/>
      <c r="M197" s="769"/>
      <c r="N197" s="769"/>
      <c r="O197" s="769"/>
      <c r="P197" s="769"/>
      <c r="Q197" s="769"/>
      <c r="R197" s="769"/>
      <c r="S197" s="769"/>
      <c r="T197" s="769"/>
      <c r="U197" s="769"/>
      <c r="V197" s="769"/>
      <c r="W197" s="769"/>
      <c r="X197" s="769"/>
      <c r="Y197" s="769"/>
      <c r="Z197" s="769"/>
    </row>
    <row r="198" spans="1:26" ht="18.75" x14ac:dyDescent="0.3">
      <c r="A198" s="769"/>
      <c r="B198" s="769"/>
      <c r="C198" s="769"/>
      <c r="D198" s="771"/>
      <c r="E198" s="769"/>
      <c r="F198" s="769"/>
      <c r="G198" s="769"/>
      <c r="H198" s="769"/>
      <c r="I198" s="769"/>
      <c r="J198" s="769"/>
      <c r="K198" s="772"/>
      <c r="L198" s="769"/>
      <c r="M198" s="769"/>
      <c r="N198" s="769"/>
      <c r="O198" s="769"/>
      <c r="P198" s="769"/>
      <c r="Q198" s="769"/>
      <c r="R198" s="769"/>
      <c r="S198" s="769"/>
      <c r="T198" s="769"/>
      <c r="U198" s="769"/>
      <c r="V198" s="769"/>
      <c r="W198" s="769"/>
      <c r="X198" s="769"/>
      <c r="Y198" s="769"/>
      <c r="Z198" s="769"/>
    </row>
    <row r="199" spans="1:26" ht="18.75" x14ac:dyDescent="0.3">
      <c r="A199" s="769"/>
      <c r="B199" s="769"/>
      <c r="C199" s="769"/>
      <c r="D199" s="771"/>
      <c r="E199" s="769"/>
      <c r="F199" s="769"/>
      <c r="G199" s="769"/>
      <c r="H199" s="769"/>
      <c r="I199" s="769"/>
      <c r="J199" s="769"/>
      <c r="K199" s="772"/>
      <c r="L199" s="769"/>
      <c r="M199" s="769"/>
      <c r="N199" s="769"/>
      <c r="O199" s="769"/>
      <c r="P199" s="769"/>
      <c r="Q199" s="769"/>
      <c r="R199" s="769"/>
      <c r="S199" s="769"/>
      <c r="T199" s="769"/>
      <c r="U199" s="769"/>
      <c r="V199" s="769"/>
      <c r="W199" s="769"/>
      <c r="X199" s="769"/>
      <c r="Y199" s="769"/>
      <c r="Z199" s="769"/>
    </row>
    <row r="200" spans="1:26" ht="18.75" x14ac:dyDescent="0.3">
      <c r="A200" s="769"/>
      <c r="B200" s="769"/>
      <c r="C200" s="769"/>
      <c r="D200" s="771"/>
      <c r="E200" s="769"/>
      <c r="F200" s="769"/>
      <c r="G200" s="769"/>
      <c r="H200" s="769"/>
      <c r="I200" s="769"/>
      <c r="J200" s="769"/>
      <c r="K200" s="772"/>
      <c r="L200" s="769"/>
      <c r="M200" s="769"/>
      <c r="N200" s="769"/>
      <c r="O200" s="769"/>
      <c r="P200" s="769"/>
      <c r="Q200" s="769"/>
      <c r="R200" s="769"/>
      <c r="S200" s="769"/>
      <c r="T200" s="769"/>
      <c r="U200" s="769"/>
      <c r="V200" s="769"/>
      <c r="W200" s="769"/>
      <c r="X200" s="769"/>
      <c r="Y200" s="769"/>
      <c r="Z200" s="769"/>
    </row>
    <row r="201" spans="1:26" ht="18.75" customHeight="1" x14ac:dyDescent="0.3">
      <c r="A201" s="769"/>
      <c r="B201" s="769"/>
      <c r="C201" s="769"/>
      <c r="D201" s="771"/>
      <c r="E201" s="769"/>
      <c r="F201" s="769"/>
      <c r="G201" s="769"/>
      <c r="H201" s="769"/>
      <c r="I201" s="769"/>
      <c r="J201" s="769"/>
      <c r="K201" s="772"/>
      <c r="L201" s="769"/>
      <c r="M201" s="769"/>
      <c r="N201" s="769"/>
      <c r="O201" s="769"/>
      <c r="P201" s="769"/>
      <c r="Q201" s="769"/>
      <c r="R201" s="769"/>
      <c r="S201" s="769"/>
      <c r="T201" s="769"/>
      <c r="U201" s="769"/>
      <c r="V201" s="769"/>
      <c r="W201" s="769"/>
      <c r="X201" s="769"/>
      <c r="Y201" s="769"/>
      <c r="Z201" s="769"/>
    </row>
    <row r="202" spans="1:26" ht="18.75" customHeight="1" x14ac:dyDescent="0.3">
      <c r="A202" s="769"/>
      <c r="B202" s="769"/>
      <c r="C202" s="769"/>
      <c r="D202" s="771"/>
      <c r="E202" s="769"/>
      <c r="F202" s="769"/>
      <c r="G202" s="769"/>
      <c r="H202" s="769"/>
      <c r="I202" s="769"/>
      <c r="J202" s="769"/>
      <c r="K202" s="772"/>
      <c r="L202" s="769"/>
      <c r="M202" s="769"/>
      <c r="N202" s="769"/>
      <c r="O202" s="769"/>
      <c r="P202" s="769"/>
      <c r="Q202" s="769"/>
      <c r="R202" s="769"/>
      <c r="S202" s="769"/>
      <c r="T202" s="769"/>
      <c r="U202" s="769"/>
      <c r="V202" s="769"/>
      <c r="W202" s="769"/>
      <c r="X202" s="769"/>
      <c r="Y202" s="769"/>
      <c r="Z202" s="769"/>
    </row>
    <row r="203" spans="1:26" ht="18.75" customHeight="1" x14ac:dyDescent="0.3">
      <c r="A203" s="769"/>
      <c r="B203" s="769"/>
      <c r="C203" s="769"/>
      <c r="D203" s="771"/>
      <c r="E203" s="769"/>
      <c r="F203" s="769"/>
      <c r="G203" s="769"/>
      <c r="H203" s="769"/>
      <c r="I203" s="769"/>
      <c r="J203" s="769"/>
      <c r="K203" s="772"/>
      <c r="L203" s="769"/>
      <c r="M203" s="769"/>
      <c r="N203" s="769"/>
      <c r="O203" s="769"/>
      <c r="P203" s="769"/>
      <c r="Q203" s="769"/>
      <c r="R203" s="769"/>
      <c r="S203" s="769"/>
      <c r="T203" s="769"/>
      <c r="U203" s="769"/>
      <c r="V203" s="769"/>
      <c r="W203" s="769"/>
      <c r="X203" s="769"/>
      <c r="Y203" s="769"/>
      <c r="Z203" s="769"/>
    </row>
    <row r="204" spans="1:26" ht="18.75" customHeight="1" x14ac:dyDescent="0.3">
      <c r="A204" s="769"/>
      <c r="B204" s="769"/>
      <c r="C204" s="769"/>
      <c r="D204" s="771"/>
      <c r="E204" s="769"/>
      <c r="F204" s="769"/>
      <c r="G204" s="769"/>
      <c r="H204" s="769"/>
      <c r="I204" s="769"/>
      <c r="J204" s="769"/>
      <c r="K204" s="772"/>
      <c r="L204" s="769"/>
      <c r="M204" s="769"/>
      <c r="N204" s="769"/>
      <c r="O204" s="769"/>
      <c r="P204" s="769"/>
      <c r="Q204" s="769"/>
      <c r="R204" s="769"/>
      <c r="S204" s="769"/>
      <c r="T204" s="769"/>
      <c r="U204" s="769"/>
      <c r="V204" s="769"/>
      <c r="W204" s="769"/>
      <c r="X204" s="769"/>
      <c r="Y204" s="769"/>
      <c r="Z204" s="769"/>
    </row>
    <row r="205" spans="1:26" ht="18.75" customHeight="1" x14ac:dyDescent="0.3">
      <c r="A205" s="769"/>
      <c r="B205" s="769"/>
      <c r="C205" s="769"/>
      <c r="D205" s="771"/>
      <c r="E205" s="769"/>
      <c r="F205" s="769"/>
      <c r="G205" s="769"/>
      <c r="H205" s="769"/>
      <c r="I205" s="769"/>
      <c r="J205" s="769"/>
      <c r="K205" s="772"/>
      <c r="L205" s="769"/>
      <c r="M205" s="769"/>
      <c r="N205" s="769"/>
      <c r="O205" s="769"/>
      <c r="P205" s="769"/>
      <c r="Q205" s="769"/>
      <c r="R205" s="769"/>
      <c r="S205" s="769"/>
      <c r="T205" s="769"/>
      <c r="U205" s="769"/>
      <c r="V205" s="769"/>
      <c r="W205" s="769"/>
      <c r="X205" s="769"/>
      <c r="Y205" s="769"/>
      <c r="Z205" s="769"/>
    </row>
    <row r="206" spans="1:26" ht="18.75" customHeight="1" x14ac:dyDescent="0.3">
      <c r="A206" s="769"/>
      <c r="B206" s="769"/>
      <c r="C206" s="769"/>
      <c r="D206" s="771"/>
      <c r="E206" s="769"/>
      <c r="F206" s="769"/>
      <c r="G206" s="769"/>
      <c r="H206" s="769"/>
      <c r="I206" s="769"/>
      <c r="J206" s="769"/>
      <c r="K206" s="772"/>
      <c r="L206" s="769"/>
      <c r="M206" s="769"/>
      <c r="N206" s="769"/>
      <c r="O206" s="769"/>
      <c r="P206" s="769"/>
      <c r="Q206" s="769"/>
      <c r="R206" s="769"/>
      <c r="S206" s="769"/>
      <c r="T206" s="769"/>
      <c r="U206" s="769"/>
      <c r="V206" s="769"/>
      <c r="W206" s="769"/>
      <c r="X206" s="769"/>
      <c r="Y206" s="769"/>
      <c r="Z206" s="769"/>
    </row>
    <row r="207" spans="1:26" ht="18.75" customHeight="1" x14ac:dyDescent="0.3">
      <c r="A207" s="769"/>
      <c r="B207" s="769"/>
      <c r="C207" s="769"/>
      <c r="D207" s="771"/>
      <c r="E207" s="769"/>
      <c r="F207" s="769"/>
      <c r="G207" s="769"/>
      <c r="H207" s="769"/>
      <c r="I207" s="769"/>
      <c r="J207" s="769"/>
      <c r="K207" s="772"/>
      <c r="L207" s="769"/>
      <c r="M207" s="769"/>
      <c r="N207" s="769"/>
      <c r="O207" s="769"/>
      <c r="P207" s="769"/>
      <c r="Q207" s="769"/>
      <c r="R207" s="769"/>
      <c r="S207" s="769"/>
      <c r="T207" s="769"/>
      <c r="U207" s="769"/>
      <c r="V207" s="769"/>
      <c r="W207" s="769"/>
      <c r="X207" s="769"/>
      <c r="Y207" s="769"/>
      <c r="Z207" s="769"/>
    </row>
    <row r="208" spans="1:26" ht="18.75" customHeight="1" x14ac:dyDescent="0.3">
      <c r="A208" s="769"/>
      <c r="B208" s="769"/>
      <c r="C208" s="769"/>
      <c r="D208" s="771"/>
      <c r="E208" s="769"/>
      <c r="F208" s="769"/>
      <c r="G208" s="769"/>
      <c r="H208" s="769"/>
      <c r="I208" s="769"/>
      <c r="J208" s="769"/>
      <c r="K208" s="772"/>
      <c r="L208" s="769"/>
      <c r="M208" s="769"/>
      <c r="N208" s="769"/>
      <c r="O208" s="769"/>
      <c r="P208" s="769"/>
      <c r="Q208" s="769"/>
      <c r="R208" s="769"/>
      <c r="S208" s="769"/>
      <c r="T208" s="769"/>
      <c r="U208" s="769"/>
      <c r="V208" s="769"/>
      <c r="W208" s="769"/>
      <c r="X208" s="769"/>
      <c r="Y208" s="769"/>
      <c r="Z208" s="769"/>
    </row>
    <row r="209" spans="1:26" ht="18.75" customHeight="1" x14ac:dyDescent="0.3">
      <c r="A209" s="769"/>
      <c r="B209" s="769"/>
      <c r="C209" s="769"/>
      <c r="D209" s="771"/>
      <c r="E209" s="769"/>
      <c r="F209" s="769"/>
      <c r="G209" s="769"/>
      <c r="H209" s="769"/>
      <c r="I209" s="769"/>
      <c r="J209" s="769"/>
      <c r="K209" s="772"/>
      <c r="L209" s="769"/>
      <c r="M209" s="769"/>
      <c r="N209" s="769"/>
      <c r="O209" s="769"/>
      <c r="P209" s="769"/>
      <c r="Q209" s="769"/>
      <c r="R209" s="769"/>
      <c r="S209" s="769"/>
      <c r="T209" s="769"/>
      <c r="U209" s="769"/>
      <c r="V209" s="769"/>
      <c r="W209" s="769"/>
      <c r="X209" s="769"/>
      <c r="Y209" s="769"/>
      <c r="Z209" s="769"/>
    </row>
    <row r="210" spans="1:26" ht="18.75" customHeight="1" x14ac:dyDescent="0.3">
      <c r="A210" s="769"/>
      <c r="B210" s="769"/>
      <c r="C210" s="769"/>
      <c r="D210" s="771"/>
      <c r="E210" s="769"/>
      <c r="F210" s="769"/>
      <c r="G210" s="769"/>
      <c r="H210" s="769"/>
      <c r="I210" s="769"/>
      <c r="J210" s="769"/>
      <c r="K210" s="772"/>
      <c r="L210" s="769"/>
      <c r="M210" s="769"/>
      <c r="N210" s="769"/>
      <c r="O210" s="769"/>
      <c r="P210" s="769"/>
      <c r="Q210" s="769"/>
      <c r="R210" s="769"/>
      <c r="S210" s="769"/>
      <c r="T210" s="769"/>
      <c r="U210" s="769"/>
      <c r="V210" s="769"/>
      <c r="W210" s="769"/>
      <c r="X210" s="769"/>
      <c r="Y210" s="769"/>
      <c r="Z210" s="769"/>
    </row>
    <row r="211" spans="1:26" ht="18.75" customHeight="1" x14ac:dyDescent="0.3">
      <c r="A211" s="769"/>
      <c r="B211" s="769"/>
      <c r="C211" s="769"/>
      <c r="D211" s="771"/>
      <c r="E211" s="769"/>
      <c r="F211" s="769"/>
      <c r="G211" s="769"/>
      <c r="H211" s="769"/>
      <c r="I211" s="769"/>
      <c r="J211" s="769"/>
      <c r="K211" s="772"/>
      <c r="L211" s="769"/>
      <c r="M211" s="769"/>
      <c r="N211" s="769"/>
      <c r="O211" s="769"/>
      <c r="P211" s="769"/>
      <c r="Q211" s="769"/>
      <c r="R211" s="769"/>
      <c r="S211" s="769"/>
      <c r="T211" s="769"/>
      <c r="U211" s="769"/>
      <c r="V211" s="769"/>
      <c r="W211" s="769"/>
      <c r="X211" s="769"/>
      <c r="Y211" s="769"/>
      <c r="Z211" s="769"/>
    </row>
    <row r="212" spans="1:26" ht="18.75" customHeight="1" x14ac:dyDescent="0.3">
      <c r="A212" s="769"/>
      <c r="B212" s="769"/>
      <c r="C212" s="769"/>
      <c r="D212" s="771"/>
      <c r="E212" s="769"/>
      <c r="F212" s="769"/>
      <c r="G212" s="769"/>
      <c r="H212" s="769"/>
      <c r="I212" s="769"/>
      <c r="J212" s="769"/>
      <c r="K212" s="772"/>
      <c r="L212" s="769"/>
      <c r="M212" s="769"/>
      <c r="N212" s="769"/>
      <c r="O212" s="769"/>
      <c r="P212" s="769"/>
      <c r="Q212" s="769"/>
      <c r="R212" s="769"/>
      <c r="S212" s="769"/>
      <c r="T212" s="769"/>
      <c r="U212" s="769"/>
      <c r="V212" s="769"/>
      <c r="W212" s="769"/>
      <c r="X212" s="769"/>
      <c r="Y212" s="769"/>
      <c r="Z212" s="769"/>
    </row>
    <row r="213" spans="1:26" ht="18.75" customHeight="1" x14ac:dyDescent="0.3">
      <c r="A213" s="769"/>
      <c r="B213" s="769"/>
      <c r="C213" s="769"/>
      <c r="D213" s="771"/>
      <c r="E213" s="769"/>
      <c r="F213" s="769"/>
      <c r="G213" s="769"/>
      <c r="H213" s="769"/>
      <c r="I213" s="769"/>
      <c r="J213" s="769"/>
      <c r="K213" s="772"/>
      <c r="L213" s="769"/>
      <c r="M213" s="769"/>
      <c r="N213" s="769"/>
      <c r="O213" s="769"/>
      <c r="P213" s="769"/>
      <c r="Q213" s="769"/>
      <c r="R213" s="769"/>
      <c r="S213" s="769"/>
      <c r="T213" s="769"/>
      <c r="U213" s="769"/>
      <c r="V213" s="769"/>
      <c r="W213" s="769"/>
      <c r="X213" s="769"/>
      <c r="Y213" s="769"/>
      <c r="Z213" s="769"/>
    </row>
    <row r="214" spans="1:26" ht="18.75" customHeight="1" x14ac:dyDescent="0.3">
      <c r="A214" s="769"/>
      <c r="B214" s="769"/>
      <c r="C214" s="769"/>
      <c r="D214" s="771"/>
      <c r="E214" s="769"/>
      <c r="F214" s="769"/>
      <c r="G214" s="769"/>
      <c r="H214" s="769"/>
      <c r="I214" s="769"/>
      <c r="J214" s="769"/>
      <c r="K214" s="772"/>
      <c r="L214" s="769"/>
      <c r="M214" s="769"/>
      <c r="N214" s="769"/>
      <c r="O214" s="769"/>
      <c r="P214" s="769"/>
      <c r="Q214" s="769"/>
      <c r="R214" s="769"/>
      <c r="S214" s="769"/>
      <c r="T214" s="769"/>
      <c r="U214" s="769"/>
      <c r="V214" s="769"/>
      <c r="W214" s="769"/>
      <c r="X214" s="769"/>
      <c r="Y214" s="769"/>
      <c r="Z214" s="769"/>
    </row>
    <row r="215" spans="1:26" ht="18.75" customHeight="1" x14ac:dyDescent="0.3">
      <c r="A215" s="769"/>
      <c r="B215" s="769"/>
      <c r="C215" s="769"/>
      <c r="D215" s="771"/>
      <c r="E215" s="769"/>
      <c r="F215" s="769"/>
      <c r="G215" s="769"/>
      <c r="H215" s="769"/>
      <c r="I215" s="769"/>
      <c r="J215" s="769"/>
      <c r="K215" s="772"/>
      <c r="L215" s="769"/>
      <c r="M215" s="769"/>
      <c r="N215" s="769"/>
      <c r="O215" s="769"/>
      <c r="P215" s="769"/>
      <c r="Q215" s="769"/>
      <c r="R215" s="769"/>
      <c r="S215" s="769"/>
      <c r="T215" s="769"/>
      <c r="U215" s="769"/>
      <c r="V215" s="769"/>
      <c r="W215" s="769"/>
      <c r="X215" s="769"/>
      <c r="Y215" s="769"/>
      <c r="Z215" s="769"/>
    </row>
    <row r="216" spans="1:26" ht="18.75" customHeight="1" x14ac:dyDescent="0.3">
      <c r="A216" s="769"/>
      <c r="B216" s="769"/>
      <c r="C216" s="769"/>
      <c r="D216" s="771"/>
      <c r="E216" s="769"/>
      <c r="F216" s="769"/>
      <c r="G216" s="769"/>
      <c r="H216" s="769"/>
      <c r="I216" s="769"/>
      <c r="J216" s="769"/>
      <c r="K216" s="772"/>
      <c r="L216" s="769"/>
      <c r="M216" s="769"/>
      <c r="N216" s="769"/>
      <c r="O216" s="769"/>
      <c r="P216" s="769"/>
      <c r="Q216" s="769"/>
      <c r="R216" s="769"/>
      <c r="S216" s="769"/>
      <c r="T216" s="769"/>
      <c r="U216" s="769"/>
      <c r="V216" s="769"/>
      <c r="W216" s="769"/>
      <c r="X216" s="769"/>
      <c r="Y216" s="769"/>
      <c r="Z216" s="769"/>
    </row>
    <row r="217" spans="1:26" ht="18.75" customHeight="1" x14ac:dyDescent="0.3">
      <c r="A217" s="769"/>
      <c r="B217" s="769"/>
      <c r="C217" s="769"/>
      <c r="D217" s="771"/>
      <c r="E217" s="769"/>
      <c r="F217" s="769"/>
      <c r="G217" s="769"/>
      <c r="H217" s="769"/>
      <c r="I217" s="769"/>
      <c r="J217" s="769"/>
      <c r="K217" s="772"/>
      <c r="L217" s="769"/>
      <c r="M217" s="769"/>
      <c r="N217" s="769"/>
      <c r="O217" s="769"/>
      <c r="P217" s="769"/>
      <c r="Q217" s="769"/>
      <c r="R217" s="769"/>
      <c r="S217" s="769"/>
      <c r="T217" s="769"/>
      <c r="U217" s="769"/>
      <c r="V217" s="769"/>
      <c r="W217" s="769"/>
      <c r="X217" s="769"/>
      <c r="Y217" s="769"/>
      <c r="Z217" s="769"/>
    </row>
    <row r="218" spans="1:26" ht="18.75" customHeight="1" x14ac:dyDescent="0.3">
      <c r="A218" s="769"/>
      <c r="B218" s="769"/>
      <c r="C218" s="769"/>
      <c r="D218" s="771"/>
      <c r="E218" s="769"/>
      <c r="F218" s="769"/>
      <c r="G218" s="769"/>
      <c r="H218" s="769"/>
      <c r="I218" s="769"/>
      <c r="J218" s="769"/>
      <c r="K218" s="772"/>
      <c r="L218" s="769"/>
      <c r="M218" s="769"/>
      <c r="N218" s="769"/>
      <c r="O218" s="769"/>
      <c r="P218" s="769"/>
      <c r="Q218" s="769"/>
      <c r="R218" s="769"/>
      <c r="S218" s="769"/>
      <c r="T218" s="769"/>
      <c r="U218" s="769"/>
      <c r="V218" s="769"/>
      <c r="W218" s="769"/>
      <c r="X218" s="769"/>
      <c r="Y218" s="769"/>
      <c r="Z218" s="769"/>
    </row>
    <row r="219" spans="1:26" ht="18.75" customHeight="1" x14ac:dyDescent="0.3">
      <c r="A219" s="769"/>
      <c r="B219" s="769"/>
      <c r="C219" s="769"/>
      <c r="D219" s="771"/>
      <c r="E219" s="769"/>
      <c r="F219" s="769"/>
      <c r="G219" s="769"/>
      <c r="H219" s="769"/>
      <c r="I219" s="769"/>
      <c r="J219" s="769"/>
      <c r="K219" s="772"/>
      <c r="L219" s="769"/>
      <c r="M219" s="769"/>
      <c r="N219" s="769"/>
      <c r="O219" s="769"/>
      <c r="P219" s="769"/>
      <c r="Q219" s="769"/>
      <c r="R219" s="769"/>
      <c r="S219" s="769"/>
      <c r="T219" s="769"/>
      <c r="U219" s="769"/>
      <c r="V219" s="769"/>
      <c r="W219" s="769"/>
      <c r="X219" s="769"/>
      <c r="Y219" s="769"/>
      <c r="Z219" s="769"/>
    </row>
    <row r="220" spans="1:26" ht="18.75" customHeight="1" x14ac:dyDescent="0.3">
      <c r="A220" s="769"/>
      <c r="B220" s="769"/>
      <c r="C220" s="769"/>
      <c r="D220" s="771"/>
      <c r="E220" s="769"/>
      <c r="F220" s="769"/>
      <c r="G220" s="769"/>
      <c r="H220" s="769"/>
      <c r="I220" s="769"/>
      <c r="J220" s="769"/>
      <c r="K220" s="772"/>
      <c r="L220" s="769"/>
      <c r="M220" s="769"/>
      <c r="N220" s="769"/>
      <c r="O220" s="769"/>
      <c r="P220" s="769"/>
      <c r="Q220" s="769"/>
      <c r="R220" s="769"/>
      <c r="S220" s="769"/>
      <c r="T220" s="769"/>
      <c r="U220" s="769"/>
      <c r="V220" s="769"/>
      <c r="W220" s="769"/>
      <c r="X220" s="769"/>
      <c r="Y220" s="769"/>
      <c r="Z220" s="769"/>
    </row>
    <row r="221" spans="1:26" ht="18.75" customHeight="1" x14ac:dyDescent="0.3">
      <c r="A221" s="769"/>
      <c r="B221" s="769"/>
      <c r="C221" s="769"/>
      <c r="D221" s="771"/>
      <c r="E221" s="769"/>
      <c r="F221" s="769"/>
      <c r="G221" s="769"/>
      <c r="H221" s="769"/>
      <c r="I221" s="769"/>
      <c r="J221" s="769"/>
      <c r="K221" s="772"/>
      <c r="L221" s="769"/>
      <c r="M221" s="769"/>
      <c r="N221" s="769"/>
      <c r="O221" s="769"/>
      <c r="P221" s="769"/>
      <c r="Q221" s="769"/>
      <c r="R221" s="769"/>
      <c r="S221" s="769"/>
      <c r="T221" s="769"/>
      <c r="U221" s="769"/>
      <c r="V221" s="769"/>
      <c r="W221" s="769"/>
      <c r="X221" s="769"/>
      <c r="Y221" s="769"/>
      <c r="Z221" s="769"/>
    </row>
    <row r="222" spans="1:26" ht="18.75" customHeight="1" x14ac:dyDescent="0.3">
      <c r="A222" s="769"/>
      <c r="B222" s="769"/>
      <c r="C222" s="769"/>
      <c r="D222" s="771"/>
      <c r="E222" s="769"/>
      <c r="F222" s="769"/>
      <c r="G222" s="769"/>
      <c r="H222" s="769"/>
      <c r="I222" s="769"/>
      <c r="J222" s="769"/>
      <c r="K222" s="772"/>
      <c r="L222" s="769"/>
      <c r="M222" s="769"/>
      <c r="N222" s="769"/>
      <c r="O222" s="769"/>
      <c r="P222" s="769"/>
      <c r="Q222" s="769"/>
      <c r="R222" s="769"/>
      <c r="S222" s="769"/>
      <c r="T222" s="769"/>
      <c r="U222" s="769"/>
      <c r="V222" s="769"/>
      <c r="W222" s="769"/>
      <c r="X222" s="769"/>
      <c r="Y222" s="769"/>
      <c r="Z222" s="769"/>
    </row>
    <row r="223" spans="1:26" ht="18.75" customHeight="1" x14ac:dyDescent="0.3">
      <c r="A223" s="769"/>
      <c r="B223" s="769"/>
      <c r="C223" s="769"/>
      <c r="D223" s="771"/>
      <c r="E223" s="769"/>
      <c r="F223" s="769"/>
      <c r="G223" s="769"/>
      <c r="H223" s="769"/>
      <c r="I223" s="769"/>
      <c r="J223" s="769"/>
      <c r="K223" s="772"/>
      <c r="L223" s="769"/>
      <c r="M223" s="769"/>
      <c r="N223" s="769"/>
      <c r="O223" s="769"/>
      <c r="P223" s="769"/>
      <c r="Q223" s="769"/>
      <c r="R223" s="769"/>
      <c r="S223" s="769"/>
      <c r="T223" s="769"/>
      <c r="U223" s="769"/>
      <c r="V223" s="769"/>
      <c r="W223" s="769"/>
      <c r="X223" s="769"/>
      <c r="Y223" s="769"/>
      <c r="Z223" s="769"/>
    </row>
    <row r="224" spans="1:26" ht="18.75" customHeight="1" x14ac:dyDescent="0.3">
      <c r="A224" s="769"/>
      <c r="B224" s="769"/>
      <c r="C224" s="769"/>
      <c r="D224" s="771"/>
      <c r="E224" s="769"/>
      <c r="F224" s="769"/>
      <c r="G224" s="769"/>
      <c r="H224" s="769"/>
      <c r="I224" s="769"/>
      <c r="J224" s="769"/>
      <c r="K224" s="772"/>
      <c r="L224" s="769"/>
      <c r="M224" s="769"/>
      <c r="N224" s="769"/>
      <c r="O224" s="769"/>
      <c r="P224" s="769"/>
      <c r="Q224" s="769"/>
      <c r="R224" s="769"/>
      <c r="S224" s="769"/>
      <c r="T224" s="769"/>
      <c r="U224" s="769"/>
      <c r="V224" s="769"/>
      <c r="W224" s="769"/>
      <c r="X224" s="769"/>
      <c r="Y224" s="769"/>
      <c r="Z224" s="769"/>
    </row>
    <row r="225" spans="1:26" ht="18.75" customHeight="1" x14ac:dyDescent="0.3">
      <c r="A225" s="769"/>
      <c r="B225" s="769"/>
      <c r="C225" s="769"/>
      <c r="D225" s="771"/>
      <c r="E225" s="769"/>
      <c r="F225" s="769"/>
      <c r="G225" s="769"/>
      <c r="H225" s="769"/>
      <c r="I225" s="769"/>
      <c r="J225" s="769"/>
      <c r="K225" s="772"/>
      <c r="L225" s="769"/>
      <c r="M225" s="769"/>
      <c r="N225" s="769"/>
      <c r="O225" s="769"/>
      <c r="P225" s="769"/>
      <c r="Q225" s="769"/>
      <c r="R225" s="769"/>
      <c r="S225" s="769"/>
      <c r="T225" s="769"/>
      <c r="U225" s="769"/>
      <c r="V225" s="769"/>
      <c r="W225" s="769"/>
      <c r="X225" s="769"/>
      <c r="Y225" s="769"/>
      <c r="Z225" s="769"/>
    </row>
    <row r="226" spans="1:26" ht="18.75" customHeight="1" x14ac:dyDescent="0.3">
      <c r="A226" s="769"/>
      <c r="B226" s="769"/>
      <c r="C226" s="769"/>
      <c r="D226" s="771"/>
      <c r="E226" s="769"/>
      <c r="F226" s="769"/>
      <c r="G226" s="769"/>
      <c r="H226" s="769"/>
      <c r="I226" s="769"/>
      <c r="J226" s="769"/>
      <c r="K226" s="772"/>
      <c r="L226" s="769"/>
      <c r="M226" s="769"/>
      <c r="N226" s="769"/>
      <c r="O226" s="769"/>
      <c r="P226" s="769"/>
      <c r="Q226" s="769"/>
      <c r="R226" s="769"/>
      <c r="S226" s="769"/>
      <c r="T226" s="769"/>
      <c r="U226" s="769"/>
      <c r="V226" s="769"/>
      <c r="W226" s="769"/>
      <c r="X226" s="769"/>
      <c r="Y226" s="769"/>
      <c r="Z226" s="769"/>
    </row>
    <row r="227" spans="1:26" ht="18.75" customHeight="1" x14ac:dyDescent="0.3">
      <c r="A227" s="769"/>
      <c r="B227" s="769"/>
      <c r="C227" s="769"/>
      <c r="D227" s="771"/>
      <c r="E227" s="769"/>
      <c r="F227" s="769"/>
      <c r="G227" s="769"/>
      <c r="H227" s="769"/>
      <c r="I227" s="769"/>
      <c r="J227" s="769"/>
      <c r="K227" s="772"/>
      <c r="L227" s="769"/>
      <c r="M227" s="769"/>
      <c r="N227" s="769"/>
      <c r="O227" s="769"/>
      <c r="P227" s="769"/>
      <c r="Q227" s="769"/>
      <c r="R227" s="769"/>
      <c r="S227" s="769"/>
      <c r="T227" s="769"/>
      <c r="U227" s="769"/>
      <c r="V227" s="769"/>
      <c r="W227" s="769"/>
      <c r="X227" s="769"/>
      <c r="Y227" s="769"/>
      <c r="Z227" s="769"/>
    </row>
    <row r="228" spans="1:26" ht="18.75" customHeight="1" x14ac:dyDescent="0.3">
      <c r="A228" s="769"/>
      <c r="B228" s="769"/>
      <c r="C228" s="769"/>
      <c r="D228" s="771"/>
      <c r="E228" s="769"/>
      <c r="F228" s="769"/>
      <c r="G228" s="769"/>
      <c r="H228" s="769"/>
      <c r="I228" s="769"/>
      <c r="J228" s="769"/>
      <c r="K228" s="772"/>
      <c r="L228" s="769"/>
      <c r="M228" s="769"/>
      <c r="N228" s="769"/>
      <c r="O228" s="769"/>
      <c r="P228" s="769"/>
      <c r="Q228" s="769"/>
      <c r="R228" s="769"/>
      <c r="S228" s="769"/>
      <c r="T228" s="769"/>
      <c r="U228" s="769"/>
      <c r="V228" s="769"/>
      <c r="W228" s="769"/>
      <c r="X228" s="769"/>
      <c r="Y228" s="769"/>
      <c r="Z228" s="769"/>
    </row>
    <row r="229" spans="1:26" ht="18.75" customHeight="1" x14ac:dyDescent="0.3">
      <c r="A229" s="769"/>
      <c r="B229" s="769"/>
      <c r="C229" s="769"/>
      <c r="D229" s="771"/>
      <c r="E229" s="769"/>
      <c r="F229" s="769"/>
      <c r="G229" s="769"/>
      <c r="H229" s="769"/>
      <c r="I229" s="769"/>
      <c r="J229" s="769"/>
      <c r="K229" s="772"/>
      <c r="L229" s="769"/>
      <c r="M229" s="769"/>
      <c r="N229" s="769"/>
      <c r="O229" s="769"/>
      <c r="P229" s="769"/>
      <c r="Q229" s="769"/>
      <c r="R229" s="769"/>
      <c r="S229" s="769"/>
      <c r="T229" s="769"/>
      <c r="U229" s="769"/>
      <c r="V229" s="769"/>
      <c r="W229" s="769"/>
      <c r="X229" s="769"/>
      <c r="Y229" s="769"/>
      <c r="Z229" s="769"/>
    </row>
    <row r="230" spans="1:26" ht="18.75" customHeight="1" x14ac:dyDescent="0.3">
      <c r="A230" s="769"/>
      <c r="B230" s="769"/>
      <c r="C230" s="769"/>
      <c r="D230" s="771"/>
      <c r="E230" s="769"/>
      <c r="F230" s="769"/>
      <c r="G230" s="769"/>
      <c r="H230" s="769"/>
      <c r="I230" s="769"/>
      <c r="J230" s="769"/>
      <c r="K230" s="772"/>
      <c r="L230" s="769"/>
      <c r="M230" s="769"/>
      <c r="N230" s="769"/>
      <c r="O230" s="769"/>
      <c r="P230" s="769"/>
      <c r="Q230" s="769"/>
      <c r="R230" s="769"/>
      <c r="S230" s="769"/>
      <c r="T230" s="769"/>
      <c r="U230" s="769"/>
      <c r="V230" s="769"/>
      <c r="W230" s="769"/>
      <c r="X230" s="769"/>
      <c r="Y230" s="769"/>
      <c r="Z230" s="769"/>
    </row>
    <row r="231" spans="1:26" ht="18.75" customHeight="1" x14ac:dyDescent="0.3">
      <c r="A231" s="769"/>
      <c r="B231" s="769"/>
      <c r="C231" s="769"/>
      <c r="D231" s="771"/>
      <c r="E231" s="769"/>
      <c r="F231" s="769"/>
      <c r="G231" s="769"/>
      <c r="H231" s="769"/>
      <c r="I231" s="769"/>
      <c r="J231" s="769"/>
      <c r="K231" s="772"/>
      <c r="L231" s="769"/>
      <c r="M231" s="769"/>
      <c r="N231" s="769"/>
      <c r="O231" s="769"/>
      <c r="P231" s="769"/>
      <c r="Q231" s="769"/>
      <c r="R231" s="769"/>
      <c r="S231" s="769"/>
      <c r="T231" s="769"/>
      <c r="U231" s="769"/>
      <c r="V231" s="769"/>
      <c r="W231" s="769"/>
      <c r="X231" s="769"/>
      <c r="Y231" s="769"/>
      <c r="Z231" s="769"/>
    </row>
    <row r="232" spans="1:26" ht="18.75" customHeight="1" x14ac:dyDescent="0.3">
      <c r="A232" s="769"/>
      <c r="B232" s="769"/>
      <c r="C232" s="769"/>
      <c r="D232" s="771"/>
      <c r="E232" s="769"/>
      <c r="F232" s="769"/>
      <c r="G232" s="769"/>
      <c r="H232" s="769"/>
      <c r="I232" s="769"/>
      <c r="J232" s="769"/>
      <c r="K232" s="772"/>
      <c r="L232" s="769"/>
      <c r="M232" s="769"/>
      <c r="N232" s="769"/>
      <c r="O232" s="769"/>
      <c r="P232" s="769"/>
      <c r="Q232" s="769"/>
      <c r="R232" s="769"/>
      <c r="S232" s="769"/>
      <c r="T232" s="769"/>
      <c r="U232" s="769"/>
      <c r="V232" s="769"/>
      <c r="W232" s="769"/>
      <c r="X232" s="769"/>
      <c r="Y232" s="769"/>
      <c r="Z232" s="769"/>
    </row>
    <row r="233" spans="1:26" ht="18.75" customHeight="1" x14ac:dyDescent="0.3">
      <c r="A233" s="769"/>
      <c r="B233" s="769"/>
      <c r="C233" s="769"/>
      <c r="D233" s="771"/>
      <c r="E233" s="769"/>
      <c r="F233" s="769"/>
      <c r="G233" s="769"/>
      <c r="H233" s="769"/>
      <c r="I233" s="769"/>
      <c r="J233" s="769"/>
      <c r="K233" s="772"/>
      <c r="L233" s="769"/>
      <c r="M233" s="769"/>
      <c r="N233" s="769"/>
      <c r="O233" s="769"/>
      <c r="P233" s="769"/>
      <c r="Q233" s="769"/>
      <c r="R233" s="769"/>
      <c r="S233" s="769"/>
      <c r="T233" s="769"/>
      <c r="U233" s="769"/>
      <c r="V233" s="769"/>
      <c r="W233" s="769"/>
      <c r="X233" s="769"/>
      <c r="Y233" s="769"/>
      <c r="Z233" s="769"/>
    </row>
    <row r="234" spans="1:26" ht="18.75" customHeight="1" x14ac:dyDescent="0.3">
      <c r="A234" s="769"/>
      <c r="B234" s="769"/>
      <c r="C234" s="769"/>
      <c r="D234" s="771"/>
      <c r="E234" s="769"/>
      <c r="F234" s="769"/>
      <c r="G234" s="769"/>
      <c r="H234" s="769"/>
      <c r="I234" s="769"/>
      <c r="J234" s="769"/>
      <c r="K234" s="772"/>
      <c r="L234" s="769"/>
      <c r="M234" s="769"/>
      <c r="N234" s="769"/>
      <c r="O234" s="769"/>
      <c r="P234" s="769"/>
      <c r="Q234" s="769"/>
      <c r="R234" s="769"/>
      <c r="S234" s="769"/>
      <c r="T234" s="769"/>
      <c r="U234" s="769"/>
      <c r="V234" s="769"/>
      <c r="W234" s="769"/>
      <c r="X234" s="769"/>
      <c r="Y234" s="769"/>
      <c r="Z234" s="769"/>
    </row>
    <row r="235" spans="1:26" ht="18.75" customHeight="1" x14ac:dyDescent="0.3">
      <c r="A235" s="769"/>
      <c r="B235" s="769"/>
      <c r="C235" s="769"/>
      <c r="D235" s="771"/>
      <c r="E235" s="769"/>
      <c r="F235" s="769"/>
      <c r="G235" s="769"/>
      <c r="H235" s="769"/>
      <c r="I235" s="769"/>
      <c r="J235" s="769"/>
      <c r="K235" s="772"/>
      <c r="L235" s="769"/>
      <c r="M235" s="769"/>
      <c r="N235" s="769"/>
      <c r="O235" s="769"/>
      <c r="P235" s="769"/>
      <c r="Q235" s="769"/>
      <c r="R235" s="769"/>
      <c r="S235" s="769"/>
      <c r="T235" s="769"/>
      <c r="U235" s="769"/>
      <c r="V235" s="769"/>
      <c r="W235" s="769"/>
      <c r="X235" s="769"/>
      <c r="Y235" s="769"/>
      <c r="Z235" s="769"/>
    </row>
    <row r="236" spans="1:26" ht="18.75" customHeight="1" x14ac:dyDescent="0.3">
      <c r="A236" s="769"/>
      <c r="B236" s="769"/>
      <c r="C236" s="769"/>
      <c r="D236" s="771"/>
      <c r="E236" s="769"/>
      <c r="F236" s="769"/>
      <c r="G236" s="769"/>
      <c r="H236" s="769"/>
      <c r="I236" s="769"/>
      <c r="J236" s="769"/>
      <c r="K236" s="772"/>
      <c r="L236" s="769"/>
      <c r="M236" s="769"/>
      <c r="N236" s="769"/>
      <c r="O236" s="769"/>
      <c r="P236" s="769"/>
      <c r="Q236" s="769"/>
      <c r="R236" s="769"/>
      <c r="S236" s="769"/>
      <c r="T236" s="769"/>
      <c r="U236" s="769"/>
      <c r="V236" s="769"/>
      <c r="W236" s="769"/>
      <c r="X236" s="769"/>
      <c r="Y236" s="769"/>
      <c r="Z236" s="769"/>
    </row>
    <row r="237" spans="1:26" ht="18.75" customHeight="1" x14ac:dyDescent="0.3">
      <c r="A237" s="769"/>
      <c r="B237" s="769"/>
      <c r="C237" s="769"/>
      <c r="D237" s="771"/>
      <c r="E237" s="769"/>
      <c r="F237" s="769"/>
      <c r="G237" s="769"/>
      <c r="H237" s="769"/>
      <c r="I237" s="769"/>
      <c r="J237" s="769"/>
      <c r="K237" s="772"/>
      <c r="L237" s="769"/>
      <c r="M237" s="769"/>
      <c r="N237" s="769"/>
      <c r="O237" s="769"/>
      <c r="P237" s="769"/>
      <c r="Q237" s="769"/>
      <c r="R237" s="769"/>
      <c r="S237" s="769"/>
      <c r="T237" s="769"/>
      <c r="U237" s="769"/>
      <c r="V237" s="769"/>
      <c r="W237" s="769"/>
      <c r="X237" s="769"/>
      <c r="Y237" s="769"/>
      <c r="Z237" s="769"/>
    </row>
    <row r="238" spans="1:26" ht="18.75" customHeight="1" x14ac:dyDescent="0.3">
      <c r="A238" s="769"/>
      <c r="B238" s="769"/>
      <c r="C238" s="769"/>
      <c r="D238" s="771"/>
      <c r="E238" s="769"/>
      <c r="F238" s="769"/>
      <c r="G238" s="769"/>
      <c r="H238" s="769"/>
      <c r="I238" s="769"/>
      <c r="J238" s="769"/>
      <c r="K238" s="772"/>
      <c r="L238" s="769"/>
      <c r="M238" s="769"/>
      <c r="N238" s="769"/>
      <c r="O238" s="769"/>
      <c r="P238" s="769"/>
      <c r="Q238" s="769"/>
      <c r="R238" s="769"/>
      <c r="S238" s="769"/>
      <c r="T238" s="769"/>
      <c r="U238" s="769"/>
      <c r="V238" s="769"/>
      <c r="W238" s="769"/>
      <c r="X238" s="769"/>
      <c r="Y238" s="769"/>
      <c r="Z238" s="769"/>
    </row>
    <row r="239" spans="1:26" ht="18.75" customHeight="1" x14ac:dyDescent="0.3">
      <c r="A239" s="769"/>
      <c r="B239" s="769"/>
      <c r="C239" s="769"/>
      <c r="D239" s="771"/>
      <c r="E239" s="769"/>
      <c r="F239" s="769"/>
      <c r="G239" s="847"/>
      <c r="H239" s="848">
        <v>102226</v>
      </c>
      <c r="I239" s="769"/>
      <c r="J239" s="769"/>
      <c r="K239" s="772"/>
      <c r="L239" s="769"/>
      <c r="M239" s="769"/>
      <c r="N239" s="769"/>
      <c r="O239" s="769"/>
      <c r="P239" s="769"/>
      <c r="Q239" s="769"/>
      <c r="R239" s="769"/>
      <c r="S239" s="769"/>
      <c r="T239" s="769"/>
      <c r="U239" s="769"/>
      <c r="V239" s="769"/>
      <c r="W239" s="769"/>
      <c r="X239" s="769"/>
      <c r="Y239" s="769"/>
      <c r="Z239" s="769"/>
    </row>
    <row r="240" spans="1:26" ht="18.75" customHeight="1" x14ac:dyDescent="0.3">
      <c r="A240" s="769"/>
      <c r="B240" s="769"/>
      <c r="C240" s="769"/>
      <c r="D240" s="771"/>
      <c r="E240" s="769"/>
      <c r="F240" s="769"/>
      <c r="G240" s="769"/>
      <c r="H240" s="769"/>
      <c r="I240" s="769"/>
      <c r="J240" s="769"/>
      <c r="K240" s="772"/>
      <c r="L240" s="769"/>
      <c r="M240" s="769"/>
      <c r="N240" s="769"/>
      <c r="O240" s="769"/>
      <c r="P240" s="769"/>
      <c r="Q240" s="769"/>
      <c r="R240" s="769"/>
      <c r="S240" s="769"/>
      <c r="T240" s="769"/>
      <c r="U240" s="769"/>
      <c r="V240" s="769"/>
      <c r="W240" s="769"/>
      <c r="X240" s="769"/>
      <c r="Y240" s="769"/>
      <c r="Z240" s="769"/>
    </row>
    <row r="241" spans="1:26" ht="18.75" customHeight="1" x14ac:dyDescent="0.3">
      <c r="A241" s="769"/>
      <c r="B241" s="769"/>
      <c r="C241" s="769"/>
      <c r="D241" s="771"/>
      <c r="E241" s="769"/>
      <c r="F241" s="769"/>
      <c r="G241" s="769"/>
      <c r="H241" s="769"/>
      <c r="I241" s="769"/>
      <c r="J241" s="769"/>
      <c r="K241" s="772"/>
      <c r="L241" s="769"/>
      <c r="M241" s="769"/>
      <c r="N241" s="769"/>
      <c r="O241" s="769"/>
      <c r="P241" s="769"/>
      <c r="Q241" s="769"/>
      <c r="R241" s="769"/>
      <c r="S241" s="769"/>
      <c r="T241" s="769"/>
      <c r="U241" s="769"/>
      <c r="V241" s="769"/>
      <c r="W241" s="769"/>
      <c r="X241" s="769"/>
      <c r="Y241" s="769"/>
      <c r="Z241" s="769"/>
    </row>
    <row r="242" spans="1:26" ht="18.75" customHeight="1" x14ac:dyDescent="0.3">
      <c r="A242" s="769"/>
      <c r="B242" s="769"/>
      <c r="C242" s="769"/>
      <c r="D242" s="771"/>
      <c r="E242" s="769"/>
      <c r="F242" s="769"/>
      <c r="G242" s="769"/>
      <c r="H242" s="769"/>
      <c r="I242" s="769"/>
      <c r="J242" s="769"/>
      <c r="K242" s="772"/>
      <c r="L242" s="769"/>
      <c r="M242" s="769"/>
      <c r="N242" s="769"/>
      <c r="O242" s="769"/>
      <c r="P242" s="769"/>
      <c r="Q242" s="769"/>
      <c r="R242" s="769"/>
      <c r="S242" s="769"/>
      <c r="T242" s="769"/>
      <c r="U242" s="769"/>
      <c r="V242" s="769"/>
      <c r="W242" s="769"/>
      <c r="X242" s="769"/>
      <c r="Y242" s="769"/>
      <c r="Z242" s="769"/>
    </row>
    <row r="243" spans="1:26" ht="18.75" customHeight="1" x14ac:dyDescent="0.3">
      <c r="A243" s="769"/>
      <c r="B243" s="769"/>
      <c r="C243" s="769"/>
      <c r="D243" s="771"/>
      <c r="E243" s="769"/>
      <c r="F243" s="769"/>
      <c r="G243" s="769"/>
      <c r="H243" s="769"/>
      <c r="I243" s="769"/>
      <c r="J243" s="769"/>
      <c r="K243" s="772"/>
      <c r="L243" s="769"/>
      <c r="M243" s="769"/>
      <c r="N243" s="769"/>
      <c r="O243" s="769"/>
      <c r="P243" s="769"/>
      <c r="Q243" s="769"/>
      <c r="R243" s="769"/>
      <c r="S243" s="769"/>
      <c r="T243" s="769"/>
      <c r="U243" s="769"/>
      <c r="V243" s="769"/>
      <c r="W243" s="769"/>
      <c r="X243" s="769"/>
      <c r="Y243" s="769"/>
      <c r="Z243" s="769"/>
    </row>
    <row r="244" spans="1:26" ht="18.75" customHeight="1" x14ac:dyDescent="0.3">
      <c r="A244" s="769"/>
      <c r="B244" s="769"/>
      <c r="C244" s="769"/>
      <c r="D244" s="771"/>
      <c r="E244" s="769"/>
      <c r="F244" s="769"/>
      <c r="G244" s="769"/>
      <c r="H244" s="769"/>
      <c r="I244" s="769"/>
      <c r="J244" s="769"/>
      <c r="K244" s="772"/>
      <c r="L244" s="769"/>
      <c r="M244" s="769"/>
      <c r="N244" s="769"/>
      <c r="O244" s="769"/>
      <c r="P244" s="769"/>
      <c r="Q244" s="769"/>
      <c r="R244" s="769"/>
      <c r="S244" s="769"/>
      <c r="T244" s="769"/>
      <c r="U244" s="769"/>
      <c r="V244" s="769"/>
      <c r="W244" s="769"/>
      <c r="X244" s="769"/>
      <c r="Y244" s="769"/>
      <c r="Z244" s="769"/>
    </row>
    <row r="245" spans="1:26" ht="18.75" customHeight="1" x14ac:dyDescent="0.3">
      <c r="A245" s="769"/>
      <c r="B245" s="769"/>
      <c r="C245" s="769"/>
      <c r="D245" s="771"/>
      <c r="E245" s="769"/>
      <c r="F245" s="769"/>
      <c r="G245" s="769"/>
      <c r="H245" s="769"/>
      <c r="I245" s="769"/>
      <c r="J245" s="769"/>
      <c r="K245" s="772"/>
      <c r="L245" s="769"/>
      <c r="M245" s="769"/>
      <c r="N245" s="769"/>
      <c r="O245" s="769"/>
      <c r="P245" s="769"/>
      <c r="Q245" s="769"/>
      <c r="R245" s="769"/>
      <c r="S245" s="769"/>
      <c r="T245" s="769"/>
      <c r="U245" s="769"/>
      <c r="V245" s="769"/>
      <c r="W245" s="769"/>
      <c r="X245" s="769"/>
      <c r="Y245" s="769"/>
      <c r="Z245" s="769"/>
    </row>
    <row r="246" spans="1:26" ht="18.75" customHeight="1" x14ac:dyDescent="0.3">
      <c r="A246" s="769"/>
      <c r="B246" s="769"/>
      <c r="C246" s="769"/>
      <c r="D246" s="771"/>
      <c r="E246" s="769"/>
      <c r="F246" s="769"/>
      <c r="G246" s="769"/>
      <c r="H246" s="769"/>
      <c r="I246" s="769"/>
      <c r="J246" s="769"/>
      <c r="K246" s="772"/>
      <c r="L246" s="769"/>
      <c r="M246" s="769"/>
      <c r="N246" s="769"/>
      <c r="O246" s="769"/>
      <c r="P246" s="769"/>
      <c r="Q246" s="769"/>
      <c r="R246" s="769"/>
      <c r="S246" s="769"/>
      <c r="T246" s="769"/>
      <c r="U246" s="769"/>
      <c r="V246" s="769"/>
      <c r="W246" s="769"/>
      <c r="X246" s="769"/>
      <c r="Y246" s="769"/>
      <c r="Z246" s="769"/>
    </row>
    <row r="247" spans="1:26" ht="18.75" customHeight="1" x14ac:dyDescent="0.3">
      <c r="A247" s="769"/>
      <c r="B247" s="769"/>
      <c r="C247" s="769"/>
      <c r="D247" s="771"/>
      <c r="E247" s="769"/>
      <c r="F247" s="769"/>
      <c r="G247" s="769"/>
      <c r="H247" s="769"/>
      <c r="I247" s="769"/>
      <c r="J247" s="769"/>
      <c r="K247" s="772"/>
      <c r="L247" s="769"/>
      <c r="M247" s="769"/>
      <c r="N247" s="769"/>
      <c r="O247" s="769"/>
      <c r="P247" s="769"/>
      <c r="Q247" s="769"/>
      <c r="R247" s="769"/>
      <c r="S247" s="769"/>
      <c r="T247" s="769"/>
      <c r="U247" s="769"/>
      <c r="V247" s="769"/>
      <c r="W247" s="769"/>
      <c r="X247" s="769"/>
      <c r="Y247" s="769"/>
      <c r="Z247" s="769"/>
    </row>
    <row r="248" spans="1:26" ht="18.75" customHeight="1" x14ac:dyDescent="0.3">
      <c r="A248" s="769"/>
      <c r="B248" s="769"/>
      <c r="C248" s="769"/>
      <c r="D248" s="771"/>
      <c r="E248" s="769"/>
      <c r="F248" s="769"/>
      <c r="G248" s="769"/>
      <c r="H248" s="769"/>
      <c r="I248" s="769"/>
      <c r="J248" s="769"/>
      <c r="K248" s="772"/>
      <c r="L248" s="769"/>
      <c r="M248" s="769"/>
      <c r="N248" s="769"/>
      <c r="O248" s="769"/>
      <c r="P248" s="769"/>
      <c r="Q248" s="769"/>
      <c r="R248" s="769"/>
      <c r="S248" s="769"/>
      <c r="T248" s="769"/>
      <c r="U248" s="769"/>
      <c r="V248" s="769"/>
      <c r="W248" s="769"/>
      <c r="X248" s="769"/>
      <c r="Y248" s="769"/>
      <c r="Z248" s="769"/>
    </row>
    <row r="249" spans="1:26" ht="18.75" customHeight="1" x14ac:dyDescent="0.3">
      <c r="A249" s="769"/>
      <c r="B249" s="769"/>
      <c r="C249" s="769"/>
      <c r="D249" s="771"/>
      <c r="E249" s="769"/>
      <c r="F249" s="769"/>
      <c r="G249" s="769"/>
      <c r="H249" s="769"/>
      <c r="I249" s="769"/>
      <c r="J249" s="769"/>
      <c r="K249" s="772"/>
      <c r="L249" s="769"/>
      <c r="M249" s="769"/>
      <c r="N249" s="769"/>
      <c r="O249" s="769"/>
      <c r="P249" s="769"/>
      <c r="Q249" s="769"/>
      <c r="R249" s="769"/>
      <c r="S249" s="769"/>
      <c r="T249" s="769"/>
      <c r="U249" s="769"/>
      <c r="V249" s="769"/>
      <c r="W249" s="769"/>
      <c r="X249" s="769"/>
      <c r="Y249" s="769"/>
      <c r="Z249" s="769"/>
    </row>
    <row r="250" spans="1:26" ht="18.75" customHeight="1" x14ac:dyDescent="0.3">
      <c r="A250" s="769"/>
      <c r="B250" s="769"/>
      <c r="C250" s="769"/>
      <c r="D250" s="771"/>
      <c r="E250" s="769"/>
      <c r="F250" s="769"/>
      <c r="G250" s="769"/>
      <c r="H250" s="769"/>
      <c r="I250" s="769"/>
      <c r="J250" s="769"/>
      <c r="K250" s="772"/>
      <c r="L250" s="769"/>
      <c r="M250" s="769"/>
      <c r="N250" s="769"/>
      <c r="O250" s="769"/>
      <c r="P250" s="769"/>
      <c r="Q250" s="769"/>
      <c r="R250" s="769"/>
      <c r="S250" s="769"/>
      <c r="T250" s="769"/>
      <c r="U250" s="769"/>
      <c r="V250" s="769"/>
      <c r="W250" s="769"/>
      <c r="X250" s="769"/>
      <c r="Y250" s="769"/>
      <c r="Z250" s="769"/>
    </row>
    <row r="251" spans="1:26" ht="18.75" customHeight="1" x14ac:dyDescent="0.3">
      <c r="A251" s="769"/>
      <c r="B251" s="769"/>
      <c r="C251" s="769"/>
      <c r="D251" s="771"/>
      <c r="E251" s="769"/>
      <c r="F251" s="769"/>
      <c r="G251" s="769"/>
      <c r="H251" s="769"/>
      <c r="I251" s="769"/>
      <c r="J251" s="769"/>
      <c r="K251" s="772"/>
      <c r="L251" s="769"/>
      <c r="M251" s="769"/>
      <c r="N251" s="769"/>
      <c r="O251" s="769"/>
      <c r="P251" s="769"/>
      <c r="Q251" s="769"/>
      <c r="R251" s="769"/>
      <c r="S251" s="769"/>
      <c r="T251" s="769"/>
      <c r="U251" s="769"/>
      <c r="V251" s="769"/>
      <c r="W251" s="769"/>
      <c r="X251" s="769"/>
      <c r="Y251" s="769"/>
      <c r="Z251" s="769"/>
    </row>
    <row r="252" spans="1:26" ht="18.75" customHeight="1" x14ac:dyDescent="0.3">
      <c r="A252" s="769"/>
      <c r="B252" s="769"/>
      <c r="C252" s="769"/>
      <c r="D252" s="771"/>
      <c r="E252" s="769"/>
      <c r="F252" s="769"/>
      <c r="G252" s="769"/>
      <c r="H252" s="769"/>
      <c r="I252" s="769"/>
      <c r="J252" s="769"/>
      <c r="K252" s="772"/>
      <c r="L252" s="769"/>
      <c r="M252" s="769"/>
      <c r="N252" s="769"/>
      <c r="O252" s="769"/>
      <c r="P252" s="769"/>
      <c r="Q252" s="769"/>
      <c r="R252" s="769"/>
      <c r="S252" s="769"/>
      <c r="T252" s="769"/>
      <c r="U252" s="769"/>
      <c r="V252" s="769"/>
      <c r="W252" s="769"/>
      <c r="X252" s="769"/>
      <c r="Y252" s="769"/>
      <c r="Z252" s="769"/>
    </row>
    <row r="253" spans="1:26" ht="18.75" customHeight="1" x14ac:dyDescent="0.3">
      <c r="A253" s="769"/>
      <c r="B253" s="769"/>
      <c r="C253" s="769"/>
      <c r="D253" s="771"/>
      <c r="E253" s="769"/>
      <c r="F253" s="769"/>
      <c r="G253" s="769"/>
      <c r="H253" s="769"/>
      <c r="I253" s="769"/>
      <c r="J253" s="769"/>
      <c r="K253" s="772"/>
      <c r="L253" s="769"/>
      <c r="M253" s="769"/>
      <c r="N253" s="769"/>
      <c r="O253" s="769"/>
      <c r="P253" s="769"/>
      <c r="Q253" s="769"/>
      <c r="R253" s="769"/>
      <c r="S253" s="769"/>
      <c r="T253" s="769"/>
      <c r="U253" s="769"/>
      <c r="V253" s="769"/>
      <c r="W253" s="769"/>
      <c r="X253" s="769"/>
      <c r="Y253" s="769"/>
      <c r="Z253" s="769"/>
    </row>
    <row r="254" spans="1:26" ht="18.75" customHeight="1" x14ac:dyDescent="0.3">
      <c r="A254" s="769"/>
      <c r="B254" s="769"/>
      <c r="C254" s="769"/>
      <c r="D254" s="771"/>
      <c r="E254" s="769"/>
      <c r="F254" s="769"/>
      <c r="G254" s="769"/>
      <c r="H254" s="769"/>
      <c r="I254" s="769"/>
      <c r="J254" s="769"/>
      <c r="K254" s="772"/>
      <c r="L254" s="769"/>
      <c r="M254" s="769"/>
      <c r="N254" s="769"/>
      <c r="O254" s="769"/>
      <c r="P254" s="769"/>
      <c r="Q254" s="769"/>
      <c r="R254" s="769"/>
      <c r="S254" s="769"/>
      <c r="T254" s="769"/>
      <c r="U254" s="769"/>
      <c r="V254" s="769"/>
      <c r="W254" s="769"/>
      <c r="X254" s="769"/>
      <c r="Y254" s="769"/>
      <c r="Z254" s="769"/>
    </row>
    <row r="255" spans="1:26" ht="18.75" customHeight="1" x14ac:dyDescent="0.3">
      <c r="A255" s="769"/>
      <c r="B255" s="769"/>
      <c r="C255" s="769"/>
      <c r="D255" s="771"/>
      <c r="E255" s="769"/>
      <c r="F255" s="769"/>
      <c r="G255" s="769"/>
      <c r="H255" s="769"/>
      <c r="I255" s="769"/>
      <c r="J255" s="769"/>
      <c r="K255" s="772"/>
      <c r="L255" s="769"/>
      <c r="M255" s="769"/>
      <c r="N255" s="769"/>
      <c r="O255" s="769"/>
      <c r="P255" s="769"/>
      <c r="Q255" s="769"/>
      <c r="R255" s="769"/>
      <c r="S255" s="769"/>
      <c r="T255" s="769"/>
      <c r="U255" s="769"/>
      <c r="V255" s="769"/>
      <c r="W255" s="769"/>
      <c r="X255" s="769"/>
      <c r="Y255" s="769"/>
      <c r="Z255" s="769"/>
    </row>
    <row r="256" spans="1:26" ht="18.75" customHeight="1" x14ac:dyDescent="0.3">
      <c r="A256" s="769"/>
      <c r="B256" s="769"/>
      <c r="C256" s="769"/>
      <c r="D256" s="771"/>
      <c r="E256" s="769"/>
      <c r="F256" s="769"/>
      <c r="G256" s="769"/>
      <c r="H256" s="769"/>
      <c r="I256" s="769"/>
      <c r="J256" s="769"/>
      <c r="K256" s="772"/>
      <c r="L256" s="769"/>
      <c r="M256" s="769"/>
      <c r="N256" s="769"/>
      <c r="O256" s="769"/>
      <c r="P256" s="769"/>
      <c r="Q256" s="769"/>
      <c r="R256" s="769"/>
      <c r="S256" s="769"/>
      <c r="T256" s="769"/>
      <c r="U256" s="769"/>
      <c r="V256" s="769"/>
      <c r="W256" s="769"/>
      <c r="X256" s="769"/>
      <c r="Y256" s="769"/>
      <c r="Z256" s="769"/>
    </row>
    <row r="257" spans="1:26" ht="18.75" customHeight="1" x14ac:dyDescent="0.3">
      <c r="A257" s="769"/>
      <c r="B257" s="769"/>
      <c r="C257" s="769"/>
      <c r="D257" s="771"/>
      <c r="E257" s="769"/>
      <c r="F257" s="769"/>
      <c r="G257" s="769"/>
      <c r="H257" s="769"/>
      <c r="I257" s="769"/>
      <c r="J257" s="769"/>
      <c r="K257" s="772"/>
      <c r="L257" s="769"/>
      <c r="M257" s="769"/>
      <c r="N257" s="769"/>
      <c r="O257" s="769"/>
      <c r="P257" s="769"/>
      <c r="Q257" s="769"/>
      <c r="R257" s="769"/>
      <c r="S257" s="769"/>
      <c r="T257" s="769"/>
      <c r="U257" s="769"/>
      <c r="V257" s="769"/>
      <c r="W257" s="769"/>
      <c r="X257" s="769"/>
      <c r="Y257" s="769"/>
      <c r="Z257" s="769"/>
    </row>
    <row r="258" spans="1:26" ht="18.75" customHeight="1" x14ac:dyDescent="0.3">
      <c r="A258" s="769"/>
      <c r="B258" s="769"/>
      <c r="C258" s="769"/>
      <c r="D258" s="771"/>
      <c r="E258" s="769"/>
      <c r="F258" s="769"/>
      <c r="G258" s="769"/>
      <c r="H258" s="769"/>
      <c r="I258" s="769"/>
      <c r="J258" s="769"/>
      <c r="K258" s="772"/>
      <c r="L258" s="769"/>
      <c r="M258" s="769"/>
      <c r="N258" s="769"/>
      <c r="O258" s="769"/>
      <c r="P258" s="769"/>
      <c r="Q258" s="769"/>
      <c r="R258" s="769"/>
      <c r="S258" s="769"/>
      <c r="T258" s="769"/>
      <c r="U258" s="769"/>
      <c r="V258" s="769"/>
      <c r="W258" s="769"/>
      <c r="X258" s="769"/>
      <c r="Y258" s="769"/>
      <c r="Z258" s="769"/>
    </row>
    <row r="259" spans="1:26" ht="18.75" customHeight="1" x14ac:dyDescent="0.3">
      <c r="A259" s="769"/>
      <c r="B259" s="769"/>
      <c r="C259" s="769"/>
      <c r="D259" s="771"/>
      <c r="E259" s="769"/>
      <c r="F259" s="769"/>
      <c r="G259" s="769"/>
      <c r="H259" s="769"/>
      <c r="I259" s="769"/>
      <c r="J259" s="769"/>
      <c r="K259" s="772"/>
      <c r="L259" s="769"/>
      <c r="M259" s="769"/>
      <c r="N259" s="769"/>
      <c r="O259" s="769"/>
      <c r="P259" s="769"/>
      <c r="Q259" s="769"/>
      <c r="R259" s="769"/>
      <c r="S259" s="769"/>
      <c r="T259" s="769"/>
      <c r="U259" s="769"/>
      <c r="V259" s="769"/>
      <c r="W259" s="769"/>
      <c r="X259" s="769"/>
      <c r="Y259" s="769"/>
      <c r="Z259" s="769"/>
    </row>
    <row r="260" spans="1:26" ht="18.75" customHeight="1" x14ac:dyDescent="0.3">
      <c r="A260" s="769"/>
      <c r="B260" s="769"/>
      <c r="C260" s="769"/>
      <c r="D260" s="771"/>
      <c r="E260" s="769"/>
      <c r="F260" s="769"/>
      <c r="G260" s="769"/>
      <c r="H260" s="769"/>
      <c r="I260" s="769"/>
      <c r="J260" s="769"/>
      <c r="K260" s="772"/>
      <c r="L260" s="769"/>
      <c r="M260" s="769"/>
      <c r="N260" s="769"/>
      <c r="O260" s="769"/>
      <c r="P260" s="769"/>
      <c r="Q260" s="769"/>
      <c r="R260" s="769"/>
      <c r="S260" s="769"/>
      <c r="T260" s="769"/>
      <c r="U260" s="769"/>
      <c r="V260" s="769"/>
      <c r="W260" s="769"/>
      <c r="X260" s="769"/>
      <c r="Y260" s="769"/>
      <c r="Z260" s="769"/>
    </row>
    <row r="261" spans="1:26" ht="18.75" customHeight="1" x14ac:dyDescent="0.3">
      <c r="A261" s="769"/>
      <c r="B261" s="769"/>
      <c r="C261" s="769"/>
      <c r="D261" s="771"/>
      <c r="E261" s="769"/>
      <c r="F261" s="769"/>
      <c r="G261" s="769"/>
      <c r="H261" s="769"/>
      <c r="I261" s="769"/>
      <c r="J261" s="769"/>
      <c r="K261" s="772"/>
      <c r="L261" s="769"/>
      <c r="M261" s="769"/>
      <c r="N261" s="769"/>
      <c r="O261" s="769"/>
      <c r="P261" s="769"/>
      <c r="Q261" s="769"/>
      <c r="R261" s="769"/>
      <c r="S261" s="769"/>
      <c r="T261" s="769"/>
      <c r="U261" s="769"/>
      <c r="V261" s="769"/>
      <c r="W261" s="769"/>
      <c r="X261" s="769"/>
      <c r="Y261" s="769"/>
      <c r="Z261" s="769"/>
    </row>
    <row r="262" spans="1:26" ht="18.75" customHeight="1" x14ac:dyDescent="0.3">
      <c r="A262" s="769"/>
      <c r="B262" s="769"/>
      <c r="C262" s="769"/>
      <c r="D262" s="771"/>
      <c r="E262" s="769"/>
      <c r="F262" s="769"/>
      <c r="G262" s="769"/>
      <c r="H262" s="769"/>
      <c r="I262" s="769"/>
      <c r="J262" s="769"/>
      <c r="K262" s="772"/>
      <c r="L262" s="769"/>
      <c r="M262" s="769"/>
      <c r="N262" s="769"/>
      <c r="O262" s="769"/>
      <c r="P262" s="769"/>
      <c r="Q262" s="769"/>
      <c r="R262" s="769"/>
      <c r="S262" s="769"/>
      <c r="T262" s="769"/>
      <c r="U262" s="769"/>
      <c r="V262" s="769"/>
      <c r="W262" s="769"/>
      <c r="X262" s="769"/>
      <c r="Y262" s="769"/>
      <c r="Z262" s="769"/>
    </row>
    <row r="263" spans="1:26" ht="18.75" customHeight="1" x14ac:dyDescent="0.3">
      <c r="A263" s="769"/>
      <c r="B263" s="769"/>
      <c r="C263" s="769"/>
      <c r="D263" s="771"/>
      <c r="E263" s="769"/>
      <c r="F263" s="769"/>
      <c r="G263" s="769"/>
      <c r="H263" s="769"/>
      <c r="I263" s="769"/>
      <c r="J263" s="769"/>
      <c r="K263" s="772"/>
      <c r="L263" s="769"/>
      <c r="M263" s="769"/>
      <c r="N263" s="769"/>
      <c r="O263" s="769"/>
      <c r="P263" s="769"/>
      <c r="Q263" s="769"/>
      <c r="R263" s="769"/>
      <c r="S263" s="769"/>
      <c r="T263" s="769"/>
      <c r="U263" s="769"/>
      <c r="V263" s="769"/>
      <c r="W263" s="769"/>
      <c r="X263" s="769"/>
      <c r="Y263" s="769"/>
      <c r="Z263" s="769"/>
    </row>
    <row r="264" spans="1:26" ht="18.75" customHeight="1" x14ac:dyDescent="0.3">
      <c r="A264" s="769"/>
      <c r="B264" s="769"/>
      <c r="C264" s="769"/>
      <c r="D264" s="771"/>
      <c r="E264" s="769"/>
      <c r="F264" s="769"/>
      <c r="G264" s="769"/>
      <c r="H264" s="769"/>
      <c r="I264" s="769"/>
      <c r="J264" s="769"/>
      <c r="K264" s="772"/>
      <c r="L264" s="769"/>
      <c r="M264" s="769"/>
      <c r="N264" s="769"/>
      <c r="O264" s="769"/>
      <c r="P264" s="769"/>
      <c r="Q264" s="769"/>
      <c r="R264" s="769"/>
      <c r="S264" s="769"/>
      <c r="T264" s="769"/>
      <c r="U264" s="769"/>
      <c r="V264" s="769"/>
      <c r="W264" s="769"/>
      <c r="X264" s="769"/>
      <c r="Y264" s="769"/>
      <c r="Z264" s="769"/>
    </row>
    <row r="265" spans="1:26" ht="18.75" customHeight="1" x14ac:dyDescent="0.3">
      <c r="A265" s="769"/>
      <c r="B265" s="769"/>
      <c r="C265" s="769"/>
      <c r="D265" s="771"/>
      <c r="E265" s="769"/>
      <c r="F265" s="769"/>
      <c r="G265" s="769"/>
      <c r="H265" s="769"/>
      <c r="I265" s="769"/>
      <c r="J265" s="769"/>
      <c r="K265" s="772"/>
      <c r="L265" s="769"/>
      <c r="M265" s="769"/>
      <c r="N265" s="769"/>
      <c r="O265" s="769"/>
      <c r="P265" s="769"/>
      <c r="Q265" s="769"/>
      <c r="R265" s="769"/>
      <c r="S265" s="769"/>
      <c r="T265" s="769"/>
      <c r="U265" s="769"/>
      <c r="V265" s="769"/>
      <c r="W265" s="769"/>
      <c r="X265" s="769"/>
      <c r="Y265" s="769"/>
      <c r="Z265" s="769"/>
    </row>
    <row r="266" spans="1:26" ht="18.75" customHeight="1" x14ac:dyDescent="0.3">
      <c r="A266" s="769"/>
      <c r="B266" s="769"/>
      <c r="C266" s="769"/>
      <c r="D266" s="771"/>
      <c r="E266" s="769"/>
      <c r="F266" s="769"/>
      <c r="G266" s="769"/>
      <c r="H266" s="769"/>
      <c r="I266" s="769"/>
      <c r="J266" s="769"/>
      <c r="K266" s="772"/>
      <c r="L266" s="769"/>
      <c r="M266" s="769"/>
      <c r="N266" s="769"/>
      <c r="O266" s="769"/>
      <c r="P266" s="769"/>
      <c r="Q266" s="769"/>
      <c r="R266" s="769"/>
      <c r="S266" s="769"/>
      <c r="T266" s="769"/>
      <c r="U266" s="769"/>
      <c r="V266" s="769"/>
      <c r="W266" s="769"/>
      <c r="X266" s="769"/>
      <c r="Y266" s="769"/>
      <c r="Z266" s="769"/>
    </row>
    <row r="267" spans="1:26" ht="18.75" customHeight="1" x14ac:dyDescent="0.3">
      <c r="A267" s="769"/>
      <c r="B267" s="769"/>
      <c r="C267" s="769"/>
      <c r="D267" s="771"/>
      <c r="E267" s="769"/>
      <c r="F267" s="769"/>
      <c r="G267" s="769"/>
      <c r="H267" s="769"/>
      <c r="I267" s="769"/>
      <c r="J267" s="769"/>
      <c r="K267" s="772"/>
      <c r="L267" s="769"/>
      <c r="M267" s="769"/>
      <c r="N267" s="769"/>
      <c r="O267" s="769"/>
      <c r="P267" s="769"/>
      <c r="Q267" s="769"/>
      <c r="R267" s="769"/>
      <c r="S267" s="769"/>
      <c r="T267" s="769"/>
      <c r="U267" s="769"/>
      <c r="V267" s="769"/>
      <c r="W267" s="769"/>
      <c r="X267" s="769"/>
      <c r="Y267" s="769"/>
      <c r="Z267" s="769"/>
    </row>
    <row r="268" spans="1:26" ht="18.75" customHeight="1" x14ac:dyDescent="0.3">
      <c r="A268" s="769"/>
      <c r="B268" s="769"/>
      <c r="C268" s="769"/>
      <c r="D268" s="771"/>
      <c r="E268" s="769"/>
      <c r="F268" s="769"/>
      <c r="G268" s="769"/>
      <c r="H268" s="769"/>
      <c r="I268" s="769"/>
      <c r="J268" s="769"/>
      <c r="K268" s="772"/>
      <c r="L268" s="769"/>
      <c r="M268" s="769"/>
      <c r="N268" s="769"/>
      <c r="O268" s="769"/>
      <c r="P268" s="769"/>
      <c r="Q268" s="769"/>
      <c r="R268" s="769"/>
      <c r="S268" s="769"/>
      <c r="T268" s="769"/>
      <c r="U268" s="769"/>
      <c r="V268" s="769"/>
      <c r="W268" s="769"/>
      <c r="X268" s="769"/>
      <c r="Y268" s="769"/>
      <c r="Z268" s="769"/>
    </row>
    <row r="269" spans="1:26" ht="18.75" customHeight="1" x14ac:dyDescent="0.3">
      <c r="A269" s="769"/>
      <c r="B269" s="769"/>
      <c r="C269" s="769"/>
      <c r="D269" s="771"/>
      <c r="E269" s="769"/>
      <c r="F269" s="769"/>
      <c r="G269" s="769"/>
      <c r="H269" s="769"/>
      <c r="I269" s="769"/>
      <c r="J269" s="769"/>
      <c r="K269" s="772"/>
      <c r="L269" s="769"/>
      <c r="M269" s="769"/>
      <c r="N269" s="769"/>
      <c r="O269" s="769"/>
      <c r="P269" s="769"/>
      <c r="Q269" s="769"/>
      <c r="R269" s="769"/>
      <c r="S269" s="769"/>
      <c r="T269" s="769"/>
      <c r="U269" s="769"/>
      <c r="V269" s="769"/>
      <c r="W269" s="769"/>
      <c r="X269" s="769"/>
      <c r="Y269" s="769"/>
      <c r="Z269" s="769"/>
    </row>
    <row r="270" spans="1:26" ht="18.75" customHeight="1" x14ac:dyDescent="0.3">
      <c r="A270" s="769"/>
      <c r="B270" s="769"/>
      <c r="C270" s="769"/>
      <c r="D270" s="771"/>
      <c r="E270" s="769"/>
      <c r="F270" s="769"/>
      <c r="G270" s="769"/>
      <c r="H270" s="769"/>
      <c r="I270" s="769"/>
      <c r="J270" s="769"/>
      <c r="K270" s="772"/>
      <c r="L270" s="769"/>
      <c r="M270" s="769"/>
      <c r="N270" s="769"/>
      <c r="O270" s="769"/>
      <c r="P270" s="769"/>
      <c r="Q270" s="769"/>
      <c r="R270" s="769"/>
      <c r="S270" s="769"/>
      <c r="T270" s="769"/>
      <c r="U270" s="769"/>
      <c r="V270" s="769"/>
      <c r="W270" s="769"/>
      <c r="X270" s="769"/>
      <c r="Y270" s="769"/>
      <c r="Z270" s="769"/>
    </row>
    <row r="271" spans="1:26" ht="18.75" customHeight="1" x14ac:dyDescent="0.3">
      <c r="A271" s="769"/>
      <c r="B271" s="769"/>
      <c r="C271" s="769"/>
      <c r="D271" s="771"/>
      <c r="E271" s="769"/>
      <c r="F271" s="769"/>
      <c r="G271" s="769"/>
      <c r="H271" s="769"/>
      <c r="I271" s="769"/>
      <c r="J271" s="769"/>
      <c r="K271" s="772"/>
      <c r="L271" s="769"/>
      <c r="M271" s="769"/>
      <c r="N271" s="769"/>
      <c r="O271" s="769"/>
      <c r="P271" s="769"/>
      <c r="Q271" s="769"/>
      <c r="R271" s="769"/>
      <c r="S271" s="769"/>
      <c r="T271" s="769"/>
      <c r="U271" s="769"/>
      <c r="V271" s="769"/>
      <c r="W271" s="769"/>
      <c r="X271" s="769"/>
      <c r="Y271" s="769"/>
      <c r="Z271" s="769"/>
    </row>
    <row r="272" spans="1:26" ht="18.75" customHeight="1" x14ac:dyDescent="0.3">
      <c r="A272" s="769"/>
      <c r="B272" s="769"/>
      <c r="C272" s="769"/>
      <c r="D272" s="771"/>
      <c r="E272" s="769"/>
      <c r="F272" s="769"/>
      <c r="G272" s="769"/>
      <c r="H272" s="769"/>
      <c r="I272" s="769"/>
      <c r="J272" s="769"/>
      <c r="K272" s="772"/>
      <c r="L272" s="769"/>
      <c r="M272" s="769"/>
      <c r="N272" s="769"/>
      <c r="O272" s="769"/>
      <c r="P272" s="769"/>
      <c r="Q272" s="769"/>
      <c r="R272" s="769"/>
      <c r="S272" s="769"/>
      <c r="T272" s="769"/>
      <c r="U272" s="769"/>
      <c r="V272" s="769"/>
      <c r="W272" s="769"/>
      <c r="X272" s="769"/>
      <c r="Y272" s="769"/>
      <c r="Z272" s="769"/>
    </row>
    <row r="273" spans="1:26" ht="18.75" customHeight="1" x14ac:dyDescent="0.3">
      <c r="A273" s="769"/>
      <c r="B273" s="769"/>
      <c r="C273" s="769"/>
      <c r="D273" s="771"/>
      <c r="E273" s="769"/>
      <c r="F273" s="769"/>
      <c r="G273" s="769"/>
      <c r="H273" s="769"/>
      <c r="I273" s="769"/>
      <c r="J273" s="769"/>
      <c r="K273" s="772"/>
      <c r="L273" s="769"/>
      <c r="M273" s="769"/>
      <c r="N273" s="769"/>
      <c r="O273" s="769"/>
      <c r="P273" s="769"/>
      <c r="Q273" s="769"/>
      <c r="R273" s="769"/>
      <c r="S273" s="769"/>
      <c r="T273" s="769"/>
      <c r="U273" s="769"/>
      <c r="V273" s="769"/>
      <c r="W273" s="769"/>
      <c r="X273" s="769"/>
      <c r="Y273" s="769"/>
      <c r="Z273" s="769"/>
    </row>
    <row r="274" spans="1:26" ht="18.75" customHeight="1" x14ac:dyDescent="0.3">
      <c r="A274" s="769"/>
      <c r="B274" s="769"/>
      <c r="C274" s="769"/>
      <c r="D274" s="771"/>
      <c r="E274" s="769"/>
      <c r="F274" s="769"/>
      <c r="G274" s="769"/>
      <c r="H274" s="769"/>
      <c r="I274" s="769"/>
      <c r="J274" s="769"/>
      <c r="K274" s="772"/>
      <c r="L274" s="769"/>
      <c r="M274" s="769"/>
      <c r="N274" s="769"/>
      <c r="O274" s="769"/>
      <c r="P274" s="769"/>
      <c r="Q274" s="769"/>
      <c r="R274" s="769"/>
      <c r="S274" s="769"/>
      <c r="T274" s="769"/>
      <c r="U274" s="769"/>
      <c r="V274" s="769"/>
      <c r="W274" s="769"/>
      <c r="X274" s="769"/>
      <c r="Y274" s="769"/>
      <c r="Z274" s="769"/>
    </row>
    <row r="275" spans="1:26" ht="18.75" customHeight="1" x14ac:dyDescent="0.3">
      <c r="A275" s="769"/>
      <c r="B275" s="769"/>
      <c r="C275" s="769"/>
      <c r="D275" s="771"/>
      <c r="E275" s="769"/>
      <c r="F275" s="769"/>
      <c r="G275" s="769"/>
      <c r="H275" s="769"/>
      <c r="I275" s="769"/>
      <c r="J275" s="769"/>
      <c r="K275" s="772"/>
      <c r="L275" s="769"/>
      <c r="M275" s="769"/>
      <c r="N275" s="769"/>
      <c r="O275" s="769"/>
      <c r="P275" s="769"/>
      <c r="Q275" s="769"/>
      <c r="R275" s="769"/>
      <c r="S275" s="769"/>
      <c r="T275" s="769"/>
      <c r="U275" s="769"/>
      <c r="V275" s="769"/>
      <c r="W275" s="769"/>
      <c r="X275" s="769"/>
      <c r="Y275" s="769"/>
      <c r="Z275" s="769"/>
    </row>
    <row r="276" spans="1:26" ht="18.75" customHeight="1" x14ac:dyDescent="0.3">
      <c r="A276" s="769"/>
      <c r="B276" s="769"/>
      <c r="C276" s="769"/>
      <c r="D276" s="771"/>
      <c r="E276" s="769"/>
      <c r="F276" s="769"/>
      <c r="G276" s="769"/>
      <c r="H276" s="769"/>
      <c r="I276" s="769"/>
      <c r="J276" s="769"/>
      <c r="K276" s="772"/>
      <c r="L276" s="769"/>
      <c r="M276" s="769"/>
      <c r="N276" s="769"/>
      <c r="O276" s="769"/>
      <c r="P276" s="769"/>
      <c r="Q276" s="769"/>
      <c r="R276" s="769"/>
      <c r="S276" s="769"/>
      <c r="T276" s="769"/>
      <c r="U276" s="769"/>
      <c r="V276" s="769"/>
      <c r="W276" s="769"/>
      <c r="X276" s="769"/>
      <c r="Y276" s="769"/>
      <c r="Z276" s="769"/>
    </row>
    <row r="277" spans="1:26" ht="18.75" customHeight="1" x14ac:dyDescent="0.3">
      <c r="A277" s="769"/>
      <c r="B277" s="769"/>
      <c r="C277" s="769"/>
      <c r="D277" s="771"/>
      <c r="E277" s="769"/>
      <c r="F277" s="769"/>
      <c r="G277" s="769"/>
      <c r="H277" s="769"/>
      <c r="I277" s="769"/>
      <c r="J277" s="769"/>
      <c r="K277" s="772"/>
      <c r="L277" s="769"/>
      <c r="M277" s="769"/>
      <c r="N277" s="769"/>
      <c r="O277" s="769"/>
      <c r="P277" s="769"/>
      <c r="Q277" s="769"/>
      <c r="R277" s="769"/>
      <c r="S277" s="769"/>
      <c r="T277" s="769"/>
      <c r="U277" s="769"/>
      <c r="V277" s="769"/>
      <c r="W277" s="769"/>
      <c r="X277" s="769"/>
      <c r="Y277" s="769"/>
      <c r="Z277" s="769"/>
    </row>
    <row r="278" spans="1:26" ht="18.75" customHeight="1" x14ac:dyDescent="0.3">
      <c r="A278" s="769"/>
      <c r="B278" s="769"/>
      <c r="C278" s="769"/>
      <c r="D278" s="771"/>
      <c r="E278" s="769"/>
      <c r="F278" s="769"/>
      <c r="G278" s="769"/>
      <c r="H278" s="769"/>
      <c r="I278" s="769"/>
      <c r="J278" s="769"/>
      <c r="K278" s="772"/>
      <c r="L278" s="769"/>
      <c r="M278" s="769"/>
      <c r="N278" s="769"/>
      <c r="O278" s="769"/>
      <c r="P278" s="769"/>
      <c r="Q278" s="769"/>
      <c r="R278" s="769"/>
      <c r="S278" s="769"/>
      <c r="T278" s="769"/>
      <c r="U278" s="769"/>
      <c r="V278" s="769"/>
      <c r="W278" s="769"/>
      <c r="X278" s="769"/>
      <c r="Y278" s="769"/>
      <c r="Z278" s="769"/>
    </row>
    <row r="279" spans="1:26" ht="18.75" customHeight="1" x14ac:dyDescent="0.3">
      <c r="A279" s="769"/>
      <c r="B279" s="769"/>
      <c r="C279" s="769"/>
      <c r="D279" s="771"/>
      <c r="E279" s="769"/>
      <c r="F279" s="769"/>
      <c r="G279" s="769"/>
      <c r="H279" s="769"/>
      <c r="I279" s="769"/>
      <c r="J279" s="769"/>
      <c r="K279" s="772"/>
      <c r="L279" s="769"/>
      <c r="M279" s="769"/>
      <c r="N279" s="769"/>
      <c r="O279" s="769"/>
      <c r="P279" s="769"/>
      <c r="Q279" s="769"/>
      <c r="R279" s="769"/>
      <c r="S279" s="769"/>
      <c r="T279" s="769"/>
      <c r="U279" s="769"/>
      <c r="V279" s="769"/>
      <c r="W279" s="769"/>
      <c r="X279" s="769"/>
      <c r="Y279" s="769"/>
      <c r="Z279" s="769"/>
    </row>
    <row r="280" spans="1:26" ht="18.75" customHeight="1" x14ac:dyDescent="0.3">
      <c r="A280" s="769"/>
      <c r="B280" s="769"/>
      <c r="C280" s="769"/>
      <c r="D280" s="771"/>
      <c r="E280" s="769"/>
      <c r="F280" s="769"/>
      <c r="G280" s="769"/>
      <c r="H280" s="769"/>
      <c r="I280" s="769"/>
      <c r="J280" s="769"/>
      <c r="K280" s="772"/>
      <c r="L280" s="769"/>
      <c r="M280" s="769"/>
      <c r="N280" s="769"/>
      <c r="O280" s="769"/>
      <c r="P280" s="769"/>
      <c r="Q280" s="769"/>
      <c r="R280" s="769"/>
      <c r="S280" s="769"/>
      <c r="T280" s="769"/>
      <c r="U280" s="769"/>
      <c r="V280" s="769"/>
      <c r="W280" s="769"/>
      <c r="X280" s="769"/>
      <c r="Y280" s="769"/>
      <c r="Z280" s="769"/>
    </row>
    <row r="281" spans="1:26" ht="18.75" customHeight="1" x14ac:dyDescent="0.3">
      <c r="A281" s="769"/>
      <c r="B281" s="769"/>
      <c r="C281" s="769"/>
      <c r="D281" s="771"/>
      <c r="E281" s="769"/>
      <c r="F281" s="769"/>
      <c r="G281" s="769"/>
      <c r="H281" s="769"/>
      <c r="I281" s="769"/>
      <c r="J281" s="769"/>
      <c r="K281" s="772"/>
      <c r="L281" s="769"/>
      <c r="M281" s="769"/>
      <c r="N281" s="769"/>
      <c r="O281" s="769"/>
      <c r="P281" s="769"/>
      <c r="Q281" s="769"/>
      <c r="R281" s="769"/>
      <c r="S281" s="769"/>
      <c r="T281" s="769"/>
      <c r="U281" s="769"/>
      <c r="V281" s="769"/>
      <c r="W281" s="769"/>
      <c r="X281" s="769"/>
      <c r="Y281" s="769"/>
      <c r="Z281" s="769"/>
    </row>
    <row r="282" spans="1:26" ht="18.75" customHeight="1" x14ac:dyDescent="0.3">
      <c r="A282" s="769"/>
      <c r="B282" s="769"/>
      <c r="C282" s="769"/>
      <c r="D282" s="771"/>
      <c r="E282" s="769"/>
      <c r="F282" s="769"/>
      <c r="G282" s="769"/>
      <c r="H282" s="769"/>
      <c r="I282" s="769"/>
      <c r="J282" s="769"/>
      <c r="K282" s="772"/>
      <c r="L282" s="769"/>
      <c r="M282" s="769"/>
      <c r="N282" s="769"/>
      <c r="O282" s="769"/>
      <c r="P282" s="769"/>
      <c r="Q282" s="769"/>
      <c r="R282" s="769"/>
      <c r="S282" s="769"/>
      <c r="T282" s="769"/>
      <c r="U282" s="769"/>
      <c r="V282" s="769"/>
      <c r="W282" s="769"/>
      <c r="X282" s="769"/>
      <c r="Y282" s="769"/>
      <c r="Z282" s="769"/>
    </row>
    <row r="283" spans="1:26" ht="18.75" customHeight="1" x14ac:dyDescent="0.3">
      <c r="A283" s="769"/>
      <c r="B283" s="769"/>
      <c r="C283" s="769"/>
      <c r="D283" s="771"/>
      <c r="E283" s="769"/>
      <c r="F283" s="769"/>
      <c r="G283" s="769"/>
      <c r="H283" s="769"/>
      <c r="I283" s="769"/>
      <c r="J283" s="769"/>
      <c r="K283" s="772"/>
      <c r="L283" s="769"/>
      <c r="M283" s="769"/>
      <c r="N283" s="769"/>
      <c r="O283" s="769"/>
      <c r="P283" s="769"/>
      <c r="Q283" s="769"/>
      <c r="R283" s="769"/>
      <c r="S283" s="769"/>
      <c r="T283" s="769"/>
      <c r="U283" s="769"/>
      <c r="V283" s="769"/>
      <c r="W283" s="769"/>
      <c r="X283" s="769"/>
      <c r="Y283" s="769"/>
      <c r="Z283" s="769"/>
    </row>
    <row r="284" spans="1:26" ht="18.75" customHeight="1" x14ac:dyDescent="0.3">
      <c r="A284" s="769"/>
      <c r="B284" s="769"/>
      <c r="C284" s="769"/>
      <c r="D284" s="771"/>
      <c r="E284" s="769"/>
      <c r="F284" s="769"/>
      <c r="G284" s="769"/>
      <c r="H284" s="769"/>
      <c r="I284" s="769"/>
      <c r="J284" s="769"/>
      <c r="K284" s="772"/>
      <c r="L284" s="769"/>
      <c r="M284" s="769"/>
      <c r="N284" s="769"/>
      <c r="O284" s="769"/>
      <c r="P284" s="769"/>
      <c r="Q284" s="769"/>
      <c r="R284" s="769"/>
      <c r="S284" s="769"/>
      <c r="T284" s="769"/>
      <c r="U284" s="769"/>
      <c r="V284" s="769"/>
      <c r="W284" s="769"/>
      <c r="X284" s="769"/>
      <c r="Y284" s="769"/>
      <c r="Z284" s="769"/>
    </row>
    <row r="285" spans="1:26" ht="18.75" customHeight="1" x14ac:dyDescent="0.3">
      <c r="A285" s="769"/>
      <c r="B285" s="769"/>
      <c r="C285" s="769"/>
      <c r="D285" s="771"/>
      <c r="E285" s="769"/>
      <c r="F285" s="769"/>
      <c r="G285" s="769"/>
      <c r="H285" s="769"/>
      <c r="I285" s="769"/>
      <c r="J285" s="769"/>
      <c r="K285" s="772"/>
      <c r="L285" s="769"/>
      <c r="M285" s="769"/>
      <c r="N285" s="769"/>
      <c r="O285" s="769"/>
      <c r="P285" s="769"/>
      <c r="Q285" s="769"/>
      <c r="R285" s="769"/>
      <c r="S285" s="769"/>
      <c r="T285" s="769"/>
      <c r="U285" s="769"/>
      <c r="V285" s="769"/>
      <c r="W285" s="769"/>
      <c r="X285" s="769"/>
      <c r="Y285" s="769"/>
      <c r="Z285" s="769"/>
    </row>
    <row r="286" spans="1:26" ht="18.75" customHeight="1" x14ac:dyDescent="0.3">
      <c r="A286" s="769"/>
      <c r="B286" s="769"/>
      <c r="C286" s="769"/>
      <c r="D286" s="771"/>
      <c r="E286" s="769"/>
      <c r="F286" s="769"/>
      <c r="G286" s="769"/>
      <c r="H286" s="769"/>
      <c r="I286" s="769"/>
      <c r="J286" s="769"/>
      <c r="K286" s="772"/>
      <c r="L286" s="769"/>
      <c r="M286" s="769"/>
      <c r="N286" s="769"/>
      <c r="O286" s="769"/>
      <c r="P286" s="769"/>
      <c r="Q286" s="769"/>
      <c r="R286" s="769"/>
      <c r="S286" s="769"/>
      <c r="T286" s="769"/>
      <c r="U286" s="769"/>
      <c r="V286" s="769"/>
      <c r="W286" s="769"/>
      <c r="X286" s="769"/>
      <c r="Y286" s="769"/>
      <c r="Z286" s="769"/>
    </row>
    <row r="287" spans="1:26" ht="18.75" customHeight="1" x14ac:dyDescent="0.3">
      <c r="A287" s="769"/>
      <c r="B287" s="769"/>
      <c r="C287" s="769"/>
      <c r="D287" s="771"/>
      <c r="E287" s="769"/>
      <c r="F287" s="769"/>
      <c r="G287" s="769"/>
      <c r="H287" s="769"/>
      <c r="I287" s="769"/>
      <c r="J287" s="769"/>
      <c r="K287" s="772"/>
      <c r="L287" s="769"/>
      <c r="M287" s="769"/>
      <c r="N287" s="769"/>
      <c r="O287" s="769"/>
      <c r="P287" s="769"/>
      <c r="Q287" s="769"/>
      <c r="R287" s="769"/>
      <c r="S287" s="769"/>
      <c r="T287" s="769"/>
      <c r="U287" s="769"/>
      <c r="V287" s="769"/>
      <c r="W287" s="769"/>
      <c r="X287" s="769"/>
      <c r="Y287" s="769"/>
      <c r="Z287" s="769"/>
    </row>
    <row r="288" spans="1:26" ht="18.75" customHeight="1" x14ac:dyDescent="0.3">
      <c r="A288" s="769"/>
      <c r="B288" s="769"/>
      <c r="C288" s="769"/>
      <c r="D288" s="771"/>
      <c r="E288" s="769"/>
      <c r="F288" s="769"/>
      <c r="G288" s="769"/>
      <c r="H288" s="769"/>
      <c r="I288" s="769"/>
      <c r="J288" s="769"/>
      <c r="K288" s="772"/>
      <c r="L288" s="769"/>
      <c r="M288" s="769"/>
      <c r="N288" s="769"/>
      <c r="O288" s="769"/>
      <c r="P288" s="769"/>
      <c r="Q288" s="769"/>
      <c r="R288" s="769"/>
      <c r="S288" s="769"/>
      <c r="T288" s="769"/>
      <c r="U288" s="769"/>
      <c r="V288" s="769"/>
      <c r="W288" s="769"/>
      <c r="X288" s="769"/>
      <c r="Y288" s="769"/>
      <c r="Z288" s="769"/>
    </row>
    <row r="289" spans="1:26" ht="18.75" customHeight="1" x14ac:dyDescent="0.3">
      <c r="A289" s="769"/>
      <c r="B289" s="769"/>
      <c r="C289" s="769"/>
      <c r="D289" s="771"/>
      <c r="E289" s="769"/>
      <c r="F289" s="769"/>
      <c r="G289" s="769"/>
      <c r="H289" s="769"/>
      <c r="I289" s="769"/>
      <c r="J289" s="769"/>
      <c r="K289" s="772"/>
      <c r="L289" s="769"/>
      <c r="M289" s="769"/>
      <c r="N289" s="769"/>
      <c r="O289" s="769"/>
      <c r="P289" s="769"/>
      <c r="Q289" s="769"/>
      <c r="R289" s="769"/>
      <c r="S289" s="769"/>
      <c r="T289" s="769"/>
      <c r="U289" s="769"/>
      <c r="V289" s="769"/>
      <c r="W289" s="769"/>
      <c r="X289" s="769"/>
      <c r="Y289" s="769"/>
      <c r="Z289" s="769"/>
    </row>
    <row r="290" spans="1:26" ht="18.75" customHeight="1" x14ac:dyDescent="0.3">
      <c r="A290" s="769"/>
      <c r="B290" s="769"/>
      <c r="C290" s="769"/>
      <c r="D290" s="771"/>
      <c r="E290" s="769"/>
      <c r="F290" s="769"/>
      <c r="G290" s="769"/>
      <c r="H290" s="769"/>
      <c r="I290" s="769"/>
      <c r="J290" s="769"/>
      <c r="K290" s="772"/>
      <c r="L290" s="769"/>
      <c r="M290" s="769"/>
      <c r="N290" s="769"/>
      <c r="O290" s="769"/>
      <c r="P290" s="769"/>
      <c r="Q290" s="769"/>
      <c r="R290" s="769"/>
      <c r="S290" s="769"/>
      <c r="T290" s="769"/>
      <c r="U290" s="769"/>
      <c r="V290" s="769"/>
      <c r="W290" s="769"/>
      <c r="X290" s="769"/>
      <c r="Y290" s="769"/>
      <c r="Z290" s="769"/>
    </row>
    <row r="291" spans="1:26" ht="18.75" customHeight="1" x14ac:dyDescent="0.3">
      <c r="A291" s="769"/>
      <c r="B291" s="769"/>
      <c r="C291" s="769"/>
      <c r="D291" s="771"/>
      <c r="E291" s="769"/>
      <c r="F291" s="769"/>
      <c r="G291" s="769"/>
      <c r="H291" s="769"/>
      <c r="I291" s="769"/>
      <c r="J291" s="769"/>
      <c r="K291" s="772"/>
      <c r="L291" s="769"/>
      <c r="M291" s="769"/>
      <c r="N291" s="769"/>
      <c r="O291" s="769"/>
      <c r="P291" s="769"/>
      <c r="Q291" s="769"/>
      <c r="R291" s="769"/>
      <c r="S291" s="769"/>
      <c r="T291" s="769"/>
      <c r="U291" s="769"/>
      <c r="V291" s="769"/>
      <c r="W291" s="769"/>
      <c r="X291" s="769"/>
      <c r="Y291" s="769"/>
      <c r="Z291" s="769"/>
    </row>
    <row r="292" spans="1:26" ht="18.75" customHeight="1" x14ac:dyDescent="0.3">
      <c r="A292" s="769"/>
      <c r="B292" s="769"/>
      <c r="C292" s="769"/>
      <c r="D292" s="771"/>
      <c r="E292" s="769"/>
      <c r="F292" s="769"/>
      <c r="G292" s="769"/>
      <c r="H292" s="769"/>
      <c r="I292" s="769"/>
      <c r="J292" s="769"/>
      <c r="K292" s="772"/>
      <c r="L292" s="769"/>
      <c r="M292" s="769"/>
      <c r="N292" s="769"/>
      <c r="O292" s="769"/>
      <c r="P292" s="769"/>
      <c r="Q292" s="769"/>
      <c r="R292" s="769"/>
      <c r="S292" s="769"/>
      <c r="T292" s="769"/>
      <c r="U292" s="769"/>
      <c r="V292" s="769"/>
      <c r="W292" s="769"/>
      <c r="X292" s="769"/>
      <c r="Y292" s="769"/>
      <c r="Z292" s="769"/>
    </row>
    <row r="293" spans="1:26" ht="18.75" customHeight="1" x14ac:dyDescent="0.3">
      <c r="A293" s="769"/>
      <c r="B293" s="769"/>
      <c r="C293" s="769"/>
      <c r="D293" s="771"/>
      <c r="E293" s="769"/>
      <c r="F293" s="769"/>
      <c r="G293" s="769"/>
      <c r="H293" s="769"/>
      <c r="I293" s="769"/>
      <c r="J293" s="769"/>
      <c r="K293" s="772"/>
      <c r="L293" s="769"/>
      <c r="M293" s="769"/>
      <c r="N293" s="769"/>
      <c r="O293" s="769"/>
      <c r="P293" s="769"/>
      <c r="Q293" s="769"/>
      <c r="R293" s="769"/>
      <c r="S293" s="769"/>
      <c r="T293" s="769"/>
      <c r="U293" s="769"/>
      <c r="V293" s="769"/>
      <c r="W293" s="769"/>
      <c r="X293" s="769"/>
      <c r="Y293" s="769"/>
      <c r="Z293" s="769"/>
    </row>
    <row r="294" spans="1:26" ht="18.75" customHeight="1" x14ac:dyDescent="0.3">
      <c r="A294" s="769"/>
      <c r="B294" s="769"/>
      <c r="C294" s="769"/>
      <c r="D294" s="771"/>
      <c r="E294" s="769"/>
      <c r="F294" s="769"/>
      <c r="G294" s="769"/>
      <c r="H294" s="769"/>
      <c r="I294" s="769"/>
      <c r="J294" s="769"/>
      <c r="K294" s="772"/>
      <c r="L294" s="769"/>
      <c r="M294" s="769"/>
      <c r="N294" s="769"/>
      <c r="O294" s="769"/>
      <c r="P294" s="769"/>
      <c r="Q294" s="769"/>
      <c r="R294" s="769"/>
      <c r="S294" s="769"/>
      <c r="T294" s="769"/>
      <c r="U294" s="769"/>
      <c r="V294" s="769"/>
      <c r="W294" s="769"/>
      <c r="X294" s="769"/>
      <c r="Y294" s="769"/>
      <c r="Z294" s="769"/>
    </row>
    <row r="295" spans="1:26" ht="18.75" customHeight="1" x14ac:dyDescent="0.3">
      <c r="A295" s="769"/>
      <c r="B295" s="769"/>
      <c r="C295" s="769"/>
      <c r="D295" s="771"/>
      <c r="E295" s="769"/>
      <c r="F295" s="769"/>
      <c r="G295" s="769"/>
      <c r="H295" s="769"/>
      <c r="I295" s="769"/>
      <c r="J295" s="769"/>
      <c r="K295" s="772"/>
      <c r="L295" s="769"/>
      <c r="M295" s="769"/>
      <c r="N295" s="769"/>
      <c r="O295" s="769"/>
      <c r="P295" s="769"/>
      <c r="Q295" s="769"/>
      <c r="R295" s="769"/>
      <c r="S295" s="769"/>
      <c r="T295" s="769"/>
      <c r="U295" s="769"/>
      <c r="V295" s="769"/>
      <c r="W295" s="769"/>
      <c r="X295" s="769"/>
      <c r="Y295" s="769"/>
      <c r="Z295" s="769"/>
    </row>
    <row r="296" spans="1:26" ht="18.75" customHeight="1" x14ac:dyDescent="0.3">
      <c r="A296" s="769"/>
      <c r="B296" s="769"/>
      <c r="C296" s="769"/>
      <c r="D296" s="771"/>
      <c r="E296" s="769"/>
      <c r="F296" s="769"/>
      <c r="G296" s="769"/>
      <c r="H296" s="769"/>
      <c r="I296" s="769"/>
      <c r="J296" s="769"/>
      <c r="K296" s="772"/>
      <c r="L296" s="769"/>
      <c r="M296" s="769"/>
      <c r="N296" s="769"/>
      <c r="O296" s="769"/>
      <c r="P296" s="769"/>
      <c r="Q296" s="769"/>
      <c r="R296" s="769"/>
      <c r="S296" s="769"/>
      <c r="T296" s="769"/>
      <c r="U296" s="769"/>
      <c r="V296" s="769"/>
      <c r="W296" s="769"/>
      <c r="X296" s="769"/>
      <c r="Y296" s="769"/>
      <c r="Z296" s="769"/>
    </row>
    <row r="297" spans="1:26" ht="18.75" customHeight="1" x14ac:dyDescent="0.3">
      <c r="A297" s="769"/>
      <c r="B297" s="769"/>
      <c r="C297" s="769"/>
      <c r="D297" s="771"/>
      <c r="E297" s="769"/>
      <c r="F297" s="769"/>
      <c r="G297" s="769"/>
      <c r="H297" s="769"/>
      <c r="I297" s="769"/>
      <c r="J297" s="769"/>
      <c r="K297" s="772"/>
      <c r="L297" s="769"/>
      <c r="M297" s="769"/>
      <c r="N297" s="769"/>
      <c r="O297" s="769"/>
      <c r="P297" s="769"/>
      <c r="Q297" s="769"/>
      <c r="R297" s="769"/>
      <c r="S297" s="769"/>
      <c r="T297" s="769"/>
      <c r="U297" s="769"/>
      <c r="V297" s="769"/>
      <c r="W297" s="769"/>
      <c r="X297" s="769"/>
      <c r="Y297" s="769"/>
      <c r="Z297" s="769"/>
    </row>
    <row r="298" spans="1:26" ht="18.75" customHeight="1" x14ac:dyDescent="0.3">
      <c r="A298" s="769"/>
      <c r="B298" s="769"/>
      <c r="C298" s="769"/>
      <c r="D298" s="771"/>
      <c r="E298" s="769"/>
      <c r="F298" s="769"/>
      <c r="G298" s="769"/>
      <c r="H298" s="769"/>
      <c r="I298" s="769"/>
      <c r="J298" s="769"/>
      <c r="K298" s="772"/>
      <c r="L298" s="769"/>
      <c r="M298" s="769"/>
      <c r="N298" s="769"/>
      <c r="O298" s="769"/>
      <c r="P298" s="769"/>
      <c r="Q298" s="769"/>
      <c r="R298" s="769"/>
      <c r="S298" s="769"/>
      <c r="T298" s="769"/>
      <c r="U298" s="769"/>
      <c r="V298" s="769"/>
      <c r="W298" s="769"/>
      <c r="X298" s="769"/>
      <c r="Y298" s="769"/>
      <c r="Z298" s="769"/>
    </row>
    <row r="299" spans="1:26" ht="18.75" customHeight="1" x14ac:dyDescent="0.3">
      <c r="A299" s="769"/>
      <c r="B299" s="769"/>
      <c r="C299" s="769"/>
      <c r="D299" s="771"/>
      <c r="E299" s="769"/>
      <c r="F299" s="769"/>
      <c r="G299" s="769"/>
      <c r="H299" s="769"/>
      <c r="I299" s="769"/>
      <c r="J299" s="769"/>
      <c r="K299" s="772"/>
      <c r="L299" s="769"/>
      <c r="M299" s="769"/>
      <c r="N299" s="769"/>
      <c r="O299" s="769"/>
      <c r="P299" s="769"/>
      <c r="Q299" s="769"/>
      <c r="R299" s="769"/>
      <c r="S299" s="769"/>
      <c r="T299" s="769"/>
      <c r="U299" s="769"/>
      <c r="V299" s="769"/>
      <c r="W299" s="769"/>
      <c r="X299" s="769"/>
      <c r="Y299" s="769"/>
      <c r="Z299" s="769"/>
    </row>
    <row r="300" spans="1:26" ht="18.75" customHeight="1" x14ac:dyDescent="0.3">
      <c r="A300" s="769"/>
      <c r="B300" s="769"/>
      <c r="C300" s="769"/>
      <c r="D300" s="771"/>
      <c r="E300" s="769"/>
      <c r="F300" s="769"/>
      <c r="G300" s="769"/>
      <c r="H300" s="769"/>
      <c r="I300" s="769"/>
      <c r="J300" s="769"/>
      <c r="K300" s="772"/>
      <c r="L300" s="769"/>
      <c r="M300" s="769"/>
      <c r="N300" s="769"/>
      <c r="O300" s="769"/>
      <c r="P300" s="769"/>
      <c r="Q300" s="769"/>
      <c r="R300" s="769"/>
      <c r="S300" s="769"/>
      <c r="T300" s="769"/>
      <c r="U300" s="769"/>
      <c r="V300" s="769"/>
      <c r="W300" s="769"/>
      <c r="X300" s="769"/>
      <c r="Y300" s="769"/>
      <c r="Z300" s="769"/>
    </row>
    <row r="301" spans="1:26" ht="18.75" customHeight="1" x14ac:dyDescent="0.3">
      <c r="A301" s="769"/>
      <c r="B301" s="769"/>
      <c r="C301" s="769"/>
      <c r="D301" s="771"/>
      <c r="E301" s="769"/>
      <c r="F301" s="769"/>
      <c r="G301" s="769"/>
      <c r="H301" s="769"/>
      <c r="I301" s="769"/>
      <c r="J301" s="769"/>
      <c r="K301" s="772"/>
      <c r="L301" s="769"/>
      <c r="M301" s="769"/>
      <c r="N301" s="769"/>
      <c r="O301" s="769"/>
      <c r="P301" s="769"/>
      <c r="Q301" s="769"/>
      <c r="R301" s="769"/>
      <c r="S301" s="769"/>
      <c r="T301" s="769"/>
      <c r="U301" s="769"/>
      <c r="V301" s="769"/>
      <c r="W301" s="769"/>
      <c r="X301" s="769"/>
      <c r="Y301" s="769"/>
      <c r="Z301" s="769"/>
    </row>
    <row r="302" spans="1:26" ht="18.75" customHeight="1" x14ac:dyDescent="0.3">
      <c r="A302" s="769"/>
      <c r="B302" s="769"/>
      <c r="C302" s="769"/>
      <c r="D302" s="771"/>
      <c r="E302" s="769"/>
      <c r="F302" s="769"/>
      <c r="G302" s="769"/>
      <c r="H302" s="769"/>
      <c r="I302" s="769"/>
      <c r="J302" s="769"/>
      <c r="K302" s="772"/>
      <c r="L302" s="769"/>
      <c r="M302" s="769"/>
      <c r="N302" s="769"/>
      <c r="O302" s="769"/>
      <c r="P302" s="769"/>
      <c r="Q302" s="769"/>
      <c r="R302" s="769"/>
      <c r="S302" s="769"/>
      <c r="T302" s="769"/>
      <c r="U302" s="769"/>
      <c r="V302" s="769"/>
      <c r="W302" s="769"/>
      <c r="X302" s="769"/>
      <c r="Y302" s="769"/>
      <c r="Z302" s="769"/>
    </row>
    <row r="303" spans="1:26" ht="18.75" customHeight="1" x14ac:dyDescent="0.3">
      <c r="A303" s="769"/>
      <c r="B303" s="769"/>
      <c r="C303" s="769"/>
      <c r="D303" s="771"/>
      <c r="E303" s="769"/>
      <c r="F303" s="769"/>
      <c r="G303" s="769"/>
      <c r="H303" s="769"/>
      <c r="I303" s="769"/>
      <c r="J303" s="769"/>
      <c r="K303" s="772"/>
      <c r="L303" s="769"/>
      <c r="M303" s="769"/>
      <c r="N303" s="769"/>
      <c r="O303" s="769"/>
      <c r="P303" s="769"/>
      <c r="Q303" s="769"/>
      <c r="R303" s="769"/>
      <c r="S303" s="769"/>
      <c r="T303" s="769"/>
      <c r="U303" s="769"/>
      <c r="V303" s="769"/>
      <c r="W303" s="769"/>
      <c r="X303" s="769"/>
      <c r="Y303" s="769"/>
      <c r="Z303" s="769"/>
    </row>
    <row r="304" spans="1:26" ht="18.75" customHeight="1" x14ac:dyDescent="0.3">
      <c r="A304" s="769"/>
      <c r="B304" s="769"/>
      <c r="C304" s="769"/>
      <c r="D304" s="771"/>
      <c r="E304" s="769"/>
      <c r="F304" s="769"/>
      <c r="G304" s="769"/>
      <c r="H304" s="769"/>
      <c r="I304" s="769"/>
      <c r="J304" s="769"/>
      <c r="K304" s="772"/>
      <c r="L304" s="769"/>
      <c r="M304" s="769"/>
      <c r="N304" s="769"/>
      <c r="O304" s="769"/>
      <c r="P304" s="769"/>
      <c r="Q304" s="769"/>
      <c r="R304" s="769"/>
      <c r="S304" s="769"/>
      <c r="T304" s="769"/>
      <c r="U304" s="769"/>
      <c r="V304" s="769"/>
      <c r="W304" s="769"/>
      <c r="X304" s="769"/>
      <c r="Y304" s="769"/>
      <c r="Z304" s="769"/>
    </row>
    <row r="305" spans="1:26" ht="18.75" customHeight="1" x14ac:dyDescent="0.3">
      <c r="A305" s="769"/>
      <c r="B305" s="769"/>
      <c r="C305" s="769"/>
      <c r="D305" s="771"/>
      <c r="E305" s="769"/>
      <c r="F305" s="769"/>
      <c r="G305" s="769"/>
      <c r="H305" s="769"/>
      <c r="I305" s="769"/>
      <c r="J305" s="769"/>
      <c r="K305" s="772"/>
      <c r="L305" s="769"/>
      <c r="M305" s="769"/>
      <c r="N305" s="769"/>
      <c r="O305" s="769"/>
      <c r="P305" s="769"/>
      <c r="Q305" s="769"/>
      <c r="R305" s="769"/>
      <c r="S305" s="769"/>
      <c r="T305" s="769"/>
      <c r="U305" s="769"/>
      <c r="V305" s="769"/>
      <c r="W305" s="769"/>
      <c r="X305" s="769"/>
      <c r="Y305" s="769"/>
      <c r="Z305" s="769"/>
    </row>
    <row r="306" spans="1:26" ht="18.75" customHeight="1" x14ac:dyDescent="0.3">
      <c r="A306" s="769"/>
      <c r="B306" s="769"/>
      <c r="C306" s="769"/>
      <c r="D306" s="771"/>
      <c r="E306" s="769"/>
      <c r="F306" s="769"/>
      <c r="G306" s="769"/>
      <c r="H306" s="769"/>
      <c r="I306" s="769"/>
      <c r="J306" s="769"/>
      <c r="K306" s="772"/>
      <c r="L306" s="769"/>
      <c r="M306" s="769"/>
      <c r="N306" s="769"/>
      <c r="O306" s="769"/>
      <c r="P306" s="769"/>
      <c r="Q306" s="769"/>
      <c r="R306" s="769"/>
      <c r="S306" s="769"/>
      <c r="T306" s="769"/>
      <c r="U306" s="769"/>
      <c r="V306" s="769"/>
      <c r="W306" s="769"/>
      <c r="X306" s="769"/>
      <c r="Y306" s="769"/>
      <c r="Z306" s="769"/>
    </row>
    <row r="307" spans="1:26" ht="18.75" customHeight="1" x14ac:dyDescent="0.3">
      <c r="A307" s="769"/>
      <c r="B307" s="769"/>
      <c r="C307" s="769"/>
      <c r="D307" s="771"/>
      <c r="E307" s="769"/>
      <c r="F307" s="769"/>
      <c r="G307" s="769"/>
      <c r="H307" s="769"/>
      <c r="I307" s="769"/>
      <c r="J307" s="769"/>
      <c r="K307" s="772"/>
      <c r="L307" s="769"/>
      <c r="M307" s="769"/>
      <c r="N307" s="769"/>
      <c r="O307" s="769"/>
      <c r="P307" s="769"/>
      <c r="Q307" s="769"/>
      <c r="R307" s="769"/>
      <c r="S307" s="769"/>
      <c r="T307" s="769"/>
      <c r="U307" s="769"/>
      <c r="V307" s="769"/>
      <c r="W307" s="769"/>
      <c r="X307" s="769"/>
      <c r="Y307" s="769"/>
      <c r="Z307" s="769"/>
    </row>
    <row r="308" spans="1:26" ht="18.75" customHeight="1" x14ac:dyDescent="0.3">
      <c r="A308" s="769"/>
      <c r="B308" s="769"/>
      <c r="C308" s="769"/>
      <c r="D308" s="771"/>
      <c r="E308" s="769"/>
      <c r="F308" s="769"/>
      <c r="G308" s="769"/>
      <c r="H308" s="769"/>
      <c r="I308" s="769"/>
      <c r="J308" s="769"/>
      <c r="K308" s="772"/>
      <c r="L308" s="769"/>
      <c r="M308" s="769"/>
      <c r="N308" s="769"/>
      <c r="O308" s="769"/>
      <c r="P308" s="769"/>
      <c r="Q308" s="769"/>
      <c r="R308" s="769"/>
      <c r="S308" s="769"/>
      <c r="T308" s="769"/>
      <c r="U308" s="769"/>
      <c r="V308" s="769"/>
      <c r="W308" s="769"/>
      <c r="X308" s="769"/>
      <c r="Y308" s="769"/>
      <c r="Z308" s="769"/>
    </row>
    <row r="309" spans="1:26" ht="18.75" customHeight="1" x14ac:dyDescent="0.3">
      <c r="A309" s="769"/>
      <c r="B309" s="769"/>
      <c r="C309" s="769"/>
      <c r="D309" s="771"/>
      <c r="E309" s="769"/>
      <c r="F309" s="769"/>
      <c r="G309" s="769"/>
      <c r="H309" s="769"/>
      <c r="I309" s="769"/>
      <c r="J309" s="769"/>
      <c r="K309" s="772"/>
      <c r="L309" s="769"/>
      <c r="M309" s="769"/>
      <c r="N309" s="769"/>
      <c r="O309" s="769"/>
      <c r="P309" s="769"/>
      <c r="Q309" s="769"/>
      <c r="R309" s="769"/>
      <c r="S309" s="769"/>
      <c r="T309" s="769"/>
      <c r="U309" s="769"/>
      <c r="V309" s="769"/>
      <c r="W309" s="769"/>
      <c r="X309" s="769"/>
      <c r="Y309" s="769"/>
      <c r="Z309" s="769"/>
    </row>
    <row r="310" spans="1:26" ht="18.75" customHeight="1" x14ac:dyDescent="0.3">
      <c r="A310" s="769"/>
      <c r="B310" s="769"/>
      <c r="C310" s="769"/>
      <c r="D310" s="771"/>
      <c r="E310" s="769"/>
      <c r="F310" s="769"/>
      <c r="G310" s="769"/>
      <c r="H310" s="769"/>
      <c r="I310" s="769"/>
      <c r="J310" s="769"/>
      <c r="K310" s="772"/>
      <c r="L310" s="769"/>
      <c r="M310" s="769"/>
      <c r="N310" s="769"/>
      <c r="O310" s="769"/>
      <c r="P310" s="769"/>
      <c r="Q310" s="769"/>
      <c r="R310" s="769"/>
      <c r="S310" s="769"/>
      <c r="T310" s="769"/>
      <c r="U310" s="769"/>
      <c r="V310" s="769"/>
      <c r="W310" s="769"/>
      <c r="X310" s="769"/>
      <c r="Y310" s="769"/>
      <c r="Z310" s="769"/>
    </row>
    <row r="311" spans="1:26" ht="18.75" customHeight="1" x14ac:dyDescent="0.3">
      <c r="A311" s="769"/>
      <c r="B311" s="769"/>
      <c r="C311" s="769"/>
      <c r="D311" s="771"/>
      <c r="E311" s="769"/>
      <c r="F311" s="769"/>
      <c r="G311" s="769"/>
      <c r="H311" s="769"/>
      <c r="I311" s="769"/>
      <c r="J311" s="769"/>
      <c r="K311" s="772"/>
      <c r="L311" s="769"/>
      <c r="M311" s="769"/>
      <c r="N311" s="769"/>
      <c r="O311" s="769"/>
      <c r="P311" s="769"/>
      <c r="Q311" s="769"/>
      <c r="R311" s="769"/>
      <c r="S311" s="769"/>
      <c r="T311" s="769"/>
      <c r="U311" s="769"/>
      <c r="V311" s="769"/>
      <c r="W311" s="769"/>
      <c r="X311" s="769"/>
      <c r="Y311" s="769"/>
      <c r="Z311" s="769"/>
    </row>
    <row r="312" spans="1:26" ht="18.75" customHeight="1" x14ac:dyDescent="0.3">
      <c r="A312" s="769"/>
      <c r="B312" s="769"/>
      <c r="C312" s="769"/>
      <c r="D312" s="771"/>
      <c r="E312" s="769"/>
      <c r="F312" s="769"/>
      <c r="G312" s="769"/>
      <c r="H312" s="769"/>
      <c r="I312" s="769"/>
      <c r="J312" s="769"/>
      <c r="K312" s="772"/>
      <c r="L312" s="769"/>
      <c r="M312" s="769"/>
      <c r="N312" s="769"/>
      <c r="O312" s="769"/>
      <c r="P312" s="769"/>
      <c r="Q312" s="769"/>
      <c r="R312" s="769"/>
      <c r="S312" s="769"/>
      <c r="T312" s="769"/>
      <c r="U312" s="769"/>
      <c r="V312" s="769"/>
      <c r="W312" s="769"/>
      <c r="X312" s="769"/>
      <c r="Y312" s="769"/>
      <c r="Z312" s="769"/>
    </row>
    <row r="313" spans="1:26" ht="18.75" customHeight="1" x14ac:dyDescent="0.3">
      <c r="A313" s="769"/>
      <c r="B313" s="769"/>
      <c r="C313" s="769"/>
      <c r="D313" s="771"/>
      <c r="E313" s="769"/>
      <c r="F313" s="769"/>
      <c r="G313" s="769"/>
      <c r="H313" s="769"/>
      <c r="I313" s="769"/>
      <c r="J313" s="769"/>
      <c r="K313" s="772"/>
      <c r="L313" s="769"/>
      <c r="M313" s="769"/>
      <c r="N313" s="769"/>
      <c r="O313" s="769"/>
      <c r="P313" s="769"/>
      <c r="Q313" s="769"/>
      <c r="R313" s="769"/>
      <c r="S313" s="769"/>
      <c r="T313" s="769"/>
      <c r="U313" s="769"/>
      <c r="V313" s="769"/>
      <c r="W313" s="769"/>
      <c r="X313" s="769"/>
      <c r="Y313" s="769"/>
      <c r="Z313" s="769"/>
    </row>
    <row r="314" spans="1:26" ht="18.75" customHeight="1" x14ac:dyDescent="0.3">
      <c r="A314" s="769"/>
      <c r="B314" s="769"/>
      <c r="C314" s="769"/>
      <c r="D314" s="771"/>
      <c r="E314" s="769"/>
      <c r="F314" s="769"/>
      <c r="G314" s="769"/>
      <c r="H314" s="769"/>
      <c r="I314" s="769"/>
      <c r="J314" s="769"/>
      <c r="K314" s="772"/>
      <c r="L314" s="769"/>
      <c r="M314" s="769"/>
      <c r="N314" s="769"/>
      <c r="O314" s="769"/>
      <c r="P314" s="769"/>
      <c r="Q314" s="769"/>
      <c r="R314" s="769"/>
      <c r="S314" s="769"/>
      <c r="T314" s="769"/>
      <c r="U314" s="769"/>
      <c r="V314" s="769"/>
      <c r="W314" s="769"/>
      <c r="X314" s="769"/>
      <c r="Y314" s="769"/>
      <c r="Z314" s="769"/>
    </row>
    <row r="315" spans="1:26" ht="18.75" customHeight="1" x14ac:dyDescent="0.3">
      <c r="A315" s="769"/>
      <c r="B315" s="769"/>
      <c r="C315" s="769"/>
      <c r="D315" s="771"/>
      <c r="E315" s="769"/>
      <c r="F315" s="769"/>
      <c r="G315" s="769"/>
      <c r="H315" s="769"/>
      <c r="I315" s="769"/>
      <c r="J315" s="769"/>
      <c r="K315" s="772"/>
      <c r="L315" s="769"/>
      <c r="M315" s="769"/>
      <c r="N315" s="769"/>
      <c r="O315" s="769"/>
      <c r="P315" s="769"/>
      <c r="Q315" s="769"/>
      <c r="R315" s="769"/>
      <c r="S315" s="769"/>
      <c r="T315" s="769"/>
      <c r="U315" s="769"/>
      <c r="V315" s="769"/>
      <c r="W315" s="769"/>
      <c r="X315" s="769"/>
      <c r="Y315" s="769"/>
      <c r="Z315" s="769"/>
    </row>
    <row r="316" spans="1:26" ht="18.75" customHeight="1" x14ac:dyDescent="0.3">
      <c r="A316" s="769"/>
      <c r="B316" s="769"/>
      <c r="C316" s="769"/>
      <c r="D316" s="771"/>
      <c r="E316" s="769"/>
      <c r="F316" s="769"/>
      <c r="G316" s="769"/>
      <c r="H316" s="769"/>
      <c r="I316" s="769"/>
      <c r="J316" s="769"/>
      <c r="K316" s="772"/>
      <c r="L316" s="769"/>
      <c r="M316" s="769"/>
      <c r="N316" s="769"/>
      <c r="O316" s="769"/>
      <c r="P316" s="769"/>
      <c r="Q316" s="769"/>
      <c r="R316" s="769"/>
      <c r="S316" s="769"/>
      <c r="T316" s="769"/>
      <c r="U316" s="769"/>
      <c r="V316" s="769"/>
      <c r="W316" s="769"/>
      <c r="X316" s="769"/>
      <c r="Y316" s="769"/>
      <c r="Z316" s="769"/>
    </row>
    <row r="317" spans="1:26" ht="18.75" customHeight="1" x14ac:dyDescent="0.3">
      <c r="A317" s="769"/>
      <c r="B317" s="769"/>
      <c r="C317" s="769"/>
      <c r="D317" s="771"/>
      <c r="E317" s="769"/>
      <c r="F317" s="769"/>
      <c r="G317" s="769"/>
      <c r="H317" s="769"/>
      <c r="I317" s="769"/>
      <c r="J317" s="769"/>
      <c r="K317" s="772"/>
      <c r="L317" s="769"/>
      <c r="M317" s="769"/>
      <c r="N317" s="769"/>
      <c r="O317" s="769"/>
      <c r="P317" s="769"/>
      <c r="Q317" s="769"/>
      <c r="R317" s="769"/>
      <c r="S317" s="769"/>
      <c r="T317" s="769"/>
      <c r="U317" s="769"/>
      <c r="V317" s="769"/>
      <c r="W317" s="769"/>
      <c r="X317" s="769"/>
      <c r="Y317" s="769"/>
      <c r="Z317" s="769"/>
    </row>
    <row r="318" spans="1:26" ht="18.75" customHeight="1" x14ac:dyDescent="0.3">
      <c r="A318" s="769"/>
      <c r="B318" s="769"/>
      <c r="C318" s="769"/>
      <c r="D318" s="771"/>
      <c r="E318" s="769"/>
      <c r="F318" s="769"/>
      <c r="G318" s="769"/>
      <c r="H318" s="769"/>
      <c r="I318" s="769"/>
      <c r="J318" s="769"/>
      <c r="K318" s="772"/>
      <c r="L318" s="769"/>
      <c r="M318" s="769"/>
      <c r="N318" s="769"/>
      <c r="O318" s="769"/>
      <c r="P318" s="769"/>
      <c r="Q318" s="769"/>
      <c r="R318" s="769"/>
      <c r="S318" s="769"/>
      <c r="T318" s="769"/>
      <c r="U318" s="769"/>
      <c r="V318" s="769"/>
      <c r="W318" s="769"/>
      <c r="X318" s="769"/>
      <c r="Y318" s="769"/>
      <c r="Z318" s="769"/>
    </row>
    <row r="319" spans="1:26" ht="18.75" customHeight="1" x14ac:dyDescent="0.3">
      <c r="A319" s="769"/>
      <c r="B319" s="769"/>
      <c r="C319" s="769"/>
      <c r="D319" s="771"/>
      <c r="E319" s="769"/>
      <c r="F319" s="769"/>
      <c r="G319" s="769"/>
      <c r="H319" s="769"/>
      <c r="I319" s="769"/>
      <c r="J319" s="769"/>
      <c r="K319" s="772"/>
      <c r="L319" s="769"/>
      <c r="M319" s="769"/>
      <c r="N319" s="769"/>
      <c r="O319" s="769"/>
      <c r="P319" s="769"/>
      <c r="Q319" s="769"/>
      <c r="R319" s="769"/>
      <c r="S319" s="769"/>
      <c r="T319" s="769"/>
      <c r="U319" s="769"/>
      <c r="V319" s="769"/>
      <c r="W319" s="769"/>
      <c r="X319" s="769"/>
      <c r="Y319" s="769"/>
      <c r="Z319" s="769"/>
    </row>
    <row r="320" spans="1:26" ht="18.75" customHeight="1" x14ac:dyDescent="0.3">
      <c r="A320" s="769"/>
      <c r="B320" s="769"/>
      <c r="C320" s="769"/>
      <c r="D320" s="771"/>
      <c r="E320" s="769"/>
      <c r="F320" s="769"/>
      <c r="G320" s="769"/>
      <c r="H320" s="769"/>
      <c r="I320" s="769"/>
      <c r="J320" s="769"/>
      <c r="K320" s="772"/>
      <c r="L320" s="769"/>
      <c r="M320" s="769"/>
      <c r="N320" s="769"/>
      <c r="O320" s="769"/>
      <c r="P320" s="769"/>
      <c r="Q320" s="769"/>
      <c r="R320" s="769"/>
      <c r="S320" s="769"/>
      <c r="T320" s="769"/>
      <c r="U320" s="769"/>
      <c r="V320" s="769"/>
      <c r="W320" s="769"/>
      <c r="X320" s="769"/>
      <c r="Y320" s="769"/>
      <c r="Z320" s="769"/>
    </row>
    <row r="321" spans="1:26" ht="18.75" customHeight="1" x14ac:dyDescent="0.3">
      <c r="A321" s="769"/>
      <c r="B321" s="769"/>
      <c r="C321" s="769"/>
      <c r="D321" s="771"/>
      <c r="E321" s="769"/>
      <c r="F321" s="769"/>
      <c r="G321" s="769"/>
      <c r="H321" s="769"/>
      <c r="I321" s="769"/>
      <c r="J321" s="769"/>
      <c r="K321" s="772"/>
      <c r="L321" s="769"/>
      <c r="M321" s="769"/>
      <c r="N321" s="769"/>
      <c r="O321" s="769"/>
      <c r="P321" s="769"/>
      <c r="Q321" s="769"/>
      <c r="R321" s="769"/>
      <c r="S321" s="769"/>
      <c r="T321" s="769"/>
      <c r="U321" s="769"/>
      <c r="V321" s="769"/>
      <c r="W321" s="769"/>
      <c r="X321" s="769"/>
      <c r="Y321" s="769"/>
      <c r="Z321" s="769"/>
    </row>
    <row r="322" spans="1:26" ht="18.75" customHeight="1" x14ac:dyDescent="0.3">
      <c r="A322" s="769"/>
      <c r="B322" s="769"/>
      <c r="C322" s="769"/>
      <c r="D322" s="771"/>
      <c r="E322" s="769"/>
      <c r="F322" s="769"/>
      <c r="G322" s="769"/>
      <c r="H322" s="769"/>
      <c r="I322" s="769"/>
      <c r="J322" s="769"/>
      <c r="K322" s="772"/>
      <c r="L322" s="769"/>
      <c r="M322" s="769"/>
      <c r="N322" s="769"/>
      <c r="O322" s="769"/>
      <c r="P322" s="769"/>
      <c r="Q322" s="769"/>
      <c r="R322" s="769"/>
      <c r="S322" s="769"/>
      <c r="T322" s="769"/>
      <c r="U322" s="769"/>
      <c r="V322" s="769"/>
      <c r="W322" s="769"/>
      <c r="X322" s="769"/>
      <c r="Y322" s="769"/>
      <c r="Z322" s="769"/>
    </row>
    <row r="323" spans="1:26" ht="18.75" customHeight="1" x14ac:dyDescent="0.3">
      <c r="A323" s="769"/>
      <c r="B323" s="769"/>
      <c r="C323" s="769"/>
      <c r="D323" s="771"/>
      <c r="E323" s="769"/>
      <c r="F323" s="769"/>
      <c r="G323" s="769"/>
      <c r="H323" s="769"/>
      <c r="I323" s="769"/>
      <c r="J323" s="769"/>
      <c r="K323" s="772"/>
      <c r="L323" s="769"/>
      <c r="M323" s="769"/>
      <c r="N323" s="769"/>
      <c r="O323" s="769"/>
      <c r="P323" s="769"/>
      <c r="Q323" s="769"/>
      <c r="R323" s="769"/>
      <c r="S323" s="769"/>
      <c r="T323" s="769"/>
      <c r="U323" s="769"/>
      <c r="V323" s="769"/>
      <c r="W323" s="769"/>
      <c r="X323" s="769"/>
      <c r="Y323" s="769"/>
      <c r="Z323" s="769"/>
    </row>
    <row r="324" spans="1:26" ht="18.75" customHeight="1" x14ac:dyDescent="0.3">
      <c r="A324" s="769"/>
      <c r="B324" s="769"/>
      <c r="C324" s="769"/>
      <c r="D324" s="771"/>
      <c r="E324" s="769"/>
      <c r="F324" s="769"/>
      <c r="G324" s="769"/>
      <c r="H324" s="769"/>
      <c r="I324" s="769"/>
      <c r="J324" s="769"/>
      <c r="K324" s="772"/>
      <c r="L324" s="769"/>
      <c r="M324" s="769"/>
      <c r="N324" s="769"/>
      <c r="O324" s="769"/>
      <c r="P324" s="769"/>
      <c r="Q324" s="769"/>
      <c r="R324" s="769"/>
      <c r="S324" s="769"/>
      <c r="T324" s="769"/>
      <c r="U324" s="769"/>
      <c r="V324" s="769"/>
      <c r="W324" s="769"/>
      <c r="X324" s="769"/>
      <c r="Y324" s="769"/>
      <c r="Z324" s="769"/>
    </row>
    <row r="325" spans="1:26" ht="18.75" customHeight="1" x14ac:dyDescent="0.3">
      <c r="A325" s="769"/>
      <c r="B325" s="769"/>
      <c r="C325" s="769"/>
      <c r="D325" s="771"/>
      <c r="E325" s="769"/>
      <c r="F325" s="769"/>
      <c r="G325" s="769"/>
      <c r="H325" s="769"/>
      <c r="I325" s="769"/>
      <c r="J325" s="769"/>
      <c r="K325" s="772"/>
      <c r="L325" s="769"/>
      <c r="M325" s="769"/>
      <c r="N325" s="769"/>
      <c r="O325" s="769"/>
      <c r="P325" s="769"/>
      <c r="Q325" s="769"/>
      <c r="R325" s="769"/>
      <c r="S325" s="769"/>
      <c r="T325" s="769"/>
      <c r="U325" s="769"/>
      <c r="V325" s="769"/>
      <c r="W325" s="769"/>
      <c r="X325" s="769"/>
      <c r="Y325" s="769"/>
      <c r="Z325" s="769"/>
    </row>
    <row r="326" spans="1:26" ht="18.75" customHeight="1" x14ac:dyDescent="0.3">
      <c r="A326" s="769"/>
      <c r="B326" s="769"/>
      <c r="C326" s="769"/>
      <c r="D326" s="771"/>
      <c r="E326" s="769"/>
      <c r="F326" s="769"/>
      <c r="G326" s="769"/>
      <c r="H326" s="769"/>
      <c r="I326" s="769"/>
      <c r="J326" s="769"/>
      <c r="K326" s="772"/>
      <c r="L326" s="769"/>
      <c r="M326" s="769"/>
      <c r="N326" s="769"/>
      <c r="O326" s="769"/>
      <c r="P326" s="769"/>
      <c r="Q326" s="769"/>
      <c r="R326" s="769"/>
      <c r="S326" s="769"/>
      <c r="T326" s="769"/>
      <c r="U326" s="769"/>
      <c r="V326" s="769"/>
      <c r="W326" s="769"/>
      <c r="X326" s="769"/>
      <c r="Y326" s="769"/>
      <c r="Z326" s="769"/>
    </row>
    <row r="327" spans="1:26" ht="18.75" customHeight="1" x14ac:dyDescent="0.3">
      <c r="A327" s="769"/>
      <c r="B327" s="769"/>
      <c r="C327" s="769"/>
      <c r="D327" s="771"/>
      <c r="E327" s="769"/>
      <c r="F327" s="769"/>
      <c r="G327" s="769"/>
      <c r="H327" s="769"/>
      <c r="I327" s="769"/>
      <c r="J327" s="769"/>
      <c r="K327" s="772"/>
      <c r="L327" s="769"/>
      <c r="M327" s="769"/>
      <c r="N327" s="769"/>
      <c r="O327" s="769"/>
      <c r="P327" s="769"/>
      <c r="Q327" s="769"/>
      <c r="R327" s="769"/>
      <c r="S327" s="769"/>
      <c r="T327" s="769"/>
      <c r="U327" s="769"/>
      <c r="V327" s="769"/>
      <c r="W327" s="769"/>
      <c r="X327" s="769"/>
      <c r="Y327" s="769"/>
      <c r="Z327" s="769"/>
    </row>
    <row r="328" spans="1:26" ht="18.75" customHeight="1" x14ac:dyDescent="0.3">
      <c r="A328" s="769"/>
      <c r="B328" s="769"/>
      <c r="C328" s="769"/>
      <c r="D328" s="771"/>
      <c r="E328" s="769"/>
      <c r="F328" s="769"/>
      <c r="G328" s="769"/>
      <c r="H328" s="769"/>
      <c r="I328" s="769"/>
      <c r="J328" s="769"/>
      <c r="K328" s="772"/>
      <c r="L328" s="769"/>
      <c r="M328" s="769"/>
      <c r="N328" s="769"/>
      <c r="O328" s="769"/>
      <c r="P328" s="769"/>
      <c r="Q328" s="769"/>
      <c r="R328" s="769"/>
      <c r="S328" s="769"/>
      <c r="T328" s="769"/>
      <c r="U328" s="769"/>
      <c r="V328" s="769"/>
      <c r="W328" s="769"/>
      <c r="X328" s="769"/>
      <c r="Y328" s="769"/>
      <c r="Z328" s="769"/>
    </row>
    <row r="329" spans="1:26" ht="18.75" customHeight="1" x14ac:dyDescent="0.3">
      <c r="A329" s="769"/>
      <c r="B329" s="769"/>
      <c r="C329" s="769"/>
      <c r="D329" s="771"/>
      <c r="E329" s="769"/>
      <c r="F329" s="769"/>
      <c r="G329" s="769"/>
      <c r="H329" s="769"/>
      <c r="I329" s="769"/>
      <c r="J329" s="769"/>
      <c r="K329" s="772"/>
      <c r="L329" s="769"/>
      <c r="M329" s="769"/>
      <c r="N329" s="769"/>
      <c r="O329" s="769"/>
      <c r="P329" s="769"/>
      <c r="Q329" s="769"/>
      <c r="R329" s="769"/>
      <c r="S329" s="769"/>
      <c r="T329" s="769"/>
      <c r="U329" s="769"/>
      <c r="V329" s="769"/>
      <c r="W329" s="769"/>
      <c r="X329" s="769"/>
      <c r="Y329" s="769"/>
      <c r="Z329" s="769"/>
    </row>
    <row r="330" spans="1:26" ht="18.75" customHeight="1" x14ac:dyDescent="0.3">
      <c r="A330" s="769"/>
      <c r="B330" s="769"/>
      <c r="C330" s="769"/>
      <c r="D330" s="771"/>
      <c r="E330" s="769"/>
      <c r="F330" s="769"/>
      <c r="G330" s="769"/>
      <c r="H330" s="769"/>
      <c r="I330" s="769"/>
      <c r="J330" s="769"/>
      <c r="K330" s="772"/>
      <c r="L330" s="769"/>
      <c r="M330" s="769"/>
      <c r="N330" s="769"/>
      <c r="O330" s="769"/>
      <c r="P330" s="769"/>
      <c r="Q330" s="769"/>
      <c r="R330" s="769"/>
      <c r="S330" s="769"/>
      <c r="T330" s="769"/>
      <c r="U330" s="769"/>
      <c r="V330" s="769"/>
      <c r="W330" s="769"/>
      <c r="X330" s="769"/>
      <c r="Y330" s="769"/>
      <c r="Z330" s="769"/>
    </row>
    <row r="331" spans="1:26" ht="18.75" customHeight="1" x14ac:dyDescent="0.3">
      <c r="A331" s="769"/>
      <c r="B331" s="769"/>
      <c r="C331" s="769"/>
      <c r="D331" s="771"/>
      <c r="E331" s="769"/>
      <c r="F331" s="769"/>
      <c r="G331" s="769"/>
      <c r="H331" s="769"/>
      <c r="I331" s="769"/>
      <c r="J331" s="769"/>
      <c r="K331" s="772"/>
      <c r="L331" s="769"/>
      <c r="M331" s="769"/>
      <c r="N331" s="769"/>
      <c r="O331" s="769"/>
      <c r="P331" s="769"/>
      <c r="Q331" s="769"/>
      <c r="R331" s="769"/>
      <c r="S331" s="769"/>
      <c r="T331" s="769"/>
      <c r="U331" s="769"/>
      <c r="V331" s="769"/>
      <c r="W331" s="769"/>
      <c r="X331" s="769"/>
      <c r="Y331" s="769"/>
      <c r="Z331" s="769"/>
    </row>
    <row r="332" spans="1:26" ht="18.75" customHeight="1" x14ac:dyDescent="0.3">
      <c r="A332" s="769"/>
      <c r="B332" s="769"/>
      <c r="C332" s="769"/>
      <c r="D332" s="771"/>
      <c r="E332" s="769"/>
      <c r="F332" s="769"/>
      <c r="G332" s="769"/>
      <c r="H332" s="769"/>
      <c r="I332" s="769"/>
      <c r="J332" s="769"/>
      <c r="K332" s="772"/>
      <c r="L332" s="769"/>
      <c r="M332" s="769"/>
      <c r="N332" s="769"/>
      <c r="O332" s="769"/>
      <c r="P332" s="769"/>
      <c r="Q332" s="769"/>
      <c r="R332" s="769"/>
      <c r="S332" s="769"/>
      <c r="T332" s="769"/>
      <c r="U332" s="769"/>
      <c r="V332" s="769"/>
      <c r="W332" s="769"/>
      <c r="X332" s="769"/>
      <c r="Y332" s="769"/>
      <c r="Z332" s="769"/>
    </row>
    <row r="333" spans="1:26" ht="18.75" customHeight="1" x14ac:dyDescent="0.3">
      <c r="A333" s="769"/>
      <c r="B333" s="769"/>
      <c r="C333" s="769"/>
      <c r="D333" s="771"/>
      <c r="E333" s="769"/>
      <c r="F333" s="769"/>
      <c r="G333" s="769"/>
      <c r="H333" s="769"/>
      <c r="I333" s="769"/>
      <c r="J333" s="769"/>
      <c r="K333" s="772"/>
      <c r="L333" s="769"/>
      <c r="M333" s="769"/>
      <c r="N333" s="769"/>
      <c r="O333" s="769"/>
      <c r="P333" s="769"/>
      <c r="Q333" s="769"/>
      <c r="R333" s="769"/>
      <c r="S333" s="769"/>
      <c r="T333" s="769"/>
      <c r="U333" s="769"/>
      <c r="V333" s="769"/>
      <c r="W333" s="769"/>
      <c r="X333" s="769"/>
      <c r="Y333" s="769"/>
      <c r="Z333" s="769"/>
    </row>
    <row r="334" spans="1:26" ht="18.75" customHeight="1" x14ac:dyDescent="0.3">
      <c r="A334" s="769"/>
      <c r="B334" s="769"/>
      <c r="C334" s="769"/>
      <c r="D334" s="771"/>
      <c r="E334" s="769"/>
      <c r="F334" s="769"/>
      <c r="G334" s="769"/>
      <c r="H334" s="769"/>
      <c r="I334" s="769"/>
      <c r="J334" s="769"/>
      <c r="K334" s="772"/>
      <c r="L334" s="769"/>
      <c r="M334" s="769"/>
      <c r="N334" s="769"/>
      <c r="O334" s="769"/>
      <c r="P334" s="769"/>
      <c r="Q334" s="769"/>
      <c r="R334" s="769"/>
      <c r="S334" s="769"/>
      <c r="T334" s="769"/>
      <c r="U334" s="769"/>
      <c r="V334" s="769"/>
      <c r="W334" s="769"/>
      <c r="X334" s="769"/>
      <c r="Y334" s="769"/>
      <c r="Z334" s="769"/>
    </row>
    <row r="335" spans="1:26" ht="18.75" customHeight="1" x14ac:dyDescent="0.3">
      <c r="A335" s="769"/>
      <c r="B335" s="769"/>
      <c r="C335" s="769"/>
      <c r="D335" s="771"/>
      <c r="E335" s="769"/>
      <c r="F335" s="769"/>
      <c r="G335" s="769"/>
      <c r="H335" s="769"/>
      <c r="I335" s="769"/>
      <c r="J335" s="769"/>
      <c r="K335" s="772"/>
      <c r="L335" s="769"/>
      <c r="M335" s="769"/>
      <c r="N335" s="769"/>
      <c r="O335" s="769"/>
      <c r="P335" s="769"/>
      <c r="Q335" s="769"/>
      <c r="R335" s="769"/>
      <c r="S335" s="769"/>
      <c r="T335" s="769"/>
      <c r="U335" s="769"/>
      <c r="V335" s="769"/>
      <c r="W335" s="769"/>
      <c r="X335" s="769"/>
      <c r="Y335" s="769"/>
      <c r="Z335" s="769"/>
    </row>
    <row r="336" spans="1:26" ht="18.75" customHeight="1" x14ac:dyDescent="0.3">
      <c r="A336" s="769"/>
      <c r="B336" s="769"/>
      <c r="C336" s="769"/>
      <c r="D336" s="771"/>
      <c r="E336" s="769"/>
      <c r="F336" s="769"/>
      <c r="G336" s="769"/>
      <c r="H336" s="769"/>
      <c r="I336" s="769"/>
      <c r="J336" s="769"/>
      <c r="K336" s="772"/>
      <c r="L336" s="769"/>
      <c r="M336" s="769"/>
      <c r="N336" s="769"/>
      <c r="O336" s="769"/>
      <c r="P336" s="769"/>
      <c r="Q336" s="769"/>
      <c r="R336" s="769"/>
      <c r="S336" s="769"/>
      <c r="T336" s="769"/>
      <c r="U336" s="769"/>
      <c r="V336" s="769"/>
      <c r="W336" s="769"/>
      <c r="X336" s="769"/>
      <c r="Y336" s="769"/>
      <c r="Z336" s="769"/>
    </row>
    <row r="337" spans="1:26" ht="18.75" customHeight="1" x14ac:dyDescent="0.3">
      <c r="A337" s="769"/>
      <c r="B337" s="769"/>
      <c r="C337" s="769"/>
      <c r="D337" s="771"/>
      <c r="E337" s="769"/>
      <c r="F337" s="769"/>
      <c r="G337" s="769"/>
      <c r="H337" s="769"/>
      <c r="I337" s="769"/>
      <c r="J337" s="769"/>
      <c r="K337" s="772"/>
      <c r="L337" s="769"/>
      <c r="M337" s="769"/>
      <c r="N337" s="769"/>
      <c r="O337" s="769"/>
      <c r="P337" s="769"/>
      <c r="Q337" s="769"/>
      <c r="R337" s="769"/>
      <c r="S337" s="769"/>
      <c r="T337" s="769"/>
      <c r="U337" s="769"/>
      <c r="V337" s="769"/>
      <c r="W337" s="769"/>
      <c r="X337" s="769"/>
      <c r="Y337" s="769"/>
      <c r="Z337" s="769"/>
    </row>
    <row r="338" spans="1:26" ht="18.75" customHeight="1" x14ac:dyDescent="0.3">
      <c r="A338" s="769"/>
      <c r="B338" s="769"/>
      <c r="C338" s="769"/>
      <c r="D338" s="771"/>
      <c r="E338" s="769"/>
      <c r="F338" s="769"/>
      <c r="G338" s="769"/>
      <c r="H338" s="769"/>
      <c r="I338" s="769"/>
      <c r="J338" s="769"/>
      <c r="K338" s="772"/>
      <c r="L338" s="769"/>
      <c r="M338" s="769"/>
      <c r="N338" s="769"/>
      <c r="O338" s="769"/>
      <c r="P338" s="769"/>
      <c r="Q338" s="769"/>
      <c r="R338" s="769"/>
      <c r="S338" s="769"/>
      <c r="T338" s="769"/>
      <c r="U338" s="769"/>
      <c r="V338" s="769"/>
      <c r="W338" s="769"/>
      <c r="X338" s="769"/>
      <c r="Y338" s="769"/>
      <c r="Z338" s="769"/>
    </row>
    <row r="339" spans="1:26" ht="18.75" customHeight="1" x14ac:dyDescent="0.3">
      <c r="A339" s="769"/>
      <c r="B339" s="769"/>
      <c r="C339" s="769"/>
      <c r="D339" s="771"/>
      <c r="E339" s="769"/>
      <c r="F339" s="769"/>
      <c r="G339" s="769"/>
      <c r="H339" s="769"/>
      <c r="I339" s="769"/>
      <c r="J339" s="769"/>
      <c r="K339" s="772"/>
      <c r="L339" s="769"/>
      <c r="M339" s="769"/>
      <c r="N339" s="769"/>
      <c r="O339" s="769"/>
      <c r="P339" s="769"/>
      <c r="Q339" s="769"/>
      <c r="R339" s="769"/>
      <c r="S339" s="769"/>
      <c r="T339" s="769"/>
      <c r="U339" s="769"/>
      <c r="V339" s="769"/>
      <c r="W339" s="769"/>
      <c r="X339" s="769"/>
      <c r="Y339" s="769"/>
      <c r="Z339" s="769"/>
    </row>
    <row r="340" spans="1:26" ht="18.75" customHeight="1" x14ac:dyDescent="0.3">
      <c r="A340" s="769"/>
      <c r="B340" s="769"/>
      <c r="C340" s="769"/>
      <c r="D340" s="771"/>
      <c r="E340" s="769"/>
      <c r="F340" s="769"/>
      <c r="G340" s="769"/>
      <c r="H340" s="769"/>
      <c r="I340" s="769"/>
      <c r="J340" s="769"/>
      <c r="K340" s="772"/>
      <c r="L340" s="769"/>
      <c r="M340" s="769"/>
      <c r="N340" s="769"/>
      <c r="O340" s="769"/>
      <c r="P340" s="769"/>
      <c r="Q340" s="769"/>
      <c r="R340" s="769"/>
      <c r="S340" s="769"/>
      <c r="T340" s="769"/>
      <c r="U340" s="769"/>
      <c r="V340" s="769"/>
      <c r="W340" s="769"/>
      <c r="X340" s="769"/>
      <c r="Y340" s="769"/>
      <c r="Z340" s="769"/>
    </row>
    <row r="341" spans="1:26" ht="18.75" customHeight="1" x14ac:dyDescent="0.3">
      <c r="A341" s="769"/>
      <c r="B341" s="769"/>
      <c r="C341" s="769"/>
      <c r="D341" s="771"/>
      <c r="E341" s="769"/>
      <c r="F341" s="769"/>
      <c r="G341" s="769"/>
      <c r="H341" s="769"/>
      <c r="I341" s="769"/>
      <c r="J341" s="769"/>
      <c r="K341" s="772"/>
      <c r="L341" s="769"/>
      <c r="M341" s="769"/>
      <c r="N341" s="769"/>
      <c r="O341" s="769"/>
      <c r="P341" s="769"/>
      <c r="Q341" s="769"/>
      <c r="R341" s="769"/>
      <c r="S341" s="769"/>
      <c r="T341" s="769"/>
      <c r="U341" s="769"/>
      <c r="V341" s="769"/>
      <c r="W341" s="769"/>
      <c r="X341" s="769"/>
      <c r="Y341" s="769"/>
      <c r="Z341" s="769"/>
    </row>
    <row r="342" spans="1:26" ht="18.75" customHeight="1" x14ac:dyDescent="0.3">
      <c r="A342" s="769"/>
      <c r="B342" s="769"/>
      <c r="C342" s="769"/>
      <c r="D342" s="771"/>
      <c r="E342" s="769"/>
      <c r="F342" s="769"/>
      <c r="G342" s="769"/>
      <c r="H342" s="769"/>
      <c r="I342" s="769"/>
      <c r="J342" s="769"/>
      <c r="K342" s="772"/>
      <c r="L342" s="769"/>
      <c r="M342" s="769"/>
      <c r="N342" s="769"/>
      <c r="O342" s="769"/>
      <c r="P342" s="769"/>
      <c r="Q342" s="769"/>
      <c r="R342" s="769"/>
      <c r="S342" s="769"/>
      <c r="T342" s="769"/>
      <c r="U342" s="769"/>
      <c r="V342" s="769"/>
      <c r="W342" s="769"/>
      <c r="X342" s="769"/>
      <c r="Y342" s="769"/>
      <c r="Z342" s="769"/>
    </row>
    <row r="343" spans="1:26" ht="18.75" customHeight="1" x14ac:dyDescent="0.3">
      <c r="A343" s="769"/>
      <c r="B343" s="769"/>
      <c r="C343" s="769"/>
      <c r="D343" s="771"/>
      <c r="E343" s="769"/>
      <c r="F343" s="769"/>
      <c r="G343" s="769"/>
      <c r="H343" s="769"/>
      <c r="I343" s="769"/>
      <c r="J343" s="769"/>
      <c r="K343" s="772"/>
      <c r="L343" s="769"/>
      <c r="M343" s="769"/>
      <c r="N343" s="769"/>
      <c r="O343" s="769"/>
      <c r="P343" s="769"/>
      <c r="Q343" s="769"/>
      <c r="R343" s="769"/>
      <c r="S343" s="769"/>
      <c r="T343" s="769"/>
      <c r="U343" s="769"/>
      <c r="V343" s="769"/>
      <c r="W343" s="769"/>
      <c r="X343" s="769"/>
      <c r="Y343" s="769"/>
      <c r="Z343" s="769"/>
    </row>
    <row r="344" spans="1:26" ht="18.75" customHeight="1" x14ac:dyDescent="0.3">
      <c r="A344" s="769"/>
      <c r="B344" s="769"/>
      <c r="C344" s="769"/>
      <c r="D344" s="771"/>
      <c r="E344" s="769"/>
      <c r="F344" s="769"/>
      <c r="G344" s="769"/>
      <c r="H344" s="769"/>
      <c r="I344" s="769"/>
      <c r="J344" s="769"/>
      <c r="K344" s="772"/>
      <c r="L344" s="769"/>
      <c r="M344" s="769"/>
      <c r="N344" s="769"/>
      <c r="O344" s="769"/>
      <c r="P344" s="769"/>
      <c r="Q344" s="769"/>
      <c r="R344" s="769"/>
      <c r="S344" s="769"/>
      <c r="T344" s="769"/>
      <c r="U344" s="769"/>
      <c r="V344" s="769"/>
      <c r="W344" s="769"/>
      <c r="X344" s="769"/>
      <c r="Y344" s="769"/>
      <c r="Z344" s="769"/>
    </row>
    <row r="345" spans="1:26" ht="18.75" customHeight="1" x14ac:dyDescent="0.3">
      <c r="A345" s="769"/>
      <c r="B345" s="769"/>
      <c r="C345" s="769"/>
      <c r="D345" s="771"/>
      <c r="E345" s="769"/>
      <c r="F345" s="769"/>
      <c r="G345" s="769"/>
      <c r="H345" s="769"/>
      <c r="I345" s="769"/>
      <c r="J345" s="769"/>
      <c r="K345" s="772"/>
      <c r="L345" s="769"/>
      <c r="M345" s="769"/>
      <c r="N345" s="769"/>
      <c r="O345" s="769"/>
      <c r="P345" s="769"/>
      <c r="Q345" s="769"/>
      <c r="R345" s="769"/>
      <c r="S345" s="769"/>
      <c r="T345" s="769"/>
      <c r="U345" s="769"/>
      <c r="V345" s="769"/>
      <c r="W345" s="769"/>
      <c r="X345" s="769"/>
      <c r="Y345" s="769"/>
      <c r="Z345" s="769"/>
    </row>
    <row r="346" spans="1:26" ht="18.75" customHeight="1" x14ac:dyDescent="0.3">
      <c r="A346" s="769"/>
      <c r="B346" s="769"/>
      <c r="C346" s="769"/>
      <c r="D346" s="771"/>
      <c r="E346" s="769"/>
      <c r="F346" s="769"/>
      <c r="G346" s="769"/>
      <c r="H346" s="769"/>
      <c r="I346" s="769"/>
      <c r="J346" s="769"/>
      <c r="K346" s="772"/>
      <c r="L346" s="769"/>
      <c r="M346" s="769"/>
      <c r="N346" s="769"/>
      <c r="O346" s="769"/>
      <c r="P346" s="769"/>
      <c r="Q346" s="769"/>
      <c r="R346" s="769"/>
      <c r="S346" s="769"/>
      <c r="T346" s="769"/>
      <c r="U346" s="769"/>
      <c r="V346" s="769"/>
      <c r="W346" s="769"/>
      <c r="X346" s="769"/>
      <c r="Y346" s="769"/>
      <c r="Z346" s="769"/>
    </row>
    <row r="347" spans="1:26" ht="18.75" customHeight="1" x14ac:dyDescent="0.3">
      <c r="A347" s="769"/>
      <c r="B347" s="769"/>
      <c r="C347" s="769"/>
      <c r="D347" s="771"/>
      <c r="E347" s="769"/>
      <c r="F347" s="769"/>
      <c r="G347" s="769"/>
      <c r="H347" s="769"/>
      <c r="I347" s="769"/>
      <c r="J347" s="769"/>
      <c r="K347" s="772"/>
      <c r="L347" s="769"/>
      <c r="M347" s="769"/>
      <c r="N347" s="769"/>
      <c r="O347" s="769"/>
      <c r="P347" s="769"/>
      <c r="Q347" s="769"/>
      <c r="R347" s="769"/>
      <c r="S347" s="769"/>
      <c r="T347" s="769"/>
      <c r="U347" s="769"/>
      <c r="V347" s="769"/>
      <c r="W347" s="769"/>
      <c r="X347" s="769"/>
      <c r="Y347" s="769"/>
      <c r="Z347" s="769"/>
    </row>
    <row r="348" spans="1:26" ht="18.75" customHeight="1" x14ac:dyDescent="0.3">
      <c r="A348" s="769"/>
      <c r="B348" s="769"/>
      <c r="C348" s="769"/>
      <c r="D348" s="771"/>
      <c r="E348" s="769"/>
      <c r="F348" s="769"/>
      <c r="G348" s="769"/>
      <c r="H348" s="769"/>
      <c r="I348" s="769"/>
      <c r="J348" s="769"/>
      <c r="K348" s="772"/>
      <c r="L348" s="769"/>
      <c r="M348" s="769"/>
      <c r="N348" s="769"/>
      <c r="O348" s="769"/>
      <c r="P348" s="769"/>
      <c r="Q348" s="769"/>
      <c r="R348" s="769"/>
      <c r="S348" s="769"/>
      <c r="T348" s="769"/>
      <c r="U348" s="769"/>
      <c r="V348" s="769"/>
      <c r="W348" s="769"/>
      <c r="X348" s="769"/>
      <c r="Y348" s="769"/>
      <c r="Z348" s="769"/>
    </row>
    <row r="349" spans="1:26" ht="18.75" customHeight="1" x14ac:dyDescent="0.3">
      <c r="A349" s="769"/>
      <c r="B349" s="769"/>
      <c r="C349" s="769"/>
      <c r="D349" s="771"/>
      <c r="E349" s="769"/>
      <c r="F349" s="769"/>
      <c r="G349" s="769"/>
      <c r="H349" s="769"/>
      <c r="I349" s="769"/>
      <c r="J349" s="769"/>
      <c r="K349" s="772"/>
      <c r="L349" s="769"/>
      <c r="M349" s="769"/>
      <c r="N349" s="769"/>
      <c r="O349" s="769"/>
      <c r="P349" s="769"/>
      <c r="Q349" s="769"/>
      <c r="R349" s="769"/>
      <c r="S349" s="769"/>
      <c r="T349" s="769"/>
      <c r="U349" s="769"/>
      <c r="V349" s="769"/>
      <c r="W349" s="769"/>
      <c r="X349" s="769"/>
      <c r="Y349" s="769"/>
      <c r="Z349" s="769"/>
    </row>
    <row r="350" spans="1:26" ht="18.75" customHeight="1" x14ac:dyDescent="0.3">
      <c r="A350" s="769"/>
      <c r="B350" s="769"/>
      <c r="C350" s="769"/>
      <c r="D350" s="771"/>
      <c r="E350" s="769"/>
      <c r="F350" s="769"/>
      <c r="G350" s="769"/>
      <c r="H350" s="769"/>
      <c r="I350" s="769"/>
      <c r="J350" s="769"/>
      <c r="K350" s="772"/>
      <c r="L350" s="769"/>
      <c r="M350" s="769"/>
      <c r="N350" s="769"/>
      <c r="O350" s="769"/>
      <c r="P350" s="769"/>
      <c r="Q350" s="769"/>
      <c r="R350" s="769"/>
      <c r="S350" s="769"/>
      <c r="T350" s="769"/>
      <c r="U350" s="769"/>
      <c r="V350" s="769"/>
      <c r="W350" s="769"/>
      <c r="X350" s="769"/>
      <c r="Y350" s="769"/>
      <c r="Z350" s="769"/>
    </row>
    <row r="351" spans="1:26" ht="18.75" customHeight="1" x14ac:dyDescent="0.3">
      <c r="A351" s="769"/>
      <c r="B351" s="769"/>
      <c r="C351" s="769"/>
      <c r="D351" s="771"/>
      <c r="E351" s="769"/>
      <c r="F351" s="769"/>
      <c r="G351" s="769"/>
      <c r="H351" s="769"/>
      <c r="I351" s="769"/>
      <c r="J351" s="769"/>
      <c r="K351" s="772"/>
      <c r="L351" s="769"/>
      <c r="M351" s="769"/>
      <c r="N351" s="769"/>
      <c r="O351" s="769"/>
      <c r="P351" s="769"/>
      <c r="Q351" s="769"/>
      <c r="R351" s="769"/>
      <c r="S351" s="769"/>
      <c r="T351" s="769"/>
      <c r="U351" s="769"/>
      <c r="V351" s="769"/>
      <c r="W351" s="769"/>
      <c r="X351" s="769"/>
      <c r="Y351" s="769"/>
      <c r="Z351" s="769"/>
    </row>
    <row r="352" spans="1:26" ht="18.75" customHeight="1" x14ac:dyDescent="0.3">
      <c r="A352" s="769"/>
      <c r="B352" s="769"/>
      <c r="C352" s="769"/>
      <c r="D352" s="771"/>
      <c r="E352" s="769"/>
      <c r="F352" s="769"/>
      <c r="G352" s="769"/>
      <c r="H352" s="769"/>
      <c r="I352" s="769"/>
      <c r="J352" s="769"/>
      <c r="K352" s="772"/>
      <c r="L352" s="769"/>
      <c r="M352" s="769"/>
      <c r="N352" s="769"/>
      <c r="O352" s="769"/>
      <c r="P352" s="769"/>
      <c r="Q352" s="769"/>
      <c r="R352" s="769"/>
      <c r="S352" s="769"/>
      <c r="T352" s="769"/>
      <c r="U352" s="769"/>
      <c r="V352" s="769"/>
      <c r="W352" s="769"/>
      <c r="X352" s="769"/>
      <c r="Y352" s="769"/>
      <c r="Z352" s="769"/>
    </row>
    <row r="353" spans="1:26" ht="18.75" customHeight="1" x14ac:dyDescent="0.3">
      <c r="A353" s="769"/>
      <c r="B353" s="769"/>
      <c r="C353" s="769"/>
      <c r="D353" s="771"/>
      <c r="E353" s="769"/>
      <c r="F353" s="769"/>
      <c r="G353" s="769"/>
      <c r="H353" s="769"/>
      <c r="I353" s="769"/>
      <c r="J353" s="769"/>
      <c r="K353" s="772"/>
      <c r="L353" s="769"/>
      <c r="M353" s="769"/>
      <c r="N353" s="769"/>
      <c r="O353" s="769"/>
      <c r="P353" s="769"/>
      <c r="Q353" s="769"/>
      <c r="R353" s="769"/>
      <c r="S353" s="769"/>
      <c r="T353" s="769"/>
      <c r="U353" s="769"/>
      <c r="V353" s="769"/>
      <c r="W353" s="769"/>
      <c r="X353" s="769"/>
      <c r="Y353" s="769"/>
      <c r="Z353" s="769"/>
    </row>
    <row r="354" spans="1:26" ht="18.75" customHeight="1" x14ac:dyDescent="0.3">
      <c r="A354" s="769"/>
      <c r="B354" s="769"/>
      <c r="C354" s="769"/>
      <c r="D354" s="771"/>
      <c r="E354" s="769"/>
      <c r="F354" s="769"/>
      <c r="G354" s="769"/>
      <c r="H354" s="769"/>
      <c r="I354" s="769"/>
      <c r="J354" s="769"/>
      <c r="K354" s="772"/>
      <c r="L354" s="769"/>
      <c r="M354" s="769"/>
      <c r="N354" s="769"/>
      <c r="O354" s="769"/>
      <c r="P354" s="769"/>
      <c r="Q354" s="769"/>
      <c r="R354" s="769"/>
      <c r="S354" s="769"/>
      <c r="T354" s="769"/>
      <c r="U354" s="769"/>
      <c r="V354" s="769"/>
      <c r="W354" s="769"/>
      <c r="X354" s="769"/>
      <c r="Y354" s="769"/>
      <c r="Z354" s="769"/>
    </row>
    <row r="355" spans="1:26" ht="18.75" customHeight="1" x14ac:dyDescent="0.3">
      <c r="A355" s="769"/>
      <c r="B355" s="769"/>
      <c r="C355" s="769"/>
      <c r="D355" s="771"/>
      <c r="E355" s="769"/>
      <c r="F355" s="769"/>
      <c r="G355" s="769"/>
      <c r="H355" s="769"/>
      <c r="I355" s="769"/>
      <c r="J355" s="769"/>
      <c r="K355" s="772"/>
      <c r="L355" s="769"/>
      <c r="M355" s="769"/>
      <c r="N355" s="769"/>
      <c r="O355" s="769"/>
      <c r="P355" s="769"/>
      <c r="Q355" s="769"/>
      <c r="R355" s="769"/>
      <c r="S355" s="769"/>
      <c r="T355" s="769"/>
      <c r="U355" s="769"/>
      <c r="V355" s="769"/>
      <c r="W355" s="769"/>
      <c r="X355" s="769"/>
      <c r="Y355" s="769"/>
      <c r="Z355" s="769"/>
    </row>
    <row r="356" spans="1:26" ht="18.75" customHeight="1" x14ac:dyDescent="0.3">
      <c r="A356" s="769"/>
      <c r="B356" s="769"/>
      <c r="C356" s="769"/>
      <c r="D356" s="771"/>
      <c r="E356" s="769"/>
      <c r="F356" s="769"/>
      <c r="G356" s="769"/>
      <c r="H356" s="769"/>
      <c r="I356" s="769"/>
      <c r="J356" s="769"/>
      <c r="K356" s="772"/>
      <c r="L356" s="769"/>
      <c r="M356" s="769"/>
      <c r="N356" s="769"/>
      <c r="O356" s="769"/>
      <c r="P356" s="769"/>
      <c r="Q356" s="769"/>
      <c r="R356" s="769"/>
      <c r="S356" s="769"/>
      <c r="T356" s="769"/>
      <c r="U356" s="769"/>
      <c r="V356" s="769"/>
      <c r="W356" s="769"/>
      <c r="X356" s="769"/>
      <c r="Y356" s="769"/>
      <c r="Z356" s="769"/>
    </row>
    <row r="357" spans="1:26" ht="18.75" customHeight="1" x14ac:dyDescent="0.3">
      <c r="A357" s="769"/>
      <c r="B357" s="769"/>
      <c r="C357" s="769"/>
      <c r="D357" s="771"/>
      <c r="E357" s="769"/>
      <c r="F357" s="769"/>
      <c r="G357" s="769"/>
      <c r="H357" s="769"/>
      <c r="I357" s="769"/>
      <c r="J357" s="769"/>
      <c r="K357" s="772"/>
      <c r="L357" s="769"/>
      <c r="M357" s="769"/>
      <c r="N357" s="769"/>
      <c r="O357" s="769"/>
      <c r="P357" s="769"/>
      <c r="Q357" s="769"/>
      <c r="R357" s="769"/>
      <c r="S357" s="769"/>
      <c r="T357" s="769"/>
      <c r="U357" s="769"/>
      <c r="V357" s="769"/>
      <c r="W357" s="769"/>
      <c r="X357" s="769"/>
      <c r="Y357" s="769"/>
      <c r="Z357" s="769"/>
    </row>
    <row r="358" spans="1:26" ht="18.75" customHeight="1" x14ac:dyDescent="0.3">
      <c r="A358" s="769"/>
      <c r="B358" s="769"/>
      <c r="C358" s="769"/>
      <c r="D358" s="771"/>
      <c r="E358" s="769"/>
      <c r="F358" s="769"/>
      <c r="G358" s="769"/>
      <c r="H358" s="769"/>
      <c r="I358" s="769"/>
      <c r="J358" s="769"/>
      <c r="K358" s="772"/>
      <c r="L358" s="769"/>
      <c r="M358" s="769"/>
      <c r="N358" s="769"/>
      <c r="O358" s="769"/>
      <c r="P358" s="769"/>
      <c r="Q358" s="769"/>
      <c r="R358" s="769"/>
      <c r="S358" s="769"/>
      <c r="T358" s="769"/>
      <c r="U358" s="769"/>
      <c r="V358" s="769"/>
      <c r="W358" s="769"/>
      <c r="X358" s="769"/>
      <c r="Y358" s="769"/>
      <c r="Z358" s="769"/>
    </row>
    <row r="359" spans="1:26" ht="18.75" customHeight="1" x14ac:dyDescent="0.3">
      <c r="A359" s="769"/>
      <c r="B359" s="769"/>
      <c r="C359" s="769"/>
      <c r="D359" s="771"/>
      <c r="E359" s="769"/>
      <c r="F359" s="769"/>
      <c r="G359" s="769"/>
      <c r="H359" s="769"/>
      <c r="I359" s="769"/>
      <c r="J359" s="769"/>
      <c r="K359" s="772"/>
      <c r="L359" s="769"/>
      <c r="M359" s="769"/>
      <c r="N359" s="769"/>
      <c r="O359" s="769"/>
      <c r="P359" s="769"/>
      <c r="Q359" s="769"/>
      <c r="R359" s="769"/>
      <c r="S359" s="769"/>
      <c r="T359" s="769"/>
      <c r="U359" s="769"/>
      <c r="V359" s="769"/>
      <c r="W359" s="769"/>
      <c r="X359" s="769"/>
      <c r="Y359" s="769"/>
      <c r="Z359" s="769"/>
    </row>
    <row r="360" spans="1:26" ht="18.75" customHeight="1" x14ac:dyDescent="0.3">
      <c r="A360" s="769"/>
      <c r="B360" s="769"/>
      <c r="C360" s="769"/>
      <c r="D360" s="771"/>
      <c r="E360" s="769"/>
      <c r="F360" s="769"/>
      <c r="G360" s="769"/>
      <c r="H360" s="769"/>
      <c r="I360" s="769"/>
      <c r="J360" s="769"/>
      <c r="K360" s="772"/>
      <c r="L360" s="769"/>
      <c r="M360" s="769"/>
      <c r="N360" s="769"/>
      <c r="O360" s="769"/>
      <c r="P360" s="769"/>
      <c r="Q360" s="769"/>
      <c r="R360" s="769"/>
      <c r="S360" s="769"/>
      <c r="T360" s="769"/>
      <c r="U360" s="769"/>
      <c r="V360" s="769"/>
      <c r="W360" s="769"/>
      <c r="X360" s="769"/>
      <c r="Y360" s="769"/>
      <c r="Z360" s="769"/>
    </row>
    <row r="361" spans="1:26" ht="18.75" customHeight="1" x14ac:dyDescent="0.3">
      <c r="A361" s="769"/>
      <c r="B361" s="769"/>
      <c r="C361" s="769"/>
      <c r="D361" s="771"/>
      <c r="E361" s="769"/>
      <c r="F361" s="769"/>
      <c r="G361" s="769"/>
      <c r="H361" s="769"/>
      <c r="I361" s="769"/>
      <c r="J361" s="769"/>
      <c r="K361" s="772"/>
      <c r="L361" s="769"/>
      <c r="M361" s="769"/>
      <c r="N361" s="769"/>
      <c r="O361" s="769"/>
      <c r="P361" s="769"/>
      <c r="Q361" s="769"/>
      <c r="R361" s="769"/>
      <c r="S361" s="769"/>
      <c r="T361" s="769"/>
      <c r="U361" s="769"/>
      <c r="V361" s="769"/>
      <c r="W361" s="769"/>
      <c r="X361" s="769"/>
      <c r="Y361" s="769"/>
      <c r="Z361" s="769"/>
    </row>
    <row r="362" spans="1:26" ht="18.75" customHeight="1" x14ac:dyDescent="0.3">
      <c r="A362" s="769"/>
      <c r="B362" s="769"/>
      <c r="C362" s="769"/>
      <c r="D362" s="771"/>
      <c r="E362" s="769"/>
      <c r="F362" s="769"/>
      <c r="G362" s="769"/>
      <c r="H362" s="769"/>
      <c r="I362" s="769"/>
      <c r="J362" s="769"/>
      <c r="K362" s="772"/>
      <c r="L362" s="769"/>
      <c r="M362" s="769"/>
      <c r="N362" s="769"/>
      <c r="O362" s="769"/>
      <c r="P362" s="769"/>
      <c r="Q362" s="769"/>
      <c r="R362" s="769"/>
      <c r="S362" s="769"/>
      <c r="T362" s="769"/>
      <c r="U362" s="769"/>
      <c r="V362" s="769"/>
      <c r="W362" s="769"/>
      <c r="X362" s="769"/>
      <c r="Y362" s="769"/>
      <c r="Z362" s="769"/>
    </row>
    <row r="363" spans="1:26" ht="18.75" customHeight="1" x14ac:dyDescent="0.3">
      <c r="A363" s="769"/>
      <c r="B363" s="769"/>
      <c r="C363" s="769"/>
      <c r="D363" s="771"/>
      <c r="E363" s="769"/>
      <c r="F363" s="769"/>
      <c r="G363" s="769"/>
      <c r="H363" s="769"/>
      <c r="I363" s="769"/>
      <c r="J363" s="769"/>
      <c r="K363" s="772"/>
      <c r="L363" s="769"/>
      <c r="M363" s="769"/>
      <c r="N363" s="769"/>
      <c r="O363" s="769"/>
      <c r="P363" s="769"/>
      <c r="Q363" s="769"/>
      <c r="R363" s="769"/>
      <c r="S363" s="769"/>
      <c r="T363" s="769"/>
      <c r="U363" s="769"/>
      <c r="V363" s="769"/>
      <c r="W363" s="769"/>
      <c r="X363" s="769"/>
      <c r="Y363" s="769"/>
      <c r="Z363" s="769"/>
    </row>
    <row r="364" spans="1:26" ht="18.75" customHeight="1" x14ac:dyDescent="0.3">
      <c r="A364" s="769"/>
      <c r="B364" s="769"/>
      <c r="C364" s="769"/>
      <c r="D364" s="771"/>
      <c r="E364" s="769"/>
      <c r="F364" s="769"/>
      <c r="G364" s="769"/>
      <c r="H364" s="769"/>
      <c r="I364" s="769"/>
      <c r="J364" s="769"/>
      <c r="K364" s="772"/>
      <c r="L364" s="769"/>
      <c r="M364" s="769"/>
      <c r="N364" s="769"/>
      <c r="O364" s="769"/>
      <c r="P364" s="769"/>
      <c r="Q364" s="769"/>
      <c r="R364" s="769"/>
      <c r="S364" s="769"/>
      <c r="T364" s="769"/>
      <c r="U364" s="769"/>
      <c r="V364" s="769"/>
      <c r="W364" s="769"/>
      <c r="X364" s="769"/>
      <c r="Y364" s="769"/>
      <c r="Z364" s="769"/>
    </row>
    <row r="365" spans="1:26" ht="18.75" customHeight="1" x14ac:dyDescent="0.3">
      <c r="A365" s="769"/>
      <c r="B365" s="769"/>
      <c r="C365" s="769"/>
      <c r="D365" s="771"/>
      <c r="E365" s="769"/>
      <c r="F365" s="769"/>
      <c r="G365" s="769"/>
      <c r="H365" s="769"/>
      <c r="I365" s="769"/>
      <c r="J365" s="769"/>
      <c r="K365" s="772"/>
      <c r="L365" s="769"/>
      <c r="M365" s="769"/>
      <c r="N365" s="769"/>
      <c r="O365" s="769"/>
      <c r="P365" s="769"/>
      <c r="Q365" s="769"/>
      <c r="R365" s="769"/>
      <c r="S365" s="769"/>
      <c r="T365" s="769"/>
      <c r="U365" s="769"/>
      <c r="V365" s="769"/>
      <c r="W365" s="769"/>
      <c r="X365" s="769"/>
      <c r="Y365" s="769"/>
      <c r="Z365" s="769"/>
    </row>
    <row r="366" spans="1:26" ht="18.75" customHeight="1" x14ac:dyDescent="0.3">
      <c r="A366" s="769"/>
      <c r="B366" s="769"/>
      <c r="C366" s="769"/>
      <c r="D366" s="771"/>
      <c r="E366" s="769"/>
      <c r="F366" s="769"/>
      <c r="G366" s="769"/>
      <c r="H366" s="769"/>
      <c r="I366" s="769"/>
      <c r="J366" s="769"/>
      <c r="K366" s="772"/>
      <c r="L366" s="769"/>
      <c r="M366" s="769"/>
      <c r="N366" s="769"/>
      <c r="O366" s="769"/>
      <c r="P366" s="769"/>
      <c r="Q366" s="769"/>
      <c r="R366" s="769"/>
      <c r="S366" s="769"/>
      <c r="T366" s="769"/>
      <c r="U366" s="769"/>
      <c r="V366" s="769"/>
      <c r="W366" s="769"/>
      <c r="X366" s="769"/>
      <c r="Y366" s="769"/>
      <c r="Z366" s="769"/>
    </row>
    <row r="367" spans="1:26" ht="18.75" customHeight="1" x14ac:dyDescent="0.3">
      <c r="A367" s="769"/>
      <c r="B367" s="769"/>
      <c r="C367" s="769"/>
      <c r="D367" s="771"/>
      <c r="E367" s="769"/>
      <c r="F367" s="769"/>
      <c r="G367" s="769"/>
      <c r="H367" s="769"/>
      <c r="I367" s="769"/>
      <c r="J367" s="769"/>
      <c r="K367" s="772"/>
      <c r="L367" s="769"/>
      <c r="M367" s="769"/>
      <c r="N367" s="769"/>
      <c r="O367" s="769"/>
      <c r="P367" s="769"/>
      <c r="Q367" s="769"/>
      <c r="R367" s="769"/>
      <c r="S367" s="769"/>
      <c r="T367" s="769"/>
      <c r="U367" s="769"/>
      <c r="V367" s="769"/>
      <c r="W367" s="769"/>
      <c r="X367" s="769"/>
      <c r="Y367" s="769"/>
      <c r="Z367" s="769"/>
    </row>
    <row r="368" spans="1:26" ht="18.75" customHeight="1" x14ac:dyDescent="0.3">
      <c r="A368" s="769"/>
      <c r="B368" s="769"/>
      <c r="C368" s="769"/>
      <c r="D368" s="771"/>
      <c r="E368" s="769"/>
      <c r="F368" s="769"/>
      <c r="G368" s="769"/>
      <c r="H368" s="769"/>
      <c r="I368" s="769"/>
      <c r="J368" s="769"/>
      <c r="K368" s="772"/>
      <c r="L368" s="769"/>
      <c r="M368" s="769"/>
      <c r="N368" s="769"/>
      <c r="O368" s="769"/>
      <c r="P368" s="769"/>
      <c r="Q368" s="769"/>
      <c r="R368" s="769"/>
      <c r="S368" s="769"/>
      <c r="T368" s="769"/>
      <c r="U368" s="769"/>
      <c r="V368" s="769"/>
      <c r="W368" s="769"/>
      <c r="X368" s="769"/>
      <c r="Y368" s="769"/>
      <c r="Z368" s="769"/>
    </row>
    <row r="369" spans="1:26" ht="18.75" customHeight="1" x14ac:dyDescent="0.3">
      <c r="A369" s="769"/>
      <c r="B369" s="769"/>
      <c r="C369" s="769"/>
      <c r="D369" s="771"/>
      <c r="E369" s="769"/>
      <c r="F369" s="769"/>
      <c r="G369" s="769"/>
      <c r="H369" s="769"/>
      <c r="I369" s="769"/>
      <c r="J369" s="769"/>
      <c r="K369" s="772"/>
      <c r="L369" s="769"/>
      <c r="M369" s="769"/>
      <c r="N369" s="769"/>
      <c r="O369" s="769"/>
      <c r="P369" s="769"/>
      <c r="Q369" s="769"/>
      <c r="R369" s="769"/>
      <c r="S369" s="769"/>
      <c r="T369" s="769"/>
      <c r="U369" s="769"/>
      <c r="V369" s="769"/>
      <c r="W369" s="769"/>
      <c r="X369" s="769"/>
      <c r="Y369" s="769"/>
      <c r="Z369" s="769"/>
    </row>
    <row r="370" spans="1:26" ht="18.75" customHeight="1" x14ac:dyDescent="0.3">
      <c r="A370" s="769"/>
      <c r="B370" s="769"/>
      <c r="C370" s="769"/>
      <c r="D370" s="771"/>
      <c r="E370" s="769"/>
      <c r="F370" s="769"/>
      <c r="G370" s="769"/>
      <c r="H370" s="769"/>
      <c r="I370" s="769"/>
      <c r="J370" s="769"/>
      <c r="K370" s="772"/>
      <c r="L370" s="769"/>
      <c r="M370" s="769"/>
      <c r="N370" s="769"/>
      <c r="O370" s="769"/>
      <c r="P370" s="769"/>
      <c r="Q370" s="769"/>
      <c r="R370" s="769"/>
      <c r="S370" s="769"/>
      <c r="T370" s="769"/>
      <c r="U370" s="769"/>
      <c r="V370" s="769"/>
      <c r="W370" s="769"/>
      <c r="X370" s="769"/>
      <c r="Y370" s="769"/>
      <c r="Z370" s="769"/>
    </row>
    <row r="371" spans="1:26" ht="18.75" customHeight="1" x14ac:dyDescent="0.3">
      <c r="A371" s="769"/>
      <c r="B371" s="769"/>
      <c r="C371" s="769"/>
      <c r="D371" s="771"/>
      <c r="E371" s="769"/>
      <c r="F371" s="769"/>
      <c r="G371" s="769"/>
      <c r="H371" s="769"/>
      <c r="I371" s="769"/>
      <c r="J371" s="769"/>
      <c r="K371" s="772"/>
      <c r="L371" s="769"/>
      <c r="M371" s="769"/>
      <c r="N371" s="769"/>
      <c r="O371" s="769"/>
      <c r="P371" s="769"/>
      <c r="Q371" s="769"/>
      <c r="R371" s="769"/>
      <c r="S371" s="769"/>
      <c r="T371" s="769"/>
      <c r="U371" s="769"/>
      <c r="V371" s="769"/>
      <c r="W371" s="769"/>
      <c r="X371" s="769"/>
      <c r="Y371" s="769"/>
      <c r="Z371" s="769"/>
    </row>
    <row r="372" spans="1:26" ht="18.75" customHeight="1" x14ac:dyDescent="0.3">
      <c r="A372" s="769"/>
      <c r="B372" s="769"/>
      <c r="C372" s="769"/>
      <c r="D372" s="771"/>
      <c r="E372" s="769"/>
      <c r="F372" s="769"/>
      <c r="G372" s="769"/>
      <c r="H372" s="769"/>
      <c r="I372" s="769"/>
      <c r="J372" s="769"/>
      <c r="K372" s="772"/>
      <c r="L372" s="769"/>
      <c r="M372" s="769"/>
      <c r="N372" s="769"/>
      <c r="O372" s="769"/>
      <c r="P372" s="769"/>
      <c r="Q372" s="769"/>
      <c r="R372" s="769"/>
      <c r="S372" s="769"/>
      <c r="T372" s="769"/>
      <c r="U372" s="769"/>
      <c r="V372" s="769"/>
      <c r="W372" s="769"/>
      <c r="X372" s="769"/>
      <c r="Y372" s="769"/>
      <c r="Z372" s="769"/>
    </row>
    <row r="373" spans="1:26" ht="18.75" customHeight="1" x14ac:dyDescent="0.3">
      <c r="A373" s="769"/>
      <c r="B373" s="769"/>
      <c r="C373" s="769"/>
      <c r="D373" s="771"/>
      <c r="E373" s="769"/>
      <c r="F373" s="769"/>
      <c r="G373" s="769"/>
      <c r="H373" s="769"/>
      <c r="I373" s="769"/>
      <c r="J373" s="769"/>
      <c r="K373" s="772"/>
      <c r="L373" s="769"/>
      <c r="M373" s="769"/>
      <c r="N373" s="769"/>
      <c r="O373" s="769"/>
      <c r="P373" s="769"/>
      <c r="Q373" s="769"/>
      <c r="R373" s="769"/>
      <c r="S373" s="769"/>
      <c r="T373" s="769"/>
      <c r="U373" s="769"/>
      <c r="V373" s="769"/>
      <c r="W373" s="769"/>
      <c r="X373" s="769"/>
      <c r="Y373" s="769"/>
      <c r="Z373" s="769"/>
    </row>
    <row r="374" spans="1:26" ht="18.75" customHeight="1" x14ac:dyDescent="0.3">
      <c r="A374" s="769"/>
      <c r="B374" s="769"/>
      <c r="C374" s="769"/>
      <c r="D374" s="771"/>
      <c r="E374" s="769"/>
      <c r="F374" s="769"/>
      <c r="G374" s="769"/>
      <c r="H374" s="769"/>
      <c r="I374" s="769"/>
      <c r="J374" s="769"/>
      <c r="K374" s="772"/>
      <c r="L374" s="769"/>
      <c r="M374" s="769"/>
      <c r="N374" s="769"/>
      <c r="O374" s="769"/>
      <c r="P374" s="769"/>
      <c r="Q374" s="769"/>
      <c r="R374" s="769"/>
      <c r="S374" s="769"/>
      <c r="T374" s="769"/>
      <c r="U374" s="769"/>
      <c r="V374" s="769"/>
      <c r="W374" s="769"/>
      <c r="X374" s="769"/>
      <c r="Y374" s="769"/>
      <c r="Z374" s="769"/>
    </row>
    <row r="375" spans="1:26" ht="18.75" customHeight="1" x14ac:dyDescent="0.3">
      <c r="A375" s="769"/>
      <c r="B375" s="769"/>
      <c r="C375" s="769"/>
      <c r="D375" s="771"/>
      <c r="E375" s="769"/>
      <c r="F375" s="769"/>
      <c r="G375" s="769"/>
      <c r="H375" s="769"/>
      <c r="I375" s="769"/>
      <c r="J375" s="769"/>
      <c r="K375" s="772"/>
      <c r="L375" s="769"/>
      <c r="M375" s="769"/>
      <c r="N375" s="769"/>
      <c r="O375" s="769"/>
      <c r="P375" s="769"/>
      <c r="Q375" s="769"/>
      <c r="R375" s="769"/>
      <c r="S375" s="769"/>
      <c r="T375" s="769"/>
      <c r="U375" s="769"/>
      <c r="V375" s="769"/>
      <c r="W375" s="769"/>
      <c r="X375" s="769"/>
      <c r="Y375" s="769"/>
      <c r="Z375" s="769"/>
    </row>
    <row r="376" spans="1:26" ht="18.75" customHeight="1" x14ac:dyDescent="0.3">
      <c r="A376" s="769"/>
      <c r="B376" s="769"/>
      <c r="C376" s="769"/>
      <c r="D376" s="771"/>
      <c r="E376" s="769"/>
      <c r="F376" s="769"/>
      <c r="G376" s="769"/>
      <c r="H376" s="769"/>
      <c r="I376" s="769"/>
      <c r="J376" s="769"/>
      <c r="K376" s="772"/>
      <c r="L376" s="769"/>
      <c r="M376" s="769"/>
      <c r="N376" s="769"/>
      <c r="O376" s="769"/>
      <c r="P376" s="769"/>
      <c r="Q376" s="769"/>
      <c r="R376" s="769"/>
      <c r="S376" s="769"/>
      <c r="T376" s="769"/>
      <c r="U376" s="769"/>
      <c r="V376" s="769"/>
      <c r="W376" s="769"/>
      <c r="X376" s="769"/>
      <c r="Y376" s="769"/>
      <c r="Z376" s="769"/>
    </row>
    <row r="377" spans="1:26" ht="18.75" customHeight="1" x14ac:dyDescent="0.3">
      <c r="A377" s="769"/>
      <c r="B377" s="769"/>
      <c r="C377" s="769"/>
      <c r="D377" s="771"/>
      <c r="E377" s="769"/>
      <c r="F377" s="769"/>
      <c r="G377" s="769"/>
      <c r="H377" s="769"/>
      <c r="I377" s="769"/>
      <c r="J377" s="769"/>
      <c r="K377" s="772"/>
      <c r="L377" s="769"/>
      <c r="M377" s="769"/>
      <c r="N377" s="769"/>
      <c r="O377" s="769"/>
      <c r="P377" s="769"/>
      <c r="Q377" s="769"/>
      <c r="R377" s="769"/>
      <c r="S377" s="769"/>
      <c r="T377" s="769"/>
      <c r="U377" s="769"/>
      <c r="V377" s="769"/>
      <c r="W377" s="769"/>
      <c r="X377" s="769"/>
      <c r="Y377" s="769"/>
      <c r="Z377" s="769"/>
    </row>
    <row r="378" spans="1:26" ht="18.75" customHeight="1" x14ac:dyDescent="0.3">
      <c r="A378" s="769"/>
      <c r="B378" s="769"/>
      <c r="C378" s="769"/>
      <c r="D378" s="771"/>
      <c r="E378" s="769"/>
      <c r="F378" s="769"/>
      <c r="G378" s="769"/>
      <c r="H378" s="769"/>
      <c r="I378" s="769"/>
      <c r="J378" s="769"/>
      <c r="K378" s="772"/>
      <c r="L378" s="769"/>
      <c r="M378" s="769"/>
      <c r="N378" s="769"/>
      <c r="O378" s="769"/>
      <c r="P378" s="769"/>
      <c r="Q378" s="769"/>
      <c r="R378" s="769"/>
      <c r="S378" s="769"/>
      <c r="T378" s="769"/>
      <c r="U378" s="769"/>
      <c r="V378" s="769"/>
      <c r="W378" s="769"/>
      <c r="X378" s="769"/>
      <c r="Y378" s="769"/>
      <c r="Z378" s="769"/>
    </row>
    <row r="379" spans="1:26" ht="18.75" customHeight="1" x14ac:dyDescent="0.3">
      <c r="A379" s="769"/>
      <c r="B379" s="769"/>
      <c r="C379" s="769"/>
      <c r="D379" s="771"/>
      <c r="E379" s="769"/>
      <c r="F379" s="769"/>
      <c r="G379" s="769"/>
      <c r="H379" s="769"/>
      <c r="I379" s="769"/>
      <c r="J379" s="769"/>
      <c r="K379" s="772"/>
      <c r="L379" s="769"/>
      <c r="M379" s="769"/>
      <c r="N379" s="769"/>
      <c r="O379" s="769"/>
      <c r="P379" s="769"/>
      <c r="Q379" s="769"/>
      <c r="R379" s="769"/>
      <c r="S379" s="769"/>
      <c r="T379" s="769"/>
      <c r="U379" s="769"/>
      <c r="V379" s="769"/>
      <c r="W379" s="769"/>
      <c r="X379" s="769"/>
      <c r="Y379" s="769"/>
      <c r="Z379" s="769"/>
    </row>
    <row r="380" spans="1:26" ht="18.75" customHeight="1" x14ac:dyDescent="0.3">
      <c r="A380" s="769"/>
      <c r="B380" s="769"/>
      <c r="C380" s="769"/>
      <c r="D380" s="771"/>
      <c r="E380" s="769"/>
      <c r="F380" s="769"/>
      <c r="G380" s="769"/>
      <c r="H380" s="769"/>
      <c r="I380" s="769"/>
      <c r="J380" s="769"/>
      <c r="K380" s="772"/>
      <c r="L380" s="769"/>
      <c r="M380" s="769"/>
      <c r="N380" s="769"/>
      <c r="O380" s="769"/>
      <c r="P380" s="769"/>
      <c r="Q380" s="769"/>
      <c r="R380" s="769"/>
      <c r="S380" s="769"/>
      <c r="T380" s="769"/>
      <c r="U380" s="769"/>
      <c r="V380" s="769"/>
      <c r="W380" s="769"/>
      <c r="X380" s="769"/>
      <c r="Y380" s="769"/>
      <c r="Z380" s="769"/>
    </row>
    <row r="381" spans="1:26" ht="18.75" customHeight="1" x14ac:dyDescent="0.3">
      <c r="A381" s="769"/>
      <c r="B381" s="769"/>
      <c r="C381" s="769"/>
      <c r="D381" s="771"/>
      <c r="E381" s="769"/>
      <c r="F381" s="769"/>
      <c r="G381" s="769"/>
      <c r="H381" s="769"/>
      <c r="I381" s="769"/>
      <c r="J381" s="769"/>
      <c r="K381" s="772"/>
      <c r="L381" s="769"/>
      <c r="M381" s="769"/>
      <c r="N381" s="769"/>
      <c r="O381" s="769"/>
      <c r="P381" s="769"/>
      <c r="Q381" s="769"/>
      <c r="R381" s="769"/>
      <c r="S381" s="769"/>
      <c r="T381" s="769"/>
      <c r="U381" s="769"/>
      <c r="V381" s="769"/>
      <c r="W381" s="769"/>
      <c r="X381" s="769"/>
      <c r="Y381" s="769"/>
      <c r="Z381" s="769"/>
    </row>
    <row r="382" spans="1:26" ht="18.75" customHeight="1" x14ac:dyDescent="0.3">
      <c r="A382" s="769"/>
      <c r="B382" s="769"/>
      <c r="C382" s="769"/>
      <c r="D382" s="771"/>
      <c r="E382" s="769"/>
      <c r="F382" s="769"/>
      <c r="G382" s="769"/>
      <c r="H382" s="769"/>
      <c r="I382" s="769"/>
      <c r="J382" s="769"/>
      <c r="K382" s="772"/>
      <c r="L382" s="769"/>
      <c r="M382" s="769"/>
      <c r="N382" s="769"/>
      <c r="O382" s="769"/>
      <c r="P382" s="769"/>
      <c r="Q382" s="769"/>
      <c r="R382" s="769"/>
      <c r="S382" s="769"/>
      <c r="T382" s="769"/>
      <c r="U382" s="769"/>
      <c r="V382" s="769"/>
      <c r="W382" s="769"/>
      <c r="X382" s="769"/>
      <c r="Y382" s="769"/>
      <c r="Z382" s="769"/>
    </row>
    <row r="383" spans="1:26" ht="18.75" customHeight="1" x14ac:dyDescent="0.3">
      <c r="A383" s="769"/>
      <c r="B383" s="769"/>
      <c r="C383" s="769"/>
      <c r="D383" s="771"/>
      <c r="E383" s="769"/>
      <c r="F383" s="769"/>
      <c r="G383" s="769"/>
      <c r="H383" s="769"/>
      <c r="I383" s="769"/>
      <c r="J383" s="769"/>
      <c r="K383" s="772"/>
      <c r="L383" s="769"/>
      <c r="M383" s="769"/>
      <c r="N383" s="769"/>
      <c r="O383" s="769"/>
      <c r="P383" s="769"/>
      <c r="Q383" s="769"/>
      <c r="R383" s="769"/>
      <c r="S383" s="769"/>
      <c r="T383" s="769"/>
      <c r="U383" s="769"/>
      <c r="V383" s="769"/>
      <c r="W383" s="769"/>
      <c r="X383" s="769"/>
      <c r="Y383" s="769"/>
      <c r="Z383" s="769"/>
    </row>
    <row r="384" spans="1:26" ht="18.75" customHeight="1" x14ac:dyDescent="0.3">
      <c r="A384" s="769"/>
      <c r="B384" s="769"/>
      <c r="C384" s="769"/>
      <c r="D384" s="771"/>
      <c r="E384" s="769"/>
      <c r="F384" s="769"/>
      <c r="G384" s="769"/>
      <c r="H384" s="769"/>
      <c r="I384" s="769"/>
      <c r="J384" s="769"/>
      <c r="K384" s="772"/>
      <c r="L384" s="769"/>
      <c r="M384" s="769"/>
      <c r="N384" s="769"/>
      <c r="O384" s="769"/>
      <c r="P384" s="769"/>
      <c r="Q384" s="769"/>
      <c r="R384" s="769"/>
      <c r="S384" s="769"/>
      <c r="T384" s="769"/>
      <c r="U384" s="769"/>
      <c r="V384" s="769"/>
      <c r="W384" s="769"/>
      <c r="X384" s="769"/>
      <c r="Y384" s="769"/>
      <c r="Z384" s="769"/>
    </row>
    <row r="385" spans="1:26" ht="18.75" customHeight="1" x14ac:dyDescent="0.3">
      <c r="A385" s="769"/>
      <c r="B385" s="769"/>
      <c r="C385" s="769"/>
      <c r="D385" s="771"/>
      <c r="E385" s="769"/>
      <c r="F385" s="769"/>
      <c r="G385" s="769"/>
      <c r="H385" s="769"/>
      <c r="I385" s="769"/>
      <c r="J385" s="769"/>
      <c r="K385" s="772"/>
      <c r="L385" s="769"/>
      <c r="M385" s="769"/>
      <c r="N385" s="769"/>
      <c r="O385" s="769"/>
      <c r="P385" s="769"/>
      <c r="Q385" s="769"/>
      <c r="R385" s="769"/>
      <c r="S385" s="769"/>
      <c r="T385" s="769"/>
      <c r="U385" s="769"/>
      <c r="V385" s="769"/>
      <c r="W385" s="769"/>
      <c r="X385" s="769"/>
      <c r="Y385" s="769"/>
      <c r="Z385" s="769"/>
    </row>
    <row r="386" spans="1:26" ht="18.75" customHeight="1" x14ac:dyDescent="0.3">
      <c r="A386" s="769"/>
      <c r="B386" s="769"/>
      <c r="C386" s="769"/>
      <c r="D386" s="771"/>
      <c r="E386" s="769"/>
      <c r="F386" s="769"/>
      <c r="G386" s="769"/>
      <c r="H386" s="769"/>
      <c r="I386" s="769"/>
      <c r="J386" s="769"/>
      <c r="K386" s="772"/>
      <c r="L386" s="769"/>
      <c r="M386" s="769"/>
      <c r="N386" s="769"/>
      <c r="O386" s="769"/>
      <c r="P386" s="769"/>
      <c r="Q386" s="769"/>
      <c r="R386" s="769"/>
      <c r="S386" s="769"/>
      <c r="T386" s="769"/>
      <c r="U386" s="769"/>
      <c r="V386" s="769"/>
      <c r="W386" s="769"/>
      <c r="X386" s="769"/>
      <c r="Y386" s="769"/>
      <c r="Z386" s="769"/>
    </row>
    <row r="387" spans="1:26" ht="18.75" customHeight="1" x14ac:dyDescent="0.3">
      <c r="A387" s="769"/>
      <c r="B387" s="769"/>
      <c r="C387" s="769"/>
      <c r="D387" s="771"/>
      <c r="E387" s="769"/>
      <c r="F387" s="769"/>
      <c r="G387" s="769"/>
      <c r="H387" s="769"/>
      <c r="I387" s="769"/>
      <c r="J387" s="769"/>
      <c r="K387" s="772"/>
      <c r="L387" s="769"/>
      <c r="M387" s="769"/>
      <c r="N387" s="769"/>
      <c r="O387" s="769"/>
      <c r="P387" s="769"/>
      <c r="Q387" s="769"/>
      <c r="R387" s="769"/>
      <c r="S387" s="769"/>
      <c r="T387" s="769"/>
      <c r="U387" s="769"/>
      <c r="V387" s="769"/>
      <c r="W387" s="769"/>
      <c r="X387" s="769"/>
      <c r="Y387" s="769"/>
      <c r="Z387" s="769"/>
    </row>
    <row r="388" spans="1:26" ht="18.75" customHeight="1" x14ac:dyDescent="0.3">
      <c r="A388" s="769"/>
      <c r="B388" s="769"/>
      <c r="C388" s="769"/>
      <c r="D388" s="771"/>
      <c r="E388" s="769"/>
      <c r="F388" s="769"/>
      <c r="G388" s="769"/>
      <c r="H388" s="769"/>
      <c r="I388" s="769"/>
      <c r="J388" s="769"/>
      <c r="K388" s="772"/>
      <c r="L388" s="769"/>
      <c r="M388" s="769"/>
      <c r="N388" s="769"/>
      <c r="O388" s="769"/>
      <c r="P388" s="769"/>
      <c r="Q388" s="769"/>
      <c r="R388" s="769"/>
      <c r="S388" s="769"/>
      <c r="T388" s="769"/>
      <c r="U388" s="769"/>
      <c r="V388" s="769"/>
      <c r="W388" s="769"/>
      <c r="X388" s="769"/>
      <c r="Y388" s="769"/>
      <c r="Z388" s="769"/>
    </row>
    <row r="389" spans="1:26" ht="18.75" customHeight="1" x14ac:dyDescent="0.3">
      <c r="A389" s="769"/>
      <c r="B389" s="769"/>
      <c r="C389" s="769"/>
      <c r="D389" s="771"/>
      <c r="E389" s="769"/>
      <c r="F389" s="769"/>
      <c r="G389" s="769"/>
      <c r="H389" s="769"/>
      <c r="I389" s="769"/>
      <c r="J389" s="769"/>
      <c r="K389" s="772"/>
      <c r="L389" s="769"/>
      <c r="M389" s="769"/>
      <c r="N389" s="769"/>
      <c r="O389" s="769"/>
      <c r="P389" s="769"/>
      <c r="Q389" s="769"/>
      <c r="R389" s="769"/>
      <c r="S389" s="769"/>
      <c r="T389" s="769"/>
      <c r="U389" s="769"/>
      <c r="V389" s="769"/>
      <c r="W389" s="769"/>
      <c r="X389" s="769"/>
      <c r="Y389" s="769"/>
      <c r="Z389" s="769"/>
    </row>
    <row r="390" spans="1:26" ht="18.75" customHeight="1" x14ac:dyDescent="0.3">
      <c r="A390" s="769"/>
      <c r="B390" s="769"/>
      <c r="C390" s="769"/>
      <c r="D390" s="771"/>
      <c r="E390" s="769"/>
      <c r="F390" s="769"/>
      <c r="G390" s="769"/>
      <c r="H390" s="769"/>
      <c r="I390" s="769"/>
      <c r="J390" s="769"/>
      <c r="K390" s="772"/>
      <c r="L390" s="769"/>
      <c r="M390" s="769"/>
      <c r="N390" s="769"/>
      <c r="O390" s="769"/>
      <c r="P390" s="769"/>
      <c r="Q390" s="769"/>
      <c r="R390" s="769"/>
      <c r="S390" s="769"/>
      <c r="T390" s="769"/>
      <c r="U390" s="769"/>
      <c r="V390" s="769"/>
      <c r="W390" s="769"/>
      <c r="X390" s="769"/>
      <c r="Y390" s="769"/>
      <c r="Z390" s="769"/>
    </row>
    <row r="391" spans="1:26" ht="18.75" customHeight="1" x14ac:dyDescent="0.3">
      <c r="A391" s="769"/>
      <c r="B391" s="769"/>
      <c r="C391" s="769"/>
      <c r="D391" s="771"/>
      <c r="E391" s="769"/>
      <c r="F391" s="769"/>
      <c r="G391" s="769"/>
      <c r="H391" s="769"/>
      <c r="I391" s="769"/>
      <c r="J391" s="769"/>
      <c r="K391" s="772"/>
      <c r="L391" s="769"/>
      <c r="M391" s="769"/>
      <c r="N391" s="769"/>
      <c r="O391" s="769"/>
      <c r="P391" s="769"/>
      <c r="Q391" s="769"/>
      <c r="R391" s="769"/>
      <c r="S391" s="769"/>
      <c r="T391" s="769"/>
      <c r="U391" s="769"/>
      <c r="V391" s="769"/>
      <c r="W391" s="769"/>
      <c r="X391" s="769"/>
      <c r="Y391" s="769"/>
      <c r="Z391" s="769"/>
    </row>
    <row r="392" spans="1:26" ht="18.75" customHeight="1" x14ac:dyDescent="0.3">
      <c r="A392" s="769"/>
      <c r="B392" s="769"/>
      <c r="C392" s="769"/>
      <c r="D392" s="771"/>
      <c r="E392" s="769"/>
      <c r="F392" s="769"/>
      <c r="G392" s="769"/>
      <c r="H392" s="769"/>
      <c r="I392" s="769"/>
      <c r="J392" s="769"/>
      <c r="K392" s="772"/>
      <c r="L392" s="769"/>
      <c r="M392" s="769"/>
      <c r="N392" s="769"/>
      <c r="O392" s="769"/>
      <c r="P392" s="769"/>
      <c r="Q392" s="769"/>
      <c r="R392" s="769"/>
      <c r="S392" s="769"/>
      <c r="T392" s="769"/>
      <c r="U392" s="769"/>
      <c r="V392" s="769"/>
      <c r="W392" s="769"/>
      <c r="X392" s="769"/>
      <c r="Y392" s="769"/>
      <c r="Z392" s="769"/>
    </row>
    <row r="393" spans="1:26" ht="18.75" customHeight="1" x14ac:dyDescent="0.3">
      <c r="A393" s="769"/>
      <c r="B393" s="769"/>
      <c r="C393" s="769"/>
      <c r="D393" s="771"/>
      <c r="E393" s="769"/>
      <c r="F393" s="769"/>
      <c r="G393" s="769"/>
      <c r="H393" s="769"/>
      <c r="I393" s="769"/>
      <c r="J393" s="769"/>
      <c r="K393" s="772"/>
      <c r="L393" s="769"/>
      <c r="M393" s="769"/>
      <c r="N393" s="769"/>
      <c r="O393" s="769"/>
      <c r="P393" s="769"/>
      <c r="Q393" s="769"/>
      <c r="R393" s="769"/>
      <c r="S393" s="769"/>
      <c r="T393" s="769"/>
      <c r="U393" s="769"/>
      <c r="V393" s="769"/>
      <c r="W393" s="769"/>
      <c r="X393" s="769"/>
      <c r="Y393" s="769"/>
      <c r="Z393" s="769"/>
    </row>
    <row r="394" spans="1:26" ht="18.75" customHeight="1" x14ac:dyDescent="0.3">
      <c r="A394" s="769"/>
      <c r="B394" s="769"/>
      <c r="C394" s="769"/>
      <c r="D394" s="771"/>
      <c r="E394" s="769"/>
      <c r="F394" s="769"/>
      <c r="G394" s="769"/>
      <c r="H394" s="769"/>
      <c r="I394" s="769"/>
      <c r="J394" s="769"/>
      <c r="K394" s="772"/>
      <c r="L394" s="769"/>
      <c r="M394" s="769"/>
      <c r="N394" s="769"/>
      <c r="O394" s="769"/>
      <c r="P394" s="769"/>
      <c r="Q394" s="769"/>
      <c r="R394" s="769"/>
      <c r="S394" s="769"/>
      <c r="T394" s="769"/>
      <c r="U394" s="769"/>
      <c r="V394" s="769"/>
      <c r="W394" s="769"/>
      <c r="X394" s="769"/>
      <c r="Y394" s="769"/>
      <c r="Z394" s="769"/>
    </row>
    <row r="395" spans="1:26" ht="18.75" customHeight="1" x14ac:dyDescent="0.3">
      <c r="A395" s="769"/>
      <c r="B395" s="769"/>
      <c r="C395" s="769"/>
      <c r="D395" s="771"/>
      <c r="E395" s="769"/>
      <c r="F395" s="769"/>
      <c r="G395" s="769"/>
      <c r="H395" s="769"/>
      <c r="I395" s="769"/>
      <c r="J395" s="769"/>
      <c r="K395" s="772"/>
      <c r="L395" s="769"/>
      <c r="M395" s="769"/>
      <c r="N395" s="769"/>
      <c r="O395" s="769"/>
      <c r="P395" s="769"/>
      <c r="Q395" s="769"/>
      <c r="R395" s="769"/>
      <c r="S395" s="769"/>
      <c r="T395" s="769"/>
      <c r="U395" s="769"/>
      <c r="V395" s="769"/>
      <c r="W395" s="769"/>
      <c r="X395" s="769"/>
      <c r="Y395" s="769"/>
      <c r="Z395" s="769"/>
    </row>
    <row r="396" spans="1:26" ht="18.75" customHeight="1" x14ac:dyDescent="0.3">
      <c r="A396" s="769"/>
      <c r="B396" s="769"/>
      <c r="C396" s="769"/>
      <c r="D396" s="771"/>
      <c r="E396" s="769"/>
      <c r="F396" s="769"/>
      <c r="G396" s="769"/>
      <c r="H396" s="769"/>
      <c r="I396" s="769"/>
      <c r="J396" s="769"/>
      <c r="K396" s="772"/>
      <c r="L396" s="769"/>
      <c r="M396" s="769"/>
      <c r="N396" s="769"/>
      <c r="O396" s="769"/>
      <c r="P396" s="769"/>
      <c r="Q396" s="769"/>
      <c r="R396" s="769"/>
      <c r="S396" s="769"/>
      <c r="T396" s="769"/>
      <c r="U396" s="769"/>
      <c r="V396" s="769"/>
      <c r="W396" s="769"/>
      <c r="X396" s="769"/>
      <c r="Y396" s="769"/>
      <c r="Z396" s="769"/>
    </row>
    <row r="397" spans="1:26" ht="18.75" customHeight="1" x14ac:dyDescent="0.3">
      <c r="A397" s="769"/>
      <c r="B397" s="769"/>
      <c r="C397" s="769"/>
      <c r="D397" s="771"/>
      <c r="E397" s="769"/>
      <c r="F397" s="769"/>
      <c r="G397" s="769"/>
      <c r="H397" s="769"/>
      <c r="I397" s="769"/>
      <c r="J397" s="769"/>
      <c r="K397" s="772"/>
      <c r="L397" s="769"/>
      <c r="M397" s="769"/>
      <c r="N397" s="769"/>
      <c r="O397" s="769"/>
      <c r="P397" s="769"/>
      <c r="Q397" s="769"/>
      <c r="R397" s="769"/>
      <c r="S397" s="769"/>
      <c r="T397" s="769"/>
      <c r="U397" s="769"/>
      <c r="V397" s="769"/>
      <c r="W397" s="769"/>
      <c r="X397" s="769"/>
      <c r="Y397" s="769"/>
      <c r="Z397" s="769"/>
    </row>
    <row r="398" spans="1:26" ht="18.75" customHeight="1" x14ac:dyDescent="0.3">
      <c r="A398" s="769"/>
      <c r="B398" s="769"/>
      <c r="C398" s="769"/>
      <c r="D398" s="771"/>
      <c r="E398" s="769"/>
      <c r="F398" s="769"/>
      <c r="G398" s="769"/>
      <c r="H398" s="769"/>
      <c r="I398" s="769"/>
      <c r="J398" s="769"/>
      <c r="K398" s="772"/>
      <c r="L398" s="769"/>
      <c r="M398" s="769"/>
      <c r="N398" s="769"/>
      <c r="O398" s="769"/>
      <c r="P398" s="769"/>
      <c r="Q398" s="769"/>
      <c r="R398" s="769"/>
      <c r="S398" s="769"/>
      <c r="T398" s="769"/>
      <c r="U398" s="769"/>
      <c r="V398" s="769"/>
      <c r="W398" s="769"/>
      <c r="X398" s="769"/>
      <c r="Y398" s="769"/>
      <c r="Z398" s="769"/>
    </row>
    <row r="399" spans="1:26" ht="18.75" customHeight="1" x14ac:dyDescent="0.3">
      <c r="A399" s="769"/>
      <c r="B399" s="769"/>
      <c r="C399" s="769"/>
      <c r="D399" s="771"/>
      <c r="E399" s="769"/>
      <c r="F399" s="769"/>
      <c r="G399" s="769"/>
      <c r="H399" s="769"/>
      <c r="I399" s="769"/>
      <c r="J399" s="769"/>
      <c r="K399" s="772"/>
      <c r="L399" s="769"/>
      <c r="M399" s="769"/>
      <c r="N399" s="769"/>
      <c r="O399" s="769"/>
      <c r="P399" s="769"/>
      <c r="Q399" s="769"/>
      <c r="R399" s="769"/>
      <c r="S399" s="769"/>
      <c r="T399" s="769"/>
      <c r="U399" s="769"/>
      <c r="V399" s="769"/>
      <c r="W399" s="769"/>
      <c r="X399" s="769"/>
      <c r="Y399" s="769"/>
      <c r="Z399" s="769"/>
    </row>
    <row r="400" spans="1:26" ht="18.75" customHeight="1" x14ac:dyDescent="0.3">
      <c r="A400" s="769"/>
      <c r="B400" s="769"/>
      <c r="C400" s="769"/>
      <c r="D400" s="771"/>
      <c r="E400" s="769"/>
      <c r="F400" s="769"/>
      <c r="G400" s="769"/>
      <c r="H400" s="769"/>
      <c r="I400" s="769"/>
      <c r="J400" s="769"/>
      <c r="K400" s="772"/>
      <c r="L400" s="769"/>
      <c r="M400" s="769"/>
      <c r="N400" s="769"/>
      <c r="O400" s="769"/>
      <c r="P400" s="769"/>
      <c r="Q400" s="769"/>
      <c r="R400" s="769"/>
      <c r="S400" s="769"/>
      <c r="T400" s="769"/>
      <c r="U400" s="769"/>
      <c r="V400" s="769"/>
      <c r="W400" s="769"/>
      <c r="X400" s="769"/>
      <c r="Y400" s="769"/>
      <c r="Z400" s="769"/>
    </row>
    <row r="401" spans="1:26" ht="18.75" customHeight="1" x14ac:dyDescent="0.3">
      <c r="A401" s="769"/>
      <c r="B401" s="769"/>
      <c r="C401" s="769"/>
      <c r="D401" s="771"/>
      <c r="E401" s="769"/>
      <c r="F401" s="769"/>
      <c r="G401" s="769"/>
      <c r="H401" s="769"/>
      <c r="I401" s="769"/>
      <c r="J401" s="769"/>
      <c r="K401" s="772"/>
      <c r="L401" s="769"/>
      <c r="M401" s="769"/>
      <c r="N401" s="769"/>
      <c r="O401" s="769"/>
      <c r="P401" s="769"/>
      <c r="Q401" s="769"/>
      <c r="R401" s="769"/>
      <c r="S401" s="769"/>
      <c r="T401" s="769"/>
      <c r="U401" s="769"/>
      <c r="V401" s="769"/>
      <c r="W401" s="769"/>
      <c r="X401" s="769"/>
      <c r="Y401" s="769"/>
      <c r="Z401" s="769"/>
    </row>
    <row r="402" spans="1:26" ht="18.75" customHeight="1" x14ac:dyDescent="0.3">
      <c r="A402" s="769"/>
      <c r="B402" s="769"/>
      <c r="C402" s="769"/>
      <c r="D402" s="771"/>
      <c r="E402" s="769"/>
      <c r="F402" s="769"/>
      <c r="G402" s="769"/>
      <c r="H402" s="769"/>
      <c r="I402" s="769"/>
      <c r="J402" s="769"/>
      <c r="K402" s="772"/>
      <c r="L402" s="769"/>
      <c r="M402" s="769"/>
      <c r="N402" s="769"/>
      <c r="O402" s="769"/>
      <c r="P402" s="769"/>
      <c r="Q402" s="769"/>
      <c r="R402" s="769"/>
      <c r="S402" s="769"/>
      <c r="T402" s="769"/>
      <c r="U402" s="769"/>
      <c r="V402" s="769"/>
      <c r="W402" s="769"/>
      <c r="X402" s="769"/>
      <c r="Y402" s="769"/>
      <c r="Z402" s="769"/>
    </row>
    <row r="403" spans="1:26" ht="18.75" customHeight="1" x14ac:dyDescent="0.3">
      <c r="A403" s="769"/>
      <c r="B403" s="769"/>
      <c r="C403" s="769"/>
      <c r="D403" s="771"/>
      <c r="E403" s="769"/>
      <c r="F403" s="769"/>
      <c r="G403" s="769"/>
      <c r="H403" s="769"/>
      <c r="I403" s="769"/>
      <c r="J403" s="769"/>
      <c r="K403" s="772"/>
      <c r="L403" s="769"/>
      <c r="M403" s="769"/>
      <c r="N403" s="769"/>
      <c r="O403" s="769"/>
      <c r="P403" s="769"/>
      <c r="Q403" s="769"/>
      <c r="R403" s="769"/>
      <c r="S403" s="769"/>
      <c r="T403" s="769"/>
      <c r="U403" s="769"/>
      <c r="V403" s="769"/>
      <c r="W403" s="769"/>
      <c r="X403" s="769"/>
      <c r="Y403" s="769"/>
      <c r="Z403" s="769"/>
    </row>
    <row r="404" spans="1:26" ht="18.75" customHeight="1" x14ac:dyDescent="0.3">
      <c r="A404" s="769"/>
      <c r="B404" s="769"/>
      <c r="C404" s="769"/>
      <c r="D404" s="771"/>
      <c r="E404" s="769"/>
      <c r="F404" s="769"/>
      <c r="G404" s="769"/>
      <c r="H404" s="769"/>
      <c r="I404" s="769"/>
      <c r="J404" s="769"/>
      <c r="K404" s="772"/>
      <c r="L404" s="769"/>
      <c r="M404" s="769"/>
      <c r="N404" s="769"/>
      <c r="O404" s="769"/>
      <c r="P404" s="769"/>
      <c r="Q404" s="769"/>
      <c r="R404" s="769"/>
      <c r="S404" s="769"/>
      <c r="T404" s="769"/>
      <c r="U404" s="769"/>
      <c r="V404" s="769"/>
      <c r="W404" s="769"/>
      <c r="X404" s="769"/>
      <c r="Y404" s="769"/>
      <c r="Z404" s="769"/>
    </row>
    <row r="405" spans="1:26" ht="18.75" customHeight="1" x14ac:dyDescent="0.3">
      <c r="A405" s="769"/>
      <c r="B405" s="769"/>
      <c r="C405" s="769"/>
      <c r="D405" s="771"/>
      <c r="E405" s="769"/>
      <c r="F405" s="769"/>
      <c r="G405" s="769"/>
      <c r="H405" s="769"/>
      <c r="I405" s="769"/>
      <c r="J405" s="769"/>
      <c r="K405" s="772"/>
      <c r="L405" s="769"/>
      <c r="M405" s="769"/>
      <c r="N405" s="769"/>
      <c r="O405" s="769"/>
      <c r="P405" s="769"/>
      <c r="Q405" s="769"/>
      <c r="R405" s="769"/>
      <c r="S405" s="769"/>
      <c r="T405" s="769"/>
      <c r="U405" s="769"/>
      <c r="V405" s="769"/>
      <c r="W405" s="769"/>
      <c r="X405" s="769"/>
      <c r="Y405" s="769"/>
      <c r="Z405" s="769"/>
    </row>
    <row r="406" spans="1:26" ht="18.75" customHeight="1" x14ac:dyDescent="0.3">
      <c r="A406" s="769"/>
      <c r="B406" s="769"/>
      <c r="C406" s="769"/>
      <c r="D406" s="771"/>
      <c r="E406" s="769"/>
      <c r="F406" s="769"/>
      <c r="G406" s="769"/>
      <c r="H406" s="769"/>
      <c r="I406" s="769"/>
      <c r="J406" s="769"/>
      <c r="K406" s="772"/>
      <c r="L406" s="769"/>
      <c r="M406" s="769"/>
      <c r="N406" s="769"/>
      <c r="O406" s="769"/>
      <c r="P406" s="769"/>
      <c r="Q406" s="769"/>
      <c r="R406" s="769"/>
      <c r="S406" s="769"/>
      <c r="T406" s="769"/>
      <c r="U406" s="769"/>
      <c r="V406" s="769"/>
      <c r="W406" s="769"/>
      <c r="X406" s="769"/>
      <c r="Y406" s="769"/>
      <c r="Z406" s="769"/>
    </row>
    <row r="407" spans="1:26" ht="18.75" customHeight="1" x14ac:dyDescent="0.3">
      <c r="A407" s="769"/>
      <c r="B407" s="769"/>
      <c r="C407" s="769"/>
      <c r="D407" s="771"/>
      <c r="E407" s="769"/>
      <c r="F407" s="769"/>
      <c r="G407" s="769"/>
      <c r="H407" s="769"/>
      <c r="I407" s="769"/>
      <c r="J407" s="769"/>
      <c r="K407" s="772"/>
      <c r="L407" s="769"/>
      <c r="M407" s="769"/>
      <c r="N407" s="769"/>
      <c r="O407" s="769"/>
      <c r="P407" s="769"/>
      <c r="Q407" s="769"/>
      <c r="R407" s="769"/>
      <c r="S407" s="769"/>
      <c r="T407" s="769"/>
      <c r="U407" s="769"/>
      <c r="V407" s="769"/>
      <c r="W407" s="769"/>
      <c r="X407" s="769"/>
      <c r="Y407" s="769"/>
      <c r="Z407" s="769"/>
    </row>
    <row r="408" spans="1:26" ht="18.75" customHeight="1" x14ac:dyDescent="0.3">
      <c r="A408" s="769"/>
      <c r="B408" s="769"/>
      <c r="C408" s="769"/>
      <c r="D408" s="771"/>
      <c r="E408" s="769"/>
      <c r="F408" s="769"/>
      <c r="G408" s="769"/>
      <c r="H408" s="769"/>
      <c r="I408" s="769"/>
      <c r="J408" s="769"/>
      <c r="K408" s="772"/>
      <c r="L408" s="769"/>
      <c r="M408" s="769"/>
      <c r="N408" s="769"/>
      <c r="O408" s="769"/>
      <c r="P408" s="769"/>
      <c r="Q408" s="769"/>
      <c r="R408" s="769"/>
      <c r="S408" s="769"/>
      <c r="T408" s="769"/>
      <c r="U408" s="769"/>
      <c r="V408" s="769"/>
      <c r="W408" s="769"/>
      <c r="X408" s="769"/>
      <c r="Y408" s="769"/>
      <c r="Z408" s="769"/>
    </row>
    <row r="409" spans="1:26" ht="18.75" customHeight="1" x14ac:dyDescent="0.3">
      <c r="A409" s="769"/>
      <c r="B409" s="769"/>
      <c r="C409" s="769"/>
      <c r="D409" s="771"/>
      <c r="E409" s="769"/>
      <c r="F409" s="769"/>
      <c r="G409" s="769"/>
      <c r="H409" s="769"/>
      <c r="I409" s="769"/>
      <c r="J409" s="769"/>
      <c r="K409" s="772"/>
      <c r="L409" s="769"/>
      <c r="M409" s="769"/>
      <c r="N409" s="769"/>
      <c r="O409" s="769"/>
      <c r="P409" s="769"/>
      <c r="Q409" s="769"/>
      <c r="R409" s="769"/>
      <c r="S409" s="769"/>
      <c r="T409" s="769"/>
      <c r="U409" s="769"/>
      <c r="V409" s="769"/>
      <c r="W409" s="769"/>
      <c r="X409" s="769"/>
      <c r="Y409" s="769"/>
      <c r="Z409" s="769"/>
    </row>
    <row r="410" spans="1:26" ht="18.75" customHeight="1" x14ac:dyDescent="0.3">
      <c r="A410" s="769"/>
      <c r="B410" s="769"/>
      <c r="C410" s="769"/>
      <c r="D410" s="771"/>
      <c r="E410" s="769"/>
      <c r="F410" s="769"/>
      <c r="G410" s="769"/>
      <c r="H410" s="769"/>
      <c r="I410" s="769"/>
      <c r="J410" s="769"/>
      <c r="K410" s="772"/>
      <c r="L410" s="769"/>
      <c r="M410" s="769"/>
      <c r="N410" s="769"/>
      <c r="O410" s="769"/>
      <c r="P410" s="769"/>
      <c r="Q410" s="769"/>
      <c r="R410" s="769"/>
      <c r="S410" s="769"/>
      <c r="T410" s="769"/>
      <c r="U410" s="769"/>
      <c r="V410" s="769"/>
      <c r="W410" s="769"/>
      <c r="X410" s="769"/>
      <c r="Y410" s="769"/>
      <c r="Z410" s="769"/>
    </row>
    <row r="411" spans="1:26" ht="18.75" customHeight="1" x14ac:dyDescent="0.3">
      <c r="A411" s="769"/>
      <c r="B411" s="769"/>
      <c r="C411" s="769"/>
      <c r="D411" s="771"/>
      <c r="E411" s="769"/>
      <c r="F411" s="769"/>
      <c r="G411" s="769"/>
      <c r="H411" s="769"/>
      <c r="I411" s="769"/>
      <c r="J411" s="769"/>
      <c r="K411" s="772"/>
      <c r="L411" s="769"/>
      <c r="M411" s="769"/>
      <c r="N411" s="769"/>
      <c r="O411" s="769"/>
      <c r="P411" s="769"/>
      <c r="Q411" s="769"/>
      <c r="R411" s="769"/>
      <c r="S411" s="769"/>
      <c r="T411" s="769"/>
      <c r="U411" s="769"/>
      <c r="V411" s="769"/>
      <c r="W411" s="769"/>
      <c r="X411" s="769"/>
      <c r="Y411" s="769"/>
      <c r="Z411" s="769"/>
    </row>
    <row r="412" spans="1:26" ht="18.75" customHeight="1" x14ac:dyDescent="0.3">
      <c r="A412" s="769"/>
      <c r="B412" s="769"/>
      <c r="C412" s="769"/>
      <c r="D412" s="771"/>
      <c r="E412" s="769"/>
      <c r="F412" s="769"/>
      <c r="G412" s="769"/>
      <c r="H412" s="769"/>
      <c r="I412" s="769"/>
      <c r="J412" s="769"/>
      <c r="K412" s="772"/>
      <c r="L412" s="769"/>
      <c r="M412" s="769"/>
      <c r="N412" s="769"/>
      <c r="O412" s="769"/>
      <c r="P412" s="769"/>
      <c r="Q412" s="769"/>
      <c r="R412" s="769"/>
      <c r="S412" s="769"/>
      <c r="T412" s="769"/>
      <c r="U412" s="769"/>
      <c r="V412" s="769"/>
      <c r="W412" s="769"/>
      <c r="X412" s="769"/>
      <c r="Y412" s="769"/>
      <c r="Z412" s="769"/>
    </row>
    <row r="413" spans="1:26" ht="18.75" customHeight="1" x14ac:dyDescent="0.3">
      <c r="A413" s="769"/>
      <c r="B413" s="769"/>
      <c r="C413" s="769"/>
      <c r="D413" s="771"/>
      <c r="E413" s="769"/>
      <c r="F413" s="769"/>
      <c r="G413" s="769"/>
      <c r="H413" s="769"/>
      <c r="I413" s="769"/>
      <c r="J413" s="769"/>
      <c r="K413" s="772"/>
      <c r="L413" s="769"/>
      <c r="M413" s="769"/>
      <c r="N413" s="769"/>
      <c r="O413" s="769"/>
      <c r="P413" s="769"/>
      <c r="Q413" s="769"/>
      <c r="R413" s="769"/>
      <c r="S413" s="769"/>
      <c r="T413" s="769"/>
      <c r="U413" s="769"/>
      <c r="V413" s="769"/>
      <c r="W413" s="769"/>
      <c r="X413" s="769"/>
      <c r="Y413" s="769"/>
      <c r="Z413" s="769"/>
    </row>
    <row r="414" spans="1:26" ht="18.75" customHeight="1" x14ac:dyDescent="0.3">
      <c r="A414" s="769"/>
      <c r="B414" s="769"/>
      <c r="C414" s="769"/>
      <c r="D414" s="771"/>
      <c r="E414" s="769"/>
      <c r="F414" s="769"/>
      <c r="G414" s="769"/>
      <c r="H414" s="769"/>
      <c r="I414" s="769"/>
      <c r="J414" s="769"/>
      <c r="K414" s="772"/>
      <c r="L414" s="769"/>
      <c r="M414" s="769"/>
      <c r="N414" s="769"/>
      <c r="O414" s="769"/>
      <c r="P414" s="769"/>
      <c r="Q414" s="769"/>
      <c r="R414" s="769"/>
      <c r="S414" s="769"/>
      <c r="T414" s="769"/>
      <c r="U414" s="769"/>
      <c r="V414" s="769"/>
      <c r="W414" s="769"/>
      <c r="X414" s="769"/>
      <c r="Y414" s="769"/>
      <c r="Z414" s="769"/>
    </row>
    <row r="415" spans="1:26" ht="18.75" customHeight="1" x14ac:dyDescent="0.3">
      <c r="A415" s="769"/>
      <c r="B415" s="769"/>
      <c r="C415" s="769"/>
      <c r="D415" s="771"/>
      <c r="E415" s="769"/>
      <c r="F415" s="769"/>
      <c r="G415" s="769"/>
      <c r="H415" s="769"/>
      <c r="I415" s="769"/>
      <c r="J415" s="769"/>
      <c r="K415" s="772"/>
      <c r="L415" s="769"/>
      <c r="M415" s="769"/>
      <c r="N415" s="769"/>
      <c r="O415" s="769"/>
      <c r="P415" s="769"/>
      <c r="Q415" s="769"/>
      <c r="R415" s="769"/>
      <c r="S415" s="769"/>
      <c r="T415" s="769"/>
      <c r="U415" s="769"/>
      <c r="V415" s="769"/>
      <c r="W415" s="769"/>
      <c r="X415" s="769"/>
      <c r="Y415" s="769"/>
      <c r="Z415" s="769"/>
    </row>
    <row r="416" spans="1:26" ht="18.75" customHeight="1" x14ac:dyDescent="0.3">
      <c r="A416" s="769"/>
      <c r="B416" s="769"/>
      <c r="C416" s="769"/>
      <c r="D416" s="771"/>
      <c r="E416" s="769"/>
      <c r="F416" s="769"/>
      <c r="G416" s="769"/>
      <c r="H416" s="769"/>
      <c r="I416" s="769"/>
      <c r="J416" s="769"/>
      <c r="K416" s="772"/>
      <c r="L416" s="769"/>
      <c r="M416" s="769"/>
      <c r="N416" s="769"/>
      <c r="O416" s="769"/>
      <c r="P416" s="769"/>
      <c r="Q416" s="769"/>
      <c r="R416" s="769"/>
      <c r="S416" s="769"/>
      <c r="T416" s="769"/>
      <c r="U416" s="769"/>
      <c r="V416" s="769"/>
      <c r="W416" s="769"/>
      <c r="X416" s="769"/>
      <c r="Y416" s="769"/>
      <c r="Z416" s="769"/>
    </row>
    <row r="417" spans="1:26" ht="18.75" customHeight="1" x14ac:dyDescent="0.3">
      <c r="A417" s="769"/>
      <c r="B417" s="769"/>
      <c r="C417" s="769"/>
      <c r="D417" s="771"/>
      <c r="E417" s="769"/>
      <c r="F417" s="769"/>
      <c r="G417" s="769"/>
      <c r="H417" s="769"/>
      <c r="I417" s="769"/>
      <c r="J417" s="769"/>
      <c r="K417" s="772"/>
      <c r="L417" s="769"/>
      <c r="M417" s="769"/>
      <c r="N417" s="769"/>
      <c r="O417" s="769"/>
      <c r="P417" s="769"/>
      <c r="Q417" s="769"/>
      <c r="R417" s="769"/>
      <c r="S417" s="769"/>
      <c r="T417" s="769"/>
      <c r="U417" s="769"/>
      <c r="V417" s="769"/>
      <c r="W417" s="769"/>
      <c r="X417" s="769"/>
      <c r="Y417" s="769"/>
      <c r="Z417" s="769"/>
    </row>
    <row r="418" spans="1:26" ht="18.75" customHeight="1" x14ac:dyDescent="0.3">
      <c r="A418" s="769"/>
      <c r="B418" s="769"/>
      <c r="C418" s="769"/>
      <c r="D418" s="771"/>
      <c r="E418" s="769"/>
      <c r="F418" s="769"/>
      <c r="G418" s="769"/>
      <c r="H418" s="769"/>
      <c r="I418" s="769"/>
      <c r="J418" s="769"/>
      <c r="K418" s="772"/>
      <c r="L418" s="769"/>
      <c r="M418" s="769"/>
      <c r="N418" s="769"/>
      <c r="O418" s="769"/>
      <c r="P418" s="769"/>
      <c r="Q418" s="769"/>
      <c r="R418" s="769"/>
      <c r="S418" s="769"/>
      <c r="T418" s="769"/>
      <c r="U418" s="769"/>
      <c r="V418" s="769"/>
      <c r="W418" s="769"/>
      <c r="X418" s="769"/>
      <c r="Y418" s="769"/>
      <c r="Z418" s="769"/>
    </row>
    <row r="419" spans="1:26" ht="18.75" customHeight="1" x14ac:dyDescent="0.3">
      <c r="A419" s="769"/>
      <c r="B419" s="769"/>
      <c r="C419" s="769"/>
      <c r="D419" s="771"/>
      <c r="E419" s="769"/>
      <c r="F419" s="769"/>
      <c r="G419" s="769"/>
      <c r="H419" s="769"/>
      <c r="I419" s="769"/>
      <c r="J419" s="769"/>
      <c r="K419" s="772"/>
      <c r="L419" s="769"/>
      <c r="M419" s="769"/>
      <c r="N419" s="769"/>
      <c r="O419" s="769"/>
      <c r="P419" s="769"/>
      <c r="Q419" s="769"/>
      <c r="R419" s="769"/>
      <c r="S419" s="769"/>
      <c r="T419" s="769"/>
      <c r="U419" s="769"/>
      <c r="V419" s="769"/>
      <c r="W419" s="769"/>
      <c r="X419" s="769"/>
      <c r="Y419" s="769"/>
      <c r="Z419" s="769"/>
    </row>
    <row r="420" spans="1:26" ht="18.75" customHeight="1" x14ac:dyDescent="0.3">
      <c r="A420" s="769"/>
      <c r="B420" s="769"/>
      <c r="C420" s="769"/>
      <c r="D420" s="771"/>
      <c r="E420" s="769"/>
      <c r="F420" s="769"/>
      <c r="G420" s="769"/>
      <c r="H420" s="769"/>
      <c r="I420" s="769"/>
      <c r="J420" s="769"/>
      <c r="K420" s="772"/>
      <c r="L420" s="769"/>
      <c r="M420" s="769"/>
      <c r="N420" s="769"/>
      <c r="O420" s="769"/>
      <c r="P420" s="769"/>
      <c r="Q420" s="769"/>
      <c r="R420" s="769"/>
      <c r="S420" s="769"/>
      <c r="T420" s="769"/>
      <c r="U420" s="769"/>
      <c r="V420" s="769"/>
      <c r="W420" s="769"/>
      <c r="X420" s="769"/>
      <c r="Y420" s="769"/>
      <c r="Z420" s="769"/>
    </row>
    <row r="421" spans="1:26" ht="18.75" customHeight="1" x14ac:dyDescent="0.3">
      <c r="A421" s="769"/>
      <c r="B421" s="769"/>
      <c r="C421" s="769"/>
      <c r="D421" s="771"/>
      <c r="E421" s="769"/>
      <c r="F421" s="769"/>
      <c r="G421" s="769"/>
      <c r="H421" s="769"/>
      <c r="I421" s="769"/>
      <c r="J421" s="769"/>
      <c r="K421" s="772"/>
      <c r="L421" s="769"/>
      <c r="M421" s="769"/>
      <c r="N421" s="769"/>
      <c r="O421" s="769"/>
      <c r="P421" s="769"/>
      <c r="Q421" s="769"/>
      <c r="R421" s="769"/>
      <c r="S421" s="769"/>
      <c r="T421" s="769"/>
      <c r="U421" s="769"/>
      <c r="V421" s="769"/>
      <c r="W421" s="769"/>
      <c r="X421" s="769"/>
      <c r="Y421" s="769"/>
      <c r="Z421" s="769"/>
    </row>
    <row r="422" spans="1:26" ht="18.75" customHeight="1" x14ac:dyDescent="0.3">
      <c r="A422" s="769"/>
      <c r="B422" s="769"/>
      <c r="C422" s="769"/>
      <c r="D422" s="771"/>
      <c r="E422" s="769"/>
      <c r="F422" s="769"/>
      <c r="G422" s="769"/>
      <c r="H422" s="769"/>
      <c r="I422" s="769"/>
      <c r="J422" s="769"/>
      <c r="K422" s="772"/>
      <c r="L422" s="769"/>
      <c r="M422" s="769"/>
      <c r="N422" s="769"/>
      <c r="O422" s="769"/>
      <c r="P422" s="769"/>
      <c r="Q422" s="769"/>
      <c r="R422" s="769"/>
      <c r="S422" s="769"/>
      <c r="T422" s="769"/>
      <c r="U422" s="769"/>
      <c r="V422" s="769"/>
      <c r="W422" s="769"/>
      <c r="X422" s="769"/>
      <c r="Y422" s="769"/>
      <c r="Z422" s="769"/>
    </row>
    <row r="423" spans="1:26" ht="18.75" customHeight="1" x14ac:dyDescent="0.3">
      <c r="A423" s="769"/>
      <c r="B423" s="769"/>
      <c r="C423" s="769"/>
      <c r="D423" s="771"/>
      <c r="E423" s="769"/>
      <c r="F423" s="769"/>
      <c r="G423" s="769"/>
      <c r="H423" s="769"/>
      <c r="I423" s="769"/>
      <c r="J423" s="769"/>
      <c r="K423" s="772"/>
      <c r="L423" s="769"/>
      <c r="M423" s="769"/>
      <c r="N423" s="769"/>
      <c r="O423" s="769"/>
      <c r="P423" s="769"/>
      <c r="Q423" s="769"/>
      <c r="R423" s="769"/>
      <c r="S423" s="769"/>
      <c r="T423" s="769"/>
      <c r="U423" s="769"/>
      <c r="V423" s="769"/>
      <c r="W423" s="769"/>
      <c r="X423" s="769"/>
      <c r="Y423" s="769"/>
      <c r="Z423" s="769"/>
    </row>
    <row r="424" spans="1:26" ht="18.75" customHeight="1" x14ac:dyDescent="0.3">
      <c r="A424" s="769"/>
      <c r="B424" s="769"/>
      <c r="C424" s="769"/>
      <c r="D424" s="771"/>
      <c r="E424" s="769"/>
      <c r="F424" s="769"/>
      <c r="G424" s="769"/>
      <c r="H424" s="769"/>
      <c r="I424" s="769"/>
      <c r="J424" s="769"/>
      <c r="K424" s="772"/>
      <c r="L424" s="769"/>
      <c r="M424" s="769"/>
      <c r="N424" s="769"/>
      <c r="O424" s="769"/>
      <c r="P424" s="769"/>
      <c r="Q424" s="769"/>
      <c r="R424" s="769"/>
      <c r="S424" s="769"/>
      <c r="T424" s="769"/>
      <c r="U424" s="769"/>
      <c r="V424" s="769"/>
      <c r="W424" s="769"/>
      <c r="X424" s="769"/>
      <c r="Y424" s="769"/>
      <c r="Z424" s="769"/>
    </row>
    <row r="425" spans="1:26" ht="18.75" customHeight="1" x14ac:dyDescent="0.3">
      <c r="A425" s="769"/>
      <c r="B425" s="769"/>
      <c r="C425" s="769"/>
      <c r="D425" s="771"/>
      <c r="E425" s="769"/>
      <c r="F425" s="769"/>
      <c r="G425" s="769"/>
      <c r="H425" s="769"/>
      <c r="I425" s="769"/>
      <c r="J425" s="769"/>
      <c r="K425" s="772"/>
      <c r="L425" s="769"/>
      <c r="M425" s="769"/>
      <c r="N425" s="769"/>
      <c r="O425" s="769"/>
      <c r="P425" s="769"/>
      <c r="Q425" s="769"/>
      <c r="R425" s="769"/>
      <c r="S425" s="769"/>
      <c r="T425" s="769"/>
      <c r="U425" s="769"/>
      <c r="V425" s="769"/>
      <c r="W425" s="769"/>
      <c r="X425" s="769"/>
      <c r="Y425" s="769"/>
      <c r="Z425" s="769"/>
    </row>
    <row r="426" spans="1:26" ht="18.75" customHeight="1" x14ac:dyDescent="0.3">
      <c r="A426" s="769"/>
      <c r="B426" s="769"/>
      <c r="C426" s="769"/>
      <c r="D426" s="771"/>
      <c r="E426" s="769"/>
      <c r="F426" s="769"/>
      <c r="G426" s="769"/>
      <c r="H426" s="769"/>
      <c r="I426" s="769"/>
      <c r="J426" s="769"/>
      <c r="K426" s="772"/>
      <c r="L426" s="769"/>
      <c r="M426" s="769"/>
      <c r="N426" s="769"/>
      <c r="O426" s="769"/>
      <c r="P426" s="769"/>
      <c r="Q426" s="769"/>
      <c r="R426" s="769"/>
      <c r="S426" s="769"/>
      <c r="T426" s="769"/>
      <c r="U426" s="769"/>
      <c r="V426" s="769"/>
      <c r="W426" s="769"/>
      <c r="X426" s="769"/>
      <c r="Y426" s="769"/>
      <c r="Z426" s="769"/>
    </row>
    <row r="427" spans="1:26" ht="18.75" customHeight="1" x14ac:dyDescent="0.3">
      <c r="A427" s="769"/>
      <c r="B427" s="769"/>
      <c r="C427" s="769"/>
      <c r="D427" s="771"/>
      <c r="E427" s="769"/>
      <c r="F427" s="769"/>
      <c r="G427" s="769"/>
      <c r="H427" s="769"/>
      <c r="I427" s="769"/>
      <c r="J427" s="769"/>
      <c r="K427" s="772"/>
      <c r="L427" s="769"/>
      <c r="M427" s="769"/>
      <c r="N427" s="769"/>
      <c r="O427" s="769"/>
      <c r="P427" s="769"/>
      <c r="Q427" s="769"/>
      <c r="R427" s="769"/>
      <c r="S427" s="769"/>
      <c r="T427" s="769"/>
      <c r="U427" s="769"/>
      <c r="V427" s="769"/>
      <c r="W427" s="769"/>
      <c r="X427" s="769"/>
      <c r="Y427" s="769"/>
      <c r="Z427" s="769"/>
    </row>
    <row r="428" spans="1:26" ht="18.75" customHeight="1" x14ac:dyDescent="0.3">
      <c r="A428" s="769"/>
      <c r="B428" s="769"/>
      <c r="C428" s="769"/>
      <c r="D428" s="771"/>
      <c r="E428" s="769"/>
      <c r="F428" s="769"/>
      <c r="G428" s="769"/>
      <c r="H428" s="769"/>
      <c r="I428" s="769"/>
      <c r="J428" s="769"/>
      <c r="K428" s="772"/>
      <c r="L428" s="769"/>
      <c r="M428" s="769"/>
      <c r="N428" s="769"/>
      <c r="O428" s="769"/>
      <c r="P428" s="769"/>
      <c r="Q428" s="769"/>
      <c r="R428" s="769"/>
      <c r="S428" s="769"/>
      <c r="T428" s="769"/>
      <c r="U428" s="769"/>
      <c r="V428" s="769"/>
      <c r="W428" s="769"/>
      <c r="X428" s="769"/>
      <c r="Y428" s="769"/>
      <c r="Z428" s="769"/>
    </row>
    <row r="429" spans="1:26" ht="18.75" customHeight="1" x14ac:dyDescent="0.3">
      <c r="A429" s="769"/>
      <c r="B429" s="769"/>
      <c r="C429" s="769"/>
      <c r="D429" s="771"/>
      <c r="E429" s="769"/>
      <c r="F429" s="769"/>
      <c r="G429" s="769"/>
      <c r="H429" s="769"/>
      <c r="I429" s="769"/>
      <c r="J429" s="769"/>
      <c r="K429" s="772"/>
      <c r="L429" s="769"/>
      <c r="M429" s="769"/>
      <c r="N429" s="769"/>
      <c r="O429" s="769"/>
      <c r="P429" s="769"/>
      <c r="Q429" s="769"/>
      <c r="R429" s="769"/>
      <c r="S429" s="769"/>
      <c r="T429" s="769"/>
      <c r="U429" s="769"/>
      <c r="V429" s="769"/>
      <c r="W429" s="769"/>
      <c r="X429" s="769"/>
      <c r="Y429" s="769"/>
      <c r="Z429" s="769"/>
    </row>
    <row r="430" spans="1:26" ht="18.75" customHeight="1" x14ac:dyDescent="0.3">
      <c r="A430" s="769"/>
      <c r="B430" s="769"/>
      <c r="C430" s="769"/>
      <c r="D430" s="771"/>
      <c r="E430" s="769"/>
      <c r="F430" s="769"/>
      <c r="G430" s="769"/>
      <c r="H430" s="769"/>
      <c r="I430" s="769"/>
      <c r="J430" s="769"/>
      <c r="K430" s="772"/>
      <c r="L430" s="769"/>
      <c r="M430" s="769"/>
      <c r="N430" s="769"/>
      <c r="O430" s="769"/>
      <c r="P430" s="769"/>
      <c r="Q430" s="769"/>
      <c r="R430" s="769"/>
      <c r="S430" s="769"/>
      <c r="T430" s="769"/>
      <c r="U430" s="769"/>
      <c r="V430" s="769"/>
      <c r="W430" s="769"/>
      <c r="X430" s="769"/>
      <c r="Y430" s="769"/>
      <c r="Z430" s="769"/>
    </row>
    <row r="431" spans="1:26" ht="18.75" customHeight="1" x14ac:dyDescent="0.3">
      <c r="A431" s="769"/>
      <c r="B431" s="769"/>
      <c r="C431" s="769"/>
      <c r="D431" s="771"/>
      <c r="E431" s="769"/>
      <c r="F431" s="769"/>
      <c r="G431" s="769"/>
      <c r="H431" s="769"/>
      <c r="I431" s="769"/>
      <c r="J431" s="769"/>
      <c r="K431" s="772"/>
      <c r="L431" s="769"/>
      <c r="M431" s="769"/>
      <c r="N431" s="769"/>
      <c r="O431" s="769"/>
      <c r="P431" s="769"/>
      <c r="Q431" s="769"/>
      <c r="R431" s="769"/>
      <c r="S431" s="769"/>
      <c r="T431" s="769"/>
      <c r="U431" s="769"/>
      <c r="V431" s="769"/>
      <c r="W431" s="769"/>
      <c r="X431" s="769"/>
      <c r="Y431" s="769"/>
      <c r="Z431" s="769"/>
    </row>
    <row r="432" spans="1:26" ht="18.75" customHeight="1" x14ac:dyDescent="0.3">
      <c r="A432" s="769"/>
      <c r="B432" s="769"/>
      <c r="C432" s="769"/>
      <c r="D432" s="771"/>
      <c r="E432" s="769"/>
      <c r="F432" s="769"/>
      <c r="G432" s="769"/>
      <c r="H432" s="769"/>
      <c r="I432" s="769"/>
      <c r="J432" s="769"/>
      <c r="K432" s="772"/>
      <c r="L432" s="769"/>
      <c r="M432" s="769"/>
      <c r="N432" s="769"/>
      <c r="O432" s="769"/>
      <c r="P432" s="769"/>
      <c r="Q432" s="769"/>
      <c r="R432" s="769"/>
      <c r="S432" s="769"/>
      <c r="T432" s="769"/>
      <c r="U432" s="769"/>
      <c r="V432" s="769"/>
      <c r="W432" s="769"/>
      <c r="X432" s="769"/>
      <c r="Y432" s="769"/>
      <c r="Z432" s="769"/>
    </row>
    <row r="433" spans="1:26" ht="18.75" customHeight="1" x14ac:dyDescent="0.3">
      <c r="A433" s="769"/>
      <c r="B433" s="769"/>
      <c r="C433" s="769"/>
      <c r="D433" s="771"/>
      <c r="E433" s="769"/>
      <c r="F433" s="769"/>
      <c r="G433" s="769"/>
      <c r="H433" s="769"/>
      <c r="I433" s="769"/>
      <c r="J433" s="769"/>
      <c r="K433" s="772"/>
      <c r="L433" s="769"/>
      <c r="M433" s="769"/>
      <c r="N433" s="769"/>
      <c r="O433" s="769"/>
      <c r="P433" s="769"/>
      <c r="Q433" s="769"/>
      <c r="R433" s="769"/>
      <c r="S433" s="769"/>
      <c r="T433" s="769"/>
      <c r="U433" s="769"/>
      <c r="V433" s="769"/>
      <c r="W433" s="769"/>
      <c r="X433" s="769"/>
      <c r="Y433" s="769"/>
      <c r="Z433" s="769"/>
    </row>
    <row r="434" spans="1:26" ht="18.75" customHeight="1" x14ac:dyDescent="0.3">
      <c r="A434" s="769"/>
      <c r="B434" s="769"/>
      <c r="C434" s="769"/>
      <c r="D434" s="771"/>
      <c r="E434" s="769"/>
      <c r="F434" s="769"/>
      <c r="G434" s="769"/>
      <c r="H434" s="769"/>
      <c r="I434" s="769"/>
      <c r="J434" s="769"/>
      <c r="K434" s="772"/>
      <c r="L434" s="769"/>
      <c r="M434" s="769"/>
      <c r="N434" s="769"/>
      <c r="O434" s="769"/>
      <c r="P434" s="769"/>
      <c r="Q434" s="769"/>
      <c r="R434" s="769"/>
      <c r="S434" s="769"/>
      <c r="T434" s="769"/>
      <c r="U434" s="769"/>
      <c r="V434" s="769"/>
      <c r="W434" s="769"/>
      <c r="X434" s="769"/>
      <c r="Y434" s="769"/>
      <c r="Z434" s="769"/>
    </row>
    <row r="435" spans="1:26" ht="18.75" customHeight="1" x14ac:dyDescent="0.3">
      <c r="A435" s="769"/>
      <c r="B435" s="769"/>
      <c r="C435" s="769"/>
      <c r="D435" s="771"/>
      <c r="E435" s="769"/>
      <c r="F435" s="769"/>
      <c r="G435" s="769"/>
      <c r="H435" s="769"/>
      <c r="I435" s="769"/>
      <c r="J435" s="769"/>
      <c r="K435" s="772"/>
      <c r="L435" s="769"/>
      <c r="M435" s="769"/>
      <c r="N435" s="769"/>
      <c r="O435" s="769"/>
      <c r="P435" s="769"/>
      <c r="Q435" s="769"/>
      <c r="R435" s="769"/>
      <c r="S435" s="769"/>
      <c r="T435" s="769"/>
      <c r="U435" s="769"/>
      <c r="V435" s="769"/>
      <c r="W435" s="769"/>
      <c r="X435" s="769"/>
      <c r="Y435" s="769"/>
      <c r="Z435" s="769"/>
    </row>
    <row r="436" spans="1:26" ht="18.75" customHeight="1" x14ac:dyDescent="0.3">
      <c r="A436" s="769"/>
      <c r="B436" s="769"/>
      <c r="C436" s="769"/>
      <c r="D436" s="771"/>
      <c r="E436" s="769"/>
      <c r="F436" s="769"/>
      <c r="G436" s="769"/>
      <c r="H436" s="769"/>
      <c r="I436" s="769"/>
      <c r="J436" s="769"/>
      <c r="K436" s="772"/>
      <c r="L436" s="769"/>
      <c r="M436" s="769"/>
      <c r="N436" s="769"/>
      <c r="O436" s="769"/>
      <c r="P436" s="769"/>
      <c r="Q436" s="769"/>
      <c r="R436" s="769"/>
      <c r="S436" s="769"/>
      <c r="T436" s="769"/>
      <c r="U436" s="769"/>
      <c r="V436" s="769"/>
      <c r="W436" s="769"/>
      <c r="X436" s="769"/>
      <c r="Y436" s="769"/>
      <c r="Z436" s="769"/>
    </row>
    <row r="437" spans="1:26" ht="18.75" customHeight="1" x14ac:dyDescent="0.3">
      <c r="A437" s="769"/>
      <c r="B437" s="769"/>
      <c r="C437" s="769"/>
      <c r="D437" s="771"/>
      <c r="E437" s="769"/>
      <c r="F437" s="769"/>
      <c r="G437" s="769"/>
      <c r="H437" s="769"/>
      <c r="I437" s="769"/>
      <c r="J437" s="769"/>
      <c r="K437" s="772"/>
      <c r="L437" s="769"/>
      <c r="M437" s="769"/>
      <c r="N437" s="769"/>
      <c r="O437" s="769"/>
      <c r="P437" s="769"/>
      <c r="Q437" s="769"/>
      <c r="R437" s="769"/>
      <c r="S437" s="769"/>
      <c r="T437" s="769"/>
      <c r="U437" s="769"/>
      <c r="V437" s="769"/>
      <c r="W437" s="769"/>
      <c r="X437" s="769"/>
      <c r="Y437" s="769"/>
      <c r="Z437" s="769"/>
    </row>
    <row r="438" spans="1:26" ht="18.75" customHeight="1" x14ac:dyDescent="0.3">
      <c r="A438" s="769"/>
      <c r="B438" s="769"/>
      <c r="C438" s="769"/>
      <c r="D438" s="771"/>
      <c r="E438" s="769"/>
      <c r="F438" s="769"/>
      <c r="G438" s="769"/>
      <c r="H438" s="769"/>
      <c r="I438" s="769"/>
      <c r="J438" s="769"/>
      <c r="K438" s="772"/>
      <c r="L438" s="769"/>
      <c r="M438" s="769"/>
      <c r="N438" s="769"/>
      <c r="O438" s="769"/>
      <c r="P438" s="769"/>
      <c r="Q438" s="769"/>
      <c r="R438" s="769"/>
      <c r="S438" s="769"/>
      <c r="T438" s="769"/>
      <c r="U438" s="769"/>
      <c r="V438" s="769"/>
      <c r="W438" s="769"/>
      <c r="X438" s="769"/>
      <c r="Y438" s="769"/>
      <c r="Z438" s="769"/>
    </row>
    <row r="439" spans="1:26" ht="18.75" customHeight="1" x14ac:dyDescent="0.3">
      <c r="A439" s="769"/>
      <c r="B439" s="769"/>
      <c r="C439" s="769"/>
      <c r="D439" s="771"/>
      <c r="E439" s="769"/>
      <c r="F439" s="769"/>
      <c r="G439" s="769"/>
      <c r="H439" s="769"/>
      <c r="I439" s="769"/>
      <c r="J439" s="769"/>
      <c r="K439" s="772"/>
      <c r="L439" s="769"/>
      <c r="M439" s="769"/>
      <c r="N439" s="769"/>
      <c r="O439" s="769"/>
      <c r="P439" s="769"/>
      <c r="Q439" s="769"/>
      <c r="R439" s="769"/>
      <c r="S439" s="769"/>
      <c r="T439" s="769"/>
      <c r="U439" s="769"/>
      <c r="V439" s="769"/>
      <c r="W439" s="769"/>
      <c r="X439" s="769"/>
      <c r="Y439" s="769"/>
      <c r="Z439" s="769"/>
    </row>
    <row r="440" spans="1:26" ht="18.75" customHeight="1" x14ac:dyDescent="0.3">
      <c r="A440" s="769"/>
      <c r="B440" s="769"/>
      <c r="C440" s="769"/>
      <c r="D440" s="771"/>
      <c r="E440" s="769"/>
      <c r="F440" s="769"/>
      <c r="G440" s="769"/>
      <c r="H440" s="769"/>
      <c r="I440" s="769"/>
      <c r="J440" s="769"/>
      <c r="K440" s="772"/>
      <c r="L440" s="769"/>
      <c r="M440" s="769"/>
      <c r="N440" s="769"/>
      <c r="O440" s="769"/>
      <c r="P440" s="769"/>
      <c r="Q440" s="769"/>
      <c r="R440" s="769"/>
      <c r="S440" s="769"/>
      <c r="T440" s="769"/>
      <c r="U440" s="769"/>
      <c r="V440" s="769"/>
      <c r="W440" s="769"/>
      <c r="X440" s="769"/>
      <c r="Y440" s="769"/>
      <c r="Z440" s="769"/>
    </row>
    <row r="441" spans="1:26" ht="18.75" customHeight="1" x14ac:dyDescent="0.3">
      <c r="A441" s="769"/>
      <c r="B441" s="769"/>
      <c r="C441" s="769"/>
      <c r="D441" s="771"/>
      <c r="E441" s="769"/>
      <c r="F441" s="769"/>
      <c r="G441" s="769"/>
      <c r="H441" s="769"/>
      <c r="I441" s="769"/>
      <c r="J441" s="769"/>
      <c r="K441" s="772"/>
      <c r="L441" s="769"/>
      <c r="M441" s="769"/>
      <c r="N441" s="769"/>
      <c r="O441" s="769"/>
      <c r="P441" s="769"/>
      <c r="Q441" s="769"/>
      <c r="R441" s="769"/>
      <c r="S441" s="769"/>
      <c r="T441" s="769"/>
      <c r="U441" s="769"/>
      <c r="V441" s="769"/>
      <c r="W441" s="769"/>
      <c r="X441" s="769"/>
      <c r="Y441" s="769"/>
      <c r="Z441" s="769"/>
    </row>
    <row r="442" spans="1:26" ht="18.75" customHeight="1" x14ac:dyDescent="0.3">
      <c r="A442" s="769"/>
      <c r="B442" s="769"/>
      <c r="C442" s="769"/>
      <c r="D442" s="771"/>
      <c r="E442" s="769"/>
      <c r="F442" s="769"/>
      <c r="G442" s="769"/>
      <c r="H442" s="769"/>
      <c r="I442" s="769"/>
      <c r="J442" s="769"/>
      <c r="K442" s="772"/>
      <c r="L442" s="769"/>
      <c r="M442" s="769"/>
      <c r="N442" s="769"/>
      <c r="O442" s="769"/>
      <c r="P442" s="769"/>
      <c r="Q442" s="769"/>
      <c r="R442" s="769"/>
      <c r="S442" s="769"/>
      <c r="T442" s="769"/>
      <c r="U442" s="769"/>
      <c r="V442" s="769"/>
      <c r="W442" s="769"/>
      <c r="X442" s="769"/>
      <c r="Y442" s="769"/>
      <c r="Z442" s="769"/>
    </row>
    <row r="443" spans="1:26" ht="18.75" customHeight="1" x14ac:dyDescent="0.3">
      <c r="A443" s="769"/>
      <c r="B443" s="769"/>
      <c r="C443" s="769"/>
      <c r="D443" s="771"/>
      <c r="E443" s="769"/>
      <c r="F443" s="769"/>
      <c r="G443" s="769"/>
      <c r="H443" s="769"/>
      <c r="I443" s="769"/>
      <c r="J443" s="769"/>
      <c r="K443" s="772"/>
      <c r="L443" s="769"/>
      <c r="M443" s="769"/>
      <c r="N443" s="769"/>
      <c r="O443" s="769"/>
      <c r="P443" s="769"/>
      <c r="Q443" s="769"/>
      <c r="R443" s="769"/>
      <c r="S443" s="769"/>
      <c r="T443" s="769"/>
      <c r="U443" s="769"/>
      <c r="V443" s="769"/>
      <c r="W443" s="769"/>
      <c r="X443" s="769"/>
      <c r="Y443" s="769"/>
      <c r="Z443" s="769"/>
    </row>
    <row r="444" spans="1:26" ht="18.75" customHeight="1" x14ac:dyDescent="0.3">
      <c r="A444" s="769"/>
      <c r="B444" s="769"/>
      <c r="C444" s="769"/>
      <c r="D444" s="771"/>
      <c r="E444" s="769"/>
      <c r="F444" s="769"/>
      <c r="G444" s="769"/>
      <c r="H444" s="769"/>
      <c r="I444" s="769"/>
      <c r="J444" s="769"/>
      <c r="K444" s="772"/>
      <c r="L444" s="769"/>
      <c r="M444" s="769"/>
      <c r="N444" s="769"/>
      <c r="O444" s="769"/>
      <c r="P444" s="769"/>
      <c r="Q444" s="769"/>
      <c r="R444" s="769"/>
      <c r="S444" s="769"/>
      <c r="T444" s="769"/>
      <c r="U444" s="769"/>
      <c r="V444" s="769"/>
      <c r="W444" s="769"/>
      <c r="X444" s="769"/>
      <c r="Y444" s="769"/>
      <c r="Z444" s="769"/>
    </row>
    <row r="445" spans="1:26" ht="18.75" customHeight="1" x14ac:dyDescent="0.3">
      <c r="A445" s="769"/>
      <c r="B445" s="769"/>
      <c r="C445" s="769"/>
      <c r="D445" s="771"/>
      <c r="E445" s="769"/>
      <c r="F445" s="769"/>
      <c r="G445" s="769"/>
      <c r="H445" s="769"/>
      <c r="I445" s="769"/>
      <c r="J445" s="769"/>
      <c r="K445" s="772"/>
      <c r="L445" s="769"/>
      <c r="M445" s="769"/>
      <c r="N445" s="769"/>
      <c r="O445" s="769"/>
      <c r="P445" s="769"/>
      <c r="Q445" s="769"/>
      <c r="R445" s="769"/>
      <c r="S445" s="769"/>
      <c r="T445" s="769"/>
      <c r="U445" s="769"/>
      <c r="V445" s="769"/>
      <c r="W445" s="769"/>
      <c r="X445" s="769"/>
      <c r="Y445" s="769"/>
      <c r="Z445" s="769"/>
    </row>
    <row r="446" spans="1:26" ht="18.75" customHeight="1" x14ac:dyDescent="0.3">
      <c r="A446" s="769"/>
      <c r="B446" s="769"/>
      <c r="C446" s="769"/>
      <c r="D446" s="771"/>
      <c r="E446" s="769"/>
      <c r="F446" s="769"/>
      <c r="G446" s="769"/>
      <c r="H446" s="769"/>
      <c r="I446" s="769"/>
      <c r="J446" s="769"/>
      <c r="K446" s="772"/>
      <c r="L446" s="769"/>
      <c r="M446" s="769"/>
      <c r="N446" s="769"/>
      <c r="O446" s="769"/>
      <c r="P446" s="769"/>
      <c r="Q446" s="769"/>
      <c r="R446" s="769"/>
      <c r="S446" s="769"/>
      <c r="T446" s="769"/>
      <c r="U446" s="769"/>
      <c r="V446" s="769"/>
      <c r="W446" s="769"/>
      <c r="X446" s="769"/>
      <c r="Y446" s="769"/>
      <c r="Z446" s="769"/>
    </row>
    <row r="447" spans="1:26" ht="18.75" customHeight="1" x14ac:dyDescent="0.3">
      <c r="A447" s="769"/>
      <c r="B447" s="769"/>
      <c r="C447" s="769"/>
      <c r="D447" s="771"/>
      <c r="E447" s="769"/>
      <c r="F447" s="769"/>
      <c r="G447" s="769"/>
      <c r="H447" s="769"/>
      <c r="I447" s="769"/>
      <c r="J447" s="769"/>
      <c r="K447" s="772"/>
      <c r="L447" s="769"/>
      <c r="M447" s="769"/>
      <c r="N447" s="769"/>
      <c r="O447" s="769"/>
      <c r="P447" s="769"/>
      <c r="Q447" s="769"/>
      <c r="R447" s="769"/>
      <c r="S447" s="769"/>
      <c r="T447" s="769"/>
      <c r="U447" s="769"/>
      <c r="V447" s="769"/>
      <c r="W447" s="769"/>
      <c r="X447" s="769"/>
      <c r="Y447" s="769"/>
      <c r="Z447" s="769"/>
    </row>
    <row r="448" spans="1:26" ht="18.75" customHeight="1" x14ac:dyDescent="0.3">
      <c r="A448" s="769"/>
      <c r="B448" s="769"/>
      <c r="C448" s="769"/>
      <c r="D448" s="771"/>
      <c r="E448" s="769"/>
      <c r="F448" s="769"/>
      <c r="G448" s="769"/>
      <c r="H448" s="769"/>
      <c r="I448" s="769"/>
      <c r="J448" s="769"/>
      <c r="K448" s="772"/>
      <c r="L448" s="769"/>
      <c r="M448" s="769"/>
      <c r="N448" s="769"/>
      <c r="O448" s="769"/>
      <c r="P448" s="769"/>
      <c r="Q448" s="769"/>
      <c r="R448" s="769"/>
      <c r="S448" s="769"/>
      <c r="T448" s="769"/>
      <c r="U448" s="769"/>
      <c r="V448" s="769"/>
      <c r="W448" s="769"/>
      <c r="X448" s="769"/>
      <c r="Y448" s="769"/>
      <c r="Z448" s="769"/>
    </row>
    <row r="449" spans="1:26" ht="18.75" customHeight="1" x14ac:dyDescent="0.3">
      <c r="A449" s="769"/>
      <c r="B449" s="769"/>
      <c r="C449" s="769"/>
      <c r="D449" s="771"/>
      <c r="E449" s="769"/>
      <c r="F449" s="769"/>
      <c r="G449" s="769"/>
      <c r="H449" s="769"/>
      <c r="I449" s="769"/>
      <c r="J449" s="769"/>
      <c r="K449" s="772"/>
      <c r="L449" s="769"/>
      <c r="M449" s="769"/>
      <c r="N449" s="769"/>
      <c r="O449" s="769"/>
      <c r="P449" s="769"/>
      <c r="Q449" s="769"/>
      <c r="R449" s="769"/>
      <c r="S449" s="769"/>
      <c r="T449" s="769"/>
      <c r="U449" s="769"/>
      <c r="V449" s="769"/>
      <c r="W449" s="769"/>
      <c r="X449" s="769"/>
      <c r="Y449" s="769"/>
      <c r="Z449" s="769"/>
    </row>
    <row r="450" spans="1:26" ht="18.75" customHeight="1" x14ac:dyDescent="0.3">
      <c r="A450" s="769"/>
      <c r="B450" s="769"/>
      <c r="C450" s="769"/>
      <c r="D450" s="771"/>
      <c r="E450" s="769"/>
      <c r="F450" s="769"/>
      <c r="G450" s="769"/>
      <c r="H450" s="769"/>
      <c r="I450" s="769"/>
      <c r="J450" s="769"/>
      <c r="K450" s="772"/>
      <c r="L450" s="769"/>
      <c r="M450" s="769"/>
      <c r="N450" s="769"/>
      <c r="O450" s="769"/>
      <c r="P450" s="769"/>
      <c r="Q450" s="769"/>
      <c r="R450" s="769"/>
      <c r="S450" s="769"/>
      <c r="T450" s="769"/>
      <c r="U450" s="769"/>
      <c r="V450" s="769"/>
      <c r="W450" s="769"/>
      <c r="X450" s="769"/>
      <c r="Y450" s="769"/>
      <c r="Z450" s="769"/>
    </row>
    <row r="451" spans="1:26" ht="18.75" customHeight="1" x14ac:dyDescent="0.3">
      <c r="A451" s="769"/>
      <c r="B451" s="769"/>
      <c r="C451" s="769"/>
      <c r="D451" s="771"/>
      <c r="E451" s="769"/>
      <c r="F451" s="769"/>
      <c r="G451" s="769"/>
      <c r="H451" s="769"/>
      <c r="I451" s="769"/>
      <c r="J451" s="769"/>
      <c r="K451" s="772"/>
      <c r="L451" s="769"/>
      <c r="M451" s="769"/>
      <c r="N451" s="769"/>
      <c r="O451" s="769"/>
      <c r="P451" s="769"/>
      <c r="Q451" s="769"/>
      <c r="R451" s="769"/>
      <c r="S451" s="769"/>
      <c r="T451" s="769"/>
      <c r="U451" s="769"/>
      <c r="V451" s="769"/>
      <c r="W451" s="769"/>
      <c r="X451" s="769"/>
      <c r="Y451" s="769"/>
      <c r="Z451" s="769"/>
    </row>
    <row r="452" spans="1:26" ht="18.75" customHeight="1" x14ac:dyDescent="0.3">
      <c r="A452" s="769"/>
      <c r="B452" s="769"/>
      <c r="C452" s="769"/>
      <c r="D452" s="771"/>
      <c r="E452" s="769"/>
      <c r="F452" s="769"/>
      <c r="G452" s="769"/>
      <c r="H452" s="769"/>
      <c r="I452" s="769"/>
      <c r="J452" s="769"/>
      <c r="K452" s="772"/>
      <c r="L452" s="769"/>
      <c r="M452" s="769"/>
      <c r="N452" s="769"/>
      <c r="O452" s="769"/>
      <c r="P452" s="769"/>
      <c r="Q452" s="769"/>
      <c r="R452" s="769"/>
      <c r="S452" s="769"/>
      <c r="T452" s="769"/>
      <c r="U452" s="769"/>
      <c r="V452" s="769"/>
      <c r="W452" s="769"/>
      <c r="X452" s="769"/>
      <c r="Y452" s="769"/>
      <c r="Z452" s="769"/>
    </row>
    <row r="453" spans="1:26" ht="18.75" customHeight="1" x14ac:dyDescent="0.3">
      <c r="A453" s="769"/>
      <c r="B453" s="769"/>
      <c r="C453" s="769"/>
      <c r="D453" s="771"/>
      <c r="E453" s="769"/>
      <c r="F453" s="769"/>
      <c r="G453" s="769"/>
      <c r="H453" s="769"/>
      <c r="I453" s="769"/>
      <c r="J453" s="769"/>
      <c r="K453" s="772"/>
      <c r="L453" s="769"/>
      <c r="M453" s="769"/>
      <c r="N453" s="769"/>
      <c r="O453" s="769"/>
      <c r="P453" s="769"/>
      <c r="Q453" s="769"/>
      <c r="R453" s="769"/>
      <c r="S453" s="769"/>
      <c r="T453" s="769"/>
      <c r="U453" s="769"/>
      <c r="V453" s="769"/>
      <c r="W453" s="769"/>
      <c r="X453" s="769"/>
      <c r="Y453" s="769"/>
      <c r="Z453" s="769"/>
    </row>
    <row r="454" spans="1:26" ht="18.75" customHeight="1" x14ac:dyDescent="0.3">
      <c r="A454" s="769"/>
      <c r="B454" s="769"/>
      <c r="C454" s="769"/>
      <c r="D454" s="771"/>
      <c r="E454" s="769"/>
      <c r="F454" s="769"/>
      <c r="G454" s="769"/>
      <c r="H454" s="769"/>
      <c r="I454" s="769"/>
      <c r="J454" s="769"/>
      <c r="K454" s="772"/>
      <c r="L454" s="769"/>
      <c r="M454" s="769"/>
      <c r="N454" s="769"/>
      <c r="O454" s="769"/>
      <c r="P454" s="769"/>
      <c r="Q454" s="769"/>
      <c r="R454" s="769"/>
      <c r="S454" s="769"/>
      <c r="T454" s="769"/>
      <c r="U454" s="769"/>
      <c r="V454" s="769"/>
      <c r="W454" s="769"/>
      <c r="X454" s="769"/>
      <c r="Y454" s="769"/>
      <c r="Z454" s="769"/>
    </row>
    <row r="455" spans="1:26" ht="18.75" customHeight="1" x14ac:dyDescent="0.3">
      <c r="A455" s="769"/>
      <c r="B455" s="769"/>
      <c r="C455" s="769"/>
      <c r="D455" s="771"/>
      <c r="E455" s="769"/>
      <c r="F455" s="769"/>
      <c r="G455" s="769"/>
      <c r="H455" s="769"/>
      <c r="I455" s="769"/>
      <c r="J455" s="769"/>
      <c r="K455" s="772"/>
      <c r="L455" s="769"/>
      <c r="M455" s="769"/>
      <c r="N455" s="769"/>
      <c r="O455" s="769"/>
      <c r="P455" s="769"/>
      <c r="Q455" s="769"/>
      <c r="R455" s="769"/>
      <c r="S455" s="769"/>
      <c r="T455" s="769"/>
      <c r="U455" s="769"/>
      <c r="V455" s="769"/>
      <c r="W455" s="769"/>
      <c r="X455" s="769"/>
      <c r="Y455" s="769"/>
      <c r="Z455" s="769"/>
    </row>
    <row r="456" spans="1:26" ht="18.75" customHeight="1" x14ac:dyDescent="0.3">
      <c r="A456" s="769"/>
      <c r="B456" s="769"/>
      <c r="C456" s="769"/>
      <c r="D456" s="771"/>
      <c r="E456" s="769"/>
      <c r="F456" s="769"/>
      <c r="G456" s="769"/>
      <c r="H456" s="769"/>
      <c r="I456" s="769"/>
      <c r="J456" s="769"/>
      <c r="K456" s="772"/>
      <c r="L456" s="769"/>
      <c r="M456" s="769"/>
      <c r="N456" s="769"/>
      <c r="O456" s="769"/>
      <c r="P456" s="769"/>
      <c r="Q456" s="769"/>
      <c r="R456" s="769"/>
      <c r="S456" s="769"/>
      <c r="T456" s="769"/>
      <c r="U456" s="769"/>
      <c r="V456" s="769"/>
      <c r="W456" s="769"/>
      <c r="X456" s="769"/>
      <c r="Y456" s="769"/>
      <c r="Z456" s="769"/>
    </row>
    <row r="457" spans="1:26" ht="18.75" customHeight="1" x14ac:dyDescent="0.3">
      <c r="A457" s="769"/>
      <c r="B457" s="769"/>
      <c r="C457" s="769"/>
      <c r="D457" s="771"/>
      <c r="E457" s="769"/>
      <c r="F457" s="769"/>
      <c r="G457" s="769"/>
      <c r="H457" s="769"/>
      <c r="I457" s="769"/>
      <c r="J457" s="769"/>
      <c r="K457" s="772"/>
      <c r="L457" s="769"/>
      <c r="M457" s="769"/>
      <c r="N457" s="769"/>
      <c r="O457" s="769"/>
      <c r="P457" s="769"/>
      <c r="Q457" s="769"/>
      <c r="R457" s="769"/>
      <c r="S457" s="769"/>
      <c r="T457" s="769"/>
      <c r="U457" s="769"/>
      <c r="V457" s="769"/>
      <c r="W457" s="769"/>
      <c r="X457" s="769"/>
      <c r="Y457" s="769"/>
      <c r="Z457" s="769"/>
    </row>
    <row r="458" spans="1:26" ht="18.75" customHeight="1" x14ac:dyDescent="0.3">
      <c r="A458" s="769"/>
      <c r="B458" s="769"/>
      <c r="C458" s="769"/>
      <c r="D458" s="771"/>
      <c r="E458" s="769"/>
      <c r="F458" s="769"/>
      <c r="G458" s="769"/>
      <c r="H458" s="769"/>
      <c r="I458" s="769"/>
      <c r="J458" s="769"/>
      <c r="K458" s="772"/>
      <c r="L458" s="769"/>
      <c r="M458" s="769"/>
      <c r="N458" s="769"/>
      <c r="O458" s="769"/>
      <c r="P458" s="769"/>
      <c r="Q458" s="769"/>
      <c r="R458" s="769"/>
      <c r="S458" s="769"/>
      <c r="T458" s="769"/>
      <c r="U458" s="769"/>
      <c r="V458" s="769"/>
      <c r="W458" s="769"/>
      <c r="X458" s="769"/>
      <c r="Y458" s="769"/>
      <c r="Z458" s="769"/>
    </row>
    <row r="459" spans="1:26" ht="18.75" customHeight="1" x14ac:dyDescent="0.3">
      <c r="A459" s="769"/>
      <c r="B459" s="769"/>
      <c r="C459" s="769"/>
      <c r="D459" s="771"/>
      <c r="E459" s="769"/>
      <c r="F459" s="769"/>
      <c r="G459" s="769"/>
      <c r="H459" s="769"/>
      <c r="I459" s="769"/>
      <c r="J459" s="769"/>
      <c r="K459" s="772"/>
      <c r="L459" s="769"/>
      <c r="M459" s="769"/>
      <c r="N459" s="769"/>
      <c r="O459" s="769"/>
      <c r="P459" s="769"/>
      <c r="Q459" s="769"/>
      <c r="R459" s="769"/>
      <c r="S459" s="769"/>
      <c r="T459" s="769"/>
      <c r="U459" s="769"/>
      <c r="V459" s="769"/>
      <c r="W459" s="769"/>
      <c r="X459" s="769"/>
      <c r="Y459" s="769"/>
      <c r="Z459" s="769"/>
    </row>
    <row r="460" spans="1:26" ht="18.75" customHeight="1" x14ac:dyDescent="0.3">
      <c r="A460" s="769"/>
      <c r="B460" s="769"/>
      <c r="C460" s="769"/>
      <c r="D460" s="771"/>
      <c r="E460" s="769"/>
      <c r="F460" s="769"/>
      <c r="G460" s="769"/>
      <c r="H460" s="769"/>
      <c r="I460" s="769"/>
      <c r="J460" s="769"/>
      <c r="K460" s="772"/>
      <c r="L460" s="769"/>
      <c r="M460" s="769"/>
      <c r="N460" s="769"/>
      <c r="O460" s="769"/>
      <c r="P460" s="769"/>
      <c r="Q460" s="769"/>
      <c r="R460" s="769"/>
      <c r="S460" s="769"/>
      <c r="T460" s="769"/>
      <c r="U460" s="769"/>
      <c r="V460" s="769"/>
      <c r="W460" s="769"/>
      <c r="X460" s="769"/>
      <c r="Y460" s="769"/>
      <c r="Z460" s="769"/>
    </row>
    <row r="461" spans="1:26" ht="18.75" customHeight="1" x14ac:dyDescent="0.3">
      <c r="A461" s="769"/>
      <c r="B461" s="769"/>
      <c r="C461" s="769"/>
      <c r="D461" s="771"/>
      <c r="E461" s="769"/>
      <c r="F461" s="769"/>
      <c r="G461" s="769"/>
      <c r="H461" s="769"/>
      <c r="I461" s="769"/>
      <c r="J461" s="769"/>
      <c r="K461" s="772"/>
      <c r="L461" s="769"/>
      <c r="M461" s="769"/>
      <c r="N461" s="769"/>
      <c r="O461" s="769"/>
      <c r="P461" s="769"/>
      <c r="Q461" s="769"/>
      <c r="R461" s="769"/>
      <c r="S461" s="769"/>
      <c r="T461" s="769"/>
      <c r="U461" s="769"/>
      <c r="V461" s="769"/>
      <c r="W461" s="769"/>
      <c r="X461" s="769"/>
      <c r="Y461" s="769"/>
      <c r="Z461" s="769"/>
    </row>
    <row r="462" spans="1:26" ht="18.75" customHeight="1" x14ac:dyDescent="0.3">
      <c r="A462" s="769"/>
      <c r="B462" s="769"/>
      <c r="C462" s="769"/>
      <c r="D462" s="771"/>
      <c r="E462" s="769"/>
      <c r="F462" s="769"/>
      <c r="G462" s="769"/>
      <c r="H462" s="769"/>
      <c r="I462" s="769"/>
      <c r="J462" s="769"/>
      <c r="K462" s="772"/>
      <c r="L462" s="769"/>
      <c r="M462" s="769"/>
      <c r="N462" s="769"/>
      <c r="O462" s="769"/>
      <c r="P462" s="769"/>
      <c r="Q462" s="769"/>
      <c r="R462" s="769"/>
      <c r="S462" s="769"/>
      <c r="T462" s="769"/>
      <c r="U462" s="769"/>
      <c r="V462" s="769"/>
      <c r="W462" s="769"/>
      <c r="X462" s="769"/>
      <c r="Y462" s="769"/>
      <c r="Z462" s="769"/>
    </row>
    <row r="463" spans="1:26" ht="18.75" customHeight="1" x14ac:dyDescent="0.3">
      <c r="A463" s="769"/>
      <c r="B463" s="769"/>
      <c r="C463" s="769"/>
      <c r="D463" s="771"/>
      <c r="E463" s="769"/>
      <c r="F463" s="769"/>
      <c r="G463" s="769"/>
      <c r="H463" s="769"/>
      <c r="I463" s="769"/>
      <c r="J463" s="769"/>
      <c r="K463" s="772"/>
      <c r="L463" s="769"/>
      <c r="M463" s="769"/>
      <c r="N463" s="769"/>
      <c r="O463" s="769"/>
      <c r="P463" s="769"/>
      <c r="Q463" s="769"/>
      <c r="R463" s="769"/>
      <c r="S463" s="769"/>
      <c r="T463" s="769"/>
      <c r="U463" s="769"/>
      <c r="V463" s="769"/>
      <c r="W463" s="769"/>
      <c r="X463" s="769"/>
      <c r="Y463" s="769"/>
      <c r="Z463" s="769"/>
    </row>
    <row r="464" spans="1:26" ht="18.75" customHeight="1" x14ac:dyDescent="0.3">
      <c r="A464" s="769"/>
      <c r="B464" s="769"/>
      <c r="C464" s="769"/>
      <c r="D464" s="771"/>
      <c r="E464" s="769"/>
      <c r="F464" s="769"/>
      <c r="G464" s="769"/>
      <c r="H464" s="769"/>
      <c r="I464" s="769"/>
      <c r="J464" s="769"/>
      <c r="K464" s="772"/>
      <c r="L464" s="769"/>
      <c r="M464" s="769"/>
      <c r="N464" s="769"/>
      <c r="O464" s="769"/>
      <c r="P464" s="769"/>
      <c r="Q464" s="769"/>
      <c r="R464" s="769"/>
      <c r="S464" s="769"/>
      <c r="T464" s="769"/>
      <c r="U464" s="769"/>
      <c r="V464" s="769"/>
      <c r="W464" s="769"/>
      <c r="X464" s="769"/>
      <c r="Y464" s="769"/>
      <c r="Z464" s="769"/>
    </row>
    <row r="465" spans="1:26" ht="18.75" customHeight="1" x14ac:dyDescent="0.3">
      <c r="A465" s="769"/>
      <c r="B465" s="769"/>
      <c r="C465" s="769"/>
      <c r="D465" s="771"/>
      <c r="E465" s="769"/>
      <c r="F465" s="769"/>
      <c r="G465" s="769"/>
      <c r="H465" s="769"/>
      <c r="I465" s="769"/>
      <c r="J465" s="769"/>
      <c r="K465" s="772"/>
      <c r="L465" s="769"/>
      <c r="M465" s="769"/>
      <c r="N465" s="769"/>
      <c r="O465" s="769"/>
      <c r="P465" s="769"/>
      <c r="Q465" s="769"/>
      <c r="R465" s="769"/>
      <c r="S465" s="769"/>
      <c r="T465" s="769"/>
      <c r="U465" s="769"/>
      <c r="V465" s="769"/>
      <c r="W465" s="769"/>
      <c r="X465" s="769"/>
      <c r="Y465" s="769"/>
      <c r="Z465" s="769"/>
    </row>
    <row r="466" spans="1:26" ht="18.75" customHeight="1" x14ac:dyDescent="0.3">
      <c r="A466" s="769"/>
      <c r="B466" s="769"/>
      <c r="C466" s="769"/>
      <c r="D466" s="771"/>
      <c r="E466" s="769"/>
      <c r="F466" s="769"/>
      <c r="G466" s="769"/>
      <c r="H466" s="769"/>
      <c r="I466" s="769"/>
      <c r="J466" s="769"/>
      <c r="K466" s="772"/>
      <c r="L466" s="769"/>
      <c r="M466" s="769"/>
      <c r="N466" s="769"/>
      <c r="O466" s="769"/>
      <c r="P466" s="769"/>
      <c r="Q466" s="769"/>
      <c r="R466" s="769"/>
      <c r="S466" s="769"/>
      <c r="T466" s="769"/>
      <c r="U466" s="769"/>
      <c r="V466" s="769"/>
      <c r="W466" s="769"/>
      <c r="X466" s="769"/>
      <c r="Y466" s="769"/>
      <c r="Z466" s="769"/>
    </row>
    <row r="467" spans="1:26" ht="18.75" customHeight="1" x14ac:dyDescent="0.3">
      <c r="A467" s="769"/>
      <c r="B467" s="769"/>
      <c r="C467" s="769"/>
      <c r="D467" s="771"/>
      <c r="E467" s="769"/>
      <c r="F467" s="769"/>
      <c r="G467" s="769"/>
      <c r="H467" s="769"/>
      <c r="I467" s="769"/>
      <c r="J467" s="769"/>
      <c r="K467" s="772"/>
      <c r="L467" s="769"/>
      <c r="M467" s="769"/>
      <c r="N467" s="769"/>
      <c r="O467" s="769"/>
      <c r="P467" s="769"/>
      <c r="Q467" s="769"/>
      <c r="R467" s="769"/>
      <c r="S467" s="769"/>
      <c r="T467" s="769"/>
      <c r="U467" s="769"/>
      <c r="V467" s="769"/>
      <c r="W467" s="769"/>
      <c r="X467" s="769"/>
      <c r="Y467" s="769"/>
      <c r="Z467" s="769"/>
    </row>
    <row r="468" spans="1:26" ht="18.75" customHeight="1" x14ac:dyDescent="0.3">
      <c r="A468" s="769"/>
      <c r="B468" s="769"/>
      <c r="C468" s="769"/>
      <c r="D468" s="771"/>
      <c r="E468" s="769"/>
      <c r="F468" s="769"/>
      <c r="G468" s="769"/>
      <c r="H468" s="769"/>
      <c r="I468" s="769"/>
      <c r="J468" s="769"/>
      <c r="K468" s="772"/>
      <c r="L468" s="769"/>
      <c r="M468" s="769"/>
      <c r="N468" s="769"/>
      <c r="O468" s="769"/>
      <c r="P468" s="769"/>
      <c r="Q468" s="769"/>
      <c r="R468" s="769"/>
      <c r="S468" s="769"/>
      <c r="T468" s="769"/>
      <c r="U468" s="769"/>
      <c r="V468" s="769"/>
      <c r="W468" s="769"/>
      <c r="X468" s="769"/>
      <c r="Y468" s="769"/>
      <c r="Z468" s="769"/>
    </row>
    <row r="469" spans="1:26" ht="18.75" customHeight="1" x14ac:dyDescent="0.3">
      <c r="A469" s="769"/>
      <c r="B469" s="769"/>
      <c r="C469" s="769"/>
      <c r="D469" s="771"/>
      <c r="E469" s="769"/>
      <c r="F469" s="769"/>
      <c r="G469" s="769"/>
      <c r="H469" s="769"/>
      <c r="I469" s="769"/>
      <c r="J469" s="769"/>
      <c r="K469" s="772"/>
      <c r="L469" s="769"/>
      <c r="M469" s="769"/>
      <c r="N469" s="769"/>
      <c r="O469" s="769"/>
      <c r="P469" s="769"/>
      <c r="Q469" s="769"/>
      <c r="R469" s="769"/>
      <c r="S469" s="769"/>
      <c r="T469" s="769"/>
      <c r="U469" s="769"/>
      <c r="V469" s="769"/>
      <c r="W469" s="769"/>
      <c r="X469" s="769"/>
      <c r="Y469" s="769"/>
      <c r="Z469" s="769"/>
    </row>
    <row r="470" spans="1:26" ht="18.75" customHeight="1" x14ac:dyDescent="0.3">
      <c r="A470" s="769"/>
      <c r="B470" s="769"/>
      <c r="C470" s="769"/>
      <c r="D470" s="771"/>
      <c r="E470" s="769"/>
      <c r="F470" s="769"/>
      <c r="G470" s="769"/>
      <c r="H470" s="769"/>
      <c r="I470" s="769"/>
      <c r="J470" s="769"/>
      <c r="K470" s="772"/>
      <c r="L470" s="769"/>
      <c r="M470" s="769"/>
      <c r="N470" s="769"/>
      <c r="O470" s="769"/>
      <c r="P470" s="769"/>
      <c r="Q470" s="769"/>
      <c r="R470" s="769"/>
      <c r="S470" s="769"/>
      <c r="T470" s="769"/>
      <c r="U470" s="769"/>
      <c r="V470" s="769"/>
      <c r="W470" s="769"/>
      <c r="X470" s="769"/>
      <c r="Y470" s="769"/>
      <c r="Z470" s="769"/>
    </row>
    <row r="471" spans="1:26" ht="18.75" customHeight="1" x14ac:dyDescent="0.3">
      <c r="A471" s="769"/>
      <c r="B471" s="769"/>
      <c r="C471" s="769"/>
      <c r="D471" s="771"/>
      <c r="E471" s="769"/>
      <c r="F471" s="769"/>
      <c r="G471" s="769"/>
      <c r="H471" s="769"/>
      <c r="I471" s="769"/>
      <c r="J471" s="769"/>
      <c r="K471" s="772"/>
      <c r="L471" s="769"/>
      <c r="M471" s="769"/>
      <c r="N471" s="769"/>
      <c r="O471" s="769"/>
      <c r="P471" s="769"/>
      <c r="Q471" s="769"/>
      <c r="R471" s="769"/>
      <c r="S471" s="769"/>
      <c r="T471" s="769"/>
      <c r="U471" s="769"/>
      <c r="V471" s="769"/>
      <c r="W471" s="769"/>
      <c r="X471" s="769"/>
      <c r="Y471" s="769"/>
      <c r="Z471" s="769"/>
    </row>
    <row r="472" spans="1:26" ht="18.75" customHeight="1" x14ac:dyDescent="0.3">
      <c r="A472" s="769"/>
      <c r="B472" s="769"/>
      <c r="C472" s="769"/>
      <c r="D472" s="771"/>
      <c r="E472" s="769"/>
      <c r="F472" s="769"/>
      <c r="G472" s="769"/>
      <c r="H472" s="769"/>
      <c r="I472" s="769"/>
      <c r="J472" s="769"/>
      <c r="K472" s="772"/>
      <c r="L472" s="769"/>
      <c r="M472" s="769"/>
      <c r="N472" s="769"/>
      <c r="O472" s="769"/>
      <c r="P472" s="769"/>
      <c r="Q472" s="769"/>
      <c r="R472" s="769"/>
      <c r="S472" s="769"/>
      <c r="T472" s="769"/>
      <c r="U472" s="769"/>
      <c r="V472" s="769"/>
      <c r="W472" s="769"/>
      <c r="X472" s="769"/>
      <c r="Y472" s="769"/>
      <c r="Z472" s="769"/>
    </row>
    <row r="473" spans="1:26" ht="18.75" customHeight="1" x14ac:dyDescent="0.3">
      <c r="A473" s="769"/>
      <c r="B473" s="769"/>
      <c r="C473" s="769"/>
      <c r="D473" s="771"/>
      <c r="E473" s="769"/>
      <c r="F473" s="769"/>
      <c r="G473" s="769"/>
      <c r="H473" s="769"/>
      <c r="I473" s="769"/>
      <c r="J473" s="769"/>
      <c r="K473" s="772"/>
      <c r="L473" s="769"/>
      <c r="M473" s="769"/>
      <c r="N473" s="769"/>
      <c r="O473" s="769"/>
      <c r="P473" s="769"/>
      <c r="Q473" s="769"/>
      <c r="R473" s="769"/>
      <c r="S473" s="769"/>
      <c r="T473" s="769"/>
      <c r="U473" s="769"/>
      <c r="V473" s="769"/>
      <c r="W473" s="769"/>
      <c r="X473" s="769"/>
      <c r="Y473" s="769"/>
      <c r="Z473" s="769"/>
    </row>
    <row r="474" spans="1:26" ht="18.75" customHeight="1" x14ac:dyDescent="0.3">
      <c r="A474" s="769"/>
      <c r="B474" s="769"/>
      <c r="C474" s="769"/>
      <c r="D474" s="771"/>
      <c r="E474" s="769"/>
      <c r="F474" s="769"/>
      <c r="G474" s="769"/>
      <c r="H474" s="769"/>
      <c r="I474" s="769"/>
      <c r="J474" s="769"/>
      <c r="K474" s="772"/>
      <c r="L474" s="769"/>
      <c r="M474" s="769"/>
      <c r="N474" s="769"/>
      <c r="O474" s="769"/>
      <c r="P474" s="769"/>
      <c r="Q474" s="769"/>
      <c r="R474" s="769"/>
      <c r="S474" s="769"/>
      <c r="T474" s="769"/>
      <c r="U474" s="769"/>
      <c r="V474" s="769"/>
      <c r="W474" s="769"/>
      <c r="X474" s="769"/>
      <c r="Y474" s="769"/>
      <c r="Z474" s="769"/>
    </row>
    <row r="475" spans="1:26" ht="18.75" customHeight="1" x14ac:dyDescent="0.3">
      <c r="A475" s="769"/>
      <c r="B475" s="769"/>
      <c r="C475" s="769"/>
      <c r="D475" s="771"/>
      <c r="E475" s="769"/>
      <c r="F475" s="769"/>
      <c r="G475" s="769"/>
      <c r="H475" s="769"/>
      <c r="I475" s="769"/>
      <c r="J475" s="769"/>
      <c r="K475" s="772"/>
      <c r="L475" s="769"/>
      <c r="M475" s="769"/>
      <c r="N475" s="769"/>
      <c r="O475" s="769"/>
      <c r="P475" s="769"/>
      <c r="Q475" s="769"/>
      <c r="R475" s="769"/>
      <c r="S475" s="769"/>
      <c r="T475" s="769"/>
      <c r="U475" s="769"/>
      <c r="V475" s="769"/>
      <c r="W475" s="769"/>
      <c r="X475" s="769"/>
      <c r="Y475" s="769"/>
      <c r="Z475" s="769"/>
    </row>
    <row r="476" spans="1:26" ht="18.75" customHeight="1" x14ac:dyDescent="0.3">
      <c r="A476" s="769"/>
      <c r="B476" s="769"/>
      <c r="C476" s="769"/>
      <c r="D476" s="771"/>
      <c r="E476" s="769"/>
      <c r="F476" s="769"/>
      <c r="G476" s="769"/>
      <c r="H476" s="769"/>
      <c r="I476" s="769"/>
      <c r="J476" s="769"/>
      <c r="K476" s="772"/>
      <c r="L476" s="769"/>
      <c r="M476" s="769"/>
      <c r="N476" s="769"/>
      <c r="O476" s="769"/>
      <c r="P476" s="769"/>
      <c r="Q476" s="769"/>
      <c r="R476" s="769"/>
      <c r="S476" s="769"/>
      <c r="T476" s="769"/>
      <c r="U476" s="769"/>
      <c r="V476" s="769"/>
      <c r="W476" s="769"/>
      <c r="X476" s="769"/>
      <c r="Y476" s="769"/>
      <c r="Z476" s="769"/>
    </row>
    <row r="477" spans="1:26" ht="18.75" customHeight="1" x14ac:dyDescent="0.3">
      <c r="A477" s="769"/>
      <c r="B477" s="769"/>
      <c r="C477" s="769"/>
      <c r="D477" s="771"/>
      <c r="E477" s="769"/>
      <c r="F477" s="769"/>
      <c r="G477" s="769"/>
      <c r="H477" s="769"/>
      <c r="I477" s="769"/>
      <c r="J477" s="769"/>
      <c r="K477" s="772"/>
      <c r="L477" s="769"/>
      <c r="M477" s="769"/>
      <c r="N477" s="769"/>
      <c r="O477" s="769"/>
      <c r="P477" s="769"/>
      <c r="Q477" s="769"/>
      <c r="R477" s="769"/>
      <c r="S477" s="769"/>
      <c r="T477" s="769"/>
      <c r="U477" s="769"/>
      <c r="V477" s="769"/>
      <c r="W477" s="769"/>
      <c r="X477" s="769"/>
      <c r="Y477" s="769"/>
      <c r="Z477" s="769"/>
    </row>
    <row r="478" spans="1:26" ht="18.75" customHeight="1" x14ac:dyDescent="0.3">
      <c r="A478" s="769"/>
      <c r="B478" s="769"/>
      <c r="C478" s="769"/>
      <c r="D478" s="771"/>
      <c r="E478" s="769"/>
      <c r="F478" s="769"/>
      <c r="G478" s="769"/>
      <c r="H478" s="769"/>
      <c r="I478" s="769"/>
      <c r="J478" s="769"/>
      <c r="K478" s="772"/>
      <c r="L478" s="769"/>
      <c r="M478" s="769"/>
      <c r="N478" s="769"/>
      <c r="O478" s="769"/>
      <c r="P478" s="769"/>
      <c r="Q478" s="769"/>
      <c r="R478" s="769"/>
      <c r="S478" s="769"/>
      <c r="T478" s="769"/>
      <c r="U478" s="769"/>
      <c r="V478" s="769"/>
      <c r="W478" s="769"/>
      <c r="X478" s="769"/>
      <c r="Y478" s="769"/>
      <c r="Z478" s="769"/>
    </row>
    <row r="479" spans="1:26" ht="18.75" customHeight="1" x14ac:dyDescent="0.3">
      <c r="A479" s="769"/>
      <c r="B479" s="769"/>
      <c r="C479" s="769"/>
      <c r="D479" s="771"/>
      <c r="E479" s="769"/>
      <c r="F479" s="769"/>
      <c r="G479" s="769"/>
      <c r="H479" s="769"/>
      <c r="I479" s="769"/>
      <c r="J479" s="769"/>
      <c r="K479" s="772"/>
      <c r="L479" s="769"/>
      <c r="M479" s="769"/>
      <c r="N479" s="769"/>
      <c r="O479" s="769"/>
      <c r="P479" s="769"/>
      <c r="Q479" s="769"/>
      <c r="R479" s="769"/>
      <c r="S479" s="769"/>
      <c r="T479" s="769"/>
      <c r="U479" s="769"/>
      <c r="V479" s="769"/>
      <c r="W479" s="769"/>
      <c r="X479" s="769"/>
      <c r="Y479" s="769"/>
      <c r="Z479" s="769"/>
    </row>
    <row r="480" spans="1:26" ht="18.75" customHeight="1" x14ac:dyDescent="0.3">
      <c r="A480" s="769"/>
      <c r="B480" s="769"/>
      <c r="C480" s="769"/>
      <c r="D480" s="771"/>
      <c r="E480" s="769"/>
      <c r="F480" s="769"/>
      <c r="G480" s="769"/>
      <c r="H480" s="769"/>
      <c r="I480" s="769"/>
      <c r="J480" s="769"/>
      <c r="K480" s="772"/>
      <c r="L480" s="769"/>
      <c r="M480" s="769"/>
      <c r="N480" s="769"/>
      <c r="O480" s="769"/>
      <c r="P480" s="769"/>
      <c r="Q480" s="769"/>
      <c r="R480" s="769"/>
      <c r="S480" s="769"/>
      <c r="T480" s="769"/>
      <c r="U480" s="769"/>
      <c r="V480" s="769"/>
      <c r="W480" s="769"/>
      <c r="X480" s="769"/>
      <c r="Y480" s="769"/>
      <c r="Z480" s="769"/>
    </row>
    <row r="481" spans="1:26" ht="18.75" customHeight="1" x14ac:dyDescent="0.3">
      <c r="A481" s="769"/>
      <c r="B481" s="769"/>
      <c r="C481" s="769"/>
      <c r="D481" s="771"/>
      <c r="E481" s="769"/>
      <c r="F481" s="769"/>
      <c r="G481" s="769"/>
      <c r="H481" s="769"/>
      <c r="I481" s="769"/>
      <c r="J481" s="769"/>
      <c r="K481" s="772"/>
      <c r="L481" s="769"/>
      <c r="M481" s="769"/>
      <c r="N481" s="769"/>
      <c r="O481" s="769"/>
      <c r="P481" s="769"/>
      <c r="Q481" s="769"/>
      <c r="R481" s="769"/>
      <c r="S481" s="769"/>
      <c r="T481" s="769"/>
      <c r="U481" s="769"/>
      <c r="V481" s="769"/>
      <c r="W481" s="769"/>
      <c r="X481" s="769"/>
      <c r="Y481" s="769"/>
      <c r="Z481" s="769"/>
    </row>
    <row r="482" spans="1:26" ht="18.75" customHeight="1" x14ac:dyDescent="0.3">
      <c r="A482" s="769"/>
      <c r="B482" s="769"/>
      <c r="C482" s="769"/>
      <c r="D482" s="771"/>
      <c r="E482" s="769"/>
      <c r="F482" s="769"/>
      <c r="G482" s="769"/>
      <c r="H482" s="769"/>
      <c r="I482" s="769"/>
      <c r="J482" s="769"/>
      <c r="K482" s="772"/>
      <c r="L482" s="769"/>
      <c r="M482" s="769"/>
      <c r="N482" s="769"/>
      <c r="O482" s="769"/>
      <c r="P482" s="769"/>
      <c r="Q482" s="769"/>
      <c r="R482" s="769"/>
      <c r="S482" s="769"/>
      <c r="T482" s="769"/>
      <c r="U482" s="769"/>
      <c r="V482" s="769"/>
      <c r="W482" s="769"/>
      <c r="X482" s="769"/>
      <c r="Y482" s="769"/>
      <c r="Z482" s="769"/>
    </row>
    <row r="483" spans="1:26" ht="18.75" customHeight="1" x14ac:dyDescent="0.3">
      <c r="A483" s="769"/>
      <c r="B483" s="769"/>
      <c r="C483" s="769"/>
      <c r="D483" s="771"/>
      <c r="E483" s="769"/>
      <c r="F483" s="769"/>
      <c r="G483" s="769"/>
      <c r="H483" s="769"/>
      <c r="I483" s="769"/>
      <c r="J483" s="769"/>
      <c r="K483" s="772"/>
      <c r="L483" s="769"/>
      <c r="M483" s="769"/>
      <c r="N483" s="769"/>
      <c r="O483" s="769"/>
      <c r="P483" s="769"/>
      <c r="Q483" s="769"/>
      <c r="R483" s="769"/>
      <c r="S483" s="769"/>
      <c r="T483" s="769"/>
      <c r="U483" s="769"/>
      <c r="V483" s="769"/>
      <c r="W483" s="769"/>
      <c r="X483" s="769"/>
      <c r="Y483" s="769"/>
      <c r="Z483" s="769"/>
    </row>
    <row r="484" spans="1:26" ht="18.75" customHeight="1" x14ac:dyDescent="0.3">
      <c r="A484" s="769"/>
      <c r="B484" s="769"/>
      <c r="C484" s="769"/>
      <c r="D484" s="771"/>
      <c r="E484" s="769"/>
      <c r="F484" s="769"/>
      <c r="G484" s="769"/>
      <c r="H484" s="769"/>
      <c r="I484" s="769"/>
      <c r="J484" s="769"/>
      <c r="K484" s="772"/>
      <c r="L484" s="769"/>
      <c r="M484" s="769"/>
      <c r="N484" s="769"/>
      <c r="O484" s="769"/>
      <c r="P484" s="769"/>
      <c r="Q484" s="769"/>
      <c r="R484" s="769"/>
      <c r="S484" s="769"/>
      <c r="T484" s="769"/>
      <c r="U484" s="769"/>
      <c r="V484" s="769"/>
      <c r="W484" s="769"/>
      <c r="X484" s="769"/>
      <c r="Y484" s="769"/>
      <c r="Z484" s="769"/>
    </row>
    <row r="485" spans="1:26" ht="18.75" customHeight="1" x14ac:dyDescent="0.3">
      <c r="A485" s="769"/>
      <c r="B485" s="769"/>
      <c r="C485" s="769"/>
      <c r="D485" s="771"/>
      <c r="E485" s="769"/>
      <c r="F485" s="769"/>
      <c r="G485" s="769"/>
      <c r="H485" s="769"/>
      <c r="I485" s="769"/>
      <c r="J485" s="769"/>
      <c r="K485" s="772"/>
      <c r="L485" s="769"/>
      <c r="M485" s="769"/>
      <c r="N485" s="769"/>
      <c r="O485" s="769"/>
      <c r="P485" s="769"/>
      <c r="Q485" s="769"/>
      <c r="R485" s="769"/>
      <c r="S485" s="769"/>
      <c r="T485" s="769"/>
      <c r="U485" s="769"/>
      <c r="V485" s="769"/>
      <c r="W485" s="769"/>
      <c r="X485" s="769"/>
      <c r="Y485" s="769"/>
      <c r="Z485" s="769"/>
    </row>
    <row r="486" spans="1:26" ht="18.75" customHeight="1" x14ac:dyDescent="0.3">
      <c r="A486" s="769"/>
      <c r="B486" s="769"/>
      <c r="C486" s="769"/>
      <c r="D486" s="771"/>
      <c r="E486" s="769"/>
      <c r="F486" s="769"/>
      <c r="G486" s="769"/>
      <c r="H486" s="769"/>
      <c r="I486" s="769"/>
      <c r="J486" s="769"/>
      <c r="K486" s="772"/>
      <c r="L486" s="769"/>
      <c r="M486" s="769"/>
      <c r="N486" s="769"/>
      <c r="O486" s="769"/>
      <c r="P486" s="769"/>
      <c r="Q486" s="769"/>
      <c r="R486" s="769"/>
      <c r="S486" s="769"/>
      <c r="T486" s="769"/>
      <c r="U486" s="769"/>
      <c r="V486" s="769"/>
      <c r="W486" s="769"/>
      <c r="X486" s="769"/>
      <c r="Y486" s="769"/>
      <c r="Z486" s="769"/>
    </row>
    <row r="487" spans="1:26" ht="18.75" customHeight="1" x14ac:dyDescent="0.3">
      <c r="A487" s="769"/>
      <c r="B487" s="769"/>
      <c r="C487" s="769"/>
      <c r="D487" s="771"/>
      <c r="E487" s="769"/>
      <c r="F487" s="769"/>
      <c r="G487" s="769"/>
      <c r="H487" s="769"/>
      <c r="I487" s="769"/>
      <c r="J487" s="769"/>
      <c r="K487" s="772"/>
      <c r="L487" s="769"/>
      <c r="M487" s="769"/>
      <c r="N487" s="769"/>
      <c r="O487" s="769"/>
      <c r="P487" s="769"/>
      <c r="Q487" s="769"/>
      <c r="R487" s="769"/>
      <c r="S487" s="769"/>
      <c r="T487" s="769"/>
      <c r="U487" s="769"/>
      <c r="V487" s="769"/>
      <c r="W487" s="769"/>
      <c r="X487" s="769"/>
      <c r="Y487" s="769"/>
      <c r="Z487" s="769"/>
    </row>
    <row r="488" spans="1:26" ht="18.75" customHeight="1" x14ac:dyDescent="0.3">
      <c r="A488" s="769"/>
      <c r="B488" s="769"/>
      <c r="C488" s="769"/>
      <c r="D488" s="771"/>
      <c r="E488" s="769"/>
      <c r="F488" s="769"/>
      <c r="G488" s="769"/>
      <c r="H488" s="769"/>
      <c r="I488" s="769"/>
      <c r="J488" s="769"/>
      <c r="K488" s="772"/>
      <c r="L488" s="769"/>
      <c r="M488" s="769"/>
      <c r="N488" s="769"/>
      <c r="O488" s="769"/>
      <c r="P488" s="769"/>
      <c r="Q488" s="769"/>
      <c r="R488" s="769"/>
      <c r="S488" s="769"/>
      <c r="T488" s="769"/>
      <c r="U488" s="769"/>
      <c r="V488" s="769"/>
      <c r="W488" s="769"/>
      <c r="X488" s="769"/>
      <c r="Y488" s="769"/>
      <c r="Z488" s="769"/>
    </row>
    <row r="489" spans="1:26" ht="18.75" customHeight="1" x14ac:dyDescent="0.3">
      <c r="A489" s="769"/>
      <c r="B489" s="769"/>
      <c r="C489" s="769"/>
      <c r="D489" s="771"/>
      <c r="E489" s="769"/>
      <c r="F489" s="769"/>
      <c r="G489" s="769"/>
      <c r="H489" s="769"/>
      <c r="I489" s="769"/>
      <c r="J489" s="769"/>
      <c r="K489" s="772"/>
      <c r="L489" s="769"/>
      <c r="M489" s="769"/>
      <c r="N489" s="769"/>
      <c r="O489" s="769"/>
      <c r="P489" s="769"/>
      <c r="Q489" s="769"/>
      <c r="R489" s="769"/>
      <c r="S489" s="769"/>
      <c r="T489" s="769"/>
      <c r="U489" s="769"/>
      <c r="V489" s="769"/>
      <c r="W489" s="769"/>
      <c r="X489" s="769"/>
      <c r="Y489" s="769"/>
      <c r="Z489" s="769"/>
    </row>
    <row r="490" spans="1:26" ht="18.75" customHeight="1" x14ac:dyDescent="0.3">
      <c r="A490" s="769"/>
      <c r="B490" s="769"/>
      <c r="C490" s="769"/>
      <c r="D490" s="771"/>
      <c r="E490" s="769"/>
      <c r="F490" s="769"/>
      <c r="G490" s="769"/>
      <c r="H490" s="769"/>
      <c r="I490" s="769"/>
      <c r="J490" s="769"/>
      <c r="K490" s="772"/>
      <c r="L490" s="769"/>
      <c r="M490" s="769"/>
      <c r="N490" s="769"/>
      <c r="O490" s="769"/>
      <c r="P490" s="769"/>
      <c r="Q490" s="769"/>
      <c r="R490" s="769"/>
      <c r="S490" s="769"/>
      <c r="T490" s="769"/>
      <c r="U490" s="769"/>
      <c r="V490" s="769"/>
      <c r="W490" s="769"/>
      <c r="X490" s="769"/>
      <c r="Y490" s="769"/>
      <c r="Z490" s="769"/>
    </row>
    <row r="491" spans="1:26" ht="18.75" customHeight="1" x14ac:dyDescent="0.3">
      <c r="A491" s="769"/>
      <c r="B491" s="769"/>
      <c r="C491" s="769"/>
      <c r="D491" s="771"/>
      <c r="E491" s="769"/>
      <c r="F491" s="769"/>
      <c r="G491" s="769"/>
      <c r="H491" s="769"/>
      <c r="I491" s="769"/>
      <c r="J491" s="769"/>
      <c r="K491" s="772"/>
      <c r="L491" s="769"/>
      <c r="M491" s="769"/>
      <c r="N491" s="769"/>
      <c r="O491" s="769"/>
      <c r="P491" s="769"/>
      <c r="Q491" s="769"/>
      <c r="R491" s="769"/>
      <c r="S491" s="769"/>
      <c r="T491" s="769"/>
      <c r="U491" s="769"/>
      <c r="V491" s="769"/>
      <c r="W491" s="769"/>
      <c r="X491" s="769"/>
      <c r="Y491" s="769"/>
      <c r="Z491" s="769"/>
    </row>
    <row r="492" spans="1:26" ht="18.75" customHeight="1" x14ac:dyDescent="0.3">
      <c r="A492" s="769"/>
      <c r="B492" s="769"/>
      <c r="C492" s="769"/>
      <c r="D492" s="771"/>
      <c r="E492" s="769"/>
      <c r="F492" s="769"/>
      <c r="G492" s="769"/>
      <c r="H492" s="769"/>
      <c r="I492" s="769"/>
      <c r="J492" s="769"/>
      <c r="K492" s="772"/>
      <c r="L492" s="769"/>
      <c r="M492" s="769"/>
      <c r="N492" s="769"/>
      <c r="O492" s="769"/>
      <c r="P492" s="769"/>
      <c r="Q492" s="769"/>
      <c r="R492" s="769"/>
      <c r="S492" s="769"/>
      <c r="T492" s="769"/>
      <c r="U492" s="769"/>
      <c r="V492" s="769"/>
      <c r="W492" s="769"/>
      <c r="X492" s="769"/>
      <c r="Y492" s="769"/>
      <c r="Z492" s="769"/>
    </row>
    <row r="493" spans="1:26" ht="18.75" customHeight="1" x14ac:dyDescent="0.3">
      <c r="A493" s="769"/>
      <c r="B493" s="769"/>
      <c r="C493" s="769"/>
      <c r="D493" s="771"/>
      <c r="E493" s="769"/>
      <c r="F493" s="769"/>
      <c r="G493" s="769"/>
      <c r="H493" s="769"/>
      <c r="I493" s="769"/>
      <c r="J493" s="769"/>
      <c r="K493" s="772"/>
      <c r="L493" s="769"/>
      <c r="M493" s="769"/>
      <c r="N493" s="769"/>
      <c r="O493" s="769"/>
      <c r="P493" s="769"/>
      <c r="Q493" s="769"/>
      <c r="R493" s="769"/>
      <c r="S493" s="769"/>
      <c r="T493" s="769"/>
      <c r="U493" s="769"/>
      <c r="V493" s="769"/>
      <c r="W493" s="769"/>
      <c r="X493" s="769"/>
      <c r="Y493" s="769"/>
      <c r="Z493" s="769"/>
    </row>
    <row r="494" spans="1:26" ht="18.75" customHeight="1" x14ac:dyDescent="0.3">
      <c r="A494" s="769"/>
      <c r="B494" s="769"/>
      <c r="C494" s="769"/>
      <c r="D494" s="771"/>
      <c r="E494" s="769"/>
      <c r="F494" s="769"/>
      <c r="G494" s="769"/>
      <c r="H494" s="769"/>
      <c r="I494" s="769"/>
      <c r="J494" s="769"/>
      <c r="K494" s="772"/>
      <c r="L494" s="769"/>
      <c r="M494" s="769"/>
      <c r="N494" s="769"/>
      <c r="O494" s="769"/>
      <c r="P494" s="769"/>
      <c r="Q494" s="769"/>
      <c r="R494" s="769"/>
      <c r="S494" s="769"/>
      <c r="T494" s="769"/>
      <c r="U494" s="769"/>
      <c r="V494" s="769"/>
      <c r="W494" s="769"/>
      <c r="X494" s="769"/>
      <c r="Y494" s="769"/>
      <c r="Z494" s="769"/>
    </row>
    <row r="495" spans="1:26" ht="18.75" customHeight="1" x14ac:dyDescent="0.3">
      <c r="A495" s="769"/>
      <c r="B495" s="769"/>
      <c r="C495" s="769"/>
      <c r="D495" s="771"/>
      <c r="E495" s="769"/>
      <c r="F495" s="769"/>
      <c r="G495" s="769"/>
      <c r="H495" s="769"/>
      <c r="I495" s="769"/>
      <c r="J495" s="769"/>
      <c r="K495" s="772"/>
      <c r="L495" s="769"/>
      <c r="M495" s="769"/>
      <c r="N495" s="769"/>
      <c r="O495" s="769"/>
      <c r="P495" s="769"/>
      <c r="Q495" s="769"/>
      <c r="R495" s="769"/>
      <c r="S495" s="769"/>
      <c r="T495" s="769"/>
      <c r="U495" s="769"/>
      <c r="V495" s="769"/>
      <c r="W495" s="769"/>
      <c r="X495" s="769"/>
      <c r="Y495" s="769"/>
      <c r="Z495" s="769"/>
    </row>
    <row r="496" spans="1:26" ht="18.75" customHeight="1" x14ac:dyDescent="0.3">
      <c r="A496" s="769"/>
      <c r="B496" s="769"/>
      <c r="C496" s="769"/>
      <c r="D496" s="771"/>
      <c r="E496" s="769"/>
      <c r="F496" s="769"/>
      <c r="G496" s="769"/>
      <c r="H496" s="769"/>
      <c r="I496" s="769"/>
      <c r="J496" s="769"/>
      <c r="K496" s="772"/>
      <c r="L496" s="769"/>
      <c r="M496" s="769"/>
      <c r="N496" s="769"/>
      <c r="O496" s="769"/>
      <c r="P496" s="769"/>
      <c r="Q496" s="769"/>
      <c r="R496" s="769"/>
      <c r="S496" s="769"/>
      <c r="T496" s="769"/>
      <c r="U496" s="769"/>
      <c r="V496" s="769"/>
      <c r="W496" s="769"/>
      <c r="X496" s="769"/>
      <c r="Y496" s="769"/>
      <c r="Z496" s="769"/>
    </row>
    <row r="497" spans="1:26" ht="18.75" customHeight="1" x14ac:dyDescent="0.3">
      <c r="A497" s="769"/>
      <c r="B497" s="769"/>
      <c r="C497" s="769"/>
      <c r="D497" s="771"/>
      <c r="E497" s="769"/>
      <c r="F497" s="769"/>
      <c r="G497" s="769"/>
      <c r="H497" s="769"/>
      <c r="I497" s="769"/>
      <c r="J497" s="769"/>
      <c r="K497" s="772"/>
      <c r="L497" s="769"/>
      <c r="M497" s="769"/>
      <c r="N497" s="769"/>
      <c r="O497" s="769"/>
      <c r="P497" s="769"/>
      <c r="Q497" s="769"/>
      <c r="R497" s="769"/>
      <c r="S497" s="769"/>
      <c r="T497" s="769"/>
      <c r="U497" s="769"/>
      <c r="V497" s="769"/>
      <c r="W497" s="769"/>
      <c r="X497" s="769"/>
      <c r="Y497" s="769"/>
      <c r="Z497" s="769"/>
    </row>
    <row r="498" spans="1:26" ht="18.75" customHeight="1" x14ac:dyDescent="0.3">
      <c r="A498" s="769"/>
      <c r="B498" s="769"/>
      <c r="C498" s="769"/>
      <c r="D498" s="771"/>
      <c r="E498" s="769"/>
      <c r="F498" s="769"/>
      <c r="G498" s="769"/>
      <c r="H498" s="769"/>
      <c r="I498" s="769"/>
      <c r="J498" s="769"/>
      <c r="K498" s="772"/>
      <c r="L498" s="769"/>
      <c r="M498" s="769"/>
      <c r="N498" s="769"/>
      <c r="O498" s="769"/>
      <c r="P498" s="769"/>
      <c r="Q498" s="769"/>
      <c r="R498" s="769"/>
      <c r="S498" s="769"/>
      <c r="T498" s="769"/>
      <c r="U498" s="769"/>
      <c r="V498" s="769"/>
      <c r="W498" s="769"/>
      <c r="X498" s="769"/>
      <c r="Y498" s="769"/>
      <c r="Z498" s="769"/>
    </row>
    <row r="499" spans="1:26" ht="18.75" customHeight="1" x14ac:dyDescent="0.3">
      <c r="A499" s="769"/>
      <c r="B499" s="769"/>
      <c r="C499" s="769"/>
      <c r="D499" s="771"/>
      <c r="E499" s="769"/>
      <c r="F499" s="769"/>
      <c r="G499" s="769"/>
      <c r="H499" s="769"/>
      <c r="I499" s="769"/>
      <c r="J499" s="769"/>
      <c r="K499" s="772"/>
      <c r="L499" s="769"/>
      <c r="M499" s="769"/>
      <c r="N499" s="769"/>
      <c r="O499" s="769"/>
      <c r="P499" s="769"/>
      <c r="Q499" s="769"/>
      <c r="R499" s="769"/>
      <c r="S499" s="769"/>
      <c r="T499" s="769"/>
      <c r="U499" s="769"/>
      <c r="V499" s="769"/>
      <c r="W499" s="769"/>
      <c r="X499" s="769"/>
      <c r="Y499" s="769"/>
      <c r="Z499" s="769"/>
    </row>
    <row r="500" spans="1:26" ht="18.75" customHeight="1" x14ac:dyDescent="0.3">
      <c r="A500" s="769"/>
      <c r="B500" s="769"/>
      <c r="C500" s="769"/>
      <c r="D500" s="771"/>
      <c r="E500" s="769"/>
      <c r="F500" s="769"/>
      <c r="G500" s="769"/>
      <c r="H500" s="769"/>
      <c r="I500" s="769"/>
      <c r="J500" s="769"/>
      <c r="K500" s="772"/>
      <c r="L500" s="769"/>
      <c r="M500" s="769"/>
      <c r="N500" s="769"/>
      <c r="O500" s="769"/>
      <c r="P500" s="769"/>
      <c r="Q500" s="769"/>
      <c r="R500" s="769"/>
      <c r="S500" s="769"/>
      <c r="T500" s="769"/>
      <c r="U500" s="769"/>
      <c r="V500" s="769"/>
      <c r="W500" s="769"/>
      <c r="X500" s="769"/>
      <c r="Y500" s="769"/>
      <c r="Z500" s="769"/>
    </row>
    <row r="501" spans="1:26" ht="18.75" customHeight="1" x14ac:dyDescent="0.3">
      <c r="A501" s="769"/>
      <c r="B501" s="769"/>
      <c r="C501" s="769"/>
      <c r="D501" s="771"/>
      <c r="E501" s="769"/>
      <c r="F501" s="769"/>
      <c r="G501" s="769"/>
      <c r="H501" s="769"/>
      <c r="I501" s="769"/>
      <c r="J501" s="769"/>
      <c r="K501" s="772"/>
      <c r="L501" s="769"/>
      <c r="M501" s="769"/>
      <c r="N501" s="769"/>
      <c r="O501" s="769"/>
      <c r="P501" s="769"/>
      <c r="Q501" s="769"/>
      <c r="R501" s="769"/>
      <c r="S501" s="769"/>
      <c r="T501" s="769"/>
      <c r="U501" s="769"/>
      <c r="V501" s="769"/>
      <c r="W501" s="769"/>
      <c r="X501" s="769"/>
      <c r="Y501" s="769"/>
      <c r="Z501" s="769"/>
    </row>
    <row r="502" spans="1:26" ht="18.75" customHeight="1" x14ac:dyDescent="0.3">
      <c r="A502" s="769"/>
      <c r="B502" s="769"/>
      <c r="C502" s="769"/>
      <c r="D502" s="771"/>
      <c r="E502" s="769"/>
      <c r="F502" s="769"/>
      <c r="G502" s="769"/>
      <c r="H502" s="769"/>
      <c r="I502" s="769"/>
      <c r="J502" s="769"/>
      <c r="K502" s="772"/>
      <c r="L502" s="769"/>
      <c r="M502" s="769"/>
      <c r="N502" s="769"/>
      <c r="O502" s="769"/>
      <c r="P502" s="769"/>
      <c r="Q502" s="769"/>
      <c r="R502" s="769"/>
      <c r="S502" s="769"/>
      <c r="T502" s="769"/>
      <c r="U502" s="769"/>
      <c r="V502" s="769"/>
      <c r="W502" s="769"/>
      <c r="X502" s="769"/>
      <c r="Y502" s="769"/>
      <c r="Z502" s="769"/>
    </row>
    <row r="503" spans="1:26" ht="18.75" customHeight="1" x14ac:dyDescent="0.3">
      <c r="A503" s="769"/>
      <c r="B503" s="769"/>
      <c r="C503" s="769"/>
      <c r="D503" s="771"/>
      <c r="E503" s="769"/>
      <c r="F503" s="769"/>
      <c r="G503" s="769"/>
      <c r="H503" s="769"/>
      <c r="I503" s="769"/>
      <c r="J503" s="769"/>
      <c r="K503" s="772"/>
      <c r="L503" s="769"/>
      <c r="M503" s="769"/>
      <c r="N503" s="769"/>
      <c r="O503" s="769"/>
      <c r="P503" s="769"/>
      <c r="Q503" s="769"/>
      <c r="R503" s="769"/>
      <c r="S503" s="769"/>
      <c r="T503" s="769"/>
      <c r="U503" s="769"/>
      <c r="V503" s="769"/>
      <c r="W503" s="769"/>
      <c r="X503" s="769"/>
      <c r="Y503" s="769"/>
      <c r="Z503" s="769"/>
    </row>
    <row r="504" spans="1:26" ht="18.75" customHeight="1" x14ac:dyDescent="0.3">
      <c r="A504" s="769"/>
      <c r="B504" s="769"/>
      <c r="C504" s="769"/>
      <c r="D504" s="771"/>
      <c r="E504" s="769"/>
      <c r="F504" s="769"/>
      <c r="G504" s="769"/>
      <c r="H504" s="769"/>
      <c r="I504" s="769"/>
      <c r="J504" s="769"/>
      <c r="K504" s="772"/>
      <c r="L504" s="769"/>
      <c r="M504" s="769"/>
      <c r="N504" s="769"/>
      <c r="O504" s="769"/>
      <c r="P504" s="769"/>
      <c r="Q504" s="769"/>
      <c r="R504" s="769"/>
      <c r="S504" s="769"/>
      <c r="T504" s="769"/>
      <c r="U504" s="769"/>
      <c r="V504" s="769"/>
      <c r="W504" s="769"/>
      <c r="X504" s="769"/>
      <c r="Y504" s="769"/>
      <c r="Z504" s="769"/>
    </row>
    <row r="505" spans="1:26" ht="18.75" customHeight="1" x14ac:dyDescent="0.3">
      <c r="A505" s="769"/>
      <c r="B505" s="769"/>
      <c r="C505" s="769"/>
      <c r="D505" s="771"/>
      <c r="E505" s="769"/>
      <c r="F505" s="769"/>
      <c r="G505" s="769"/>
      <c r="H505" s="769"/>
      <c r="I505" s="769"/>
      <c r="J505" s="769"/>
      <c r="K505" s="772"/>
      <c r="L505" s="769"/>
      <c r="M505" s="769"/>
      <c r="N505" s="769"/>
      <c r="O505" s="769"/>
      <c r="P505" s="769"/>
      <c r="Q505" s="769"/>
      <c r="R505" s="769"/>
      <c r="S505" s="769"/>
      <c r="T505" s="769"/>
      <c r="U505" s="769"/>
      <c r="V505" s="769"/>
      <c r="W505" s="769"/>
      <c r="X505" s="769"/>
      <c r="Y505" s="769"/>
      <c r="Z505" s="769"/>
    </row>
    <row r="506" spans="1:26" ht="18.75" customHeight="1" x14ac:dyDescent="0.3">
      <c r="A506" s="769"/>
      <c r="B506" s="769"/>
      <c r="C506" s="769"/>
      <c r="D506" s="771"/>
      <c r="E506" s="769"/>
      <c r="F506" s="769"/>
      <c r="G506" s="769"/>
      <c r="H506" s="769"/>
      <c r="I506" s="769"/>
      <c r="J506" s="769"/>
      <c r="K506" s="772"/>
      <c r="L506" s="769"/>
      <c r="M506" s="769"/>
      <c r="N506" s="769"/>
      <c r="O506" s="769"/>
      <c r="P506" s="769"/>
      <c r="Q506" s="769"/>
      <c r="R506" s="769"/>
      <c r="S506" s="769"/>
      <c r="T506" s="769"/>
      <c r="U506" s="769"/>
      <c r="V506" s="769"/>
      <c r="W506" s="769"/>
      <c r="X506" s="769"/>
      <c r="Y506" s="769"/>
      <c r="Z506" s="769"/>
    </row>
    <row r="507" spans="1:26" ht="18.75" customHeight="1" x14ac:dyDescent="0.3">
      <c r="A507" s="769"/>
      <c r="B507" s="769"/>
      <c r="C507" s="769"/>
      <c r="D507" s="771"/>
      <c r="E507" s="769"/>
      <c r="F507" s="769"/>
      <c r="G507" s="769"/>
      <c r="H507" s="769"/>
      <c r="I507" s="769"/>
      <c r="J507" s="769"/>
      <c r="K507" s="772"/>
      <c r="L507" s="769"/>
      <c r="M507" s="769"/>
      <c r="N507" s="769"/>
      <c r="O507" s="769"/>
      <c r="P507" s="769"/>
      <c r="Q507" s="769"/>
      <c r="R507" s="769"/>
      <c r="S507" s="769"/>
      <c r="T507" s="769"/>
      <c r="U507" s="769"/>
      <c r="V507" s="769"/>
      <c r="W507" s="769"/>
      <c r="X507" s="769"/>
      <c r="Y507" s="769"/>
      <c r="Z507" s="769"/>
    </row>
    <row r="508" spans="1:26" ht="18.75" customHeight="1" x14ac:dyDescent="0.3">
      <c r="A508" s="769"/>
      <c r="B508" s="769"/>
      <c r="C508" s="769"/>
      <c r="D508" s="771"/>
      <c r="E508" s="769"/>
      <c r="F508" s="769"/>
      <c r="G508" s="769"/>
      <c r="H508" s="769"/>
      <c r="I508" s="769"/>
      <c r="J508" s="769"/>
      <c r="K508" s="772"/>
      <c r="L508" s="769"/>
      <c r="M508" s="769"/>
      <c r="N508" s="769"/>
      <c r="O508" s="769"/>
      <c r="P508" s="769"/>
      <c r="Q508" s="769"/>
      <c r="R508" s="769"/>
      <c r="S508" s="769"/>
      <c r="T508" s="769"/>
      <c r="U508" s="769"/>
      <c r="V508" s="769"/>
      <c r="W508" s="769"/>
      <c r="X508" s="769"/>
      <c r="Y508" s="769"/>
      <c r="Z508" s="769"/>
    </row>
    <row r="509" spans="1:26" ht="18.75" customHeight="1" x14ac:dyDescent="0.3">
      <c r="A509" s="769"/>
      <c r="B509" s="769"/>
      <c r="C509" s="769"/>
      <c r="D509" s="771"/>
      <c r="E509" s="769"/>
      <c r="F509" s="769"/>
      <c r="G509" s="769"/>
      <c r="H509" s="769"/>
      <c r="I509" s="769"/>
      <c r="J509" s="769"/>
      <c r="K509" s="772"/>
      <c r="L509" s="769"/>
      <c r="M509" s="769"/>
      <c r="N509" s="769"/>
      <c r="O509" s="769"/>
      <c r="P509" s="769"/>
      <c r="Q509" s="769"/>
      <c r="R509" s="769"/>
      <c r="S509" s="769"/>
      <c r="T509" s="769"/>
      <c r="U509" s="769"/>
      <c r="V509" s="769"/>
      <c r="W509" s="769"/>
      <c r="X509" s="769"/>
      <c r="Y509" s="769"/>
      <c r="Z509" s="769"/>
    </row>
    <row r="510" spans="1:26" ht="18.75" customHeight="1" x14ac:dyDescent="0.3">
      <c r="A510" s="769"/>
      <c r="B510" s="769"/>
      <c r="C510" s="769"/>
      <c r="D510" s="771"/>
      <c r="E510" s="769"/>
      <c r="F510" s="769"/>
      <c r="G510" s="769"/>
      <c r="H510" s="769"/>
      <c r="I510" s="769"/>
      <c r="J510" s="769"/>
      <c r="K510" s="772"/>
      <c r="L510" s="769"/>
      <c r="M510" s="769"/>
      <c r="N510" s="769"/>
      <c r="O510" s="769"/>
      <c r="P510" s="769"/>
      <c r="Q510" s="769"/>
      <c r="R510" s="769"/>
      <c r="S510" s="769"/>
      <c r="T510" s="769"/>
      <c r="U510" s="769"/>
      <c r="V510" s="769"/>
      <c r="W510" s="769"/>
      <c r="X510" s="769"/>
      <c r="Y510" s="769"/>
      <c r="Z510" s="769"/>
    </row>
    <row r="511" spans="1:26" ht="18.75" customHeight="1" x14ac:dyDescent="0.3">
      <c r="A511" s="769"/>
      <c r="B511" s="769"/>
      <c r="C511" s="769"/>
      <c r="D511" s="771"/>
      <c r="E511" s="769"/>
      <c r="F511" s="769"/>
      <c r="G511" s="769"/>
      <c r="H511" s="769"/>
      <c r="I511" s="769"/>
      <c r="J511" s="769"/>
      <c r="K511" s="772"/>
      <c r="L511" s="769"/>
      <c r="M511" s="769"/>
      <c r="N511" s="769"/>
      <c r="O511" s="769"/>
      <c r="P511" s="769"/>
      <c r="Q511" s="769"/>
      <c r="R511" s="769"/>
      <c r="S511" s="769"/>
      <c r="T511" s="769"/>
      <c r="U511" s="769"/>
      <c r="V511" s="769"/>
      <c r="W511" s="769"/>
      <c r="X511" s="769"/>
      <c r="Y511" s="769"/>
      <c r="Z511" s="769"/>
    </row>
    <row r="512" spans="1:26" ht="18.75" customHeight="1" x14ac:dyDescent="0.3">
      <c r="A512" s="769"/>
      <c r="B512" s="769"/>
      <c r="C512" s="769"/>
      <c r="D512" s="771"/>
      <c r="E512" s="769"/>
      <c r="F512" s="769"/>
      <c r="G512" s="769"/>
      <c r="H512" s="769"/>
      <c r="I512" s="769"/>
      <c r="J512" s="769"/>
      <c r="K512" s="772"/>
      <c r="L512" s="769"/>
      <c r="M512" s="769"/>
      <c r="N512" s="769"/>
      <c r="O512" s="769"/>
      <c r="P512" s="769"/>
      <c r="Q512" s="769"/>
      <c r="R512" s="769"/>
      <c r="S512" s="769"/>
      <c r="T512" s="769"/>
      <c r="U512" s="769"/>
      <c r="V512" s="769"/>
      <c r="W512" s="769"/>
      <c r="X512" s="769"/>
      <c r="Y512" s="769"/>
      <c r="Z512" s="769"/>
    </row>
    <row r="513" spans="1:26" ht="18.75" customHeight="1" x14ac:dyDescent="0.3">
      <c r="A513" s="769"/>
      <c r="B513" s="769"/>
      <c r="C513" s="769"/>
      <c r="D513" s="771"/>
      <c r="E513" s="769"/>
      <c r="F513" s="769"/>
      <c r="G513" s="769"/>
      <c r="H513" s="769"/>
      <c r="I513" s="769"/>
      <c r="J513" s="769"/>
      <c r="K513" s="772"/>
      <c r="L513" s="769"/>
      <c r="M513" s="769"/>
      <c r="N513" s="769"/>
      <c r="O513" s="769"/>
      <c r="P513" s="769"/>
      <c r="Q513" s="769"/>
      <c r="R513" s="769"/>
      <c r="S513" s="769"/>
      <c r="T513" s="769"/>
      <c r="U513" s="769"/>
      <c r="V513" s="769"/>
      <c r="W513" s="769"/>
      <c r="X513" s="769"/>
      <c r="Y513" s="769"/>
      <c r="Z513" s="769"/>
    </row>
    <row r="514" spans="1:26" ht="18.75" customHeight="1" x14ac:dyDescent="0.3">
      <c r="A514" s="769"/>
      <c r="B514" s="769"/>
      <c r="C514" s="769"/>
      <c r="D514" s="771"/>
      <c r="E514" s="769"/>
      <c r="F514" s="769"/>
      <c r="G514" s="769"/>
      <c r="H514" s="769"/>
      <c r="I514" s="769"/>
      <c r="J514" s="769"/>
      <c r="K514" s="772"/>
      <c r="L514" s="769"/>
      <c r="M514" s="769"/>
      <c r="N514" s="769"/>
      <c r="O514" s="769"/>
      <c r="P514" s="769"/>
      <c r="Q514" s="769"/>
      <c r="R514" s="769"/>
      <c r="S514" s="769"/>
      <c r="T514" s="769"/>
      <c r="U514" s="769"/>
      <c r="V514" s="769"/>
      <c r="W514" s="769"/>
      <c r="X514" s="769"/>
      <c r="Y514" s="769"/>
      <c r="Z514" s="769"/>
    </row>
    <row r="515" spans="1:26" ht="18.75" customHeight="1" x14ac:dyDescent="0.3">
      <c r="A515" s="769"/>
      <c r="B515" s="769"/>
      <c r="C515" s="769"/>
      <c r="D515" s="771"/>
      <c r="E515" s="769"/>
      <c r="F515" s="769"/>
      <c r="G515" s="769"/>
      <c r="H515" s="769"/>
      <c r="I515" s="769"/>
      <c r="J515" s="769"/>
      <c r="K515" s="772"/>
      <c r="L515" s="769"/>
      <c r="M515" s="769"/>
      <c r="N515" s="769"/>
      <c r="O515" s="769"/>
      <c r="P515" s="769"/>
      <c r="Q515" s="769"/>
      <c r="R515" s="769"/>
      <c r="S515" s="769"/>
      <c r="T515" s="769"/>
      <c r="U515" s="769"/>
      <c r="V515" s="769"/>
      <c r="W515" s="769"/>
      <c r="X515" s="769"/>
      <c r="Y515" s="769"/>
      <c r="Z515" s="769"/>
    </row>
    <row r="516" spans="1:26" ht="18.75" customHeight="1" x14ac:dyDescent="0.3">
      <c r="A516" s="769"/>
      <c r="B516" s="769"/>
      <c r="C516" s="769"/>
      <c r="D516" s="771"/>
      <c r="E516" s="769"/>
      <c r="F516" s="769"/>
      <c r="G516" s="769"/>
      <c r="H516" s="769"/>
      <c r="I516" s="769"/>
      <c r="J516" s="769"/>
      <c r="K516" s="772"/>
      <c r="L516" s="769"/>
      <c r="M516" s="769"/>
      <c r="N516" s="769"/>
      <c r="O516" s="769"/>
      <c r="P516" s="769"/>
      <c r="Q516" s="769"/>
      <c r="R516" s="769"/>
      <c r="S516" s="769"/>
      <c r="T516" s="769"/>
      <c r="U516" s="769"/>
      <c r="V516" s="769"/>
      <c r="W516" s="769"/>
      <c r="X516" s="769"/>
      <c r="Y516" s="769"/>
      <c r="Z516" s="769"/>
    </row>
    <row r="517" spans="1:26" ht="18.75" customHeight="1" x14ac:dyDescent="0.3">
      <c r="A517" s="769"/>
      <c r="B517" s="769"/>
      <c r="C517" s="769"/>
      <c r="D517" s="771"/>
      <c r="E517" s="769"/>
      <c r="F517" s="769"/>
      <c r="G517" s="769"/>
      <c r="H517" s="769"/>
      <c r="I517" s="769"/>
      <c r="J517" s="769"/>
      <c r="K517" s="772"/>
      <c r="L517" s="769"/>
      <c r="M517" s="769"/>
      <c r="N517" s="769"/>
      <c r="O517" s="769"/>
      <c r="P517" s="769"/>
      <c r="Q517" s="769"/>
      <c r="R517" s="769"/>
      <c r="S517" s="769"/>
      <c r="T517" s="769"/>
      <c r="U517" s="769"/>
      <c r="V517" s="769"/>
      <c r="W517" s="769"/>
      <c r="X517" s="769"/>
      <c r="Y517" s="769"/>
      <c r="Z517" s="769"/>
    </row>
    <row r="518" spans="1:26" ht="18.75" customHeight="1" x14ac:dyDescent="0.3">
      <c r="A518" s="769"/>
      <c r="B518" s="769"/>
      <c r="C518" s="769"/>
      <c r="D518" s="771"/>
      <c r="E518" s="769"/>
      <c r="F518" s="769"/>
      <c r="G518" s="769"/>
      <c r="H518" s="769"/>
      <c r="I518" s="769"/>
      <c r="J518" s="769"/>
      <c r="K518" s="772"/>
      <c r="L518" s="769"/>
      <c r="M518" s="769"/>
      <c r="N518" s="769"/>
      <c r="O518" s="769"/>
      <c r="P518" s="769"/>
      <c r="Q518" s="769"/>
      <c r="R518" s="769"/>
      <c r="S518" s="769"/>
      <c r="T518" s="769"/>
      <c r="U518" s="769"/>
      <c r="V518" s="769"/>
      <c r="W518" s="769"/>
      <c r="X518" s="769"/>
      <c r="Y518" s="769"/>
      <c r="Z518" s="769"/>
    </row>
    <row r="519" spans="1:26" ht="18.75" customHeight="1" x14ac:dyDescent="0.3">
      <c r="A519" s="769"/>
      <c r="B519" s="769"/>
      <c r="C519" s="769"/>
      <c r="D519" s="771"/>
      <c r="E519" s="769"/>
      <c r="F519" s="769"/>
      <c r="G519" s="769"/>
      <c r="H519" s="769"/>
      <c r="I519" s="769"/>
      <c r="J519" s="769"/>
      <c r="K519" s="772"/>
      <c r="L519" s="769"/>
      <c r="M519" s="769"/>
      <c r="N519" s="769"/>
      <c r="O519" s="769"/>
      <c r="P519" s="769"/>
      <c r="Q519" s="769"/>
      <c r="R519" s="769"/>
      <c r="S519" s="769"/>
      <c r="T519" s="769"/>
      <c r="U519" s="769"/>
      <c r="V519" s="769"/>
      <c r="W519" s="769"/>
      <c r="X519" s="769"/>
      <c r="Y519" s="769"/>
      <c r="Z519" s="769"/>
    </row>
    <row r="520" spans="1:26" ht="18.75" customHeight="1" x14ac:dyDescent="0.3">
      <c r="A520" s="769"/>
      <c r="B520" s="769"/>
      <c r="C520" s="769"/>
      <c r="D520" s="771"/>
      <c r="E520" s="769"/>
      <c r="F520" s="769"/>
      <c r="G520" s="769"/>
      <c r="H520" s="769"/>
      <c r="I520" s="769"/>
      <c r="J520" s="769"/>
      <c r="K520" s="772"/>
      <c r="L520" s="769"/>
      <c r="M520" s="769"/>
      <c r="N520" s="769"/>
      <c r="O520" s="769"/>
      <c r="P520" s="769"/>
      <c r="Q520" s="769"/>
      <c r="R520" s="769"/>
      <c r="S520" s="769"/>
      <c r="T520" s="769"/>
      <c r="U520" s="769"/>
      <c r="V520" s="769"/>
      <c r="W520" s="769"/>
      <c r="X520" s="769"/>
      <c r="Y520" s="769"/>
      <c r="Z520" s="769"/>
    </row>
    <row r="521" spans="1:26" ht="18.75" customHeight="1" x14ac:dyDescent="0.3">
      <c r="A521" s="769"/>
      <c r="B521" s="769"/>
      <c r="C521" s="769"/>
      <c r="D521" s="771"/>
      <c r="E521" s="769"/>
      <c r="F521" s="769"/>
      <c r="G521" s="769"/>
      <c r="H521" s="769"/>
      <c r="I521" s="769"/>
      <c r="J521" s="769"/>
      <c r="K521" s="772"/>
      <c r="L521" s="769"/>
      <c r="M521" s="769"/>
      <c r="N521" s="769"/>
      <c r="O521" s="769"/>
      <c r="P521" s="769"/>
      <c r="Q521" s="769"/>
      <c r="R521" s="769"/>
      <c r="S521" s="769"/>
      <c r="T521" s="769"/>
      <c r="U521" s="769"/>
      <c r="V521" s="769"/>
      <c r="W521" s="769"/>
      <c r="X521" s="769"/>
      <c r="Y521" s="769"/>
      <c r="Z521" s="769"/>
    </row>
    <row r="522" spans="1:26" ht="18.75" customHeight="1" x14ac:dyDescent="0.3">
      <c r="A522" s="769"/>
      <c r="B522" s="769"/>
      <c r="C522" s="769"/>
      <c r="D522" s="771"/>
      <c r="E522" s="769"/>
      <c r="F522" s="769"/>
      <c r="G522" s="769"/>
      <c r="H522" s="769"/>
      <c r="I522" s="769"/>
      <c r="J522" s="769"/>
      <c r="K522" s="772"/>
      <c r="L522" s="769"/>
      <c r="M522" s="769"/>
      <c r="N522" s="769"/>
      <c r="O522" s="769"/>
      <c r="P522" s="769"/>
      <c r="Q522" s="769"/>
      <c r="R522" s="769"/>
      <c r="S522" s="769"/>
      <c r="T522" s="769"/>
      <c r="U522" s="769"/>
      <c r="V522" s="769"/>
      <c r="W522" s="769"/>
      <c r="X522" s="769"/>
      <c r="Y522" s="769"/>
      <c r="Z522" s="769"/>
    </row>
    <row r="523" spans="1:26" ht="18.75" customHeight="1" x14ac:dyDescent="0.3">
      <c r="A523" s="769"/>
      <c r="B523" s="769"/>
      <c r="C523" s="769"/>
      <c r="D523" s="771"/>
      <c r="E523" s="769"/>
      <c r="F523" s="769"/>
      <c r="G523" s="769"/>
      <c r="H523" s="769"/>
      <c r="I523" s="769"/>
      <c r="J523" s="769"/>
      <c r="K523" s="772"/>
      <c r="L523" s="769"/>
      <c r="M523" s="769"/>
      <c r="N523" s="769"/>
      <c r="O523" s="769"/>
      <c r="P523" s="769"/>
      <c r="Q523" s="769"/>
      <c r="R523" s="769"/>
      <c r="S523" s="769"/>
      <c r="T523" s="769"/>
      <c r="U523" s="769"/>
      <c r="V523" s="769"/>
      <c r="W523" s="769"/>
      <c r="X523" s="769"/>
      <c r="Y523" s="769"/>
      <c r="Z523" s="769"/>
    </row>
    <row r="524" spans="1:26" ht="18.75" customHeight="1" x14ac:dyDescent="0.3">
      <c r="A524" s="769"/>
      <c r="B524" s="769"/>
      <c r="C524" s="769"/>
      <c r="D524" s="771"/>
      <c r="E524" s="769"/>
      <c r="F524" s="769"/>
      <c r="G524" s="769"/>
      <c r="H524" s="769"/>
      <c r="I524" s="769"/>
      <c r="J524" s="769"/>
      <c r="K524" s="772"/>
      <c r="L524" s="769"/>
      <c r="M524" s="769"/>
      <c r="N524" s="769"/>
      <c r="O524" s="769"/>
      <c r="P524" s="769"/>
      <c r="Q524" s="769"/>
      <c r="R524" s="769"/>
      <c r="S524" s="769"/>
      <c r="T524" s="769"/>
      <c r="U524" s="769"/>
      <c r="V524" s="769"/>
      <c r="W524" s="769"/>
      <c r="X524" s="769"/>
      <c r="Y524" s="769"/>
      <c r="Z524" s="769"/>
    </row>
    <row r="525" spans="1:26" ht="18.75" customHeight="1" x14ac:dyDescent="0.3">
      <c r="A525" s="769"/>
      <c r="B525" s="769"/>
      <c r="C525" s="769"/>
      <c r="D525" s="771"/>
      <c r="E525" s="769"/>
      <c r="F525" s="769"/>
      <c r="G525" s="769"/>
      <c r="H525" s="769"/>
      <c r="I525" s="769"/>
      <c r="J525" s="769"/>
      <c r="K525" s="772"/>
      <c r="L525" s="769"/>
      <c r="M525" s="769"/>
      <c r="N525" s="769"/>
      <c r="O525" s="769"/>
      <c r="P525" s="769"/>
      <c r="Q525" s="769"/>
      <c r="R525" s="769"/>
      <c r="S525" s="769"/>
      <c r="T525" s="769"/>
      <c r="U525" s="769"/>
      <c r="V525" s="769"/>
      <c r="W525" s="769"/>
      <c r="X525" s="769"/>
      <c r="Y525" s="769"/>
      <c r="Z525" s="769"/>
    </row>
    <row r="526" spans="1:26" ht="18.75" customHeight="1" x14ac:dyDescent="0.3">
      <c r="A526" s="769"/>
      <c r="B526" s="769"/>
      <c r="C526" s="769"/>
      <c r="D526" s="771"/>
      <c r="E526" s="769"/>
      <c r="F526" s="769"/>
      <c r="G526" s="769"/>
      <c r="H526" s="769"/>
      <c r="I526" s="769"/>
      <c r="J526" s="769"/>
      <c r="K526" s="772"/>
      <c r="L526" s="769"/>
      <c r="M526" s="769"/>
      <c r="N526" s="769"/>
      <c r="O526" s="769"/>
      <c r="P526" s="769"/>
      <c r="Q526" s="769"/>
      <c r="R526" s="769"/>
      <c r="S526" s="769"/>
      <c r="T526" s="769"/>
      <c r="U526" s="769"/>
      <c r="V526" s="769"/>
      <c r="W526" s="769"/>
      <c r="X526" s="769"/>
      <c r="Y526" s="769"/>
      <c r="Z526" s="769"/>
    </row>
    <row r="527" spans="1:26" ht="18.75" customHeight="1" x14ac:dyDescent="0.3">
      <c r="A527" s="769"/>
      <c r="B527" s="769"/>
      <c r="C527" s="769"/>
      <c r="D527" s="771"/>
      <c r="E527" s="769"/>
      <c r="F527" s="769"/>
      <c r="G527" s="769"/>
      <c r="H527" s="769"/>
      <c r="I527" s="769"/>
      <c r="J527" s="769"/>
      <c r="K527" s="772"/>
      <c r="L527" s="769"/>
      <c r="M527" s="769"/>
      <c r="N527" s="769"/>
      <c r="O527" s="769"/>
      <c r="P527" s="769"/>
      <c r="Q527" s="769"/>
      <c r="R527" s="769"/>
      <c r="S527" s="769"/>
      <c r="T527" s="769"/>
      <c r="U527" s="769"/>
      <c r="V527" s="769"/>
      <c r="W527" s="769"/>
      <c r="X527" s="769"/>
      <c r="Y527" s="769"/>
      <c r="Z527" s="769"/>
    </row>
    <row r="528" spans="1:26" ht="18.75" customHeight="1" x14ac:dyDescent="0.3">
      <c r="A528" s="769"/>
      <c r="B528" s="769"/>
      <c r="C528" s="769"/>
      <c r="D528" s="771"/>
      <c r="E528" s="769"/>
      <c r="F528" s="769"/>
      <c r="G528" s="769"/>
      <c r="H528" s="769"/>
      <c r="I528" s="769"/>
      <c r="J528" s="769"/>
      <c r="K528" s="772"/>
      <c r="L528" s="769"/>
      <c r="M528" s="769"/>
      <c r="N528" s="769"/>
      <c r="O528" s="769"/>
      <c r="P528" s="769"/>
      <c r="Q528" s="769"/>
      <c r="R528" s="769"/>
      <c r="S528" s="769"/>
      <c r="T528" s="769"/>
      <c r="U528" s="769"/>
      <c r="V528" s="769"/>
      <c r="W528" s="769"/>
      <c r="X528" s="769"/>
      <c r="Y528" s="769"/>
      <c r="Z528" s="769"/>
    </row>
    <row r="529" spans="1:26" ht="18.75" customHeight="1" x14ac:dyDescent="0.3">
      <c r="A529" s="769"/>
      <c r="B529" s="769"/>
      <c r="C529" s="769"/>
      <c r="D529" s="771"/>
      <c r="E529" s="769"/>
      <c r="F529" s="769"/>
      <c r="G529" s="769"/>
      <c r="H529" s="769"/>
      <c r="I529" s="769"/>
      <c r="J529" s="769"/>
      <c r="K529" s="772"/>
      <c r="L529" s="769"/>
      <c r="M529" s="769"/>
      <c r="N529" s="769"/>
      <c r="O529" s="769"/>
      <c r="P529" s="769"/>
      <c r="Q529" s="769"/>
      <c r="R529" s="769"/>
      <c r="S529" s="769"/>
      <c r="T529" s="769"/>
      <c r="U529" s="769"/>
      <c r="V529" s="769"/>
      <c r="W529" s="769"/>
      <c r="X529" s="769"/>
      <c r="Y529" s="769"/>
      <c r="Z529" s="769"/>
    </row>
    <row r="530" spans="1:26" ht="18.75" customHeight="1" x14ac:dyDescent="0.3">
      <c r="A530" s="769"/>
      <c r="B530" s="769"/>
      <c r="C530" s="769"/>
      <c r="D530" s="771"/>
      <c r="E530" s="769"/>
      <c r="F530" s="769"/>
      <c r="G530" s="769"/>
      <c r="H530" s="769"/>
      <c r="I530" s="769"/>
      <c r="J530" s="769"/>
      <c r="K530" s="772"/>
      <c r="L530" s="769"/>
      <c r="M530" s="769"/>
      <c r="N530" s="769"/>
      <c r="O530" s="769"/>
      <c r="P530" s="769"/>
      <c r="Q530" s="769"/>
      <c r="R530" s="769"/>
      <c r="S530" s="769"/>
      <c r="T530" s="769"/>
      <c r="U530" s="769"/>
      <c r="V530" s="769"/>
      <c r="W530" s="769"/>
      <c r="X530" s="769"/>
      <c r="Y530" s="769"/>
      <c r="Z530" s="769"/>
    </row>
    <row r="531" spans="1:26" ht="18.75" customHeight="1" x14ac:dyDescent="0.3">
      <c r="A531" s="769"/>
      <c r="B531" s="769"/>
      <c r="C531" s="769"/>
      <c r="D531" s="771"/>
      <c r="E531" s="769"/>
      <c r="F531" s="769"/>
      <c r="G531" s="769"/>
      <c r="H531" s="769"/>
      <c r="I531" s="769"/>
      <c r="J531" s="769"/>
      <c r="K531" s="772"/>
      <c r="L531" s="769"/>
      <c r="M531" s="769"/>
      <c r="N531" s="769"/>
      <c r="O531" s="769"/>
      <c r="P531" s="769"/>
      <c r="Q531" s="769"/>
      <c r="R531" s="769"/>
      <c r="S531" s="769"/>
      <c r="T531" s="769"/>
      <c r="U531" s="769"/>
      <c r="V531" s="769"/>
      <c r="W531" s="769"/>
      <c r="X531" s="769"/>
      <c r="Y531" s="769"/>
      <c r="Z531" s="769"/>
    </row>
    <row r="532" spans="1:26" ht="18.75" customHeight="1" x14ac:dyDescent="0.3">
      <c r="A532" s="769"/>
      <c r="B532" s="769"/>
      <c r="C532" s="769"/>
      <c r="D532" s="771"/>
      <c r="E532" s="769"/>
      <c r="F532" s="769"/>
      <c r="G532" s="769"/>
      <c r="H532" s="769"/>
      <c r="I532" s="769"/>
      <c r="J532" s="769"/>
      <c r="K532" s="772"/>
      <c r="L532" s="769"/>
      <c r="M532" s="769"/>
      <c r="N532" s="769"/>
      <c r="O532" s="769"/>
      <c r="P532" s="769"/>
      <c r="Q532" s="769"/>
      <c r="R532" s="769"/>
      <c r="S532" s="769"/>
      <c r="T532" s="769"/>
      <c r="U532" s="769"/>
      <c r="V532" s="769"/>
      <c r="W532" s="769"/>
      <c r="X532" s="769"/>
      <c r="Y532" s="769"/>
      <c r="Z532" s="769"/>
    </row>
    <row r="533" spans="1:26" ht="18.75" customHeight="1" x14ac:dyDescent="0.3">
      <c r="A533" s="769"/>
      <c r="B533" s="769"/>
      <c r="C533" s="769"/>
      <c r="D533" s="771"/>
      <c r="E533" s="769"/>
      <c r="F533" s="769"/>
      <c r="G533" s="769"/>
      <c r="H533" s="769"/>
      <c r="I533" s="769"/>
      <c r="J533" s="769"/>
      <c r="K533" s="772"/>
      <c r="L533" s="769"/>
      <c r="M533" s="769"/>
      <c r="N533" s="769"/>
      <c r="O533" s="769"/>
      <c r="P533" s="769"/>
      <c r="Q533" s="769"/>
      <c r="R533" s="769"/>
      <c r="S533" s="769"/>
      <c r="T533" s="769"/>
      <c r="U533" s="769"/>
      <c r="V533" s="769"/>
      <c r="W533" s="769"/>
      <c r="X533" s="769"/>
      <c r="Y533" s="769"/>
      <c r="Z533" s="769"/>
    </row>
    <row r="534" spans="1:26" ht="18.75" customHeight="1" x14ac:dyDescent="0.3">
      <c r="A534" s="769"/>
      <c r="B534" s="769"/>
      <c r="C534" s="769"/>
      <c r="D534" s="771"/>
      <c r="E534" s="769"/>
      <c r="F534" s="769"/>
      <c r="G534" s="769"/>
      <c r="H534" s="769"/>
      <c r="I534" s="769"/>
      <c r="J534" s="769"/>
      <c r="K534" s="772"/>
      <c r="L534" s="769"/>
      <c r="M534" s="769"/>
      <c r="N534" s="769"/>
      <c r="O534" s="769"/>
      <c r="P534" s="769"/>
      <c r="Q534" s="769"/>
      <c r="R534" s="769"/>
      <c r="S534" s="769"/>
      <c r="T534" s="769"/>
      <c r="U534" s="769"/>
      <c r="V534" s="769"/>
      <c r="W534" s="769"/>
      <c r="X534" s="769"/>
      <c r="Y534" s="769"/>
      <c r="Z534" s="769"/>
    </row>
    <row r="535" spans="1:26" ht="18.75" customHeight="1" x14ac:dyDescent="0.3">
      <c r="A535" s="769"/>
      <c r="B535" s="769"/>
      <c r="C535" s="769"/>
      <c r="D535" s="771"/>
      <c r="E535" s="769"/>
      <c r="F535" s="769"/>
      <c r="G535" s="769"/>
      <c r="H535" s="769"/>
      <c r="I535" s="769"/>
      <c r="J535" s="769"/>
      <c r="K535" s="772"/>
      <c r="L535" s="769"/>
      <c r="M535" s="769"/>
      <c r="N535" s="769"/>
      <c r="O535" s="769"/>
      <c r="P535" s="769"/>
      <c r="Q535" s="769"/>
      <c r="R535" s="769"/>
      <c r="S535" s="769"/>
      <c r="T535" s="769"/>
      <c r="U535" s="769"/>
      <c r="V535" s="769"/>
      <c r="W535" s="769"/>
      <c r="X535" s="769"/>
      <c r="Y535" s="769"/>
      <c r="Z535" s="769"/>
    </row>
    <row r="536" spans="1:26" ht="18.75" customHeight="1" x14ac:dyDescent="0.3">
      <c r="A536" s="769"/>
      <c r="B536" s="769"/>
      <c r="C536" s="769"/>
      <c r="D536" s="771"/>
      <c r="E536" s="769"/>
      <c r="F536" s="769"/>
      <c r="G536" s="769"/>
      <c r="H536" s="769"/>
      <c r="I536" s="769"/>
      <c r="J536" s="769"/>
      <c r="K536" s="772"/>
      <c r="L536" s="769"/>
      <c r="M536" s="769"/>
      <c r="N536" s="769"/>
      <c r="O536" s="769"/>
      <c r="P536" s="769"/>
      <c r="Q536" s="769"/>
      <c r="R536" s="769"/>
      <c r="S536" s="769"/>
      <c r="T536" s="769"/>
      <c r="U536" s="769"/>
      <c r="V536" s="769"/>
      <c r="W536" s="769"/>
      <c r="X536" s="769"/>
      <c r="Y536" s="769"/>
      <c r="Z536" s="769"/>
    </row>
    <row r="537" spans="1:26" ht="18.75" customHeight="1" x14ac:dyDescent="0.3">
      <c r="A537" s="769"/>
      <c r="B537" s="769"/>
      <c r="C537" s="769"/>
      <c r="D537" s="771"/>
      <c r="E537" s="769"/>
      <c r="F537" s="769"/>
      <c r="G537" s="769"/>
      <c r="H537" s="769"/>
      <c r="I537" s="769"/>
      <c r="J537" s="769"/>
      <c r="K537" s="772"/>
      <c r="L537" s="769"/>
      <c r="M537" s="769"/>
      <c r="N537" s="769"/>
      <c r="O537" s="769"/>
      <c r="P537" s="769"/>
      <c r="Q537" s="769"/>
      <c r="R537" s="769"/>
      <c r="S537" s="769"/>
      <c r="T537" s="769"/>
      <c r="U537" s="769"/>
      <c r="V537" s="769"/>
      <c r="W537" s="769"/>
      <c r="X537" s="769"/>
      <c r="Y537" s="769"/>
      <c r="Z537" s="769"/>
    </row>
    <row r="538" spans="1:26" ht="18.75" customHeight="1" x14ac:dyDescent="0.3">
      <c r="A538" s="769"/>
      <c r="B538" s="769"/>
      <c r="C538" s="769"/>
      <c r="D538" s="771"/>
      <c r="E538" s="769"/>
      <c r="F538" s="769"/>
      <c r="G538" s="769"/>
      <c r="H538" s="769"/>
      <c r="I538" s="769"/>
      <c r="J538" s="769"/>
      <c r="K538" s="772"/>
      <c r="L538" s="769"/>
      <c r="M538" s="769"/>
      <c r="N538" s="769"/>
      <c r="O538" s="769"/>
      <c r="P538" s="769"/>
      <c r="Q538" s="769"/>
      <c r="R538" s="769"/>
      <c r="S538" s="769"/>
      <c r="T538" s="769"/>
      <c r="U538" s="769"/>
      <c r="V538" s="769"/>
      <c r="W538" s="769"/>
      <c r="X538" s="769"/>
      <c r="Y538" s="769"/>
      <c r="Z538" s="769"/>
    </row>
    <row r="539" spans="1:26" ht="18.75" customHeight="1" x14ac:dyDescent="0.3">
      <c r="A539" s="769"/>
      <c r="B539" s="769"/>
      <c r="C539" s="769"/>
      <c r="D539" s="771"/>
      <c r="E539" s="769"/>
      <c r="F539" s="769"/>
      <c r="G539" s="769"/>
      <c r="H539" s="769"/>
      <c r="I539" s="769"/>
      <c r="J539" s="769"/>
      <c r="K539" s="772"/>
      <c r="L539" s="769"/>
      <c r="M539" s="769"/>
      <c r="N539" s="769"/>
      <c r="O539" s="769"/>
      <c r="P539" s="769"/>
      <c r="Q539" s="769"/>
      <c r="R539" s="769"/>
      <c r="S539" s="769"/>
      <c r="T539" s="769"/>
      <c r="U539" s="769"/>
      <c r="V539" s="769"/>
      <c r="W539" s="769"/>
      <c r="X539" s="769"/>
      <c r="Y539" s="769"/>
      <c r="Z539" s="769"/>
    </row>
    <row r="540" spans="1:26" ht="18.75" customHeight="1" x14ac:dyDescent="0.3">
      <c r="A540" s="769"/>
      <c r="B540" s="769"/>
      <c r="C540" s="769"/>
      <c r="D540" s="771"/>
      <c r="E540" s="769"/>
      <c r="F540" s="769"/>
      <c r="G540" s="769"/>
      <c r="H540" s="769"/>
      <c r="I540" s="769"/>
      <c r="J540" s="769"/>
      <c r="K540" s="772"/>
      <c r="L540" s="769"/>
      <c r="M540" s="769"/>
      <c r="N540" s="769"/>
      <c r="O540" s="769"/>
      <c r="P540" s="769"/>
      <c r="Q540" s="769"/>
      <c r="R540" s="769"/>
      <c r="S540" s="769"/>
      <c r="T540" s="769"/>
      <c r="U540" s="769"/>
      <c r="V540" s="769"/>
      <c r="W540" s="769"/>
      <c r="X540" s="769"/>
      <c r="Y540" s="769"/>
      <c r="Z540" s="769"/>
    </row>
    <row r="541" spans="1:26" ht="18.75" customHeight="1" x14ac:dyDescent="0.3">
      <c r="A541" s="769"/>
      <c r="B541" s="769"/>
      <c r="C541" s="769"/>
      <c r="D541" s="771"/>
      <c r="E541" s="769"/>
      <c r="F541" s="769"/>
      <c r="G541" s="769"/>
      <c r="H541" s="769"/>
      <c r="I541" s="769"/>
      <c r="J541" s="769"/>
      <c r="K541" s="772"/>
      <c r="L541" s="769"/>
      <c r="M541" s="769"/>
      <c r="N541" s="769"/>
      <c r="O541" s="769"/>
      <c r="P541" s="769"/>
      <c r="Q541" s="769"/>
      <c r="R541" s="769"/>
      <c r="S541" s="769"/>
      <c r="T541" s="769"/>
      <c r="U541" s="769"/>
      <c r="V541" s="769"/>
      <c r="W541" s="769"/>
      <c r="X541" s="769"/>
      <c r="Y541" s="769"/>
      <c r="Z541" s="769"/>
    </row>
    <row r="542" spans="1:26" ht="18.75" customHeight="1" x14ac:dyDescent="0.3">
      <c r="A542" s="769"/>
      <c r="B542" s="769"/>
      <c r="C542" s="769"/>
      <c r="D542" s="771"/>
      <c r="E542" s="769"/>
      <c r="F542" s="769"/>
      <c r="G542" s="769"/>
      <c r="H542" s="769"/>
      <c r="I542" s="769"/>
      <c r="J542" s="769"/>
      <c r="K542" s="772"/>
      <c r="L542" s="769"/>
      <c r="M542" s="769"/>
      <c r="N542" s="769"/>
      <c r="O542" s="769"/>
      <c r="P542" s="769"/>
      <c r="Q542" s="769"/>
      <c r="R542" s="769"/>
      <c r="S542" s="769"/>
      <c r="T542" s="769"/>
      <c r="U542" s="769"/>
      <c r="V542" s="769"/>
      <c r="W542" s="769"/>
      <c r="X542" s="769"/>
      <c r="Y542" s="769"/>
      <c r="Z542" s="769"/>
    </row>
    <row r="543" spans="1:26" ht="18.75" customHeight="1" x14ac:dyDescent="0.3">
      <c r="A543" s="769"/>
      <c r="B543" s="769"/>
      <c r="C543" s="769"/>
      <c r="D543" s="771"/>
      <c r="E543" s="769"/>
      <c r="F543" s="769"/>
      <c r="G543" s="769"/>
      <c r="H543" s="769"/>
      <c r="I543" s="769"/>
      <c r="J543" s="769"/>
      <c r="K543" s="772"/>
      <c r="L543" s="769"/>
      <c r="M543" s="769"/>
      <c r="N543" s="769"/>
      <c r="O543" s="769"/>
      <c r="P543" s="769"/>
      <c r="Q543" s="769"/>
      <c r="R543" s="769"/>
      <c r="S543" s="769"/>
      <c r="T543" s="769"/>
      <c r="U543" s="769"/>
      <c r="V543" s="769"/>
      <c r="W543" s="769"/>
      <c r="X543" s="769"/>
      <c r="Y543" s="769"/>
      <c r="Z543" s="769"/>
    </row>
    <row r="544" spans="1:26" ht="18.75" customHeight="1" x14ac:dyDescent="0.3">
      <c r="A544" s="769"/>
      <c r="B544" s="769"/>
      <c r="C544" s="769"/>
      <c r="D544" s="771"/>
      <c r="E544" s="769"/>
      <c r="F544" s="769"/>
      <c r="G544" s="769"/>
      <c r="H544" s="769"/>
      <c r="I544" s="769"/>
      <c r="J544" s="769"/>
      <c r="K544" s="772"/>
      <c r="L544" s="769"/>
      <c r="M544" s="769"/>
      <c r="N544" s="769"/>
      <c r="O544" s="769"/>
      <c r="P544" s="769"/>
      <c r="Q544" s="769"/>
      <c r="R544" s="769"/>
      <c r="S544" s="769"/>
      <c r="T544" s="769"/>
      <c r="U544" s="769"/>
      <c r="V544" s="769"/>
      <c r="W544" s="769"/>
      <c r="X544" s="769"/>
      <c r="Y544" s="769"/>
      <c r="Z544" s="769"/>
    </row>
    <row r="545" spans="1:26" ht="18.75" customHeight="1" x14ac:dyDescent="0.3">
      <c r="A545" s="769"/>
      <c r="B545" s="769"/>
      <c r="C545" s="769"/>
      <c r="D545" s="771"/>
      <c r="E545" s="769"/>
      <c r="F545" s="769"/>
      <c r="G545" s="769"/>
      <c r="H545" s="769"/>
      <c r="I545" s="769"/>
      <c r="J545" s="769"/>
      <c r="K545" s="772"/>
      <c r="L545" s="769"/>
      <c r="M545" s="769"/>
      <c r="N545" s="769"/>
      <c r="O545" s="769"/>
      <c r="P545" s="769"/>
      <c r="Q545" s="769"/>
      <c r="R545" s="769"/>
      <c r="S545" s="769"/>
      <c r="T545" s="769"/>
      <c r="U545" s="769"/>
      <c r="V545" s="769"/>
      <c r="W545" s="769"/>
      <c r="X545" s="769"/>
      <c r="Y545" s="769"/>
      <c r="Z545" s="769"/>
    </row>
    <row r="546" spans="1:26" ht="18.75" customHeight="1" x14ac:dyDescent="0.3">
      <c r="A546" s="769"/>
      <c r="B546" s="769"/>
      <c r="C546" s="769"/>
      <c r="D546" s="771"/>
      <c r="E546" s="769"/>
      <c r="F546" s="769"/>
      <c r="G546" s="769"/>
      <c r="H546" s="769"/>
      <c r="I546" s="769"/>
      <c r="J546" s="769"/>
      <c r="K546" s="772"/>
      <c r="L546" s="769"/>
      <c r="M546" s="769"/>
      <c r="N546" s="769"/>
      <c r="O546" s="769"/>
      <c r="P546" s="769"/>
      <c r="Q546" s="769"/>
      <c r="R546" s="769"/>
      <c r="S546" s="769"/>
      <c r="T546" s="769"/>
      <c r="U546" s="769"/>
      <c r="V546" s="769"/>
      <c r="W546" s="769"/>
      <c r="X546" s="769"/>
      <c r="Y546" s="769"/>
      <c r="Z546" s="769"/>
    </row>
    <row r="547" spans="1:26" ht="18.75" customHeight="1" x14ac:dyDescent="0.3">
      <c r="A547" s="769"/>
      <c r="B547" s="769"/>
      <c r="C547" s="769"/>
      <c r="D547" s="771"/>
      <c r="E547" s="769"/>
      <c r="F547" s="769"/>
      <c r="G547" s="769"/>
      <c r="H547" s="769"/>
      <c r="I547" s="769"/>
      <c r="J547" s="769"/>
      <c r="K547" s="772"/>
      <c r="L547" s="769"/>
      <c r="M547" s="769"/>
      <c r="N547" s="769"/>
      <c r="O547" s="769"/>
      <c r="P547" s="769"/>
      <c r="Q547" s="769"/>
      <c r="R547" s="769"/>
      <c r="S547" s="769"/>
      <c r="T547" s="769"/>
      <c r="U547" s="769"/>
      <c r="V547" s="769"/>
      <c r="W547" s="769"/>
      <c r="X547" s="769"/>
      <c r="Y547" s="769"/>
      <c r="Z547" s="769"/>
    </row>
    <row r="548" spans="1:26" ht="18.75" customHeight="1" x14ac:dyDescent="0.3">
      <c r="A548" s="769"/>
      <c r="B548" s="769"/>
      <c r="C548" s="769"/>
      <c r="D548" s="771"/>
      <c r="E548" s="769"/>
      <c r="F548" s="769"/>
      <c r="G548" s="769"/>
      <c r="H548" s="769"/>
      <c r="I548" s="769"/>
      <c r="J548" s="769"/>
      <c r="K548" s="772"/>
      <c r="L548" s="769"/>
      <c r="M548" s="769"/>
      <c r="N548" s="769"/>
      <c r="O548" s="769"/>
      <c r="P548" s="769"/>
      <c r="Q548" s="769"/>
      <c r="R548" s="769"/>
      <c r="S548" s="769"/>
      <c r="T548" s="769"/>
      <c r="U548" s="769"/>
      <c r="V548" s="769"/>
      <c r="W548" s="769"/>
      <c r="X548" s="769"/>
      <c r="Y548" s="769"/>
      <c r="Z548" s="769"/>
    </row>
    <row r="549" spans="1:26" ht="18.75" customHeight="1" x14ac:dyDescent="0.3">
      <c r="A549" s="769"/>
      <c r="B549" s="769"/>
      <c r="C549" s="769"/>
      <c r="D549" s="771"/>
      <c r="E549" s="769"/>
      <c r="F549" s="769"/>
      <c r="G549" s="769"/>
      <c r="H549" s="769"/>
      <c r="I549" s="769"/>
      <c r="J549" s="769"/>
      <c r="K549" s="772"/>
      <c r="L549" s="769"/>
      <c r="M549" s="769"/>
      <c r="N549" s="769"/>
      <c r="O549" s="769"/>
      <c r="P549" s="769"/>
      <c r="Q549" s="769"/>
      <c r="R549" s="769"/>
      <c r="S549" s="769"/>
      <c r="T549" s="769"/>
      <c r="U549" s="769"/>
      <c r="V549" s="769"/>
      <c r="W549" s="769"/>
      <c r="X549" s="769"/>
      <c r="Y549" s="769"/>
      <c r="Z549" s="769"/>
    </row>
    <row r="550" spans="1:26" ht="18.75" customHeight="1" x14ac:dyDescent="0.3">
      <c r="A550" s="769"/>
      <c r="B550" s="769"/>
      <c r="C550" s="769"/>
      <c r="D550" s="771"/>
      <c r="E550" s="769"/>
      <c r="F550" s="769"/>
      <c r="G550" s="769"/>
      <c r="H550" s="769"/>
      <c r="I550" s="769"/>
      <c r="J550" s="769"/>
      <c r="K550" s="772"/>
      <c r="L550" s="769"/>
      <c r="M550" s="769"/>
      <c r="N550" s="769"/>
      <c r="O550" s="769"/>
      <c r="P550" s="769"/>
      <c r="Q550" s="769"/>
      <c r="R550" s="769"/>
      <c r="S550" s="769"/>
      <c r="T550" s="769"/>
      <c r="U550" s="769"/>
      <c r="V550" s="769"/>
      <c r="W550" s="769"/>
      <c r="X550" s="769"/>
      <c r="Y550" s="769"/>
      <c r="Z550" s="769"/>
    </row>
    <row r="551" spans="1:26" ht="18.75" customHeight="1" x14ac:dyDescent="0.3">
      <c r="A551" s="769"/>
      <c r="B551" s="769"/>
      <c r="C551" s="769"/>
      <c r="D551" s="771"/>
      <c r="E551" s="769"/>
      <c r="F551" s="769"/>
      <c r="G551" s="769"/>
      <c r="H551" s="769"/>
      <c r="I551" s="769"/>
      <c r="J551" s="769"/>
      <c r="K551" s="772"/>
      <c r="L551" s="769"/>
      <c r="M551" s="769"/>
      <c r="N551" s="769"/>
      <c r="O551" s="769"/>
      <c r="P551" s="769"/>
      <c r="Q551" s="769"/>
      <c r="R551" s="769"/>
      <c r="S551" s="769"/>
      <c r="T551" s="769"/>
      <c r="U551" s="769"/>
      <c r="V551" s="769"/>
      <c r="W551" s="769"/>
      <c r="X551" s="769"/>
      <c r="Y551" s="769"/>
      <c r="Z551" s="769"/>
    </row>
    <row r="552" spans="1:26" ht="18.75" customHeight="1" x14ac:dyDescent="0.3">
      <c r="A552" s="769"/>
      <c r="B552" s="769"/>
      <c r="C552" s="769"/>
      <c r="D552" s="771"/>
      <c r="E552" s="769"/>
      <c r="F552" s="769"/>
      <c r="G552" s="769"/>
      <c r="H552" s="769"/>
      <c r="I552" s="769"/>
      <c r="J552" s="769"/>
      <c r="K552" s="772"/>
      <c r="L552" s="769"/>
      <c r="M552" s="769"/>
      <c r="N552" s="769"/>
      <c r="O552" s="769"/>
      <c r="P552" s="769"/>
      <c r="Q552" s="769"/>
      <c r="R552" s="769"/>
      <c r="S552" s="769"/>
      <c r="T552" s="769"/>
      <c r="U552" s="769"/>
      <c r="V552" s="769"/>
      <c r="W552" s="769"/>
      <c r="X552" s="769"/>
      <c r="Y552" s="769"/>
      <c r="Z552" s="769"/>
    </row>
    <row r="553" spans="1:26" ht="18.75" customHeight="1" x14ac:dyDescent="0.3">
      <c r="A553" s="769"/>
      <c r="B553" s="769"/>
      <c r="C553" s="769"/>
      <c r="D553" s="771"/>
      <c r="E553" s="769"/>
      <c r="F553" s="769"/>
      <c r="G553" s="769"/>
      <c r="H553" s="769"/>
      <c r="I553" s="769"/>
      <c r="J553" s="769"/>
      <c r="K553" s="772"/>
      <c r="L553" s="769"/>
      <c r="M553" s="769"/>
      <c r="N553" s="769"/>
      <c r="O553" s="769"/>
      <c r="P553" s="769"/>
      <c r="Q553" s="769"/>
      <c r="R553" s="769"/>
      <c r="S553" s="769"/>
      <c r="T553" s="769"/>
      <c r="U553" s="769"/>
      <c r="V553" s="769"/>
      <c r="W553" s="769"/>
      <c r="X553" s="769"/>
      <c r="Y553" s="769"/>
      <c r="Z553" s="769"/>
    </row>
    <row r="554" spans="1:26" ht="18.75" customHeight="1" x14ac:dyDescent="0.3">
      <c r="A554" s="769"/>
      <c r="B554" s="769"/>
      <c r="C554" s="769"/>
      <c r="D554" s="771"/>
      <c r="E554" s="769"/>
      <c r="F554" s="769"/>
      <c r="G554" s="769"/>
      <c r="H554" s="769"/>
      <c r="I554" s="769"/>
      <c r="J554" s="769"/>
      <c r="K554" s="772"/>
      <c r="L554" s="769"/>
      <c r="M554" s="769"/>
      <c r="N554" s="769"/>
      <c r="O554" s="769"/>
      <c r="P554" s="769"/>
      <c r="Q554" s="769"/>
      <c r="R554" s="769"/>
      <c r="S554" s="769"/>
      <c r="T554" s="769"/>
      <c r="U554" s="769"/>
      <c r="V554" s="769"/>
      <c r="W554" s="769"/>
      <c r="X554" s="769"/>
      <c r="Y554" s="769"/>
      <c r="Z554" s="769"/>
    </row>
    <row r="555" spans="1:26" ht="18.75" customHeight="1" x14ac:dyDescent="0.3">
      <c r="A555" s="769"/>
      <c r="B555" s="769"/>
      <c r="C555" s="769"/>
      <c r="D555" s="771"/>
      <c r="E555" s="769"/>
      <c r="F555" s="769"/>
      <c r="G555" s="769"/>
      <c r="H555" s="769"/>
      <c r="I555" s="769"/>
      <c r="J555" s="769"/>
      <c r="K555" s="772"/>
      <c r="L555" s="769"/>
      <c r="M555" s="769"/>
      <c r="N555" s="769"/>
      <c r="O555" s="769"/>
      <c r="P555" s="769"/>
      <c r="Q555" s="769"/>
      <c r="R555" s="769"/>
      <c r="S555" s="769"/>
      <c r="T555" s="769"/>
      <c r="U555" s="769"/>
      <c r="V555" s="769"/>
      <c r="W555" s="769"/>
      <c r="X555" s="769"/>
      <c r="Y555" s="769"/>
      <c r="Z555" s="769"/>
    </row>
    <row r="556" spans="1:26" ht="18.75" customHeight="1" x14ac:dyDescent="0.3">
      <c r="A556" s="769"/>
      <c r="B556" s="769"/>
      <c r="C556" s="769"/>
      <c r="D556" s="771"/>
      <c r="E556" s="769"/>
      <c r="F556" s="769"/>
      <c r="G556" s="769"/>
      <c r="H556" s="769"/>
      <c r="I556" s="769"/>
      <c r="J556" s="769"/>
      <c r="K556" s="772"/>
      <c r="L556" s="769"/>
      <c r="M556" s="769"/>
      <c r="N556" s="769"/>
      <c r="O556" s="769"/>
      <c r="P556" s="769"/>
      <c r="Q556" s="769"/>
      <c r="R556" s="769"/>
      <c r="S556" s="769"/>
      <c r="T556" s="769"/>
      <c r="U556" s="769"/>
      <c r="V556" s="769"/>
      <c r="W556" s="769"/>
      <c r="X556" s="769"/>
      <c r="Y556" s="769"/>
      <c r="Z556" s="769"/>
    </row>
    <row r="557" spans="1:26" ht="18.75" customHeight="1" x14ac:dyDescent="0.3">
      <c r="A557" s="769"/>
      <c r="B557" s="769"/>
      <c r="C557" s="769"/>
      <c r="D557" s="771"/>
      <c r="E557" s="769"/>
      <c r="F557" s="769"/>
      <c r="G557" s="769"/>
      <c r="H557" s="769"/>
      <c r="I557" s="769"/>
      <c r="J557" s="769"/>
      <c r="K557" s="772"/>
      <c r="L557" s="769"/>
      <c r="M557" s="769"/>
      <c r="N557" s="769"/>
      <c r="O557" s="769"/>
      <c r="P557" s="769"/>
      <c r="Q557" s="769"/>
      <c r="R557" s="769"/>
      <c r="S557" s="769"/>
      <c r="T557" s="769"/>
      <c r="U557" s="769"/>
      <c r="V557" s="769"/>
      <c r="W557" s="769"/>
      <c r="X557" s="769"/>
      <c r="Y557" s="769"/>
      <c r="Z557" s="769"/>
    </row>
    <row r="558" spans="1:26" ht="18.75" customHeight="1" x14ac:dyDescent="0.3">
      <c r="A558" s="769"/>
      <c r="B558" s="769"/>
      <c r="C558" s="769"/>
      <c r="D558" s="771"/>
      <c r="E558" s="769"/>
      <c r="F558" s="769"/>
      <c r="G558" s="769"/>
      <c r="H558" s="769"/>
      <c r="I558" s="769"/>
      <c r="J558" s="769"/>
      <c r="K558" s="772"/>
      <c r="L558" s="769"/>
      <c r="M558" s="769"/>
      <c r="N558" s="769"/>
      <c r="O558" s="769"/>
      <c r="P558" s="769"/>
      <c r="Q558" s="769"/>
      <c r="R558" s="769"/>
      <c r="S558" s="769"/>
      <c r="T558" s="769"/>
      <c r="U558" s="769"/>
      <c r="V558" s="769"/>
      <c r="W558" s="769"/>
      <c r="X558" s="769"/>
      <c r="Y558" s="769"/>
      <c r="Z558" s="769"/>
    </row>
    <row r="559" spans="1:26" ht="18.75" customHeight="1" x14ac:dyDescent="0.3">
      <c r="A559" s="769"/>
      <c r="B559" s="769"/>
      <c r="C559" s="769"/>
      <c r="D559" s="771"/>
      <c r="E559" s="769"/>
      <c r="F559" s="769"/>
      <c r="G559" s="769"/>
      <c r="H559" s="769"/>
      <c r="I559" s="769"/>
      <c r="J559" s="769"/>
      <c r="K559" s="772"/>
      <c r="L559" s="769"/>
      <c r="M559" s="769"/>
      <c r="N559" s="769"/>
      <c r="O559" s="769"/>
      <c r="P559" s="769"/>
      <c r="Q559" s="769"/>
      <c r="R559" s="769"/>
      <c r="S559" s="769"/>
      <c r="T559" s="769"/>
      <c r="U559" s="769"/>
      <c r="V559" s="769"/>
      <c r="W559" s="769"/>
      <c r="X559" s="769"/>
      <c r="Y559" s="769"/>
      <c r="Z559" s="769"/>
    </row>
    <row r="560" spans="1:26" ht="18.75" customHeight="1" x14ac:dyDescent="0.3">
      <c r="A560" s="769"/>
      <c r="B560" s="769"/>
      <c r="C560" s="769"/>
      <c r="D560" s="771"/>
      <c r="E560" s="769"/>
      <c r="F560" s="769"/>
      <c r="G560" s="769"/>
      <c r="H560" s="769"/>
      <c r="I560" s="769"/>
      <c r="J560" s="769"/>
      <c r="K560" s="772"/>
      <c r="L560" s="769"/>
      <c r="M560" s="769"/>
      <c r="N560" s="769"/>
      <c r="O560" s="769"/>
      <c r="P560" s="769"/>
      <c r="Q560" s="769"/>
      <c r="R560" s="769"/>
      <c r="S560" s="769"/>
      <c r="T560" s="769"/>
      <c r="U560" s="769"/>
      <c r="V560" s="769"/>
      <c r="W560" s="769"/>
      <c r="X560" s="769"/>
      <c r="Y560" s="769"/>
      <c r="Z560" s="769"/>
    </row>
    <row r="561" spans="1:26" ht="18.75" customHeight="1" x14ac:dyDescent="0.3">
      <c r="A561" s="769"/>
      <c r="B561" s="769"/>
      <c r="C561" s="769"/>
      <c r="D561" s="771"/>
      <c r="E561" s="769"/>
      <c r="F561" s="769"/>
      <c r="G561" s="769"/>
      <c r="H561" s="769"/>
      <c r="I561" s="769"/>
      <c r="J561" s="769"/>
      <c r="K561" s="772"/>
      <c r="L561" s="769"/>
      <c r="M561" s="769"/>
      <c r="N561" s="769"/>
      <c r="O561" s="769"/>
      <c r="P561" s="769"/>
      <c r="Q561" s="769"/>
      <c r="R561" s="769"/>
      <c r="S561" s="769"/>
      <c r="T561" s="769"/>
      <c r="U561" s="769"/>
      <c r="V561" s="769"/>
      <c r="W561" s="769"/>
      <c r="X561" s="769"/>
      <c r="Y561" s="769"/>
      <c r="Z561" s="769"/>
    </row>
    <row r="562" spans="1:26" ht="18.75" customHeight="1" x14ac:dyDescent="0.3">
      <c r="A562" s="769"/>
      <c r="B562" s="769"/>
      <c r="C562" s="769"/>
      <c r="D562" s="771"/>
      <c r="E562" s="769"/>
      <c r="F562" s="769"/>
      <c r="G562" s="769"/>
      <c r="H562" s="769"/>
      <c r="I562" s="769"/>
      <c r="J562" s="769"/>
      <c r="K562" s="772"/>
      <c r="L562" s="769"/>
      <c r="M562" s="769"/>
      <c r="N562" s="769"/>
      <c r="O562" s="769"/>
      <c r="P562" s="769"/>
      <c r="Q562" s="769"/>
      <c r="R562" s="769"/>
      <c r="S562" s="769"/>
      <c r="T562" s="769"/>
      <c r="U562" s="769"/>
      <c r="V562" s="769"/>
      <c r="W562" s="769"/>
      <c r="X562" s="769"/>
      <c r="Y562" s="769"/>
      <c r="Z562" s="769"/>
    </row>
    <row r="563" spans="1:26" ht="18.75" customHeight="1" x14ac:dyDescent="0.3">
      <c r="A563" s="769"/>
      <c r="B563" s="769"/>
      <c r="C563" s="769"/>
      <c r="D563" s="771"/>
      <c r="E563" s="769"/>
      <c r="F563" s="769"/>
      <c r="G563" s="769"/>
      <c r="H563" s="769"/>
      <c r="I563" s="769"/>
      <c r="J563" s="769"/>
      <c r="K563" s="772"/>
      <c r="L563" s="769"/>
      <c r="M563" s="769"/>
      <c r="N563" s="769"/>
      <c r="O563" s="769"/>
      <c r="P563" s="769"/>
      <c r="Q563" s="769"/>
      <c r="R563" s="769"/>
      <c r="S563" s="769"/>
      <c r="T563" s="769"/>
      <c r="U563" s="769"/>
      <c r="V563" s="769"/>
      <c r="W563" s="769"/>
      <c r="X563" s="769"/>
      <c r="Y563" s="769"/>
      <c r="Z563" s="769"/>
    </row>
    <row r="564" spans="1:26" ht="18.75" customHeight="1" x14ac:dyDescent="0.3">
      <c r="A564" s="769"/>
      <c r="B564" s="769"/>
      <c r="C564" s="769"/>
      <c r="D564" s="771"/>
      <c r="E564" s="769"/>
      <c r="F564" s="769"/>
      <c r="G564" s="769"/>
      <c r="H564" s="769"/>
      <c r="I564" s="769"/>
      <c r="J564" s="769"/>
      <c r="K564" s="772"/>
      <c r="L564" s="769"/>
      <c r="M564" s="769"/>
      <c r="N564" s="769"/>
      <c r="O564" s="769"/>
      <c r="P564" s="769"/>
      <c r="Q564" s="769"/>
      <c r="R564" s="769"/>
      <c r="S564" s="769"/>
      <c r="T564" s="769"/>
      <c r="U564" s="769"/>
      <c r="V564" s="769"/>
      <c r="W564" s="769"/>
      <c r="X564" s="769"/>
      <c r="Y564" s="769"/>
      <c r="Z564" s="769"/>
    </row>
    <row r="565" spans="1:26" ht="18.75" customHeight="1" x14ac:dyDescent="0.3">
      <c r="A565" s="769"/>
      <c r="B565" s="769"/>
      <c r="C565" s="769"/>
      <c r="D565" s="771"/>
      <c r="E565" s="769"/>
      <c r="F565" s="769"/>
      <c r="G565" s="769"/>
      <c r="H565" s="769"/>
      <c r="I565" s="769"/>
      <c r="J565" s="769"/>
      <c r="K565" s="772"/>
      <c r="L565" s="769"/>
      <c r="M565" s="769"/>
      <c r="N565" s="769"/>
      <c r="O565" s="769"/>
      <c r="P565" s="769"/>
      <c r="Q565" s="769"/>
      <c r="R565" s="769"/>
      <c r="S565" s="769"/>
      <c r="T565" s="769"/>
      <c r="U565" s="769"/>
      <c r="V565" s="769"/>
      <c r="W565" s="769"/>
      <c r="X565" s="769"/>
      <c r="Y565" s="769"/>
      <c r="Z565" s="769"/>
    </row>
    <row r="566" spans="1:26" ht="18.75" customHeight="1" x14ac:dyDescent="0.3">
      <c r="A566" s="769"/>
      <c r="B566" s="769"/>
      <c r="C566" s="769"/>
      <c r="D566" s="771"/>
      <c r="E566" s="769"/>
      <c r="F566" s="769"/>
      <c r="G566" s="769"/>
      <c r="H566" s="769"/>
      <c r="I566" s="769"/>
      <c r="J566" s="769"/>
      <c r="K566" s="772"/>
      <c r="L566" s="769"/>
      <c r="M566" s="769"/>
      <c r="N566" s="769"/>
      <c r="O566" s="769"/>
      <c r="P566" s="769"/>
      <c r="Q566" s="769"/>
      <c r="R566" s="769"/>
      <c r="S566" s="769"/>
      <c r="T566" s="769"/>
      <c r="U566" s="769"/>
      <c r="V566" s="769"/>
      <c r="W566" s="769"/>
      <c r="X566" s="769"/>
      <c r="Y566" s="769"/>
      <c r="Z566" s="769"/>
    </row>
    <row r="567" spans="1:26" ht="18.75" customHeight="1" x14ac:dyDescent="0.3">
      <c r="A567" s="769"/>
      <c r="B567" s="769"/>
      <c r="C567" s="769"/>
      <c r="D567" s="771"/>
      <c r="E567" s="769"/>
      <c r="F567" s="769"/>
      <c r="G567" s="769"/>
      <c r="H567" s="769"/>
      <c r="I567" s="769"/>
      <c r="J567" s="769"/>
      <c r="K567" s="772"/>
      <c r="L567" s="769"/>
      <c r="M567" s="769"/>
      <c r="N567" s="769"/>
      <c r="O567" s="769"/>
      <c r="P567" s="769"/>
      <c r="Q567" s="769"/>
      <c r="R567" s="769"/>
      <c r="S567" s="769"/>
      <c r="T567" s="769"/>
      <c r="U567" s="769"/>
      <c r="V567" s="769"/>
      <c r="W567" s="769"/>
      <c r="X567" s="769"/>
      <c r="Y567" s="769"/>
      <c r="Z567" s="769"/>
    </row>
    <row r="568" spans="1:26" ht="18.75" customHeight="1" x14ac:dyDescent="0.3">
      <c r="A568" s="769"/>
      <c r="B568" s="769"/>
      <c r="C568" s="769"/>
      <c r="D568" s="771"/>
      <c r="E568" s="769"/>
      <c r="F568" s="769"/>
      <c r="G568" s="769"/>
      <c r="H568" s="769"/>
      <c r="I568" s="769"/>
      <c r="J568" s="769"/>
      <c r="K568" s="772"/>
      <c r="L568" s="769"/>
      <c r="M568" s="769"/>
      <c r="N568" s="769"/>
      <c r="O568" s="769"/>
      <c r="P568" s="769"/>
      <c r="Q568" s="769"/>
      <c r="R568" s="769"/>
      <c r="S568" s="769"/>
      <c r="T568" s="769"/>
      <c r="U568" s="769"/>
      <c r="V568" s="769"/>
      <c r="W568" s="769"/>
      <c r="X568" s="769"/>
      <c r="Y568" s="769"/>
      <c r="Z568" s="769"/>
    </row>
    <row r="569" spans="1:26" ht="18.75" customHeight="1" x14ac:dyDescent="0.3">
      <c r="A569" s="769"/>
      <c r="B569" s="769"/>
      <c r="C569" s="769"/>
      <c r="D569" s="771"/>
      <c r="E569" s="769"/>
      <c r="F569" s="769"/>
      <c r="G569" s="769"/>
      <c r="H569" s="769"/>
      <c r="I569" s="769"/>
      <c r="J569" s="769"/>
      <c r="K569" s="772"/>
      <c r="L569" s="769"/>
      <c r="M569" s="769"/>
      <c r="N569" s="769"/>
      <c r="O569" s="769"/>
      <c r="P569" s="769"/>
      <c r="Q569" s="769"/>
      <c r="R569" s="769"/>
      <c r="S569" s="769"/>
      <c r="T569" s="769"/>
      <c r="U569" s="769"/>
      <c r="V569" s="769"/>
      <c r="W569" s="769"/>
      <c r="X569" s="769"/>
      <c r="Y569" s="769"/>
      <c r="Z569" s="769"/>
    </row>
    <row r="570" spans="1:26" ht="18.75" customHeight="1" x14ac:dyDescent="0.3">
      <c r="A570" s="769"/>
      <c r="B570" s="769"/>
      <c r="C570" s="769"/>
      <c r="D570" s="771"/>
      <c r="E570" s="769"/>
      <c r="F570" s="769"/>
      <c r="G570" s="769"/>
      <c r="H570" s="769"/>
      <c r="I570" s="769"/>
      <c r="J570" s="769"/>
      <c r="K570" s="772"/>
      <c r="L570" s="769"/>
      <c r="M570" s="769"/>
      <c r="N570" s="769"/>
      <c r="O570" s="769"/>
      <c r="P570" s="769"/>
      <c r="Q570" s="769"/>
      <c r="R570" s="769"/>
      <c r="S570" s="769"/>
      <c r="T570" s="769"/>
      <c r="U570" s="769"/>
      <c r="V570" s="769"/>
      <c r="W570" s="769"/>
      <c r="X570" s="769"/>
      <c r="Y570" s="769"/>
      <c r="Z570" s="769"/>
    </row>
    <row r="571" spans="1:26" ht="18.75" customHeight="1" x14ac:dyDescent="0.3">
      <c r="A571" s="769"/>
      <c r="B571" s="769"/>
      <c r="C571" s="769"/>
      <c r="D571" s="771"/>
      <c r="E571" s="769"/>
      <c r="F571" s="769"/>
      <c r="G571" s="769"/>
      <c r="H571" s="769"/>
      <c r="I571" s="769"/>
      <c r="J571" s="769"/>
      <c r="K571" s="772"/>
      <c r="L571" s="769"/>
      <c r="M571" s="769"/>
      <c r="N571" s="769"/>
      <c r="O571" s="769"/>
      <c r="P571" s="769"/>
      <c r="Q571" s="769"/>
      <c r="R571" s="769"/>
      <c r="S571" s="769"/>
      <c r="T571" s="769"/>
      <c r="U571" s="769"/>
      <c r="V571" s="769"/>
      <c r="W571" s="769"/>
      <c r="X571" s="769"/>
      <c r="Y571" s="769"/>
      <c r="Z571" s="769"/>
    </row>
    <row r="572" spans="1:26" ht="18.75" customHeight="1" x14ac:dyDescent="0.3">
      <c r="A572" s="769"/>
      <c r="B572" s="769"/>
      <c r="C572" s="769"/>
      <c r="D572" s="771"/>
      <c r="E572" s="769"/>
      <c r="F572" s="769"/>
      <c r="G572" s="769"/>
      <c r="H572" s="769"/>
      <c r="I572" s="769"/>
      <c r="J572" s="769"/>
      <c r="K572" s="772"/>
      <c r="L572" s="769"/>
      <c r="M572" s="769"/>
      <c r="N572" s="769"/>
      <c r="O572" s="769"/>
      <c r="P572" s="769"/>
      <c r="Q572" s="769"/>
      <c r="R572" s="769"/>
      <c r="S572" s="769"/>
      <c r="T572" s="769"/>
      <c r="U572" s="769"/>
      <c r="V572" s="769"/>
      <c r="W572" s="769"/>
      <c r="X572" s="769"/>
      <c r="Y572" s="769"/>
      <c r="Z572" s="769"/>
    </row>
    <row r="573" spans="1:26" ht="18.75" customHeight="1" x14ac:dyDescent="0.3">
      <c r="A573" s="769"/>
      <c r="B573" s="769"/>
      <c r="C573" s="769"/>
      <c r="D573" s="771"/>
      <c r="E573" s="769"/>
      <c r="F573" s="769"/>
      <c r="G573" s="769"/>
      <c r="H573" s="769"/>
      <c r="I573" s="769"/>
      <c r="J573" s="769"/>
      <c r="K573" s="772"/>
      <c r="L573" s="769"/>
      <c r="M573" s="769"/>
      <c r="N573" s="769"/>
      <c r="O573" s="769"/>
      <c r="P573" s="769"/>
      <c r="Q573" s="769"/>
      <c r="R573" s="769"/>
      <c r="S573" s="769"/>
      <c r="T573" s="769"/>
      <c r="U573" s="769"/>
      <c r="V573" s="769"/>
      <c r="W573" s="769"/>
      <c r="X573" s="769"/>
      <c r="Y573" s="769"/>
      <c r="Z573" s="769"/>
    </row>
    <row r="574" spans="1:26" ht="18.75" customHeight="1" x14ac:dyDescent="0.3">
      <c r="A574" s="769"/>
      <c r="B574" s="769"/>
      <c r="C574" s="769"/>
      <c r="D574" s="771"/>
      <c r="E574" s="769"/>
      <c r="F574" s="769"/>
      <c r="G574" s="769"/>
      <c r="H574" s="769"/>
      <c r="I574" s="769"/>
      <c r="J574" s="769"/>
      <c r="K574" s="772"/>
      <c r="L574" s="769"/>
      <c r="M574" s="769"/>
      <c r="N574" s="769"/>
      <c r="O574" s="769"/>
      <c r="P574" s="769"/>
      <c r="Q574" s="769"/>
      <c r="R574" s="769"/>
      <c r="S574" s="769"/>
      <c r="T574" s="769"/>
      <c r="U574" s="769"/>
      <c r="V574" s="769"/>
      <c r="W574" s="769"/>
      <c r="X574" s="769"/>
      <c r="Y574" s="769"/>
      <c r="Z574" s="769"/>
    </row>
    <row r="575" spans="1:26" ht="18.75" customHeight="1" x14ac:dyDescent="0.3">
      <c r="A575" s="769"/>
      <c r="B575" s="769"/>
      <c r="C575" s="769"/>
      <c r="D575" s="771"/>
      <c r="E575" s="769"/>
      <c r="F575" s="769"/>
      <c r="G575" s="769"/>
      <c r="H575" s="769"/>
      <c r="I575" s="769"/>
      <c r="J575" s="769"/>
      <c r="K575" s="772"/>
      <c r="L575" s="769"/>
      <c r="M575" s="769"/>
      <c r="N575" s="769"/>
      <c r="O575" s="769"/>
      <c r="P575" s="769"/>
      <c r="Q575" s="769"/>
      <c r="R575" s="769"/>
      <c r="S575" s="769"/>
      <c r="T575" s="769"/>
      <c r="U575" s="769"/>
      <c r="V575" s="769"/>
      <c r="W575" s="769"/>
      <c r="X575" s="769"/>
      <c r="Y575" s="769"/>
      <c r="Z575" s="769"/>
    </row>
    <row r="576" spans="1:26" ht="18.75" customHeight="1" x14ac:dyDescent="0.3">
      <c r="A576" s="769"/>
      <c r="B576" s="769"/>
      <c r="C576" s="769"/>
      <c r="D576" s="771"/>
      <c r="E576" s="769"/>
      <c r="F576" s="769"/>
      <c r="G576" s="769"/>
      <c r="H576" s="769"/>
      <c r="I576" s="769"/>
      <c r="J576" s="769"/>
      <c r="K576" s="772"/>
      <c r="L576" s="769"/>
      <c r="M576" s="769"/>
      <c r="N576" s="769"/>
      <c r="O576" s="769"/>
      <c r="P576" s="769"/>
      <c r="Q576" s="769"/>
      <c r="R576" s="769"/>
      <c r="S576" s="769"/>
      <c r="T576" s="769"/>
      <c r="U576" s="769"/>
      <c r="V576" s="769"/>
      <c r="W576" s="769"/>
      <c r="X576" s="769"/>
      <c r="Y576" s="769"/>
      <c r="Z576" s="769"/>
    </row>
    <row r="577" spans="1:26" ht="18.75" customHeight="1" x14ac:dyDescent="0.3">
      <c r="A577" s="769"/>
      <c r="B577" s="769"/>
      <c r="C577" s="769"/>
      <c r="D577" s="771"/>
      <c r="E577" s="769"/>
      <c r="F577" s="769"/>
      <c r="G577" s="769"/>
      <c r="H577" s="769"/>
      <c r="I577" s="769"/>
      <c r="J577" s="769"/>
      <c r="K577" s="772"/>
      <c r="L577" s="769"/>
      <c r="M577" s="769"/>
      <c r="N577" s="769"/>
      <c r="O577" s="769"/>
      <c r="P577" s="769"/>
      <c r="Q577" s="769"/>
      <c r="R577" s="769"/>
      <c r="S577" s="769"/>
      <c r="T577" s="769"/>
      <c r="U577" s="769"/>
      <c r="V577" s="769"/>
      <c r="W577" s="769"/>
      <c r="X577" s="769"/>
      <c r="Y577" s="769"/>
      <c r="Z577" s="769"/>
    </row>
    <row r="578" spans="1:26" ht="18.75" customHeight="1" x14ac:dyDescent="0.3">
      <c r="A578" s="769"/>
      <c r="B578" s="769"/>
      <c r="C578" s="769"/>
      <c r="D578" s="771"/>
      <c r="E578" s="769"/>
      <c r="F578" s="769"/>
      <c r="G578" s="769"/>
      <c r="H578" s="769"/>
      <c r="I578" s="769"/>
      <c r="J578" s="769"/>
      <c r="K578" s="772"/>
      <c r="L578" s="769"/>
      <c r="M578" s="769"/>
      <c r="N578" s="769"/>
      <c r="O578" s="769"/>
      <c r="P578" s="769"/>
      <c r="Q578" s="769"/>
      <c r="R578" s="769"/>
      <c r="S578" s="769"/>
      <c r="T578" s="769"/>
      <c r="U578" s="769"/>
      <c r="V578" s="769"/>
      <c r="W578" s="769"/>
      <c r="X578" s="769"/>
      <c r="Y578" s="769"/>
      <c r="Z578" s="769"/>
    </row>
    <row r="579" spans="1:26" ht="18.75" customHeight="1" x14ac:dyDescent="0.3">
      <c r="A579" s="769"/>
      <c r="B579" s="769"/>
      <c r="C579" s="769"/>
      <c r="D579" s="771"/>
      <c r="E579" s="769"/>
      <c r="F579" s="769"/>
      <c r="G579" s="769"/>
      <c r="H579" s="769"/>
      <c r="I579" s="769"/>
      <c r="J579" s="769"/>
      <c r="K579" s="772"/>
      <c r="L579" s="769"/>
      <c r="M579" s="769"/>
      <c r="N579" s="769"/>
      <c r="O579" s="769"/>
      <c r="P579" s="769"/>
      <c r="Q579" s="769"/>
      <c r="R579" s="769"/>
      <c r="S579" s="769"/>
      <c r="T579" s="769"/>
      <c r="U579" s="769"/>
      <c r="V579" s="769"/>
      <c r="W579" s="769"/>
      <c r="X579" s="769"/>
      <c r="Y579" s="769"/>
      <c r="Z579" s="769"/>
    </row>
    <row r="580" spans="1:26" ht="18.75" customHeight="1" x14ac:dyDescent="0.3">
      <c r="A580" s="769"/>
      <c r="B580" s="769"/>
      <c r="C580" s="769"/>
      <c r="D580" s="771"/>
      <c r="E580" s="769"/>
      <c r="F580" s="769"/>
      <c r="G580" s="769"/>
      <c r="H580" s="769"/>
      <c r="I580" s="769"/>
      <c r="J580" s="769"/>
      <c r="K580" s="772"/>
      <c r="L580" s="769"/>
      <c r="M580" s="769"/>
      <c r="N580" s="769"/>
      <c r="O580" s="769"/>
      <c r="P580" s="769"/>
      <c r="Q580" s="769"/>
      <c r="R580" s="769"/>
      <c r="S580" s="769"/>
      <c r="T580" s="769"/>
      <c r="U580" s="769"/>
      <c r="V580" s="769"/>
      <c r="W580" s="769"/>
      <c r="X580" s="769"/>
      <c r="Y580" s="769"/>
      <c r="Z580" s="769"/>
    </row>
    <row r="581" spans="1:26" ht="18.75" customHeight="1" x14ac:dyDescent="0.3">
      <c r="A581" s="769"/>
      <c r="B581" s="769"/>
      <c r="C581" s="769"/>
      <c r="D581" s="771"/>
      <c r="E581" s="769"/>
      <c r="F581" s="769"/>
      <c r="G581" s="769"/>
      <c r="H581" s="769"/>
      <c r="I581" s="769"/>
      <c r="J581" s="769"/>
      <c r="K581" s="772"/>
      <c r="L581" s="769"/>
      <c r="M581" s="769"/>
      <c r="N581" s="769"/>
      <c r="O581" s="769"/>
      <c r="P581" s="769"/>
      <c r="Q581" s="769"/>
      <c r="R581" s="769"/>
      <c r="S581" s="769"/>
      <c r="T581" s="769"/>
      <c r="U581" s="769"/>
      <c r="V581" s="769"/>
      <c r="W581" s="769"/>
      <c r="X581" s="769"/>
      <c r="Y581" s="769"/>
      <c r="Z581" s="769"/>
    </row>
    <row r="582" spans="1:26" ht="18.75" customHeight="1" x14ac:dyDescent="0.3">
      <c r="A582" s="769"/>
      <c r="B582" s="769"/>
      <c r="C582" s="769"/>
      <c r="D582" s="771"/>
      <c r="E582" s="769"/>
      <c r="F582" s="769"/>
      <c r="G582" s="769"/>
      <c r="H582" s="769"/>
      <c r="I582" s="769"/>
      <c r="J582" s="769"/>
      <c r="K582" s="772"/>
      <c r="L582" s="769"/>
      <c r="M582" s="769"/>
      <c r="N582" s="769"/>
      <c r="O582" s="769"/>
      <c r="P582" s="769"/>
      <c r="Q582" s="769"/>
      <c r="R582" s="769"/>
      <c r="S582" s="769"/>
      <c r="T582" s="769"/>
      <c r="U582" s="769"/>
      <c r="V582" s="769"/>
      <c r="W582" s="769"/>
      <c r="X582" s="769"/>
      <c r="Y582" s="769"/>
      <c r="Z582" s="769"/>
    </row>
    <row r="583" spans="1:26" ht="18.75" customHeight="1" x14ac:dyDescent="0.3">
      <c r="A583" s="769"/>
      <c r="B583" s="769"/>
      <c r="C583" s="769"/>
      <c r="D583" s="771"/>
      <c r="E583" s="769"/>
      <c r="F583" s="769"/>
      <c r="G583" s="769"/>
      <c r="H583" s="769"/>
      <c r="I583" s="769"/>
      <c r="J583" s="769"/>
      <c r="K583" s="772"/>
      <c r="L583" s="769"/>
      <c r="M583" s="769"/>
      <c r="N583" s="769"/>
      <c r="O583" s="769"/>
      <c r="P583" s="769"/>
      <c r="Q583" s="769"/>
      <c r="R583" s="769"/>
      <c r="S583" s="769"/>
      <c r="T583" s="769"/>
      <c r="U583" s="769"/>
      <c r="V583" s="769"/>
      <c r="W583" s="769"/>
      <c r="X583" s="769"/>
      <c r="Y583" s="769"/>
      <c r="Z583" s="769"/>
    </row>
    <row r="584" spans="1:26" ht="18.75" customHeight="1" x14ac:dyDescent="0.3">
      <c r="A584" s="769"/>
      <c r="B584" s="769"/>
      <c r="C584" s="769"/>
      <c r="D584" s="771"/>
      <c r="E584" s="769"/>
      <c r="F584" s="769"/>
      <c r="G584" s="769"/>
      <c r="H584" s="769"/>
      <c r="I584" s="769"/>
      <c r="J584" s="769"/>
      <c r="K584" s="772"/>
      <c r="L584" s="769"/>
      <c r="M584" s="769"/>
      <c r="N584" s="769"/>
      <c r="O584" s="769"/>
      <c r="P584" s="769"/>
      <c r="Q584" s="769"/>
      <c r="R584" s="769"/>
      <c r="S584" s="769"/>
      <c r="T584" s="769"/>
      <c r="U584" s="769"/>
      <c r="V584" s="769"/>
      <c r="W584" s="769"/>
      <c r="X584" s="769"/>
      <c r="Y584" s="769"/>
      <c r="Z584" s="769"/>
    </row>
    <row r="585" spans="1:26" ht="18.75" customHeight="1" x14ac:dyDescent="0.3">
      <c r="A585" s="769"/>
      <c r="B585" s="769"/>
      <c r="C585" s="769"/>
      <c r="D585" s="771"/>
      <c r="E585" s="769"/>
      <c r="F585" s="769"/>
      <c r="G585" s="769"/>
      <c r="H585" s="769"/>
      <c r="I585" s="769"/>
      <c r="J585" s="769"/>
      <c r="K585" s="772"/>
      <c r="L585" s="769"/>
      <c r="M585" s="769"/>
      <c r="N585" s="769"/>
      <c r="O585" s="769"/>
      <c r="P585" s="769"/>
      <c r="Q585" s="769"/>
      <c r="R585" s="769"/>
      <c r="S585" s="769"/>
      <c r="T585" s="769"/>
      <c r="U585" s="769"/>
      <c r="V585" s="769"/>
      <c r="W585" s="769"/>
      <c r="X585" s="769"/>
      <c r="Y585" s="769"/>
      <c r="Z585" s="769"/>
    </row>
    <row r="586" spans="1:26" ht="18.75" customHeight="1" x14ac:dyDescent="0.3">
      <c r="A586" s="769"/>
      <c r="B586" s="769"/>
      <c r="C586" s="769"/>
      <c r="D586" s="771"/>
      <c r="E586" s="769"/>
      <c r="F586" s="769"/>
      <c r="G586" s="769"/>
      <c r="H586" s="769"/>
      <c r="I586" s="769"/>
      <c r="J586" s="769"/>
      <c r="K586" s="772"/>
      <c r="L586" s="769"/>
      <c r="M586" s="769"/>
      <c r="N586" s="769"/>
      <c r="O586" s="769"/>
      <c r="P586" s="769"/>
      <c r="Q586" s="769"/>
      <c r="R586" s="769"/>
      <c r="S586" s="769"/>
      <c r="T586" s="769"/>
      <c r="U586" s="769"/>
      <c r="V586" s="769"/>
      <c r="W586" s="769"/>
      <c r="X586" s="769"/>
      <c r="Y586" s="769"/>
      <c r="Z586" s="769"/>
    </row>
    <row r="587" spans="1:26" ht="18.75" customHeight="1" x14ac:dyDescent="0.3">
      <c r="A587" s="769"/>
      <c r="B587" s="769"/>
      <c r="C587" s="769"/>
      <c r="D587" s="771"/>
      <c r="E587" s="769"/>
      <c r="F587" s="769"/>
      <c r="G587" s="769"/>
      <c r="H587" s="769"/>
      <c r="I587" s="769"/>
      <c r="J587" s="769"/>
      <c r="K587" s="772"/>
      <c r="L587" s="769"/>
      <c r="M587" s="769"/>
      <c r="N587" s="769"/>
      <c r="O587" s="769"/>
      <c r="P587" s="769"/>
      <c r="Q587" s="769"/>
      <c r="R587" s="769"/>
      <c r="S587" s="769"/>
      <c r="T587" s="769"/>
      <c r="U587" s="769"/>
      <c r="V587" s="769"/>
      <c r="W587" s="769"/>
      <c r="X587" s="769"/>
      <c r="Y587" s="769"/>
      <c r="Z587" s="769"/>
    </row>
    <row r="588" spans="1:26" ht="18.75" customHeight="1" x14ac:dyDescent="0.3">
      <c r="A588" s="769"/>
      <c r="B588" s="769"/>
      <c r="C588" s="769"/>
      <c r="D588" s="771"/>
      <c r="E588" s="769"/>
      <c r="F588" s="769"/>
      <c r="G588" s="769"/>
      <c r="H588" s="769"/>
      <c r="I588" s="769"/>
      <c r="J588" s="769"/>
      <c r="K588" s="772"/>
      <c r="L588" s="769"/>
      <c r="M588" s="769"/>
      <c r="N588" s="769"/>
      <c r="O588" s="769"/>
      <c r="P588" s="769"/>
      <c r="Q588" s="769"/>
      <c r="R588" s="769"/>
      <c r="S588" s="769"/>
      <c r="T588" s="769"/>
      <c r="U588" s="769"/>
      <c r="V588" s="769"/>
      <c r="W588" s="769"/>
      <c r="X588" s="769"/>
      <c r="Y588" s="769"/>
      <c r="Z588" s="769"/>
    </row>
    <row r="589" spans="1:26" ht="18.75" customHeight="1" x14ac:dyDescent="0.3">
      <c r="A589" s="769"/>
      <c r="B589" s="769"/>
      <c r="C589" s="769"/>
      <c r="D589" s="771"/>
      <c r="E589" s="769"/>
      <c r="F589" s="769"/>
      <c r="G589" s="769"/>
      <c r="H589" s="769"/>
      <c r="I589" s="769"/>
      <c r="J589" s="769"/>
      <c r="K589" s="772"/>
      <c r="L589" s="769"/>
      <c r="M589" s="769"/>
      <c r="N589" s="769"/>
      <c r="O589" s="769"/>
      <c r="P589" s="769"/>
      <c r="Q589" s="769"/>
      <c r="R589" s="769"/>
      <c r="S589" s="769"/>
      <c r="T589" s="769"/>
      <c r="U589" s="769"/>
      <c r="V589" s="769"/>
      <c r="W589" s="769"/>
      <c r="X589" s="769"/>
      <c r="Y589" s="769"/>
      <c r="Z589" s="769"/>
    </row>
    <row r="590" spans="1:26" ht="18.75" customHeight="1" x14ac:dyDescent="0.3">
      <c r="A590" s="769"/>
      <c r="B590" s="769"/>
      <c r="C590" s="769"/>
      <c r="D590" s="771"/>
      <c r="E590" s="769"/>
      <c r="F590" s="769"/>
      <c r="G590" s="769"/>
      <c r="H590" s="769"/>
      <c r="I590" s="769"/>
      <c r="J590" s="769"/>
      <c r="K590" s="772"/>
      <c r="L590" s="769"/>
      <c r="M590" s="769"/>
      <c r="N590" s="769"/>
      <c r="O590" s="769"/>
      <c r="P590" s="769"/>
      <c r="Q590" s="769"/>
      <c r="R590" s="769"/>
      <c r="S590" s="769"/>
      <c r="T590" s="769"/>
      <c r="U590" s="769"/>
      <c r="V590" s="769"/>
      <c r="W590" s="769"/>
      <c r="X590" s="769"/>
      <c r="Y590" s="769"/>
      <c r="Z590" s="769"/>
    </row>
    <row r="591" spans="1:26" ht="18.75" customHeight="1" x14ac:dyDescent="0.3">
      <c r="A591" s="769"/>
      <c r="B591" s="769"/>
      <c r="C591" s="769"/>
      <c r="D591" s="771"/>
      <c r="E591" s="769"/>
      <c r="F591" s="769"/>
      <c r="G591" s="769"/>
      <c r="H591" s="769"/>
      <c r="I591" s="769"/>
      <c r="J591" s="769"/>
      <c r="K591" s="772"/>
      <c r="L591" s="769"/>
      <c r="M591" s="769"/>
      <c r="N591" s="769"/>
      <c r="O591" s="769"/>
      <c r="P591" s="769"/>
      <c r="Q591" s="769"/>
      <c r="R591" s="769"/>
      <c r="S591" s="769"/>
      <c r="T591" s="769"/>
      <c r="U591" s="769"/>
      <c r="V591" s="769"/>
      <c r="W591" s="769"/>
      <c r="X591" s="769"/>
      <c r="Y591" s="769"/>
      <c r="Z591" s="769"/>
    </row>
    <row r="592" spans="1:26" ht="18.75" customHeight="1" x14ac:dyDescent="0.3">
      <c r="A592" s="769"/>
      <c r="B592" s="769"/>
      <c r="C592" s="769"/>
      <c r="D592" s="771"/>
      <c r="E592" s="769"/>
      <c r="F592" s="769"/>
      <c r="G592" s="769"/>
      <c r="H592" s="769"/>
      <c r="I592" s="769"/>
      <c r="J592" s="769"/>
      <c r="K592" s="772"/>
      <c r="L592" s="769"/>
      <c r="M592" s="769"/>
      <c r="N592" s="769"/>
      <c r="O592" s="769"/>
      <c r="P592" s="769"/>
      <c r="Q592" s="769"/>
      <c r="R592" s="769"/>
      <c r="S592" s="769"/>
      <c r="T592" s="769"/>
      <c r="U592" s="769"/>
      <c r="V592" s="769"/>
      <c r="W592" s="769"/>
      <c r="X592" s="769"/>
      <c r="Y592" s="769"/>
      <c r="Z592" s="769"/>
    </row>
    <row r="593" spans="1:26" ht="18.75" customHeight="1" x14ac:dyDescent="0.3">
      <c r="A593" s="769"/>
      <c r="B593" s="769"/>
      <c r="C593" s="769"/>
      <c r="D593" s="771"/>
      <c r="E593" s="769"/>
      <c r="F593" s="769"/>
      <c r="G593" s="769"/>
      <c r="H593" s="769"/>
      <c r="I593" s="769"/>
      <c r="J593" s="769"/>
      <c r="K593" s="772"/>
      <c r="L593" s="769"/>
      <c r="M593" s="769"/>
      <c r="N593" s="769"/>
      <c r="O593" s="769"/>
      <c r="P593" s="769"/>
      <c r="Q593" s="769"/>
      <c r="R593" s="769"/>
      <c r="S593" s="769"/>
      <c r="T593" s="769"/>
      <c r="U593" s="769"/>
      <c r="V593" s="769"/>
      <c r="W593" s="769"/>
      <c r="X593" s="769"/>
      <c r="Y593" s="769"/>
      <c r="Z593" s="769"/>
    </row>
    <row r="594" spans="1:26" ht="18.75" customHeight="1" x14ac:dyDescent="0.3">
      <c r="A594" s="769"/>
      <c r="B594" s="769"/>
      <c r="C594" s="769"/>
      <c r="D594" s="771"/>
      <c r="E594" s="769"/>
      <c r="F594" s="769"/>
      <c r="G594" s="769"/>
      <c r="H594" s="769"/>
      <c r="I594" s="769"/>
      <c r="J594" s="769"/>
      <c r="K594" s="772"/>
      <c r="L594" s="769"/>
      <c r="M594" s="769"/>
      <c r="N594" s="769"/>
      <c r="O594" s="769"/>
      <c r="P594" s="769"/>
      <c r="Q594" s="769"/>
      <c r="R594" s="769"/>
      <c r="S594" s="769"/>
      <c r="T594" s="769"/>
      <c r="U594" s="769"/>
      <c r="V594" s="769"/>
      <c r="W594" s="769"/>
      <c r="X594" s="769"/>
      <c r="Y594" s="769"/>
      <c r="Z594" s="769"/>
    </row>
    <row r="595" spans="1:26" ht="18.75" customHeight="1" x14ac:dyDescent="0.3">
      <c r="A595" s="769"/>
      <c r="B595" s="769"/>
      <c r="C595" s="769"/>
      <c r="D595" s="771"/>
      <c r="E595" s="769"/>
      <c r="F595" s="769"/>
      <c r="G595" s="769"/>
      <c r="H595" s="769"/>
      <c r="I595" s="769"/>
      <c r="J595" s="769"/>
      <c r="K595" s="772"/>
      <c r="L595" s="769"/>
      <c r="M595" s="769"/>
      <c r="N595" s="769"/>
      <c r="O595" s="769"/>
      <c r="P595" s="769"/>
      <c r="Q595" s="769"/>
      <c r="R595" s="769"/>
      <c r="S595" s="769"/>
      <c r="T595" s="769"/>
      <c r="U595" s="769"/>
      <c r="V595" s="769"/>
      <c r="W595" s="769"/>
      <c r="X595" s="769"/>
      <c r="Y595" s="769"/>
      <c r="Z595" s="769"/>
    </row>
    <row r="596" spans="1:26" ht="18.75" customHeight="1" x14ac:dyDescent="0.3">
      <c r="A596" s="769"/>
      <c r="B596" s="769"/>
      <c r="C596" s="769"/>
      <c r="D596" s="771"/>
      <c r="E596" s="769"/>
      <c r="F596" s="769"/>
      <c r="G596" s="769"/>
      <c r="H596" s="769"/>
      <c r="I596" s="769"/>
      <c r="J596" s="769"/>
      <c r="K596" s="772"/>
      <c r="L596" s="769"/>
      <c r="M596" s="769"/>
      <c r="N596" s="769"/>
      <c r="O596" s="769"/>
      <c r="P596" s="769"/>
      <c r="Q596" s="769"/>
      <c r="R596" s="769"/>
      <c r="S596" s="769"/>
      <c r="T596" s="769"/>
      <c r="U596" s="769"/>
      <c r="V596" s="769"/>
      <c r="W596" s="769"/>
      <c r="X596" s="769"/>
      <c r="Y596" s="769"/>
      <c r="Z596" s="769"/>
    </row>
    <row r="597" spans="1:26" ht="18.75" customHeight="1" x14ac:dyDescent="0.3">
      <c r="A597" s="769"/>
      <c r="B597" s="769"/>
      <c r="C597" s="769"/>
      <c r="D597" s="771"/>
      <c r="E597" s="769"/>
      <c r="F597" s="769"/>
      <c r="G597" s="769"/>
      <c r="H597" s="769"/>
      <c r="I597" s="769"/>
      <c r="J597" s="769"/>
      <c r="K597" s="772"/>
      <c r="L597" s="769"/>
      <c r="M597" s="769"/>
      <c r="N597" s="769"/>
      <c r="O597" s="769"/>
      <c r="P597" s="769"/>
      <c r="Q597" s="769"/>
      <c r="R597" s="769"/>
      <c r="S597" s="769"/>
      <c r="T597" s="769"/>
      <c r="U597" s="769"/>
      <c r="V597" s="769"/>
      <c r="W597" s="769"/>
      <c r="X597" s="769"/>
      <c r="Y597" s="769"/>
      <c r="Z597" s="769"/>
    </row>
    <row r="598" spans="1:26" ht="18.75" customHeight="1" x14ac:dyDescent="0.3">
      <c r="A598" s="769"/>
      <c r="B598" s="769"/>
      <c r="C598" s="769"/>
      <c r="D598" s="771"/>
      <c r="E598" s="769"/>
      <c r="F598" s="769"/>
      <c r="G598" s="769"/>
      <c r="H598" s="769"/>
      <c r="I598" s="769"/>
      <c r="J598" s="769"/>
      <c r="K598" s="772"/>
      <c r="L598" s="769"/>
      <c r="M598" s="769"/>
      <c r="N598" s="769"/>
      <c r="O598" s="769"/>
      <c r="P598" s="769"/>
      <c r="Q598" s="769"/>
      <c r="R598" s="769"/>
      <c r="S598" s="769"/>
      <c r="T598" s="769"/>
      <c r="U598" s="769"/>
      <c r="V598" s="769"/>
      <c r="W598" s="769"/>
      <c r="X598" s="769"/>
      <c r="Y598" s="769"/>
      <c r="Z598" s="769"/>
    </row>
    <row r="599" spans="1:26" ht="18.75" customHeight="1" x14ac:dyDescent="0.3">
      <c r="A599" s="769"/>
      <c r="B599" s="769"/>
      <c r="C599" s="769"/>
      <c r="D599" s="771"/>
      <c r="E599" s="769"/>
      <c r="F599" s="769"/>
      <c r="G599" s="769"/>
      <c r="H599" s="769"/>
      <c r="I599" s="769"/>
      <c r="J599" s="769"/>
      <c r="K599" s="772"/>
      <c r="L599" s="769"/>
      <c r="M599" s="769"/>
      <c r="N599" s="769"/>
      <c r="O599" s="769"/>
      <c r="P599" s="769"/>
      <c r="Q599" s="769"/>
      <c r="R599" s="769"/>
      <c r="S599" s="769"/>
      <c r="T599" s="769"/>
      <c r="U599" s="769"/>
      <c r="V599" s="769"/>
      <c r="W599" s="769"/>
      <c r="X599" s="769"/>
      <c r="Y599" s="769"/>
      <c r="Z599" s="769"/>
    </row>
    <row r="600" spans="1:26" ht="18.75" customHeight="1" x14ac:dyDescent="0.3">
      <c r="A600" s="769"/>
      <c r="B600" s="769"/>
      <c r="C600" s="769"/>
      <c r="D600" s="771"/>
      <c r="E600" s="769"/>
      <c r="F600" s="769"/>
      <c r="G600" s="769"/>
      <c r="H600" s="769"/>
      <c r="I600" s="769"/>
      <c r="J600" s="769"/>
      <c r="K600" s="772"/>
      <c r="L600" s="769"/>
      <c r="M600" s="769"/>
      <c r="N600" s="769"/>
      <c r="O600" s="769"/>
      <c r="P600" s="769"/>
      <c r="Q600" s="769"/>
      <c r="R600" s="769"/>
      <c r="S600" s="769"/>
      <c r="T600" s="769"/>
      <c r="U600" s="769"/>
      <c r="V600" s="769"/>
      <c r="W600" s="769"/>
      <c r="X600" s="769"/>
      <c r="Y600" s="769"/>
      <c r="Z600" s="769"/>
    </row>
    <row r="601" spans="1:26" ht="18.75" customHeight="1" x14ac:dyDescent="0.3">
      <c r="A601" s="769"/>
      <c r="B601" s="769"/>
      <c r="C601" s="769"/>
      <c r="D601" s="771"/>
      <c r="E601" s="769"/>
      <c r="F601" s="769"/>
      <c r="G601" s="769"/>
      <c r="H601" s="769"/>
      <c r="I601" s="769"/>
      <c r="J601" s="769"/>
      <c r="K601" s="772"/>
      <c r="L601" s="769"/>
      <c r="M601" s="769"/>
      <c r="N601" s="769"/>
      <c r="O601" s="769"/>
      <c r="P601" s="769"/>
      <c r="Q601" s="769"/>
      <c r="R601" s="769"/>
      <c r="S601" s="769"/>
      <c r="T601" s="769"/>
      <c r="U601" s="769"/>
      <c r="V601" s="769"/>
      <c r="W601" s="769"/>
      <c r="X601" s="769"/>
      <c r="Y601" s="769"/>
      <c r="Z601" s="769"/>
    </row>
    <row r="602" spans="1:26" ht="18.75" customHeight="1" x14ac:dyDescent="0.3">
      <c r="A602" s="769"/>
      <c r="B602" s="769"/>
      <c r="C602" s="769"/>
      <c r="D602" s="771"/>
      <c r="E602" s="769"/>
      <c r="F602" s="769"/>
      <c r="G602" s="769"/>
      <c r="H602" s="769"/>
      <c r="I602" s="769"/>
      <c r="J602" s="769"/>
      <c r="K602" s="772"/>
      <c r="L602" s="769"/>
      <c r="M602" s="769"/>
      <c r="N602" s="769"/>
      <c r="O602" s="769"/>
      <c r="P602" s="769"/>
      <c r="Q602" s="769"/>
      <c r="R602" s="769"/>
      <c r="S602" s="769"/>
      <c r="T602" s="769"/>
      <c r="U602" s="769"/>
      <c r="V602" s="769"/>
      <c r="W602" s="769"/>
      <c r="X602" s="769"/>
      <c r="Y602" s="769"/>
      <c r="Z602" s="769"/>
    </row>
    <row r="603" spans="1:26" ht="18.75" customHeight="1" x14ac:dyDescent="0.3">
      <c r="A603" s="769"/>
      <c r="B603" s="769"/>
      <c r="C603" s="769"/>
      <c r="D603" s="771"/>
      <c r="E603" s="769"/>
      <c r="F603" s="769"/>
      <c r="G603" s="769"/>
      <c r="H603" s="769"/>
      <c r="I603" s="769"/>
      <c r="J603" s="769"/>
      <c r="K603" s="772"/>
      <c r="L603" s="769"/>
      <c r="M603" s="769"/>
      <c r="N603" s="769"/>
      <c r="O603" s="769"/>
      <c r="P603" s="769"/>
      <c r="Q603" s="769"/>
      <c r="R603" s="769"/>
      <c r="S603" s="769"/>
      <c r="T603" s="769"/>
      <c r="U603" s="769"/>
      <c r="V603" s="769"/>
      <c r="W603" s="769"/>
      <c r="X603" s="769"/>
      <c r="Y603" s="769"/>
      <c r="Z603" s="769"/>
    </row>
    <row r="604" spans="1:26" ht="18.75" customHeight="1" x14ac:dyDescent="0.3">
      <c r="A604" s="769"/>
      <c r="B604" s="769"/>
      <c r="C604" s="769"/>
      <c r="D604" s="771"/>
      <c r="E604" s="769"/>
      <c r="F604" s="769"/>
      <c r="G604" s="769"/>
      <c r="H604" s="769"/>
      <c r="I604" s="769"/>
      <c r="J604" s="769"/>
      <c r="K604" s="772"/>
      <c r="L604" s="769"/>
      <c r="M604" s="769"/>
      <c r="N604" s="769"/>
      <c r="O604" s="769"/>
      <c r="P604" s="769"/>
      <c r="Q604" s="769"/>
      <c r="R604" s="769"/>
      <c r="S604" s="769"/>
      <c r="T604" s="769"/>
      <c r="U604" s="769"/>
      <c r="V604" s="769"/>
      <c r="W604" s="769"/>
      <c r="X604" s="769"/>
      <c r="Y604" s="769"/>
      <c r="Z604" s="769"/>
    </row>
    <row r="605" spans="1:26" ht="18.75" customHeight="1" x14ac:dyDescent="0.3">
      <c r="A605" s="769"/>
      <c r="B605" s="769"/>
      <c r="C605" s="769"/>
      <c r="D605" s="771"/>
      <c r="E605" s="769"/>
      <c r="F605" s="769"/>
      <c r="G605" s="769"/>
      <c r="H605" s="769"/>
      <c r="I605" s="769"/>
      <c r="J605" s="769"/>
      <c r="K605" s="772"/>
      <c r="L605" s="769"/>
      <c r="M605" s="769"/>
      <c r="N605" s="769"/>
      <c r="O605" s="769"/>
      <c r="P605" s="769"/>
      <c r="Q605" s="769"/>
      <c r="R605" s="769"/>
      <c r="S605" s="769"/>
      <c r="T605" s="769"/>
      <c r="U605" s="769"/>
      <c r="V605" s="769"/>
      <c r="W605" s="769"/>
      <c r="X605" s="769"/>
      <c r="Y605" s="769"/>
      <c r="Z605" s="769"/>
    </row>
    <row r="606" spans="1:26" ht="18.75" customHeight="1" x14ac:dyDescent="0.3">
      <c r="A606" s="769"/>
      <c r="B606" s="769"/>
      <c r="C606" s="769"/>
      <c r="D606" s="771"/>
      <c r="E606" s="769"/>
      <c r="F606" s="769"/>
      <c r="G606" s="769"/>
      <c r="H606" s="769"/>
      <c r="I606" s="769"/>
      <c r="J606" s="769"/>
      <c r="K606" s="772"/>
      <c r="L606" s="769"/>
      <c r="M606" s="769"/>
      <c r="N606" s="769"/>
      <c r="O606" s="769"/>
      <c r="P606" s="769"/>
      <c r="Q606" s="769"/>
      <c r="R606" s="769"/>
      <c r="S606" s="769"/>
      <c r="T606" s="769"/>
      <c r="U606" s="769"/>
      <c r="V606" s="769"/>
      <c r="W606" s="769"/>
      <c r="X606" s="769"/>
      <c r="Y606" s="769"/>
      <c r="Z606" s="769"/>
    </row>
    <row r="607" spans="1:26" ht="18.75" customHeight="1" x14ac:dyDescent="0.3">
      <c r="A607" s="769"/>
      <c r="B607" s="769"/>
      <c r="C607" s="769"/>
      <c r="D607" s="771"/>
      <c r="E607" s="769"/>
      <c r="F607" s="769"/>
      <c r="G607" s="769"/>
      <c r="H607" s="769"/>
      <c r="I607" s="769"/>
      <c r="J607" s="769"/>
      <c r="K607" s="772"/>
      <c r="L607" s="769"/>
      <c r="M607" s="769"/>
      <c r="N607" s="769"/>
      <c r="O607" s="769"/>
      <c r="P607" s="769"/>
      <c r="Q607" s="769"/>
      <c r="R607" s="769"/>
      <c r="S607" s="769"/>
      <c r="T607" s="769"/>
      <c r="U607" s="769"/>
      <c r="V607" s="769"/>
      <c r="W607" s="769"/>
      <c r="X607" s="769"/>
      <c r="Y607" s="769"/>
      <c r="Z607" s="769"/>
    </row>
    <row r="608" spans="1:26" ht="18.75" customHeight="1" x14ac:dyDescent="0.3">
      <c r="A608" s="769"/>
      <c r="B608" s="769"/>
      <c r="C608" s="769"/>
      <c r="D608" s="771"/>
      <c r="E608" s="769"/>
      <c r="F608" s="769"/>
      <c r="G608" s="769"/>
      <c r="H608" s="769"/>
      <c r="I608" s="769"/>
      <c r="J608" s="769"/>
      <c r="K608" s="772"/>
      <c r="L608" s="769"/>
      <c r="M608" s="769"/>
      <c r="N608" s="769"/>
      <c r="O608" s="769"/>
      <c r="P608" s="769"/>
      <c r="Q608" s="769"/>
      <c r="R608" s="769"/>
      <c r="S608" s="769"/>
      <c r="T608" s="769"/>
      <c r="U608" s="769"/>
      <c r="V608" s="769"/>
      <c r="W608" s="769"/>
      <c r="X608" s="769"/>
      <c r="Y608" s="769"/>
      <c r="Z608" s="769"/>
    </row>
    <row r="609" spans="1:26" ht="18.75" customHeight="1" x14ac:dyDescent="0.3">
      <c r="A609" s="769"/>
      <c r="B609" s="769"/>
      <c r="C609" s="769"/>
      <c r="D609" s="771"/>
      <c r="E609" s="769"/>
      <c r="F609" s="769"/>
      <c r="G609" s="769"/>
      <c r="H609" s="769"/>
      <c r="I609" s="769"/>
      <c r="J609" s="769"/>
      <c r="K609" s="772"/>
      <c r="L609" s="769"/>
      <c r="M609" s="769"/>
      <c r="N609" s="769"/>
      <c r="O609" s="769"/>
      <c r="P609" s="769"/>
      <c r="Q609" s="769"/>
      <c r="R609" s="769"/>
      <c r="S609" s="769"/>
      <c r="T609" s="769"/>
      <c r="U609" s="769"/>
      <c r="V609" s="769"/>
      <c r="W609" s="769"/>
      <c r="X609" s="769"/>
      <c r="Y609" s="769"/>
      <c r="Z609" s="769"/>
    </row>
    <row r="610" spans="1:26" ht="18.75" customHeight="1" x14ac:dyDescent="0.3">
      <c r="A610" s="769"/>
      <c r="B610" s="769"/>
      <c r="C610" s="769"/>
      <c r="D610" s="771"/>
      <c r="E610" s="769"/>
      <c r="F610" s="769"/>
      <c r="G610" s="769"/>
      <c r="H610" s="769"/>
      <c r="I610" s="769"/>
      <c r="J610" s="769"/>
      <c r="K610" s="772"/>
      <c r="L610" s="769"/>
      <c r="M610" s="769"/>
      <c r="N610" s="769"/>
      <c r="O610" s="769"/>
      <c r="P610" s="769"/>
      <c r="Q610" s="769"/>
      <c r="R610" s="769"/>
      <c r="S610" s="769"/>
      <c r="T610" s="769"/>
      <c r="U610" s="769"/>
      <c r="V610" s="769"/>
      <c r="W610" s="769"/>
      <c r="X610" s="769"/>
      <c r="Y610" s="769"/>
      <c r="Z610" s="769"/>
    </row>
    <row r="611" spans="1:26" ht="18.75" customHeight="1" x14ac:dyDescent="0.3">
      <c r="A611" s="769"/>
      <c r="B611" s="769"/>
      <c r="C611" s="769"/>
      <c r="D611" s="771"/>
      <c r="E611" s="769"/>
      <c r="F611" s="769"/>
      <c r="G611" s="769"/>
      <c r="H611" s="769"/>
      <c r="I611" s="769"/>
      <c r="J611" s="769"/>
      <c r="K611" s="772"/>
      <c r="L611" s="769"/>
      <c r="M611" s="769"/>
      <c r="N611" s="769"/>
      <c r="O611" s="769"/>
      <c r="P611" s="769"/>
      <c r="Q611" s="769"/>
      <c r="R611" s="769"/>
      <c r="S611" s="769"/>
      <c r="T611" s="769"/>
      <c r="U611" s="769"/>
      <c r="V611" s="769"/>
      <c r="W611" s="769"/>
      <c r="X611" s="769"/>
      <c r="Y611" s="769"/>
      <c r="Z611" s="769"/>
    </row>
    <row r="612" spans="1:26" ht="18.75" customHeight="1" x14ac:dyDescent="0.3">
      <c r="A612" s="769"/>
      <c r="B612" s="769"/>
      <c r="C612" s="769"/>
      <c r="D612" s="771"/>
      <c r="E612" s="769"/>
      <c r="F612" s="769"/>
      <c r="G612" s="769"/>
      <c r="H612" s="769"/>
      <c r="I612" s="769"/>
      <c r="J612" s="769"/>
      <c r="K612" s="772"/>
      <c r="L612" s="769"/>
      <c r="M612" s="769"/>
      <c r="N612" s="769"/>
      <c r="O612" s="769"/>
      <c r="P612" s="769"/>
      <c r="Q612" s="769"/>
      <c r="R612" s="769"/>
      <c r="S612" s="769"/>
      <c r="T612" s="769"/>
      <c r="U612" s="769"/>
      <c r="V612" s="769"/>
      <c r="W612" s="769"/>
      <c r="X612" s="769"/>
      <c r="Y612" s="769"/>
      <c r="Z612" s="769"/>
    </row>
    <row r="613" spans="1:26" ht="18.75" customHeight="1" x14ac:dyDescent="0.3">
      <c r="A613" s="769"/>
      <c r="B613" s="769"/>
      <c r="C613" s="769"/>
      <c r="D613" s="771"/>
      <c r="E613" s="769"/>
      <c r="F613" s="769"/>
      <c r="G613" s="769"/>
      <c r="H613" s="769"/>
      <c r="I613" s="769"/>
      <c r="J613" s="769"/>
      <c r="K613" s="772"/>
      <c r="L613" s="769"/>
      <c r="M613" s="769"/>
      <c r="N613" s="769"/>
      <c r="O613" s="769"/>
      <c r="P613" s="769"/>
      <c r="Q613" s="769"/>
      <c r="R613" s="769"/>
      <c r="S613" s="769"/>
      <c r="T613" s="769"/>
      <c r="U613" s="769"/>
      <c r="V613" s="769"/>
      <c r="W613" s="769"/>
      <c r="X613" s="769"/>
      <c r="Y613" s="769"/>
      <c r="Z613" s="769"/>
    </row>
    <row r="614" spans="1:26" ht="18.75" customHeight="1" x14ac:dyDescent="0.3">
      <c r="A614" s="769"/>
      <c r="B614" s="769"/>
      <c r="C614" s="769"/>
      <c r="D614" s="771"/>
      <c r="E614" s="769"/>
      <c r="F614" s="769"/>
      <c r="G614" s="769"/>
      <c r="H614" s="769"/>
      <c r="I614" s="769"/>
      <c r="J614" s="769"/>
      <c r="K614" s="772"/>
      <c r="L614" s="769"/>
      <c r="M614" s="769"/>
      <c r="N614" s="769"/>
      <c r="O614" s="769"/>
      <c r="P614" s="769"/>
      <c r="Q614" s="769"/>
      <c r="R614" s="769"/>
      <c r="S614" s="769"/>
      <c r="T614" s="769"/>
      <c r="U614" s="769"/>
      <c r="V614" s="769"/>
      <c r="W614" s="769"/>
      <c r="X614" s="769"/>
      <c r="Y614" s="769"/>
      <c r="Z614" s="769"/>
    </row>
    <row r="615" spans="1:26" ht="18.75" customHeight="1" x14ac:dyDescent="0.3">
      <c r="A615" s="769"/>
      <c r="B615" s="769"/>
      <c r="C615" s="769"/>
      <c r="D615" s="771"/>
      <c r="E615" s="769"/>
      <c r="F615" s="769"/>
      <c r="G615" s="769"/>
      <c r="H615" s="769"/>
      <c r="I615" s="769"/>
      <c r="J615" s="769"/>
      <c r="K615" s="772"/>
      <c r="L615" s="769"/>
      <c r="M615" s="769"/>
      <c r="N615" s="769"/>
      <c r="O615" s="769"/>
      <c r="P615" s="769"/>
      <c r="Q615" s="769"/>
      <c r="R615" s="769"/>
      <c r="S615" s="769"/>
      <c r="T615" s="769"/>
      <c r="U615" s="769"/>
      <c r="V615" s="769"/>
      <c r="W615" s="769"/>
      <c r="X615" s="769"/>
      <c r="Y615" s="769"/>
      <c r="Z615" s="769"/>
    </row>
    <row r="616" spans="1:26" ht="18.75" customHeight="1" x14ac:dyDescent="0.3">
      <c r="A616" s="769"/>
      <c r="B616" s="769"/>
      <c r="C616" s="769"/>
      <c r="D616" s="771"/>
      <c r="E616" s="769"/>
      <c r="F616" s="769"/>
      <c r="G616" s="769"/>
      <c r="H616" s="769"/>
      <c r="I616" s="769"/>
      <c r="J616" s="769"/>
      <c r="K616" s="772"/>
      <c r="L616" s="769"/>
      <c r="M616" s="769"/>
      <c r="N616" s="769"/>
      <c r="O616" s="769"/>
      <c r="P616" s="769"/>
      <c r="Q616" s="769"/>
      <c r="R616" s="769"/>
      <c r="S616" s="769"/>
      <c r="T616" s="769"/>
      <c r="U616" s="769"/>
      <c r="V616" s="769"/>
      <c r="W616" s="769"/>
      <c r="X616" s="769"/>
      <c r="Y616" s="769"/>
      <c r="Z616" s="769"/>
    </row>
    <row r="617" spans="1:26" ht="18.75" customHeight="1" x14ac:dyDescent="0.3">
      <c r="A617" s="769"/>
      <c r="B617" s="769"/>
      <c r="C617" s="769"/>
      <c r="D617" s="771"/>
      <c r="E617" s="769"/>
      <c r="F617" s="769"/>
      <c r="G617" s="769"/>
      <c r="H617" s="769"/>
      <c r="I617" s="769"/>
      <c r="J617" s="769"/>
      <c r="K617" s="772"/>
      <c r="L617" s="769"/>
      <c r="M617" s="769"/>
      <c r="N617" s="769"/>
      <c r="O617" s="769"/>
      <c r="P617" s="769"/>
      <c r="Q617" s="769"/>
      <c r="R617" s="769"/>
      <c r="S617" s="769"/>
      <c r="T617" s="769"/>
      <c r="U617" s="769"/>
      <c r="V617" s="769"/>
      <c r="W617" s="769"/>
      <c r="X617" s="769"/>
      <c r="Y617" s="769"/>
      <c r="Z617" s="769"/>
    </row>
    <row r="618" spans="1:26" ht="18.75" customHeight="1" x14ac:dyDescent="0.3">
      <c r="A618" s="769"/>
      <c r="B618" s="769"/>
      <c r="C618" s="769"/>
      <c r="D618" s="771"/>
      <c r="E618" s="769"/>
      <c r="F618" s="769"/>
      <c r="G618" s="769"/>
      <c r="H618" s="769"/>
      <c r="I618" s="769"/>
      <c r="J618" s="769"/>
      <c r="K618" s="772"/>
      <c r="L618" s="769"/>
      <c r="M618" s="769"/>
      <c r="N618" s="769"/>
      <c r="O618" s="769"/>
      <c r="P618" s="769"/>
      <c r="Q618" s="769"/>
      <c r="R618" s="769"/>
      <c r="S618" s="769"/>
      <c r="T618" s="769"/>
      <c r="U618" s="769"/>
      <c r="V618" s="769"/>
      <c r="W618" s="769"/>
      <c r="X618" s="769"/>
      <c r="Y618" s="769"/>
      <c r="Z618" s="769"/>
    </row>
    <row r="619" spans="1:26" ht="18.75" customHeight="1" x14ac:dyDescent="0.3">
      <c r="A619" s="769"/>
      <c r="B619" s="769"/>
      <c r="C619" s="769"/>
      <c r="D619" s="771"/>
      <c r="E619" s="769"/>
      <c r="F619" s="769"/>
      <c r="G619" s="769"/>
      <c r="H619" s="769"/>
      <c r="I619" s="769"/>
      <c r="J619" s="769"/>
      <c r="K619" s="772"/>
      <c r="L619" s="769"/>
      <c r="M619" s="769"/>
      <c r="N619" s="769"/>
      <c r="O619" s="769"/>
      <c r="P619" s="769"/>
      <c r="Q619" s="769"/>
      <c r="R619" s="769"/>
      <c r="S619" s="769"/>
      <c r="T619" s="769"/>
      <c r="U619" s="769"/>
      <c r="V619" s="769"/>
      <c r="W619" s="769"/>
      <c r="X619" s="769"/>
      <c r="Y619" s="769"/>
      <c r="Z619" s="769"/>
    </row>
    <row r="620" spans="1:26" ht="18.75" customHeight="1" x14ac:dyDescent="0.3">
      <c r="A620" s="769"/>
      <c r="B620" s="769"/>
      <c r="C620" s="769"/>
      <c r="D620" s="771"/>
      <c r="E620" s="769"/>
      <c r="F620" s="769"/>
      <c r="G620" s="769"/>
      <c r="H620" s="769"/>
      <c r="I620" s="769"/>
      <c r="J620" s="769"/>
      <c r="K620" s="772"/>
      <c r="L620" s="769"/>
      <c r="M620" s="769"/>
      <c r="N620" s="769"/>
      <c r="O620" s="769"/>
      <c r="P620" s="769"/>
      <c r="Q620" s="769"/>
      <c r="R620" s="769"/>
      <c r="S620" s="769"/>
      <c r="T620" s="769"/>
      <c r="U620" s="769"/>
      <c r="V620" s="769"/>
      <c r="W620" s="769"/>
      <c r="X620" s="769"/>
      <c r="Y620" s="769"/>
      <c r="Z620" s="769"/>
    </row>
    <row r="621" spans="1:26" ht="18.75" customHeight="1" x14ac:dyDescent="0.3">
      <c r="A621" s="769"/>
      <c r="B621" s="769"/>
      <c r="C621" s="769"/>
      <c r="D621" s="771"/>
      <c r="E621" s="769"/>
      <c r="F621" s="769"/>
      <c r="G621" s="769"/>
      <c r="H621" s="769"/>
      <c r="I621" s="769"/>
      <c r="J621" s="769"/>
      <c r="K621" s="772"/>
      <c r="L621" s="769"/>
      <c r="M621" s="769"/>
      <c r="N621" s="769"/>
      <c r="O621" s="769"/>
      <c r="P621" s="769"/>
      <c r="Q621" s="769"/>
      <c r="R621" s="769"/>
      <c r="S621" s="769"/>
      <c r="T621" s="769"/>
      <c r="U621" s="769"/>
      <c r="V621" s="769"/>
      <c r="W621" s="769"/>
      <c r="X621" s="769"/>
      <c r="Y621" s="769"/>
      <c r="Z621" s="769"/>
    </row>
    <row r="622" spans="1:26" ht="18.75" customHeight="1" x14ac:dyDescent="0.3">
      <c r="A622" s="769"/>
      <c r="B622" s="769"/>
      <c r="C622" s="769"/>
      <c r="D622" s="771"/>
      <c r="E622" s="769"/>
      <c r="F622" s="769"/>
      <c r="G622" s="769"/>
      <c r="H622" s="769"/>
      <c r="I622" s="769"/>
      <c r="J622" s="769"/>
      <c r="K622" s="772"/>
      <c r="L622" s="769"/>
      <c r="M622" s="769"/>
      <c r="N622" s="769"/>
      <c r="O622" s="769"/>
      <c r="P622" s="769"/>
      <c r="Q622" s="769"/>
      <c r="R622" s="769"/>
      <c r="S622" s="769"/>
      <c r="T622" s="769"/>
      <c r="U622" s="769"/>
      <c r="V622" s="769"/>
      <c r="W622" s="769"/>
      <c r="X622" s="769"/>
      <c r="Y622" s="769"/>
      <c r="Z622" s="769"/>
    </row>
    <row r="623" spans="1:26" ht="18.75" customHeight="1" x14ac:dyDescent="0.3">
      <c r="A623" s="769"/>
      <c r="B623" s="769"/>
      <c r="C623" s="769"/>
      <c r="D623" s="771"/>
      <c r="E623" s="769"/>
      <c r="F623" s="769"/>
      <c r="G623" s="769"/>
      <c r="H623" s="769"/>
      <c r="I623" s="769"/>
      <c r="J623" s="769"/>
      <c r="K623" s="772"/>
      <c r="L623" s="769"/>
      <c r="M623" s="769"/>
      <c r="N623" s="769"/>
      <c r="O623" s="769"/>
      <c r="P623" s="769"/>
      <c r="Q623" s="769"/>
      <c r="R623" s="769"/>
      <c r="S623" s="769"/>
      <c r="T623" s="769"/>
      <c r="U623" s="769"/>
      <c r="V623" s="769"/>
      <c r="W623" s="769"/>
      <c r="X623" s="769"/>
      <c r="Y623" s="769"/>
      <c r="Z623" s="769"/>
    </row>
    <row r="624" spans="1:26" ht="18.75" customHeight="1" x14ac:dyDescent="0.3">
      <c r="A624" s="769"/>
      <c r="B624" s="769"/>
      <c r="C624" s="769"/>
      <c r="D624" s="771"/>
      <c r="E624" s="769"/>
      <c r="F624" s="769"/>
      <c r="G624" s="769"/>
      <c r="H624" s="769"/>
      <c r="I624" s="769"/>
      <c r="J624" s="769"/>
      <c r="K624" s="772"/>
      <c r="L624" s="769"/>
      <c r="M624" s="769"/>
      <c r="N624" s="769"/>
      <c r="O624" s="769"/>
      <c r="P624" s="769"/>
      <c r="Q624" s="769"/>
      <c r="R624" s="769"/>
      <c r="S624" s="769"/>
      <c r="T624" s="769"/>
      <c r="U624" s="769"/>
      <c r="V624" s="769"/>
      <c r="W624" s="769"/>
      <c r="X624" s="769"/>
      <c r="Y624" s="769"/>
      <c r="Z624" s="769"/>
    </row>
    <row r="625" spans="1:26" ht="18.75" customHeight="1" x14ac:dyDescent="0.3">
      <c r="A625" s="769"/>
      <c r="B625" s="769"/>
      <c r="C625" s="769"/>
      <c r="D625" s="771"/>
      <c r="E625" s="769"/>
      <c r="F625" s="769"/>
      <c r="G625" s="769"/>
      <c r="H625" s="769"/>
      <c r="I625" s="769"/>
      <c r="J625" s="769"/>
      <c r="K625" s="772"/>
      <c r="L625" s="769"/>
      <c r="M625" s="769"/>
      <c r="N625" s="769"/>
      <c r="O625" s="769"/>
      <c r="P625" s="769"/>
      <c r="Q625" s="769"/>
      <c r="R625" s="769"/>
      <c r="S625" s="769"/>
      <c r="T625" s="769"/>
      <c r="U625" s="769"/>
      <c r="V625" s="769"/>
      <c r="W625" s="769"/>
      <c r="X625" s="769"/>
      <c r="Y625" s="769"/>
      <c r="Z625" s="769"/>
    </row>
    <row r="626" spans="1:26" ht="18.75" customHeight="1" x14ac:dyDescent="0.3">
      <c r="A626" s="769"/>
      <c r="B626" s="769"/>
      <c r="C626" s="769"/>
      <c r="D626" s="771"/>
      <c r="E626" s="769"/>
      <c r="F626" s="769"/>
      <c r="G626" s="769"/>
      <c r="H626" s="769"/>
      <c r="I626" s="769"/>
      <c r="J626" s="769"/>
      <c r="K626" s="772"/>
      <c r="L626" s="769"/>
      <c r="M626" s="769"/>
      <c r="N626" s="769"/>
      <c r="O626" s="769"/>
      <c r="P626" s="769"/>
      <c r="Q626" s="769"/>
      <c r="R626" s="769"/>
      <c r="S626" s="769"/>
      <c r="T626" s="769"/>
      <c r="U626" s="769"/>
      <c r="V626" s="769"/>
      <c r="W626" s="769"/>
      <c r="X626" s="769"/>
      <c r="Y626" s="769"/>
      <c r="Z626" s="769"/>
    </row>
    <row r="627" spans="1:26" ht="18.75" customHeight="1" x14ac:dyDescent="0.3">
      <c r="A627" s="769"/>
      <c r="B627" s="769"/>
      <c r="C627" s="769"/>
      <c r="D627" s="771"/>
      <c r="E627" s="769"/>
      <c r="F627" s="769"/>
      <c r="G627" s="769"/>
      <c r="H627" s="769"/>
      <c r="I627" s="769"/>
      <c r="J627" s="769"/>
      <c r="K627" s="772"/>
      <c r="L627" s="769"/>
      <c r="M627" s="769"/>
      <c r="N627" s="769"/>
      <c r="O627" s="769"/>
      <c r="P627" s="769"/>
      <c r="Q627" s="769"/>
      <c r="R627" s="769"/>
      <c r="S627" s="769"/>
      <c r="T627" s="769"/>
      <c r="U627" s="769"/>
      <c r="V627" s="769"/>
      <c r="W627" s="769"/>
      <c r="X627" s="769"/>
      <c r="Y627" s="769"/>
      <c r="Z627" s="769"/>
    </row>
    <row r="628" spans="1:26" ht="18.75" customHeight="1" x14ac:dyDescent="0.3">
      <c r="A628" s="769"/>
      <c r="B628" s="769"/>
      <c r="C628" s="769"/>
      <c r="D628" s="771"/>
      <c r="E628" s="769"/>
      <c r="F628" s="769"/>
      <c r="G628" s="769"/>
      <c r="H628" s="769"/>
      <c r="I628" s="769"/>
      <c r="J628" s="769"/>
      <c r="K628" s="772"/>
      <c r="L628" s="769"/>
      <c r="M628" s="769"/>
      <c r="N628" s="769"/>
      <c r="O628" s="769"/>
      <c r="P628" s="769"/>
      <c r="Q628" s="769"/>
      <c r="R628" s="769"/>
      <c r="S628" s="769"/>
      <c r="T628" s="769"/>
      <c r="U628" s="769"/>
      <c r="V628" s="769"/>
      <c r="W628" s="769"/>
      <c r="X628" s="769"/>
      <c r="Y628" s="769"/>
      <c r="Z628" s="769"/>
    </row>
    <row r="629" spans="1:26" ht="18.75" customHeight="1" x14ac:dyDescent="0.3">
      <c r="A629" s="769"/>
      <c r="B629" s="769"/>
      <c r="C629" s="769"/>
      <c r="D629" s="771"/>
      <c r="E629" s="769"/>
      <c r="F629" s="769"/>
      <c r="G629" s="769"/>
      <c r="H629" s="769"/>
      <c r="I629" s="769"/>
      <c r="J629" s="769"/>
      <c r="K629" s="772"/>
      <c r="L629" s="769"/>
      <c r="M629" s="769"/>
      <c r="N629" s="769"/>
      <c r="O629" s="769"/>
      <c r="P629" s="769"/>
      <c r="Q629" s="769"/>
      <c r="R629" s="769"/>
      <c r="S629" s="769"/>
      <c r="T629" s="769"/>
      <c r="U629" s="769"/>
      <c r="V629" s="769"/>
      <c r="W629" s="769"/>
      <c r="X629" s="769"/>
      <c r="Y629" s="769"/>
      <c r="Z629" s="769"/>
    </row>
    <row r="630" spans="1:26" ht="18.75" customHeight="1" x14ac:dyDescent="0.3">
      <c r="A630" s="769"/>
      <c r="B630" s="769"/>
      <c r="C630" s="769"/>
      <c r="D630" s="771"/>
      <c r="E630" s="769"/>
      <c r="F630" s="769"/>
      <c r="G630" s="769"/>
      <c r="H630" s="769"/>
      <c r="I630" s="769"/>
      <c r="J630" s="769"/>
      <c r="K630" s="772"/>
      <c r="L630" s="769"/>
      <c r="M630" s="769"/>
      <c r="N630" s="769"/>
      <c r="O630" s="769"/>
      <c r="P630" s="769"/>
      <c r="Q630" s="769"/>
      <c r="R630" s="769"/>
      <c r="S630" s="769"/>
      <c r="T630" s="769"/>
      <c r="U630" s="769"/>
      <c r="V630" s="769"/>
      <c r="W630" s="769"/>
      <c r="X630" s="769"/>
      <c r="Y630" s="769"/>
      <c r="Z630" s="769"/>
    </row>
    <row r="631" spans="1:26" ht="18.75" customHeight="1" x14ac:dyDescent="0.3">
      <c r="A631" s="769"/>
      <c r="B631" s="769"/>
      <c r="C631" s="769"/>
      <c r="D631" s="771"/>
      <c r="E631" s="769"/>
      <c r="F631" s="769"/>
      <c r="G631" s="769"/>
      <c r="H631" s="769"/>
      <c r="I631" s="769"/>
      <c r="J631" s="769"/>
      <c r="K631" s="772"/>
      <c r="L631" s="769"/>
      <c r="M631" s="769"/>
      <c r="N631" s="769"/>
      <c r="O631" s="769"/>
      <c r="P631" s="769"/>
      <c r="Q631" s="769"/>
      <c r="R631" s="769"/>
      <c r="S631" s="769"/>
      <c r="T631" s="769"/>
      <c r="U631" s="769"/>
      <c r="V631" s="769"/>
      <c r="W631" s="769"/>
      <c r="X631" s="769"/>
      <c r="Y631" s="769"/>
      <c r="Z631" s="769"/>
    </row>
    <row r="632" spans="1:26" ht="18.75" customHeight="1" x14ac:dyDescent="0.3">
      <c r="A632" s="769"/>
      <c r="B632" s="769"/>
      <c r="C632" s="769"/>
      <c r="D632" s="771"/>
      <c r="E632" s="769"/>
      <c r="F632" s="769"/>
      <c r="G632" s="769"/>
      <c r="H632" s="769"/>
      <c r="I632" s="769"/>
      <c r="J632" s="769"/>
      <c r="K632" s="772"/>
      <c r="L632" s="769"/>
      <c r="M632" s="769"/>
      <c r="N632" s="769"/>
      <c r="O632" s="769"/>
      <c r="P632" s="769"/>
      <c r="Q632" s="769"/>
      <c r="R632" s="769"/>
      <c r="S632" s="769"/>
      <c r="T632" s="769"/>
      <c r="U632" s="769"/>
      <c r="V632" s="769"/>
      <c r="W632" s="769"/>
      <c r="X632" s="769"/>
      <c r="Y632" s="769"/>
      <c r="Z632" s="769"/>
    </row>
    <row r="633" spans="1:26" ht="18.75" customHeight="1" x14ac:dyDescent="0.3">
      <c r="A633" s="769"/>
      <c r="B633" s="769"/>
      <c r="C633" s="769"/>
      <c r="D633" s="771"/>
      <c r="E633" s="769"/>
      <c r="F633" s="769"/>
      <c r="G633" s="769"/>
      <c r="H633" s="769"/>
      <c r="I633" s="769"/>
      <c r="J633" s="769"/>
      <c r="K633" s="772"/>
      <c r="L633" s="769"/>
      <c r="M633" s="769"/>
      <c r="N633" s="769"/>
      <c r="O633" s="769"/>
      <c r="P633" s="769"/>
      <c r="Q633" s="769"/>
      <c r="R633" s="769"/>
      <c r="S633" s="769"/>
      <c r="T633" s="769"/>
      <c r="U633" s="769"/>
      <c r="V633" s="769"/>
      <c r="W633" s="769"/>
      <c r="X633" s="769"/>
      <c r="Y633" s="769"/>
      <c r="Z633" s="769"/>
    </row>
    <row r="634" spans="1:26" ht="18.75" customHeight="1" x14ac:dyDescent="0.3">
      <c r="A634" s="769"/>
      <c r="B634" s="769"/>
      <c r="C634" s="769"/>
      <c r="D634" s="771"/>
      <c r="E634" s="769"/>
      <c r="F634" s="769"/>
      <c r="G634" s="769"/>
      <c r="H634" s="769"/>
      <c r="I634" s="769"/>
      <c r="J634" s="769"/>
      <c r="K634" s="772"/>
      <c r="L634" s="769"/>
      <c r="M634" s="769"/>
      <c r="N634" s="769"/>
      <c r="O634" s="769"/>
      <c r="P634" s="769"/>
      <c r="Q634" s="769"/>
      <c r="R634" s="769"/>
      <c r="S634" s="769"/>
      <c r="T634" s="769"/>
      <c r="U634" s="769"/>
      <c r="V634" s="769"/>
      <c r="W634" s="769"/>
      <c r="X634" s="769"/>
      <c r="Y634" s="769"/>
      <c r="Z634" s="769"/>
    </row>
    <row r="635" spans="1:26" ht="18.75" customHeight="1" x14ac:dyDescent="0.3">
      <c r="A635" s="769"/>
      <c r="B635" s="769"/>
      <c r="C635" s="769"/>
      <c r="D635" s="771"/>
      <c r="E635" s="769"/>
      <c r="F635" s="769"/>
      <c r="G635" s="769"/>
      <c r="H635" s="769"/>
      <c r="I635" s="769"/>
      <c r="J635" s="769"/>
      <c r="K635" s="772"/>
      <c r="L635" s="769"/>
      <c r="M635" s="769"/>
      <c r="N635" s="769"/>
      <c r="O635" s="769"/>
      <c r="P635" s="769"/>
      <c r="Q635" s="769"/>
      <c r="R635" s="769"/>
      <c r="S635" s="769"/>
      <c r="T635" s="769"/>
      <c r="U635" s="769"/>
      <c r="V635" s="769"/>
      <c r="W635" s="769"/>
      <c r="X635" s="769"/>
      <c r="Y635" s="769"/>
      <c r="Z635" s="769"/>
    </row>
    <row r="636" spans="1:26" ht="18.75" customHeight="1" x14ac:dyDescent="0.3">
      <c r="A636" s="769"/>
      <c r="B636" s="769"/>
      <c r="C636" s="769"/>
      <c r="D636" s="771"/>
      <c r="E636" s="769"/>
      <c r="F636" s="769"/>
      <c r="G636" s="769"/>
      <c r="H636" s="769"/>
      <c r="I636" s="769"/>
      <c r="J636" s="769"/>
      <c r="K636" s="772"/>
      <c r="L636" s="769"/>
      <c r="M636" s="769"/>
      <c r="N636" s="769"/>
      <c r="O636" s="769"/>
      <c r="P636" s="769"/>
      <c r="Q636" s="769"/>
      <c r="R636" s="769"/>
      <c r="S636" s="769"/>
      <c r="T636" s="769"/>
      <c r="U636" s="769"/>
      <c r="V636" s="769"/>
      <c r="W636" s="769"/>
      <c r="X636" s="769"/>
      <c r="Y636" s="769"/>
      <c r="Z636" s="769"/>
    </row>
    <row r="637" spans="1:26" ht="18.75" customHeight="1" x14ac:dyDescent="0.3">
      <c r="A637" s="769"/>
      <c r="B637" s="769"/>
      <c r="C637" s="769"/>
      <c r="D637" s="771"/>
      <c r="E637" s="769"/>
      <c r="F637" s="769"/>
      <c r="G637" s="769"/>
      <c r="H637" s="769"/>
      <c r="I637" s="769"/>
      <c r="J637" s="769"/>
      <c r="K637" s="772"/>
      <c r="L637" s="769"/>
      <c r="M637" s="769"/>
      <c r="N637" s="769"/>
      <c r="O637" s="769"/>
      <c r="P637" s="769"/>
      <c r="Q637" s="769"/>
      <c r="R637" s="769"/>
      <c r="S637" s="769"/>
      <c r="T637" s="769"/>
      <c r="U637" s="769"/>
      <c r="V637" s="769"/>
      <c r="W637" s="769"/>
      <c r="X637" s="769"/>
      <c r="Y637" s="769"/>
      <c r="Z637" s="769"/>
    </row>
    <row r="638" spans="1:26" ht="18.75" customHeight="1" x14ac:dyDescent="0.3">
      <c r="A638" s="769"/>
      <c r="B638" s="769"/>
      <c r="C638" s="769"/>
      <c r="D638" s="771"/>
      <c r="E638" s="769"/>
      <c r="F638" s="769"/>
      <c r="G638" s="769"/>
      <c r="H638" s="769"/>
      <c r="I638" s="769"/>
      <c r="J638" s="769"/>
      <c r="K638" s="772"/>
      <c r="L638" s="769"/>
      <c r="M638" s="769"/>
      <c r="N638" s="769"/>
      <c r="O638" s="769"/>
      <c r="P638" s="769"/>
      <c r="Q638" s="769"/>
      <c r="R638" s="769"/>
      <c r="S638" s="769"/>
      <c r="T638" s="769"/>
      <c r="U638" s="769"/>
      <c r="V638" s="769"/>
      <c r="W638" s="769"/>
      <c r="X638" s="769"/>
      <c r="Y638" s="769"/>
      <c r="Z638" s="769"/>
    </row>
    <row r="639" spans="1:26" ht="18.75" customHeight="1" x14ac:dyDescent="0.3">
      <c r="A639" s="769"/>
      <c r="B639" s="769"/>
      <c r="C639" s="769"/>
      <c r="D639" s="771"/>
      <c r="E639" s="769"/>
      <c r="F639" s="769"/>
      <c r="G639" s="769"/>
      <c r="H639" s="769"/>
      <c r="I639" s="769"/>
      <c r="J639" s="769"/>
      <c r="K639" s="772"/>
      <c r="L639" s="769"/>
      <c r="M639" s="769"/>
      <c r="N639" s="769"/>
      <c r="O639" s="769"/>
      <c r="P639" s="769"/>
      <c r="Q639" s="769"/>
      <c r="R639" s="769"/>
      <c r="S639" s="769"/>
      <c r="T639" s="769"/>
      <c r="U639" s="769"/>
      <c r="V639" s="769"/>
      <c r="W639" s="769"/>
      <c r="X639" s="769"/>
      <c r="Y639" s="769"/>
      <c r="Z639" s="769"/>
    </row>
    <row r="640" spans="1:26" ht="18.75" customHeight="1" x14ac:dyDescent="0.3">
      <c r="A640" s="769"/>
      <c r="B640" s="769"/>
      <c r="C640" s="769"/>
      <c r="D640" s="771"/>
      <c r="E640" s="769"/>
      <c r="F640" s="769"/>
      <c r="G640" s="769"/>
      <c r="H640" s="769"/>
      <c r="I640" s="769"/>
      <c r="J640" s="769"/>
      <c r="K640" s="772"/>
      <c r="L640" s="769"/>
      <c r="M640" s="769"/>
      <c r="N640" s="769"/>
      <c r="O640" s="769"/>
      <c r="P640" s="769"/>
      <c r="Q640" s="769"/>
      <c r="R640" s="769"/>
      <c r="S640" s="769"/>
      <c r="T640" s="769"/>
      <c r="U640" s="769"/>
      <c r="V640" s="769"/>
      <c r="W640" s="769"/>
      <c r="X640" s="769"/>
      <c r="Y640" s="769"/>
      <c r="Z640" s="769"/>
    </row>
    <row r="641" spans="1:26" ht="18.75" customHeight="1" x14ac:dyDescent="0.3">
      <c r="A641" s="769"/>
      <c r="B641" s="769"/>
      <c r="C641" s="769"/>
      <c r="D641" s="771"/>
      <c r="E641" s="769"/>
      <c r="F641" s="769"/>
      <c r="G641" s="769"/>
      <c r="H641" s="769"/>
      <c r="I641" s="769"/>
      <c r="J641" s="769"/>
      <c r="K641" s="772"/>
      <c r="L641" s="769"/>
      <c r="M641" s="769"/>
      <c r="N641" s="769"/>
      <c r="O641" s="769"/>
      <c r="P641" s="769"/>
      <c r="Q641" s="769"/>
      <c r="R641" s="769"/>
      <c r="S641" s="769"/>
      <c r="T641" s="769"/>
      <c r="U641" s="769"/>
      <c r="V641" s="769"/>
      <c r="W641" s="769"/>
      <c r="X641" s="769"/>
      <c r="Y641" s="769"/>
      <c r="Z641" s="769"/>
    </row>
    <row r="642" spans="1:26" ht="18.75" customHeight="1" x14ac:dyDescent="0.3">
      <c r="A642" s="769"/>
      <c r="B642" s="769"/>
      <c r="C642" s="769"/>
      <c r="D642" s="771"/>
      <c r="E642" s="769"/>
      <c r="F642" s="769"/>
      <c r="G642" s="769"/>
      <c r="H642" s="769"/>
      <c r="I642" s="769"/>
      <c r="J642" s="769"/>
      <c r="K642" s="772"/>
      <c r="L642" s="769"/>
      <c r="M642" s="769"/>
      <c r="N642" s="769"/>
      <c r="O642" s="769"/>
      <c r="P642" s="769"/>
      <c r="Q642" s="769"/>
      <c r="R642" s="769"/>
      <c r="S642" s="769"/>
      <c r="T642" s="769"/>
      <c r="U642" s="769"/>
      <c r="V642" s="769"/>
      <c r="W642" s="769"/>
      <c r="X642" s="769"/>
      <c r="Y642" s="769"/>
      <c r="Z642" s="769"/>
    </row>
    <row r="643" spans="1:26" ht="18.75" customHeight="1" x14ac:dyDescent="0.3">
      <c r="A643" s="769"/>
      <c r="B643" s="769"/>
      <c r="C643" s="769"/>
      <c r="D643" s="771"/>
      <c r="E643" s="769"/>
      <c r="F643" s="769"/>
      <c r="G643" s="769"/>
      <c r="H643" s="769"/>
      <c r="I643" s="769"/>
      <c r="J643" s="769"/>
      <c r="K643" s="772"/>
      <c r="L643" s="769"/>
      <c r="M643" s="769"/>
      <c r="N643" s="769"/>
      <c r="O643" s="769"/>
      <c r="P643" s="769"/>
      <c r="Q643" s="769"/>
      <c r="R643" s="769"/>
      <c r="S643" s="769"/>
      <c r="T643" s="769"/>
      <c r="U643" s="769"/>
      <c r="V643" s="769"/>
      <c r="W643" s="769"/>
      <c r="X643" s="769"/>
      <c r="Y643" s="769"/>
      <c r="Z643" s="769"/>
    </row>
    <row r="644" spans="1:26" ht="18.75" customHeight="1" x14ac:dyDescent="0.3">
      <c r="A644" s="769"/>
      <c r="B644" s="769"/>
      <c r="C644" s="769"/>
      <c r="D644" s="771"/>
      <c r="E644" s="769"/>
      <c r="F644" s="769"/>
      <c r="G644" s="769"/>
      <c r="H644" s="769"/>
      <c r="I644" s="769"/>
      <c r="J644" s="769"/>
      <c r="K644" s="772"/>
      <c r="L644" s="769"/>
      <c r="M644" s="769"/>
      <c r="N644" s="769"/>
      <c r="O644" s="769"/>
      <c r="P644" s="769"/>
      <c r="Q644" s="769"/>
      <c r="R644" s="769"/>
      <c r="S644" s="769"/>
      <c r="T644" s="769"/>
      <c r="U644" s="769"/>
      <c r="V644" s="769"/>
      <c r="W644" s="769"/>
      <c r="X644" s="769"/>
      <c r="Y644" s="769"/>
      <c r="Z644" s="769"/>
    </row>
    <row r="645" spans="1:26" ht="18.75" customHeight="1" x14ac:dyDescent="0.3">
      <c r="A645" s="769"/>
      <c r="B645" s="769"/>
      <c r="C645" s="769"/>
      <c r="D645" s="771"/>
      <c r="E645" s="769"/>
      <c r="F645" s="769"/>
      <c r="G645" s="769"/>
      <c r="H645" s="769"/>
      <c r="I645" s="769"/>
      <c r="J645" s="769"/>
      <c r="K645" s="772"/>
      <c r="L645" s="769"/>
      <c r="M645" s="769"/>
      <c r="N645" s="769"/>
      <c r="O645" s="769"/>
      <c r="P645" s="769"/>
      <c r="Q645" s="769"/>
      <c r="R645" s="769"/>
      <c r="S645" s="769"/>
      <c r="T645" s="769"/>
      <c r="U645" s="769"/>
      <c r="V645" s="769"/>
      <c r="W645" s="769"/>
      <c r="X645" s="769"/>
      <c r="Y645" s="769"/>
      <c r="Z645" s="769"/>
    </row>
    <row r="646" spans="1:26" ht="18.75" customHeight="1" x14ac:dyDescent="0.3">
      <c r="A646" s="769"/>
      <c r="B646" s="769"/>
      <c r="C646" s="769"/>
      <c r="D646" s="771"/>
      <c r="E646" s="769"/>
      <c r="F646" s="769"/>
      <c r="G646" s="769"/>
      <c r="H646" s="769"/>
      <c r="I646" s="769"/>
      <c r="J646" s="769"/>
      <c r="K646" s="772"/>
      <c r="L646" s="769"/>
      <c r="M646" s="769"/>
      <c r="N646" s="769"/>
      <c r="O646" s="769"/>
      <c r="P646" s="769"/>
      <c r="Q646" s="769"/>
      <c r="R646" s="769"/>
      <c r="S646" s="769"/>
      <c r="T646" s="769"/>
      <c r="U646" s="769"/>
      <c r="V646" s="769"/>
      <c r="W646" s="769"/>
      <c r="X646" s="769"/>
      <c r="Y646" s="769"/>
      <c r="Z646" s="769"/>
    </row>
    <row r="647" spans="1:26" ht="18.75" customHeight="1" x14ac:dyDescent="0.3">
      <c r="A647" s="769"/>
      <c r="B647" s="769"/>
      <c r="C647" s="769"/>
      <c r="D647" s="771"/>
      <c r="E647" s="769"/>
      <c r="F647" s="769"/>
      <c r="G647" s="769"/>
      <c r="H647" s="769"/>
      <c r="I647" s="769"/>
      <c r="J647" s="769"/>
      <c r="K647" s="772"/>
      <c r="L647" s="769"/>
      <c r="M647" s="769"/>
      <c r="N647" s="769"/>
      <c r="O647" s="769"/>
      <c r="P647" s="769"/>
      <c r="Q647" s="769"/>
      <c r="R647" s="769"/>
      <c r="S647" s="769"/>
      <c r="T647" s="769"/>
      <c r="U647" s="769"/>
      <c r="V647" s="769"/>
      <c r="W647" s="769"/>
      <c r="X647" s="769"/>
      <c r="Y647" s="769"/>
      <c r="Z647" s="769"/>
    </row>
    <row r="648" spans="1:26" ht="18.75" customHeight="1" x14ac:dyDescent="0.3">
      <c r="A648" s="769"/>
      <c r="B648" s="769"/>
      <c r="C648" s="769"/>
      <c r="D648" s="771"/>
      <c r="E648" s="769"/>
      <c r="F648" s="769"/>
      <c r="G648" s="769"/>
      <c r="H648" s="769"/>
      <c r="I648" s="769"/>
      <c r="J648" s="769"/>
      <c r="K648" s="772"/>
      <c r="L648" s="769"/>
      <c r="M648" s="769"/>
      <c r="N648" s="769"/>
      <c r="O648" s="769"/>
      <c r="P648" s="769"/>
      <c r="Q648" s="769"/>
      <c r="R648" s="769"/>
      <c r="S648" s="769"/>
      <c r="T648" s="769"/>
      <c r="U648" s="769"/>
      <c r="V648" s="769"/>
      <c r="W648" s="769"/>
      <c r="X648" s="769"/>
      <c r="Y648" s="769"/>
      <c r="Z648" s="769"/>
    </row>
    <row r="649" spans="1:26" ht="18.75" customHeight="1" x14ac:dyDescent="0.3">
      <c r="A649" s="769"/>
      <c r="B649" s="769"/>
      <c r="C649" s="769"/>
      <c r="D649" s="771"/>
      <c r="E649" s="769"/>
      <c r="F649" s="769"/>
      <c r="G649" s="769"/>
      <c r="H649" s="769"/>
      <c r="I649" s="769"/>
      <c r="J649" s="769"/>
      <c r="K649" s="772"/>
      <c r="L649" s="769"/>
      <c r="M649" s="769"/>
      <c r="N649" s="769"/>
      <c r="O649" s="769"/>
      <c r="P649" s="769"/>
      <c r="Q649" s="769"/>
      <c r="R649" s="769"/>
      <c r="S649" s="769"/>
      <c r="T649" s="769"/>
      <c r="U649" s="769"/>
      <c r="V649" s="769"/>
      <c r="W649" s="769"/>
      <c r="X649" s="769"/>
      <c r="Y649" s="769"/>
      <c r="Z649" s="769"/>
    </row>
    <row r="650" spans="1:26" ht="18.75" customHeight="1" x14ac:dyDescent="0.3">
      <c r="A650" s="769"/>
      <c r="B650" s="769"/>
      <c r="C650" s="769"/>
      <c r="D650" s="771"/>
      <c r="E650" s="769"/>
      <c r="F650" s="769"/>
      <c r="G650" s="769"/>
      <c r="H650" s="769"/>
      <c r="I650" s="769"/>
      <c r="J650" s="769"/>
      <c r="K650" s="772"/>
      <c r="L650" s="769"/>
      <c r="M650" s="769"/>
      <c r="N650" s="769"/>
      <c r="O650" s="769"/>
      <c r="P650" s="769"/>
      <c r="Q650" s="769"/>
      <c r="R650" s="769"/>
      <c r="S650" s="769"/>
      <c r="T650" s="769"/>
      <c r="U650" s="769"/>
      <c r="V650" s="769"/>
      <c r="W650" s="769"/>
      <c r="X650" s="769"/>
      <c r="Y650" s="769"/>
      <c r="Z650" s="769"/>
    </row>
    <row r="651" spans="1:26" ht="18.75" customHeight="1" x14ac:dyDescent="0.3">
      <c r="A651" s="769"/>
      <c r="B651" s="769"/>
      <c r="C651" s="769"/>
      <c r="D651" s="771"/>
      <c r="E651" s="769"/>
      <c r="F651" s="769"/>
      <c r="G651" s="769"/>
      <c r="H651" s="769"/>
      <c r="I651" s="769"/>
      <c r="J651" s="769"/>
      <c r="K651" s="772"/>
      <c r="L651" s="769"/>
      <c r="M651" s="769"/>
      <c r="N651" s="769"/>
      <c r="O651" s="769"/>
      <c r="P651" s="769"/>
      <c r="Q651" s="769"/>
      <c r="R651" s="769"/>
      <c r="S651" s="769"/>
      <c r="T651" s="769"/>
      <c r="U651" s="769"/>
      <c r="V651" s="769"/>
      <c r="W651" s="769"/>
      <c r="X651" s="769"/>
      <c r="Y651" s="769"/>
      <c r="Z651" s="769"/>
    </row>
    <row r="652" spans="1:26" ht="18.75" customHeight="1" x14ac:dyDescent="0.3">
      <c r="A652" s="769"/>
      <c r="B652" s="769"/>
      <c r="C652" s="769"/>
      <c r="D652" s="771"/>
      <c r="E652" s="769"/>
      <c r="F652" s="769"/>
      <c r="G652" s="769"/>
      <c r="H652" s="769"/>
      <c r="I652" s="769"/>
      <c r="J652" s="769"/>
      <c r="K652" s="772"/>
      <c r="L652" s="769"/>
      <c r="M652" s="769"/>
      <c r="N652" s="769"/>
      <c r="O652" s="769"/>
      <c r="P652" s="769"/>
      <c r="Q652" s="769"/>
      <c r="R652" s="769"/>
      <c r="S652" s="769"/>
      <c r="T652" s="769"/>
      <c r="U652" s="769"/>
      <c r="V652" s="769"/>
      <c r="W652" s="769"/>
      <c r="X652" s="769"/>
      <c r="Y652" s="769"/>
      <c r="Z652" s="769"/>
    </row>
    <row r="653" spans="1:26" ht="18.75" customHeight="1" x14ac:dyDescent="0.3">
      <c r="A653" s="769"/>
      <c r="B653" s="769"/>
      <c r="C653" s="769"/>
      <c r="D653" s="771"/>
      <c r="E653" s="769"/>
      <c r="F653" s="769"/>
      <c r="G653" s="769"/>
      <c r="H653" s="769"/>
      <c r="I653" s="769"/>
      <c r="J653" s="769"/>
      <c r="K653" s="772"/>
      <c r="L653" s="769"/>
      <c r="M653" s="769"/>
      <c r="N653" s="769"/>
      <c r="O653" s="769"/>
      <c r="P653" s="769"/>
      <c r="Q653" s="769"/>
      <c r="R653" s="769"/>
      <c r="S653" s="769"/>
      <c r="T653" s="769"/>
      <c r="U653" s="769"/>
      <c r="V653" s="769"/>
      <c r="W653" s="769"/>
      <c r="X653" s="769"/>
      <c r="Y653" s="769"/>
      <c r="Z653" s="769"/>
    </row>
    <row r="654" spans="1:26" ht="18.75" customHeight="1" x14ac:dyDescent="0.3">
      <c r="A654" s="769"/>
      <c r="B654" s="769"/>
      <c r="C654" s="769"/>
      <c r="D654" s="771"/>
      <c r="E654" s="769"/>
      <c r="F654" s="769"/>
      <c r="G654" s="769"/>
      <c r="H654" s="769"/>
      <c r="I654" s="769"/>
      <c r="J654" s="769"/>
      <c r="K654" s="772"/>
      <c r="L654" s="769"/>
      <c r="M654" s="769"/>
      <c r="N654" s="769"/>
      <c r="O654" s="769"/>
      <c r="P654" s="769"/>
      <c r="Q654" s="769"/>
      <c r="R654" s="769"/>
      <c r="S654" s="769"/>
      <c r="T654" s="769"/>
      <c r="U654" s="769"/>
      <c r="V654" s="769"/>
      <c r="W654" s="769"/>
      <c r="X654" s="769"/>
      <c r="Y654" s="769"/>
      <c r="Z654" s="769"/>
    </row>
    <row r="655" spans="1:26" ht="18.75" customHeight="1" x14ac:dyDescent="0.3">
      <c r="A655" s="769"/>
      <c r="B655" s="769"/>
      <c r="C655" s="769"/>
      <c r="D655" s="771"/>
      <c r="E655" s="769"/>
      <c r="F655" s="769"/>
      <c r="G655" s="769"/>
      <c r="H655" s="769"/>
      <c r="I655" s="769"/>
      <c r="J655" s="769"/>
      <c r="K655" s="772"/>
      <c r="L655" s="769"/>
      <c r="M655" s="769"/>
      <c r="N655" s="769"/>
      <c r="O655" s="769"/>
      <c r="P655" s="769"/>
      <c r="Q655" s="769"/>
      <c r="R655" s="769"/>
      <c r="S655" s="769"/>
      <c r="T655" s="769"/>
      <c r="U655" s="769"/>
      <c r="V655" s="769"/>
      <c r="W655" s="769"/>
      <c r="X655" s="769"/>
      <c r="Y655" s="769"/>
      <c r="Z655" s="769"/>
    </row>
    <row r="656" spans="1:26" ht="18.75" customHeight="1" x14ac:dyDescent="0.3">
      <c r="A656" s="769"/>
      <c r="B656" s="769"/>
      <c r="C656" s="769"/>
      <c r="D656" s="771"/>
      <c r="E656" s="769"/>
      <c r="F656" s="769"/>
      <c r="G656" s="769"/>
      <c r="H656" s="769"/>
      <c r="I656" s="769"/>
      <c r="J656" s="769"/>
      <c r="K656" s="772"/>
      <c r="L656" s="769"/>
      <c r="M656" s="769"/>
      <c r="N656" s="769"/>
      <c r="O656" s="769"/>
      <c r="P656" s="769"/>
      <c r="Q656" s="769"/>
      <c r="R656" s="769"/>
      <c r="S656" s="769"/>
      <c r="T656" s="769"/>
      <c r="U656" s="769"/>
      <c r="V656" s="769"/>
      <c r="W656" s="769"/>
      <c r="X656" s="769"/>
      <c r="Y656" s="769"/>
      <c r="Z656" s="769"/>
    </row>
    <row r="657" spans="1:26" ht="18.75" customHeight="1" x14ac:dyDescent="0.3">
      <c r="A657" s="769"/>
      <c r="B657" s="769"/>
      <c r="C657" s="769"/>
      <c r="D657" s="771"/>
      <c r="E657" s="769"/>
      <c r="F657" s="769"/>
      <c r="G657" s="769"/>
      <c r="H657" s="769"/>
      <c r="I657" s="769"/>
      <c r="J657" s="769"/>
      <c r="K657" s="772"/>
      <c r="L657" s="769"/>
      <c r="M657" s="769"/>
      <c r="N657" s="769"/>
      <c r="O657" s="769"/>
      <c r="P657" s="769"/>
      <c r="Q657" s="769"/>
      <c r="R657" s="769"/>
      <c r="S657" s="769"/>
      <c r="T657" s="769"/>
      <c r="U657" s="769"/>
      <c r="V657" s="769"/>
      <c r="W657" s="769"/>
      <c r="X657" s="769"/>
      <c r="Y657" s="769"/>
      <c r="Z657" s="769"/>
    </row>
    <row r="658" spans="1:26" ht="18.75" customHeight="1" x14ac:dyDescent="0.3">
      <c r="A658" s="769"/>
      <c r="B658" s="769"/>
      <c r="C658" s="769"/>
      <c r="D658" s="771"/>
      <c r="E658" s="769"/>
      <c r="F658" s="769"/>
      <c r="G658" s="769"/>
      <c r="H658" s="769"/>
      <c r="I658" s="769"/>
      <c r="J658" s="769"/>
      <c r="K658" s="772"/>
      <c r="L658" s="769"/>
      <c r="M658" s="769"/>
      <c r="N658" s="769"/>
      <c r="O658" s="769"/>
      <c r="P658" s="769"/>
      <c r="Q658" s="769"/>
      <c r="R658" s="769"/>
      <c r="S658" s="769"/>
      <c r="T658" s="769"/>
      <c r="U658" s="769"/>
      <c r="V658" s="769"/>
      <c r="W658" s="769"/>
      <c r="X658" s="769"/>
      <c r="Y658" s="769"/>
      <c r="Z658" s="769"/>
    </row>
    <row r="659" spans="1:26" ht="18.75" customHeight="1" x14ac:dyDescent="0.3">
      <c r="A659" s="769"/>
      <c r="B659" s="769"/>
      <c r="C659" s="769"/>
      <c r="D659" s="771"/>
      <c r="E659" s="769"/>
      <c r="F659" s="769"/>
      <c r="G659" s="769"/>
      <c r="H659" s="769"/>
      <c r="I659" s="769"/>
      <c r="J659" s="769"/>
      <c r="K659" s="772"/>
      <c r="L659" s="769"/>
      <c r="M659" s="769"/>
      <c r="N659" s="769"/>
      <c r="O659" s="769"/>
      <c r="P659" s="769"/>
      <c r="Q659" s="769"/>
      <c r="R659" s="769"/>
      <c r="S659" s="769"/>
      <c r="T659" s="769"/>
      <c r="U659" s="769"/>
      <c r="V659" s="769"/>
      <c r="W659" s="769"/>
      <c r="X659" s="769"/>
      <c r="Y659" s="769"/>
      <c r="Z659" s="769"/>
    </row>
    <row r="660" spans="1:26" ht="18.75" customHeight="1" x14ac:dyDescent="0.3">
      <c r="A660" s="769"/>
      <c r="B660" s="769"/>
      <c r="C660" s="769"/>
      <c r="D660" s="771"/>
      <c r="E660" s="769"/>
      <c r="F660" s="769"/>
      <c r="G660" s="769"/>
      <c r="H660" s="769"/>
      <c r="I660" s="769"/>
      <c r="J660" s="769"/>
      <c r="K660" s="772"/>
      <c r="L660" s="769"/>
      <c r="M660" s="769"/>
      <c r="N660" s="769"/>
      <c r="O660" s="769"/>
      <c r="P660" s="769"/>
      <c r="Q660" s="769"/>
      <c r="R660" s="769"/>
      <c r="S660" s="769"/>
      <c r="T660" s="769"/>
      <c r="U660" s="769"/>
      <c r="V660" s="769"/>
      <c r="W660" s="769"/>
      <c r="X660" s="769"/>
      <c r="Y660" s="769"/>
      <c r="Z660" s="769"/>
    </row>
    <row r="661" spans="1:26" ht="18.75" customHeight="1" x14ac:dyDescent="0.3">
      <c r="A661" s="769"/>
      <c r="B661" s="769"/>
      <c r="C661" s="769"/>
      <c r="D661" s="771"/>
      <c r="E661" s="769"/>
      <c r="F661" s="769"/>
      <c r="G661" s="769"/>
      <c r="H661" s="769"/>
      <c r="I661" s="769"/>
      <c r="J661" s="769"/>
      <c r="K661" s="772"/>
      <c r="L661" s="769"/>
      <c r="M661" s="769"/>
      <c r="N661" s="769"/>
      <c r="O661" s="769"/>
      <c r="P661" s="769"/>
      <c r="Q661" s="769"/>
      <c r="R661" s="769"/>
      <c r="S661" s="769"/>
      <c r="T661" s="769"/>
      <c r="U661" s="769"/>
      <c r="V661" s="769"/>
      <c r="W661" s="769"/>
      <c r="X661" s="769"/>
      <c r="Y661" s="769"/>
      <c r="Z661" s="769"/>
    </row>
    <row r="662" spans="1:26" ht="18.75" customHeight="1" x14ac:dyDescent="0.3">
      <c r="A662" s="769"/>
      <c r="B662" s="769"/>
      <c r="C662" s="769"/>
      <c r="D662" s="771"/>
      <c r="E662" s="769"/>
      <c r="F662" s="769"/>
      <c r="G662" s="769"/>
      <c r="H662" s="769"/>
      <c r="I662" s="769"/>
      <c r="J662" s="769"/>
      <c r="K662" s="772"/>
      <c r="L662" s="769"/>
      <c r="M662" s="769"/>
      <c r="N662" s="769"/>
      <c r="O662" s="769"/>
      <c r="P662" s="769"/>
      <c r="Q662" s="769"/>
      <c r="R662" s="769"/>
      <c r="S662" s="769"/>
      <c r="T662" s="769"/>
      <c r="U662" s="769"/>
      <c r="V662" s="769"/>
      <c r="W662" s="769"/>
      <c r="X662" s="769"/>
      <c r="Y662" s="769"/>
      <c r="Z662" s="769"/>
    </row>
    <row r="663" spans="1:26" ht="18.75" customHeight="1" x14ac:dyDescent="0.3">
      <c r="A663" s="769"/>
      <c r="B663" s="769"/>
      <c r="C663" s="769"/>
      <c r="D663" s="771"/>
      <c r="E663" s="769"/>
      <c r="F663" s="769"/>
      <c r="G663" s="769"/>
      <c r="H663" s="769"/>
      <c r="I663" s="769"/>
      <c r="J663" s="769"/>
      <c r="K663" s="772"/>
      <c r="L663" s="769"/>
      <c r="M663" s="769"/>
      <c r="N663" s="769"/>
      <c r="O663" s="769"/>
      <c r="P663" s="769"/>
      <c r="Q663" s="769"/>
      <c r="R663" s="769"/>
      <c r="S663" s="769"/>
      <c r="T663" s="769"/>
      <c r="U663" s="769"/>
      <c r="V663" s="769"/>
      <c r="W663" s="769"/>
      <c r="X663" s="769"/>
      <c r="Y663" s="769"/>
      <c r="Z663" s="769"/>
    </row>
    <row r="664" spans="1:26" ht="18.75" customHeight="1" x14ac:dyDescent="0.3">
      <c r="A664" s="769"/>
      <c r="B664" s="769"/>
      <c r="C664" s="769"/>
      <c r="D664" s="771"/>
      <c r="E664" s="769"/>
      <c r="F664" s="769"/>
      <c r="G664" s="769"/>
      <c r="H664" s="769"/>
      <c r="I664" s="769"/>
      <c r="J664" s="769"/>
      <c r="K664" s="772"/>
      <c r="L664" s="769"/>
      <c r="M664" s="769"/>
      <c r="N664" s="769"/>
      <c r="O664" s="769"/>
      <c r="P664" s="769"/>
      <c r="Q664" s="769"/>
      <c r="R664" s="769"/>
      <c r="S664" s="769"/>
      <c r="T664" s="769"/>
      <c r="U664" s="769"/>
      <c r="V664" s="769"/>
      <c r="W664" s="769"/>
      <c r="X664" s="769"/>
      <c r="Y664" s="769"/>
      <c r="Z664" s="769"/>
    </row>
    <row r="665" spans="1:26" ht="18.75" customHeight="1" x14ac:dyDescent="0.3">
      <c r="A665" s="769"/>
      <c r="B665" s="769"/>
      <c r="C665" s="769"/>
      <c r="D665" s="771"/>
      <c r="E665" s="769"/>
      <c r="F665" s="769"/>
      <c r="G665" s="769"/>
      <c r="H665" s="769"/>
      <c r="I665" s="769"/>
      <c r="J665" s="769"/>
      <c r="K665" s="772"/>
      <c r="L665" s="769"/>
      <c r="M665" s="769"/>
      <c r="N665" s="769"/>
      <c r="O665" s="769"/>
      <c r="P665" s="769"/>
      <c r="Q665" s="769"/>
      <c r="R665" s="769"/>
      <c r="S665" s="769"/>
      <c r="T665" s="769"/>
      <c r="U665" s="769"/>
      <c r="V665" s="769"/>
      <c r="W665" s="769"/>
      <c r="X665" s="769"/>
      <c r="Y665" s="769"/>
      <c r="Z665" s="769"/>
    </row>
    <row r="666" spans="1:26" ht="18.75" customHeight="1" x14ac:dyDescent="0.3">
      <c r="A666" s="769"/>
      <c r="B666" s="769"/>
      <c r="C666" s="769"/>
      <c r="D666" s="771"/>
      <c r="E666" s="769"/>
      <c r="F666" s="769"/>
      <c r="G666" s="769"/>
      <c r="H666" s="769"/>
      <c r="I666" s="769"/>
      <c r="J666" s="769"/>
      <c r="K666" s="772"/>
      <c r="L666" s="769"/>
      <c r="M666" s="769"/>
      <c r="N666" s="769"/>
      <c r="O666" s="769"/>
      <c r="P666" s="769"/>
      <c r="Q666" s="769"/>
      <c r="R666" s="769"/>
      <c r="S666" s="769"/>
      <c r="T666" s="769"/>
      <c r="U666" s="769"/>
      <c r="V666" s="769"/>
      <c r="W666" s="769"/>
      <c r="X666" s="769"/>
      <c r="Y666" s="769"/>
      <c r="Z666" s="769"/>
    </row>
    <row r="667" spans="1:26" ht="18.75" customHeight="1" x14ac:dyDescent="0.3">
      <c r="A667" s="769"/>
      <c r="B667" s="769"/>
      <c r="C667" s="769"/>
      <c r="D667" s="771"/>
      <c r="E667" s="769"/>
      <c r="F667" s="769"/>
      <c r="G667" s="769"/>
      <c r="H667" s="769"/>
      <c r="I667" s="769"/>
      <c r="J667" s="769"/>
      <c r="K667" s="772"/>
      <c r="L667" s="769"/>
      <c r="M667" s="769"/>
      <c r="N667" s="769"/>
      <c r="O667" s="769"/>
      <c r="P667" s="769"/>
      <c r="Q667" s="769"/>
      <c r="R667" s="769"/>
      <c r="S667" s="769"/>
      <c r="T667" s="769"/>
      <c r="U667" s="769"/>
      <c r="V667" s="769"/>
      <c r="W667" s="769"/>
      <c r="X667" s="769"/>
      <c r="Y667" s="769"/>
      <c r="Z667" s="769"/>
    </row>
    <row r="668" spans="1:26" ht="18.75" customHeight="1" x14ac:dyDescent="0.3">
      <c r="A668" s="769"/>
      <c r="B668" s="769"/>
      <c r="C668" s="769"/>
      <c r="D668" s="771"/>
      <c r="E668" s="769"/>
      <c r="F668" s="769"/>
      <c r="G668" s="769"/>
      <c r="H668" s="769"/>
      <c r="I668" s="769"/>
      <c r="J668" s="769"/>
      <c r="K668" s="772"/>
      <c r="L668" s="769"/>
      <c r="M668" s="769"/>
      <c r="N668" s="769"/>
      <c r="O668" s="769"/>
      <c r="P668" s="769"/>
      <c r="Q668" s="769"/>
      <c r="R668" s="769"/>
      <c r="S668" s="769"/>
      <c r="T668" s="769"/>
      <c r="U668" s="769"/>
      <c r="V668" s="769"/>
      <c r="W668" s="769"/>
      <c r="X668" s="769"/>
      <c r="Y668" s="769"/>
      <c r="Z668" s="769"/>
    </row>
    <row r="669" spans="1:26" ht="18.75" customHeight="1" x14ac:dyDescent="0.3">
      <c r="A669" s="769"/>
      <c r="B669" s="769"/>
      <c r="C669" s="769"/>
      <c r="D669" s="771"/>
      <c r="E669" s="769"/>
      <c r="F669" s="769"/>
      <c r="G669" s="769"/>
      <c r="H669" s="769"/>
      <c r="I669" s="769"/>
      <c r="J669" s="769"/>
      <c r="K669" s="772"/>
      <c r="L669" s="769"/>
      <c r="M669" s="769"/>
      <c r="N669" s="769"/>
      <c r="O669" s="769"/>
      <c r="P669" s="769"/>
      <c r="Q669" s="769"/>
      <c r="R669" s="769"/>
      <c r="S669" s="769"/>
      <c r="T669" s="769"/>
      <c r="U669" s="769"/>
      <c r="V669" s="769"/>
      <c r="W669" s="769"/>
      <c r="X669" s="769"/>
      <c r="Y669" s="769"/>
      <c r="Z669" s="769"/>
    </row>
    <row r="670" spans="1:26" ht="18.75" customHeight="1" x14ac:dyDescent="0.3">
      <c r="A670" s="769"/>
      <c r="B670" s="769"/>
      <c r="C670" s="769"/>
      <c r="D670" s="771"/>
      <c r="E670" s="769"/>
      <c r="F670" s="769"/>
      <c r="G670" s="769"/>
      <c r="H670" s="769"/>
      <c r="I670" s="769"/>
      <c r="J670" s="769"/>
      <c r="K670" s="772"/>
      <c r="L670" s="769"/>
      <c r="M670" s="769"/>
      <c r="N670" s="769"/>
      <c r="O670" s="769"/>
      <c r="P670" s="769"/>
      <c r="Q670" s="769"/>
      <c r="R670" s="769"/>
      <c r="S670" s="769"/>
      <c r="T670" s="769"/>
      <c r="U670" s="769"/>
      <c r="V670" s="769"/>
      <c r="W670" s="769"/>
      <c r="X670" s="769"/>
      <c r="Y670" s="769"/>
      <c r="Z670" s="769"/>
    </row>
    <row r="671" spans="1:26" ht="18.75" customHeight="1" x14ac:dyDescent="0.3">
      <c r="A671" s="769"/>
      <c r="B671" s="769"/>
      <c r="C671" s="769"/>
      <c r="D671" s="771"/>
      <c r="E671" s="769"/>
      <c r="F671" s="769"/>
      <c r="G671" s="769"/>
      <c r="H671" s="769"/>
      <c r="I671" s="769"/>
      <c r="J671" s="769"/>
      <c r="K671" s="772"/>
      <c r="L671" s="769"/>
      <c r="M671" s="769"/>
      <c r="N671" s="769"/>
      <c r="O671" s="769"/>
      <c r="P671" s="769"/>
      <c r="Q671" s="769"/>
      <c r="R671" s="769"/>
      <c r="S671" s="769"/>
      <c r="T671" s="769"/>
      <c r="U671" s="769"/>
      <c r="V671" s="769"/>
      <c r="W671" s="769"/>
      <c r="X671" s="769"/>
      <c r="Y671" s="769"/>
      <c r="Z671" s="769"/>
    </row>
    <row r="672" spans="1:26" ht="18.75" customHeight="1" x14ac:dyDescent="0.3">
      <c r="A672" s="769"/>
      <c r="B672" s="769"/>
      <c r="C672" s="769"/>
      <c r="D672" s="771"/>
      <c r="E672" s="769"/>
      <c r="F672" s="769"/>
      <c r="G672" s="769"/>
      <c r="H672" s="769"/>
      <c r="I672" s="769"/>
      <c r="J672" s="769"/>
      <c r="K672" s="772"/>
      <c r="L672" s="769"/>
      <c r="M672" s="769"/>
      <c r="N672" s="769"/>
      <c r="O672" s="769"/>
      <c r="P672" s="769"/>
      <c r="Q672" s="769"/>
      <c r="R672" s="769"/>
      <c r="S672" s="769"/>
      <c r="T672" s="769"/>
      <c r="U672" s="769"/>
      <c r="V672" s="769"/>
      <c r="W672" s="769"/>
      <c r="X672" s="769"/>
      <c r="Y672" s="769"/>
      <c r="Z672" s="769"/>
    </row>
    <row r="673" spans="1:26" ht="18.75" customHeight="1" x14ac:dyDescent="0.3">
      <c r="A673" s="769"/>
      <c r="B673" s="769"/>
      <c r="C673" s="769"/>
      <c r="D673" s="771"/>
      <c r="E673" s="769"/>
      <c r="F673" s="769"/>
      <c r="G673" s="769"/>
      <c r="H673" s="769"/>
      <c r="I673" s="769"/>
      <c r="J673" s="769"/>
      <c r="K673" s="772"/>
      <c r="L673" s="769"/>
      <c r="M673" s="769"/>
      <c r="N673" s="769"/>
      <c r="O673" s="769"/>
      <c r="P673" s="769"/>
      <c r="Q673" s="769"/>
      <c r="R673" s="769"/>
      <c r="S673" s="769"/>
      <c r="T673" s="769"/>
      <c r="U673" s="769"/>
      <c r="V673" s="769"/>
      <c r="W673" s="769"/>
      <c r="X673" s="769"/>
      <c r="Y673" s="769"/>
      <c r="Z673" s="769"/>
    </row>
    <row r="674" spans="1:26" ht="18.75" customHeight="1" x14ac:dyDescent="0.3">
      <c r="A674" s="769"/>
      <c r="B674" s="769"/>
      <c r="C674" s="769"/>
      <c r="D674" s="771"/>
      <c r="E674" s="769"/>
      <c r="F674" s="769"/>
      <c r="G674" s="769"/>
      <c r="H674" s="769"/>
      <c r="I674" s="769"/>
      <c r="J674" s="769"/>
      <c r="K674" s="772"/>
      <c r="L674" s="769"/>
      <c r="M674" s="769"/>
      <c r="N674" s="769"/>
      <c r="O674" s="769"/>
      <c r="P674" s="769"/>
      <c r="Q674" s="769"/>
      <c r="R674" s="769"/>
      <c r="S674" s="769"/>
      <c r="T674" s="769"/>
      <c r="U674" s="769"/>
      <c r="V674" s="769"/>
      <c r="W674" s="769"/>
      <c r="X674" s="769"/>
      <c r="Y674" s="769"/>
      <c r="Z674" s="769"/>
    </row>
    <row r="675" spans="1:26" ht="18.75" customHeight="1" x14ac:dyDescent="0.3">
      <c r="A675" s="769"/>
      <c r="B675" s="769"/>
      <c r="C675" s="769"/>
      <c r="D675" s="771"/>
      <c r="E675" s="769"/>
      <c r="F675" s="769"/>
      <c r="G675" s="769"/>
      <c r="H675" s="769"/>
      <c r="I675" s="769"/>
      <c r="J675" s="769"/>
      <c r="K675" s="772"/>
      <c r="L675" s="769"/>
      <c r="M675" s="769"/>
      <c r="N675" s="769"/>
      <c r="O675" s="769"/>
      <c r="P675" s="769"/>
      <c r="Q675" s="769"/>
      <c r="R675" s="769"/>
      <c r="S675" s="769"/>
      <c r="T675" s="769"/>
      <c r="U675" s="769"/>
      <c r="V675" s="769"/>
      <c r="W675" s="769"/>
      <c r="X675" s="769"/>
      <c r="Y675" s="769"/>
      <c r="Z675" s="769"/>
    </row>
    <row r="676" spans="1:26" ht="18.75" customHeight="1" x14ac:dyDescent="0.3">
      <c r="A676" s="769"/>
      <c r="B676" s="769"/>
      <c r="C676" s="769"/>
      <c r="D676" s="771"/>
      <c r="E676" s="769"/>
      <c r="F676" s="769"/>
      <c r="G676" s="769"/>
      <c r="H676" s="769"/>
      <c r="I676" s="769"/>
      <c r="J676" s="769"/>
      <c r="K676" s="772"/>
      <c r="L676" s="769"/>
      <c r="M676" s="769"/>
      <c r="N676" s="769"/>
      <c r="O676" s="769"/>
      <c r="P676" s="769"/>
      <c r="Q676" s="769"/>
      <c r="R676" s="769"/>
      <c r="S676" s="769"/>
      <c r="T676" s="769"/>
      <c r="U676" s="769"/>
      <c r="V676" s="769"/>
      <c r="W676" s="769"/>
      <c r="X676" s="769"/>
      <c r="Y676" s="769"/>
      <c r="Z676" s="769"/>
    </row>
    <row r="677" spans="1:26" ht="18.75" customHeight="1" x14ac:dyDescent="0.3">
      <c r="A677" s="769"/>
      <c r="B677" s="769"/>
      <c r="C677" s="769"/>
      <c r="D677" s="771"/>
      <c r="E677" s="769"/>
      <c r="F677" s="769"/>
      <c r="G677" s="769"/>
      <c r="H677" s="769"/>
      <c r="I677" s="769"/>
      <c r="J677" s="769"/>
      <c r="K677" s="772"/>
      <c r="L677" s="769"/>
      <c r="M677" s="769"/>
      <c r="N677" s="769"/>
      <c r="O677" s="769"/>
      <c r="P677" s="769"/>
      <c r="Q677" s="769"/>
      <c r="R677" s="769"/>
      <c r="S677" s="769"/>
      <c r="T677" s="769"/>
      <c r="U677" s="769"/>
      <c r="V677" s="769"/>
      <c r="W677" s="769"/>
      <c r="X677" s="769"/>
      <c r="Y677" s="769"/>
      <c r="Z677" s="769"/>
    </row>
    <row r="678" spans="1:26" ht="18.75" customHeight="1" x14ac:dyDescent="0.3">
      <c r="A678" s="769"/>
      <c r="B678" s="769"/>
      <c r="C678" s="769"/>
      <c r="D678" s="771"/>
      <c r="E678" s="769"/>
      <c r="F678" s="769"/>
      <c r="G678" s="769"/>
      <c r="H678" s="769"/>
      <c r="I678" s="769"/>
      <c r="J678" s="769"/>
      <c r="K678" s="772"/>
      <c r="L678" s="769"/>
      <c r="M678" s="769"/>
      <c r="N678" s="769"/>
      <c r="O678" s="769"/>
      <c r="P678" s="769"/>
      <c r="Q678" s="769"/>
      <c r="R678" s="769"/>
      <c r="S678" s="769"/>
      <c r="T678" s="769"/>
      <c r="U678" s="769"/>
      <c r="V678" s="769"/>
      <c r="W678" s="769"/>
      <c r="X678" s="769"/>
      <c r="Y678" s="769"/>
      <c r="Z678" s="769"/>
    </row>
    <row r="679" spans="1:26" ht="18.75" customHeight="1" x14ac:dyDescent="0.3">
      <c r="A679" s="769"/>
      <c r="B679" s="769"/>
      <c r="C679" s="769"/>
      <c r="D679" s="771"/>
      <c r="E679" s="769"/>
      <c r="F679" s="769"/>
      <c r="G679" s="769"/>
      <c r="H679" s="769"/>
      <c r="I679" s="769"/>
      <c r="J679" s="769"/>
      <c r="K679" s="772"/>
      <c r="L679" s="769"/>
      <c r="M679" s="769"/>
      <c r="N679" s="769"/>
      <c r="O679" s="769"/>
      <c r="P679" s="769"/>
      <c r="Q679" s="769"/>
      <c r="R679" s="769"/>
      <c r="S679" s="769"/>
      <c r="T679" s="769"/>
      <c r="U679" s="769"/>
      <c r="V679" s="769"/>
      <c r="W679" s="769"/>
      <c r="X679" s="769"/>
      <c r="Y679" s="769"/>
      <c r="Z679" s="769"/>
    </row>
    <row r="680" spans="1:26" ht="18.75" customHeight="1" x14ac:dyDescent="0.3">
      <c r="A680" s="769"/>
      <c r="B680" s="769"/>
      <c r="C680" s="769"/>
      <c r="D680" s="771"/>
      <c r="E680" s="769"/>
      <c r="F680" s="769"/>
      <c r="G680" s="769"/>
      <c r="H680" s="769"/>
      <c r="I680" s="769"/>
      <c r="J680" s="769"/>
      <c r="K680" s="772"/>
      <c r="L680" s="769"/>
      <c r="M680" s="769"/>
      <c r="N680" s="769"/>
      <c r="O680" s="769"/>
      <c r="P680" s="769"/>
      <c r="Q680" s="769"/>
      <c r="R680" s="769"/>
      <c r="S680" s="769"/>
      <c r="T680" s="769"/>
      <c r="U680" s="769"/>
      <c r="V680" s="769"/>
      <c r="W680" s="769"/>
      <c r="X680" s="769"/>
      <c r="Y680" s="769"/>
      <c r="Z680" s="769"/>
    </row>
    <row r="681" spans="1:26" ht="18.75" customHeight="1" x14ac:dyDescent="0.3">
      <c r="A681" s="769"/>
      <c r="B681" s="769"/>
      <c r="C681" s="769"/>
      <c r="D681" s="771"/>
      <c r="E681" s="769"/>
      <c r="F681" s="769"/>
      <c r="G681" s="769"/>
      <c r="H681" s="769"/>
      <c r="I681" s="769"/>
      <c r="J681" s="769"/>
      <c r="K681" s="772"/>
      <c r="L681" s="769"/>
      <c r="M681" s="769"/>
      <c r="N681" s="769"/>
      <c r="O681" s="769"/>
      <c r="P681" s="769"/>
      <c r="Q681" s="769"/>
      <c r="R681" s="769"/>
      <c r="S681" s="769"/>
      <c r="T681" s="769"/>
      <c r="U681" s="769"/>
      <c r="V681" s="769"/>
      <c r="W681" s="769"/>
      <c r="X681" s="769"/>
      <c r="Y681" s="769"/>
      <c r="Z681" s="769"/>
    </row>
    <row r="682" spans="1:26" ht="18.75" customHeight="1" x14ac:dyDescent="0.3">
      <c r="A682" s="769"/>
      <c r="B682" s="769"/>
      <c r="C682" s="769"/>
      <c r="D682" s="771"/>
      <c r="E682" s="769"/>
      <c r="F682" s="769"/>
      <c r="G682" s="769"/>
      <c r="H682" s="769"/>
      <c r="I682" s="769"/>
      <c r="J682" s="769"/>
      <c r="K682" s="772"/>
      <c r="L682" s="769"/>
      <c r="M682" s="769"/>
      <c r="N682" s="769"/>
      <c r="O682" s="769"/>
      <c r="P682" s="769"/>
      <c r="Q682" s="769"/>
      <c r="R682" s="769"/>
      <c r="S682" s="769"/>
      <c r="T682" s="769"/>
      <c r="U682" s="769"/>
      <c r="V682" s="769"/>
      <c r="W682" s="769"/>
      <c r="X682" s="769"/>
      <c r="Y682" s="769"/>
      <c r="Z682" s="769"/>
    </row>
    <row r="683" spans="1:26" ht="18.75" customHeight="1" x14ac:dyDescent="0.3">
      <c r="A683" s="769"/>
      <c r="B683" s="769"/>
      <c r="C683" s="769"/>
      <c r="D683" s="771"/>
      <c r="E683" s="769"/>
      <c r="F683" s="769"/>
      <c r="G683" s="769"/>
      <c r="H683" s="769"/>
      <c r="I683" s="769"/>
      <c r="J683" s="769"/>
      <c r="K683" s="772"/>
      <c r="L683" s="769"/>
      <c r="M683" s="769"/>
      <c r="N683" s="769"/>
      <c r="O683" s="769"/>
      <c r="P683" s="769"/>
      <c r="Q683" s="769"/>
      <c r="R683" s="769"/>
      <c r="S683" s="769"/>
      <c r="T683" s="769"/>
      <c r="U683" s="769"/>
      <c r="V683" s="769"/>
      <c r="W683" s="769"/>
      <c r="X683" s="769"/>
      <c r="Y683" s="769"/>
      <c r="Z683" s="769"/>
    </row>
    <row r="684" spans="1:26" ht="18.75" customHeight="1" x14ac:dyDescent="0.3">
      <c r="A684" s="769"/>
      <c r="B684" s="769"/>
      <c r="C684" s="769"/>
      <c r="D684" s="771"/>
      <c r="E684" s="769"/>
      <c r="F684" s="769"/>
      <c r="G684" s="769"/>
      <c r="H684" s="769"/>
      <c r="I684" s="769"/>
      <c r="J684" s="769"/>
      <c r="K684" s="772"/>
      <c r="L684" s="769"/>
      <c r="M684" s="769"/>
      <c r="N684" s="769"/>
      <c r="O684" s="769"/>
      <c r="P684" s="769"/>
      <c r="Q684" s="769"/>
      <c r="R684" s="769"/>
      <c r="S684" s="769"/>
      <c r="T684" s="769"/>
      <c r="U684" s="769"/>
      <c r="V684" s="769"/>
      <c r="W684" s="769"/>
      <c r="X684" s="769"/>
      <c r="Y684" s="769"/>
      <c r="Z684" s="769"/>
    </row>
    <row r="685" spans="1:26" ht="18.75" customHeight="1" x14ac:dyDescent="0.3">
      <c r="A685" s="769"/>
      <c r="B685" s="769"/>
      <c r="C685" s="769"/>
      <c r="D685" s="771"/>
      <c r="E685" s="769"/>
      <c r="F685" s="769"/>
      <c r="G685" s="769"/>
      <c r="H685" s="769"/>
      <c r="I685" s="769"/>
      <c r="J685" s="769"/>
      <c r="K685" s="772"/>
      <c r="L685" s="769"/>
      <c r="M685" s="769"/>
      <c r="N685" s="769"/>
      <c r="O685" s="769"/>
      <c r="P685" s="769"/>
      <c r="Q685" s="769"/>
      <c r="R685" s="769"/>
      <c r="S685" s="769"/>
      <c r="T685" s="769"/>
      <c r="U685" s="769"/>
      <c r="V685" s="769"/>
      <c r="W685" s="769"/>
      <c r="X685" s="769"/>
      <c r="Y685" s="769"/>
      <c r="Z685" s="769"/>
    </row>
    <row r="686" spans="1:26" ht="18.75" customHeight="1" x14ac:dyDescent="0.3">
      <c r="A686" s="769"/>
      <c r="B686" s="769"/>
      <c r="C686" s="769"/>
      <c r="D686" s="771"/>
      <c r="E686" s="769"/>
      <c r="F686" s="769"/>
      <c r="G686" s="769"/>
      <c r="H686" s="769"/>
      <c r="I686" s="769"/>
      <c r="J686" s="769"/>
      <c r="K686" s="772"/>
      <c r="L686" s="769"/>
      <c r="M686" s="769"/>
      <c r="N686" s="769"/>
      <c r="O686" s="769"/>
      <c r="P686" s="769"/>
      <c r="Q686" s="769"/>
      <c r="R686" s="769"/>
      <c r="S686" s="769"/>
      <c r="T686" s="769"/>
      <c r="U686" s="769"/>
      <c r="V686" s="769"/>
      <c r="W686" s="769"/>
      <c r="X686" s="769"/>
      <c r="Y686" s="769"/>
      <c r="Z686" s="769"/>
    </row>
    <row r="687" spans="1:26" ht="18.75" customHeight="1" x14ac:dyDescent="0.3">
      <c r="A687" s="769"/>
      <c r="B687" s="769"/>
      <c r="C687" s="769"/>
      <c r="D687" s="771"/>
      <c r="E687" s="769"/>
      <c r="F687" s="769"/>
      <c r="G687" s="769"/>
      <c r="H687" s="769"/>
      <c r="I687" s="769"/>
      <c r="J687" s="769"/>
      <c r="K687" s="772"/>
      <c r="L687" s="769"/>
      <c r="M687" s="769"/>
      <c r="N687" s="769"/>
      <c r="O687" s="769"/>
      <c r="P687" s="769"/>
      <c r="Q687" s="769"/>
      <c r="R687" s="769"/>
      <c r="S687" s="769"/>
      <c r="T687" s="769"/>
      <c r="U687" s="769"/>
      <c r="V687" s="769"/>
      <c r="W687" s="769"/>
      <c r="X687" s="769"/>
      <c r="Y687" s="769"/>
      <c r="Z687" s="769"/>
    </row>
    <row r="688" spans="1:26" ht="18.75" customHeight="1" x14ac:dyDescent="0.3">
      <c r="A688" s="769"/>
      <c r="B688" s="769"/>
      <c r="C688" s="769"/>
      <c r="D688" s="771"/>
      <c r="E688" s="769"/>
      <c r="F688" s="769"/>
      <c r="G688" s="769"/>
      <c r="H688" s="769"/>
      <c r="I688" s="769"/>
      <c r="J688" s="769"/>
      <c r="K688" s="772"/>
      <c r="L688" s="769"/>
      <c r="M688" s="769"/>
      <c r="N688" s="769"/>
      <c r="O688" s="769"/>
      <c r="P688" s="769"/>
      <c r="Q688" s="769"/>
      <c r="R688" s="769"/>
      <c r="S688" s="769"/>
      <c r="T688" s="769"/>
      <c r="U688" s="769"/>
      <c r="V688" s="769"/>
      <c r="W688" s="769"/>
      <c r="X688" s="769"/>
      <c r="Y688" s="769"/>
      <c r="Z688" s="769"/>
    </row>
    <row r="689" spans="1:26" ht="18.75" customHeight="1" x14ac:dyDescent="0.3">
      <c r="A689" s="769"/>
      <c r="B689" s="769"/>
      <c r="C689" s="769"/>
      <c r="D689" s="771"/>
      <c r="E689" s="769"/>
      <c r="F689" s="769"/>
      <c r="G689" s="769"/>
      <c r="H689" s="769"/>
      <c r="I689" s="769"/>
      <c r="J689" s="769"/>
      <c r="K689" s="772"/>
      <c r="L689" s="769"/>
      <c r="M689" s="769"/>
      <c r="N689" s="769"/>
      <c r="O689" s="769"/>
      <c r="P689" s="769"/>
      <c r="Q689" s="769"/>
      <c r="R689" s="769"/>
      <c r="S689" s="769"/>
      <c r="T689" s="769"/>
      <c r="U689" s="769"/>
      <c r="V689" s="769"/>
      <c r="W689" s="769"/>
      <c r="X689" s="769"/>
      <c r="Y689" s="769"/>
      <c r="Z689" s="769"/>
    </row>
    <row r="690" spans="1:26" ht="18.75" customHeight="1" x14ac:dyDescent="0.3">
      <c r="A690" s="769"/>
      <c r="B690" s="769"/>
      <c r="C690" s="769"/>
      <c r="D690" s="771"/>
      <c r="E690" s="769"/>
      <c r="F690" s="769"/>
      <c r="G690" s="769"/>
      <c r="H690" s="769"/>
      <c r="I690" s="769"/>
      <c r="J690" s="769"/>
      <c r="K690" s="772"/>
      <c r="L690" s="769"/>
      <c r="M690" s="769"/>
      <c r="N690" s="769"/>
      <c r="O690" s="769"/>
      <c r="P690" s="769"/>
      <c r="Q690" s="769"/>
      <c r="R690" s="769"/>
      <c r="S690" s="769"/>
      <c r="T690" s="769"/>
      <c r="U690" s="769"/>
      <c r="V690" s="769"/>
      <c r="W690" s="769"/>
      <c r="X690" s="769"/>
      <c r="Y690" s="769"/>
      <c r="Z690" s="769"/>
    </row>
    <row r="691" spans="1:26" ht="18.75" customHeight="1" x14ac:dyDescent="0.3">
      <c r="A691" s="769"/>
      <c r="B691" s="769"/>
      <c r="C691" s="769"/>
      <c r="D691" s="771"/>
      <c r="E691" s="769"/>
      <c r="F691" s="769"/>
      <c r="G691" s="769"/>
      <c r="H691" s="769"/>
      <c r="I691" s="769"/>
      <c r="J691" s="769"/>
      <c r="K691" s="772"/>
      <c r="L691" s="769"/>
      <c r="M691" s="769"/>
      <c r="N691" s="769"/>
      <c r="O691" s="769"/>
      <c r="P691" s="769"/>
      <c r="Q691" s="769"/>
      <c r="R691" s="769"/>
      <c r="S691" s="769"/>
      <c r="T691" s="769"/>
      <c r="U691" s="769"/>
      <c r="V691" s="769"/>
      <c r="W691" s="769"/>
      <c r="X691" s="769"/>
      <c r="Y691" s="769"/>
      <c r="Z691" s="769"/>
    </row>
    <row r="692" spans="1:26" ht="18.75" customHeight="1" x14ac:dyDescent="0.3">
      <c r="A692" s="769"/>
      <c r="B692" s="769"/>
      <c r="C692" s="769"/>
      <c r="D692" s="771"/>
      <c r="E692" s="769"/>
      <c r="F692" s="769"/>
      <c r="G692" s="769"/>
      <c r="H692" s="769"/>
      <c r="I692" s="769"/>
      <c r="J692" s="769"/>
      <c r="K692" s="772"/>
      <c r="L692" s="769"/>
      <c r="M692" s="769"/>
      <c r="N692" s="769"/>
      <c r="O692" s="769"/>
      <c r="P692" s="769"/>
      <c r="Q692" s="769"/>
      <c r="R692" s="769"/>
      <c r="S692" s="769"/>
      <c r="T692" s="769"/>
      <c r="U692" s="769"/>
      <c r="V692" s="769"/>
      <c r="W692" s="769"/>
      <c r="X692" s="769"/>
      <c r="Y692" s="769"/>
      <c r="Z692" s="769"/>
    </row>
    <row r="693" spans="1:26" ht="18.75" customHeight="1" x14ac:dyDescent="0.3">
      <c r="A693" s="769"/>
      <c r="B693" s="769"/>
      <c r="C693" s="769"/>
      <c r="D693" s="771"/>
      <c r="E693" s="769"/>
      <c r="F693" s="769"/>
      <c r="G693" s="769"/>
      <c r="H693" s="769"/>
      <c r="I693" s="769"/>
      <c r="J693" s="769"/>
      <c r="K693" s="772"/>
      <c r="L693" s="769"/>
      <c r="M693" s="769"/>
      <c r="N693" s="769"/>
      <c r="O693" s="769"/>
      <c r="P693" s="769"/>
      <c r="Q693" s="769"/>
      <c r="R693" s="769"/>
      <c r="S693" s="769"/>
      <c r="T693" s="769"/>
      <c r="U693" s="769"/>
      <c r="V693" s="769"/>
      <c r="W693" s="769"/>
      <c r="X693" s="769"/>
      <c r="Y693" s="769"/>
      <c r="Z693" s="769"/>
    </row>
    <row r="694" spans="1:26" ht="18.75" customHeight="1" x14ac:dyDescent="0.3">
      <c r="A694" s="769"/>
      <c r="B694" s="769"/>
      <c r="C694" s="769"/>
      <c r="D694" s="771"/>
      <c r="E694" s="769"/>
      <c r="F694" s="769"/>
      <c r="G694" s="769"/>
      <c r="H694" s="769"/>
      <c r="I694" s="769"/>
      <c r="J694" s="769"/>
      <c r="K694" s="772"/>
      <c r="L694" s="769"/>
      <c r="M694" s="769"/>
      <c r="N694" s="769"/>
      <c r="O694" s="769"/>
      <c r="P694" s="769"/>
      <c r="Q694" s="769"/>
      <c r="R694" s="769"/>
      <c r="S694" s="769"/>
      <c r="T694" s="769"/>
      <c r="U694" s="769"/>
      <c r="V694" s="769"/>
      <c r="W694" s="769"/>
      <c r="X694" s="769"/>
      <c r="Y694" s="769"/>
      <c r="Z694" s="769"/>
    </row>
    <row r="695" spans="1:26" ht="18.75" customHeight="1" x14ac:dyDescent="0.3">
      <c r="A695" s="769"/>
      <c r="B695" s="769"/>
      <c r="C695" s="769"/>
      <c r="D695" s="771"/>
      <c r="E695" s="769"/>
      <c r="F695" s="769"/>
      <c r="G695" s="769"/>
      <c r="H695" s="769"/>
      <c r="I695" s="769"/>
      <c r="J695" s="769"/>
      <c r="K695" s="772"/>
      <c r="L695" s="769"/>
      <c r="M695" s="769"/>
      <c r="N695" s="769"/>
      <c r="O695" s="769"/>
      <c r="P695" s="769"/>
      <c r="Q695" s="769"/>
      <c r="R695" s="769"/>
      <c r="S695" s="769"/>
      <c r="T695" s="769"/>
      <c r="U695" s="769"/>
      <c r="V695" s="769"/>
      <c r="W695" s="769"/>
      <c r="X695" s="769"/>
      <c r="Y695" s="769"/>
      <c r="Z695" s="769"/>
    </row>
    <row r="696" spans="1:26" ht="18.75" customHeight="1" x14ac:dyDescent="0.3">
      <c r="A696" s="769"/>
      <c r="B696" s="769"/>
      <c r="C696" s="769"/>
      <c r="D696" s="771"/>
      <c r="E696" s="769"/>
      <c r="F696" s="769"/>
      <c r="G696" s="769"/>
      <c r="H696" s="769"/>
      <c r="I696" s="769"/>
      <c r="J696" s="769"/>
      <c r="K696" s="772"/>
      <c r="L696" s="769"/>
      <c r="M696" s="769"/>
      <c r="N696" s="769"/>
      <c r="O696" s="769"/>
      <c r="P696" s="769"/>
      <c r="Q696" s="769"/>
      <c r="R696" s="769"/>
      <c r="S696" s="769"/>
      <c r="T696" s="769"/>
      <c r="U696" s="769"/>
      <c r="V696" s="769"/>
      <c r="W696" s="769"/>
      <c r="X696" s="769"/>
      <c r="Y696" s="769"/>
      <c r="Z696" s="769"/>
    </row>
    <row r="697" spans="1:26" ht="18.75" customHeight="1" x14ac:dyDescent="0.3">
      <c r="A697" s="769"/>
      <c r="B697" s="769"/>
      <c r="C697" s="769"/>
      <c r="D697" s="771"/>
      <c r="E697" s="769"/>
      <c r="F697" s="769"/>
      <c r="G697" s="769"/>
      <c r="H697" s="769"/>
      <c r="I697" s="769"/>
      <c r="J697" s="769"/>
      <c r="K697" s="772"/>
      <c r="L697" s="769"/>
      <c r="M697" s="769"/>
      <c r="N697" s="769"/>
      <c r="O697" s="769"/>
      <c r="P697" s="769"/>
      <c r="Q697" s="769"/>
      <c r="R697" s="769"/>
      <c r="S697" s="769"/>
      <c r="T697" s="769"/>
      <c r="U697" s="769"/>
      <c r="V697" s="769"/>
      <c r="W697" s="769"/>
      <c r="X697" s="769"/>
      <c r="Y697" s="769"/>
      <c r="Z697" s="769"/>
    </row>
    <row r="698" spans="1:26" ht="18.75" customHeight="1" x14ac:dyDescent="0.3">
      <c r="A698" s="769"/>
      <c r="B698" s="769"/>
      <c r="C698" s="769"/>
      <c r="D698" s="771"/>
      <c r="E698" s="769"/>
      <c r="F698" s="769"/>
      <c r="G698" s="769"/>
      <c r="H698" s="769"/>
      <c r="I698" s="769"/>
      <c r="J698" s="769"/>
      <c r="K698" s="772"/>
      <c r="L698" s="769"/>
      <c r="M698" s="769"/>
      <c r="N698" s="769"/>
      <c r="O698" s="769"/>
      <c r="P698" s="769"/>
      <c r="Q698" s="769"/>
      <c r="R698" s="769"/>
      <c r="S698" s="769"/>
      <c r="T698" s="769"/>
      <c r="U698" s="769"/>
      <c r="V698" s="769"/>
      <c r="W698" s="769"/>
      <c r="X698" s="769"/>
      <c r="Y698" s="769"/>
      <c r="Z698" s="769"/>
    </row>
    <row r="699" spans="1:26" ht="18.75" customHeight="1" x14ac:dyDescent="0.3">
      <c r="A699" s="769"/>
      <c r="B699" s="769"/>
      <c r="C699" s="769"/>
      <c r="D699" s="771"/>
      <c r="E699" s="769"/>
      <c r="F699" s="769"/>
      <c r="G699" s="769"/>
      <c r="H699" s="769"/>
      <c r="I699" s="769"/>
      <c r="J699" s="769"/>
      <c r="K699" s="772"/>
      <c r="L699" s="769"/>
      <c r="M699" s="769"/>
      <c r="N699" s="769"/>
      <c r="O699" s="769"/>
      <c r="P699" s="769"/>
      <c r="Q699" s="769"/>
      <c r="R699" s="769"/>
      <c r="S699" s="769"/>
      <c r="T699" s="769"/>
      <c r="U699" s="769"/>
      <c r="V699" s="769"/>
      <c r="W699" s="769"/>
      <c r="X699" s="769"/>
      <c r="Y699" s="769"/>
      <c r="Z699" s="769"/>
    </row>
    <row r="700" spans="1:26" ht="18.75" customHeight="1" x14ac:dyDescent="0.3">
      <c r="A700" s="769"/>
      <c r="B700" s="769"/>
      <c r="C700" s="769"/>
      <c r="D700" s="771"/>
      <c r="E700" s="769"/>
      <c r="F700" s="769"/>
      <c r="G700" s="769"/>
      <c r="H700" s="769"/>
      <c r="I700" s="769"/>
      <c r="J700" s="769"/>
      <c r="K700" s="772"/>
      <c r="L700" s="769"/>
      <c r="M700" s="769"/>
      <c r="N700" s="769"/>
      <c r="O700" s="769"/>
      <c r="P700" s="769"/>
      <c r="Q700" s="769"/>
      <c r="R700" s="769"/>
      <c r="S700" s="769"/>
      <c r="T700" s="769"/>
      <c r="U700" s="769"/>
      <c r="V700" s="769"/>
      <c r="W700" s="769"/>
      <c r="X700" s="769"/>
      <c r="Y700" s="769"/>
      <c r="Z700" s="769"/>
    </row>
    <row r="701" spans="1:26" ht="18.75" customHeight="1" x14ac:dyDescent="0.3">
      <c r="A701" s="769"/>
      <c r="B701" s="769"/>
      <c r="C701" s="769"/>
      <c r="D701" s="771"/>
      <c r="E701" s="769"/>
      <c r="F701" s="769"/>
      <c r="G701" s="769"/>
      <c r="H701" s="769"/>
      <c r="I701" s="769"/>
      <c r="J701" s="769"/>
      <c r="K701" s="772"/>
      <c r="L701" s="769"/>
      <c r="M701" s="769"/>
      <c r="N701" s="769"/>
      <c r="O701" s="769"/>
      <c r="P701" s="769"/>
      <c r="Q701" s="769"/>
      <c r="R701" s="769"/>
      <c r="S701" s="769"/>
      <c r="T701" s="769"/>
      <c r="U701" s="769"/>
      <c r="V701" s="769"/>
      <c r="W701" s="769"/>
      <c r="X701" s="769"/>
      <c r="Y701" s="769"/>
      <c r="Z701" s="769"/>
    </row>
    <row r="702" spans="1:26" ht="18.75" customHeight="1" x14ac:dyDescent="0.3">
      <c r="A702" s="769"/>
      <c r="B702" s="769"/>
      <c r="C702" s="769"/>
      <c r="D702" s="771"/>
      <c r="E702" s="769"/>
      <c r="F702" s="769"/>
      <c r="G702" s="769"/>
      <c r="H702" s="769"/>
      <c r="I702" s="769"/>
      <c r="J702" s="769"/>
      <c r="K702" s="772"/>
      <c r="L702" s="769"/>
      <c r="M702" s="769"/>
      <c r="N702" s="769"/>
      <c r="O702" s="769"/>
      <c r="P702" s="769"/>
      <c r="Q702" s="769"/>
      <c r="R702" s="769"/>
      <c r="S702" s="769"/>
      <c r="T702" s="769"/>
      <c r="U702" s="769"/>
      <c r="V702" s="769"/>
      <c r="W702" s="769"/>
      <c r="X702" s="769"/>
      <c r="Y702" s="769"/>
      <c r="Z702" s="769"/>
    </row>
    <row r="703" spans="1:26" ht="18.75" customHeight="1" x14ac:dyDescent="0.3">
      <c r="A703" s="769"/>
      <c r="B703" s="769"/>
      <c r="C703" s="769"/>
      <c r="D703" s="771"/>
      <c r="E703" s="769"/>
      <c r="F703" s="769"/>
      <c r="G703" s="769"/>
      <c r="H703" s="769"/>
      <c r="I703" s="769"/>
      <c r="J703" s="769"/>
      <c r="K703" s="772"/>
      <c r="L703" s="769"/>
      <c r="M703" s="769"/>
      <c r="N703" s="769"/>
      <c r="O703" s="769"/>
      <c r="P703" s="769"/>
      <c r="Q703" s="769"/>
      <c r="R703" s="769"/>
      <c r="S703" s="769"/>
      <c r="T703" s="769"/>
      <c r="U703" s="769"/>
      <c r="V703" s="769"/>
      <c r="W703" s="769"/>
      <c r="X703" s="769"/>
      <c r="Y703" s="769"/>
      <c r="Z703" s="769"/>
    </row>
    <row r="704" spans="1:26" ht="18.75" customHeight="1" x14ac:dyDescent="0.3">
      <c r="A704" s="769"/>
      <c r="B704" s="769"/>
      <c r="C704" s="769"/>
      <c r="D704" s="771"/>
      <c r="E704" s="769"/>
      <c r="F704" s="769"/>
      <c r="G704" s="769"/>
      <c r="H704" s="769"/>
      <c r="I704" s="769"/>
      <c r="J704" s="769"/>
      <c r="K704" s="772"/>
      <c r="L704" s="769"/>
      <c r="M704" s="769"/>
      <c r="N704" s="769"/>
      <c r="O704" s="769"/>
      <c r="P704" s="769"/>
      <c r="Q704" s="769"/>
      <c r="R704" s="769"/>
      <c r="S704" s="769"/>
      <c r="T704" s="769"/>
      <c r="U704" s="769"/>
      <c r="V704" s="769"/>
      <c r="W704" s="769"/>
      <c r="X704" s="769"/>
      <c r="Y704" s="769"/>
      <c r="Z704" s="769"/>
    </row>
    <row r="705" spans="1:26" ht="18.75" customHeight="1" x14ac:dyDescent="0.3">
      <c r="A705" s="769"/>
      <c r="B705" s="769"/>
      <c r="C705" s="769"/>
      <c r="D705" s="771"/>
      <c r="E705" s="769"/>
      <c r="F705" s="769"/>
      <c r="G705" s="769"/>
      <c r="H705" s="769"/>
      <c r="I705" s="769"/>
      <c r="J705" s="769"/>
      <c r="K705" s="772"/>
      <c r="L705" s="769"/>
      <c r="M705" s="769"/>
      <c r="N705" s="769"/>
      <c r="O705" s="769"/>
      <c r="P705" s="769"/>
      <c r="Q705" s="769"/>
      <c r="R705" s="769"/>
      <c r="S705" s="769"/>
      <c r="T705" s="769"/>
      <c r="U705" s="769"/>
      <c r="V705" s="769"/>
      <c r="W705" s="769"/>
      <c r="X705" s="769"/>
      <c r="Y705" s="769"/>
      <c r="Z705" s="769"/>
    </row>
    <row r="706" spans="1:26" ht="18.75" customHeight="1" x14ac:dyDescent="0.3">
      <c r="A706" s="769"/>
      <c r="B706" s="769"/>
      <c r="C706" s="769"/>
      <c r="D706" s="771"/>
      <c r="E706" s="769"/>
      <c r="F706" s="769"/>
      <c r="G706" s="769"/>
      <c r="H706" s="769"/>
      <c r="I706" s="769"/>
      <c r="J706" s="769"/>
      <c r="K706" s="772"/>
      <c r="L706" s="769"/>
      <c r="M706" s="769"/>
      <c r="N706" s="769"/>
      <c r="O706" s="769"/>
      <c r="P706" s="769"/>
      <c r="Q706" s="769"/>
      <c r="R706" s="769"/>
      <c r="S706" s="769"/>
      <c r="T706" s="769"/>
      <c r="U706" s="769"/>
      <c r="V706" s="769"/>
      <c r="W706" s="769"/>
      <c r="X706" s="769"/>
      <c r="Y706" s="769"/>
      <c r="Z706" s="769"/>
    </row>
    <row r="707" spans="1:26" ht="18.75" customHeight="1" x14ac:dyDescent="0.3">
      <c r="A707" s="769"/>
      <c r="B707" s="769"/>
      <c r="C707" s="769"/>
      <c r="D707" s="771"/>
      <c r="E707" s="769"/>
      <c r="F707" s="769"/>
      <c r="G707" s="769"/>
      <c r="H707" s="769"/>
      <c r="I707" s="769"/>
      <c r="J707" s="769"/>
      <c r="K707" s="772"/>
      <c r="L707" s="769"/>
      <c r="M707" s="769"/>
      <c r="N707" s="769"/>
      <c r="O707" s="769"/>
      <c r="P707" s="769"/>
      <c r="Q707" s="769"/>
      <c r="R707" s="769"/>
      <c r="S707" s="769"/>
      <c r="T707" s="769"/>
      <c r="U707" s="769"/>
      <c r="V707" s="769"/>
      <c r="W707" s="769"/>
      <c r="X707" s="769"/>
      <c r="Y707" s="769"/>
      <c r="Z707" s="769"/>
    </row>
    <row r="708" spans="1:26" ht="18.75" customHeight="1" x14ac:dyDescent="0.3">
      <c r="A708" s="769"/>
      <c r="B708" s="769"/>
      <c r="C708" s="769"/>
      <c r="D708" s="771"/>
      <c r="E708" s="769"/>
      <c r="F708" s="769"/>
      <c r="G708" s="769"/>
      <c r="H708" s="769"/>
      <c r="I708" s="769"/>
      <c r="J708" s="769"/>
      <c r="K708" s="772"/>
      <c r="L708" s="769"/>
      <c r="M708" s="769"/>
      <c r="N708" s="769"/>
      <c r="O708" s="769"/>
      <c r="P708" s="769"/>
      <c r="Q708" s="769"/>
      <c r="R708" s="769"/>
      <c r="S708" s="769"/>
      <c r="T708" s="769"/>
      <c r="U708" s="769"/>
      <c r="V708" s="769"/>
      <c r="W708" s="769"/>
      <c r="X708" s="769"/>
      <c r="Y708" s="769"/>
      <c r="Z708" s="769"/>
    </row>
    <row r="709" spans="1:26" ht="18.75" customHeight="1" x14ac:dyDescent="0.3">
      <c r="A709" s="769"/>
      <c r="B709" s="769"/>
      <c r="C709" s="769"/>
      <c r="D709" s="771"/>
      <c r="E709" s="769"/>
      <c r="F709" s="769"/>
      <c r="G709" s="769"/>
      <c r="H709" s="769"/>
      <c r="I709" s="769"/>
      <c r="J709" s="769"/>
      <c r="K709" s="772"/>
      <c r="L709" s="769"/>
      <c r="M709" s="769"/>
      <c r="N709" s="769"/>
      <c r="O709" s="769"/>
      <c r="P709" s="769"/>
      <c r="Q709" s="769"/>
      <c r="R709" s="769"/>
      <c r="S709" s="769"/>
      <c r="T709" s="769"/>
      <c r="U709" s="769"/>
      <c r="V709" s="769"/>
      <c r="W709" s="769"/>
      <c r="X709" s="769"/>
      <c r="Y709" s="769"/>
      <c r="Z709" s="769"/>
    </row>
    <row r="710" spans="1:26" ht="18.75" customHeight="1" x14ac:dyDescent="0.3">
      <c r="A710" s="769"/>
      <c r="B710" s="769"/>
      <c r="C710" s="769"/>
      <c r="D710" s="771"/>
      <c r="E710" s="769"/>
      <c r="F710" s="769"/>
      <c r="G710" s="769"/>
      <c r="H710" s="769"/>
      <c r="I710" s="769"/>
      <c r="J710" s="769"/>
      <c r="K710" s="772"/>
      <c r="L710" s="769"/>
      <c r="M710" s="769"/>
      <c r="N710" s="769"/>
      <c r="O710" s="769"/>
      <c r="P710" s="769"/>
      <c r="Q710" s="769"/>
      <c r="R710" s="769"/>
      <c r="S710" s="769"/>
      <c r="T710" s="769"/>
      <c r="U710" s="769"/>
      <c r="V710" s="769"/>
      <c r="W710" s="769"/>
      <c r="X710" s="769"/>
      <c r="Y710" s="769"/>
      <c r="Z710" s="769"/>
    </row>
    <row r="711" spans="1:26" ht="18.75" customHeight="1" x14ac:dyDescent="0.3">
      <c r="A711" s="769"/>
      <c r="B711" s="769"/>
      <c r="C711" s="769"/>
      <c r="D711" s="771"/>
      <c r="E711" s="769"/>
      <c r="F711" s="769"/>
      <c r="G711" s="769"/>
      <c r="H711" s="769"/>
      <c r="I711" s="769"/>
      <c r="J711" s="769"/>
      <c r="K711" s="772"/>
      <c r="L711" s="769"/>
      <c r="M711" s="769"/>
      <c r="N711" s="769"/>
      <c r="O711" s="769"/>
      <c r="P711" s="769"/>
      <c r="Q711" s="769"/>
      <c r="R711" s="769"/>
      <c r="S711" s="769"/>
      <c r="T711" s="769"/>
      <c r="U711" s="769"/>
      <c r="V711" s="769"/>
      <c r="W711" s="769"/>
      <c r="X711" s="769"/>
      <c r="Y711" s="769"/>
      <c r="Z711" s="769"/>
    </row>
    <row r="712" spans="1:26" ht="18.75" customHeight="1" x14ac:dyDescent="0.3">
      <c r="A712" s="769"/>
      <c r="B712" s="769"/>
      <c r="C712" s="769"/>
      <c r="D712" s="771"/>
      <c r="E712" s="769"/>
      <c r="F712" s="769"/>
      <c r="G712" s="769"/>
      <c r="H712" s="769"/>
      <c r="I712" s="769"/>
      <c r="J712" s="769"/>
      <c r="K712" s="772"/>
      <c r="L712" s="769"/>
      <c r="M712" s="769"/>
      <c r="N712" s="769"/>
      <c r="O712" s="769"/>
      <c r="P712" s="769"/>
      <c r="Q712" s="769"/>
      <c r="R712" s="769"/>
      <c r="S712" s="769"/>
      <c r="T712" s="769"/>
      <c r="U712" s="769"/>
      <c r="V712" s="769"/>
      <c r="W712" s="769"/>
      <c r="X712" s="769"/>
      <c r="Y712" s="769"/>
      <c r="Z712" s="769"/>
    </row>
    <row r="713" spans="1:26" ht="18.75" customHeight="1" x14ac:dyDescent="0.3">
      <c r="A713" s="769"/>
      <c r="B713" s="769"/>
      <c r="C713" s="769"/>
      <c r="D713" s="771"/>
      <c r="E713" s="769"/>
      <c r="F713" s="769"/>
      <c r="G713" s="769"/>
      <c r="H713" s="769"/>
      <c r="I713" s="769"/>
      <c r="J713" s="769"/>
      <c r="K713" s="772"/>
      <c r="L713" s="769"/>
      <c r="M713" s="769"/>
      <c r="N713" s="769"/>
      <c r="O713" s="769"/>
      <c r="P713" s="769"/>
      <c r="Q713" s="769"/>
      <c r="R713" s="769"/>
      <c r="S713" s="769"/>
      <c r="T713" s="769"/>
      <c r="U713" s="769"/>
      <c r="V713" s="769"/>
      <c r="W713" s="769"/>
      <c r="X713" s="769"/>
      <c r="Y713" s="769"/>
      <c r="Z713" s="769"/>
    </row>
    <row r="714" spans="1:26" ht="18.75" customHeight="1" x14ac:dyDescent="0.3">
      <c r="A714" s="769"/>
      <c r="B714" s="769"/>
      <c r="C714" s="769"/>
      <c r="D714" s="771"/>
      <c r="E714" s="769"/>
      <c r="F714" s="769"/>
      <c r="G714" s="769"/>
      <c r="H714" s="769"/>
      <c r="I714" s="769"/>
      <c r="J714" s="769"/>
      <c r="K714" s="772"/>
      <c r="L714" s="769"/>
      <c r="M714" s="769"/>
      <c r="N714" s="769"/>
      <c r="O714" s="769"/>
      <c r="P714" s="769"/>
      <c r="Q714" s="769"/>
      <c r="R714" s="769"/>
      <c r="S714" s="769"/>
      <c r="T714" s="769"/>
      <c r="U714" s="769"/>
      <c r="V714" s="769"/>
      <c r="W714" s="769"/>
      <c r="X714" s="769"/>
      <c r="Y714" s="769"/>
      <c r="Z714" s="769"/>
    </row>
    <row r="715" spans="1:26" ht="18.75" customHeight="1" x14ac:dyDescent="0.3">
      <c r="A715" s="769"/>
      <c r="B715" s="769"/>
      <c r="C715" s="769"/>
      <c r="D715" s="771"/>
      <c r="E715" s="769"/>
      <c r="F715" s="769"/>
      <c r="G715" s="769"/>
      <c r="H715" s="769"/>
      <c r="I715" s="769"/>
      <c r="J715" s="769"/>
      <c r="K715" s="772"/>
      <c r="L715" s="769"/>
      <c r="M715" s="769"/>
      <c r="N715" s="769"/>
      <c r="O715" s="769"/>
      <c r="P715" s="769"/>
      <c r="Q715" s="769"/>
      <c r="R715" s="769"/>
      <c r="S715" s="769"/>
      <c r="T715" s="769"/>
      <c r="U715" s="769"/>
      <c r="V715" s="769"/>
      <c r="W715" s="769"/>
      <c r="X715" s="769"/>
      <c r="Y715" s="769"/>
      <c r="Z715" s="769"/>
    </row>
    <row r="716" spans="1:26" ht="18.75" customHeight="1" x14ac:dyDescent="0.3">
      <c r="A716" s="769"/>
      <c r="B716" s="769"/>
      <c r="C716" s="769"/>
      <c r="D716" s="771"/>
      <c r="E716" s="769"/>
      <c r="F716" s="769"/>
      <c r="G716" s="769"/>
      <c r="H716" s="769"/>
      <c r="I716" s="769"/>
      <c r="J716" s="769"/>
      <c r="K716" s="772"/>
      <c r="L716" s="769"/>
      <c r="M716" s="769"/>
      <c r="N716" s="769"/>
      <c r="O716" s="769"/>
      <c r="P716" s="769"/>
      <c r="Q716" s="769"/>
      <c r="R716" s="769"/>
      <c r="S716" s="769"/>
      <c r="T716" s="769"/>
      <c r="U716" s="769"/>
      <c r="V716" s="769"/>
      <c r="W716" s="769"/>
      <c r="X716" s="769"/>
      <c r="Y716" s="769"/>
      <c r="Z716" s="769"/>
    </row>
    <row r="717" spans="1:26" ht="18.75" customHeight="1" x14ac:dyDescent="0.3">
      <c r="A717" s="769"/>
      <c r="B717" s="769"/>
      <c r="C717" s="769"/>
      <c r="D717" s="771"/>
      <c r="E717" s="769"/>
      <c r="F717" s="769"/>
      <c r="G717" s="769"/>
      <c r="H717" s="769"/>
      <c r="I717" s="769"/>
      <c r="J717" s="769"/>
      <c r="K717" s="772"/>
      <c r="L717" s="769"/>
      <c r="M717" s="769"/>
      <c r="N717" s="769"/>
      <c r="O717" s="769"/>
      <c r="P717" s="769"/>
      <c r="Q717" s="769"/>
      <c r="R717" s="769"/>
      <c r="S717" s="769"/>
      <c r="T717" s="769"/>
      <c r="U717" s="769"/>
      <c r="V717" s="769"/>
      <c r="W717" s="769"/>
      <c r="X717" s="769"/>
      <c r="Y717" s="769"/>
      <c r="Z717" s="769"/>
    </row>
    <row r="718" spans="1:26" ht="18.75" customHeight="1" x14ac:dyDescent="0.3">
      <c r="A718" s="769"/>
      <c r="B718" s="769"/>
      <c r="C718" s="769"/>
      <c r="D718" s="771"/>
      <c r="E718" s="769"/>
      <c r="F718" s="769"/>
      <c r="G718" s="769"/>
      <c r="H718" s="769"/>
      <c r="I718" s="769"/>
      <c r="J718" s="769"/>
      <c r="K718" s="772"/>
      <c r="L718" s="769"/>
      <c r="M718" s="769"/>
      <c r="N718" s="769"/>
      <c r="O718" s="769"/>
      <c r="P718" s="769"/>
      <c r="Q718" s="769"/>
      <c r="R718" s="769"/>
      <c r="S718" s="769"/>
      <c r="T718" s="769"/>
      <c r="U718" s="769"/>
      <c r="V718" s="769"/>
      <c r="W718" s="769"/>
      <c r="X718" s="769"/>
      <c r="Y718" s="769"/>
      <c r="Z718" s="769"/>
    </row>
    <row r="719" spans="1:26" ht="18.75" customHeight="1" x14ac:dyDescent="0.3">
      <c r="A719" s="769"/>
      <c r="B719" s="769"/>
      <c r="C719" s="769"/>
      <c r="D719" s="771"/>
      <c r="E719" s="769"/>
      <c r="F719" s="769"/>
      <c r="G719" s="769"/>
      <c r="H719" s="769"/>
      <c r="I719" s="769"/>
      <c r="J719" s="769"/>
      <c r="K719" s="772"/>
      <c r="L719" s="769"/>
      <c r="M719" s="769"/>
      <c r="N719" s="769"/>
      <c r="O719" s="769"/>
      <c r="P719" s="769"/>
      <c r="Q719" s="769"/>
      <c r="R719" s="769"/>
      <c r="S719" s="769"/>
      <c r="T719" s="769"/>
      <c r="U719" s="769"/>
      <c r="V719" s="769"/>
      <c r="W719" s="769"/>
      <c r="X719" s="769"/>
      <c r="Y719" s="769"/>
      <c r="Z719" s="769"/>
    </row>
    <row r="720" spans="1:26" ht="18.75" customHeight="1" x14ac:dyDescent="0.3">
      <c r="A720" s="769"/>
      <c r="B720" s="769"/>
      <c r="C720" s="769"/>
      <c r="D720" s="771"/>
      <c r="E720" s="769"/>
      <c r="F720" s="769"/>
      <c r="G720" s="769"/>
      <c r="H720" s="769"/>
      <c r="I720" s="769"/>
      <c r="J720" s="769"/>
      <c r="K720" s="772"/>
      <c r="L720" s="769"/>
      <c r="M720" s="769"/>
      <c r="N720" s="769"/>
      <c r="O720" s="769"/>
      <c r="P720" s="769"/>
      <c r="Q720" s="769"/>
      <c r="R720" s="769"/>
      <c r="S720" s="769"/>
      <c r="T720" s="769"/>
      <c r="U720" s="769"/>
      <c r="V720" s="769"/>
      <c r="W720" s="769"/>
      <c r="X720" s="769"/>
      <c r="Y720" s="769"/>
      <c r="Z720" s="769"/>
    </row>
    <row r="721" spans="1:26" ht="18.75" customHeight="1" x14ac:dyDescent="0.3">
      <c r="A721" s="769"/>
      <c r="B721" s="769"/>
      <c r="C721" s="769"/>
      <c r="D721" s="771"/>
      <c r="E721" s="769"/>
      <c r="F721" s="769"/>
      <c r="G721" s="769"/>
      <c r="H721" s="769"/>
      <c r="I721" s="769"/>
      <c r="J721" s="769"/>
      <c r="K721" s="772"/>
      <c r="L721" s="769"/>
      <c r="M721" s="769"/>
      <c r="N721" s="769"/>
      <c r="O721" s="769"/>
      <c r="P721" s="769"/>
      <c r="Q721" s="769"/>
      <c r="R721" s="769"/>
      <c r="S721" s="769"/>
      <c r="T721" s="769"/>
      <c r="U721" s="769"/>
      <c r="V721" s="769"/>
      <c r="W721" s="769"/>
      <c r="X721" s="769"/>
      <c r="Y721" s="769"/>
      <c r="Z721" s="769"/>
    </row>
    <row r="722" spans="1:26" ht="18.75" customHeight="1" x14ac:dyDescent="0.3">
      <c r="A722" s="769"/>
      <c r="B722" s="769"/>
      <c r="C722" s="769"/>
      <c r="D722" s="771"/>
      <c r="E722" s="769"/>
      <c r="F722" s="769"/>
      <c r="G722" s="769"/>
      <c r="H722" s="769"/>
      <c r="I722" s="769"/>
      <c r="J722" s="769"/>
      <c r="K722" s="772"/>
      <c r="L722" s="769"/>
      <c r="M722" s="769"/>
      <c r="N722" s="769"/>
      <c r="O722" s="769"/>
      <c r="P722" s="769"/>
      <c r="Q722" s="769"/>
      <c r="R722" s="769"/>
      <c r="S722" s="769"/>
      <c r="T722" s="769"/>
      <c r="U722" s="769"/>
      <c r="V722" s="769"/>
      <c r="W722" s="769"/>
      <c r="X722" s="769"/>
      <c r="Y722" s="769"/>
      <c r="Z722" s="769"/>
    </row>
    <row r="723" spans="1:26" ht="18.75" customHeight="1" x14ac:dyDescent="0.3">
      <c r="A723" s="769"/>
      <c r="B723" s="769"/>
      <c r="C723" s="769"/>
      <c r="D723" s="771"/>
      <c r="E723" s="769"/>
      <c r="F723" s="769"/>
      <c r="G723" s="769"/>
      <c r="H723" s="769"/>
      <c r="I723" s="769"/>
      <c r="J723" s="769"/>
      <c r="K723" s="772"/>
      <c r="L723" s="769"/>
      <c r="M723" s="769"/>
      <c r="N723" s="769"/>
      <c r="O723" s="769"/>
      <c r="P723" s="769"/>
      <c r="Q723" s="769"/>
      <c r="R723" s="769"/>
      <c r="S723" s="769"/>
      <c r="T723" s="769"/>
      <c r="U723" s="769"/>
      <c r="V723" s="769"/>
      <c r="W723" s="769"/>
      <c r="X723" s="769"/>
      <c r="Y723" s="769"/>
      <c r="Z723" s="769"/>
    </row>
    <row r="724" spans="1:26" ht="18.75" customHeight="1" x14ac:dyDescent="0.3">
      <c r="A724" s="769"/>
      <c r="B724" s="769"/>
      <c r="C724" s="769"/>
      <c r="D724" s="771"/>
      <c r="E724" s="769"/>
      <c r="F724" s="769"/>
      <c r="G724" s="769"/>
      <c r="H724" s="769"/>
      <c r="I724" s="769"/>
      <c r="J724" s="769"/>
      <c r="K724" s="772"/>
      <c r="L724" s="769"/>
      <c r="M724" s="769"/>
      <c r="N724" s="769"/>
      <c r="O724" s="769"/>
      <c r="P724" s="769"/>
      <c r="Q724" s="769"/>
      <c r="R724" s="769"/>
      <c r="S724" s="769"/>
      <c r="T724" s="769"/>
      <c r="U724" s="769"/>
      <c r="V724" s="769"/>
      <c r="W724" s="769"/>
      <c r="X724" s="769"/>
      <c r="Y724" s="769"/>
      <c r="Z724" s="769"/>
    </row>
    <row r="725" spans="1:26" ht="18.75" customHeight="1" x14ac:dyDescent="0.3">
      <c r="A725" s="769"/>
      <c r="B725" s="769"/>
      <c r="C725" s="769"/>
      <c r="D725" s="771"/>
      <c r="E725" s="769"/>
      <c r="F725" s="769"/>
      <c r="G725" s="769"/>
      <c r="H725" s="769"/>
      <c r="I725" s="769"/>
      <c r="J725" s="769"/>
      <c r="K725" s="772"/>
      <c r="L725" s="769"/>
      <c r="M725" s="769"/>
      <c r="N725" s="769"/>
      <c r="O725" s="769"/>
      <c r="P725" s="769"/>
      <c r="Q725" s="769"/>
      <c r="R725" s="769"/>
      <c r="S725" s="769"/>
      <c r="T725" s="769"/>
      <c r="U725" s="769"/>
      <c r="V725" s="769"/>
      <c r="W725" s="769"/>
      <c r="X725" s="769"/>
      <c r="Y725" s="769"/>
      <c r="Z725" s="769"/>
    </row>
    <row r="726" spans="1:26" ht="18.75" customHeight="1" x14ac:dyDescent="0.3">
      <c r="A726" s="769"/>
      <c r="B726" s="769"/>
      <c r="C726" s="769"/>
      <c r="D726" s="771"/>
      <c r="E726" s="769"/>
      <c r="F726" s="769"/>
      <c r="G726" s="769"/>
      <c r="H726" s="769"/>
      <c r="I726" s="769"/>
      <c r="J726" s="769"/>
      <c r="K726" s="772"/>
      <c r="L726" s="769"/>
      <c r="M726" s="769"/>
      <c r="N726" s="769"/>
      <c r="O726" s="769"/>
      <c r="P726" s="769"/>
      <c r="Q726" s="769"/>
      <c r="R726" s="769"/>
      <c r="S726" s="769"/>
      <c r="T726" s="769"/>
      <c r="U726" s="769"/>
      <c r="V726" s="769"/>
      <c r="W726" s="769"/>
      <c r="X726" s="769"/>
      <c r="Y726" s="769"/>
      <c r="Z726" s="769"/>
    </row>
    <row r="727" spans="1:26" ht="18.75" customHeight="1" x14ac:dyDescent="0.3">
      <c r="A727" s="769"/>
      <c r="B727" s="769"/>
      <c r="C727" s="769"/>
      <c r="D727" s="771"/>
      <c r="E727" s="769"/>
      <c r="F727" s="769"/>
      <c r="G727" s="769"/>
      <c r="H727" s="769"/>
      <c r="I727" s="769"/>
      <c r="J727" s="769"/>
      <c r="K727" s="772"/>
      <c r="L727" s="769"/>
      <c r="M727" s="769"/>
      <c r="N727" s="769"/>
      <c r="O727" s="769"/>
      <c r="P727" s="769"/>
      <c r="Q727" s="769"/>
      <c r="R727" s="769"/>
      <c r="S727" s="769"/>
      <c r="T727" s="769"/>
      <c r="U727" s="769"/>
      <c r="V727" s="769"/>
      <c r="W727" s="769"/>
      <c r="X727" s="769"/>
      <c r="Y727" s="769"/>
      <c r="Z727" s="769"/>
    </row>
    <row r="728" spans="1:26" ht="18.75" customHeight="1" x14ac:dyDescent="0.3">
      <c r="A728" s="769"/>
      <c r="B728" s="769"/>
      <c r="C728" s="769"/>
      <c r="D728" s="771"/>
      <c r="E728" s="769"/>
      <c r="F728" s="769"/>
      <c r="G728" s="769"/>
      <c r="H728" s="769"/>
      <c r="I728" s="769"/>
      <c r="J728" s="769"/>
      <c r="K728" s="772"/>
      <c r="L728" s="769"/>
      <c r="M728" s="769"/>
      <c r="N728" s="769"/>
      <c r="O728" s="769"/>
      <c r="P728" s="769"/>
      <c r="Q728" s="769"/>
      <c r="R728" s="769"/>
      <c r="S728" s="769"/>
      <c r="T728" s="769"/>
      <c r="U728" s="769"/>
      <c r="V728" s="769"/>
      <c r="W728" s="769"/>
      <c r="X728" s="769"/>
      <c r="Y728" s="769"/>
      <c r="Z728" s="769"/>
    </row>
    <row r="729" spans="1:26" ht="18.75" customHeight="1" x14ac:dyDescent="0.3">
      <c r="A729" s="769"/>
      <c r="B729" s="769"/>
      <c r="C729" s="769"/>
      <c r="D729" s="771"/>
      <c r="E729" s="769"/>
      <c r="F729" s="769"/>
      <c r="G729" s="769"/>
      <c r="H729" s="769"/>
      <c r="I729" s="769"/>
      <c r="J729" s="769"/>
      <c r="K729" s="772"/>
      <c r="L729" s="769"/>
      <c r="M729" s="769"/>
      <c r="N729" s="769"/>
      <c r="O729" s="769"/>
      <c r="P729" s="769"/>
      <c r="Q729" s="769"/>
      <c r="R729" s="769"/>
      <c r="S729" s="769"/>
      <c r="T729" s="769"/>
      <c r="U729" s="769"/>
      <c r="V729" s="769"/>
      <c r="W729" s="769"/>
      <c r="X729" s="769"/>
      <c r="Y729" s="769"/>
      <c r="Z729" s="769"/>
    </row>
    <row r="730" spans="1:26" ht="18.75" customHeight="1" x14ac:dyDescent="0.3">
      <c r="A730" s="769"/>
      <c r="B730" s="769"/>
      <c r="C730" s="769"/>
      <c r="D730" s="771"/>
      <c r="E730" s="769"/>
      <c r="F730" s="769"/>
      <c r="G730" s="769"/>
      <c r="H730" s="769"/>
      <c r="I730" s="769"/>
      <c r="J730" s="769"/>
      <c r="K730" s="772"/>
      <c r="L730" s="769"/>
      <c r="M730" s="769"/>
      <c r="N730" s="769"/>
      <c r="O730" s="769"/>
      <c r="P730" s="769"/>
      <c r="Q730" s="769"/>
      <c r="R730" s="769"/>
      <c r="S730" s="769"/>
      <c r="T730" s="769"/>
      <c r="U730" s="769"/>
      <c r="V730" s="769"/>
      <c r="W730" s="769"/>
      <c r="X730" s="769"/>
      <c r="Y730" s="769"/>
      <c r="Z730" s="769"/>
    </row>
    <row r="731" spans="1:26" ht="18.75" customHeight="1" x14ac:dyDescent="0.3">
      <c r="A731" s="769"/>
      <c r="B731" s="769"/>
      <c r="C731" s="769"/>
      <c r="D731" s="771"/>
      <c r="E731" s="769"/>
      <c r="F731" s="769"/>
      <c r="G731" s="769"/>
      <c r="H731" s="769"/>
      <c r="I731" s="769"/>
      <c r="J731" s="769"/>
      <c r="K731" s="772"/>
      <c r="L731" s="769"/>
      <c r="M731" s="769"/>
      <c r="N731" s="769"/>
      <c r="O731" s="769"/>
      <c r="P731" s="769"/>
      <c r="Q731" s="769"/>
      <c r="R731" s="769"/>
      <c r="S731" s="769"/>
      <c r="T731" s="769"/>
      <c r="U731" s="769"/>
      <c r="V731" s="769"/>
      <c r="W731" s="769"/>
      <c r="X731" s="769"/>
      <c r="Y731" s="769"/>
      <c r="Z731" s="769"/>
    </row>
    <row r="732" spans="1:26" ht="18.75" customHeight="1" x14ac:dyDescent="0.3">
      <c r="A732" s="769"/>
      <c r="B732" s="769"/>
      <c r="C732" s="769"/>
      <c r="D732" s="771"/>
      <c r="E732" s="769"/>
      <c r="F732" s="769"/>
      <c r="G732" s="769"/>
      <c r="H732" s="769"/>
      <c r="I732" s="769"/>
      <c r="J732" s="769"/>
      <c r="K732" s="772"/>
      <c r="L732" s="769"/>
      <c r="M732" s="769"/>
      <c r="N732" s="769"/>
      <c r="O732" s="769"/>
      <c r="P732" s="769"/>
      <c r="Q732" s="769"/>
      <c r="R732" s="769"/>
      <c r="S732" s="769"/>
      <c r="T732" s="769"/>
      <c r="U732" s="769"/>
      <c r="V732" s="769"/>
      <c r="W732" s="769"/>
      <c r="X732" s="769"/>
      <c r="Y732" s="769"/>
      <c r="Z732" s="769"/>
    </row>
    <row r="733" spans="1:26" ht="18.75" customHeight="1" x14ac:dyDescent="0.3">
      <c r="A733" s="769"/>
      <c r="B733" s="769"/>
      <c r="C733" s="769"/>
      <c r="D733" s="771"/>
      <c r="E733" s="769"/>
      <c r="F733" s="769"/>
      <c r="G733" s="769"/>
      <c r="H733" s="769"/>
      <c r="I733" s="769"/>
      <c r="J733" s="769"/>
      <c r="K733" s="772"/>
      <c r="L733" s="769"/>
      <c r="M733" s="769"/>
      <c r="N733" s="769"/>
      <c r="O733" s="769"/>
      <c r="P733" s="769"/>
      <c r="Q733" s="769"/>
      <c r="R733" s="769"/>
      <c r="S733" s="769"/>
      <c r="T733" s="769"/>
      <c r="U733" s="769"/>
      <c r="V733" s="769"/>
      <c r="W733" s="769"/>
      <c r="X733" s="769"/>
      <c r="Y733" s="769"/>
      <c r="Z733" s="769"/>
    </row>
    <row r="734" spans="1:26" ht="18.75" customHeight="1" x14ac:dyDescent="0.3">
      <c r="A734" s="769"/>
      <c r="B734" s="769"/>
      <c r="C734" s="769"/>
      <c r="D734" s="771"/>
      <c r="E734" s="769"/>
      <c r="F734" s="769"/>
      <c r="G734" s="769"/>
      <c r="H734" s="769"/>
      <c r="I734" s="769"/>
      <c r="J734" s="769"/>
      <c r="K734" s="772"/>
      <c r="L734" s="769"/>
      <c r="M734" s="769"/>
      <c r="N734" s="769"/>
      <c r="O734" s="769"/>
      <c r="P734" s="769"/>
      <c r="Q734" s="769"/>
      <c r="R734" s="769"/>
      <c r="S734" s="769"/>
      <c r="T734" s="769"/>
      <c r="U734" s="769"/>
      <c r="V734" s="769"/>
      <c r="W734" s="769"/>
      <c r="X734" s="769"/>
      <c r="Y734" s="769"/>
      <c r="Z734" s="769"/>
    </row>
    <row r="735" spans="1:26" ht="18.75" customHeight="1" x14ac:dyDescent="0.3">
      <c r="A735" s="769"/>
      <c r="B735" s="769"/>
      <c r="C735" s="769"/>
      <c r="D735" s="771"/>
      <c r="E735" s="769"/>
      <c r="F735" s="769"/>
      <c r="G735" s="769"/>
      <c r="H735" s="769"/>
      <c r="I735" s="769"/>
      <c r="J735" s="769"/>
      <c r="K735" s="772"/>
      <c r="L735" s="769"/>
      <c r="M735" s="769"/>
      <c r="N735" s="769"/>
      <c r="O735" s="769"/>
      <c r="P735" s="769"/>
      <c r="Q735" s="769"/>
      <c r="R735" s="769"/>
      <c r="S735" s="769"/>
      <c r="T735" s="769"/>
      <c r="U735" s="769"/>
      <c r="V735" s="769"/>
      <c r="W735" s="769"/>
      <c r="X735" s="769"/>
      <c r="Y735" s="769"/>
      <c r="Z735" s="769"/>
    </row>
    <row r="736" spans="1:26" ht="18.75" customHeight="1" x14ac:dyDescent="0.3">
      <c r="A736" s="769"/>
      <c r="B736" s="769"/>
      <c r="C736" s="769"/>
      <c r="D736" s="771"/>
      <c r="E736" s="769"/>
      <c r="F736" s="769"/>
      <c r="G736" s="769"/>
      <c r="H736" s="769"/>
      <c r="I736" s="769"/>
      <c r="J736" s="769"/>
      <c r="K736" s="772"/>
      <c r="L736" s="769"/>
      <c r="M736" s="769"/>
      <c r="N736" s="769"/>
      <c r="O736" s="769"/>
      <c r="P736" s="769"/>
      <c r="Q736" s="769"/>
      <c r="R736" s="769"/>
      <c r="S736" s="769"/>
      <c r="T736" s="769"/>
      <c r="U736" s="769"/>
      <c r="V736" s="769"/>
      <c r="W736" s="769"/>
      <c r="X736" s="769"/>
      <c r="Y736" s="769"/>
      <c r="Z736" s="769"/>
    </row>
    <row r="737" spans="1:26" ht="18.75" customHeight="1" x14ac:dyDescent="0.3">
      <c r="A737" s="769"/>
      <c r="B737" s="769"/>
      <c r="C737" s="769"/>
      <c r="D737" s="771"/>
      <c r="E737" s="769"/>
      <c r="F737" s="769"/>
      <c r="G737" s="769"/>
      <c r="H737" s="769"/>
      <c r="I737" s="769"/>
      <c r="J737" s="769"/>
      <c r="K737" s="772"/>
      <c r="L737" s="769"/>
      <c r="M737" s="769"/>
      <c r="N737" s="769"/>
      <c r="O737" s="769"/>
      <c r="P737" s="769"/>
      <c r="Q737" s="769"/>
      <c r="R737" s="769"/>
      <c r="S737" s="769"/>
      <c r="T737" s="769"/>
      <c r="U737" s="769"/>
      <c r="V737" s="769"/>
      <c r="W737" s="769"/>
      <c r="X737" s="769"/>
      <c r="Y737" s="769"/>
      <c r="Z737" s="769"/>
    </row>
    <row r="738" spans="1:26" ht="18.75" customHeight="1" x14ac:dyDescent="0.3">
      <c r="A738" s="769"/>
      <c r="B738" s="769"/>
      <c r="C738" s="769"/>
      <c r="D738" s="771"/>
      <c r="E738" s="769"/>
      <c r="F738" s="769"/>
      <c r="G738" s="769"/>
      <c r="H738" s="769"/>
      <c r="I738" s="769"/>
      <c r="J738" s="769"/>
      <c r="K738" s="772"/>
      <c r="L738" s="769"/>
      <c r="M738" s="769"/>
      <c r="N738" s="769"/>
      <c r="O738" s="769"/>
      <c r="P738" s="769"/>
      <c r="Q738" s="769"/>
      <c r="R738" s="769"/>
      <c r="S738" s="769"/>
      <c r="T738" s="769"/>
      <c r="U738" s="769"/>
      <c r="V738" s="769"/>
      <c r="W738" s="769"/>
      <c r="X738" s="769"/>
      <c r="Y738" s="769"/>
      <c r="Z738" s="769"/>
    </row>
    <row r="739" spans="1:26" ht="18.75" customHeight="1" x14ac:dyDescent="0.3">
      <c r="A739" s="769"/>
      <c r="B739" s="769"/>
      <c r="C739" s="769"/>
      <c r="D739" s="771"/>
      <c r="E739" s="769"/>
      <c r="F739" s="769"/>
      <c r="G739" s="769"/>
      <c r="H739" s="769"/>
      <c r="I739" s="769"/>
      <c r="J739" s="769"/>
      <c r="K739" s="772"/>
      <c r="L739" s="769"/>
      <c r="M739" s="769"/>
      <c r="N739" s="769"/>
      <c r="O739" s="769"/>
      <c r="P739" s="769"/>
      <c r="Q739" s="769"/>
      <c r="R739" s="769"/>
      <c r="S739" s="769"/>
      <c r="T739" s="769"/>
      <c r="U739" s="769"/>
      <c r="V739" s="769"/>
      <c r="W739" s="769"/>
      <c r="X739" s="769"/>
      <c r="Y739" s="769"/>
      <c r="Z739" s="769"/>
    </row>
    <row r="740" spans="1:26" ht="18.75" customHeight="1" x14ac:dyDescent="0.3">
      <c r="A740" s="769"/>
      <c r="B740" s="769"/>
      <c r="C740" s="769"/>
      <c r="D740" s="771"/>
      <c r="E740" s="769"/>
      <c r="F740" s="769"/>
      <c r="G740" s="769"/>
      <c r="H740" s="769"/>
      <c r="I740" s="769"/>
      <c r="J740" s="769"/>
      <c r="K740" s="772"/>
      <c r="L740" s="769"/>
      <c r="M740" s="769"/>
      <c r="N740" s="769"/>
      <c r="O740" s="769"/>
      <c r="P740" s="769"/>
      <c r="Q740" s="769"/>
      <c r="R740" s="769"/>
      <c r="S740" s="769"/>
      <c r="T740" s="769"/>
      <c r="U740" s="769"/>
      <c r="V740" s="769"/>
      <c r="W740" s="769"/>
      <c r="X740" s="769"/>
      <c r="Y740" s="769"/>
      <c r="Z740" s="769"/>
    </row>
    <row r="741" spans="1:26" ht="18.75" customHeight="1" x14ac:dyDescent="0.3">
      <c r="A741" s="769"/>
      <c r="B741" s="769"/>
      <c r="C741" s="769"/>
      <c r="D741" s="771"/>
      <c r="E741" s="769"/>
      <c r="F741" s="769"/>
      <c r="G741" s="769"/>
      <c r="H741" s="769"/>
      <c r="I741" s="769"/>
      <c r="J741" s="769"/>
      <c r="K741" s="772"/>
      <c r="L741" s="769"/>
      <c r="M741" s="769"/>
      <c r="N741" s="769"/>
      <c r="O741" s="769"/>
      <c r="P741" s="769"/>
      <c r="Q741" s="769"/>
      <c r="R741" s="769"/>
      <c r="S741" s="769"/>
      <c r="T741" s="769"/>
      <c r="U741" s="769"/>
      <c r="V741" s="769"/>
      <c r="W741" s="769"/>
      <c r="X741" s="769"/>
      <c r="Y741" s="769"/>
      <c r="Z741" s="769"/>
    </row>
    <row r="742" spans="1:26" ht="18.75" customHeight="1" x14ac:dyDescent="0.3">
      <c r="A742" s="769"/>
      <c r="B742" s="769"/>
      <c r="C742" s="769"/>
      <c r="D742" s="771"/>
      <c r="E742" s="769"/>
      <c r="F742" s="769"/>
      <c r="G742" s="769"/>
      <c r="H742" s="769"/>
      <c r="I742" s="769"/>
      <c r="J742" s="769"/>
      <c r="K742" s="772"/>
      <c r="L742" s="769"/>
      <c r="M742" s="769"/>
      <c r="N742" s="769"/>
      <c r="O742" s="769"/>
      <c r="P742" s="769"/>
      <c r="Q742" s="769"/>
      <c r="R742" s="769"/>
      <c r="S742" s="769"/>
      <c r="T742" s="769"/>
      <c r="U742" s="769"/>
      <c r="V742" s="769"/>
      <c r="W742" s="769"/>
      <c r="X742" s="769"/>
      <c r="Y742" s="769"/>
      <c r="Z742" s="769"/>
    </row>
    <row r="743" spans="1:26" ht="18.75" customHeight="1" x14ac:dyDescent="0.3">
      <c r="A743" s="769"/>
      <c r="B743" s="769"/>
      <c r="C743" s="769"/>
      <c r="D743" s="771"/>
      <c r="E743" s="769"/>
      <c r="F743" s="769"/>
      <c r="G743" s="769"/>
      <c r="H743" s="769"/>
      <c r="I743" s="769"/>
      <c r="J743" s="769"/>
      <c r="K743" s="772"/>
      <c r="L743" s="769"/>
      <c r="M743" s="769"/>
      <c r="N743" s="769"/>
      <c r="O743" s="769"/>
      <c r="P743" s="769"/>
      <c r="Q743" s="769"/>
      <c r="R743" s="769"/>
      <c r="S743" s="769"/>
      <c r="T743" s="769"/>
      <c r="U743" s="769"/>
      <c r="V743" s="769"/>
      <c r="W743" s="769"/>
      <c r="X743" s="769"/>
      <c r="Y743" s="769"/>
      <c r="Z743" s="769"/>
    </row>
    <row r="744" spans="1:26" ht="18.75" customHeight="1" x14ac:dyDescent="0.3">
      <c r="A744" s="769"/>
      <c r="B744" s="769"/>
      <c r="C744" s="769"/>
      <c r="D744" s="771"/>
      <c r="E744" s="769"/>
      <c r="F744" s="769"/>
      <c r="G744" s="769"/>
      <c r="H744" s="769"/>
      <c r="I744" s="769"/>
      <c r="J744" s="769"/>
      <c r="K744" s="772"/>
      <c r="L744" s="769"/>
      <c r="M744" s="769"/>
      <c r="N744" s="769"/>
      <c r="O744" s="769"/>
      <c r="P744" s="769"/>
      <c r="Q744" s="769"/>
      <c r="R744" s="769"/>
      <c r="S744" s="769"/>
      <c r="T744" s="769"/>
      <c r="U744" s="769"/>
      <c r="V744" s="769"/>
      <c r="W744" s="769"/>
      <c r="X744" s="769"/>
      <c r="Y744" s="769"/>
      <c r="Z744" s="769"/>
    </row>
    <row r="745" spans="1:26" ht="18.75" customHeight="1" x14ac:dyDescent="0.3">
      <c r="A745" s="769"/>
      <c r="B745" s="769"/>
      <c r="C745" s="769"/>
      <c r="D745" s="771"/>
      <c r="E745" s="769"/>
      <c r="F745" s="769"/>
      <c r="G745" s="769"/>
      <c r="H745" s="769"/>
      <c r="I745" s="769"/>
      <c r="J745" s="769"/>
      <c r="K745" s="772"/>
      <c r="L745" s="769"/>
      <c r="M745" s="769"/>
      <c r="N745" s="769"/>
      <c r="O745" s="769"/>
      <c r="P745" s="769"/>
      <c r="Q745" s="769"/>
      <c r="R745" s="769"/>
      <c r="S745" s="769"/>
      <c r="T745" s="769"/>
      <c r="U745" s="769"/>
      <c r="V745" s="769"/>
      <c r="W745" s="769"/>
      <c r="X745" s="769"/>
      <c r="Y745" s="769"/>
      <c r="Z745" s="769"/>
    </row>
    <row r="746" spans="1:26" ht="18.75" customHeight="1" x14ac:dyDescent="0.3">
      <c r="A746" s="769"/>
      <c r="B746" s="769"/>
      <c r="C746" s="769"/>
      <c r="D746" s="771"/>
      <c r="E746" s="769"/>
      <c r="F746" s="769"/>
      <c r="G746" s="769"/>
      <c r="H746" s="769"/>
      <c r="I746" s="769"/>
      <c r="J746" s="769"/>
      <c r="K746" s="772"/>
      <c r="L746" s="769"/>
      <c r="M746" s="769"/>
      <c r="N746" s="769"/>
      <c r="O746" s="769"/>
      <c r="P746" s="769"/>
      <c r="Q746" s="769"/>
      <c r="R746" s="769"/>
      <c r="S746" s="769"/>
      <c r="T746" s="769"/>
      <c r="U746" s="769"/>
      <c r="V746" s="769"/>
      <c r="W746" s="769"/>
      <c r="X746" s="769"/>
      <c r="Y746" s="769"/>
      <c r="Z746" s="769"/>
    </row>
    <row r="747" spans="1:26" ht="18.75" customHeight="1" x14ac:dyDescent="0.3">
      <c r="A747" s="769"/>
      <c r="B747" s="769"/>
      <c r="C747" s="769"/>
      <c r="D747" s="771"/>
      <c r="E747" s="769"/>
      <c r="F747" s="769"/>
      <c r="G747" s="769"/>
      <c r="H747" s="769"/>
      <c r="I747" s="769"/>
      <c r="J747" s="769"/>
      <c r="K747" s="772"/>
      <c r="L747" s="769"/>
      <c r="M747" s="769"/>
      <c r="N747" s="769"/>
      <c r="O747" s="769"/>
      <c r="P747" s="769"/>
      <c r="Q747" s="769"/>
      <c r="R747" s="769"/>
      <c r="S747" s="769"/>
      <c r="T747" s="769"/>
      <c r="U747" s="769"/>
      <c r="V747" s="769"/>
      <c r="W747" s="769"/>
      <c r="X747" s="769"/>
      <c r="Y747" s="769"/>
      <c r="Z747" s="769"/>
    </row>
    <row r="748" spans="1:26" ht="18.75" customHeight="1" x14ac:dyDescent="0.3">
      <c r="A748" s="769"/>
      <c r="B748" s="769"/>
      <c r="C748" s="769"/>
      <c r="D748" s="771"/>
      <c r="E748" s="769"/>
      <c r="F748" s="769"/>
      <c r="G748" s="769"/>
      <c r="H748" s="769"/>
      <c r="I748" s="769"/>
      <c r="J748" s="769"/>
      <c r="K748" s="772"/>
      <c r="L748" s="769"/>
      <c r="M748" s="769"/>
      <c r="N748" s="769"/>
      <c r="O748" s="769"/>
      <c r="P748" s="769"/>
      <c r="Q748" s="769"/>
      <c r="R748" s="769"/>
      <c r="S748" s="769"/>
      <c r="T748" s="769"/>
      <c r="U748" s="769"/>
      <c r="V748" s="769"/>
      <c r="W748" s="769"/>
      <c r="X748" s="769"/>
      <c r="Y748" s="769"/>
      <c r="Z748" s="769"/>
    </row>
    <row r="749" spans="1:26" ht="18.75" customHeight="1" x14ac:dyDescent="0.3">
      <c r="A749" s="769"/>
      <c r="B749" s="769"/>
      <c r="C749" s="769"/>
      <c r="D749" s="771"/>
      <c r="E749" s="769"/>
      <c r="F749" s="769"/>
      <c r="G749" s="769"/>
      <c r="H749" s="769"/>
      <c r="I749" s="769"/>
      <c r="J749" s="769"/>
      <c r="K749" s="772"/>
      <c r="L749" s="769"/>
      <c r="M749" s="769"/>
      <c r="N749" s="769"/>
      <c r="O749" s="769"/>
      <c r="P749" s="769"/>
      <c r="Q749" s="769"/>
      <c r="R749" s="769"/>
      <c r="S749" s="769"/>
      <c r="T749" s="769"/>
      <c r="U749" s="769"/>
      <c r="V749" s="769"/>
      <c r="W749" s="769"/>
      <c r="X749" s="769"/>
      <c r="Y749" s="769"/>
      <c r="Z749" s="769"/>
    </row>
    <row r="750" spans="1:26" ht="18.75" customHeight="1" x14ac:dyDescent="0.3">
      <c r="A750" s="769"/>
      <c r="B750" s="769"/>
      <c r="C750" s="769"/>
      <c r="D750" s="771"/>
      <c r="E750" s="769"/>
      <c r="F750" s="769"/>
      <c r="G750" s="769"/>
      <c r="H750" s="769"/>
      <c r="I750" s="769"/>
      <c r="J750" s="769"/>
      <c r="K750" s="772"/>
      <c r="L750" s="769"/>
      <c r="M750" s="769"/>
      <c r="N750" s="769"/>
      <c r="O750" s="769"/>
      <c r="P750" s="769"/>
      <c r="Q750" s="769"/>
      <c r="R750" s="769"/>
      <c r="S750" s="769"/>
      <c r="T750" s="769"/>
      <c r="U750" s="769"/>
      <c r="V750" s="769"/>
      <c r="W750" s="769"/>
      <c r="X750" s="769"/>
      <c r="Y750" s="769"/>
      <c r="Z750" s="769"/>
    </row>
    <row r="751" spans="1:26" ht="18.75" customHeight="1" x14ac:dyDescent="0.3">
      <c r="A751" s="769"/>
      <c r="B751" s="769"/>
      <c r="C751" s="769"/>
      <c r="D751" s="771"/>
      <c r="E751" s="769"/>
      <c r="F751" s="769"/>
      <c r="G751" s="769"/>
      <c r="H751" s="769"/>
      <c r="I751" s="769"/>
      <c r="J751" s="769"/>
      <c r="K751" s="772"/>
      <c r="L751" s="769"/>
      <c r="M751" s="769"/>
      <c r="N751" s="769"/>
      <c r="O751" s="769"/>
      <c r="P751" s="769"/>
      <c r="Q751" s="769"/>
      <c r="R751" s="769"/>
      <c r="S751" s="769"/>
      <c r="T751" s="769"/>
      <c r="U751" s="769"/>
      <c r="V751" s="769"/>
      <c r="W751" s="769"/>
      <c r="X751" s="769"/>
      <c r="Y751" s="769"/>
      <c r="Z751" s="769"/>
    </row>
    <row r="752" spans="1:26" ht="18.75" customHeight="1" x14ac:dyDescent="0.3">
      <c r="A752" s="769"/>
      <c r="B752" s="769"/>
      <c r="C752" s="769"/>
      <c r="D752" s="771"/>
      <c r="E752" s="769"/>
      <c r="F752" s="769"/>
      <c r="G752" s="769"/>
      <c r="H752" s="769"/>
      <c r="I752" s="769"/>
      <c r="J752" s="769"/>
      <c r="K752" s="772"/>
      <c r="L752" s="769"/>
      <c r="M752" s="769"/>
      <c r="N752" s="769"/>
      <c r="O752" s="769"/>
      <c r="P752" s="769"/>
      <c r="Q752" s="769"/>
      <c r="R752" s="769"/>
      <c r="S752" s="769"/>
      <c r="T752" s="769"/>
      <c r="U752" s="769"/>
      <c r="V752" s="769"/>
      <c r="W752" s="769"/>
      <c r="X752" s="769"/>
      <c r="Y752" s="769"/>
      <c r="Z752" s="769"/>
    </row>
    <row r="753" spans="1:26" ht="18.75" customHeight="1" x14ac:dyDescent="0.3">
      <c r="A753" s="769"/>
      <c r="B753" s="769"/>
      <c r="C753" s="769"/>
      <c r="D753" s="771"/>
      <c r="E753" s="769"/>
      <c r="F753" s="769"/>
      <c r="G753" s="769"/>
      <c r="H753" s="769"/>
      <c r="I753" s="769"/>
      <c r="J753" s="769"/>
      <c r="K753" s="772"/>
      <c r="L753" s="769"/>
      <c r="M753" s="769"/>
      <c r="N753" s="769"/>
      <c r="O753" s="769"/>
      <c r="P753" s="769"/>
      <c r="Q753" s="769"/>
      <c r="R753" s="769"/>
      <c r="S753" s="769"/>
      <c r="T753" s="769"/>
      <c r="U753" s="769"/>
      <c r="V753" s="769"/>
      <c r="W753" s="769"/>
      <c r="X753" s="769"/>
      <c r="Y753" s="769"/>
      <c r="Z753" s="769"/>
    </row>
    <row r="754" spans="1:26" ht="18.75" customHeight="1" x14ac:dyDescent="0.3">
      <c r="A754" s="769"/>
      <c r="B754" s="769"/>
      <c r="C754" s="769"/>
      <c r="D754" s="771"/>
      <c r="E754" s="769"/>
      <c r="F754" s="769"/>
      <c r="G754" s="769"/>
      <c r="H754" s="769"/>
      <c r="I754" s="769"/>
      <c r="J754" s="769"/>
      <c r="K754" s="772"/>
      <c r="L754" s="769"/>
      <c r="M754" s="769"/>
      <c r="N754" s="769"/>
      <c r="O754" s="769"/>
      <c r="P754" s="769"/>
      <c r="Q754" s="769"/>
      <c r="R754" s="769"/>
      <c r="S754" s="769"/>
      <c r="T754" s="769"/>
      <c r="U754" s="769"/>
      <c r="V754" s="769"/>
      <c r="W754" s="769"/>
      <c r="X754" s="769"/>
      <c r="Y754" s="769"/>
      <c r="Z754" s="769"/>
    </row>
    <row r="755" spans="1:26" ht="18.75" customHeight="1" x14ac:dyDescent="0.3">
      <c r="A755" s="769"/>
      <c r="B755" s="769"/>
      <c r="C755" s="769"/>
      <c r="D755" s="771"/>
      <c r="E755" s="769"/>
      <c r="F755" s="769"/>
      <c r="G755" s="769"/>
      <c r="H755" s="769"/>
      <c r="I755" s="769"/>
      <c r="J755" s="769"/>
      <c r="K755" s="772"/>
      <c r="L755" s="769"/>
      <c r="M755" s="769"/>
      <c r="N755" s="769"/>
      <c r="O755" s="769"/>
      <c r="P755" s="769"/>
      <c r="Q755" s="769"/>
      <c r="R755" s="769"/>
      <c r="S755" s="769"/>
      <c r="T755" s="769"/>
      <c r="U755" s="769"/>
      <c r="V755" s="769"/>
      <c r="W755" s="769"/>
      <c r="X755" s="769"/>
      <c r="Y755" s="769"/>
      <c r="Z755" s="769"/>
    </row>
    <row r="756" spans="1:26" ht="18.75" customHeight="1" x14ac:dyDescent="0.3">
      <c r="A756" s="769"/>
      <c r="B756" s="769"/>
      <c r="C756" s="769"/>
      <c r="D756" s="771"/>
      <c r="E756" s="769"/>
      <c r="F756" s="769"/>
      <c r="G756" s="769"/>
      <c r="H756" s="769"/>
      <c r="I756" s="769"/>
      <c r="J756" s="769"/>
      <c r="K756" s="772"/>
      <c r="L756" s="769"/>
      <c r="M756" s="769"/>
      <c r="N756" s="769"/>
      <c r="O756" s="769"/>
      <c r="P756" s="769"/>
      <c r="Q756" s="769"/>
      <c r="R756" s="769"/>
      <c r="S756" s="769"/>
      <c r="T756" s="769"/>
      <c r="U756" s="769"/>
      <c r="V756" s="769"/>
      <c r="W756" s="769"/>
      <c r="X756" s="769"/>
      <c r="Y756" s="769"/>
      <c r="Z756" s="769"/>
    </row>
    <row r="757" spans="1:26" ht="18.75" customHeight="1" x14ac:dyDescent="0.3">
      <c r="A757" s="769"/>
      <c r="B757" s="769"/>
      <c r="C757" s="769"/>
      <c r="D757" s="771"/>
      <c r="E757" s="769"/>
      <c r="F757" s="769"/>
      <c r="G757" s="769"/>
      <c r="H757" s="769"/>
      <c r="I757" s="769"/>
      <c r="J757" s="769"/>
      <c r="K757" s="772"/>
      <c r="L757" s="769"/>
      <c r="M757" s="769"/>
      <c r="N757" s="769"/>
      <c r="O757" s="769"/>
      <c r="P757" s="769"/>
      <c r="Q757" s="769"/>
      <c r="R757" s="769"/>
      <c r="S757" s="769"/>
      <c r="T757" s="769"/>
      <c r="U757" s="769"/>
      <c r="V757" s="769"/>
      <c r="W757" s="769"/>
      <c r="X757" s="769"/>
      <c r="Y757" s="769"/>
      <c r="Z757" s="769"/>
    </row>
    <row r="758" spans="1:26" ht="18.75" customHeight="1" x14ac:dyDescent="0.3">
      <c r="A758" s="769"/>
      <c r="B758" s="769"/>
      <c r="C758" s="769"/>
      <c r="D758" s="771"/>
      <c r="E758" s="769"/>
      <c r="F758" s="769"/>
      <c r="G758" s="769"/>
      <c r="H758" s="769"/>
      <c r="I758" s="769"/>
      <c r="J758" s="769"/>
      <c r="K758" s="772"/>
      <c r="L758" s="769"/>
      <c r="M758" s="769"/>
      <c r="N758" s="769"/>
      <c r="O758" s="769"/>
      <c r="P758" s="769"/>
      <c r="Q758" s="769"/>
      <c r="R758" s="769"/>
      <c r="S758" s="769"/>
      <c r="T758" s="769"/>
      <c r="U758" s="769"/>
      <c r="V758" s="769"/>
      <c r="W758" s="769"/>
      <c r="X758" s="769"/>
      <c r="Y758" s="769"/>
      <c r="Z758" s="769"/>
    </row>
    <row r="759" spans="1:26" ht="18.75" customHeight="1" x14ac:dyDescent="0.3">
      <c r="A759" s="769"/>
      <c r="B759" s="769"/>
      <c r="C759" s="769"/>
      <c r="D759" s="771"/>
      <c r="E759" s="769"/>
      <c r="F759" s="769"/>
      <c r="G759" s="769"/>
      <c r="H759" s="769"/>
      <c r="I759" s="769"/>
      <c r="J759" s="769"/>
      <c r="K759" s="772"/>
      <c r="L759" s="769"/>
      <c r="M759" s="769"/>
      <c r="N759" s="769"/>
      <c r="O759" s="769"/>
      <c r="P759" s="769"/>
      <c r="Q759" s="769"/>
      <c r="R759" s="769"/>
      <c r="S759" s="769"/>
      <c r="T759" s="769"/>
      <c r="U759" s="769"/>
      <c r="V759" s="769"/>
      <c r="W759" s="769"/>
      <c r="X759" s="769"/>
      <c r="Y759" s="769"/>
      <c r="Z759" s="769"/>
    </row>
    <row r="760" spans="1:26" ht="18.75" customHeight="1" x14ac:dyDescent="0.3">
      <c r="A760" s="769"/>
      <c r="B760" s="769"/>
      <c r="C760" s="769"/>
      <c r="D760" s="771"/>
      <c r="E760" s="769"/>
      <c r="F760" s="769"/>
      <c r="G760" s="769"/>
      <c r="H760" s="769"/>
      <c r="I760" s="769"/>
      <c r="J760" s="769"/>
      <c r="K760" s="772"/>
      <c r="L760" s="769"/>
      <c r="M760" s="769"/>
      <c r="N760" s="769"/>
      <c r="O760" s="769"/>
      <c r="P760" s="769"/>
      <c r="Q760" s="769"/>
      <c r="R760" s="769"/>
      <c r="S760" s="769"/>
      <c r="T760" s="769"/>
      <c r="U760" s="769"/>
      <c r="V760" s="769"/>
      <c r="W760" s="769"/>
      <c r="X760" s="769"/>
      <c r="Y760" s="769"/>
      <c r="Z760" s="769"/>
    </row>
    <row r="761" spans="1:26" ht="18.75" customHeight="1" x14ac:dyDescent="0.3">
      <c r="A761" s="769"/>
      <c r="B761" s="769"/>
      <c r="C761" s="769"/>
      <c r="D761" s="771"/>
      <c r="E761" s="769"/>
      <c r="F761" s="769"/>
      <c r="G761" s="769"/>
      <c r="H761" s="769"/>
      <c r="I761" s="769"/>
      <c r="J761" s="769"/>
      <c r="K761" s="772"/>
      <c r="L761" s="769"/>
      <c r="M761" s="769"/>
      <c r="N761" s="769"/>
      <c r="O761" s="769"/>
      <c r="P761" s="769"/>
      <c r="Q761" s="769"/>
      <c r="R761" s="769"/>
      <c r="S761" s="769"/>
      <c r="T761" s="769"/>
      <c r="U761" s="769"/>
      <c r="V761" s="769"/>
      <c r="W761" s="769"/>
      <c r="X761" s="769"/>
      <c r="Y761" s="769"/>
      <c r="Z761" s="769"/>
    </row>
    <row r="762" spans="1:26" ht="18.75" customHeight="1" x14ac:dyDescent="0.3">
      <c r="A762" s="769"/>
      <c r="B762" s="769"/>
      <c r="C762" s="769"/>
      <c r="D762" s="771"/>
      <c r="E762" s="769"/>
      <c r="F762" s="769"/>
      <c r="G762" s="769"/>
      <c r="H762" s="769"/>
      <c r="I762" s="769"/>
      <c r="J762" s="769"/>
      <c r="K762" s="772"/>
      <c r="L762" s="769"/>
      <c r="M762" s="769"/>
      <c r="N762" s="769"/>
      <c r="O762" s="769"/>
      <c r="P762" s="769"/>
      <c r="Q762" s="769"/>
      <c r="R762" s="769"/>
      <c r="S762" s="769"/>
      <c r="T762" s="769"/>
      <c r="U762" s="769"/>
      <c r="V762" s="769"/>
      <c r="W762" s="769"/>
      <c r="X762" s="769"/>
      <c r="Y762" s="769"/>
      <c r="Z762" s="769"/>
    </row>
    <row r="763" spans="1:26" ht="18.75" customHeight="1" x14ac:dyDescent="0.3">
      <c r="A763" s="769"/>
      <c r="B763" s="769"/>
      <c r="C763" s="769"/>
      <c r="D763" s="771"/>
      <c r="E763" s="769"/>
      <c r="F763" s="769"/>
      <c r="G763" s="769"/>
      <c r="H763" s="769"/>
      <c r="I763" s="769"/>
      <c r="J763" s="769"/>
      <c r="K763" s="772"/>
      <c r="L763" s="769"/>
      <c r="M763" s="769"/>
      <c r="N763" s="769"/>
      <c r="O763" s="769"/>
      <c r="P763" s="769"/>
      <c r="Q763" s="769"/>
      <c r="R763" s="769"/>
      <c r="S763" s="769"/>
      <c r="T763" s="769"/>
      <c r="U763" s="769"/>
      <c r="V763" s="769"/>
      <c r="W763" s="769"/>
      <c r="X763" s="769"/>
      <c r="Y763" s="769"/>
      <c r="Z763" s="769"/>
    </row>
    <row r="764" spans="1:26" ht="18.75" customHeight="1" x14ac:dyDescent="0.3">
      <c r="A764" s="769"/>
      <c r="B764" s="769"/>
      <c r="C764" s="769"/>
      <c r="D764" s="771"/>
      <c r="E764" s="769"/>
      <c r="F764" s="769"/>
      <c r="G764" s="769"/>
      <c r="H764" s="769"/>
      <c r="I764" s="769"/>
      <c r="J764" s="769"/>
      <c r="K764" s="772"/>
      <c r="L764" s="769"/>
      <c r="M764" s="769"/>
      <c r="N764" s="769"/>
      <c r="O764" s="769"/>
      <c r="P764" s="769"/>
      <c r="Q764" s="769"/>
      <c r="R764" s="769"/>
      <c r="S764" s="769"/>
      <c r="T764" s="769"/>
      <c r="U764" s="769"/>
      <c r="V764" s="769"/>
      <c r="W764" s="769"/>
      <c r="X764" s="769"/>
      <c r="Y764" s="769"/>
      <c r="Z764" s="769"/>
    </row>
    <row r="765" spans="1:26" ht="18.75" customHeight="1" x14ac:dyDescent="0.3">
      <c r="A765" s="769"/>
      <c r="B765" s="769"/>
      <c r="C765" s="769"/>
      <c r="D765" s="771"/>
      <c r="E765" s="769"/>
      <c r="F765" s="769"/>
      <c r="G765" s="769"/>
      <c r="H765" s="769"/>
      <c r="I765" s="769"/>
      <c r="J765" s="769"/>
      <c r="K765" s="772"/>
      <c r="L765" s="769"/>
      <c r="M765" s="769"/>
      <c r="N765" s="769"/>
      <c r="O765" s="769"/>
      <c r="P765" s="769"/>
      <c r="Q765" s="769"/>
      <c r="R765" s="769"/>
      <c r="S765" s="769"/>
      <c r="T765" s="769"/>
      <c r="U765" s="769"/>
      <c r="V765" s="769"/>
      <c r="W765" s="769"/>
      <c r="X765" s="769"/>
      <c r="Y765" s="769"/>
      <c r="Z765" s="769"/>
    </row>
    <row r="766" spans="1:26" ht="18.75" customHeight="1" x14ac:dyDescent="0.3">
      <c r="A766" s="769"/>
      <c r="B766" s="769"/>
      <c r="C766" s="769"/>
      <c r="D766" s="771"/>
      <c r="E766" s="769"/>
      <c r="F766" s="769"/>
      <c r="G766" s="769"/>
      <c r="H766" s="769"/>
      <c r="I766" s="769"/>
      <c r="J766" s="769"/>
      <c r="K766" s="772"/>
      <c r="L766" s="769"/>
      <c r="M766" s="769"/>
      <c r="N766" s="769"/>
      <c r="O766" s="769"/>
      <c r="P766" s="769"/>
      <c r="Q766" s="769"/>
      <c r="R766" s="769"/>
      <c r="S766" s="769"/>
      <c r="T766" s="769"/>
      <c r="U766" s="769"/>
      <c r="V766" s="769"/>
      <c r="W766" s="769"/>
      <c r="X766" s="769"/>
      <c r="Y766" s="769"/>
      <c r="Z766" s="769"/>
    </row>
    <row r="767" spans="1:26" ht="18.75" customHeight="1" x14ac:dyDescent="0.3">
      <c r="A767" s="769"/>
      <c r="B767" s="769"/>
      <c r="C767" s="769"/>
      <c r="D767" s="771"/>
      <c r="E767" s="769"/>
      <c r="F767" s="769"/>
      <c r="G767" s="769"/>
      <c r="H767" s="769"/>
      <c r="I767" s="769"/>
      <c r="J767" s="769"/>
      <c r="K767" s="772"/>
      <c r="L767" s="769"/>
      <c r="M767" s="769"/>
      <c r="N767" s="769"/>
      <c r="O767" s="769"/>
      <c r="P767" s="769"/>
      <c r="Q767" s="769"/>
      <c r="R767" s="769"/>
      <c r="S767" s="769"/>
      <c r="T767" s="769"/>
      <c r="U767" s="769"/>
      <c r="V767" s="769"/>
      <c r="W767" s="769"/>
      <c r="X767" s="769"/>
      <c r="Y767" s="769"/>
      <c r="Z767" s="769"/>
    </row>
    <row r="768" spans="1:26" ht="18.75" customHeight="1" x14ac:dyDescent="0.3">
      <c r="A768" s="769"/>
      <c r="B768" s="769"/>
      <c r="C768" s="769"/>
      <c r="D768" s="771"/>
      <c r="E768" s="769"/>
      <c r="F768" s="769"/>
      <c r="G768" s="769"/>
      <c r="H768" s="769"/>
      <c r="I768" s="769"/>
      <c r="J768" s="769"/>
      <c r="K768" s="772"/>
      <c r="L768" s="769"/>
      <c r="M768" s="769"/>
      <c r="N768" s="769"/>
      <c r="O768" s="769"/>
      <c r="P768" s="769"/>
      <c r="Q768" s="769"/>
      <c r="R768" s="769"/>
      <c r="S768" s="769"/>
      <c r="T768" s="769"/>
      <c r="U768" s="769"/>
      <c r="V768" s="769"/>
      <c r="W768" s="769"/>
      <c r="X768" s="769"/>
      <c r="Y768" s="769"/>
      <c r="Z768" s="769"/>
    </row>
    <row r="769" spans="1:26" ht="18.75" customHeight="1" x14ac:dyDescent="0.3">
      <c r="A769" s="769"/>
      <c r="B769" s="769"/>
      <c r="C769" s="769"/>
      <c r="D769" s="771"/>
      <c r="E769" s="769"/>
      <c r="F769" s="769"/>
      <c r="G769" s="769"/>
      <c r="H769" s="769"/>
      <c r="I769" s="769"/>
      <c r="J769" s="769"/>
      <c r="K769" s="772"/>
      <c r="L769" s="769"/>
      <c r="M769" s="769"/>
      <c r="N769" s="769"/>
      <c r="O769" s="769"/>
      <c r="P769" s="769"/>
      <c r="Q769" s="769"/>
      <c r="R769" s="769"/>
      <c r="S769" s="769"/>
      <c r="T769" s="769"/>
      <c r="U769" s="769"/>
      <c r="V769" s="769"/>
      <c r="W769" s="769"/>
      <c r="X769" s="769"/>
      <c r="Y769" s="769"/>
      <c r="Z769" s="769"/>
    </row>
    <row r="770" spans="1:26" ht="18.75" customHeight="1" x14ac:dyDescent="0.3">
      <c r="A770" s="769"/>
      <c r="B770" s="769"/>
      <c r="C770" s="769"/>
      <c r="D770" s="771"/>
      <c r="E770" s="769"/>
      <c r="F770" s="769"/>
      <c r="G770" s="769"/>
      <c r="H770" s="769"/>
      <c r="I770" s="769"/>
      <c r="J770" s="769"/>
      <c r="K770" s="772"/>
      <c r="L770" s="769"/>
      <c r="M770" s="769"/>
      <c r="N770" s="769"/>
      <c r="O770" s="769"/>
      <c r="P770" s="769"/>
      <c r="Q770" s="769"/>
      <c r="R770" s="769"/>
      <c r="S770" s="769"/>
      <c r="T770" s="769"/>
      <c r="U770" s="769"/>
      <c r="V770" s="769"/>
      <c r="W770" s="769"/>
      <c r="X770" s="769"/>
      <c r="Y770" s="769"/>
      <c r="Z770" s="769"/>
    </row>
    <row r="771" spans="1:26" ht="18.75" customHeight="1" x14ac:dyDescent="0.3">
      <c r="A771" s="769"/>
      <c r="B771" s="769"/>
      <c r="C771" s="769"/>
      <c r="D771" s="771"/>
      <c r="E771" s="769"/>
      <c r="F771" s="769"/>
      <c r="G771" s="769"/>
      <c r="H771" s="769"/>
      <c r="I771" s="769"/>
      <c r="J771" s="769"/>
      <c r="K771" s="772"/>
      <c r="L771" s="769"/>
      <c r="M771" s="769"/>
      <c r="N771" s="769"/>
      <c r="O771" s="769"/>
      <c r="P771" s="769"/>
      <c r="Q771" s="769"/>
      <c r="R771" s="769"/>
      <c r="S771" s="769"/>
      <c r="T771" s="769"/>
      <c r="U771" s="769"/>
      <c r="V771" s="769"/>
      <c r="W771" s="769"/>
      <c r="X771" s="769"/>
      <c r="Y771" s="769"/>
      <c r="Z771" s="769"/>
    </row>
    <row r="772" spans="1:26" ht="18.75" customHeight="1" x14ac:dyDescent="0.3">
      <c r="A772" s="769"/>
      <c r="B772" s="769"/>
      <c r="C772" s="769"/>
      <c r="D772" s="771"/>
      <c r="E772" s="769"/>
      <c r="F772" s="769"/>
      <c r="G772" s="769"/>
      <c r="H772" s="769"/>
      <c r="I772" s="769"/>
      <c r="J772" s="769"/>
      <c r="K772" s="772"/>
      <c r="L772" s="769"/>
      <c r="M772" s="769"/>
      <c r="N772" s="769"/>
      <c r="O772" s="769"/>
      <c r="P772" s="769"/>
      <c r="Q772" s="769"/>
      <c r="R772" s="769"/>
      <c r="S772" s="769"/>
      <c r="T772" s="769"/>
      <c r="U772" s="769"/>
      <c r="V772" s="769"/>
      <c r="W772" s="769"/>
      <c r="X772" s="769"/>
      <c r="Y772" s="769"/>
      <c r="Z772" s="769"/>
    </row>
    <row r="773" spans="1:26" ht="18.75" customHeight="1" x14ac:dyDescent="0.3">
      <c r="A773" s="769"/>
      <c r="B773" s="769"/>
      <c r="C773" s="769"/>
      <c r="D773" s="771"/>
      <c r="E773" s="769"/>
      <c r="F773" s="769"/>
      <c r="G773" s="769"/>
      <c r="H773" s="769"/>
      <c r="I773" s="769"/>
      <c r="J773" s="769"/>
      <c r="K773" s="772"/>
      <c r="L773" s="769"/>
      <c r="M773" s="769"/>
      <c r="N773" s="769"/>
      <c r="O773" s="769"/>
      <c r="P773" s="769"/>
      <c r="Q773" s="769"/>
      <c r="R773" s="769"/>
      <c r="S773" s="769"/>
      <c r="T773" s="769"/>
      <c r="U773" s="769"/>
      <c r="V773" s="769"/>
      <c r="W773" s="769"/>
      <c r="X773" s="769"/>
      <c r="Y773" s="769"/>
      <c r="Z773" s="769"/>
    </row>
    <row r="774" spans="1:26" ht="18.75" customHeight="1" x14ac:dyDescent="0.3">
      <c r="A774" s="769"/>
      <c r="B774" s="769"/>
      <c r="C774" s="769"/>
      <c r="D774" s="771"/>
      <c r="E774" s="769"/>
      <c r="F774" s="769"/>
      <c r="G774" s="769"/>
      <c r="H774" s="769"/>
      <c r="I774" s="769"/>
      <c r="J774" s="769"/>
      <c r="K774" s="772"/>
      <c r="L774" s="769"/>
      <c r="M774" s="769"/>
      <c r="N774" s="769"/>
      <c r="O774" s="769"/>
      <c r="P774" s="769"/>
      <c r="Q774" s="769"/>
      <c r="R774" s="769"/>
      <c r="S774" s="769"/>
      <c r="T774" s="769"/>
      <c r="U774" s="769"/>
      <c r="V774" s="769"/>
      <c r="W774" s="769"/>
      <c r="X774" s="769"/>
      <c r="Y774" s="769"/>
      <c r="Z774" s="769"/>
    </row>
    <row r="775" spans="1:26" ht="18.75" customHeight="1" x14ac:dyDescent="0.3">
      <c r="A775" s="769"/>
      <c r="B775" s="769"/>
      <c r="C775" s="769"/>
      <c r="D775" s="771"/>
      <c r="E775" s="769"/>
      <c r="F775" s="769"/>
      <c r="G775" s="769"/>
      <c r="H775" s="769"/>
      <c r="I775" s="769"/>
      <c r="J775" s="769"/>
      <c r="K775" s="772"/>
      <c r="L775" s="769"/>
      <c r="M775" s="769"/>
      <c r="N775" s="769"/>
      <c r="O775" s="769"/>
      <c r="P775" s="769"/>
      <c r="Q775" s="769"/>
      <c r="R775" s="769"/>
      <c r="S775" s="769"/>
      <c r="T775" s="769"/>
      <c r="U775" s="769"/>
      <c r="V775" s="769"/>
      <c r="W775" s="769"/>
      <c r="X775" s="769"/>
      <c r="Y775" s="769"/>
      <c r="Z775" s="769"/>
    </row>
    <row r="776" spans="1:26" ht="18.75" customHeight="1" x14ac:dyDescent="0.3">
      <c r="A776" s="769"/>
      <c r="B776" s="769"/>
      <c r="C776" s="769"/>
      <c r="D776" s="771"/>
      <c r="E776" s="769"/>
      <c r="F776" s="769"/>
      <c r="G776" s="769"/>
      <c r="H776" s="769"/>
      <c r="I776" s="769"/>
      <c r="J776" s="769"/>
      <c r="K776" s="772"/>
      <c r="L776" s="769"/>
      <c r="M776" s="769"/>
      <c r="N776" s="769"/>
      <c r="O776" s="769"/>
      <c r="P776" s="769"/>
      <c r="Q776" s="769"/>
      <c r="R776" s="769"/>
      <c r="S776" s="769"/>
      <c r="T776" s="769"/>
      <c r="U776" s="769"/>
      <c r="V776" s="769"/>
      <c r="W776" s="769"/>
      <c r="X776" s="769"/>
      <c r="Y776" s="769"/>
      <c r="Z776" s="769"/>
    </row>
    <row r="777" spans="1:26" ht="18.75" customHeight="1" x14ac:dyDescent="0.3">
      <c r="A777" s="769"/>
      <c r="B777" s="769"/>
      <c r="C777" s="769"/>
      <c r="D777" s="771"/>
      <c r="E777" s="769"/>
      <c r="F777" s="769"/>
      <c r="G777" s="769"/>
      <c r="H777" s="769"/>
      <c r="I777" s="769"/>
      <c r="J777" s="769"/>
      <c r="K777" s="772"/>
      <c r="L777" s="769"/>
      <c r="M777" s="769"/>
      <c r="N777" s="769"/>
      <c r="O777" s="769"/>
      <c r="P777" s="769"/>
      <c r="Q777" s="769"/>
      <c r="R777" s="769"/>
      <c r="S777" s="769"/>
      <c r="T777" s="769"/>
      <c r="U777" s="769"/>
      <c r="V777" s="769"/>
      <c r="W777" s="769"/>
      <c r="X777" s="769"/>
      <c r="Y777" s="769"/>
      <c r="Z777" s="769"/>
    </row>
    <row r="778" spans="1:26" ht="18.75" customHeight="1" x14ac:dyDescent="0.3">
      <c r="A778" s="769"/>
      <c r="B778" s="769"/>
      <c r="C778" s="769"/>
      <c r="D778" s="771"/>
      <c r="E778" s="769"/>
      <c r="F778" s="769"/>
      <c r="G778" s="769"/>
      <c r="H778" s="769"/>
      <c r="I778" s="769"/>
      <c r="J778" s="769"/>
      <c r="K778" s="772"/>
      <c r="L778" s="769"/>
      <c r="M778" s="769"/>
      <c r="N778" s="769"/>
      <c r="O778" s="769"/>
      <c r="P778" s="769"/>
      <c r="Q778" s="769"/>
      <c r="R778" s="769"/>
      <c r="S778" s="769"/>
      <c r="T778" s="769"/>
      <c r="U778" s="769"/>
      <c r="V778" s="769"/>
      <c r="W778" s="769"/>
      <c r="X778" s="769"/>
      <c r="Y778" s="769"/>
      <c r="Z778" s="769"/>
    </row>
    <row r="779" spans="1:26" ht="18.75" customHeight="1" x14ac:dyDescent="0.3">
      <c r="A779" s="769"/>
      <c r="B779" s="769"/>
      <c r="C779" s="769"/>
      <c r="D779" s="771"/>
      <c r="E779" s="769"/>
      <c r="F779" s="769"/>
      <c r="G779" s="769"/>
      <c r="H779" s="769"/>
      <c r="I779" s="769"/>
      <c r="J779" s="769"/>
      <c r="K779" s="772"/>
      <c r="L779" s="769"/>
      <c r="M779" s="769"/>
      <c r="N779" s="769"/>
      <c r="O779" s="769"/>
      <c r="P779" s="769"/>
      <c r="Q779" s="769"/>
      <c r="R779" s="769"/>
      <c r="S779" s="769"/>
      <c r="T779" s="769"/>
      <c r="U779" s="769"/>
      <c r="V779" s="769"/>
      <c r="W779" s="769"/>
      <c r="X779" s="769"/>
      <c r="Y779" s="769"/>
      <c r="Z779" s="769"/>
    </row>
    <row r="780" spans="1:26" ht="18.75" customHeight="1" x14ac:dyDescent="0.3">
      <c r="A780" s="769"/>
      <c r="B780" s="769"/>
      <c r="C780" s="769"/>
      <c r="D780" s="771"/>
      <c r="E780" s="769"/>
      <c r="F780" s="769"/>
      <c r="G780" s="769"/>
      <c r="H780" s="769"/>
      <c r="I780" s="769"/>
      <c r="J780" s="769"/>
      <c r="K780" s="772"/>
      <c r="L780" s="769"/>
      <c r="M780" s="769"/>
      <c r="N780" s="769"/>
      <c r="O780" s="769"/>
      <c r="P780" s="769"/>
      <c r="Q780" s="769"/>
      <c r="R780" s="769"/>
      <c r="S780" s="769"/>
      <c r="T780" s="769"/>
      <c r="U780" s="769"/>
      <c r="V780" s="769"/>
      <c r="W780" s="769"/>
      <c r="X780" s="769"/>
      <c r="Y780" s="769"/>
      <c r="Z780" s="769"/>
    </row>
    <row r="781" spans="1:26" ht="18.75" customHeight="1" x14ac:dyDescent="0.3">
      <c r="A781" s="769"/>
      <c r="B781" s="769"/>
      <c r="C781" s="769"/>
      <c r="D781" s="771"/>
      <c r="E781" s="769"/>
      <c r="F781" s="769"/>
      <c r="G781" s="769"/>
      <c r="H781" s="769"/>
      <c r="I781" s="769"/>
      <c r="J781" s="769"/>
      <c r="K781" s="772"/>
      <c r="L781" s="769"/>
      <c r="M781" s="769"/>
      <c r="N781" s="769"/>
      <c r="O781" s="769"/>
      <c r="P781" s="769"/>
      <c r="Q781" s="769"/>
      <c r="R781" s="769"/>
      <c r="S781" s="769"/>
      <c r="T781" s="769"/>
      <c r="U781" s="769"/>
      <c r="V781" s="769"/>
      <c r="W781" s="769"/>
      <c r="X781" s="769"/>
      <c r="Y781" s="769"/>
      <c r="Z781" s="769"/>
    </row>
    <row r="782" spans="1:26" ht="18.75" customHeight="1" x14ac:dyDescent="0.3">
      <c r="A782" s="769"/>
      <c r="B782" s="769"/>
      <c r="C782" s="769"/>
      <c r="D782" s="771"/>
      <c r="E782" s="769"/>
      <c r="F782" s="769"/>
      <c r="G782" s="769"/>
      <c r="H782" s="769"/>
      <c r="I782" s="769"/>
      <c r="J782" s="769"/>
      <c r="K782" s="772"/>
      <c r="L782" s="769"/>
      <c r="M782" s="769"/>
      <c r="N782" s="769"/>
      <c r="O782" s="769"/>
      <c r="P782" s="769"/>
      <c r="Q782" s="769"/>
      <c r="R782" s="769"/>
      <c r="S782" s="769"/>
      <c r="T782" s="769"/>
      <c r="U782" s="769"/>
      <c r="V782" s="769"/>
      <c r="W782" s="769"/>
      <c r="X782" s="769"/>
      <c r="Y782" s="769"/>
      <c r="Z782" s="769"/>
    </row>
    <row r="783" spans="1:26" ht="18.75" customHeight="1" x14ac:dyDescent="0.3">
      <c r="A783" s="769"/>
      <c r="B783" s="769"/>
      <c r="C783" s="769"/>
      <c r="D783" s="771"/>
      <c r="E783" s="769"/>
      <c r="F783" s="769"/>
      <c r="G783" s="769"/>
      <c r="H783" s="769"/>
      <c r="I783" s="769"/>
      <c r="J783" s="769"/>
      <c r="K783" s="772"/>
      <c r="L783" s="769"/>
      <c r="M783" s="769"/>
      <c r="N783" s="769"/>
      <c r="O783" s="769"/>
      <c r="P783" s="769"/>
      <c r="Q783" s="769"/>
      <c r="R783" s="769"/>
      <c r="S783" s="769"/>
      <c r="T783" s="769"/>
      <c r="U783" s="769"/>
      <c r="V783" s="769"/>
      <c r="W783" s="769"/>
      <c r="X783" s="769"/>
      <c r="Y783" s="769"/>
      <c r="Z783" s="769"/>
    </row>
    <row r="784" spans="1:26" ht="18.75" customHeight="1" x14ac:dyDescent="0.3">
      <c r="A784" s="769"/>
      <c r="B784" s="769"/>
      <c r="C784" s="769"/>
      <c r="D784" s="771"/>
      <c r="E784" s="769"/>
      <c r="F784" s="769"/>
      <c r="G784" s="769"/>
      <c r="H784" s="769"/>
      <c r="I784" s="769"/>
      <c r="J784" s="769"/>
      <c r="K784" s="772"/>
      <c r="L784" s="769"/>
      <c r="M784" s="769"/>
      <c r="N784" s="769"/>
      <c r="O784" s="769"/>
      <c r="P784" s="769"/>
      <c r="Q784" s="769"/>
      <c r="R784" s="769"/>
      <c r="S784" s="769"/>
      <c r="T784" s="769"/>
      <c r="U784" s="769"/>
      <c r="V784" s="769"/>
      <c r="W784" s="769"/>
      <c r="X784" s="769"/>
      <c r="Y784" s="769"/>
      <c r="Z784" s="769"/>
    </row>
    <row r="785" spans="1:26" ht="18.75" customHeight="1" x14ac:dyDescent="0.3">
      <c r="A785" s="769"/>
      <c r="B785" s="769"/>
      <c r="C785" s="769"/>
      <c r="D785" s="771"/>
      <c r="E785" s="769"/>
      <c r="F785" s="769"/>
      <c r="G785" s="769"/>
      <c r="H785" s="769"/>
      <c r="I785" s="769"/>
      <c r="J785" s="769"/>
      <c r="K785" s="772"/>
      <c r="L785" s="769"/>
      <c r="M785" s="769"/>
      <c r="N785" s="769"/>
      <c r="O785" s="769"/>
      <c r="P785" s="769"/>
      <c r="Q785" s="769"/>
      <c r="R785" s="769"/>
      <c r="S785" s="769"/>
      <c r="T785" s="769"/>
      <c r="U785" s="769"/>
      <c r="V785" s="769"/>
      <c r="W785" s="769"/>
      <c r="X785" s="769"/>
      <c r="Y785" s="769"/>
      <c r="Z785" s="769"/>
    </row>
    <row r="786" spans="1:26" ht="18.75" customHeight="1" x14ac:dyDescent="0.3">
      <c r="A786" s="769"/>
      <c r="B786" s="769"/>
      <c r="C786" s="769"/>
      <c r="D786" s="771"/>
      <c r="E786" s="769"/>
      <c r="F786" s="769"/>
      <c r="G786" s="769"/>
      <c r="H786" s="769"/>
      <c r="I786" s="769"/>
      <c r="J786" s="769"/>
      <c r="K786" s="772"/>
      <c r="L786" s="769"/>
      <c r="M786" s="769"/>
      <c r="N786" s="769"/>
      <c r="O786" s="769"/>
      <c r="P786" s="769"/>
      <c r="Q786" s="769"/>
      <c r="R786" s="769"/>
      <c r="S786" s="769"/>
      <c r="T786" s="769"/>
      <c r="U786" s="769"/>
      <c r="V786" s="769"/>
      <c r="W786" s="769"/>
      <c r="X786" s="769"/>
      <c r="Y786" s="769"/>
      <c r="Z786" s="769"/>
    </row>
    <row r="787" spans="1:26" ht="18.75" customHeight="1" x14ac:dyDescent="0.3">
      <c r="A787" s="769"/>
      <c r="B787" s="769"/>
      <c r="C787" s="769"/>
      <c r="D787" s="771"/>
      <c r="E787" s="769"/>
      <c r="F787" s="769"/>
      <c r="G787" s="769"/>
      <c r="H787" s="769"/>
      <c r="I787" s="769"/>
      <c r="J787" s="769"/>
      <c r="K787" s="772"/>
      <c r="L787" s="769"/>
      <c r="M787" s="769"/>
      <c r="N787" s="769"/>
      <c r="O787" s="769"/>
      <c r="P787" s="769"/>
      <c r="Q787" s="769"/>
      <c r="R787" s="769"/>
      <c r="S787" s="769"/>
      <c r="T787" s="769"/>
      <c r="U787" s="769"/>
      <c r="V787" s="769"/>
      <c r="W787" s="769"/>
      <c r="X787" s="769"/>
      <c r="Y787" s="769"/>
      <c r="Z787" s="769"/>
    </row>
    <row r="788" spans="1:26" ht="18.75" customHeight="1" x14ac:dyDescent="0.3">
      <c r="A788" s="769"/>
      <c r="B788" s="769"/>
      <c r="C788" s="769"/>
      <c r="D788" s="771"/>
      <c r="E788" s="769"/>
      <c r="F788" s="769"/>
      <c r="G788" s="769"/>
      <c r="H788" s="769"/>
      <c r="I788" s="769"/>
      <c r="J788" s="769"/>
      <c r="K788" s="772"/>
      <c r="L788" s="769"/>
      <c r="M788" s="769"/>
      <c r="N788" s="769"/>
      <c r="O788" s="769"/>
      <c r="P788" s="769"/>
      <c r="Q788" s="769"/>
      <c r="R788" s="769"/>
      <c r="S788" s="769"/>
      <c r="T788" s="769"/>
      <c r="U788" s="769"/>
      <c r="V788" s="769"/>
      <c r="W788" s="769"/>
      <c r="X788" s="769"/>
      <c r="Y788" s="769"/>
      <c r="Z788" s="769"/>
    </row>
    <row r="789" spans="1:26" ht="18.75" customHeight="1" x14ac:dyDescent="0.3">
      <c r="A789" s="769"/>
      <c r="B789" s="769"/>
      <c r="C789" s="769"/>
      <c r="D789" s="771"/>
      <c r="E789" s="769"/>
      <c r="F789" s="769"/>
      <c r="G789" s="769"/>
      <c r="H789" s="769"/>
      <c r="I789" s="769"/>
      <c r="J789" s="769"/>
      <c r="K789" s="772"/>
      <c r="L789" s="769"/>
      <c r="M789" s="769"/>
      <c r="N789" s="769"/>
      <c r="O789" s="769"/>
      <c r="P789" s="769"/>
      <c r="Q789" s="769"/>
      <c r="R789" s="769"/>
      <c r="S789" s="769"/>
      <c r="T789" s="769"/>
      <c r="U789" s="769"/>
      <c r="V789" s="769"/>
      <c r="W789" s="769"/>
      <c r="X789" s="769"/>
      <c r="Y789" s="769"/>
      <c r="Z789" s="769"/>
    </row>
    <row r="790" spans="1:26" ht="18.75" customHeight="1" x14ac:dyDescent="0.3">
      <c r="A790" s="769"/>
      <c r="B790" s="769"/>
      <c r="C790" s="769"/>
      <c r="D790" s="771"/>
      <c r="E790" s="769"/>
      <c r="F790" s="769"/>
      <c r="G790" s="769"/>
      <c r="H790" s="769"/>
      <c r="I790" s="769"/>
      <c r="J790" s="769"/>
      <c r="K790" s="772"/>
      <c r="L790" s="769"/>
      <c r="M790" s="769"/>
      <c r="N790" s="769"/>
      <c r="O790" s="769"/>
      <c r="P790" s="769"/>
      <c r="Q790" s="769"/>
      <c r="R790" s="769"/>
      <c r="S790" s="769"/>
      <c r="T790" s="769"/>
      <c r="U790" s="769"/>
      <c r="V790" s="769"/>
      <c r="W790" s="769"/>
      <c r="X790" s="769"/>
      <c r="Y790" s="769"/>
      <c r="Z790" s="769"/>
    </row>
    <row r="791" spans="1:26" ht="18.75" customHeight="1" x14ac:dyDescent="0.3">
      <c r="A791" s="769"/>
      <c r="B791" s="769"/>
      <c r="C791" s="769"/>
      <c r="D791" s="771"/>
      <c r="E791" s="769"/>
      <c r="F791" s="769"/>
      <c r="G791" s="769"/>
      <c r="H791" s="769"/>
      <c r="I791" s="769"/>
      <c r="J791" s="769"/>
      <c r="K791" s="772"/>
      <c r="L791" s="769"/>
      <c r="M791" s="769"/>
      <c r="N791" s="769"/>
      <c r="O791" s="769"/>
      <c r="P791" s="769"/>
      <c r="Q791" s="769"/>
      <c r="R791" s="769"/>
      <c r="S791" s="769"/>
      <c r="T791" s="769"/>
      <c r="U791" s="769"/>
      <c r="V791" s="769"/>
      <c r="W791" s="769"/>
      <c r="X791" s="769"/>
      <c r="Y791" s="769"/>
      <c r="Z791" s="769"/>
    </row>
    <row r="792" spans="1:26" ht="18.75" customHeight="1" x14ac:dyDescent="0.3">
      <c r="A792" s="769"/>
      <c r="B792" s="769"/>
      <c r="C792" s="769"/>
      <c r="D792" s="771"/>
      <c r="E792" s="769"/>
      <c r="F792" s="769"/>
      <c r="G792" s="769"/>
      <c r="H792" s="769"/>
      <c r="I792" s="769"/>
      <c r="J792" s="769"/>
      <c r="K792" s="772"/>
      <c r="L792" s="769"/>
      <c r="M792" s="769"/>
      <c r="N792" s="769"/>
      <c r="O792" s="769"/>
      <c r="P792" s="769"/>
      <c r="Q792" s="769"/>
      <c r="R792" s="769"/>
      <c r="S792" s="769"/>
      <c r="T792" s="769"/>
      <c r="U792" s="769"/>
      <c r="V792" s="769"/>
      <c r="W792" s="769"/>
      <c r="X792" s="769"/>
      <c r="Y792" s="769"/>
      <c r="Z792" s="769"/>
    </row>
    <row r="793" spans="1:26" ht="18.75" customHeight="1" x14ac:dyDescent="0.3">
      <c r="A793" s="769"/>
      <c r="B793" s="769"/>
      <c r="C793" s="769"/>
      <c r="D793" s="771"/>
      <c r="E793" s="769"/>
      <c r="F793" s="769"/>
      <c r="G793" s="769"/>
      <c r="H793" s="769"/>
      <c r="I793" s="769"/>
      <c r="J793" s="769"/>
      <c r="K793" s="772"/>
      <c r="L793" s="769"/>
      <c r="M793" s="769"/>
      <c r="N793" s="769"/>
      <c r="O793" s="769"/>
      <c r="P793" s="769"/>
      <c r="Q793" s="769"/>
      <c r="R793" s="769"/>
      <c r="S793" s="769"/>
      <c r="T793" s="769"/>
      <c r="U793" s="769"/>
      <c r="V793" s="769"/>
      <c r="W793" s="769"/>
      <c r="X793" s="769"/>
      <c r="Y793" s="769"/>
      <c r="Z793" s="769"/>
    </row>
    <row r="794" spans="1:26" ht="18.75" customHeight="1" x14ac:dyDescent="0.3">
      <c r="A794" s="769"/>
      <c r="B794" s="769"/>
      <c r="C794" s="769"/>
      <c r="D794" s="771"/>
      <c r="E794" s="769"/>
      <c r="F794" s="769"/>
      <c r="G794" s="769"/>
      <c r="H794" s="769"/>
      <c r="I794" s="769"/>
      <c r="J794" s="769"/>
      <c r="K794" s="772"/>
      <c r="L794" s="769"/>
      <c r="M794" s="769"/>
      <c r="N794" s="769"/>
      <c r="O794" s="769"/>
      <c r="P794" s="769"/>
      <c r="Q794" s="769"/>
      <c r="R794" s="769"/>
      <c r="S794" s="769"/>
      <c r="T794" s="769"/>
      <c r="U794" s="769"/>
      <c r="V794" s="769"/>
      <c r="W794" s="769"/>
      <c r="X794" s="769"/>
      <c r="Y794" s="769"/>
      <c r="Z794" s="769"/>
    </row>
    <row r="795" spans="1:26" ht="18.75" customHeight="1" x14ac:dyDescent="0.3">
      <c r="A795" s="769"/>
      <c r="B795" s="769"/>
      <c r="C795" s="769"/>
      <c r="D795" s="771"/>
      <c r="E795" s="769"/>
      <c r="F795" s="769"/>
      <c r="G795" s="769"/>
      <c r="H795" s="769"/>
      <c r="I795" s="769"/>
      <c r="J795" s="769"/>
      <c r="K795" s="772"/>
      <c r="L795" s="769"/>
      <c r="M795" s="769"/>
      <c r="N795" s="769"/>
      <c r="O795" s="769"/>
      <c r="P795" s="769"/>
      <c r="Q795" s="769"/>
      <c r="R795" s="769"/>
      <c r="S795" s="769"/>
      <c r="T795" s="769"/>
      <c r="U795" s="769"/>
      <c r="V795" s="769"/>
      <c r="W795" s="769"/>
      <c r="X795" s="769"/>
      <c r="Y795" s="769"/>
      <c r="Z795" s="769"/>
    </row>
    <row r="796" spans="1:26" ht="18.75" customHeight="1" x14ac:dyDescent="0.3">
      <c r="A796" s="769"/>
      <c r="B796" s="769"/>
      <c r="C796" s="769"/>
      <c r="D796" s="771"/>
      <c r="E796" s="769"/>
      <c r="F796" s="769"/>
      <c r="G796" s="769"/>
      <c r="H796" s="769"/>
      <c r="I796" s="769"/>
      <c r="J796" s="769"/>
      <c r="K796" s="772"/>
      <c r="L796" s="769"/>
      <c r="M796" s="769"/>
      <c r="N796" s="769"/>
      <c r="O796" s="769"/>
      <c r="P796" s="769"/>
      <c r="Q796" s="769"/>
      <c r="R796" s="769"/>
      <c r="S796" s="769"/>
      <c r="T796" s="769"/>
      <c r="U796" s="769"/>
      <c r="V796" s="769"/>
      <c r="W796" s="769"/>
      <c r="X796" s="769"/>
      <c r="Y796" s="769"/>
      <c r="Z796" s="769"/>
    </row>
    <row r="797" spans="1:26" ht="18.75" customHeight="1" x14ac:dyDescent="0.3">
      <c r="A797" s="769"/>
      <c r="B797" s="769"/>
      <c r="C797" s="769"/>
      <c r="D797" s="771"/>
      <c r="E797" s="769"/>
      <c r="F797" s="769"/>
      <c r="G797" s="769"/>
      <c r="H797" s="769"/>
      <c r="I797" s="769"/>
      <c r="J797" s="769"/>
      <c r="K797" s="772"/>
      <c r="L797" s="769"/>
      <c r="M797" s="769"/>
      <c r="N797" s="769"/>
      <c r="O797" s="769"/>
      <c r="P797" s="769"/>
      <c r="Q797" s="769"/>
      <c r="R797" s="769"/>
      <c r="S797" s="769"/>
      <c r="T797" s="769"/>
      <c r="U797" s="769"/>
      <c r="V797" s="769"/>
      <c r="W797" s="769"/>
      <c r="X797" s="769"/>
      <c r="Y797" s="769"/>
      <c r="Z797" s="769"/>
    </row>
    <row r="798" spans="1:26" ht="18.75" customHeight="1" x14ac:dyDescent="0.3">
      <c r="A798" s="769"/>
      <c r="B798" s="769"/>
      <c r="C798" s="769"/>
      <c r="D798" s="771"/>
      <c r="E798" s="769"/>
      <c r="F798" s="769"/>
      <c r="G798" s="769"/>
      <c r="H798" s="769"/>
      <c r="I798" s="769"/>
      <c r="J798" s="769"/>
      <c r="K798" s="772"/>
      <c r="L798" s="769"/>
      <c r="M798" s="769"/>
      <c r="N798" s="769"/>
      <c r="O798" s="769"/>
      <c r="P798" s="769"/>
      <c r="Q798" s="769"/>
      <c r="R798" s="769"/>
      <c r="S798" s="769"/>
      <c r="T798" s="769"/>
      <c r="U798" s="769"/>
      <c r="V798" s="769"/>
      <c r="W798" s="769"/>
      <c r="X798" s="769"/>
      <c r="Y798" s="769"/>
      <c r="Z798" s="769"/>
    </row>
    <row r="799" spans="1:26" ht="18.75" customHeight="1" x14ac:dyDescent="0.3">
      <c r="A799" s="769"/>
      <c r="B799" s="769"/>
      <c r="C799" s="769"/>
      <c r="D799" s="771"/>
      <c r="E799" s="769"/>
      <c r="F799" s="769"/>
      <c r="G799" s="769"/>
      <c r="H799" s="769"/>
      <c r="I799" s="769"/>
      <c r="J799" s="769"/>
      <c r="K799" s="772"/>
      <c r="L799" s="769"/>
      <c r="M799" s="769"/>
      <c r="N799" s="769"/>
      <c r="O799" s="769"/>
      <c r="P799" s="769"/>
      <c r="Q799" s="769"/>
      <c r="R799" s="769"/>
      <c r="S799" s="769"/>
      <c r="T799" s="769"/>
      <c r="U799" s="769"/>
      <c r="V799" s="769"/>
      <c r="W799" s="769"/>
      <c r="X799" s="769"/>
      <c r="Y799" s="769"/>
      <c r="Z799" s="769"/>
    </row>
    <row r="800" spans="1:26" ht="18.75" customHeight="1" x14ac:dyDescent="0.3">
      <c r="A800" s="769"/>
      <c r="B800" s="769"/>
      <c r="C800" s="769"/>
      <c r="D800" s="771"/>
      <c r="E800" s="769"/>
      <c r="F800" s="769"/>
      <c r="G800" s="769"/>
      <c r="H800" s="769"/>
      <c r="I800" s="769"/>
      <c r="J800" s="769"/>
      <c r="K800" s="772"/>
      <c r="L800" s="769"/>
      <c r="M800" s="769"/>
      <c r="N800" s="769"/>
      <c r="O800" s="769"/>
      <c r="P800" s="769"/>
      <c r="Q800" s="769"/>
      <c r="R800" s="769"/>
      <c r="S800" s="769"/>
      <c r="T800" s="769"/>
      <c r="U800" s="769"/>
      <c r="V800" s="769"/>
      <c r="W800" s="769"/>
      <c r="X800" s="769"/>
      <c r="Y800" s="769"/>
      <c r="Z800" s="769"/>
    </row>
    <row r="801" spans="1:26" ht="18.75" customHeight="1" x14ac:dyDescent="0.3">
      <c r="A801" s="769"/>
      <c r="B801" s="769"/>
      <c r="C801" s="769"/>
      <c r="D801" s="771"/>
      <c r="E801" s="769"/>
      <c r="F801" s="769"/>
      <c r="G801" s="769"/>
      <c r="H801" s="769"/>
      <c r="I801" s="769"/>
      <c r="J801" s="769"/>
      <c r="K801" s="772"/>
      <c r="L801" s="769"/>
      <c r="M801" s="769"/>
      <c r="N801" s="769"/>
      <c r="O801" s="769"/>
      <c r="P801" s="769"/>
      <c r="Q801" s="769"/>
      <c r="R801" s="769"/>
      <c r="S801" s="769"/>
      <c r="T801" s="769"/>
      <c r="U801" s="769"/>
      <c r="V801" s="769"/>
      <c r="W801" s="769"/>
      <c r="X801" s="769"/>
      <c r="Y801" s="769"/>
      <c r="Z801" s="769"/>
    </row>
    <row r="802" spans="1:26" ht="18.75" customHeight="1" x14ac:dyDescent="0.3">
      <c r="A802" s="769"/>
      <c r="B802" s="769"/>
      <c r="C802" s="769"/>
      <c r="D802" s="771"/>
      <c r="E802" s="769"/>
      <c r="F802" s="769"/>
      <c r="G802" s="769"/>
      <c r="H802" s="769"/>
      <c r="I802" s="769"/>
      <c r="J802" s="769"/>
      <c r="K802" s="772"/>
      <c r="L802" s="769"/>
      <c r="M802" s="769"/>
      <c r="N802" s="769"/>
      <c r="O802" s="769"/>
      <c r="P802" s="769"/>
      <c r="Q802" s="769"/>
      <c r="R802" s="769"/>
      <c r="S802" s="769"/>
      <c r="T802" s="769"/>
      <c r="U802" s="769"/>
      <c r="V802" s="769"/>
      <c r="W802" s="769"/>
      <c r="X802" s="769"/>
      <c r="Y802" s="769"/>
      <c r="Z802" s="769"/>
    </row>
    <row r="803" spans="1:26" ht="18.75" customHeight="1" x14ac:dyDescent="0.3">
      <c r="A803" s="769"/>
      <c r="B803" s="769"/>
      <c r="C803" s="769"/>
      <c r="D803" s="771"/>
      <c r="E803" s="769"/>
      <c r="F803" s="769"/>
      <c r="G803" s="769"/>
      <c r="H803" s="769"/>
      <c r="I803" s="769"/>
      <c r="J803" s="769"/>
      <c r="K803" s="772"/>
      <c r="L803" s="769"/>
      <c r="M803" s="769"/>
      <c r="N803" s="769"/>
      <c r="O803" s="769"/>
      <c r="P803" s="769"/>
      <c r="Q803" s="769"/>
      <c r="R803" s="769"/>
      <c r="S803" s="769"/>
      <c r="T803" s="769"/>
      <c r="U803" s="769"/>
      <c r="V803" s="769"/>
      <c r="W803" s="769"/>
      <c r="X803" s="769"/>
      <c r="Y803" s="769"/>
      <c r="Z803" s="769"/>
    </row>
    <row r="804" spans="1:26" ht="18.75" customHeight="1" x14ac:dyDescent="0.3">
      <c r="A804" s="769"/>
      <c r="B804" s="769"/>
      <c r="C804" s="769"/>
      <c r="D804" s="771"/>
      <c r="E804" s="769"/>
      <c r="F804" s="769"/>
      <c r="G804" s="769"/>
      <c r="H804" s="769"/>
      <c r="I804" s="769"/>
      <c r="J804" s="769"/>
      <c r="K804" s="772"/>
      <c r="L804" s="769"/>
      <c r="M804" s="769"/>
      <c r="N804" s="769"/>
      <c r="O804" s="769"/>
      <c r="P804" s="769"/>
      <c r="Q804" s="769"/>
      <c r="R804" s="769"/>
      <c r="S804" s="769"/>
      <c r="T804" s="769"/>
      <c r="U804" s="769"/>
      <c r="V804" s="769"/>
      <c r="W804" s="769"/>
      <c r="X804" s="769"/>
      <c r="Y804" s="769"/>
      <c r="Z804" s="769"/>
    </row>
    <row r="805" spans="1:26" ht="18.75" customHeight="1" x14ac:dyDescent="0.3">
      <c r="A805" s="769"/>
      <c r="B805" s="769"/>
      <c r="C805" s="769"/>
      <c r="D805" s="771"/>
      <c r="E805" s="769"/>
      <c r="F805" s="769"/>
      <c r="G805" s="769"/>
      <c r="H805" s="769"/>
      <c r="I805" s="769"/>
      <c r="J805" s="769"/>
      <c r="K805" s="772"/>
      <c r="L805" s="769"/>
      <c r="M805" s="769"/>
      <c r="N805" s="769"/>
      <c r="O805" s="769"/>
      <c r="P805" s="769"/>
      <c r="Q805" s="769"/>
      <c r="R805" s="769"/>
      <c r="S805" s="769"/>
      <c r="T805" s="769"/>
      <c r="U805" s="769"/>
      <c r="V805" s="769"/>
      <c r="W805" s="769"/>
      <c r="X805" s="769"/>
      <c r="Y805" s="769"/>
      <c r="Z805" s="769"/>
    </row>
    <row r="806" spans="1:26" ht="18.75" customHeight="1" x14ac:dyDescent="0.3">
      <c r="A806" s="769"/>
      <c r="B806" s="769"/>
      <c r="C806" s="769"/>
      <c r="D806" s="771"/>
      <c r="E806" s="769"/>
      <c r="F806" s="769"/>
      <c r="G806" s="769"/>
      <c r="H806" s="769"/>
      <c r="I806" s="769"/>
      <c r="J806" s="769"/>
      <c r="K806" s="772"/>
      <c r="L806" s="769"/>
      <c r="M806" s="769"/>
      <c r="N806" s="769"/>
      <c r="O806" s="769"/>
      <c r="P806" s="769"/>
      <c r="Q806" s="769"/>
      <c r="R806" s="769"/>
      <c r="S806" s="769"/>
      <c r="T806" s="769"/>
      <c r="U806" s="769"/>
      <c r="V806" s="769"/>
      <c r="W806" s="769"/>
      <c r="X806" s="769"/>
      <c r="Y806" s="769"/>
      <c r="Z806" s="769"/>
    </row>
    <row r="807" spans="1:26" ht="18.75" customHeight="1" x14ac:dyDescent="0.3">
      <c r="A807" s="769"/>
      <c r="B807" s="769"/>
      <c r="C807" s="769"/>
      <c r="D807" s="771"/>
      <c r="E807" s="769"/>
      <c r="F807" s="769"/>
      <c r="G807" s="769"/>
      <c r="H807" s="769"/>
      <c r="I807" s="769"/>
      <c r="J807" s="769"/>
      <c r="K807" s="772"/>
      <c r="L807" s="769"/>
      <c r="M807" s="769"/>
      <c r="N807" s="769"/>
      <c r="O807" s="769"/>
      <c r="P807" s="769"/>
      <c r="Q807" s="769"/>
      <c r="R807" s="769"/>
      <c r="S807" s="769"/>
      <c r="T807" s="769"/>
      <c r="U807" s="769"/>
      <c r="V807" s="769"/>
      <c r="W807" s="769"/>
      <c r="X807" s="769"/>
      <c r="Y807" s="769"/>
      <c r="Z807" s="769"/>
    </row>
    <row r="808" spans="1:26" ht="18.75" customHeight="1" x14ac:dyDescent="0.3">
      <c r="A808" s="769"/>
      <c r="B808" s="769"/>
      <c r="C808" s="769"/>
      <c r="D808" s="771"/>
      <c r="E808" s="769"/>
      <c r="F808" s="769"/>
      <c r="G808" s="769"/>
      <c r="H808" s="769"/>
      <c r="I808" s="769"/>
      <c r="J808" s="769"/>
      <c r="K808" s="772"/>
      <c r="L808" s="769"/>
      <c r="M808" s="769"/>
      <c r="N808" s="769"/>
      <c r="O808" s="769"/>
      <c r="P808" s="769"/>
      <c r="Q808" s="769"/>
      <c r="R808" s="769"/>
      <c r="S808" s="769"/>
      <c r="T808" s="769"/>
      <c r="U808" s="769"/>
      <c r="V808" s="769"/>
      <c r="W808" s="769"/>
      <c r="X808" s="769"/>
      <c r="Y808" s="769"/>
      <c r="Z808" s="769"/>
    </row>
    <row r="809" spans="1:26" ht="18.75" customHeight="1" x14ac:dyDescent="0.3">
      <c r="A809" s="769"/>
      <c r="B809" s="769"/>
      <c r="C809" s="769"/>
      <c r="D809" s="771"/>
      <c r="E809" s="769"/>
      <c r="F809" s="769"/>
      <c r="G809" s="769"/>
      <c r="H809" s="769"/>
      <c r="I809" s="769"/>
      <c r="J809" s="769"/>
      <c r="K809" s="772"/>
      <c r="L809" s="769"/>
      <c r="M809" s="769"/>
      <c r="N809" s="769"/>
      <c r="O809" s="769"/>
      <c r="P809" s="769"/>
      <c r="Q809" s="769"/>
      <c r="R809" s="769"/>
      <c r="S809" s="769"/>
      <c r="T809" s="769"/>
      <c r="U809" s="769"/>
      <c r="V809" s="769"/>
      <c r="W809" s="769"/>
      <c r="X809" s="769"/>
      <c r="Y809" s="769"/>
      <c r="Z809" s="769"/>
    </row>
    <row r="810" spans="1:26" ht="18.75" customHeight="1" x14ac:dyDescent="0.3">
      <c r="A810" s="769"/>
      <c r="B810" s="769"/>
      <c r="C810" s="769"/>
      <c r="D810" s="771"/>
      <c r="E810" s="769"/>
      <c r="F810" s="769"/>
      <c r="G810" s="769"/>
      <c r="H810" s="769"/>
      <c r="I810" s="769"/>
      <c r="J810" s="769"/>
      <c r="K810" s="772"/>
      <c r="L810" s="769"/>
      <c r="M810" s="769"/>
      <c r="N810" s="769"/>
      <c r="O810" s="769"/>
      <c r="P810" s="769"/>
      <c r="Q810" s="769"/>
      <c r="R810" s="769"/>
      <c r="S810" s="769"/>
      <c r="T810" s="769"/>
      <c r="U810" s="769"/>
      <c r="V810" s="769"/>
      <c r="W810" s="769"/>
      <c r="X810" s="769"/>
      <c r="Y810" s="769"/>
      <c r="Z810" s="769"/>
    </row>
    <row r="811" spans="1:26" ht="18.75" customHeight="1" x14ac:dyDescent="0.3">
      <c r="A811" s="769"/>
      <c r="B811" s="769"/>
      <c r="C811" s="769"/>
      <c r="D811" s="771"/>
      <c r="E811" s="769"/>
      <c r="F811" s="769"/>
      <c r="G811" s="769"/>
      <c r="H811" s="769"/>
      <c r="I811" s="769"/>
      <c r="J811" s="769"/>
      <c r="K811" s="772"/>
      <c r="L811" s="769"/>
      <c r="M811" s="769"/>
      <c r="N811" s="769"/>
      <c r="O811" s="769"/>
      <c r="P811" s="769"/>
      <c r="Q811" s="769"/>
      <c r="R811" s="769"/>
      <c r="S811" s="769"/>
      <c r="T811" s="769"/>
      <c r="U811" s="769"/>
      <c r="V811" s="769"/>
      <c r="W811" s="769"/>
      <c r="X811" s="769"/>
      <c r="Y811" s="769"/>
      <c r="Z811" s="769"/>
    </row>
    <row r="812" spans="1:26" ht="18.75" customHeight="1" x14ac:dyDescent="0.3">
      <c r="A812" s="769"/>
      <c r="B812" s="769"/>
      <c r="C812" s="769"/>
      <c r="D812" s="771"/>
      <c r="E812" s="769"/>
      <c r="F812" s="769"/>
      <c r="G812" s="769"/>
      <c r="H812" s="769"/>
      <c r="I812" s="769"/>
      <c r="J812" s="769"/>
      <c r="K812" s="772"/>
      <c r="L812" s="769"/>
      <c r="M812" s="769"/>
      <c r="N812" s="769"/>
      <c r="O812" s="769"/>
      <c r="P812" s="769"/>
      <c r="Q812" s="769"/>
      <c r="R812" s="769"/>
      <c r="S812" s="769"/>
      <c r="T812" s="769"/>
      <c r="U812" s="769"/>
      <c r="V812" s="769"/>
      <c r="W812" s="769"/>
      <c r="X812" s="769"/>
      <c r="Y812" s="769"/>
      <c r="Z812" s="769"/>
    </row>
    <row r="813" spans="1:26" ht="18.75" customHeight="1" x14ac:dyDescent="0.3">
      <c r="A813" s="769"/>
      <c r="B813" s="769"/>
      <c r="C813" s="769"/>
      <c r="D813" s="771"/>
      <c r="E813" s="769"/>
      <c r="F813" s="769"/>
      <c r="G813" s="769"/>
      <c r="H813" s="769"/>
      <c r="I813" s="769"/>
      <c r="J813" s="769"/>
      <c r="K813" s="772"/>
      <c r="L813" s="769"/>
      <c r="M813" s="769"/>
      <c r="N813" s="769"/>
      <c r="O813" s="769"/>
      <c r="P813" s="769"/>
      <c r="Q813" s="769"/>
      <c r="R813" s="769"/>
      <c r="S813" s="769"/>
      <c r="T813" s="769"/>
      <c r="U813" s="769"/>
      <c r="V813" s="769"/>
      <c r="W813" s="769"/>
      <c r="X813" s="769"/>
      <c r="Y813" s="769"/>
      <c r="Z813" s="769"/>
    </row>
    <row r="814" spans="1:26" ht="18.75" customHeight="1" x14ac:dyDescent="0.3">
      <c r="A814" s="769"/>
      <c r="B814" s="769"/>
      <c r="C814" s="769"/>
      <c r="D814" s="771"/>
      <c r="E814" s="769"/>
      <c r="F814" s="769"/>
      <c r="G814" s="769"/>
      <c r="H814" s="769"/>
      <c r="I814" s="769"/>
      <c r="J814" s="769"/>
      <c r="K814" s="772"/>
      <c r="L814" s="769"/>
      <c r="M814" s="769"/>
      <c r="N814" s="769"/>
      <c r="O814" s="769"/>
      <c r="P814" s="769"/>
      <c r="Q814" s="769"/>
      <c r="R814" s="769"/>
      <c r="S814" s="769"/>
      <c r="T814" s="769"/>
      <c r="U814" s="769"/>
      <c r="V814" s="769"/>
      <c r="W814" s="769"/>
      <c r="X814" s="769"/>
      <c r="Y814" s="769"/>
      <c r="Z814" s="769"/>
    </row>
    <row r="815" spans="1:26" ht="18.75" customHeight="1" x14ac:dyDescent="0.3">
      <c r="A815" s="769"/>
      <c r="B815" s="769"/>
      <c r="C815" s="769"/>
      <c r="D815" s="771"/>
      <c r="E815" s="769"/>
      <c r="F815" s="769"/>
      <c r="G815" s="769"/>
      <c r="H815" s="769"/>
      <c r="I815" s="769"/>
      <c r="J815" s="769"/>
      <c r="K815" s="772"/>
      <c r="L815" s="769"/>
      <c r="M815" s="769"/>
      <c r="N815" s="769"/>
      <c r="O815" s="769"/>
      <c r="P815" s="769"/>
      <c r="Q815" s="769"/>
      <c r="R815" s="769"/>
      <c r="S815" s="769"/>
      <c r="T815" s="769"/>
      <c r="U815" s="769"/>
      <c r="V815" s="769"/>
      <c r="W815" s="769"/>
      <c r="X815" s="769"/>
      <c r="Y815" s="769"/>
      <c r="Z815" s="769"/>
    </row>
    <row r="816" spans="1:26" ht="18.75" customHeight="1" x14ac:dyDescent="0.3">
      <c r="A816" s="769"/>
      <c r="B816" s="769"/>
      <c r="C816" s="769"/>
      <c r="D816" s="771"/>
      <c r="E816" s="769"/>
      <c r="F816" s="769"/>
      <c r="G816" s="769"/>
      <c r="H816" s="769"/>
      <c r="I816" s="769"/>
      <c r="J816" s="769"/>
      <c r="K816" s="772"/>
      <c r="L816" s="769"/>
      <c r="M816" s="769"/>
      <c r="N816" s="769"/>
      <c r="O816" s="769"/>
      <c r="P816" s="769"/>
      <c r="Q816" s="769"/>
      <c r="R816" s="769"/>
      <c r="S816" s="769"/>
      <c r="T816" s="769"/>
      <c r="U816" s="769"/>
      <c r="V816" s="769"/>
      <c r="W816" s="769"/>
      <c r="X816" s="769"/>
      <c r="Y816" s="769"/>
      <c r="Z816" s="769"/>
    </row>
    <row r="817" spans="1:26" ht="18.75" customHeight="1" x14ac:dyDescent="0.3">
      <c r="A817" s="769"/>
      <c r="B817" s="769"/>
      <c r="C817" s="769"/>
      <c r="D817" s="771"/>
      <c r="E817" s="769"/>
      <c r="F817" s="769"/>
      <c r="G817" s="769"/>
      <c r="H817" s="769"/>
      <c r="I817" s="769"/>
      <c r="J817" s="769"/>
      <c r="K817" s="772"/>
      <c r="L817" s="769"/>
      <c r="M817" s="769"/>
      <c r="N817" s="769"/>
      <c r="O817" s="769"/>
      <c r="P817" s="769"/>
      <c r="Q817" s="769"/>
      <c r="R817" s="769"/>
      <c r="S817" s="769"/>
      <c r="T817" s="769"/>
      <c r="U817" s="769"/>
      <c r="V817" s="769"/>
      <c r="W817" s="769"/>
      <c r="X817" s="769"/>
      <c r="Y817" s="769"/>
      <c r="Z817" s="769"/>
    </row>
    <row r="818" spans="1:26" ht="18.75" customHeight="1" x14ac:dyDescent="0.3">
      <c r="A818" s="769"/>
      <c r="B818" s="769"/>
      <c r="C818" s="769"/>
      <c r="D818" s="771"/>
      <c r="E818" s="769"/>
      <c r="F818" s="769"/>
      <c r="G818" s="769"/>
      <c r="H818" s="769"/>
      <c r="I818" s="769"/>
      <c r="J818" s="769"/>
      <c r="K818" s="772"/>
      <c r="L818" s="769"/>
      <c r="M818" s="769"/>
      <c r="N818" s="769"/>
      <c r="O818" s="769"/>
      <c r="P818" s="769"/>
      <c r="Q818" s="769"/>
      <c r="R818" s="769"/>
      <c r="S818" s="769"/>
      <c r="T818" s="769"/>
      <c r="U818" s="769"/>
      <c r="V818" s="769"/>
      <c r="W818" s="769"/>
      <c r="X818" s="769"/>
      <c r="Y818" s="769"/>
      <c r="Z818" s="769"/>
    </row>
    <row r="819" spans="1:26" ht="18.75" customHeight="1" x14ac:dyDescent="0.3">
      <c r="A819" s="769"/>
      <c r="B819" s="769"/>
      <c r="C819" s="769"/>
      <c r="D819" s="771"/>
      <c r="E819" s="769"/>
      <c r="F819" s="769"/>
      <c r="G819" s="769"/>
      <c r="H819" s="769"/>
      <c r="I819" s="769"/>
      <c r="J819" s="769"/>
      <c r="K819" s="772"/>
      <c r="L819" s="769"/>
      <c r="M819" s="769"/>
      <c r="N819" s="769"/>
      <c r="O819" s="769"/>
      <c r="P819" s="769"/>
      <c r="Q819" s="769"/>
      <c r="R819" s="769"/>
      <c r="S819" s="769"/>
      <c r="T819" s="769"/>
      <c r="U819" s="769"/>
      <c r="V819" s="769"/>
      <c r="W819" s="769"/>
      <c r="X819" s="769"/>
      <c r="Y819" s="769"/>
      <c r="Z819" s="769"/>
    </row>
    <row r="820" spans="1:26" ht="18.75" customHeight="1" x14ac:dyDescent="0.3">
      <c r="A820" s="769"/>
      <c r="B820" s="769"/>
      <c r="C820" s="769"/>
      <c r="D820" s="771"/>
      <c r="E820" s="769"/>
      <c r="F820" s="769"/>
      <c r="G820" s="769"/>
      <c r="H820" s="769"/>
      <c r="I820" s="769"/>
      <c r="J820" s="769"/>
      <c r="K820" s="772"/>
      <c r="L820" s="769"/>
      <c r="M820" s="769"/>
      <c r="N820" s="769"/>
      <c r="O820" s="769"/>
      <c r="P820" s="769"/>
      <c r="Q820" s="769"/>
      <c r="R820" s="769"/>
      <c r="S820" s="769"/>
      <c r="T820" s="769"/>
      <c r="U820" s="769"/>
      <c r="V820" s="769"/>
      <c r="W820" s="769"/>
      <c r="X820" s="769"/>
      <c r="Y820" s="769"/>
      <c r="Z820" s="769"/>
    </row>
    <row r="821" spans="1:26" ht="18.75" customHeight="1" x14ac:dyDescent="0.3">
      <c r="A821" s="769"/>
      <c r="B821" s="769"/>
      <c r="C821" s="769"/>
      <c r="D821" s="771"/>
      <c r="E821" s="769"/>
      <c r="F821" s="769"/>
      <c r="G821" s="769"/>
      <c r="H821" s="769"/>
      <c r="I821" s="769"/>
      <c r="J821" s="769"/>
      <c r="K821" s="772"/>
      <c r="L821" s="769"/>
      <c r="M821" s="769"/>
      <c r="N821" s="769"/>
      <c r="O821" s="769"/>
      <c r="P821" s="769"/>
      <c r="Q821" s="769"/>
      <c r="R821" s="769"/>
      <c r="S821" s="769"/>
      <c r="T821" s="769"/>
      <c r="U821" s="769"/>
      <c r="V821" s="769"/>
      <c r="W821" s="769"/>
      <c r="X821" s="769"/>
      <c r="Y821" s="769"/>
      <c r="Z821" s="769"/>
    </row>
    <row r="822" spans="1:26" ht="18.75" customHeight="1" x14ac:dyDescent="0.3">
      <c r="A822" s="769"/>
      <c r="B822" s="769"/>
      <c r="C822" s="769"/>
      <c r="D822" s="771"/>
      <c r="E822" s="769"/>
      <c r="F822" s="769"/>
      <c r="G822" s="769"/>
      <c r="H822" s="769"/>
      <c r="I822" s="769"/>
      <c r="J822" s="769"/>
      <c r="K822" s="772"/>
      <c r="L822" s="769"/>
      <c r="M822" s="769"/>
      <c r="N822" s="769"/>
      <c r="O822" s="769"/>
      <c r="P822" s="769"/>
      <c r="Q822" s="769"/>
      <c r="R822" s="769"/>
      <c r="S822" s="769"/>
      <c r="T822" s="769"/>
      <c r="U822" s="769"/>
      <c r="V822" s="769"/>
      <c r="W822" s="769"/>
      <c r="X822" s="769"/>
      <c r="Y822" s="769"/>
      <c r="Z822" s="769"/>
    </row>
    <row r="823" spans="1:26" ht="18.75" customHeight="1" x14ac:dyDescent="0.3">
      <c r="A823" s="769"/>
      <c r="B823" s="769"/>
      <c r="C823" s="769"/>
      <c r="D823" s="771"/>
      <c r="E823" s="769"/>
      <c r="F823" s="769"/>
      <c r="G823" s="769"/>
      <c r="H823" s="769"/>
      <c r="I823" s="769"/>
      <c r="J823" s="769"/>
      <c r="K823" s="772"/>
      <c r="L823" s="769"/>
      <c r="M823" s="769"/>
      <c r="N823" s="769"/>
      <c r="O823" s="769"/>
      <c r="P823" s="769"/>
      <c r="Q823" s="769"/>
      <c r="R823" s="769"/>
      <c r="S823" s="769"/>
      <c r="T823" s="769"/>
      <c r="U823" s="769"/>
      <c r="V823" s="769"/>
      <c r="W823" s="769"/>
      <c r="X823" s="769"/>
      <c r="Y823" s="769"/>
      <c r="Z823" s="769"/>
    </row>
    <row r="824" spans="1:26" ht="18.75" customHeight="1" x14ac:dyDescent="0.3">
      <c r="A824" s="769"/>
      <c r="B824" s="769"/>
      <c r="C824" s="769"/>
      <c r="D824" s="771"/>
      <c r="E824" s="769"/>
      <c r="F824" s="769"/>
      <c r="G824" s="769"/>
      <c r="H824" s="769"/>
      <c r="I824" s="769"/>
      <c r="J824" s="769"/>
      <c r="K824" s="772"/>
      <c r="L824" s="769"/>
      <c r="M824" s="769"/>
      <c r="N824" s="769"/>
      <c r="O824" s="769"/>
      <c r="P824" s="769"/>
      <c r="Q824" s="769"/>
      <c r="R824" s="769"/>
      <c r="S824" s="769"/>
      <c r="T824" s="769"/>
      <c r="U824" s="769"/>
      <c r="V824" s="769"/>
      <c r="W824" s="769"/>
      <c r="X824" s="769"/>
      <c r="Y824" s="769"/>
      <c r="Z824" s="769"/>
    </row>
    <row r="825" spans="1:26" ht="18.75" customHeight="1" x14ac:dyDescent="0.3">
      <c r="A825" s="769"/>
      <c r="B825" s="769"/>
      <c r="C825" s="769"/>
      <c r="D825" s="771"/>
      <c r="E825" s="769"/>
      <c r="F825" s="769"/>
      <c r="G825" s="769"/>
      <c r="H825" s="769"/>
      <c r="I825" s="769"/>
      <c r="J825" s="769"/>
      <c r="K825" s="772"/>
      <c r="L825" s="769"/>
      <c r="M825" s="769"/>
      <c r="N825" s="769"/>
      <c r="O825" s="769"/>
      <c r="P825" s="769"/>
      <c r="Q825" s="769"/>
      <c r="R825" s="769"/>
      <c r="S825" s="769"/>
      <c r="T825" s="769"/>
      <c r="U825" s="769"/>
      <c r="V825" s="769"/>
      <c r="W825" s="769"/>
      <c r="X825" s="769"/>
      <c r="Y825" s="769"/>
      <c r="Z825" s="769"/>
    </row>
    <row r="826" spans="1:26" ht="18.75" customHeight="1" x14ac:dyDescent="0.3">
      <c r="A826" s="769"/>
      <c r="B826" s="769"/>
      <c r="C826" s="769"/>
      <c r="D826" s="771"/>
      <c r="E826" s="769"/>
      <c r="F826" s="769"/>
      <c r="G826" s="769"/>
      <c r="H826" s="769"/>
      <c r="I826" s="769"/>
      <c r="J826" s="769"/>
      <c r="K826" s="772"/>
      <c r="L826" s="769"/>
      <c r="M826" s="769"/>
      <c r="N826" s="769"/>
      <c r="O826" s="769"/>
      <c r="P826" s="769"/>
      <c r="Q826" s="769"/>
      <c r="R826" s="769"/>
      <c r="S826" s="769"/>
      <c r="T826" s="769"/>
      <c r="U826" s="769"/>
      <c r="V826" s="769"/>
      <c r="W826" s="769"/>
      <c r="X826" s="769"/>
      <c r="Y826" s="769"/>
      <c r="Z826" s="769"/>
    </row>
    <row r="827" spans="1:26" ht="18.75" customHeight="1" x14ac:dyDescent="0.3">
      <c r="A827" s="769"/>
      <c r="B827" s="769"/>
      <c r="C827" s="769"/>
      <c r="D827" s="771"/>
      <c r="E827" s="769"/>
      <c r="F827" s="769"/>
      <c r="G827" s="769"/>
      <c r="H827" s="769"/>
      <c r="I827" s="769"/>
      <c r="J827" s="769"/>
      <c r="K827" s="772"/>
      <c r="L827" s="769"/>
      <c r="M827" s="769"/>
      <c r="N827" s="769"/>
      <c r="O827" s="769"/>
      <c r="P827" s="769"/>
      <c r="Q827" s="769"/>
      <c r="R827" s="769"/>
      <c r="S827" s="769"/>
      <c r="T827" s="769"/>
      <c r="U827" s="769"/>
      <c r="V827" s="769"/>
      <c r="W827" s="769"/>
      <c r="X827" s="769"/>
      <c r="Y827" s="769"/>
      <c r="Z827" s="769"/>
    </row>
    <row r="828" spans="1:26" ht="18.75" customHeight="1" x14ac:dyDescent="0.3">
      <c r="A828" s="769"/>
      <c r="B828" s="769"/>
      <c r="C828" s="769"/>
      <c r="D828" s="771"/>
      <c r="E828" s="769"/>
      <c r="F828" s="769"/>
      <c r="G828" s="769"/>
      <c r="H828" s="769"/>
      <c r="I828" s="769"/>
      <c r="J828" s="769"/>
      <c r="K828" s="772"/>
      <c r="L828" s="769"/>
      <c r="M828" s="769"/>
      <c r="N828" s="769"/>
      <c r="O828" s="769"/>
      <c r="P828" s="769"/>
      <c r="Q828" s="769"/>
      <c r="R828" s="769"/>
      <c r="S828" s="769"/>
      <c r="T828" s="769"/>
      <c r="U828" s="769"/>
      <c r="V828" s="769"/>
      <c r="W828" s="769"/>
      <c r="X828" s="769"/>
      <c r="Y828" s="769"/>
      <c r="Z828" s="769"/>
    </row>
    <row r="829" spans="1:26" ht="18.75" customHeight="1" x14ac:dyDescent="0.3">
      <c r="A829" s="769"/>
      <c r="B829" s="769"/>
      <c r="C829" s="769"/>
      <c r="D829" s="771"/>
      <c r="E829" s="769"/>
      <c r="F829" s="769"/>
      <c r="G829" s="769"/>
      <c r="H829" s="769"/>
      <c r="I829" s="769"/>
      <c r="J829" s="769"/>
      <c r="K829" s="772"/>
      <c r="L829" s="769"/>
      <c r="M829" s="769"/>
      <c r="N829" s="769"/>
      <c r="O829" s="769"/>
      <c r="P829" s="769"/>
      <c r="Q829" s="769"/>
      <c r="R829" s="769"/>
      <c r="S829" s="769"/>
      <c r="T829" s="769"/>
      <c r="U829" s="769"/>
      <c r="V829" s="769"/>
      <c r="W829" s="769"/>
      <c r="X829" s="769"/>
      <c r="Y829" s="769"/>
      <c r="Z829" s="769"/>
    </row>
    <row r="830" spans="1:26" ht="18.75" customHeight="1" x14ac:dyDescent="0.3">
      <c r="A830" s="769"/>
      <c r="B830" s="769"/>
      <c r="C830" s="769"/>
      <c r="D830" s="771"/>
      <c r="E830" s="769"/>
      <c r="F830" s="769"/>
      <c r="G830" s="769"/>
      <c r="H830" s="769"/>
      <c r="I830" s="769"/>
      <c r="J830" s="769"/>
      <c r="K830" s="772"/>
      <c r="L830" s="769"/>
      <c r="M830" s="769"/>
      <c r="N830" s="769"/>
      <c r="O830" s="769"/>
      <c r="P830" s="769"/>
      <c r="Q830" s="769"/>
      <c r="R830" s="769"/>
      <c r="S830" s="769"/>
      <c r="T830" s="769"/>
      <c r="U830" s="769"/>
      <c r="V830" s="769"/>
      <c r="W830" s="769"/>
      <c r="X830" s="769"/>
      <c r="Y830" s="769"/>
      <c r="Z830" s="769"/>
    </row>
    <row r="831" spans="1:26" ht="18.75" customHeight="1" x14ac:dyDescent="0.3">
      <c r="A831" s="769"/>
      <c r="B831" s="769"/>
      <c r="C831" s="769"/>
      <c r="D831" s="771"/>
      <c r="E831" s="769"/>
      <c r="F831" s="769"/>
      <c r="G831" s="769"/>
      <c r="H831" s="769"/>
      <c r="I831" s="769"/>
      <c r="J831" s="769"/>
      <c r="K831" s="772"/>
      <c r="L831" s="769"/>
      <c r="M831" s="769"/>
      <c r="N831" s="769"/>
      <c r="O831" s="769"/>
      <c r="P831" s="769"/>
      <c r="Q831" s="769"/>
      <c r="R831" s="769"/>
      <c r="S831" s="769"/>
      <c r="T831" s="769"/>
      <c r="U831" s="769"/>
      <c r="V831" s="769"/>
      <c r="W831" s="769"/>
      <c r="X831" s="769"/>
      <c r="Y831" s="769"/>
      <c r="Z831" s="769"/>
    </row>
    <row r="832" spans="1:26" ht="18.75" customHeight="1" x14ac:dyDescent="0.3">
      <c r="A832" s="769"/>
      <c r="B832" s="769"/>
      <c r="C832" s="769"/>
      <c r="D832" s="771"/>
      <c r="E832" s="769"/>
      <c r="F832" s="769"/>
      <c r="G832" s="769"/>
      <c r="H832" s="769"/>
      <c r="I832" s="769"/>
      <c r="J832" s="769"/>
      <c r="K832" s="772"/>
      <c r="L832" s="769"/>
      <c r="M832" s="769"/>
      <c r="N832" s="769"/>
      <c r="O832" s="769"/>
      <c r="P832" s="769"/>
      <c r="Q832" s="769"/>
      <c r="R832" s="769"/>
      <c r="S832" s="769"/>
      <c r="T832" s="769"/>
      <c r="U832" s="769"/>
      <c r="V832" s="769"/>
      <c r="W832" s="769"/>
      <c r="X832" s="769"/>
      <c r="Y832" s="769"/>
      <c r="Z832" s="769"/>
    </row>
    <row r="833" spans="1:26" ht="18.75" customHeight="1" x14ac:dyDescent="0.3">
      <c r="A833" s="769"/>
      <c r="B833" s="769"/>
      <c r="C833" s="769"/>
      <c r="D833" s="771"/>
      <c r="E833" s="769"/>
      <c r="F833" s="769"/>
      <c r="G833" s="769"/>
      <c r="H833" s="769"/>
      <c r="I833" s="769"/>
      <c r="J833" s="769"/>
      <c r="K833" s="772"/>
      <c r="L833" s="769"/>
      <c r="M833" s="769"/>
      <c r="N833" s="769"/>
      <c r="O833" s="769"/>
      <c r="P833" s="769"/>
      <c r="Q833" s="769"/>
      <c r="R833" s="769"/>
      <c r="S833" s="769"/>
      <c r="T833" s="769"/>
      <c r="U833" s="769"/>
      <c r="V833" s="769"/>
      <c r="W833" s="769"/>
      <c r="X833" s="769"/>
      <c r="Y833" s="769"/>
      <c r="Z833" s="769"/>
    </row>
    <row r="834" spans="1:26" ht="18.75" customHeight="1" x14ac:dyDescent="0.3">
      <c r="A834" s="769"/>
      <c r="B834" s="769"/>
      <c r="C834" s="769"/>
      <c r="D834" s="771"/>
      <c r="E834" s="769"/>
      <c r="F834" s="769"/>
      <c r="G834" s="769"/>
      <c r="H834" s="769"/>
      <c r="I834" s="769"/>
      <c r="J834" s="769"/>
      <c r="K834" s="772"/>
      <c r="L834" s="769"/>
      <c r="M834" s="769"/>
      <c r="N834" s="769"/>
      <c r="O834" s="769"/>
      <c r="P834" s="769"/>
      <c r="Q834" s="769"/>
      <c r="R834" s="769"/>
      <c r="S834" s="769"/>
      <c r="T834" s="769"/>
      <c r="U834" s="769"/>
      <c r="V834" s="769"/>
      <c r="W834" s="769"/>
      <c r="X834" s="769"/>
      <c r="Y834" s="769"/>
      <c r="Z834" s="769"/>
    </row>
    <row r="835" spans="1:26" ht="18.75" customHeight="1" x14ac:dyDescent="0.3">
      <c r="A835" s="769"/>
      <c r="B835" s="769"/>
      <c r="C835" s="769"/>
      <c r="D835" s="771"/>
      <c r="E835" s="769"/>
      <c r="F835" s="769"/>
      <c r="G835" s="769"/>
      <c r="H835" s="769"/>
      <c r="I835" s="769"/>
      <c r="J835" s="769"/>
      <c r="K835" s="772"/>
      <c r="L835" s="769"/>
      <c r="M835" s="769"/>
      <c r="N835" s="769"/>
      <c r="O835" s="769"/>
      <c r="P835" s="769"/>
      <c r="Q835" s="769"/>
      <c r="R835" s="769"/>
      <c r="S835" s="769"/>
      <c r="T835" s="769"/>
      <c r="U835" s="769"/>
      <c r="V835" s="769"/>
      <c r="W835" s="769"/>
      <c r="X835" s="769"/>
      <c r="Y835" s="769"/>
      <c r="Z835" s="769"/>
    </row>
    <row r="836" spans="1:26" ht="18.75" customHeight="1" x14ac:dyDescent="0.3">
      <c r="A836" s="769"/>
      <c r="B836" s="769"/>
      <c r="C836" s="769"/>
      <c r="D836" s="771"/>
      <c r="E836" s="769"/>
      <c r="F836" s="769"/>
      <c r="G836" s="769"/>
      <c r="H836" s="769"/>
      <c r="I836" s="769"/>
      <c r="J836" s="769"/>
      <c r="K836" s="772"/>
      <c r="L836" s="769"/>
      <c r="M836" s="769"/>
      <c r="N836" s="769"/>
      <c r="O836" s="769"/>
      <c r="P836" s="769"/>
      <c r="Q836" s="769"/>
      <c r="R836" s="769"/>
      <c r="S836" s="769"/>
      <c r="T836" s="769"/>
      <c r="U836" s="769"/>
      <c r="V836" s="769"/>
      <c r="W836" s="769"/>
      <c r="X836" s="769"/>
      <c r="Y836" s="769"/>
      <c r="Z836" s="769"/>
    </row>
    <row r="837" spans="1:26" ht="18.75" customHeight="1" x14ac:dyDescent="0.3">
      <c r="A837" s="769"/>
      <c r="B837" s="769"/>
      <c r="C837" s="769"/>
      <c r="D837" s="771"/>
      <c r="E837" s="769"/>
      <c r="F837" s="769"/>
      <c r="G837" s="769"/>
      <c r="H837" s="769"/>
      <c r="I837" s="769"/>
      <c r="J837" s="769"/>
      <c r="K837" s="772"/>
      <c r="L837" s="769"/>
      <c r="M837" s="769"/>
      <c r="N837" s="769"/>
      <c r="O837" s="769"/>
      <c r="P837" s="769"/>
      <c r="Q837" s="769"/>
      <c r="R837" s="769"/>
      <c r="S837" s="769"/>
      <c r="T837" s="769"/>
      <c r="U837" s="769"/>
      <c r="V837" s="769"/>
      <c r="W837" s="769"/>
      <c r="X837" s="769"/>
      <c r="Y837" s="769"/>
      <c r="Z837" s="769"/>
    </row>
    <row r="838" spans="1:26" ht="18.75" customHeight="1" x14ac:dyDescent="0.3">
      <c r="A838" s="769"/>
      <c r="B838" s="769"/>
      <c r="C838" s="769"/>
      <c r="D838" s="771"/>
      <c r="E838" s="769"/>
      <c r="F838" s="769"/>
      <c r="G838" s="769"/>
      <c r="H838" s="769"/>
      <c r="I838" s="769"/>
      <c r="J838" s="769"/>
      <c r="K838" s="772"/>
      <c r="L838" s="769"/>
      <c r="M838" s="769"/>
      <c r="N838" s="769"/>
      <c r="O838" s="769"/>
      <c r="P838" s="769"/>
      <c r="Q838" s="769"/>
      <c r="R838" s="769"/>
      <c r="S838" s="769"/>
      <c r="T838" s="769"/>
      <c r="U838" s="769"/>
      <c r="V838" s="769"/>
      <c r="W838" s="769"/>
      <c r="X838" s="769"/>
      <c r="Y838" s="769"/>
      <c r="Z838" s="769"/>
    </row>
    <row r="839" spans="1:26" ht="18.75" customHeight="1" x14ac:dyDescent="0.3">
      <c r="A839" s="769"/>
      <c r="B839" s="769"/>
      <c r="C839" s="769"/>
      <c r="D839" s="771"/>
      <c r="E839" s="769"/>
      <c r="F839" s="769"/>
      <c r="G839" s="769"/>
      <c r="H839" s="769"/>
      <c r="I839" s="769"/>
      <c r="J839" s="769"/>
      <c r="K839" s="772"/>
      <c r="L839" s="769"/>
      <c r="M839" s="769"/>
      <c r="N839" s="769"/>
      <c r="O839" s="769"/>
      <c r="P839" s="769"/>
      <c r="Q839" s="769"/>
      <c r="R839" s="769"/>
      <c r="S839" s="769"/>
      <c r="T839" s="769"/>
      <c r="U839" s="769"/>
      <c r="V839" s="769"/>
      <c r="W839" s="769"/>
      <c r="X839" s="769"/>
      <c r="Y839" s="769"/>
      <c r="Z839" s="769"/>
    </row>
    <row r="840" spans="1:26" ht="18.75" customHeight="1" x14ac:dyDescent="0.3">
      <c r="A840" s="769"/>
      <c r="B840" s="769"/>
      <c r="C840" s="769"/>
      <c r="D840" s="771"/>
      <c r="E840" s="769"/>
      <c r="F840" s="769"/>
      <c r="G840" s="769"/>
      <c r="H840" s="769"/>
      <c r="I840" s="769"/>
      <c r="J840" s="769"/>
      <c r="K840" s="772"/>
      <c r="L840" s="769"/>
      <c r="M840" s="769"/>
      <c r="N840" s="769"/>
      <c r="O840" s="769"/>
      <c r="P840" s="769"/>
      <c r="Q840" s="769"/>
      <c r="R840" s="769"/>
      <c r="S840" s="769"/>
      <c r="T840" s="769"/>
      <c r="U840" s="769"/>
      <c r="V840" s="769"/>
      <c r="W840" s="769"/>
      <c r="X840" s="769"/>
      <c r="Y840" s="769"/>
      <c r="Z840" s="769"/>
    </row>
    <row r="841" spans="1:26" ht="18.75" customHeight="1" x14ac:dyDescent="0.3">
      <c r="A841" s="769"/>
      <c r="B841" s="769"/>
      <c r="C841" s="769"/>
      <c r="D841" s="771"/>
      <c r="E841" s="769"/>
      <c r="F841" s="769"/>
      <c r="G841" s="769"/>
      <c r="H841" s="769"/>
      <c r="I841" s="769"/>
      <c r="J841" s="769"/>
      <c r="K841" s="772"/>
      <c r="L841" s="769"/>
      <c r="M841" s="769"/>
      <c r="N841" s="769"/>
      <c r="O841" s="769"/>
      <c r="P841" s="769"/>
      <c r="Q841" s="769"/>
      <c r="R841" s="769"/>
      <c r="S841" s="769"/>
      <c r="T841" s="769"/>
      <c r="U841" s="769"/>
      <c r="V841" s="769"/>
      <c r="W841" s="769"/>
      <c r="X841" s="769"/>
      <c r="Y841" s="769"/>
      <c r="Z841" s="769"/>
    </row>
    <row r="842" spans="1:26" ht="18.75" customHeight="1" x14ac:dyDescent="0.3">
      <c r="A842" s="769"/>
      <c r="B842" s="769"/>
      <c r="C842" s="769"/>
      <c r="D842" s="771"/>
      <c r="E842" s="769"/>
      <c r="F842" s="769"/>
      <c r="G842" s="769"/>
      <c r="H842" s="769"/>
      <c r="I842" s="769"/>
      <c r="J842" s="769"/>
      <c r="K842" s="772"/>
      <c r="L842" s="769"/>
      <c r="M842" s="769"/>
      <c r="N842" s="769"/>
      <c r="O842" s="769"/>
      <c r="P842" s="769"/>
      <c r="Q842" s="769"/>
      <c r="R842" s="769"/>
      <c r="S842" s="769"/>
      <c r="T842" s="769"/>
      <c r="U842" s="769"/>
      <c r="V842" s="769"/>
      <c r="W842" s="769"/>
      <c r="X842" s="769"/>
      <c r="Y842" s="769"/>
      <c r="Z842" s="769"/>
    </row>
    <row r="843" spans="1:26" ht="18.75" customHeight="1" x14ac:dyDescent="0.3">
      <c r="A843" s="769"/>
      <c r="B843" s="769"/>
      <c r="C843" s="769"/>
      <c r="D843" s="771"/>
      <c r="E843" s="769"/>
      <c r="F843" s="769"/>
      <c r="G843" s="769"/>
      <c r="H843" s="769"/>
      <c r="I843" s="769"/>
      <c r="J843" s="769"/>
      <c r="K843" s="772"/>
      <c r="L843" s="769"/>
      <c r="M843" s="769"/>
      <c r="N843" s="769"/>
      <c r="O843" s="769"/>
      <c r="P843" s="769"/>
      <c r="Q843" s="769"/>
      <c r="R843" s="769"/>
      <c r="S843" s="769"/>
      <c r="T843" s="769"/>
      <c r="U843" s="769"/>
      <c r="V843" s="769"/>
      <c r="W843" s="769"/>
      <c r="X843" s="769"/>
      <c r="Y843" s="769"/>
      <c r="Z843" s="769"/>
    </row>
    <row r="844" spans="1:26" ht="18.75" customHeight="1" x14ac:dyDescent="0.3">
      <c r="A844" s="769"/>
      <c r="B844" s="769"/>
      <c r="C844" s="769"/>
      <c r="D844" s="771"/>
      <c r="E844" s="769"/>
      <c r="F844" s="769"/>
      <c r="G844" s="769"/>
      <c r="H844" s="769"/>
      <c r="I844" s="769"/>
      <c r="J844" s="769"/>
      <c r="K844" s="772"/>
      <c r="L844" s="769"/>
      <c r="M844" s="769"/>
      <c r="N844" s="769"/>
      <c r="O844" s="769"/>
      <c r="P844" s="769"/>
      <c r="Q844" s="769"/>
      <c r="R844" s="769"/>
      <c r="S844" s="769"/>
      <c r="T844" s="769"/>
      <c r="U844" s="769"/>
      <c r="V844" s="769"/>
      <c r="W844" s="769"/>
      <c r="X844" s="769"/>
      <c r="Y844" s="769"/>
      <c r="Z844" s="769"/>
    </row>
    <row r="845" spans="1:26" ht="18.75" customHeight="1" x14ac:dyDescent="0.3">
      <c r="A845" s="769"/>
      <c r="B845" s="769"/>
      <c r="C845" s="769"/>
      <c r="D845" s="771"/>
      <c r="E845" s="769"/>
      <c r="F845" s="769"/>
      <c r="G845" s="769"/>
      <c r="H845" s="769"/>
      <c r="I845" s="769"/>
      <c r="J845" s="769"/>
      <c r="K845" s="772"/>
      <c r="L845" s="769"/>
      <c r="M845" s="769"/>
      <c r="N845" s="769"/>
      <c r="O845" s="769"/>
      <c r="P845" s="769"/>
      <c r="Q845" s="769"/>
      <c r="R845" s="769"/>
      <c r="S845" s="769"/>
      <c r="T845" s="769"/>
      <c r="U845" s="769"/>
      <c r="V845" s="769"/>
      <c r="W845" s="769"/>
      <c r="X845" s="769"/>
      <c r="Y845" s="769"/>
      <c r="Z845" s="769"/>
    </row>
    <row r="846" spans="1:26" ht="18.75" customHeight="1" x14ac:dyDescent="0.3">
      <c r="A846" s="769"/>
      <c r="B846" s="769"/>
      <c r="C846" s="769"/>
      <c r="D846" s="771"/>
      <c r="E846" s="769"/>
      <c r="F846" s="769"/>
      <c r="G846" s="769"/>
      <c r="H846" s="769"/>
      <c r="I846" s="769"/>
      <c r="J846" s="769"/>
      <c r="K846" s="772"/>
      <c r="L846" s="769"/>
      <c r="M846" s="769"/>
      <c r="N846" s="769"/>
      <c r="O846" s="769"/>
      <c r="P846" s="769"/>
      <c r="Q846" s="769"/>
      <c r="R846" s="769"/>
      <c r="S846" s="769"/>
      <c r="T846" s="769"/>
      <c r="U846" s="769"/>
      <c r="V846" s="769"/>
      <c r="W846" s="769"/>
      <c r="X846" s="769"/>
      <c r="Y846" s="769"/>
      <c r="Z846" s="769"/>
    </row>
    <row r="847" spans="1:26" ht="18.75" customHeight="1" x14ac:dyDescent="0.3">
      <c r="A847" s="769"/>
      <c r="B847" s="769"/>
      <c r="C847" s="769"/>
      <c r="D847" s="771"/>
      <c r="E847" s="769"/>
      <c r="F847" s="769"/>
      <c r="G847" s="769"/>
      <c r="H847" s="769"/>
      <c r="I847" s="769"/>
      <c r="J847" s="769"/>
      <c r="K847" s="772"/>
      <c r="L847" s="769"/>
      <c r="M847" s="769"/>
      <c r="N847" s="769"/>
      <c r="O847" s="769"/>
      <c r="P847" s="769"/>
      <c r="Q847" s="769"/>
      <c r="R847" s="769"/>
      <c r="S847" s="769"/>
      <c r="T847" s="769"/>
      <c r="U847" s="769"/>
      <c r="V847" s="769"/>
      <c r="W847" s="769"/>
      <c r="X847" s="769"/>
      <c r="Y847" s="769"/>
      <c r="Z847" s="769"/>
    </row>
    <row r="848" spans="1:26" ht="18.75" customHeight="1" x14ac:dyDescent="0.3">
      <c r="A848" s="769"/>
      <c r="B848" s="769"/>
      <c r="C848" s="769"/>
      <c r="D848" s="771"/>
      <c r="E848" s="769"/>
      <c r="F848" s="769"/>
      <c r="G848" s="769"/>
      <c r="H848" s="769"/>
      <c r="I848" s="769"/>
      <c r="J848" s="769"/>
      <c r="K848" s="772"/>
      <c r="L848" s="769"/>
      <c r="M848" s="769"/>
      <c r="N848" s="769"/>
      <c r="O848" s="769"/>
      <c r="P848" s="769"/>
      <c r="Q848" s="769"/>
      <c r="R848" s="769"/>
      <c r="S848" s="769"/>
      <c r="T848" s="769"/>
      <c r="U848" s="769"/>
      <c r="V848" s="769"/>
      <c r="W848" s="769"/>
      <c r="X848" s="769"/>
      <c r="Y848" s="769"/>
      <c r="Z848" s="769"/>
    </row>
    <row r="849" spans="1:26" ht="18.75" customHeight="1" x14ac:dyDescent="0.3">
      <c r="A849" s="769"/>
      <c r="B849" s="769"/>
      <c r="C849" s="769"/>
      <c r="D849" s="771"/>
      <c r="E849" s="769"/>
      <c r="F849" s="769"/>
      <c r="G849" s="769"/>
      <c r="H849" s="769"/>
      <c r="I849" s="769"/>
      <c r="J849" s="769"/>
      <c r="K849" s="772"/>
      <c r="L849" s="769"/>
      <c r="M849" s="769"/>
      <c r="N849" s="769"/>
      <c r="O849" s="769"/>
      <c r="P849" s="769"/>
      <c r="Q849" s="769"/>
      <c r="R849" s="769"/>
      <c r="S849" s="769"/>
      <c r="T849" s="769"/>
      <c r="U849" s="769"/>
      <c r="V849" s="769"/>
      <c r="W849" s="769"/>
      <c r="X849" s="769"/>
      <c r="Y849" s="769"/>
      <c r="Z849" s="769"/>
    </row>
    <row r="850" spans="1:26" ht="18.75" customHeight="1" x14ac:dyDescent="0.3">
      <c r="A850" s="769"/>
      <c r="B850" s="769"/>
      <c r="C850" s="769"/>
      <c r="D850" s="771"/>
      <c r="E850" s="769"/>
      <c r="F850" s="769"/>
      <c r="G850" s="769"/>
      <c r="H850" s="769"/>
      <c r="I850" s="769"/>
      <c r="J850" s="769"/>
      <c r="K850" s="772"/>
      <c r="L850" s="769"/>
      <c r="M850" s="769"/>
      <c r="N850" s="769"/>
      <c r="O850" s="769"/>
      <c r="P850" s="769"/>
      <c r="Q850" s="769"/>
      <c r="R850" s="769"/>
      <c r="S850" s="769"/>
      <c r="T850" s="769"/>
      <c r="U850" s="769"/>
      <c r="V850" s="769"/>
      <c r="W850" s="769"/>
      <c r="X850" s="769"/>
      <c r="Y850" s="769"/>
      <c r="Z850" s="769"/>
    </row>
    <row r="851" spans="1:26" ht="18.75" customHeight="1" x14ac:dyDescent="0.3">
      <c r="A851" s="769"/>
      <c r="B851" s="769"/>
      <c r="C851" s="769"/>
      <c r="D851" s="771"/>
      <c r="E851" s="769"/>
      <c r="F851" s="769"/>
      <c r="G851" s="769"/>
      <c r="H851" s="769"/>
      <c r="I851" s="769"/>
      <c r="J851" s="769"/>
      <c r="K851" s="772"/>
      <c r="L851" s="769"/>
      <c r="M851" s="769"/>
      <c r="N851" s="769"/>
      <c r="O851" s="769"/>
      <c r="P851" s="769"/>
      <c r="Q851" s="769"/>
      <c r="R851" s="769"/>
      <c r="S851" s="769"/>
      <c r="T851" s="769"/>
      <c r="U851" s="769"/>
      <c r="V851" s="769"/>
      <c r="W851" s="769"/>
      <c r="X851" s="769"/>
      <c r="Y851" s="769"/>
      <c r="Z851" s="769"/>
    </row>
    <row r="852" spans="1:26" ht="18.75" customHeight="1" x14ac:dyDescent="0.3">
      <c r="A852" s="769"/>
      <c r="B852" s="769"/>
      <c r="C852" s="769"/>
      <c r="D852" s="771"/>
      <c r="E852" s="769"/>
      <c r="F852" s="769"/>
      <c r="G852" s="769"/>
      <c r="H852" s="769"/>
      <c r="I852" s="769"/>
      <c r="J852" s="769"/>
      <c r="K852" s="772"/>
      <c r="L852" s="769"/>
      <c r="M852" s="769"/>
      <c r="N852" s="769"/>
      <c r="O852" s="769"/>
      <c r="P852" s="769"/>
      <c r="Q852" s="769"/>
      <c r="R852" s="769"/>
      <c r="S852" s="769"/>
      <c r="T852" s="769"/>
      <c r="U852" s="769"/>
      <c r="V852" s="769"/>
      <c r="W852" s="769"/>
      <c r="X852" s="769"/>
      <c r="Y852" s="769"/>
      <c r="Z852" s="769"/>
    </row>
    <row r="853" spans="1:26" ht="18.75" customHeight="1" x14ac:dyDescent="0.3">
      <c r="A853" s="769"/>
      <c r="B853" s="769"/>
      <c r="C853" s="769"/>
      <c r="D853" s="771"/>
      <c r="E853" s="769"/>
      <c r="F853" s="769"/>
      <c r="G853" s="769"/>
      <c r="H853" s="769"/>
      <c r="I853" s="769"/>
      <c r="J853" s="769"/>
      <c r="K853" s="772"/>
      <c r="L853" s="769"/>
      <c r="M853" s="769"/>
      <c r="N853" s="769"/>
      <c r="O853" s="769"/>
      <c r="P853" s="769"/>
      <c r="Q853" s="769"/>
      <c r="R853" s="769"/>
      <c r="S853" s="769"/>
      <c r="T853" s="769"/>
      <c r="U853" s="769"/>
      <c r="V853" s="769"/>
      <c r="W853" s="769"/>
      <c r="X853" s="769"/>
      <c r="Y853" s="769"/>
      <c r="Z853" s="769"/>
    </row>
    <row r="854" spans="1:26" ht="18.75" customHeight="1" x14ac:dyDescent="0.3">
      <c r="A854" s="769"/>
      <c r="B854" s="769"/>
      <c r="C854" s="769"/>
      <c r="D854" s="771"/>
      <c r="E854" s="769"/>
      <c r="F854" s="769"/>
      <c r="G854" s="769"/>
      <c r="H854" s="769"/>
      <c r="I854" s="769"/>
      <c r="J854" s="769"/>
      <c r="K854" s="772"/>
      <c r="L854" s="769"/>
      <c r="M854" s="769"/>
      <c r="N854" s="769"/>
      <c r="O854" s="769"/>
      <c r="P854" s="769"/>
      <c r="Q854" s="769"/>
      <c r="R854" s="769"/>
      <c r="S854" s="769"/>
      <c r="T854" s="769"/>
      <c r="U854" s="769"/>
      <c r="V854" s="769"/>
      <c r="W854" s="769"/>
      <c r="X854" s="769"/>
      <c r="Y854" s="769"/>
      <c r="Z854" s="769"/>
    </row>
    <row r="855" spans="1:26" ht="18.75" customHeight="1" x14ac:dyDescent="0.3">
      <c r="A855" s="769"/>
      <c r="B855" s="769"/>
      <c r="C855" s="769"/>
      <c r="D855" s="771"/>
      <c r="E855" s="769"/>
      <c r="F855" s="769"/>
      <c r="G855" s="769"/>
      <c r="H855" s="769"/>
      <c r="I855" s="769"/>
      <c r="J855" s="769"/>
      <c r="K855" s="772"/>
      <c r="L855" s="769"/>
      <c r="M855" s="769"/>
      <c r="N855" s="769"/>
      <c r="O855" s="769"/>
      <c r="P855" s="769"/>
      <c r="Q855" s="769"/>
      <c r="R855" s="769"/>
      <c r="S855" s="769"/>
      <c r="T855" s="769"/>
      <c r="U855" s="769"/>
      <c r="V855" s="769"/>
      <c r="W855" s="769"/>
      <c r="X855" s="769"/>
      <c r="Y855" s="769"/>
      <c r="Z855" s="769"/>
    </row>
    <row r="856" spans="1:26" ht="18.75" customHeight="1" x14ac:dyDescent="0.3">
      <c r="A856" s="769"/>
      <c r="B856" s="769"/>
      <c r="C856" s="769"/>
      <c r="D856" s="771"/>
      <c r="E856" s="769"/>
      <c r="F856" s="769"/>
      <c r="G856" s="769"/>
      <c r="H856" s="769"/>
      <c r="I856" s="769"/>
      <c r="J856" s="769"/>
      <c r="K856" s="772"/>
      <c r="L856" s="769"/>
      <c r="M856" s="769"/>
      <c r="N856" s="769"/>
      <c r="O856" s="769"/>
      <c r="P856" s="769"/>
      <c r="Q856" s="769"/>
      <c r="R856" s="769"/>
      <c r="S856" s="769"/>
      <c r="T856" s="769"/>
      <c r="U856" s="769"/>
      <c r="V856" s="769"/>
      <c r="W856" s="769"/>
      <c r="X856" s="769"/>
      <c r="Y856" s="769"/>
      <c r="Z856" s="769"/>
    </row>
    <row r="857" spans="1:26" ht="18.75" customHeight="1" x14ac:dyDescent="0.3">
      <c r="A857" s="769"/>
      <c r="B857" s="769"/>
      <c r="C857" s="769"/>
      <c r="D857" s="771"/>
      <c r="E857" s="769"/>
      <c r="F857" s="769"/>
      <c r="G857" s="769"/>
      <c r="H857" s="769"/>
      <c r="I857" s="769"/>
      <c r="J857" s="769"/>
      <c r="K857" s="772"/>
      <c r="L857" s="769"/>
      <c r="M857" s="769"/>
      <c r="N857" s="769"/>
      <c r="O857" s="769"/>
      <c r="P857" s="769"/>
      <c r="Q857" s="769"/>
      <c r="R857" s="769"/>
      <c r="S857" s="769"/>
      <c r="T857" s="769"/>
      <c r="U857" s="769"/>
      <c r="V857" s="769"/>
      <c r="W857" s="769"/>
      <c r="X857" s="769"/>
      <c r="Y857" s="769"/>
      <c r="Z857" s="769"/>
    </row>
    <row r="858" spans="1:26" ht="18.75" customHeight="1" x14ac:dyDescent="0.3">
      <c r="A858" s="769"/>
      <c r="B858" s="769"/>
      <c r="C858" s="769"/>
      <c r="D858" s="771"/>
      <c r="E858" s="769"/>
      <c r="F858" s="769"/>
      <c r="G858" s="769"/>
      <c r="H858" s="769"/>
      <c r="I858" s="769"/>
      <c r="J858" s="769"/>
      <c r="K858" s="772"/>
      <c r="L858" s="769"/>
      <c r="M858" s="769"/>
      <c r="N858" s="769"/>
      <c r="O858" s="769"/>
      <c r="P858" s="769"/>
      <c r="Q858" s="769"/>
      <c r="R858" s="769"/>
      <c r="S858" s="769"/>
      <c r="T858" s="769"/>
      <c r="U858" s="769"/>
      <c r="V858" s="769"/>
      <c r="W858" s="769"/>
      <c r="X858" s="769"/>
      <c r="Y858" s="769"/>
      <c r="Z858" s="769"/>
    </row>
    <row r="859" spans="1:26" ht="18.75" customHeight="1" x14ac:dyDescent="0.3">
      <c r="A859" s="769"/>
      <c r="B859" s="769"/>
      <c r="C859" s="769"/>
      <c r="D859" s="771"/>
      <c r="E859" s="769"/>
      <c r="F859" s="769"/>
      <c r="G859" s="769"/>
      <c r="H859" s="769"/>
      <c r="I859" s="769"/>
      <c r="J859" s="769"/>
      <c r="K859" s="772"/>
      <c r="L859" s="769"/>
      <c r="M859" s="769"/>
      <c r="N859" s="769"/>
      <c r="O859" s="769"/>
      <c r="P859" s="769"/>
      <c r="Q859" s="769"/>
      <c r="R859" s="769"/>
      <c r="S859" s="769"/>
      <c r="T859" s="769"/>
      <c r="U859" s="769"/>
      <c r="V859" s="769"/>
      <c r="W859" s="769"/>
      <c r="X859" s="769"/>
      <c r="Y859" s="769"/>
      <c r="Z859" s="769"/>
    </row>
    <row r="860" spans="1:26" ht="18.75" customHeight="1" x14ac:dyDescent="0.3">
      <c r="A860" s="769"/>
      <c r="B860" s="769"/>
      <c r="C860" s="769"/>
      <c r="D860" s="771"/>
      <c r="E860" s="769"/>
      <c r="F860" s="769"/>
      <c r="G860" s="769"/>
      <c r="H860" s="769"/>
      <c r="I860" s="769"/>
      <c r="J860" s="769"/>
      <c r="K860" s="772"/>
      <c r="L860" s="769"/>
      <c r="M860" s="769"/>
      <c r="N860" s="769"/>
      <c r="O860" s="769"/>
      <c r="P860" s="769"/>
      <c r="Q860" s="769"/>
      <c r="R860" s="769"/>
      <c r="S860" s="769"/>
      <c r="T860" s="769"/>
      <c r="U860" s="769"/>
      <c r="V860" s="769"/>
      <c r="W860" s="769"/>
      <c r="X860" s="769"/>
      <c r="Y860" s="769"/>
      <c r="Z860" s="769"/>
    </row>
    <row r="861" spans="1:26" ht="18.75" customHeight="1" x14ac:dyDescent="0.3">
      <c r="A861" s="769"/>
      <c r="B861" s="769"/>
      <c r="C861" s="769"/>
      <c r="D861" s="771"/>
      <c r="E861" s="769"/>
      <c r="F861" s="769"/>
      <c r="G861" s="769"/>
      <c r="H861" s="769"/>
      <c r="I861" s="769"/>
      <c r="J861" s="769"/>
      <c r="K861" s="772"/>
      <c r="L861" s="769"/>
      <c r="M861" s="769"/>
      <c r="N861" s="769"/>
      <c r="O861" s="769"/>
      <c r="P861" s="769"/>
      <c r="Q861" s="769"/>
      <c r="R861" s="769"/>
      <c r="S861" s="769"/>
      <c r="T861" s="769"/>
      <c r="U861" s="769"/>
      <c r="V861" s="769"/>
      <c r="W861" s="769"/>
      <c r="X861" s="769"/>
      <c r="Y861" s="769"/>
      <c r="Z861" s="769"/>
    </row>
    <row r="862" spans="1:26" ht="18.75" customHeight="1" x14ac:dyDescent="0.3">
      <c r="A862" s="769"/>
      <c r="B862" s="769"/>
      <c r="C862" s="769"/>
      <c r="D862" s="771"/>
      <c r="E862" s="769"/>
      <c r="F862" s="769"/>
      <c r="G862" s="769"/>
      <c r="H862" s="769"/>
      <c r="I862" s="769"/>
      <c r="J862" s="769"/>
      <c r="K862" s="772"/>
      <c r="L862" s="769"/>
      <c r="M862" s="769"/>
      <c r="N862" s="769"/>
      <c r="O862" s="769"/>
      <c r="P862" s="769"/>
      <c r="Q862" s="769"/>
      <c r="R862" s="769"/>
      <c r="S862" s="769"/>
      <c r="T862" s="769"/>
      <c r="U862" s="769"/>
      <c r="V862" s="769"/>
      <c r="W862" s="769"/>
      <c r="X862" s="769"/>
      <c r="Y862" s="769"/>
      <c r="Z862" s="769"/>
    </row>
    <row r="863" spans="1:26" ht="18.75" customHeight="1" x14ac:dyDescent="0.3">
      <c r="A863" s="769"/>
      <c r="B863" s="769"/>
      <c r="C863" s="769"/>
      <c r="D863" s="771"/>
      <c r="E863" s="769"/>
      <c r="F863" s="769"/>
      <c r="G863" s="769"/>
      <c r="H863" s="769"/>
      <c r="I863" s="769"/>
      <c r="J863" s="769"/>
      <c r="K863" s="772"/>
      <c r="L863" s="769"/>
      <c r="M863" s="769"/>
      <c r="N863" s="769"/>
      <c r="O863" s="769"/>
      <c r="P863" s="769"/>
      <c r="Q863" s="769"/>
      <c r="R863" s="769"/>
      <c r="S863" s="769"/>
      <c r="T863" s="769"/>
      <c r="U863" s="769"/>
      <c r="V863" s="769"/>
      <c r="W863" s="769"/>
      <c r="X863" s="769"/>
      <c r="Y863" s="769"/>
      <c r="Z863" s="769"/>
    </row>
    <row r="864" spans="1:26" ht="18.75" customHeight="1" x14ac:dyDescent="0.3">
      <c r="A864" s="769"/>
      <c r="B864" s="769"/>
      <c r="C864" s="769"/>
      <c r="D864" s="771"/>
      <c r="E864" s="769"/>
      <c r="F864" s="769"/>
      <c r="G864" s="769"/>
      <c r="H864" s="769"/>
      <c r="I864" s="769"/>
      <c r="J864" s="769"/>
      <c r="K864" s="772"/>
      <c r="L864" s="769"/>
      <c r="M864" s="769"/>
      <c r="N864" s="769"/>
      <c r="O864" s="769"/>
      <c r="P864" s="769"/>
      <c r="Q864" s="769"/>
      <c r="R864" s="769"/>
      <c r="S864" s="769"/>
      <c r="T864" s="769"/>
      <c r="U864" s="769"/>
      <c r="V864" s="769"/>
      <c r="W864" s="769"/>
      <c r="X864" s="769"/>
      <c r="Y864" s="769"/>
      <c r="Z864" s="769"/>
    </row>
    <row r="865" spans="1:26" ht="18.75" customHeight="1" x14ac:dyDescent="0.3">
      <c r="A865" s="769"/>
      <c r="B865" s="769"/>
      <c r="C865" s="769"/>
      <c r="D865" s="771"/>
      <c r="E865" s="769"/>
      <c r="F865" s="769"/>
      <c r="G865" s="769"/>
      <c r="H865" s="769"/>
      <c r="I865" s="769"/>
      <c r="J865" s="769"/>
      <c r="K865" s="772"/>
      <c r="L865" s="769"/>
      <c r="M865" s="769"/>
      <c r="N865" s="769"/>
      <c r="O865" s="769"/>
      <c r="P865" s="769"/>
      <c r="Q865" s="769"/>
      <c r="R865" s="769"/>
      <c r="S865" s="769"/>
      <c r="T865" s="769"/>
      <c r="U865" s="769"/>
      <c r="V865" s="769"/>
      <c r="W865" s="769"/>
      <c r="X865" s="769"/>
      <c r="Y865" s="769"/>
      <c r="Z865" s="769"/>
    </row>
    <row r="866" spans="1:26" ht="18.75" customHeight="1" x14ac:dyDescent="0.3">
      <c r="A866" s="769"/>
      <c r="B866" s="769"/>
      <c r="C866" s="769"/>
      <c r="D866" s="771"/>
      <c r="E866" s="769"/>
      <c r="F866" s="769"/>
      <c r="G866" s="769"/>
      <c r="H866" s="769"/>
      <c r="I866" s="769"/>
      <c r="J866" s="769"/>
      <c r="K866" s="772"/>
      <c r="L866" s="769"/>
      <c r="M866" s="769"/>
      <c r="N866" s="769"/>
      <c r="O866" s="769"/>
      <c r="P866" s="769"/>
      <c r="Q866" s="769"/>
      <c r="R866" s="769"/>
      <c r="S866" s="769"/>
      <c r="T866" s="769"/>
      <c r="U866" s="769"/>
      <c r="V866" s="769"/>
      <c r="W866" s="769"/>
      <c r="X866" s="769"/>
      <c r="Y866" s="769"/>
      <c r="Z866" s="769"/>
    </row>
    <row r="867" spans="1:26" ht="18.75" customHeight="1" x14ac:dyDescent="0.3">
      <c r="A867" s="769"/>
      <c r="B867" s="769"/>
      <c r="C867" s="769"/>
      <c r="D867" s="771"/>
      <c r="E867" s="769"/>
      <c r="F867" s="769"/>
      <c r="G867" s="769"/>
      <c r="H867" s="769"/>
      <c r="I867" s="769"/>
      <c r="J867" s="769"/>
      <c r="K867" s="772"/>
      <c r="L867" s="769"/>
      <c r="M867" s="769"/>
      <c r="N867" s="769"/>
      <c r="O867" s="769"/>
      <c r="P867" s="769"/>
      <c r="Q867" s="769"/>
      <c r="R867" s="769"/>
      <c r="S867" s="769"/>
      <c r="T867" s="769"/>
      <c r="U867" s="769"/>
      <c r="V867" s="769"/>
      <c r="W867" s="769"/>
      <c r="X867" s="769"/>
      <c r="Y867" s="769"/>
      <c r="Z867" s="769"/>
    </row>
    <row r="868" spans="1:26" ht="18.75" customHeight="1" x14ac:dyDescent="0.3">
      <c r="A868" s="769"/>
      <c r="B868" s="769"/>
      <c r="C868" s="769"/>
      <c r="D868" s="771"/>
      <c r="E868" s="769"/>
      <c r="F868" s="769"/>
      <c r="G868" s="769"/>
      <c r="H868" s="769"/>
      <c r="I868" s="769"/>
      <c r="J868" s="769"/>
      <c r="K868" s="772"/>
      <c r="L868" s="769"/>
      <c r="M868" s="769"/>
      <c r="N868" s="769"/>
      <c r="O868" s="769"/>
      <c r="P868" s="769"/>
      <c r="Q868" s="769"/>
      <c r="R868" s="769"/>
      <c r="S868" s="769"/>
      <c r="T868" s="769"/>
      <c r="U868" s="769"/>
      <c r="V868" s="769"/>
      <c r="W868" s="769"/>
      <c r="X868" s="769"/>
      <c r="Y868" s="769"/>
      <c r="Z868" s="769"/>
    </row>
    <row r="869" spans="1:26" ht="18.75" customHeight="1" x14ac:dyDescent="0.3">
      <c r="A869" s="769"/>
      <c r="B869" s="769"/>
      <c r="C869" s="769"/>
      <c r="D869" s="771"/>
      <c r="E869" s="769"/>
      <c r="F869" s="769"/>
      <c r="G869" s="769"/>
      <c r="H869" s="769"/>
      <c r="I869" s="769"/>
      <c r="J869" s="769"/>
      <c r="K869" s="772"/>
      <c r="L869" s="769"/>
      <c r="M869" s="769"/>
      <c r="N869" s="769"/>
      <c r="O869" s="769"/>
      <c r="P869" s="769"/>
      <c r="Q869" s="769"/>
      <c r="R869" s="769"/>
      <c r="S869" s="769"/>
      <c r="T869" s="769"/>
      <c r="U869" s="769"/>
      <c r="V869" s="769"/>
      <c r="W869" s="769"/>
      <c r="X869" s="769"/>
      <c r="Y869" s="769"/>
      <c r="Z869" s="769"/>
    </row>
    <row r="870" spans="1:26" ht="18.75" customHeight="1" x14ac:dyDescent="0.3">
      <c r="A870" s="769"/>
      <c r="B870" s="769"/>
      <c r="C870" s="769"/>
      <c r="D870" s="771"/>
      <c r="E870" s="769"/>
      <c r="F870" s="769"/>
      <c r="G870" s="769"/>
      <c r="H870" s="769"/>
      <c r="I870" s="769"/>
      <c r="J870" s="769"/>
      <c r="K870" s="772"/>
      <c r="L870" s="769"/>
      <c r="M870" s="769"/>
      <c r="N870" s="769"/>
      <c r="O870" s="769"/>
      <c r="P870" s="769"/>
      <c r="Q870" s="769"/>
      <c r="R870" s="769"/>
      <c r="S870" s="769"/>
      <c r="T870" s="769"/>
      <c r="U870" s="769"/>
      <c r="V870" s="769"/>
      <c r="W870" s="769"/>
      <c r="X870" s="769"/>
      <c r="Y870" s="769"/>
      <c r="Z870" s="769"/>
    </row>
    <row r="871" spans="1:26" ht="18.75" customHeight="1" x14ac:dyDescent="0.3">
      <c r="A871" s="769"/>
      <c r="B871" s="769"/>
      <c r="C871" s="769"/>
      <c r="D871" s="771"/>
      <c r="E871" s="769"/>
      <c r="F871" s="769"/>
      <c r="G871" s="769"/>
      <c r="H871" s="769"/>
      <c r="I871" s="769"/>
      <c r="J871" s="769"/>
      <c r="K871" s="772"/>
      <c r="L871" s="769"/>
      <c r="M871" s="769"/>
      <c r="N871" s="769"/>
      <c r="O871" s="769"/>
      <c r="P871" s="769"/>
      <c r="Q871" s="769"/>
      <c r="R871" s="769"/>
      <c r="S871" s="769"/>
      <c r="T871" s="769"/>
      <c r="U871" s="769"/>
      <c r="V871" s="769"/>
      <c r="W871" s="769"/>
      <c r="X871" s="769"/>
      <c r="Y871" s="769"/>
      <c r="Z871" s="769"/>
    </row>
    <row r="872" spans="1:26" ht="18.75" customHeight="1" x14ac:dyDescent="0.3">
      <c r="A872" s="769"/>
      <c r="B872" s="769"/>
      <c r="C872" s="769"/>
      <c r="D872" s="771"/>
      <c r="E872" s="769"/>
      <c r="F872" s="769"/>
      <c r="G872" s="769"/>
      <c r="H872" s="769"/>
      <c r="I872" s="769"/>
      <c r="J872" s="769"/>
      <c r="K872" s="772"/>
      <c r="L872" s="769"/>
      <c r="M872" s="769"/>
      <c r="N872" s="769"/>
      <c r="O872" s="769"/>
      <c r="P872" s="769"/>
      <c r="Q872" s="769"/>
      <c r="R872" s="769"/>
      <c r="S872" s="769"/>
      <c r="T872" s="769"/>
      <c r="U872" s="769"/>
      <c r="V872" s="769"/>
      <c r="W872" s="769"/>
      <c r="X872" s="769"/>
      <c r="Y872" s="769"/>
      <c r="Z872" s="769"/>
    </row>
    <row r="873" spans="1:26" ht="18.75" customHeight="1" x14ac:dyDescent="0.3">
      <c r="A873" s="769"/>
      <c r="B873" s="769"/>
      <c r="C873" s="769"/>
      <c r="D873" s="771"/>
      <c r="E873" s="769"/>
      <c r="F873" s="769"/>
      <c r="G873" s="769"/>
      <c r="H873" s="769"/>
      <c r="I873" s="769"/>
      <c r="J873" s="769"/>
      <c r="K873" s="772"/>
      <c r="L873" s="769"/>
      <c r="M873" s="769"/>
      <c r="N873" s="769"/>
      <c r="O873" s="769"/>
      <c r="P873" s="769"/>
      <c r="Q873" s="769"/>
      <c r="R873" s="769"/>
      <c r="S873" s="769"/>
      <c r="T873" s="769"/>
      <c r="U873" s="769"/>
      <c r="V873" s="769"/>
      <c r="W873" s="769"/>
      <c r="X873" s="769"/>
      <c r="Y873" s="769"/>
      <c r="Z873" s="769"/>
    </row>
    <row r="874" spans="1:26" ht="18.75" customHeight="1" x14ac:dyDescent="0.3">
      <c r="A874" s="769"/>
      <c r="B874" s="769"/>
      <c r="C874" s="769"/>
      <c r="D874" s="771"/>
      <c r="E874" s="769"/>
      <c r="F874" s="769"/>
      <c r="G874" s="769"/>
      <c r="H874" s="769"/>
      <c r="I874" s="769"/>
      <c r="J874" s="769"/>
      <c r="K874" s="772"/>
      <c r="L874" s="769"/>
      <c r="M874" s="769"/>
      <c r="N874" s="769"/>
      <c r="O874" s="769"/>
      <c r="P874" s="769"/>
      <c r="Q874" s="769"/>
      <c r="R874" s="769"/>
      <c r="S874" s="769"/>
      <c r="T874" s="769"/>
      <c r="U874" s="769"/>
      <c r="V874" s="769"/>
      <c r="W874" s="769"/>
      <c r="X874" s="769"/>
      <c r="Y874" s="769"/>
      <c r="Z874" s="769"/>
    </row>
    <row r="875" spans="1:26" ht="18.75" customHeight="1" x14ac:dyDescent="0.3">
      <c r="A875" s="769"/>
      <c r="B875" s="769"/>
      <c r="C875" s="769"/>
      <c r="D875" s="771"/>
      <c r="E875" s="769"/>
      <c r="F875" s="769"/>
      <c r="G875" s="769"/>
      <c r="H875" s="769"/>
      <c r="I875" s="769"/>
      <c r="J875" s="769"/>
      <c r="K875" s="772"/>
      <c r="L875" s="769"/>
      <c r="M875" s="769"/>
      <c r="N875" s="769"/>
      <c r="O875" s="769"/>
      <c r="P875" s="769"/>
      <c r="Q875" s="769"/>
      <c r="R875" s="769"/>
      <c r="S875" s="769"/>
      <c r="T875" s="769"/>
      <c r="U875" s="769"/>
      <c r="V875" s="769"/>
      <c r="W875" s="769"/>
      <c r="X875" s="769"/>
      <c r="Y875" s="769"/>
      <c r="Z875" s="769"/>
    </row>
    <row r="876" spans="1:26" ht="18.75" customHeight="1" x14ac:dyDescent="0.3">
      <c r="A876" s="769"/>
      <c r="B876" s="769"/>
      <c r="C876" s="769"/>
      <c r="D876" s="771"/>
      <c r="E876" s="769"/>
      <c r="F876" s="769"/>
      <c r="G876" s="769"/>
      <c r="H876" s="769"/>
      <c r="I876" s="769"/>
      <c r="J876" s="769"/>
      <c r="K876" s="772"/>
      <c r="L876" s="769"/>
      <c r="M876" s="769"/>
      <c r="N876" s="769"/>
      <c r="O876" s="769"/>
      <c r="P876" s="769"/>
      <c r="Q876" s="769"/>
      <c r="R876" s="769"/>
      <c r="S876" s="769"/>
      <c r="T876" s="769"/>
      <c r="U876" s="769"/>
      <c r="V876" s="769"/>
      <c r="W876" s="769"/>
      <c r="X876" s="769"/>
      <c r="Y876" s="769"/>
      <c r="Z876" s="769"/>
    </row>
    <row r="877" spans="1:26" ht="18.75" customHeight="1" x14ac:dyDescent="0.3">
      <c r="A877" s="769"/>
      <c r="B877" s="769"/>
      <c r="C877" s="769"/>
      <c r="D877" s="771"/>
      <c r="E877" s="769"/>
      <c r="F877" s="769"/>
      <c r="G877" s="769"/>
      <c r="H877" s="769"/>
      <c r="I877" s="769"/>
      <c r="J877" s="769"/>
      <c r="K877" s="772"/>
      <c r="L877" s="769"/>
      <c r="M877" s="769"/>
      <c r="N877" s="769"/>
      <c r="O877" s="769"/>
      <c r="P877" s="769"/>
      <c r="Q877" s="769"/>
      <c r="R877" s="769"/>
      <c r="S877" s="769"/>
      <c r="T877" s="769"/>
      <c r="U877" s="769"/>
      <c r="V877" s="769"/>
      <c r="W877" s="769"/>
      <c r="X877" s="769"/>
      <c r="Y877" s="769"/>
      <c r="Z877" s="769"/>
    </row>
    <row r="878" spans="1:26" ht="18.75" customHeight="1" x14ac:dyDescent="0.3">
      <c r="A878" s="769"/>
      <c r="B878" s="769"/>
      <c r="C878" s="769"/>
      <c r="D878" s="771"/>
      <c r="E878" s="769"/>
      <c r="F878" s="769"/>
      <c r="G878" s="769"/>
      <c r="H878" s="769"/>
      <c r="I878" s="769"/>
      <c r="J878" s="769"/>
      <c r="K878" s="772"/>
      <c r="L878" s="769"/>
      <c r="M878" s="769"/>
      <c r="N878" s="769"/>
      <c r="O878" s="769"/>
      <c r="P878" s="769"/>
      <c r="Q878" s="769"/>
      <c r="R878" s="769"/>
      <c r="S878" s="769"/>
      <c r="T878" s="769"/>
      <c r="U878" s="769"/>
      <c r="V878" s="769"/>
      <c r="W878" s="769"/>
      <c r="X878" s="769"/>
      <c r="Y878" s="769"/>
      <c r="Z878" s="769"/>
    </row>
    <row r="879" spans="1:26" ht="18.75" customHeight="1" x14ac:dyDescent="0.3">
      <c r="A879" s="769"/>
      <c r="B879" s="769"/>
      <c r="C879" s="769"/>
      <c r="D879" s="771"/>
      <c r="E879" s="769"/>
      <c r="F879" s="769"/>
      <c r="G879" s="769"/>
      <c r="H879" s="769"/>
      <c r="I879" s="769"/>
      <c r="J879" s="769"/>
      <c r="K879" s="772"/>
      <c r="L879" s="769"/>
      <c r="M879" s="769"/>
      <c r="N879" s="769"/>
      <c r="O879" s="769"/>
      <c r="P879" s="769"/>
      <c r="Q879" s="769"/>
      <c r="R879" s="769"/>
      <c r="S879" s="769"/>
      <c r="T879" s="769"/>
      <c r="U879" s="769"/>
      <c r="V879" s="769"/>
      <c r="W879" s="769"/>
      <c r="X879" s="769"/>
      <c r="Y879" s="769"/>
      <c r="Z879" s="769"/>
    </row>
    <row r="880" spans="1:26" ht="18.75" customHeight="1" x14ac:dyDescent="0.3">
      <c r="A880" s="769"/>
      <c r="B880" s="769"/>
      <c r="C880" s="769"/>
      <c r="D880" s="771"/>
      <c r="E880" s="769"/>
      <c r="F880" s="769"/>
      <c r="G880" s="769"/>
      <c r="H880" s="769"/>
      <c r="I880" s="769"/>
      <c r="J880" s="769"/>
      <c r="K880" s="772"/>
      <c r="L880" s="769"/>
      <c r="M880" s="769"/>
      <c r="N880" s="769"/>
      <c r="O880" s="769"/>
      <c r="P880" s="769"/>
      <c r="Q880" s="769"/>
      <c r="R880" s="769"/>
      <c r="S880" s="769"/>
      <c r="T880" s="769"/>
      <c r="U880" s="769"/>
      <c r="V880" s="769"/>
      <c r="W880" s="769"/>
      <c r="X880" s="769"/>
      <c r="Y880" s="769"/>
      <c r="Z880" s="769"/>
    </row>
    <row r="881" spans="1:26" ht="18.75" customHeight="1" x14ac:dyDescent="0.3">
      <c r="A881" s="769"/>
      <c r="B881" s="769"/>
      <c r="C881" s="769"/>
      <c r="D881" s="771"/>
      <c r="E881" s="769"/>
      <c r="F881" s="769"/>
      <c r="G881" s="769"/>
      <c r="H881" s="769"/>
      <c r="I881" s="769"/>
      <c r="J881" s="769"/>
      <c r="K881" s="772"/>
      <c r="L881" s="769"/>
      <c r="M881" s="769"/>
      <c r="N881" s="769"/>
      <c r="O881" s="769"/>
      <c r="P881" s="769"/>
      <c r="Q881" s="769"/>
      <c r="R881" s="769"/>
      <c r="S881" s="769"/>
      <c r="T881" s="769"/>
      <c r="U881" s="769"/>
      <c r="V881" s="769"/>
      <c r="W881" s="769"/>
      <c r="X881" s="769"/>
      <c r="Y881" s="769"/>
      <c r="Z881" s="769"/>
    </row>
    <row r="882" spans="1:26" ht="18.75" customHeight="1" x14ac:dyDescent="0.3">
      <c r="A882" s="769"/>
      <c r="B882" s="769"/>
      <c r="C882" s="769"/>
      <c r="D882" s="771"/>
      <c r="E882" s="769"/>
      <c r="F882" s="769"/>
      <c r="G882" s="769"/>
      <c r="H882" s="769"/>
      <c r="I882" s="769"/>
      <c r="J882" s="769"/>
      <c r="K882" s="772"/>
      <c r="L882" s="769"/>
      <c r="M882" s="769"/>
      <c r="N882" s="769"/>
      <c r="O882" s="769"/>
      <c r="P882" s="769"/>
      <c r="Q882" s="769"/>
      <c r="R882" s="769"/>
      <c r="S882" s="769"/>
      <c r="T882" s="769"/>
      <c r="U882" s="769"/>
      <c r="V882" s="769"/>
      <c r="W882" s="769"/>
      <c r="X882" s="769"/>
      <c r="Y882" s="769"/>
      <c r="Z882" s="769"/>
    </row>
    <row r="883" spans="1:26" ht="18.75" customHeight="1" x14ac:dyDescent="0.3">
      <c r="A883" s="769"/>
      <c r="B883" s="769"/>
      <c r="C883" s="769"/>
      <c r="D883" s="771"/>
      <c r="E883" s="769"/>
      <c r="F883" s="769"/>
      <c r="G883" s="769"/>
      <c r="H883" s="769"/>
      <c r="I883" s="769"/>
      <c r="J883" s="769"/>
      <c r="K883" s="772"/>
      <c r="L883" s="769"/>
      <c r="M883" s="769"/>
      <c r="N883" s="769"/>
      <c r="O883" s="769"/>
      <c r="P883" s="769"/>
      <c r="Q883" s="769"/>
      <c r="R883" s="769"/>
      <c r="S883" s="769"/>
      <c r="T883" s="769"/>
      <c r="U883" s="769"/>
      <c r="V883" s="769"/>
      <c r="W883" s="769"/>
      <c r="X883" s="769"/>
      <c r="Y883" s="769"/>
      <c r="Z883" s="769"/>
    </row>
    <row r="884" spans="1:26" ht="18.75" customHeight="1" x14ac:dyDescent="0.3">
      <c r="A884" s="769"/>
      <c r="B884" s="769"/>
      <c r="C884" s="769"/>
      <c r="D884" s="771"/>
      <c r="E884" s="769"/>
      <c r="F884" s="769"/>
      <c r="G884" s="769"/>
      <c r="H884" s="769"/>
      <c r="I884" s="769"/>
      <c r="J884" s="769"/>
      <c r="K884" s="772"/>
      <c r="L884" s="769"/>
      <c r="M884" s="769"/>
      <c r="N884" s="769"/>
      <c r="O884" s="769"/>
      <c r="P884" s="769"/>
      <c r="Q884" s="769"/>
      <c r="R884" s="769"/>
      <c r="S884" s="769"/>
      <c r="T884" s="769"/>
      <c r="U884" s="769"/>
      <c r="V884" s="769"/>
      <c r="W884" s="769"/>
      <c r="X884" s="769"/>
      <c r="Y884" s="769"/>
      <c r="Z884" s="769"/>
    </row>
    <row r="885" spans="1:26" ht="18.75" customHeight="1" x14ac:dyDescent="0.3">
      <c r="A885" s="769"/>
      <c r="B885" s="769"/>
      <c r="C885" s="769"/>
      <c r="D885" s="771"/>
      <c r="E885" s="769"/>
      <c r="F885" s="769"/>
      <c r="G885" s="769"/>
      <c r="H885" s="769"/>
      <c r="I885" s="769"/>
      <c r="J885" s="769"/>
      <c r="K885" s="772"/>
      <c r="L885" s="769"/>
      <c r="M885" s="769"/>
      <c r="N885" s="769"/>
      <c r="O885" s="769"/>
      <c r="P885" s="769"/>
      <c r="Q885" s="769"/>
      <c r="R885" s="769"/>
      <c r="S885" s="769"/>
      <c r="T885" s="769"/>
      <c r="U885" s="769"/>
      <c r="V885" s="769"/>
      <c r="W885" s="769"/>
      <c r="X885" s="769"/>
      <c r="Y885" s="769"/>
      <c r="Z885" s="769"/>
    </row>
    <row r="886" spans="1:26" ht="18.75" customHeight="1" x14ac:dyDescent="0.3">
      <c r="A886" s="769"/>
      <c r="B886" s="769"/>
      <c r="C886" s="769"/>
      <c r="D886" s="771"/>
      <c r="E886" s="769"/>
      <c r="F886" s="769"/>
      <c r="G886" s="769"/>
      <c r="H886" s="769"/>
      <c r="I886" s="769"/>
      <c r="J886" s="769"/>
      <c r="K886" s="772"/>
      <c r="L886" s="769"/>
      <c r="M886" s="769"/>
      <c r="N886" s="769"/>
      <c r="O886" s="769"/>
      <c r="P886" s="769"/>
      <c r="Q886" s="769"/>
      <c r="R886" s="769"/>
      <c r="S886" s="769"/>
      <c r="T886" s="769"/>
      <c r="U886" s="769"/>
      <c r="V886" s="769"/>
      <c r="W886" s="769"/>
      <c r="X886" s="769"/>
      <c r="Y886" s="769"/>
      <c r="Z886" s="769"/>
    </row>
    <row r="887" spans="1:26" ht="18.75" customHeight="1" x14ac:dyDescent="0.3">
      <c r="A887" s="769"/>
      <c r="B887" s="769"/>
      <c r="C887" s="769"/>
      <c r="D887" s="771"/>
      <c r="E887" s="769"/>
      <c r="F887" s="769"/>
      <c r="G887" s="769"/>
      <c r="H887" s="769"/>
      <c r="I887" s="769"/>
      <c r="J887" s="769"/>
      <c r="K887" s="772"/>
      <c r="L887" s="769"/>
      <c r="M887" s="769"/>
      <c r="N887" s="769"/>
      <c r="O887" s="769"/>
      <c r="P887" s="769"/>
      <c r="Q887" s="769"/>
      <c r="R887" s="769"/>
      <c r="S887" s="769"/>
      <c r="T887" s="769"/>
      <c r="U887" s="769"/>
      <c r="V887" s="769"/>
      <c r="W887" s="769"/>
      <c r="X887" s="769"/>
      <c r="Y887" s="769"/>
      <c r="Z887" s="769"/>
    </row>
    <row r="888" spans="1:26" ht="18.75" customHeight="1" x14ac:dyDescent="0.3">
      <c r="A888" s="769"/>
      <c r="B888" s="769"/>
      <c r="C888" s="769"/>
      <c r="D888" s="771"/>
      <c r="E888" s="769"/>
      <c r="F888" s="769"/>
      <c r="G888" s="769"/>
      <c r="H888" s="769"/>
      <c r="I888" s="769"/>
      <c r="J888" s="769"/>
      <c r="K888" s="772"/>
      <c r="L888" s="769"/>
      <c r="M888" s="769"/>
      <c r="N888" s="769"/>
      <c r="O888" s="769"/>
      <c r="P888" s="769"/>
      <c r="Q888" s="769"/>
      <c r="R888" s="769"/>
      <c r="S888" s="769"/>
      <c r="T888" s="769"/>
      <c r="U888" s="769"/>
      <c r="V888" s="769"/>
      <c r="W888" s="769"/>
      <c r="X888" s="769"/>
      <c r="Y888" s="769"/>
      <c r="Z888" s="769"/>
    </row>
    <row r="889" spans="1:26" ht="18.75" customHeight="1" x14ac:dyDescent="0.3">
      <c r="A889" s="769"/>
      <c r="B889" s="769"/>
      <c r="C889" s="769"/>
      <c r="D889" s="771"/>
      <c r="E889" s="769"/>
      <c r="F889" s="769"/>
      <c r="G889" s="769"/>
      <c r="H889" s="769"/>
      <c r="I889" s="769"/>
      <c r="J889" s="769"/>
      <c r="K889" s="772"/>
      <c r="L889" s="769"/>
      <c r="M889" s="769"/>
      <c r="N889" s="769"/>
      <c r="O889" s="769"/>
      <c r="P889" s="769"/>
      <c r="Q889" s="769"/>
      <c r="R889" s="769"/>
      <c r="S889" s="769"/>
      <c r="T889" s="769"/>
      <c r="U889" s="769"/>
      <c r="V889" s="769"/>
      <c r="W889" s="769"/>
      <c r="X889" s="769"/>
      <c r="Y889" s="769"/>
      <c r="Z889" s="769"/>
    </row>
    <row r="890" spans="1:26" ht="18.75" customHeight="1" x14ac:dyDescent="0.3">
      <c r="A890" s="769"/>
      <c r="B890" s="769"/>
      <c r="C890" s="769"/>
      <c r="D890" s="771"/>
      <c r="E890" s="769"/>
      <c r="F890" s="769"/>
      <c r="G890" s="769"/>
      <c r="H890" s="769"/>
      <c r="I890" s="769"/>
      <c r="J890" s="769"/>
      <c r="K890" s="772"/>
      <c r="L890" s="769"/>
      <c r="M890" s="769"/>
      <c r="N890" s="769"/>
      <c r="O890" s="769"/>
      <c r="P890" s="769"/>
      <c r="Q890" s="769"/>
      <c r="R890" s="769"/>
      <c r="S890" s="769"/>
      <c r="T890" s="769"/>
      <c r="U890" s="769"/>
      <c r="V890" s="769"/>
      <c r="W890" s="769"/>
      <c r="X890" s="769"/>
      <c r="Y890" s="769"/>
      <c r="Z890" s="769"/>
    </row>
    <row r="891" spans="1:26" ht="18.75" customHeight="1" x14ac:dyDescent="0.3">
      <c r="A891" s="769"/>
      <c r="B891" s="769"/>
      <c r="C891" s="769"/>
      <c r="D891" s="771"/>
      <c r="E891" s="769"/>
      <c r="F891" s="769"/>
      <c r="G891" s="769"/>
      <c r="H891" s="769"/>
      <c r="I891" s="769"/>
      <c r="J891" s="769"/>
      <c r="K891" s="772"/>
      <c r="L891" s="769"/>
      <c r="M891" s="769"/>
      <c r="N891" s="769"/>
      <c r="O891" s="769"/>
      <c r="P891" s="769"/>
      <c r="Q891" s="769"/>
      <c r="R891" s="769"/>
      <c r="S891" s="769"/>
      <c r="T891" s="769"/>
      <c r="U891" s="769"/>
      <c r="V891" s="769"/>
      <c r="W891" s="769"/>
      <c r="X891" s="769"/>
      <c r="Y891" s="769"/>
      <c r="Z891" s="769"/>
    </row>
    <row r="892" spans="1:26" ht="18.75" customHeight="1" x14ac:dyDescent="0.3">
      <c r="A892" s="769"/>
      <c r="B892" s="769"/>
      <c r="C892" s="769"/>
      <c r="D892" s="771"/>
      <c r="E892" s="769"/>
      <c r="F892" s="769"/>
      <c r="G892" s="769"/>
      <c r="H892" s="769"/>
      <c r="I892" s="769"/>
      <c r="J892" s="769"/>
      <c r="K892" s="772"/>
      <c r="L892" s="769"/>
      <c r="M892" s="769"/>
      <c r="N892" s="769"/>
      <c r="O892" s="769"/>
      <c r="P892" s="769"/>
      <c r="Q892" s="769"/>
      <c r="R892" s="769"/>
      <c r="S892" s="769"/>
      <c r="T892" s="769"/>
      <c r="U892" s="769"/>
      <c r="V892" s="769"/>
      <c r="W892" s="769"/>
      <c r="X892" s="769"/>
      <c r="Y892" s="769"/>
      <c r="Z892" s="769"/>
    </row>
    <row r="893" spans="1:26" ht="18.75" customHeight="1" x14ac:dyDescent="0.3">
      <c r="A893" s="769"/>
      <c r="B893" s="769"/>
      <c r="C893" s="769"/>
      <c r="D893" s="771"/>
      <c r="E893" s="769"/>
      <c r="F893" s="769"/>
      <c r="G893" s="769"/>
      <c r="H893" s="769"/>
      <c r="I893" s="769"/>
      <c r="J893" s="769"/>
      <c r="K893" s="772"/>
      <c r="L893" s="769"/>
      <c r="M893" s="769"/>
      <c r="N893" s="769"/>
      <c r="O893" s="769"/>
      <c r="P893" s="769"/>
      <c r="Q893" s="769"/>
      <c r="R893" s="769"/>
      <c r="S893" s="769"/>
      <c r="T893" s="769"/>
      <c r="U893" s="769"/>
      <c r="V893" s="769"/>
      <c r="W893" s="769"/>
      <c r="X893" s="769"/>
      <c r="Y893" s="769"/>
      <c r="Z893" s="769"/>
    </row>
    <row r="894" spans="1:26" ht="18.75" customHeight="1" x14ac:dyDescent="0.3">
      <c r="A894" s="769"/>
      <c r="B894" s="769"/>
      <c r="C894" s="769"/>
      <c r="D894" s="771"/>
      <c r="E894" s="769"/>
      <c r="F894" s="769"/>
      <c r="G894" s="769"/>
      <c r="H894" s="769"/>
      <c r="I894" s="769"/>
      <c r="J894" s="769"/>
      <c r="K894" s="772"/>
      <c r="L894" s="769"/>
      <c r="M894" s="769"/>
      <c r="N894" s="769"/>
      <c r="O894" s="769"/>
      <c r="P894" s="769"/>
      <c r="Q894" s="769"/>
      <c r="R894" s="769"/>
      <c r="S894" s="769"/>
      <c r="T894" s="769"/>
      <c r="U894" s="769"/>
      <c r="V894" s="769"/>
      <c r="W894" s="769"/>
      <c r="X894" s="769"/>
      <c r="Y894" s="769"/>
      <c r="Z894" s="769"/>
    </row>
    <row r="895" spans="1:26" ht="18.75" customHeight="1" x14ac:dyDescent="0.3">
      <c r="A895" s="769"/>
      <c r="B895" s="769"/>
      <c r="C895" s="769"/>
      <c r="D895" s="771"/>
      <c r="E895" s="769"/>
      <c r="F895" s="769"/>
      <c r="G895" s="769"/>
      <c r="H895" s="769"/>
      <c r="I895" s="769"/>
      <c r="J895" s="769"/>
      <c r="K895" s="772"/>
      <c r="L895" s="769"/>
      <c r="M895" s="769"/>
      <c r="N895" s="769"/>
      <c r="O895" s="769"/>
      <c r="P895" s="769"/>
      <c r="Q895" s="769"/>
      <c r="R895" s="769"/>
      <c r="S895" s="769"/>
      <c r="T895" s="769"/>
      <c r="U895" s="769"/>
      <c r="V895" s="769"/>
      <c r="W895" s="769"/>
      <c r="X895" s="769"/>
      <c r="Y895" s="769"/>
      <c r="Z895" s="769"/>
    </row>
    <row r="896" spans="1:26" ht="18.75" customHeight="1" x14ac:dyDescent="0.3">
      <c r="A896" s="769"/>
      <c r="B896" s="769"/>
      <c r="C896" s="769"/>
      <c r="D896" s="771"/>
      <c r="E896" s="769"/>
      <c r="F896" s="769"/>
      <c r="G896" s="769"/>
      <c r="H896" s="769"/>
      <c r="I896" s="769"/>
      <c r="J896" s="769"/>
      <c r="K896" s="772"/>
      <c r="L896" s="769"/>
      <c r="M896" s="769"/>
      <c r="N896" s="769"/>
      <c r="O896" s="769"/>
      <c r="P896" s="769"/>
      <c r="Q896" s="769"/>
      <c r="R896" s="769"/>
      <c r="S896" s="769"/>
      <c r="T896" s="769"/>
      <c r="U896" s="769"/>
      <c r="V896" s="769"/>
      <c r="W896" s="769"/>
      <c r="X896" s="769"/>
      <c r="Y896" s="769"/>
      <c r="Z896" s="769"/>
    </row>
    <row r="897" spans="1:26" ht="18.75" customHeight="1" x14ac:dyDescent="0.3">
      <c r="A897" s="769"/>
      <c r="B897" s="769"/>
      <c r="C897" s="769"/>
      <c r="D897" s="771"/>
      <c r="E897" s="769"/>
      <c r="F897" s="769"/>
      <c r="G897" s="769"/>
      <c r="H897" s="769"/>
      <c r="I897" s="769"/>
      <c r="J897" s="769"/>
      <c r="K897" s="772"/>
      <c r="L897" s="769"/>
      <c r="M897" s="769"/>
      <c r="N897" s="769"/>
      <c r="O897" s="769"/>
      <c r="P897" s="769"/>
      <c r="Q897" s="769"/>
      <c r="R897" s="769"/>
      <c r="S897" s="769"/>
      <c r="T897" s="769"/>
      <c r="U897" s="769"/>
      <c r="V897" s="769"/>
      <c r="W897" s="769"/>
      <c r="X897" s="769"/>
      <c r="Y897" s="769"/>
      <c r="Z897" s="769"/>
    </row>
    <row r="898" spans="1:26" ht="18.75" customHeight="1" x14ac:dyDescent="0.3">
      <c r="A898" s="769"/>
      <c r="B898" s="769"/>
      <c r="C898" s="769"/>
      <c r="D898" s="771"/>
      <c r="E898" s="769"/>
      <c r="F898" s="769"/>
      <c r="G898" s="769"/>
      <c r="H898" s="769"/>
      <c r="I898" s="769"/>
      <c r="J898" s="769"/>
      <c r="K898" s="772"/>
      <c r="L898" s="769"/>
      <c r="M898" s="769"/>
      <c r="N898" s="769"/>
      <c r="O898" s="769"/>
      <c r="P898" s="769"/>
      <c r="Q898" s="769"/>
      <c r="R898" s="769"/>
      <c r="S898" s="769"/>
      <c r="T898" s="769"/>
      <c r="U898" s="769"/>
      <c r="V898" s="769"/>
      <c r="W898" s="769"/>
      <c r="X898" s="769"/>
      <c r="Y898" s="769"/>
      <c r="Z898" s="769"/>
    </row>
    <row r="899" spans="1:26" ht="18.75" customHeight="1" x14ac:dyDescent="0.3">
      <c r="A899" s="769"/>
      <c r="B899" s="769"/>
      <c r="C899" s="769"/>
      <c r="D899" s="771"/>
      <c r="E899" s="769"/>
      <c r="F899" s="769"/>
      <c r="G899" s="769"/>
      <c r="H899" s="769"/>
      <c r="I899" s="769"/>
      <c r="J899" s="769"/>
      <c r="K899" s="772"/>
      <c r="L899" s="769"/>
      <c r="M899" s="769"/>
      <c r="N899" s="769"/>
      <c r="O899" s="769"/>
      <c r="P899" s="769"/>
      <c r="Q899" s="769"/>
      <c r="R899" s="769"/>
      <c r="S899" s="769"/>
      <c r="T899" s="769"/>
      <c r="U899" s="769"/>
      <c r="V899" s="769"/>
      <c r="W899" s="769"/>
      <c r="X899" s="769"/>
      <c r="Y899" s="769"/>
      <c r="Z899" s="769"/>
    </row>
    <row r="900" spans="1:26" ht="18.75" customHeight="1" x14ac:dyDescent="0.3">
      <c r="A900" s="769"/>
      <c r="B900" s="769"/>
      <c r="C900" s="769"/>
      <c r="D900" s="771"/>
      <c r="E900" s="769"/>
      <c r="F900" s="769"/>
      <c r="G900" s="769"/>
      <c r="H900" s="769"/>
      <c r="I900" s="769"/>
      <c r="J900" s="769"/>
      <c r="K900" s="772"/>
      <c r="L900" s="769"/>
      <c r="M900" s="769"/>
      <c r="N900" s="769"/>
      <c r="O900" s="769"/>
      <c r="P900" s="769"/>
      <c r="Q900" s="769"/>
      <c r="R900" s="769"/>
      <c r="S900" s="769"/>
      <c r="T900" s="769"/>
      <c r="U900" s="769"/>
      <c r="V900" s="769"/>
      <c r="W900" s="769"/>
      <c r="X900" s="769"/>
      <c r="Y900" s="769"/>
      <c r="Z900" s="769"/>
    </row>
    <row r="901" spans="1:26" ht="18.75" customHeight="1" x14ac:dyDescent="0.3">
      <c r="A901" s="769"/>
      <c r="B901" s="769"/>
      <c r="C901" s="769"/>
      <c r="D901" s="771"/>
      <c r="E901" s="769"/>
      <c r="F901" s="769"/>
      <c r="G901" s="769"/>
      <c r="H901" s="769"/>
      <c r="I901" s="769"/>
      <c r="J901" s="769"/>
      <c r="K901" s="772"/>
      <c r="L901" s="769"/>
      <c r="M901" s="769"/>
      <c r="N901" s="769"/>
      <c r="O901" s="769"/>
      <c r="P901" s="769"/>
      <c r="Q901" s="769"/>
      <c r="R901" s="769"/>
      <c r="S901" s="769"/>
      <c r="T901" s="769"/>
      <c r="U901" s="769"/>
      <c r="V901" s="769"/>
      <c r="W901" s="769"/>
      <c r="X901" s="769"/>
      <c r="Y901" s="769"/>
      <c r="Z901" s="769"/>
    </row>
    <row r="902" spans="1:26" ht="18.75" customHeight="1" x14ac:dyDescent="0.3">
      <c r="A902" s="769"/>
      <c r="B902" s="769"/>
      <c r="C902" s="769"/>
      <c r="D902" s="771"/>
      <c r="E902" s="769"/>
      <c r="F902" s="769"/>
      <c r="G902" s="769"/>
      <c r="H902" s="769"/>
      <c r="I902" s="769"/>
      <c r="J902" s="769"/>
      <c r="K902" s="772"/>
      <c r="L902" s="769"/>
      <c r="M902" s="769"/>
      <c r="N902" s="769"/>
      <c r="O902" s="769"/>
      <c r="P902" s="769"/>
      <c r="Q902" s="769"/>
      <c r="R902" s="769"/>
      <c r="S902" s="769"/>
      <c r="T902" s="769"/>
      <c r="U902" s="769"/>
      <c r="V902" s="769"/>
      <c r="W902" s="769"/>
      <c r="X902" s="769"/>
      <c r="Y902" s="769"/>
      <c r="Z902" s="769"/>
    </row>
    <row r="903" spans="1:26" ht="18.75" customHeight="1" x14ac:dyDescent="0.3">
      <c r="A903" s="769"/>
      <c r="B903" s="769"/>
      <c r="C903" s="769"/>
      <c r="D903" s="771"/>
      <c r="E903" s="769"/>
      <c r="F903" s="769"/>
      <c r="G903" s="769"/>
      <c r="H903" s="769"/>
      <c r="I903" s="769"/>
      <c r="J903" s="769"/>
      <c r="K903" s="772"/>
      <c r="L903" s="769"/>
      <c r="M903" s="769"/>
      <c r="N903" s="769"/>
      <c r="O903" s="769"/>
      <c r="P903" s="769"/>
      <c r="Q903" s="769"/>
      <c r="R903" s="769"/>
      <c r="S903" s="769"/>
      <c r="T903" s="769"/>
      <c r="U903" s="769"/>
      <c r="V903" s="769"/>
      <c r="W903" s="769"/>
      <c r="X903" s="769"/>
      <c r="Y903" s="769"/>
      <c r="Z903" s="769"/>
    </row>
    <row r="904" spans="1:26" ht="18.75" customHeight="1" x14ac:dyDescent="0.3">
      <c r="A904" s="769"/>
      <c r="B904" s="769"/>
      <c r="C904" s="769"/>
      <c r="D904" s="771"/>
      <c r="E904" s="769"/>
      <c r="F904" s="769"/>
      <c r="G904" s="769"/>
      <c r="H904" s="769"/>
      <c r="I904" s="769"/>
      <c r="J904" s="769"/>
      <c r="K904" s="772"/>
      <c r="L904" s="769"/>
      <c r="M904" s="769"/>
      <c r="N904" s="769"/>
      <c r="O904" s="769"/>
      <c r="P904" s="769"/>
      <c r="Q904" s="769"/>
      <c r="R904" s="769"/>
      <c r="S904" s="769"/>
      <c r="T904" s="769"/>
      <c r="U904" s="769"/>
      <c r="V904" s="769"/>
      <c r="W904" s="769"/>
      <c r="X904" s="769"/>
      <c r="Y904" s="769"/>
      <c r="Z904" s="769"/>
    </row>
    <row r="905" spans="1:26" ht="18.75" customHeight="1" x14ac:dyDescent="0.3">
      <c r="A905" s="769"/>
      <c r="B905" s="769"/>
      <c r="C905" s="769"/>
      <c r="D905" s="771"/>
      <c r="E905" s="769"/>
      <c r="F905" s="769"/>
      <c r="G905" s="769"/>
      <c r="H905" s="769"/>
      <c r="I905" s="769"/>
      <c r="J905" s="769"/>
      <c r="K905" s="772"/>
      <c r="L905" s="769"/>
      <c r="M905" s="769"/>
      <c r="N905" s="769"/>
      <c r="O905" s="769"/>
      <c r="P905" s="769"/>
      <c r="Q905" s="769"/>
      <c r="R905" s="769"/>
      <c r="S905" s="769"/>
      <c r="T905" s="769"/>
      <c r="U905" s="769"/>
      <c r="V905" s="769"/>
      <c r="W905" s="769"/>
      <c r="X905" s="769"/>
      <c r="Y905" s="769"/>
      <c r="Z905" s="769"/>
    </row>
    <row r="906" spans="1:26" ht="18.75" customHeight="1" x14ac:dyDescent="0.3">
      <c r="A906" s="769"/>
      <c r="B906" s="769"/>
      <c r="C906" s="769"/>
      <c r="D906" s="771"/>
      <c r="E906" s="769"/>
      <c r="F906" s="769"/>
      <c r="G906" s="769"/>
      <c r="H906" s="769"/>
      <c r="I906" s="769"/>
      <c r="J906" s="769"/>
      <c r="K906" s="772"/>
      <c r="L906" s="769"/>
      <c r="M906" s="769"/>
      <c r="N906" s="769"/>
      <c r="O906" s="769"/>
      <c r="P906" s="769"/>
      <c r="Q906" s="769"/>
      <c r="R906" s="769"/>
      <c r="S906" s="769"/>
      <c r="T906" s="769"/>
      <c r="U906" s="769"/>
      <c r="V906" s="769"/>
      <c r="W906" s="769"/>
      <c r="X906" s="769"/>
      <c r="Y906" s="769"/>
      <c r="Z906" s="769"/>
    </row>
    <row r="907" spans="1:26" ht="18.75" customHeight="1" x14ac:dyDescent="0.3">
      <c r="A907" s="769"/>
      <c r="B907" s="769"/>
      <c r="C907" s="769"/>
      <c r="D907" s="771"/>
      <c r="E907" s="769"/>
      <c r="F907" s="769"/>
      <c r="G907" s="769"/>
      <c r="H907" s="769"/>
      <c r="I907" s="769"/>
      <c r="J907" s="769"/>
      <c r="K907" s="772"/>
      <c r="L907" s="769"/>
      <c r="M907" s="769"/>
      <c r="N907" s="769"/>
      <c r="O907" s="769"/>
      <c r="P907" s="769"/>
      <c r="Q907" s="769"/>
      <c r="R907" s="769"/>
      <c r="S907" s="769"/>
      <c r="T907" s="769"/>
      <c r="U907" s="769"/>
      <c r="V907" s="769"/>
      <c r="W907" s="769"/>
      <c r="X907" s="769"/>
      <c r="Y907" s="769"/>
      <c r="Z907" s="769"/>
    </row>
    <row r="908" spans="1:26" ht="18.75" customHeight="1" x14ac:dyDescent="0.3">
      <c r="A908" s="769"/>
      <c r="B908" s="769"/>
      <c r="C908" s="769"/>
      <c r="D908" s="771"/>
      <c r="E908" s="769"/>
      <c r="F908" s="769"/>
      <c r="G908" s="769"/>
      <c r="H908" s="769"/>
      <c r="I908" s="769"/>
      <c r="J908" s="769"/>
      <c r="K908" s="772"/>
      <c r="L908" s="769"/>
      <c r="M908" s="769"/>
      <c r="N908" s="769"/>
      <c r="O908" s="769"/>
      <c r="P908" s="769"/>
      <c r="Q908" s="769"/>
      <c r="R908" s="769"/>
      <c r="S908" s="769"/>
      <c r="T908" s="769"/>
      <c r="U908" s="769"/>
      <c r="V908" s="769"/>
      <c r="W908" s="769"/>
      <c r="X908" s="769"/>
      <c r="Y908" s="769"/>
      <c r="Z908" s="769"/>
    </row>
    <row r="909" spans="1:26" ht="18.75" customHeight="1" x14ac:dyDescent="0.3">
      <c r="A909" s="769"/>
      <c r="B909" s="769"/>
      <c r="C909" s="769"/>
      <c r="D909" s="771"/>
      <c r="E909" s="769"/>
      <c r="F909" s="769"/>
      <c r="G909" s="769"/>
      <c r="H909" s="769"/>
      <c r="I909" s="769"/>
      <c r="J909" s="769"/>
      <c r="K909" s="772"/>
      <c r="L909" s="769"/>
      <c r="M909" s="769"/>
      <c r="N909" s="769"/>
      <c r="O909" s="769"/>
      <c r="P909" s="769"/>
      <c r="Q909" s="769"/>
      <c r="R909" s="769"/>
      <c r="S909" s="769"/>
      <c r="T909" s="769"/>
      <c r="U909" s="769"/>
      <c r="V909" s="769"/>
      <c r="W909" s="769"/>
      <c r="X909" s="769"/>
      <c r="Y909" s="769"/>
      <c r="Z909" s="769"/>
    </row>
    <row r="910" spans="1:26" ht="18.75" customHeight="1" x14ac:dyDescent="0.3">
      <c r="A910" s="769"/>
      <c r="B910" s="769"/>
      <c r="C910" s="769"/>
      <c r="D910" s="771"/>
      <c r="E910" s="769"/>
      <c r="F910" s="769"/>
      <c r="G910" s="769"/>
      <c r="H910" s="769"/>
      <c r="I910" s="769"/>
      <c r="J910" s="769"/>
      <c r="K910" s="772"/>
      <c r="L910" s="769"/>
      <c r="M910" s="769"/>
      <c r="N910" s="769"/>
      <c r="O910" s="769"/>
      <c r="P910" s="769"/>
      <c r="Q910" s="769"/>
      <c r="R910" s="769"/>
      <c r="S910" s="769"/>
      <c r="T910" s="769"/>
      <c r="U910" s="769"/>
      <c r="V910" s="769"/>
      <c r="W910" s="769"/>
      <c r="X910" s="769"/>
      <c r="Y910" s="769"/>
      <c r="Z910" s="769"/>
    </row>
    <row r="911" spans="1:26" ht="18.75" customHeight="1" x14ac:dyDescent="0.3">
      <c r="A911" s="769"/>
      <c r="B911" s="769"/>
      <c r="C911" s="769"/>
      <c r="D911" s="771"/>
      <c r="E911" s="769"/>
      <c r="F911" s="769"/>
      <c r="G911" s="769"/>
      <c r="H911" s="769"/>
      <c r="I911" s="769"/>
      <c r="J911" s="769"/>
      <c r="K911" s="772"/>
      <c r="L911" s="769"/>
      <c r="M911" s="769"/>
      <c r="N911" s="769"/>
      <c r="O911" s="769"/>
      <c r="P911" s="769"/>
      <c r="Q911" s="769"/>
      <c r="R911" s="769"/>
      <c r="S911" s="769"/>
      <c r="T911" s="769"/>
      <c r="U911" s="769"/>
      <c r="V911" s="769"/>
      <c r="W911" s="769"/>
      <c r="X911" s="769"/>
      <c r="Y911" s="769"/>
      <c r="Z911" s="769"/>
    </row>
    <row r="912" spans="1:26" ht="18.75" customHeight="1" x14ac:dyDescent="0.3">
      <c r="A912" s="769"/>
      <c r="B912" s="769"/>
      <c r="C912" s="769"/>
      <c r="D912" s="771"/>
      <c r="E912" s="769"/>
      <c r="F912" s="769"/>
      <c r="G912" s="769"/>
      <c r="H912" s="769"/>
      <c r="I912" s="769"/>
      <c r="J912" s="769"/>
      <c r="K912" s="772"/>
      <c r="L912" s="769"/>
      <c r="M912" s="769"/>
      <c r="N912" s="769"/>
      <c r="O912" s="769"/>
      <c r="P912" s="769"/>
      <c r="Q912" s="769"/>
      <c r="R912" s="769"/>
      <c r="S912" s="769"/>
      <c r="T912" s="769"/>
      <c r="U912" s="769"/>
      <c r="V912" s="769"/>
      <c r="W912" s="769"/>
      <c r="X912" s="769"/>
      <c r="Y912" s="769"/>
      <c r="Z912" s="769"/>
    </row>
    <row r="913" spans="1:26" ht="18.75" customHeight="1" x14ac:dyDescent="0.3">
      <c r="A913" s="769"/>
      <c r="B913" s="769"/>
      <c r="C913" s="769"/>
      <c r="D913" s="771"/>
      <c r="E913" s="769"/>
      <c r="F913" s="769"/>
      <c r="G913" s="769"/>
      <c r="H913" s="769"/>
      <c r="I913" s="769"/>
      <c r="J913" s="769"/>
      <c r="K913" s="772"/>
      <c r="L913" s="769"/>
      <c r="M913" s="769"/>
      <c r="N913" s="769"/>
      <c r="O913" s="769"/>
      <c r="P913" s="769"/>
      <c r="Q913" s="769"/>
      <c r="R913" s="769"/>
      <c r="S913" s="769"/>
      <c r="T913" s="769"/>
      <c r="U913" s="769"/>
      <c r="V913" s="769"/>
      <c r="W913" s="769"/>
      <c r="X913" s="769"/>
      <c r="Y913" s="769"/>
      <c r="Z913" s="769"/>
    </row>
    <row r="914" spans="1:26" ht="18.75" customHeight="1" x14ac:dyDescent="0.3">
      <c r="A914" s="769"/>
      <c r="B914" s="769"/>
      <c r="C914" s="769"/>
      <c r="D914" s="771"/>
      <c r="E914" s="769"/>
      <c r="F914" s="769"/>
      <c r="G914" s="769"/>
      <c r="H914" s="769"/>
      <c r="I914" s="769"/>
      <c r="J914" s="769"/>
      <c r="K914" s="772"/>
      <c r="L914" s="769"/>
      <c r="M914" s="769"/>
      <c r="N914" s="769"/>
      <c r="O914" s="769"/>
      <c r="P914" s="769"/>
      <c r="Q914" s="769"/>
      <c r="R914" s="769"/>
      <c r="S914" s="769"/>
      <c r="T914" s="769"/>
      <c r="U914" s="769"/>
      <c r="V914" s="769"/>
      <c r="W914" s="769"/>
      <c r="X914" s="769"/>
      <c r="Y914" s="769"/>
      <c r="Z914" s="769"/>
    </row>
    <row r="915" spans="1:26" ht="18.75" customHeight="1" x14ac:dyDescent="0.3">
      <c r="A915" s="769"/>
      <c r="B915" s="769"/>
      <c r="C915" s="769"/>
      <c r="D915" s="771"/>
      <c r="E915" s="769"/>
      <c r="F915" s="769"/>
      <c r="G915" s="769"/>
      <c r="H915" s="769"/>
      <c r="I915" s="769"/>
      <c r="J915" s="769"/>
      <c r="K915" s="772"/>
      <c r="L915" s="769"/>
      <c r="M915" s="769"/>
      <c r="N915" s="769"/>
      <c r="O915" s="769"/>
      <c r="P915" s="769"/>
      <c r="Q915" s="769"/>
      <c r="R915" s="769"/>
      <c r="S915" s="769"/>
      <c r="T915" s="769"/>
      <c r="U915" s="769"/>
      <c r="V915" s="769"/>
      <c r="W915" s="769"/>
      <c r="X915" s="769"/>
      <c r="Y915" s="769"/>
      <c r="Z915" s="769"/>
    </row>
    <row r="916" spans="1:26" ht="18.75" customHeight="1" x14ac:dyDescent="0.3">
      <c r="A916" s="769"/>
      <c r="B916" s="769"/>
      <c r="C916" s="769"/>
      <c r="D916" s="771"/>
      <c r="E916" s="769"/>
      <c r="F916" s="769"/>
      <c r="G916" s="769"/>
      <c r="H916" s="769"/>
      <c r="I916" s="769"/>
      <c r="J916" s="769"/>
      <c r="K916" s="772"/>
      <c r="L916" s="769"/>
      <c r="M916" s="769"/>
      <c r="N916" s="769"/>
      <c r="O916" s="769"/>
      <c r="P916" s="769"/>
      <c r="Q916" s="769"/>
      <c r="R916" s="769"/>
      <c r="S916" s="769"/>
      <c r="T916" s="769"/>
      <c r="U916" s="769"/>
      <c r="V916" s="769"/>
      <c r="W916" s="769"/>
      <c r="X916" s="769"/>
      <c r="Y916" s="769"/>
      <c r="Z916" s="769"/>
    </row>
    <row r="917" spans="1:26" ht="18.75" customHeight="1" x14ac:dyDescent="0.3">
      <c r="A917" s="769"/>
      <c r="B917" s="769"/>
      <c r="C917" s="769"/>
      <c r="D917" s="771"/>
      <c r="E917" s="769"/>
      <c r="F917" s="769"/>
      <c r="G917" s="769"/>
      <c r="H917" s="769"/>
      <c r="I917" s="769"/>
      <c r="J917" s="769"/>
      <c r="K917" s="772"/>
      <c r="L917" s="769"/>
      <c r="M917" s="769"/>
      <c r="N917" s="769"/>
      <c r="O917" s="769"/>
      <c r="P917" s="769"/>
      <c r="Q917" s="769"/>
      <c r="R917" s="769"/>
      <c r="S917" s="769"/>
      <c r="T917" s="769"/>
      <c r="U917" s="769"/>
      <c r="V917" s="769"/>
      <c r="W917" s="769"/>
      <c r="X917" s="769"/>
      <c r="Y917" s="769"/>
      <c r="Z917" s="769"/>
    </row>
    <row r="918" spans="1:26" ht="18.75" customHeight="1" x14ac:dyDescent="0.3">
      <c r="A918" s="769"/>
      <c r="B918" s="769"/>
      <c r="C918" s="769"/>
      <c r="D918" s="771"/>
      <c r="E918" s="769"/>
      <c r="F918" s="769"/>
      <c r="G918" s="769"/>
      <c r="H918" s="769"/>
      <c r="I918" s="769"/>
      <c r="J918" s="769"/>
      <c r="K918" s="772"/>
      <c r="L918" s="769"/>
      <c r="M918" s="769"/>
      <c r="N918" s="769"/>
      <c r="O918" s="769"/>
      <c r="P918" s="769"/>
      <c r="Q918" s="769"/>
      <c r="R918" s="769"/>
      <c r="S918" s="769"/>
      <c r="T918" s="769"/>
      <c r="U918" s="769"/>
      <c r="V918" s="769"/>
      <c r="W918" s="769"/>
      <c r="X918" s="769"/>
      <c r="Y918" s="769"/>
      <c r="Z918" s="769"/>
    </row>
    <row r="919" spans="1:26" ht="18.75" customHeight="1" x14ac:dyDescent="0.3">
      <c r="A919" s="769"/>
      <c r="B919" s="769"/>
      <c r="C919" s="769"/>
      <c r="D919" s="771"/>
      <c r="E919" s="769"/>
      <c r="F919" s="769"/>
      <c r="G919" s="769"/>
      <c r="H919" s="769"/>
      <c r="I919" s="769"/>
      <c r="J919" s="769"/>
      <c r="K919" s="772"/>
      <c r="L919" s="769"/>
      <c r="M919" s="769"/>
      <c r="N919" s="769"/>
      <c r="O919" s="769"/>
      <c r="P919" s="769"/>
      <c r="Q919" s="769"/>
      <c r="R919" s="769"/>
      <c r="S919" s="769"/>
      <c r="T919" s="769"/>
      <c r="U919" s="769"/>
      <c r="V919" s="769"/>
      <c r="W919" s="769"/>
      <c r="X919" s="769"/>
      <c r="Y919" s="769"/>
      <c r="Z919" s="769"/>
    </row>
    <row r="920" spans="1:26" ht="18.75" customHeight="1" x14ac:dyDescent="0.3">
      <c r="A920" s="769"/>
      <c r="B920" s="769"/>
      <c r="C920" s="769"/>
      <c r="D920" s="771"/>
      <c r="E920" s="769"/>
      <c r="F920" s="769"/>
      <c r="G920" s="769"/>
      <c r="H920" s="769"/>
      <c r="I920" s="769"/>
      <c r="J920" s="769"/>
      <c r="K920" s="772"/>
      <c r="L920" s="769"/>
      <c r="M920" s="769"/>
      <c r="N920" s="769"/>
      <c r="O920" s="769"/>
      <c r="P920" s="769"/>
      <c r="Q920" s="769"/>
      <c r="R920" s="769"/>
      <c r="S920" s="769"/>
      <c r="T920" s="769"/>
      <c r="U920" s="769"/>
      <c r="V920" s="769"/>
      <c r="W920" s="769"/>
      <c r="X920" s="769"/>
      <c r="Y920" s="769"/>
      <c r="Z920" s="769"/>
    </row>
    <row r="921" spans="1:26" ht="18.75" customHeight="1" x14ac:dyDescent="0.3">
      <c r="A921" s="769"/>
      <c r="B921" s="769"/>
      <c r="C921" s="769"/>
      <c r="D921" s="771"/>
      <c r="E921" s="769"/>
      <c r="F921" s="769"/>
      <c r="G921" s="769"/>
      <c r="H921" s="769"/>
      <c r="I921" s="769"/>
      <c r="J921" s="769"/>
      <c r="K921" s="772"/>
      <c r="L921" s="769"/>
      <c r="M921" s="769"/>
      <c r="N921" s="769"/>
      <c r="O921" s="769"/>
      <c r="P921" s="769"/>
      <c r="Q921" s="769"/>
      <c r="R921" s="769"/>
      <c r="S921" s="769"/>
      <c r="T921" s="769"/>
      <c r="U921" s="769"/>
      <c r="V921" s="769"/>
      <c r="W921" s="769"/>
      <c r="X921" s="769"/>
      <c r="Y921" s="769"/>
      <c r="Z921" s="769"/>
    </row>
    <row r="922" spans="1:26" ht="18.75" customHeight="1" x14ac:dyDescent="0.3">
      <c r="A922" s="769"/>
      <c r="B922" s="769"/>
      <c r="C922" s="769"/>
      <c r="D922" s="771"/>
      <c r="E922" s="769"/>
      <c r="F922" s="769"/>
      <c r="G922" s="769"/>
      <c r="H922" s="769"/>
      <c r="I922" s="769"/>
      <c r="J922" s="769"/>
      <c r="K922" s="772"/>
      <c r="L922" s="769"/>
      <c r="M922" s="769"/>
      <c r="N922" s="769"/>
      <c r="O922" s="769"/>
      <c r="P922" s="769"/>
      <c r="Q922" s="769"/>
      <c r="R922" s="769"/>
      <c r="S922" s="769"/>
      <c r="T922" s="769"/>
      <c r="U922" s="769"/>
      <c r="V922" s="769"/>
      <c r="W922" s="769"/>
      <c r="X922" s="769"/>
      <c r="Y922" s="769"/>
      <c r="Z922" s="769"/>
    </row>
    <row r="923" spans="1:26" ht="18.75" customHeight="1" x14ac:dyDescent="0.3">
      <c r="A923" s="769"/>
      <c r="B923" s="769"/>
      <c r="C923" s="769"/>
      <c r="D923" s="771"/>
      <c r="E923" s="769"/>
      <c r="F923" s="769"/>
      <c r="G923" s="769"/>
      <c r="H923" s="769"/>
      <c r="I923" s="769"/>
      <c r="J923" s="769"/>
      <c r="K923" s="772"/>
      <c r="L923" s="769"/>
      <c r="M923" s="769"/>
      <c r="N923" s="769"/>
      <c r="O923" s="769"/>
      <c r="P923" s="769"/>
      <c r="Q923" s="769"/>
      <c r="R923" s="769"/>
      <c r="S923" s="769"/>
      <c r="T923" s="769"/>
      <c r="U923" s="769"/>
      <c r="V923" s="769"/>
      <c r="W923" s="769"/>
      <c r="X923" s="769"/>
      <c r="Y923" s="769"/>
      <c r="Z923" s="769"/>
    </row>
    <row r="924" spans="1:26" ht="18.75" customHeight="1" x14ac:dyDescent="0.3">
      <c r="A924" s="769"/>
      <c r="B924" s="769"/>
      <c r="C924" s="769"/>
      <c r="D924" s="771"/>
      <c r="E924" s="769"/>
      <c r="F924" s="769"/>
      <c r="G924" s="769"/>
      <c r="H924" s="769"/>
      <c r="I924" s="769"/>
      <c r="J924" s="769"/>
      <c r="K924" s="772"/>
      <c r="L924" s="769"/>
      <c r="M924" s="769"/>
      <c r="N924" s="769"/>
      <c r="O924" s="769"/>
      <c r="P924" s="769"/>
      <c r="Q924" s="769"/>
      <c r="R924" s="769"/>
      <c r="S924" s="769"/>
      <c r="T924" s="769"/>
      <c r="U924" s="769"/>
      <c r="V924" s="769"/>
      <c r="W924" s="769"/>
      <c r="X924" s="769"/>
      <c r="Y924" s="769"/>
      <c r="Z924" s="769"/>
    </row>
    <row r="925" spans="1:26" ht="18.75" customHeight="1" x14ac:dyDescent="0.3">
      <c r="A925" s="769"/>
      <c r="B925" s="769"/>
      <c r="C925" s="769"/>
      <c r="D925" s="771"/>
      <c r="E925" s="769"/>
      <c r="F925" s="769"/>
      <c r="G925" s="769"/>
      <c r="H925" s="769"/>
      <c r="I925" s="769"/>
      <c r="J925" s="769"/>
      <c r="K925" s="772"/>
      <c r="L925" s="769"/>
      <c r="M925" s="769"/>
      <c r="N925" s="769"/>
      <c r="O925" s="769"/>
      <c r="P925" s="769"/>
      <c r="Q925" s="769"/>
      <c r="R925" s="769"/>
      <c r="S925" s="769"/>
      <c r="T925" s="769"/>
      <c r="U925" s="769"/>
      <c r="V925" s="769"/>
      <c r="W925" s="769"/>
      <c r="X925" s="769"/>
      <c r="Y925" s="769"/>
      <c r="Z925" s="769"/>
    </row>
    <row r="926" spans="1:26" ht="18.75" customHeight="1" x14ac:dyDescent="0.3">
      <c r="A926" s="769"/>
      <c r="B926" s="769"/>
      <c r="C926" s="769"/>
      <c r="D926" s="771"/>
      <c r="E926" s="769"/>
      <c r="F926" s="769"/>
      <c r="G926" s="769"/>
      <c r="H926" s="769"/>
      <c r="I926" s="769"/>
      <c r="J926" s="769"/>
      <c r="K926" s="772"/>
      <c r="L926" s="769"/>
      <c r="M926" s="769"/>
      <c r="N926" s="769"/>
      <c r="O926" s="769"/>
      <c r="P926" s="769"/>
      <c r="Q926" s="769"/>
      <c r="R926" s="769"/>
      <c r="S926" s="769"/>
      <c r="T926" s="769"/>
      <c r="U926" s="769"/>
      <c r="V926" s="769"/>
      <c r="W926" s="769"/>
      <c r="X926" s="769"/>
      <c r="Y926" s="769"/>
      <c r="Z926" s="769"/>
    </row>
    <row r="927" spans="1:26" ht="18.75" customHeight="1" x14ac:dyDescent="0.3">
      <c r="A927" s="769"/>
      <c r="B927" s="769"/>
      <c r="C927" s="769"/>
      <c r="D927" s="771"/>
      <c r="E927" s="769"/>
      <c r="F927" s="769"/>
      <c r="G927" s="769"/>
      <c r="H927" s="769"/>
      <c r="I927" s="769"/>
      <c r="J927" s="769"/>
      <c r="K927" s="772"/>
      <c r="L927" s="769"/>
      <c r="M927" s="769"/>
      <c r="N927" s="769"/>
      <c r="O927" s="769"/>
      <c r="P927" s="769"/>
      <c r="Q927" s="769"/>
      <c r="R927" s="769"/>
      <c r="S927" s="769"/>
      <c r="T927" s="769"/>
      <c r="U927" s="769"/>
      <c r="V927" s="769"/>
      <c r="W927" s="769"/>
      <c r="X927" s="769"/>
      <c r="Y927" s="769"/>
      <c r="Z927" s="769"/>
    </row>
    <row r="928" spans="1:26" ht="18.75" customHeight="1" x14ac:dyDescent="0.3">
      <c r="A928" s="769"/>
      <c r="B928" s="769"/>
      <c r="C928" s="769"/>
      <c r="D928" s="771"/>
      <c r="E928" s="769"/>
      <c r="F928" s="769"/>
      <c r="G928" s="769"/>
      <c r="H928" s="769"/>
      <c r="I928" s="769"/>
      <c r="J928" s="769"/>
      <c r="K928" s="772"/>
      <c r="L928" s="769"/>
      <c r="M928" s="769"/>
      <c r="N928" s="769"/>
      <c r="O928" s="769"/>
      <c r="P928" s="769"/>
      <c r="Q928" s="769"/>
      <c r="R928" s="769"/>
      <c r="S928" s="769"/>
      <c r="T928" s="769"/>
      <c r="U928" s="769"/>
      <c r="V928" s="769"/>
      <c r="W928" s="769"/>
      <c r="X928" s="769"/>
      <c r="Y928" s="769"/>
      <c r="Z928" s="769"/>
    </row>
    <row r="929" spans="1:26" ht="18.75" customHeight="1" x14ac:dyDescent="0.3">
      <c r="A929" s="769"/>
      <c r="B929" s="769"/>
      <c r="C929" s="769"/>
      <c r="D929" s="771"/>
      <c r="E929" s="769"/>
      <c r="F929" s="769"/>
      <c r="G929" s="769"/>
      <c r="H929" s="769"/>
      <c r="I929" s="769"/>
      <c r="J929" s="769"/>
      <c r="K929" s="772"/>
      <c r="L929" s="769"/>
      <c r="M929" s="769"/>
      <c r="N929" s="769"/>
      <c r="O929" s="769"/>
      <c r="P929" s="769"/>
      <c r="Q929" s="769"/>
      <c r="R929" s="769"/>
      <c r="S929" s="769"/>
      <c r="T929" s="769"/>
      <c r="U929" s="769"/>
      <c r="V929" s="769"/>
      <c r="W929" s="769"/>
      <c r="X929" s="769"/>
      <c r="Y929" s="769"/>
      <c r="Z929" s="769"/>
    </row>
    <row r="930" spans="1:26" ht="18.75" customHeight="1" x14ac:dyDescent="0.3">
      <c r="A930" s="769"/>
      <c r="B930" s="769"/>
      <c r="C930" s="769"/>
      <c r="D930" s="771"/>
      <c r="E930" s="769"/>
      <c r="F930" s="769"/>
      <c r="G930" s="769"/>
      <c r="H930" s="769"/>
      <c r="I930" s="769"/>
      <c r="J930" s="769"/>
      <c r="K930" s="772"/>
      <c r="L930" s="769"/>
      <c r="M930" s="769"/>
      <c r="N930" s="769"/>
      <c r="O930" s="769"/>
      <c r="P930" s="769"/>
      <c r="Q930" s="769"/>
      <c r="R930" s="769"/>
      <c r="S930" s="769"/>
      <c r="T930" s="769"/>
      <c r="U930" s="769"/>
      <c r="V930" s="769"/>
      <c r="W930" s="769"/>
      <c r="X930" s="769"/>
      <c r="Y930" s="769"/>
      <c r="Z930" s="769"/>
    </row>
    <row r="931" spans="1:26" ht="18.75" customHeight="1" x14ac:dyDescent="0.3">
      <c r="A931" s="769"/>
      <c r="B931" s="769"/>
      <c r="C931" s="769"/>
      <c r="D931" s="771"/>
      <c r="E931" s="769"/>
      <c r="F931" s="769"/>
      <c r="G931" s="769"/>
      <c r="H931" s="769"/>
      <c r="I931" s="769"/>
      <c r="J931" s="769"/>
      <c r="K931" s="772"/>
      <c r="L931" s="769"/>
      <c r="M931" s="769"/>
      <c r="N931" s="769"/>
      <c r="O931" s="769"/>
      <c r="P931" s="769"/>
      <c r="Q931" s="769"/>
      <c r="R931" s="769"/>
      <c r="S931" s="769"/>
      <c r="T931" s="769"/>
      <c r="U931" s="769"/>
      <c r="V931" s="769"/>
      <c r="W931" s="769"/>
      <c r="X931" s="769"/>
      <c r="Y931" s="769"/>
      <c r="Z931" s="769"/>
    </row>
    <row r="932" spans="1:26" ht="18.75" customHeight="1" x14ac:dyDescent="0.3">
      <c r="A932" s="769"/>
      <c r="B932" s="769"/>
      <c r="C932" s="769"/>
      <c r="D932" s="771"/>
      <c r="E932" s="769"/>
      <c r="F932" s="769"/>
      <c r="G932" s="769"/>
      <c r="H932" s="769"/>
      <c r="I932" s="769"/>
      <c r="J932" s="769"/>
      <c r="K932" s="772"/>
      <c r="L932" s="769"/>
      <c r="M932" s="769"/>
      <c r="N932" s="769"/>
      <c r="O932" s="769"/>
      <c r="P932" s="769"/>
      <c r="Q932" s="769"/>
      <c r="R932" s="769"/>
      <c r="S932" s="769"/>
      <c r="T932" s="769"/>
      <c r="U932" s="769"/>
      <c r="V932" s="769"/>
      <c r="W932" s="769"/>
      <c r="X932" s="769"/>
      <c r="Y932" s="769"/>
      <c r="Z932" s="769"/>
    </row>
    <row r="933" spans="1:26" ht="18.75" customHeight="1" x14ac:dyDescent="0.3">
      <c r="A933" s="769"/>
      <c r="B933" s="769"/>
      <c r="C933" s="769"/>
      <c r="D933" s="771"/>
      <c r="E933" s="769"/>
      <c r="F933" s="769"/>
      <c r="G933" s="769"/>
      <c r="H933" s="769"/>
      <c r="I933" s="769"/>
      <c r="J933" s="769"/>
      <c r="K933" s="772"/>
      <c r="L933" s="769"/>
      <c r="M933" s="769"/>
      <c r="N933" s="769"/>
      <c r="O933" s="769"/>
      <c r="P933" s="769"/>
      <c r="Q933" s="769"/>
      <c r="R933" s="769"/>
      <c r="S933" s="769"/>
      <c r="T933" s="769"/>
      <c r="U933" s="769"/>
      <c r="V933" s="769"/>
      <c r="W933" s="769"/>
      <c r="X933" s="769"/>
      <c r="Y933" s="769"/>
      <c r="Z933" s="769"/>
    </row>
    <row r="934" spans="1:26" ht="18.75" customHeight="1" x14ac:dyDescent="0.3">
      <c r="A934" s="769"/>
      <c r="B934" s="769"/>
      <c r="C934" s="769"/>
      <c r="D934" s="771"/>
      <c r="E934" s="769"/>
      <c r="F934" s="769"/>
      <c r="G934" s="769"/>
      <c r="H934" s="769"/>
      <c r="I934" s="769"/>
      <c r="J934" s="769"/>
      <c r="K934" s="772"/>
      <c r="L934" s="769"/>
      <c r="M934" s="769"/>
      <c r="N934" s="769"/>
      <c r="O934" s="769"/>
      <c r="P934" s="769"/>
      <c r="Q934" s="769"/>
      <c r="R934" s="769"/>
      <c r="S934" s="769"/>
      <c r="T934" s="769"/>
      <c r="U934" s="769"/>
      <c r="V934" s="769"/>
      <c r="W934" s="769"/>
      <c r="X934" s="769"/>
      <c r="Y934" s="769"/>
      <c r="Z934" s="769"/>
    </row>
    <row r="935" spans="1:26" ht="18.75" customHeight="1" x14ac:dyDescent="0.3">
      <c r="A935" s="769"/>
      <c r="B935" s="769"/>
      <c r="C935" s="769"/>
      <c r="D935" s="771"/>
      <c r="E935" s="769"/>
      <c r="F935" s="769"/>
      <c r="G935" s="769"/>
      <c r="H935" s="769"/>
      <c r="I935" s="769"/>
      <c r="J935" s="769"/>
      <c r="K935" s="772"/>
      <c r="L935" s="769"/>
      <c r="M935" s="769"/>
      <c r="N935" s="769"/>
      <c r="O935" s="769"/>
      <c r="P935" s="769"/>
      <c r="Q935" s="769"/>
      <c r="R935" s="769"/>
      <c r="S935" s="769"/>
      <c r="T935" s="769"/>
      <c r="U935" s="769"/>
      <c r="V935" s="769"/>
      <c r="W935" s="769"/>
      <c r="X935" s="769"/>
      <c r="Y935" s="769"/>
      <c r="Z935" s="769"/>
    </row>
    <row r="936" spans="1:26" ht="18.75" customHeight="1" x14ac:dyDescent="0.3">
      <c r="A936" s="769"/>
      <c r="B936" s="769"/>
      <c r="C936" s="769"/>
      <c r="D936" s="771"/>
      <c r="E936" s="769"/>
      <c r="F936" s="769"/>
      <c r="G936" s="769"/>
      <c r="H936" s="769"/>
      <c r="I936" s="769"/>
      <c r="J936" s="769"/>
      <c r="K936" s="772"/>
      <c r="L936" s="769"/>
      <c r="M936" s="769"/>
      <c r="N936" s="769"/>
      <c r="O936" s="769"/>
      <c r="P936" s="769"/>
      <c r="Q936" s="769"/>
      <c r="R936" s="769"/>
      <c r="S936" s="769"/>
      <c r="T936" s="769"/>
      <c r="U936" s="769"/>
      <c r="V936" s="769"/>
      <c r="W936" s="769"/>
      <c r="X936" s="769"/>
      <c r="Y936" s="769"/>
      <c r="Z936" s="769"/>
    </row>
    <row r="937" spans="1:26" ht="18.75" customHeight="1" x14ac:dyDescent="0.3">
      <c r="A937" s="769"/>
      <c r="B937" s="769"/>
      <c r="C937" s="769"/>
      <c r="D937" s="771"/>
      <c r="E937" s="769"/>
      <c r="F937" s="769"/>
      <c r="G937" s="769"/>
      <c r="H937" s="769"/>
      <c r="I937" s="769"/>
      <c r="J937" s="769"/>
      <c r="K937" s="772"/>
      <c r="L937" s="769"/>
      <c r="M937" s="769"/>
      <c r="N937" s="769"/>
      <c r="O937" s="769"/>
      <c r="P937" s="769"/>
      <c r="Q937" s="769"/>
      <c r="R937" s="769"/>
      <c r="S937" s="769"/>
      <c r="T937" s="769"/>
      <c r="U937" s="769"/>
      <c r="V937" s="769"/>
      <c r="W937" s="769"/>
      <c r="X937" s="769"/>
      <c r="Y937" s="769"/>
      <c r="Z937" s="769"/>
    </row>
    <row r="938" spans="1:26" ht="18.75" customHeight="1" x14ac:dyDescent="0.3">
      <c r="A938" s="769"/>
      <c r="B938" s="769"/>
      <c r="C938" s="769"/>
      <c r="D938" s="771"/>
      <c r="E938" s="769"/>
      <c r="F938" s="769"/>
      <c r="G938" s="769"/>
      <c r="H938" s="769"/>
      <c r="I938" s="769"/>
      <c r="J938" s="769"/>
      <c r="K938" s="772"/>
      <c r="L938" s="769"/>
      <c r="M938" s="769"/>
      <c r="N938" s="769"/>
      <c r="O938" s="769"/>
      <c r="P938" s="769"/>
      <c r="Q938" s="769"/>
      <c r="R938" s="769"/>
      <c r="S938" s="769"/>
      <c r="T938" s="769"/>
      <c r="U938" s="769"/>
      <c r="V938" s="769"/>
      <c r="W938" s="769"/>
      <c r="X938" s="769"/>
      <c r="Y938" s="769"/>
      <c r="Z938" s="769"/>
    </row>
    <row r="939" spans="1:26" ht="18.75" customHeight="1" x14ac:dyDescent="0.3">
      <c r="A939" s="769"/>
      <c r="B939" s="769"/>
      <c r="C939" s="769"/>
      <c r="D939" s="771"/>
      <c r="E939" s="769"/>
      <c r="F939" s="769"/>
      <c r="G939" s="769"/>
      <c r="H939" s="769"/>
      <c r="I939" s="769"/>
      <c r="J939" s="769"/>
      <c r="K939" s="772"/>
      <c r="L939" s="769"/>
      <c r="M939" s="769"/>
      <c r="N939" s="769"/>
      <c r="O939" s="769"/>
      <c r="P939" s="769"/>
      <c r="Q939" s="769"/>
      <c r="R939" s="769"/>
      <c r="S939" s="769"/>
      <c r="T939" s="769"/>
      <c r="U939" s="769"/>
      <c r="V939" s="769"/>
      <c r="W939" s="769"/>
      <c r="X939" s="769"/>
      <c r="Y939" s="769"/>
      <c r="Z939" s="769"/>
    </row>
    <row r="940" spans="1:26" ht="18.75" customHeight="1" x14ac:dyDescent="0.3">
      <c r="A940" s="769"/>
      <c r="B940" s="769"/>
      <c r="C940" s="769"/>
      <c r="D940" s="771"/>
      <c r="E940" s="769"/>
      <c r="F940" s="769"/>
      <c r="G940" s="769"/>
      <c r="H940" s="769"/>
      <c r="I940" s="769"/>
      <c r="J940" s="769"/>
      <c r="K940" s="772"/>
      <c r="L940" s="769"/>
      <c r="M940" s="769"/>
      <c r="N940" s="769"/>
      <c r="O940" s="769"/>
      <c r="P940" s="769"/>
      <c r="Q940" s="769"/>
      <c r="R940" s="769"/>
      <c r="S940" s="769"/>
      <c r="T940" s="769"/>
      <c r="U940" s="769"/>
      <c r="V940" s="769"/>
      <c r="W940" s="769"/>
      <c r="X940" s="769"/>
      <c r="Y940" s="769"/>
      <c r="Z940" s="769"/>
    </row>
    <row r="941" spans="1:26" ht="18.75" customHeight="1" x14ac:dyDescent="0.3">
      <c r="A941" s="769"/>
      <c r="B941" s="769"/>
      <c r="C941" s="769"/>
      <c r="D941" s="771"/>
      <c r="E941" s="769"/>
      <c r="F941" s="769"/>
      <c r="G941" s="769"/>
      <c r="H941" s="769"/>
      <c r="I941" s="769"/>
      <c r="J941" s="769"/>
      <c r="K941" s="772"/>
      <c r="L941" s="769"/>
      <c r="M941" s="769"/>
      <c r="N941" s="769"/>
      <c r="O941" s="769"/>
      <c r="P941" s="769"/>
      <c r="Q941" s="769"/>
      <c r="R941" s="769"/>
      <c r="S941" s="769"/>
      <c r="T941" s="769"/>
      <c r="U941" s="769"/>
      <c r="V941" s="769"/>
      <c r="W941" s="769"/>
      <c r="X941" s="769"/>
      <c r="Y941" s="769"/>
      <c r="Z941" s="769"/>
    </row>
    <row r="942" spans="1:26" ht="18.75" customHeight="1" x14ac:dyDescent="0.3">
      <c r="A942" s="769"/>
      <c r="B942" s="769"/>
      <c r="C942" s="769"/>
      <c r="D942" s="771"/>
      <c r="E942" s="769"/>
      <c r="F942" s="769"/>
      <c r="G942" s="769"/>
      <c r="H942" s="769"/>
      <c r="I942" s="769"/>
      <c r="J942" s="769"/>
      <c r="K942" s="772"/>
      <c r="L942" s="769"/>
      <c r="M942" s="769"/>
      <c r="N942" s="769"/>
      <c r="O942" s="769"/>
      <c r="P942" s="769"/>
      <c r="Q942" s="769"/>
      <c r="R942" s="769"/>
      <c r="S942" s="769"/>
      <c r="T942" s="769"/>
      <c r="U942" s="769"/>
      <c r="V942" s="769"/>
      <c r="W942" s="769"/>
      <c r="X942" s="769"/>
      <c r="Y942" s="769"/>
      <c r="Z942" s="769"/>
    </row>
    <row r="943" spans="1:26" ht="18.75" customHeight="1" x14ac:dyDescent="0.3">
      <c r="A943" s="769"/>
      <c r="B943" s="769"/>
      <c r="C943" s="769"/>
      <c r="D943" s="771"/>
      <c r="E943" s="769"/>
      <c r="F943" s="769"/>
      <c r="G943" s="769"/>
      <c r="H943" s="769"/>
      <c r="I943" s="769"/>
      <c r="J943" s="769"/>
      <c r="K943" s="772"/>
      <c r="L943" s="769"/>
      <c r="M943" s="769"/>
      <c r="N943" s="769"/>
      <c r="O943" s="769"/>
      <c r="P943" s="769"/>
      <c r="Q943" s="769"/>
      <c r="R943" s="769"/>
      <c r="S943" s="769"/>
      <c r="T943" s="769"/>
      <c r="U943" s="769"/>
      <c r="V943" s="769"/>
      <c r="W943" s="769"/>
      <c r="X943" s="769"/>
      <c r="Y943" s="769"/>
      <c r="Z943" s="769"/>
    </row>
    <row r="944" spans="1:26" ht="18.75" customHeight="1" x14ac:dyDescent="0.3">
      <c r="A944" s="769"/>
      <c r="B944" s="769"/>
      <c r="C944" s="769"/>
      <c r="D944" s="771"/>
      <c r="E944" s="769"/>
      <c r="F944" s="769"/>
      <c r="G944" s="769"/>
      <c r="H944" s="769"/>
      <c r="I944" s="769"/>
      <c r="J944" s="769"/>
      <c r="K944" s="772"/>
      <c r="L944" s="769"/>
      <c r="M944" s="769"/>
      <c r="N944" s="769"/>
      <c r="O944" s="769"/>
      <c r="P944" s="769"/>
      <c r="Q944" s="769"/>
      <c r="R944" s="769"/>
      <c r="S944" s="769"/>
      <c r="T944" s="769"/>
      <c r="U944" s="769"/>
      <c r="V944" s="769"/>
      <c r="W944" s="769"/>
      <c r="X944" s="769"/>
      <c r="Y944" s="769"/>
      <c r="Z944" s="769"/>
    </row>
    <row r="945" spans="1:26" ht="18.75" customHeight="1" x14ac:dyDescent="0.3">
      <c r="A945" s="769"/>
      <c r="B945" s="769"/>
      <c r="C945" s="769"/>
      <c r="D945" s="771"/>
      <c r="E945" s="769"/>
      <c r="F945" s="769"/>
      <c r="G945" s="769"/>
      <c r="H945" s="769"/>
      <c r="I945" s="769"/>
      <c r="J945" s="769"/>
      <c r="K945" s="772"/>
      <c r="L945" s="769"/>
      <c r="M945" s="769"/>
      <c r="N945" s="769"/>
      <c r="O945" s="769"/>
      <c r="P945" s="769"/>
      <c r="Q945" s="769"/>
      <c r="R945" s="769"/>
      <c r="S945" s="769"/>
      <c r="T945" s="769"/>
      <c r="U945" s="769"/>
      <c r="V945" s="769"/>
      <c r="W945" s="769"/>
      <c r="X945" s="769"/>
      <c r="Y945" s="769"/>
      <c r="Z945" s="769"/>
    </row>
    <row r="946" spans="1:26" ht="18.75" customHeight="1" x14ac:dyDescent="0.3">
      <c r="A946" s="769"/>
      <c r="B946" s="769"/>
      <c r="C946" s="769"/>
      <c r="D946" s="771"/>
      <c r="E946" s="769"/>
      <c r="F946" s="769"/>
      <c r="G946" s="769"/>
      <c r="H946" s="769"/>
      <c r="I946" s="769"/>
      <c r="J946" s="769"/>
      <c r="K946" s="772"/>
      <c r="L946" s="769"/>
      <c r="M946" s="769"/>
      <c r="N946" s="769"/>
      <c r="O946" s="769"/>
      <c r="P946" s="769"/>
      <c r="Q946" s="769"/>
      <c r="R946" s="769"/>
      <c r="S946" s="769"/>
      <c r="T946" s="769"/>
      <c r="U946" s="769"/>
      <c r="V946" s="769"/>
      <c r="W946" s="769"/>
      <c r="X946" s="769"/>
      <c r="Y946" s="769"/>
      <c r="Z946" s="769"/>
    </row>
    <row r="947" spans="1:26" ht="18.75" customHeight="1" x14ac:dyDescent="0.3">
      <c r="A947" s="769"/>
      <c r="B947" s="769"/>
      <c r="C947" s="769"/>
      <c r="D947" s="771"/>
      <c r="E947" s="769"/>
      <c r="F947" s="769"/>
      <c r="G947" s="769"/>
      <c r="H947" s="769"/>
      <c r="I947" s="769"/>
      <c r="J947" s="769"/>
      <c r="K947" s="772"/>
      <c r="L947" s="769"/>
      <c r="M947" s="769"/>
      <c r="N947" s="769"/>
      <c r="O947" s="769"/>
      <c r="P947" s="769"/>
      <c r="Q947" s="769"/>
      <c r="R947" s="769"/>
      <c r="S947" s="769"/>
      <c r="T947" s="769"/>
      <c r="U947" s="769"/>
      <c r="V947" s="769"/>
      <c r="W947" s="769"/>
      <c r="X947" s="769"/>
      <c r="Y947" s="769"/>
      <c r="Z947" s="769"/>
    </row>
    <row r="948" spans="1:26" ht="18.75" customHeight="1" x14ac:dyDescent="0.3">
      <c r="A948" s="769"/>
      <c r="B948" s="769"/>
      <c r="C948" s="769"/>
      <c r="D948" s="771"/>
      <c r="E948" s="769"/>
      <c r="F948" s="769"/>
      <c r="G948" s="769"/>
      <c r="H948" s="769"/>
      <c r="I948" s="769"/>
      <c r="J948" s="769"/>
      <c r="K948" s="772"/>
      <c r="L948" s="769"/>
      <c r="M948" s="769"/>
      <c r="N948" s="769"/>
      <c r="O948" s="769"/>
      <c r="P948" s="769"/>
      <c r="Q948" s="769"/>
      <c r="R948" s="769"/>
      <c r="S948" s="769"/>
      <c r="T948" s="769"/>
      <c r="U948" s="769"/>
      <c r="V948" s="769"/>
      <c r="W948" s="769"/>
      <c r="X948" s="769"/>
      <c r="Y948" s="769"/>
      <c r="Z948" s="769"/>
    </row>
    <row r="949" spans="1:26" ht="18.75" customHeight="1" x14ac:dyDescent="0.3">
      <c r="A949" s="769"/>
      <c r="B949" s="769"/>
      <c r="C949" s="769"/>
      <c r="D949" s="771"/>
      <c r="E949" s="769"/>
      <c r="F949" s="769"/>
      <c r="G949" s="769"/>
      <c r="H949" s="769"/>
      <c r="I949" s="769"/>
      <c r="J949" s="769"/>
      <c r="K949" s="772"/>
      <c r="L949" s="769"/>
      <c r="M949" s="769"/>
      <c r="N949" s="769"/>
      <c r="O949" s="769"/>
      <c r="P949" s="769"/>
      <c r="Q949" s="769"/>
      <c r="R949" s="769"/>
      <c r="S949" s="769"/>
      <c r="T949" s="769"/>
      <c r="U949" s="769"/>
      <c r="V949" s="769"/>
      <c r="W949" s="769"/>
      <c r="X949" s="769"/>
      <c r="Y949" s="769"/>
      <c r="Z949" s="769"/>
    </row>
    <row r="950" spans="1:26" ht="18.75" customHeight="1" x14ac:dyDescent="0.3">
      <c r="A950" s="769"/>
      <c r="B950" s="769"/>
      <c r="C950" s="769"/>
      <c r="D950" s="771"/>
      <c r="E950" s="769"/>
      <c r="F950" s="769"/>
      <c r="G950" s="769"/>
      <c r="H950" s="769"/>
      <c r="I950" s="769"/>
      <c r="J950" s="769"/>
      <c r="K950" s="772"/>
      <c r="L950" s="769"/>
      <c r="M950" s="769"/>
      <c r="N950" s="769"/>
      <c r="O950" s="769"/>
      <c r="P950" s="769"/>
      <c r="Q950" s="769"/>
      <c r="R950" s="769"/>
      <c r="S950" s="769"/>
      <c r="T950" s="769"/>
      <c r="U950" s="769"/>
      <c r="V950" s="769"/>
      <c r="W950" s="769"/>
      <c r="X950" s="769"/>
      <c r="Y950" s="769"/>
      <c r="Z950" s="769"/>
    </row>
    <row r="951" spans="1:26" ht="18.75" customHeight="1" x14ac:dyDescent="0.3">
      <c r="A951" s="769"/>
      <c r="B951" s="769"/>
      <c r="C951" s="769"/>
      <c r="D951" s="771"/>
      <c r="E951" s="769"/>
      <c r="F951" s="769"/>
      <c r="G951" s="769"/>
      <c r="H951" s="769"/>
      <c r="I951" s="769"/>
      <c r="J951" s="769"/>
      <c r="K951" s="772"/>
      <c r="L951" s="769"/>
      <c r="M951" s="769"/>
      <c r="N951" s="769"/>
      <c r="O951" s="769"/>
      <c r="P951" s="769"/>
      <c r="Q951" s="769"/>
      <c r="R951" s="769"/>
      <c r="S951" s="769"/>
      <c r="T951" s="769"/>
      <c r="U951" s="769"/>
      <c r="V951" s="769"/>
      <c r="W951" s="769"/>
      <c r="X951" s="769"/>
      <c r="Y951" s="769"/>
      <c r="Z951" s="769"/>
    </row>
    <row r="952" spans="1:26" ht="18.75" customHeight="1" x14ac:dyDescent="0.3">
      <c r="A952" s="769"/>
      <c r="B952" s="769"/>
      <c r="C952" s="769"/>
      <c r="D952" s="771"/>
      <c r="E952" s="769"/>
      <c r="F952" s="769"/>
      <c r="G952" s="769"/>
      <c r="H952" s="769"/>
      <c r="I952" s="769"/>
      <c r="J952" s="769"/>
      <c r="K952" s="772"/>
      <c r="L952" s="769"/>
      <c r="M952" s="769"/>
      <c r="N952" s="769"/>
      <c r="O952" s="769"/>
      <c r="P952" s="769"/>
      <c r="Q952" s="769"/>
      <c r="R952" s="769"/>
      <c r="S952" s="769"/>
      <c r="T952" s="769"/>
      <c r="U952" s="769"/>
      <c r="V952" s="769"/>
      <c r="W952" s="769"/>
      <c r="X952" s="769"/>
      <c r="Y952" s="769"/>
      <c r="Z952" s="769"/>
    </row>
    <row r="953" spans="1:26" ht="18.75" customHeight="1" x14ac:dyDescent="0.3">
      <c r="A953" s="769"/>
      <c r="B953" s="769"/>
      <c r="C953" s="769"/>
      <c r="D953" s="771"/>
      <c r="E953" s="769"/>
      <c r="F953" s="769"/>
      <c r="G953" s="769"/>
      <c r="H953" s="769"/>
      <c r="I953" s="769"/>
      <c r="J953" s="769"/>
      <c r="K953" s="772"/>
      <c r="L953" s="769"/>
      <c r="M953" s="769"/>
      <c r="N953" s="769"/>
      <c r="O953" s="769"/>
      <c r="P953" s="769"/>
      <c r="Q953" s="769"/>
      <c r="R953" s="769"/>
      <c r="S953" s="769"/>
      <c r="T953" s="769"/>
      <c r="U953" s="769"/>
      <c r="V953" s="769"/>
      <c r="W953" s="769"/>
      <c r="X953" s="769"/>
      <c r="Y953" s="769"/>
      <c r="Z953" s="769"/>
    </row>
    <row r="954" spans="1:26" ht="18.75" customHeight="1" x14ac:dyDescent="0.3">
      <c r="A954" s="769"/>
      <c r="B954" s="769"/>
      <c r="C954" s="769"/>
      <c r="D954" s="771"/>
      <c r="E954" s="769"/>
      <c r="F954" s="769"/>
      <c r="G954" s="769"/>
      <c r="H954" s="769"/>
      <c r="I954" s="769"/>
      <c r="J954" s="769"/>
      <c r="K954" s="772"/>
      <c r="L954" s="769"/>
      <c r="M954" s="769"/>
      <c r="N954" s="769"/>
      <c r="O954" s="769"/>
      <c r="P954" s="769"/>
      <c r="Q954" s="769"/>
      <c r="R954" s="769"/>
      <c r="S954" s="769"/>
      <c r="T954" s="769"/>
      <c r="U954" s="769"/>
      <c r="V954" s="769"/>
      <c r="W954" s="769"/>
      <c r="X954" s="769"/>
      <c r="Y954" s="769"/>
      <c r="Z954" s="769"/>
    </row>
    <row r="955" spans="1:26" ht="18.75" customHeight="1" x14ac:dyDescent="0.3">
      <c r="A955" s="769"/>
      <c r="B955" s="769"/>
      <c r="C955" s="769"/>
      <c r="D955" s="771"/>
      <c r="E955" s="769"/>
      <c r="F955" s="769"/>
      <c r="G955" s="769"/>
      <c r="H955" s="769"/>
      <c r="I955" s="769"/>
      <c r="J955" s="769"/>
      <c r="K955" s="772"/>
      <c r="L955" s="769"/>
      <c r="M955" s="769"/>
      <c r="N955" s="769"/>
      <c r="O955" s="769"/>
      <c r="P955" s="769"/>
      <c r="Q955" s="769"/>
      <c r="R955" s="769"/>
      <c r="S955" s="769"/>
      <c r="T955" s="769"/>
      <c r="U955" s="769"/>
      <c r="V955" s="769"/>
      <c r="W955" s="769"/>
      <c r="X955" s="769"/>
      <c r="Y955" s="769"/>
      <c r="Z955" s="769"/>
    </row>
    <row r="956" spans="1:26" ht="18.75" customHeight="1" x14ac:dyDescent="0.3">
      <c r="A956" s="769"/>
      <c r="B956" s="769"/>
      <c r="C956" s="769"/>
      <c r="D956" s="771"/>
      <c r="E956" s="769"/>
      <c r="F956" s="769"/>
      <c r="G956" s="769"/>
      <c r="H956" s="769"/>
      <c r="I956" s="769"/>
      <c r="J956" s="769"/>
      <c r="K956" s="772"/>
      <c r="L956" s="769"/>
      <c r="M956" s="769"/>
      <c r="N956" s="769"/>
      <c r="O956" s="769"/>
      <c r="P956" s="769"/>
      <c r="Q956" s="769"/>
      <c r="R956" s="769"/>
      <c r="S956" s="769"/>
      <c r="T956" s="769"/>
      <c r="U956" s="769"/>
      <c r="V956" s="769"/>
      <c r="W956" s="769"/>
      <c r="X956" s="769"/>
      <c r="Y956" s="769"/>
      <c r="Z956" s="769"/>
    </row>
    <row r="957" spans="1:26" ht="18.75" customHeight="1" x14ac:dyDescent="0.3">
      <c r="A957" s="769"/>
      <c r="B957" s="769"/>
      <c r="C957" s="769"/>
      <c r="D957" s="771"/>
      <c r="E957" s="769"/>
      <c r="F957" s="769"/>
      <c r="G957" s="769"/>
      <c r="H957" s="769"/>
      <c r="I957" s="769"/>
      <c r="J957" s="769"/>
      <c r="K957" s="772"/>
      <c r="L957" s="769"/>
      <c r="M957" s="769"/>
      <c r="N957" s="769"/>
      <c r="O957" s="769"/>
      <c r="P957" s="769"/>
      <c r="Q957" s="769"/>
      <c r="R957" s="769"/>
      <c r="S957" s="769"/>
      <c r="T957" s="769"/>
      <c r="U957" s="769"/>
      <c r="V957" s="769"/>
      <c r="W957" s="769"/>
      <c r="X957" s="769"/>
      <c r="Y957" s="769"/>
      <c r="Z957" s="769"/>
    </row>
    <row r="958" spans="1:26" ht="18.75" customHeight="1" x14ac:dyDescent="0.3">
      <c r="A958" s="769"/>
      <c r="B958" s="769"/>
      <c r="C958" s="769"/>
      <c r="D958" s="771"/>
      <c r="E958" s="769"/>
      <c r="F958" s="769"/>
      <c r="G958" s="769"/>
      <c r="H958" s="769"/>
      <c r="I958" s="769"/>
      <c r="J958" s="769"/>
      <c r="K958" s="772"/>
      <c r="L958" s="769"/>
      <c r="M958" s="769"/>
      <c r="N958" s="769"/>
      <c r="O958" s="769"/>
      <c r="P958" s="769"/>
      <c r="Q958" s="769"/>
      <c r="R958" s="769"/>
      <c r="S958" s="769"/>
      <c r="T958" s="769"/>
      <c r="U958" s="769"/>
      <c r="V958" s="769"/>
      <c r="W958" s="769"/>
      <c r="X958" s="769"/>
      <c r="Y958" s="769"/>
      <c r="Z958" s="769"/>
    </row>
    <row r="959" spans="1:26" ht="18.75" customHeight="1" x14ac:dyDescent="0.3">
      <c r="A959" s="769"/>
      <c r="B959" s="769"/>
      <c r="C959" s="769"/>
      <c r="D959" s="771"/>
      <c r="E959" s="769"/>
      <c r="F959" s="769"/>
      <c r="G959" s="769"/>
      <c r="H959" s="769"/>
      <c r="I959" s="769"/>
      <c r="J959" s="769"/>
      <c r="K959" s="772"/>
      <c r="L959" s="769"/>
      <c r="M959" s="769"/>
      <c r="N959" s="769"/>
      <c r="O959" s="769"/>
      <c r="P959" s="769"/>
      <c r="Q959" s="769"/>
      <c r="R959" s="769"/>
      <c r="S959" s="769"/>
      <c r="T959" s="769"/>
      <c r="U959" s="769"/>
      <c r="V959" s="769"/>
      <c r="W959" s="769"/>
      <c r="X959" s="769"/>
      <c r="Y959" s="769"/>
      <c r="Z959" s="769"/>
    </row>
    <row r="960" spans="1:26" ht="18.75" customHeight="1" x14ac:dyDescent="0.3">
      <c r="A960" s="769"/>
      <c r="B960" s="769"/>
      <c r="C960" s="769"/>
      <c r="D960" s="771"/>
      <c r="E960" s="769"/>
      <c r="F960" s="769"/>
      <c r="G960" s="769"/>
      <c r="H960" s="769"/>
      <c r="I960" s="769"/>
      <c r="J960" s="769"/>
      <c r="K960" s="772"/>
      <c r="L960" s="769"/>
      <c r="M960" s="769"/>
      <c r="N960" s="769"/>
      <c r="O960" s="769"/>
      <c r="P960" s="769"/>
      <c r="Q960" s="769"/>
      <c r="R960" s="769"/>
      <c r="S960" s="769"/>
      <c r="T960" s="769"/>
      <c r="U960" s="769"/>
      <c r="V960" s="769"/>
      <c r="W960" s="769"/>
      <c r="X960" s="769"/>
      <c r="Y960" s="769"/>
      <c r="Z960" s="769"/>
    </row>
    <row r="961" spans="1:26" ht="18.75" customHeight="1" x14ac:dyDescent="0.3">
      <c r="A961" s="769"/>
      <c r="B961" s="769"/>
      <c r="C961" s="769"/>
      <c r="D961" s="771"/>
      <c r="E961" s="769"/>
      <c r="F961" s="769"/>
      <c r="G961" s="769"/>
      <c r="H961" s="769"/>
      <c r="I961" s="769"/>
      <c r="J961" s="769"/>
      <c r="K961" s="772"/>
      <c r="L961" s="769"/>
      <c r="M961" s="769"/>
      <c r="N961" s="769"/>
      <c r="O961" s="769"/>
      <c r="P961" s="769"/>
      <c r="Q961" s="769"/>
      <c r="R961" s="769"/>
      <c r="S961" s="769"/>
      <c r="T961" s="769"/>
      <c r="U961" s="769"/>
      <c r="V961" s="769"/>
      <c r="W961" s="769"/>
      <c r="X961" s="769"/>
      <c r="Y961" s="769"/>
      <c r="Z961" s="769"/>
    </row>
    <row r="962" spans="1:26" ht="18.75" customHeight="1" x14ac:dyDescent="0.3">
      <c r="A962" s="769"/>
      <c r="B962" s="769"/>
      <c r="C962" s="769"/>
      <c r="D962" s="771"/>
      <c r="E962" s="769"/>
      <c r="F962" s="769"/>
      <c r="G962" s="769"/>
      <c r="H962" s="769"/>
      <c r="I962" s="769"/>
      <c r="J962" s="769"/>
      <c r="K962" s="772"/>
      <c r="L962" s="769"/>
      <c r="M962" s="769"/>
      <c r="N962" s="769"/>
      <c r="O962" s="769"/>
      <c r="P962" s="769"/>
      <c r="Q962" s="769"/>
      <c r="R962" s="769"/>
      <c r="S962" s="769"/>
      <c r="T962" s="769"/>
      <c r="U962" s="769"/>
      <c r="V962" s="769"/>
      <c r="W962" s="769"/>
      <c r="X962" s="769"/>
      <c r="Y962" s="769"/>
      <c r="Z962" s="769"/>
    </row>
    <row r="963" spans="1:26" ht="18.75" customHeight="1" x14ac:dyDescent="0.3">
      <c r="A963" s="769"/>
      <c r="B963" s="769"/>
      <c r="C963" s="769"/>
      <c r="D963" s="771"/>
      <c r="E963" s="769"/>
      <c r="F963" s="769"/>
      <c r="G963" s="769"/>
      <c r="H963" s="769"/>
      <c r="I963" s="769"/>
      <c r="J963" s="769"/>
      <c r="K963" s="772"/>
      <c r="L963" s="769"/>
      <c r="M963" s="769"/>
      <c r="N963" s="769"/>
      <c r="O963" s="769"/>
      <c r="P963" s="769"/>
      <c r="Q963" s="769"/>
      <c r="R963" s="769"/>
      <c r="S963" s="769"/>
      <c r="T963" s="769"/>
      <c r="U963" s="769"/>
      <c r="V963" s="769"/>
      <c r="W963" s="769"/>
      <c r="X963" s="769"/>
      <c r="Y963" s="769"/>
      <c r="Z963" s="769"/>
    </row>
  </sheetData>
  <mergeCells count="3">
    <mergeCell ref="A2:J2"/>
    <mergeCell ref="A3:J3"/>
    <mergeCell ref="A5:C5"/>
  </mergeCells>
  <pageMargins left="0.39370078740157483" right="0.39370078740157483" top="0.39370078740157483" bottom="0.39370078740157483" header="0" footer="0"/>
  <pageSetup paperSize="9" scale="4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78"/>
  <sheetViews>
    <sheetView view="pageBreakPreview" zoomScale="130" zoomScaleNormal="100" zoomScaleSheetLayoutView="130" workbookViewId="0">
      <selection activeCell="A6" sqref="A6"/>
    </sheetView>
  </sheetViews>
  <sheetFormatPr defaultColWidth="14.42578125" defaultRowHeight="15" x14ac:dyDescent="0.25"/>
  <cols>
    <col min="1" max="1" width="77.28515625" customWidth="1"/>
    <col min="2" max="2" width="18" customWidth="1"/>
    <col min="3" max="6" width="18" hidden="1" customWidth="1"/>
    <col min="7" max="7" width="18" customWidth="1"/>
    <col min="8" max="9" width="15.28515625" customWidth="1"/>
    <col min="10" max="26" width="10.28515625" customWidth="1"/>
  </cols>
  <sheetData>
    <row r="1" spans="1:26" ht="15.75" x14ac:dyDescent="0.25">
      <c r="A1" s="9"/>
      <c r="B1" s="10"/>
      <c r="C1" s="11"/>
      <c r="D1" s="11"/>
      <c r="E1" s="11"/>
      <c r="F1" s="10"/>
      <c r="G1" s="13"/>
      <c r="H1" s="15"/>
      <c r="I1" s="15"/>
      <c r="J1" s="15"/>
      <c r="K1" s="15"/>
      <c r="L1" s="15"/>
      <c r="M1" s="15"/>
      <c r="N1" s="15"/>
      <c r="O1" s="15"/>
      <c r="P1" s="15"/>
      <c r="Q1" s="15"/>
      <c r="R1" s="15"/>
      <c r="S1" s="15"/>
      <c r="T1" s="15"/>
      <c r="U1" s="15"/>
      <c r="V1" s="15"/>
      <c r="W1" s="15"/>
      <c r="X1" s="15"/>
      <c r="Y1" s="15"/>
      <c r="Z1" s="15"/>
    </row>
    <row r="2" spans="1:26" ht="15.75" x14ac:dyDescent="0.25">
      <c r="A2" s="861" t="s">
        <v>349</v>
      </c>
      <c r="B2" s="862"/>
      <c r="C2" s="862"/>
      <c r="D2" s="862"/>
      <c r="E2" s="862"/>
      <c r="F2" s="862"/>
      <c r="G2" s="863"/>
      <c r="H2" s="14"/>
      <c r="I2" s="15"/>
      <c r="J2" s="15"/>
      <c r="K2" s="15"/>
      <c r="L2" s="15"/>
      <c r="M2" s="15"/>
      <c r="N2" s="15"/>
      <c r="O2" s="15"/>
      <c r="P2" s="15"/>
      <c r="Q2" s="15"/>
      <c r="R2" s="15"/>
      <c r="S2" s="15"/>
      <c r="T2" s="15"/>
      <c r="U2" s="15"/>
      <c r="V2" s="15"/>
      <c r="W2" s="15"/>
      <c r="X2" s="15"/>
      <c r="Y2" s="15"/>
      <c r="Z2" s="15"/>
    </row>
    <row r="3" spans="1:26" ht="15.75" x14ac:dyDescent="0.25">
      <c r="A3" s="864" t="s">
        <v>350</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x14ac:dyDescent="0.25">
      <c r="A4" s="21"/>
      <c r="B4" s="18"/>
      <c r="C4" s="18"/>
      <c r="D4" s="18"/>
      <c r="E4" s="18"/>
      <c r="F4" s="18"/>
      <c r="G4" s="23"/>
      <c r="H4" s="14"/>
      <c r="I4" s="15"/>
      <c r="J4" s="15"/>
      <c r="K4" s="15"/>
      <c r="L4" s="15"/>
      <c r="M4" s="15"/>
      <c r="N4" s="15"/>
      <c r="O4" s="15"/>
      <c r="P4" s="15"/>
      <c r="Q4" s="15"/>
      <c r="R4" s="15"/>
      <c r="S4" s="15"/>
      <c r="T4" s="15"/>
      <c r="U4" s="15"/>
      <c r="V4" s="15"/>
      <c r="W4" s="15"/>
      <c r="X4" s="15"/>
      <c r="Y4" s="15"/>
      <c r="Z4" s="15"/>
    </row>
    <row r="5" spans="1:26" ht="15.75" x14ac:dyDescent="0.25">
      <c r="A5" s="17" t="s">
        <v>655</v>
      </c>
      <c r="B5" s="24"/>
      <c r="C5" s="25"/>
      <c r="D5" s="25"/>
      <c r="E5" s="25"/>
      <c r="F5" s="24"/>
      <c r="G5" s="19"/>
      <c r="H5" s="14"/>
      <c r="I5" s="15"/>
      <c r="J5" s="15"/>
      <c r="K5" s="15"/>
      <c r="L5" s="15"/>
      <c r="M5" s="15"/>
      <c r="N5" s="15"/>
      <c r="O5" s="15"/>
      <c r="P5" s="15"/>
      <c r="Q5" s="15"/>
      <c r="R5" s="15"/>
      <c r="S5" s="15"/>
      <c r="T5" s="15"/>
      <c r="U5" s="15"/>
      <c r="V5" s="15"/>
      <c r="W5" s="15"/>
      <c r="X5" s="15"/>
      <c r="Y5" s="15"/>
      <c r="Z5" s="15"/>
    </row>
    <row r="6" spans="1:26" ht="15.75" x14ac:dyDescent="0.25">
      <c r="A6" s="17"/>
      <c r="B6" s="24"/>
      <c r="C6" s="25"/>
      <c r="D6" s="25"/>
      <c r="E6" s="25"/>
      <c r="F6" s="24"/>
      <c r="G6" s="19"/>
      <c r="H6" s="14"/>
      <c r="I6" s="15"/>
      <c r="J6" s="15"/>
      <c r="K6" s="15"/>
      <c r="L6" s="15"/>
      <c r="M6" s="15"/>
      <c r="N6" s="15"/>
      <c r="O6" s="15"/>
      <c r="P6" s="15"/>
      <c r="Q6" s="15"/>
      <c r="R6" s="15"/>
      <c r="S6" s="15"/>
      <c r="T6" s="15"/>
      <c r="U6" s="15"/>
      <c r="V6" s="15"/>
      <c r="W6" s="15"/>
      <c r="X6" s="15"/>
      <c r="Y6" s="15"/>
      <c r="Z6" s="15"/>
    </row>
    <row r="7" spans="1:26" ht="15.75" x14ac:dyDescent="0.25">
      <c r="A7" s="865" t="s">
        <v>352</v>
      </c>
      <c r="B7" s="866"/>
      <c r="C7" s="866"/>
      <c r="D7" s="866"/>
      <c r="E7" s="866"/>
      <c r="F7" s="866"/>
      <c r="G7" s="867"/>
      <c r="H7" s="14"/>
      <c r="I7" s="15"/>
      <c r="J7" s="15"/>
      <c r="K7" s="15"/>
      <c r="L7" s="15"/>
      <c r="M7" s="15"/>
      <c r="N7" s="15"/>
      <c r="O7" s="15"/>
      <c r="P7" s="15"/>
      <c r="Q7" s="15"/>
      <c r="R7" s="15"/>
      <c r="S7" s="15"/>
      <c r="T7" s="15"/>
      <c r="U7" s="15"/>
      <c r="V7" s="15"/>
      <c r="W7" s="15"/>
      <c r="X7" s="15"/>
      <c r="Y7" s="15"/>
      <c r="Z7" s="15"/>
    </row>
    <row r="8" spans="1:26" ht="15.75" x14ac:dyDescent="0.25">
      <c r="A8" s="868" t="s">
        <v>353</v>
      </c>
      <c r="B8" s="857" t="s">
        <v>354</v>
      </c>
      <c r="C8" s="870" t="s">
        <v>355</v>
      </c>
      <c r="D8" s="872" t="s">
        <v>356</v>
      </c>
      <c r="E8" s="873"/>
      <c r="F8" s="874"/>
      <c r="G8" s="857" t="s">
        <v>357</v>
      </c>
      <c r="H8" s="15"/>
      <c r="I8" s="15"/>
      <c r="J8" s="15"/>
      <c r="K8" s="15"/>
      <c r="L8" s="15"/>
      <c r="M8" s="15"/>
      <c r="N8" s="15"/>
      <c r="O8" s="15"/>
      <c r="P8" s="15"/>
      <c r="Q8" s="15"/>
      <c r="R8" s="15"/>
      <c r="S8" s="15"/>
      <c r="T8" s="15"/>
      <c r="U8" s="15"/>
      <c r="V8" s="15"/>
      <c r="W8" s="15"/>
      <c r="X8" s="15"/>
      <c r="Y8" s="15"/>
      <c r="Z8" s="15"/>
    </row>
    <row r="9" spans="1:26" ht="15.75" x14ac:dyDescent="0.25">
      <c r="A9" s="858"/>
      <c r="B9" s="858"/>
      <c r="C9" s="871"/>
      <c r="D9" s="28" t="s">
        <v>358</v>
      </c>
      <c r="E9" s="29" t="s">
        <v>359</v>
      </c>
      <c r="F9" s="875" t="s">
        <v>360</v>
      </c>
      <c r="G9" s="858"/>
      <c r="H9" s="15"/>
      <c r="I9" s="15"/>
      <c r="J9" s="15"/>
      <c r="K9" s="15"/>
      <c r="L9" s="15"/>
      <c r="M9" s="15"/>
      <c r="N9" s="15"/>
      <c r="O9" s="15"/>
      <c r="P9" s="15"/>
      <c r="Q9" s="15"/>
      <c r="R9" s="15"/>
      <c r="S9" s="15"/>
      <c r="T9" s="15"/>
      <c r="U9" s="15"/>
      <c r="V9" s="15"/>
      <c r="W9" s="15"/>
      <c r="X9" s="15"/>
      <c r="Y9" s="15"/>
      <c r="Z9" s="15"/>
    </row>
    <row r="10" spans="1:26" ht="15.75" x14ac:dyDescent="0.25">
      <c r="A10" s="858"/>
      <c r="B10" s="858"/>
      <c r="C10" s="30" t="s">
        <v>361</v>
      </c>
      <c r="D10" s="31" t="s">
        <v>361</v>
      </c>
      <c r="E10" s="32" t="s">
        <v>362</v>
      </c>
      <c r="F10" s="860"/>
      <c r="G10" s="442" t="s">
        <v>2717</v>
      </c>
      <c r="H10" s="15"/>
      <c r="I10" s="15"/>
      <c r="J10" s="15"/>
      <c r="K10" s="15"/>
      <c r="L10" s="15"/>
      <c r="M10" s="15"/>
      <c r="N10" s="15"/>
      <c r="O10" s="15"/>
      <c r="P10" s="15"/>
      <c r="Q10" s="15"/>
      <c r="R10" s="15"/>
      <c r="S10" s="15"/>
      <c r="T10" s="15"/>
      <c r="U10" s="15"/>
      <c r="V10" s="15"/>
      <c r="W10" s="15"/>
      <c r="X10" s="15"/>
      <c r="Y10" s="15"/>
      <c r="Z10" s="15"/>
    </row>
    <row r="11" spans="1:26" ht="15.75"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5.75" x14ac:dyDescent="0.25">
      <c r="A12" s="9" t="s">
        <v>364</v>
      </c>
      <c r="B12" s="38"/>
      <c r="C12" s="42"/>
      <c r="D12" s="42"/>
      <c r="E12" s="42"/>
      <c r="F12" s="42"/>
      <c r="G12" s="37"/>
    </row>
    <row r="13" spans="1:26" ht="15.75" x14ac:dyDescent="0.25">
      <c r="A13" s="17" t="s">
        <v>622</v>
      </c>
      <c r="B13" s="41"/>
      <c r="C13" s="42"/>
      <c r="D13" s="42"/>
      <c r="E13" s="42"/>
      <c r="F13" s="42"/>
      <c r="G13" s="42"/>
    </row>
    <row r="14" spans="1:26" ht="15.75" x14ac:dyDescent="0.25">
      <c r="A14" s="17" t="s">
        <v>366</v>
      </c>
      <c r="B14" s="41"/>
      <c r="C14" s="42"/>
      <c r="D14" s="42"/>
      <c r="E14" s="19"/>
      <c r="F14" s="42"/>
      <c r="G14" s="42"/>
    </row>
    <row r="15" spans="1:26" ht="15.75" x14ac:dyDescent="0.25">
      <c r="A15" s="44" t="s">
        <v>367</v>
      </c>
      <c r="B15" s="41" t="s">
        <v>121</v>
      </c>
      <c r="C15" s="43">
        <v>3487189.35</v>
      </c>
      <c r="D15" s="43">
        <v>1794348.1</v>
      </c>
      <c r="E15" s="45">
        <f>F15-D15</f>
        <v>2257451.9</v>
      </c>
      <c r="F15" s="43">
        <v>4051800</v>
      </c>
      <c r="G15" s="43">
        <v>4270608</v>
      </c>
      <c r="H15" s="56"/>
      <c r="I15" s="7"/>
    </row>
    <row r="16" spans="1:26" ht="15.75" x14ac:dyDescent="0.25">
      <c r="A16" s="17" t="s">
        <v>656</v>
      </c>
      <c r="B16" s="41"/>
      <c r="C16" s="46"/>
      <c r="D16" s="46"/>
      <c r="E16" s="45"/>
      <c r="F16" s="43"/>
      <c r="G16" s="43"/>
      <c r="I16" s="7"/>
    </row>
    <row r="17" spans="1:9" ht="15.75" x14ac:dyDescent="0.25">
      <c r="A17" s="44" t="s">
        <v>369</v>
      </c>
      <c r="B17" s="41" t="s">
        <v>125</v>
      </c>
      <c r="C17" s="43">
        <v>144000</v>
      </c>
      <c r="D17" s="43">
        <v>72000</v>
      </c>
      <c r="E17" s="45">
        <f t="shared" ref="E17:E21" si="0">F17-D17</f>
        <v>96000</v>
      </c>
      <c r="F17" s="43">
        <v>168000</v>
      </c>
      <c r="G17" s="43">
        <v>168000</v>
      </c>
      <c r="I17" s="7"/>
    </row>
    <row r="18" spans="1:9" ht="15.75" x14ac:dyDescent="0.25">
      <c r="A18" s="44" t="s">
        <v>373</v>
      </c>
      <c r="B18" s="41" t="s">
        <v>131</v>
      </c>
      <c r="C18" s="43">
        <v>42000</v>
      </c>
      <c r="D18" s="43">
        <v>42000</v>
      </c>
      <c r="E18" s="45">
        <f t="shared" si="0"/>
        <v>7000</v>
      </c>
      <c r="F18" s="43">
        <v>49000</v>
      </c>
      <c r="G18" s="43">
        <v>49000</v>
      </c>
      <c r="I18" s="7"/>
    </row>
    <row r="19" spans="1:9" ht="15.75" x14ac:dyDescent="0.25">
      <c r="A19" s="74" t="s">
        <v>657</v>
      </c>
      <c r="B19" s="49" t="s">
        <v>149</v>
      </c>
      <c r="C19" s="43">
        <v>0</v>
      </c>
      <c r="D19" s="43">
        <v>0</v>
      </c>
      <c r="E19" s="45">
        <f t="shared" si="0"/>
        <v>0</v>
      </c>
      <c r="F19" s="43">
        <v>0</v>
      </c>
      <c r="G19" s="43">
        <v>40000</v>
      </c>
    </row>
    <row r="20" spans="1:9" ht="15.75" x14ac:dyDescent="0.25">
      <c r="A20" s="44" t="s">
        <v>374</v>
      </c>
      <c r="B20" s="41" t="s">
        <v>151</v>
      </c>
      <c r="C20" s="43">
        <v>298826</v>
      </c>
      <c r="D20" s="43">
        <v>0</v>
      </c>
      <c r="E20" s="45">
        <f t="shared" si="0"/>
        <v>337650</v>
      </c>
      <c r="F20" s="43">
        <v>337650</v>
      </c>
      <c r="G20" s="43">
        <v>355884</v>
      </c>
      <c r="I20" s="7"/>
    </row>
    <row r="21" spans="1:9" ht="15.75" x14ac:dyDescent="0.25">
      <c r="A21" s="44" t="s">
        <v>375</v>
      </c>
      <c r="B21" s="41" t="s">
        <v>153</v>
      </c>
      <c r="C21" s="43">
        <v>30000</v>
      </c>
      <c r="D21" s="43">
        <v>0</v>
      </c>
      <c r="E21" s="45">
        <f t="shared" si="0"/>
        <v>35000</v>
      </c>
      <c r="F21" s="43">
        <v>35000</v>
      </c>
      <c r="G21" s="43">
        <v>35000</v>
      </c>
      <c r="I21" s="7"/>
    </row>
    <row r="22" spans="1:9" ht="15.75" x14ac:dyDescent="0.25">
      <c r="A22" s="44" t="s">
        <v>376</v>
      </c>
      <c r="B22" s="41" t="s">
        <v>155</v>
      </c>
      <c r="C22" s="46"/>
      <c r="D22" s="46"/>
      <c r="E22" s="45"/>
      <c r="F22" s="43"/>
      <c r="G22" s="43"/>
      <c r="I22" s="7"/>
    </row>
    <row r="23" spans="1:9" ht="15.75" x14ac:dyDescent="0.25">
      <c r="A23" s="44" t="s">
        <v>623</v>
      </c>
      <c r="B23" s="41" t="s">
        <v>157</v>
      </c>
      <c r="C23" s="43">
        <v>0</v>
      </c>
      <c r="D23" s="43">
        <v>0</v>
      </c>
      <c r="E23" s="45">
        <f t="shared" ref="E23:E25" si="1">F23-D23</f>
        <v>5000</v>
      </c>
      <c r="F23" s="43">
        <v>5000</v>
      </c>
      <c r="G23" s="43">
        <v>10000</v>
      </c>
      <c r="I23" s="7"/>
    </row>
    <row r="24" spans="1:9" ht="15.75" x14ac:dyDescent="0.25">
      <c r="A24" s="44" t="s">
        <v>378</v>
      </c>
      <c r="B24" s="41" t="s">
        <v>159</v>
      </c>
      <c r="C24" s="43">
        <v>0</v>
      </c>
      <c r="D24" s="43">
        <v>18000</v>
      </c>
      <c r="E24" s="45">
        <f t="shared" si="1"/>
        <v>3000</v>
      </c>
      <c r="F24" s="43">
        <v>21000</v>
      </c>
      <c r="G24" s="43">
        <v>0</v>
      </c>
      <c r="I24" s="7"/>
    </row>
    <row r="25" spans="1:9" ht="15.75" x14ac:dyDescent="0.25">
      <c r="A25" s="44" t="s">
        <v>379</v>
      </c>
      <c r="B25" s="41" t="s">
        <v>161</v>
      </c>
      <c r="C25" s="43">
        <v>284665</v>
      </c>
      <c r="D25" s="43">
        <v>299237</v>
      </c>
      <c r="E25" s="45">
        <f t="shared" si="1"/>
        <v>38413</v>
      </c>
      <c r="F25" s="43">
        <v>337650</v>
      </c>
      <c r="G25" s="43">
        <v>355884</v>
      </c>
      <c r="I25" s="7"/>
    </row>
    <row r="26" spans="1:9" ht="15.75" x14ac:dyDescent="0.25">
      <c r="A26" s="17" t="s">
        <v>380</v>
      </c>
      <c r="B26" s="41"/>
      <c r="C26" s="46"/>
      <c r="D26" s="46"/>
      <c r="E26" s="45"/>
      <c r="F26" s="43"/>
      <c r="G26" s="43"/>
      <c r="I26" s="7"/>
    </row>
    <row r="27" spans="1:9" ht="15.75" x14ac:dyDescent="0.25">
      <c r="A27" s="44" t="s">
        <v>381</v>
      </c>
      <c r="B27" s="41" t="s">
        <v>165</v>
      </c>
      <c r="C27" s="43">
        <v>418462.71</v>
      </c>
      <c r="D27" s="43">
        <v>215321.77</v>
      </c>
      <c r="E27" s="45">
        <f t="shared" ref="E27:E30" si="2">F27-D27</f>
        <v>270894.23</v>
      </c>
      <c r="F27" s="43">
        <v>486216</v>
      </c>
      <c r="G27" s="43">
        <v>512473</v>
      </c>
      <c r="I27" s="7"/>
    </row>
    <row r="28" spans="1:9" ht="15.75" x14ac:dyDescent="0.25">
      <c r="A28" s="44" t="s">
        <v>382</v>
      </c>
      <c r="B28" s="41" t="s">
        <v>167</v>
      </c>
      <c r="C28" s="43">
        <v>69743.78</v>
      </c>
      <c r="D28" s="43">
        <v>35886.959999999999</v>
      </c>
      <c r="E28" s="45">
        <f t="shared" si="2"/>
        <v>45149.04</v>
      </c>
      <c r="F28" s="43">
        <v>81036</v>
      </c>
      <c r="G28" s="43">
        <v>85413</v>
      </c>
      <c r="I28" s="7"/>
    </row>
    <row r="29" spans="1:9" ht="15.75" x14ac:dyDescent="0.25">
      <c r="A29" s="44" t="s">
        <v>383</v>
      </c>
      <c r="B29" s="41" t="s">
        <v>169</v>
      </c>
      <c r="C29" s="43">
        <v>87179.87</v>
      </c>
      <c r="D29" s="43">
        <v>44858.81</v>
      </c>
      <c r="E29" s="45">
        <f t="shared" si="2"/>
        <v>56438.19</v>
      </c>
      <c r="F29" s="43">
        <v>101297</v>
      </c>
      <c r="G29" s="43">
        <v>106770</v>
      </c>
      <c r="I29" s="7"/>
    </row>
    <row r="30" spans="1:9" ht="15.75" x14ac:dyDescent="0.25">
      <c r="A30" s="44" t="s">
        <v>384</v>
      </c>
      <c r="B30" s="41" t="s">
        <v>171</v>
      </c>
      <c r="C30" s="43">
        <v>7200</v>
      </c>
      <c r="D30" s="43">
        <v>3600</v>
      </c>
      <c r="E30" s="45">
        <f t="shared" si="2"/>
        <v>4800</v>
      </c>
      <c r="F30" s="43">
        <v>8400</v>
      </c>
      <c r="G30" s="43">
        <v>8400</v>
      </c>
      <c r="I30" s="7"/>
    </row>
    <row r="31" spans="1:9" ht="15.75" x14ac:dyDescent="0.25">
      <c r="A31" s="17" t="s">
        <v>385</v>
      </c>
      <c r="B31" s="41"/>
      <c r="C31" s="46"/>
      <c r="D31" s="46"/>
      <c r="E31" s="45"/>
      <c r="F31" s="43"/>
      <c r="G31" s="43"/>
      <c r="I31" s="7"/>
    </row>
    <row r="32" spans="1:9" ht="15.75" x14ac:dyDescent="0.25">
      <c r="A32" s="44" t="s">
        <v>387</v>
      </c>
      <c r="B32" s="41" t="s">
        <v>181</v>
      </c>
      <c r="C32" s="43">
        <v>154312.84</v>
      </c>
      <c r="D32" s="43">
        <v>60663.53</v>
      </c>
      <c r="E32" s="45">
        <f t="shared" ref="E32:E33" si="3">F32-D32</f>
        <v>102059.47</v>
      </c>
      <c r="F32" s="43">
        <v>162723</v>
      </c>
      <c r="G32" s="43">
        <v>171511</v>
      </c>
      <c r="I32" s="7"/>
    </row>
    <row r="33" spans="1:9" ht="15.75" x14ac:dyDescent="0.25">
      <c r="A33" s="44" t="s">
        <v>388</v>
      </c>
      <c r="B33" s="41" t="s">
        <v>183</v>
      </c>
      <c r="C33" s="43">
        <v>30000</v>
      </c>
      <c r="D33" s="43">
        <v>0</v>
      </c>
      <c r="E33" s="45">
        <f t="shared" si="3"/>
        <v>35000</v>
      </c>
      <c r="F33" s="43">
        <v>35000</v>
      </c>
      <c r="G33" s="43">
        <v>35000</v>
      </c>
      <c r="I33" s="7"/>
    </row>
    <row r="34" spans="1:9" ht="31.5" x14ac:dyDescent="0.25">
      <c r="A34" s="510" t="s">
        <v>625</v>
      </c>
      <c r="B34" s="461"/>
      <c r="C34" s="473"/>
      <c r="D34" s="43"/>
      <c r="E34" s="45"/>
      <c r="F34" s="43"/>
      <c r="G34" s="43">
        <v>125214</v>
      </c>
      <c r="H34" s="7"/>
      <c r="I34" s="7"/>
    </row>
    <row r="35" spans="1:9" ht="15.75" x14ac:dyDescent="0.25">
      <c r="A35" s="456" t="s">
        <v>632</v>
      </c>
      <c r="B35" s="461"/>
      <c r="C35" s="453">
        <f t="shared" ref="C35:D35" si="4">SUM(C15:C33)</f>
        <v>5053579.55</v>
      </c>
      <c r="D35" s="54">
        <f t="shared" si="4"/>
        <v>2585916.17</v>
      </c>
      <c r="E35" s="54">
        <f>F35-D35</f>
        <v>3293855.83</v>
      </c>
      <c r="F35" s="54">
        <f>SUM(F15:F33)</f>
        <v>5879772</v>
      </c>
      <c r="G35" s="54">
        <f>SUM(G15:G34)</f>
        <v>6329157</v>
      </c>
      <c r="H35" s="7"/>
      <c r="I35" s="7"/>
    </row>
    <row r="36" spans="1:9" ht="15.75" x14ac:dyDescent="0.25">
      <c r="A36" s="456"/>
      <c r="B36" s="461"/>
      <c r="C36" s="449"/>
      <c r="D36" s="448"/>
      <c r="E36" s="449"/>
      <c r="F36" s="448"/>
      <c r="G36" s="448"/>
      <c r="H36" s="7"/>
      <c r="I36" s="7"/>
    </row>
    <row r="37" spans="1:9" ht="15.75" x14ac:dyDescent="0.25">
      <c r="A37" s="456" t="s">
        <v>626</v>
      </c>
      <c r="B37" s="461"/>
      <c r="C37" s="449"/>
      <c r="D37" s="55"/>
      <c r="E37" s="39"/>
      <c r="F37" s="513"/>
      <c r="G37" s="462"/>
      <c r="H37" s="7"/>
    </row>
    <row r="38" spans="1:9" ht="15.75" x14ac:dyDescent="0.25">
      <c r="A38" s="446" t="s">
        <v>493</v>
      </c>
      <c r="B38" s="461"/>
      <c r="C38" s="473"/>
      <c r="D38" s="43"/>
      <c r="E38" s="45"/>
      <c r="F38" s="43"/>
      <c r="G38" s="440"/>
    </row>
    <row r="39" spans="1:9" ht="15.75" x14ac:dyDescent="0.25">
      <c r="A39" s="485" t="s">
        <v>396</v>
      </c>
      <c r="B39" s="461" t="s">
        <v>191</v>
      </c>
      <c r="C39" s="473">
        <v>238666.64</v>
      </c>
      <c r="D39" s="43">
        <v>126580.76</v>
      </c>
      <c r="E39" s="45">
        <f>F39-D39</f>
        <v>173419.24</v>
      </c>
      <c r="F39" s="43">
        <v>300000</v>
      </c>
      <c r="G39" s="440">
        <v>300000</v>
      </c>
    </row>
    <row r="40" spans="1:9" ht="15.75" x14ac:dyDescent="0.25">
      <c r="A40" s="446" t="s">
        <v>397</v>
      </c>
      <c r="B40" s="461"/>
      <c r="C40" s="473"/>
      <c r="D40" s="43"/>
      <c r="E40" s="45"/>
      <c r="F40" s="43"/>
      <c r="G40" s="440"/>
    </row>
    <row r="41" spans="1:9" ht="15.75" x14ac:dyDescent="0.25">
      <c r="A41" s="485" t="s">
        <v>398</v>
      </c>
      <c r="B41" s="461" t="s">
        <v>195</v>
      </c>
      <c r="C41" s="473">
        <v>32179.79</v>
      </c>
      <c r="D41" s="45">
        <v>0</v>
      </c>
      <c r="E41" s="45">
        <f t="shared" ref="E41:E44" si="5">F41-D41</f>
        <v>35240</v>
      </c>
      <c r="F41" s="45">
        <v>35240</v>
      </c>
      <c r="G41" s="494">
        <v>35000</v>
      </c>
    </row>
    <row r="42" spans="1:9" ht="15.75" x14ac:dyDescent="0.25">
      <c r="A42" s="511" t="s">
        <v>633</v>
      </c>
      <c r="B42" s="461" t="s">
        <v>221</v>
      </c>
      <c r="C42" s="473">
        <v>0</v>
      </c>
      <c r="D42" s="45">
        <v>0</v>
      </c>
      <c r="E42" s="45">
        <f t="shared" si="5"/>
        <v>0</v>
      </c>
      <c r="F42" s="45">
        <v>0</v>
      </c>
      <c r="G42" s="494">
        <v>2000000</v>
      </c>
      <c r="H42" s="26"/>
    </row>
    <row r="43" spans="1:9" ht="15.75" x14ac:dyDescent="0.25">
      <c r="A43" s="512" t="s">
        <v>629</v>
      </c>
      <c r="B43" s="461" t="s">
        <v>223</v>
      </c>
      <c r="C43" s="473">
        <v>0</v>
      </c>
      <c r="D43" s="45">
        <v>0</v>
      </c>
      <c r="E43" s="45">
        <f t="shared" si="5"/>
        <v>0</v>
      </c>
      <c r="F43" s="45">
        <v>0</v>
      </c>
      <c r="G43" s="494">
        <v>177000</v>
      </c>
      <c r="H43" s="26"/>
    </row>
    <row r="44" spans="1:9" ht="15.75" x14ac:dyDescent="0.25">
      <c r="A44" s="48" t="s">
        <v>402</v>
      </c>
      <c r="B44" s="41" t="s">
        <v>225</v>
      </c>
      <c r="C44" s="45">
        <v>3599442.25</v>
      </c>
      <c r="D44" s="45">
        <v>2997996</v>
      </c>
      <c r="E44" s="45">
        <f t="shared" si="5"/>
        <v>2998004</v>
      </c>
      <c r="F44" s="45">
        <v>5996000</v>
      </c>
      <c r="G44" s="494">
        <v>4265430</v>
      </c>
      <c r="H44" s="26"/>
    </row>
    <row r="45" spans="1:9" ht="15.75" x14ac:dyDescent="0.25">
      <c r="A45" s="42" t="s">
        <v>658</v>
      </c>
      <c r="B45" s="41"/>
      <c r="C45" s="45"/>
      <c r="D45" s="45"/>
      <c r="E45" s="45"/>
      <c r="F45" s="45"/>
      <c r="G45" s="494"/>
    </row>
    <row r="46" spans="1:9" ht="15.75" x14ac:dyDescent="0.25">
      <c r="A46" s="42" t="s">
        <v>659</v>
      </c>
      <c r="B46" s="41"/>
      <c r="C46" s="45"/>
      <c r="D46" s="45"/>
      <c r="E46" s="45"/>
      <c r="F46" s="45"/>
      <c r="G46" s="494"/>
    </row>
    <row r="47" spans="1:9" ht="15.75" x14ac:dyDescent="0.25">
      <c r="A47" s="171" t="s">
        <v>660</v>
      </c>
      <c r="B47" s="41"/>
      <c r="C47" s="45"/>
      <c r="D47" s="45"/>
      <c r="E47" s="45"/>
      <c r="F47" s="45"/>
      <c r="G47" s="494"/>
    </row>
    <row r="48" spans="1:9" ht="15.75" x14ac:dyDescent="0.25">
      <c r="A48" s="42" t="s">
        <v>403</v>
      </c>
      <c r="B48" s="41"/>
      <c r="C48" s="43"/>
      <c r="D48" s="43"/>
      <c r="E48" s="45"/>
      <c r="F48" s="43"/>
      <c r="G48" s="440"/>
    </row>
    <row r="49" spans="1:12" ht="15.75" x14ac:dyDescent="0.25">
      <c r="A49" s="48" t="s">
        <v>643</v>
      </c>
      <c r="B49" s="41" t="s">
        <v>233</v>
      </c>
      <c r="C49" s="43">
        <v>793378.33</v>
      </c>
      <c r="D49" s="43">
        <v>275691.46999999997</v>
      </c>
      <c r="E49" s="45">
        <f t="shared" ref="E49:E50" si="6">F49-D49</f>
        <v>564308.53</v>
      </c>
      <c r="F49" s="43">
        <v>840000</v>
      </c>
      <c r="G49" s="440">
        <v>840000</v>
      </c>
    </row>
    <row r="50" spans="1:12" ht="15.75" x14ac:dyDescent="0.25">
      <c r="A50" s="48" t="s">
        <v>504</v>
      </c>
      <c r="B50" s="41" t="s">
        <v>237</v>
      </c>
      <c r="C50" s="43" t="s">
        <v>661</v>
      </c>
      <c r="D50" s="43">
        <v>550000</v>
      </c>
      <c r="E50" s="45">
        <f t="shared" si="6"/>
        <v>1121144</v>
      </c>
      <c r="F50" s="43">
        <v>1671144</v>
      </c>
      <c r="G50" s="440">
        <v>1778544</v>
      </c>
    </row>
    <row r="51" spans="1:12" ht="15.75" x14ac:dyDescent="0.25">
      <c r="A51" s="42" t="s">
        <v>662</v>
      </c>
      <c r="B51" s="41"/>
      <c r="C51" s="42"/>
      <c r="D51" s="42"/>
      <c r="E51" s="45"/>
      <c r="F51" s="43"/>
      <c r="G51" s="440"/>
    </row>
    <row r="52" spans="1:12" ht="15.75" x14ac:dyDescent="0.25">
      <c r="A52" s="48" t="s">
        <v>417</v>
      </c>
      <c r="B52" s="49" t="s">
        <v>329</v>
      </c>
      <c r="C52" s="45">
        <v>275000</v>
      </c>
      <c r="D52" s="45">
        <v>275000</v>
      </c>
      <c r="E52" s="45">
        <f t="shared" ref="E52:E54" si="7">F52-D52</f>
        <v>0</v>
      </c>
      <c r="F52" s="45">
        <v>275000</v>
      </c>
      <c r="G52" s="494">
        <v>275000</v>
      </c>
    </row>
    <row r="53" spans="1:12" ht="15.75" x14ac:dyDescent="0.25">
      <c r="A53" s="48" t="s">
        <v>418</v>
      </c>
      <c r="B53" s="49" t="s">
        <v>331</v>
      </c>
      <c r="C53" s="45">
        <v>0</v>
      </c>
      <c r="D53" s="45">
        <v>33600</v>
      </c>
      <c r="E53" s="45">
        <f t="shared" si="7"/>
        <v>36600</v>
      </c>
      <c r="F53" s="45">
        <v>70200</v>
      </c>
      <c r="G53" s="494">
        <v>70200</v>
      </c>
    </row>
    <row r="54" spans="1:12" ht="15.75" x14ac:dyDescent="0.25">
      <c r="A54" s="48" t="s">
        <v>424</v>
      </c>
      <c r="B54" s="41" t="s">
        <v>335</v>
      </c>
      <c r="C54" s="43">
        <v>1805670</v>
      </c>
      <c r="D54" s="43">
        <v>668804</v>
      </c>
      <c r="E54" s="45">
        <f t="shared" si="7"/>
        <v>1746036</v>
      </c>
      <c r="F54" s="43">
        <v>2414840</v>
      </c>
      <c r="G54" s="440">
        <v>2772208</v>
      </c>
      <c r="H54" s="168">
        <f>SUM(K55:K62)</f>
        <v>2772208</v>
      </c>
    </row>
    <row r="55" spans="1:12" ht="15.75" x14ac:dyDescent="0.25">
      <c r="A55" s="606" t="s">
        <v>663</v>
      </c>
      <c r="B55" s="555"/>
      <c r="C55" s="457"/>
      <c r="D55" s="457"/>
      <c r="E55" s="452"/>
      <c r="F55" s="457"/>
      <c r="G55" s="623"/>
      <c r="K55" s="57">
        <v>75200</v>
      </c>
    </row>
    <row r="56" spans="1:12" ht="15.75" x14ac:dyDescent="0.25">
      <c r="A56" s="625" t="s">
        <v>664</v>
      </c>
      <c r="B56" s="624"/>
      <c r="C56" s="448"/>
      <c r="D56" s="448"/>
      <c r="E56" s="449"/>
      <c r="F56" s="448"/>
      <c r="G56" s="508"/>
      <c r="K56" s="57">
        <v>500000</v>
      </c>
    </row>
    <row r="57" spans="1:12" ht="15.75" x14ac:dyDescent="0.25">
      <c r="A57" s="17" t="s">
        <v>665</v>
      </c>
      <c r="B57" s="172"/>
      <c r="C57" s="43"/>
      <c r="D57" s="43"/>
      <c r="E57" s="45"/>
      <c r="F57" s="43"/>
      <c r="G57" s="440"/>
    </row>
    <row r="58" spans="1:12" ht="15.75" x14ac:dyDescent="0.25">
      <c r="A58" s="583" t="s">
        <v>666</v>
      </c>
      <c r="B58" s="558"/>
      <c r="C58" s="438"/>
      <c r="D58" s="438"/>
      <c r="E58" s="473"/>
      <c r="F58" s="438"/>
      <c r="G58" s="541"/>
      <c r="H58" s="57">
        <f>22*12</f>
        <v>264</v>
      </c>
      <c r="I58" s="57">
        <v>861</v>
      </c>
      <c r="J58" s="57">
        <v>6</v>
      </c>
      <c r="K58" s="168">
        <f>H58*I58*J58</f>
        <v>1363824</v>
      </c>
    </row>
    <row r="59" spans="1:12" ht="15.75" x14ac:dyDescent="0.25">
      <c r="A59" s="583" t="s">
        <v>667</v>
      </c>
      <c r="B59" s="558"/>
      <c r="C59" s="438"/>
      <c r="D59" s="438"/>
      <c r="E59" s="473"/>
      <c r="F59" s="438"/>
      <c r="G59" s="438"/>
      <c r="K59" s="168"/>
    </row>
    <row r="60" spans="1:12" ht="15.75" x14ac:dyDescent="0.25">
      <c r="A60" s="48" t="s">
        <v>668</v>
      </c>
      <c r="B60" s="172"/>
      <c r="C60" s="43"/>
      <c r="D60" s="43"/>
      <c r="E60" s="45"/>
      <c r="F60" s="43"/>
      <c r="G60" s="43"/>
      <c r="H60" s="57">
        <f>22*12</f>
        <v>264</v>
      </c>
      <c r="I60" s="57">
        <v>765</v>
      </c>
      <c r="J60" s="57">
        <v>3</v>
      </c>
      <c r="K60" s="168">
        <f>H60*I60*J60</f>
        <v>605880</v>
      </c>
    </row>
    <row r="61" spans="1:12" ht="15.75" x14ac:dyDescent="0.25">
      <c r="A61" s="48" t="s">
        <v>669</v>
      </c>
      <c r="B61" s="172"/>
      <c r="C61" s="43"/>
      <c r="D61" s="43"/>
      <c r="E61" s="45"/>
      <c r="F61" s="43"/>
      <c r="G61" s="43"/>
      <c r="K61" s="168"/>
      <c r="L61" s="168"/>
    </row>
    <row r="62" spans="1:12" ht="15.75" x14ac:dyDescent="0.25">
      <c r="A62" s="48" t="s">
        <v>670</v>
      </c>
      <c r="B62" s="172"/>
      <c r="C62" s="43"/>
      <c r="D62" s="43"/>
      <c r="E62" s="45"/>
      <c r="F62" s="43"/>
      <c r="G62" s="43"/>
      <c r="H62" s="57">
        <f>22*12</f>
        <v>264</v>
      </c>
      <c r="I62" s="57">
        <v>861</v>
      </c>
      <c r="J62" s="57">
        <v>1</v>
      </c>
      <c r="K62" s="168">
        <f>H62*I62*J62</f>
        <v>227304</v>
      </c>
    </row>
    <row r="63" spans="1:12" ht="15.75" x14ac:dyDescent="0.25">
      <c r="A63" s="42" t="s">
        <v>671</v>
      </c>
      <c r="B63" s="172"/>
      <c r="C63" s="43"/>
      <c r="D63" s="43"/>
      <c r="E63" s="45"/>
      <c r="F63" s="43"/>
      <c r="G63" s="43"/>
    </row>
    <row r="64" spans="1:12" ht="15.75" x14ac:dyDescent="0.25">
      <c r="A64" s="42" t="s">
        <v>672</v>
      </c>
      <c r="B64" s="172"/>
      <c r="C64" s="54">
        <f t="shared" ref="C64:D64" si="8">SUM(C38:C54)</f>
        <v>6744337.0099999998</v>
      </c>
      <c r="D64" s="54">
        <f t="shared" si="8"/>
        <v>4927672.2299999995</v>
      </c>
      <c r="E64" s="54">
        <f>F64-D64</f>
        <v>6674751.7700000005</v>
      </c>
      <c r="F64" s="54">
        <f t="shared" ref="F64:G64" si="9">SUM(F38:F54)</f>
        <v>11602424</v>
      </c>
      <c r="G64" s="54">
        <f t="shared" si="9"/>
        <v>12513382</v>
      </c>
    </row>
    <row r="65" spans="1:7" ht="15.75" x14ac:dyDescent="0.25">
      <c r="A65" s="42"/>
      <c r="B65" s="172"/>
      <c r="C65" s="43"/>
      <c r="D65" s="43"/>
      <c r="E65" s="45"/>
      <c r="F65" s="43"/>
      <c r="G65" s="43"/>
    </row>
    <row r="66" spans="1:7" ht="15.75" x14ac:dyDescent="0.25">
      <c r="A66" s="42" t="s">
        <v>467</v>
      </c>
      <c r="B66" s="172"/>
      <c r="C66" s="43">
        <f t="shared" ref="C66:D66" si="10">C64+C35</f>
        <v>11797916.559999999</v>
      </c>
      <c r="D66" s="43">
        <f t="shared" si="10"/>
        <v>7513588.3999999994</v>
      </c>
      <c r="E66" s="45">
        <f>F66-D66</f>
        <v>9968607.6000000015</v>
      </c>
      <c r="F66" s="43">
        <f t="shared" ref="F66:G66" si="11">F64+F35</f>
        <v>17482196</v>
      </c>
      <c r="G66" s="43">
        <f t="shared" si="11"/>
        <v>18842539</v>
      </c>
    </row>
    <row r="67" spans="1:7" ht="15.75" x14ac:dyDescent="0.25">
      <c r="A67" s="42"/>
      <c r="B67" s="94"/>
      <c r="C67" s="43"/>
      <c r="D67" s="43"/>
      <c r="E67" s="45"/>
      <c r="F67" s="43"/>
      <c r="G67" s="43"/>
    </row>
    <row r="68" spans="1:7" ht="15.75" x14ac:dyDescent="0.25">
      <c r="A68" s="42" t="s">
        <v>529</v>
      </c>
      <c r="B68" s="94"/>
      <c r="C68" s="43"/>
      <c r="D68" s="43"/>
      <c r="E68" s="45"/>
      <c r="F68" s="43"/>
      <c r="G68" s="43"/>
    </row>
    <row r="69" spans="1:7" ht="15.75" x14ac:dyDescent="0.25">
      <c r="A69" s="42" t="s">
        <v>673</v>
      </c>
      <c r="B69" s="94"/>
      <c r="C69" s="43"/>
      <c r="D69" s="43"/>
      <c r="E69" s="45"/>
      <c r="F69" s="43"/>
      <c r="G69" s="43"/>
    </row>
    <row r="70" spans="1:7" ht="15.75" x14ac:dyDescent="0.25">
      <c r="A70" s="48" t="s">
        <v>639</v>
      </c>
      <c r="B70" s="41" t="s">
        <v>47</v>
      </c>
      <c r="C70" s="45">
        <v>2718940</v>
      </c>
      <c r="D70" s="45">
        <v>24743965</v>
      </c>
      <c r="E70" s="45">
        <f>F70-D70</f>
        <v>2075</v>
      </c>
      <c r="F70" s="45">
        <v>24746040</v>
      </c>
      <c r="G70" s="45">
        <v>135000</v>
      </c>
    </row>
    <row r="71" spans="1:7" ht="15.75" x14ac:dyDescent="0.25">
      <c r="A71" s="460" t="s">
        <v>674</v>
      </c>
      <c r="B71" s="488"/>
      <c r="C71" s="443"/>
      <c r="D71" s="443"/>
      <c r="E71" s="443"/>
      <c r="F71" s="443"/>
      <c r="G71" s="462"/>
    </row>
    <row r="72" spans="1:7" ht="15.75" x14ac:dyDescent="0.25">
      <c r="A72" s="456" t="s">
        <v>675</v>
      </c>
      <c r="B72" s="488"/>
      <c r="C72" s="443"/>
      <c r="D72" s="443"/>
      <c r="E72" s="443"/>
      <c r="F72" s="443"/>
      <c r="G72" s="462"/>
    </row>
    <row r="73" spans="1:7" ht="15.75" x14ac:dyDescent="0.25">
      <c r="A73" s="48" t="s">
        <v>676</v>
      </c>
      <c r="B73" s="41" t="s">
        <v>119</v>
      </c>
      <c r="C73" s="43"/>
      <c r="D73" s="43">
        <v>1350000</v>
      </c>
      <c r="E73" s="45">
        <f>F73-D73</f>
        <v>0</v>
      </c>
      <c r="F73" s="43">
        <v>1350000</v>
      </c>
      <c r="G73" s="43">
        <v>750000</v>
      </c>
    </row>
    <row r="74" spans="1:7" ht="15.75" x14ac:dyDescent="0.25">
      <c r="A74" s="42" t="s">
        <v>677</v>
      </c>
      <c r="B74" s="49"/>
      <c r="C74" s="45"/>
      <c r="D74" s="43"/>
      <c r="E74" s="45"/>
      <c r="F74" s="43"/>
      <c r="G74" s="43"/>
    </row>
    <row r="75" spans="1:7" ht="15.75" x14ac:dyDescent="0.25">
      <c r="A75" s="42" t="s">
        <v>678</v>
      </c>
      <c r="B75" s="49"/>
      <c r="C75" s="79">
        <f t="shared" ref="C75:D75" si="12">SUM(C70:C73)</f>
        <v>2718940</v>
      </c>
      <c r="D75" s="54">
        <f t="shared" si="12"/>
        <v>26093965</v>
      </c>
      <c r="E75" s="54">
        <f>F75-D75</f>
        <v>2075</v>
      </c>
      <c r="F75" s="54">
        <f t="shared" ref="F75:G75" si="13">SUM(F70:F73)</f>
        <v>26096040</v>
      </c>
      <c r="G75" s="54">
        <f t="shared" si="13"/>
        <v>885000</v>
      </c>
    </row>
    <row r="76" spans="1:7" ht="15.75" x14ac:dyDescent="0.25">
      <c r="A76" s="42"/>
      <c r="B76" s="49"/>
      <c r="C76" s="39"/>
      <c r="D76" s="55"/>
      <c r="E76" s="45"/>
      <c r="F76" s="55"/>
      <c r="G76" s="39"/>
    </row>
    <row r="77" spans="1:7" ht="15.75" x14ac:dyDescent="0.25">
      <c r="A77" s="160" t="s">
        <v>487</v>
      </c>
      <c r="B77" s="173" t="s">
        <v>488</v>
      </c>
      <c r="C77" s="54">
        <f>C66+C75</f>
        <v>14516856.559999999</v>
      </c>
      <c r="D77" s="54">
        <f>D66+D75</f>
        <v>33607553.399999999</v>
      </c>
      <c r="E77" s="54">
        <f>F77-D77</f>
        <v>9970682.6000000015</v>
      </c>
      <c r="F77" s="54">
        <f>F66+F75</f>
        <v>43578236</v>
      </c>
      <c r="G77" s="79">
        <f>G66+G75</f>
        <v>19727539</v>
      </c>
    </row>
    <row r="78" spans="1:7" ht="15.75" x14ac:dyDescent="0.25">
      <c r="A78" s="24"/>
      <c r="B78" s="174"/>
      <c r="C78" s="26"/>
      <c r="D78" s="26"/>
      <c r="E78" s="26"/>
      <c r="F78" s="26"/>
      <c r="G78" s="26"/>
    </row>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4" fitToHeight="0" orientation="portrait" r:id="rId1"/>
  <rowBreaks count="1" manualBreakCount="1">
    <brk id="55"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sheetPr>
  <dimension ref="A1:Z1003"/>
  <sheetViews>
    <sheetView view="pageBreakPreview" zoomScale="115" zoomScaleNormal="100" zoomScaleSheetLayoutView="115" workbookViewId="0">
      <selection activeCell="A60" sqref="A60"/>
    </sheetView>
  </sheetViews>
  <sheetFormatPr defaultColWidth="14.42578125" defaultRowHeight="15" customHeight="1" x14ac:dyDescent="0.25"/>
  <cols>
    <col min="1" max="1" width="79" customWidth="1"/>
    <col min="2" max="2" width="16.85546875" customWidth="1"/>
    <col min="3" max="6" width="16.85546875" hidden="1" customWidth="1"/>
    <col min="7" max="7" width="16.85546875" customWidth="1"/>
    <col min="8" max="9" width="15.28515625" customWidth="1"/>
    <col min="10" max="26" width="10.28515625" customWidth="1"/>
  </cols>
  <sheetData>
    <row r="1" spans="1:26" ht="14.4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4.45" customHeight="1" x14ac:dyDescent="0.25">
      <c r="A2" s="861" t="s">
        <v>349</v>
      </c>
      <c r="B2" s="862"/>
      <c r="C2" s="862"/>
      <c r="D2" s="862"/>
      <c r="E2" s="862"/>
      <c r="F2" s="862"/>
      <c r="G2" s="863"/>
      <c r="H2" s="14"/>
      <c r="I2" s="15"/>
      <c r="J2" s="15"/>
      <c r="K2" s="15"/>
      <c r="L2" s="15"/>
      <c r="M2" s="15"/>
      <c r="N2" s="15"/>
      <c r="O2" s="15"/>
      <c r="P2" s="15"/>
      <c r="Q2" s="15"/>
      <c r="R2" s="15"/>
      <c r="S2" s="15"/>
      <c r="T2" s="15"/>
      <c r="U2" s="15"/>
      <c r="V2" s="15"/>
      <c r="W2" s="15"/>
      <c r="X2" s="15"/>
      <c r="Y2" s="15"/>
      <c r="Z2" s="15"/>
    </row>
    <row r="3" spans="1:26" ht="14.45" customHeight="1" x14ac:dyDescent="0.25">
      <c r="A3" s="864" t="s">
        <v>350</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4.45" customHeight="1" x14ac:dyDescent="0.25">
      <c r="A4" s="21"/>
      <c r="B4" s="18"/>
      <c r="C4" s="18"/>
      <c r="D4" s="18"/>
      <c r="E4" s="18"/>
      <c r="F4" s="18"/>
      <c r="G4" s="23"/>
      <c r="H4" s="14"/>
      <c r="I4" s="15"/>
      <c r="J4" s="15"/>
      <c r="K4" s="15"/>
      <c r="L4" s="15"/>
      <c r="M4" s="15"/>
      <c r="N4" s="15"/>
      <c r="O4" s="15"/>
      <c r="P4" s="15"/>
      <c r="Q4" s="15"/>
      <c r="R4" s="15"/>
      <c r="S4" s="15"/>
      <c r="T4" s="15"/>
      <c r="U4" s="15"/>
      <c r="V4" s="15"/>
      <c r="W4" s="15"/>
      <c r="X4" s="15"/>
      <c r="Y4" s="15"/>
      <c r="Z4" s="15"/>
    </row>
    <row r="5" spans="1:26" ht="14.45" customHeight="1" x14ac:dyDescent="0.25">
      <c r="A5" s="17" t="s">
        <v>679</v>
      </c>
      <c r="B5" s="24"/>
      <c r="C5" s="25"/>
      <c r="D5" s="25"/>
      <c r="E5" s="25"/>
      <c r="F5" s="24"/>
      <c r="G5" s="19"/>
      <c r="H5" s="14"/>
      <c r="I5" s="15"/>
      <c r="J5" s="15"/>
      <c r="K5" s="15"/>
      <c r="L5" s="15"/>
      <c r="M5" s="15"/>
      <c r="N5" s="15"/>
      <c r="O5" s="15"/>
      <c r="P5" s="15"/>
      <c r="Q5" s="15"/>
      <c r="R5" s="15"/>
      <c r="S5" s="15"/>
      <c r="T5" s="15"/>
      <c r="U5" s="15"/>
      <c r="V5" s="15"/>
      <c r="W5" s="15"/>
      <c r="X5" s="15"/>
      <c r="Y5" s="15"/>
      <c r="Z5" s="15"/>
    </row>
    <row r="6" spans="1:26" ht="14.45" customHeight="1" x14ac:dyDescent="0.25">
      <c r="A6" s="17"/>
      <c r="B6" s="24"/>
      <c r="C6" s="25"/>
      <c r="D6" s="25"/>
      <c r="E6" s="25"/>
      <c r="F6" s="24"/>
      <c r="G6" s="19"/>
      <c r="H6" s="14"/>
      <c r="I6" s="15"/>
      <c r="J6" s="15"/>
      <c r="K6" s="15"/>
      <c r="L6" s="15"/>
      <c r="M6" s="15"/>
      <c r="N6" s="15"/>
      <c r="O6" s="15"/>
      <c r="P6" s="15"/>
      <c r="Q6" s="15"/>
      <c r="R6" s="15"/>
      <c r="S6" s="15"/>
      <c r="T6" s="15"/>
      <c r="U6" s="15"/>
      <c r="V6" s="15"/>
      <c r="W6" s="15"/>
      <c r="X6" s="15"/>
      <c r="Y6" s="15"/>
      <c r="Z6" s="15"/>
    </row>
    <row r="7" spans="1:26" ht="14.45" customHeight="1" x14ac:dyDescent="0.25">
      <c r="A7" s="865" t="s">
        <v>352</v>
      </c>
      <c r="B7" s="866"/>
      <c r="C7" s="866"/>
      <c r="D7" s="866"/>
      <c r="E7" s="866"/>
      <c r="F7" s="866"/>
      <c r="G7" s="867"/>
      <c r="H7" s="14"/>
      <c r="I7" s="15"/>
      <c r="J7" s="15"/>
      <c r="K7" s="15"/>
      <c r="L7" s="15"/>
      <c r="M7" s="15"/>
      <c r="N7" s="15"/>
      <c r="O7" s="15"/>
      <c r="P7" s="15"/>
      <c r="Q7" s="15"/>
      <c r="R7" s="15"/>
      <c r="S7" s="15"/>
      <c r="T7" s="15"/>
      <c r="U7" s="15"/>
      <c r="V7" s="15"/>
      <c r="W7" s="15"/>
      <c r="X7" s="15"/>
      <c r="Y7" s="15"/>
      <c r="Z7" s="15"/>
    </row>
    <row r="8" spans="1:26" ht="14.45" customHeight="1" x14ac:dyDescent="0.25">
      <c r="A8" s="868" t="s">
        <v>353</v>
      </c>
      <c r="B8" s="857" t="s">
        <v>354</v>
      </c>
      <c r="C8" s="870" t="s">
        <v>355</v>
      </c>
      <c r="D8" s="872" t="s">
        <v>356</v>
      </c>
      <c r="E8" s="873"/>
      <c r="F8" s="874"/>
      <c r="G8" s="857" t="s">
        <v>357</v>
      </c>
      <c r="H8" s="15"/>
      <c r="I8" s="15"/>
      <c r="J8" s="15"/>
      <c r="K8" s="15"/>
      <c r="L8" s="15"/>
      <c r="M8" s="15"/>
      <c r="N8" s="15"/>
      <c r="O8" s="15"/>
      <c r="P8" s="15"/>
      <c r="Q8" s="15"/>
      <c r="R8" s="15"/>
      <c r="S8" s="15"/>
      <c r="T8" s="15"/>
      <c r="U8" s="15"/>
      <c r="V8" s="15"/>
      <c r="W8" s="15"/>
      <c r="X8" s="15"/>
      <c r="Y8" s="15"/>
      <c r="Z8" s="15"/>
    </row>
    <row r="9" spans="1:26" ht="14.45" customHeight="1" x14ac:dyDescent="0.25">
      <c r="A9" s="858"/>
      <c r="B9" s="858"/>
      <c r="C9" s="871"/>
      <c r="D9" s="28" t="s">
        <v>358</v>
      </c>
      <c r="E9" s="29" t="s">
        <v>359</v>
      </c>
      <c r="F9" s="875" t="s">
        <v>360</v>
      </c>
      <c r="G9" s="858"/>
      <c r="H9" s="15"/>
      <c r="I9" s="15"/>
      <c r="J9" s="15"/>
      <c r="K9" s="15"/>
      <c r="L9" s="15"/>
      <c r="M9" s="15"/>
      <c r="N9" s="15"/>
      <c r="O9" s="15"/>
      <c r="P9" s="15"/>
      <c r="Q9" s="15"/>
      <c r="R9" s="15"/>
      <c r="S9" s="15"/>
      <c r="T9" s="15"/>
      <c r="U9" s="15"/>
      <c r="V9" s="15"/>
      <c r="W9" s="15"/>
      <c r="X9" s="15"/>
      <c r="Y9" s="15"/>
      <c r="Z9" s="15"/>
    </row>
    <row r="10" spans="1:26" ht="14.45" customHeight="1" x14ac:dyDescent="0.25">
      <c r="A10" s="858"/>
      <c r="B10" s="858"/>
      <c r="C10" s="30" t="s">
        <v>361</v>
      </c>
      <c r="D10" s="31" t="s">
        <v>361</v>
      </c>
      <c r="E10" s="32" t="s">
        <v>362</v>
      </c>
      <c r="F10" s="860"/>
      <c r="G10" s="442" t="s">
        <v>2717</v>
      </c>
      <c r="H10" s="15"/>
      <c r="I10" s="15"/>
      <c r="J10" s="15"/>
      <c r="K10" s="15"/>
      <c r="L10" s="15"/>
      <c r="M10" s="15"/>
      <c r="N10" s="15"/>
      <c r="O10" s="15"/>
      <c r="P10" s="15"/>
      <c r="Q10" s="15"/>
      <c r="R10" s="15"/>
      <c r="S10" s="15"/>
      <c r="T10" s="15"/>
      <c r="U10" s="15"/>
      <c r="V10" s="15"/>
      <c r="W10" s="15"/>
      <c r="X10" s="15"/>
      <c r="Y10" s="15"/>
      <c r="Z10" s="15"/>
    </row>
    <row r="11" spans="1:26" ht="14.45" customHeight="1"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4.45" customHeight="1" x14ac:dyDescent="0.25">
      <c r="A12" s="9" t="s">
        <v>364</v>
      </c>
      <c r="B12" s="38"/>
      <c r="C12" s="42"/>
      <c r="D12" s="42"/>
      <c r="E12" s="42"/>
      <c r="F12" s="42"/>
      <c r="G12" s="37"/>
    </row>
    <row r="13" spans="1:26" ht="14.45" customHeight="1" x14ac:dyDescent="0.25">
      <c r="A13" s="17" t="s">
        <v>622</v>
      </c>
      <c r="B13" s="41"/>
      <c r="C13" s="42"/>
      <c r="D13" s="42"/>
      <c r="E13" s="42"/>
      <c r="F13" s="42"/>
      <c r="G13" s="42"/>
    </row>
    <row r="14" spans="1:26" ht="14.45" customHeight="1" x14ac:dyDescent="0.25">
      <c r="A14" s="17" t="s">
        <v>366</v>
      </c>
      <c r="B14" s="41"/>
      <c r="C14" s="42"/>
      <c r="D14" s="42"/>
      <c r="E14" s="19"/>
      <c r="F14" s="42"/>
      <c r="G14" s="42"/>
    </row>
    <row r="15" spans="1:26" ht="14.45" customHeight="1" x14ac:dyDescent="0.25">
      <c r="A15" s="44" t="s">
        <v>367</v>
      </c>
      <c r="B15" s="41" t="s">
        <v>121</v>
      </c>
      <c r="C15" s="43">
        <v>2224185.6800000002</v>
      </c>
      <c r="D15" s="43">
        <v>1198890</v>
      </c>
      <c r="E15" s="45">
        <f>F15-D15</f>
        <v>2368014</v>
      </c>
      <c r="F15" s="43">
        <v>3566904</v>
      </c>
      <c r="G15" s="43">
        <v>3722580</v>
      </c>
      <c r="H15" s="43"/>
      <c r="I15" s="7"/>
    </row>
    <row r="16" spans="1:26" ht="14.45" customHeight="1" x14ac:dyDescent="0.25">
      <c r="A16" s="17" t="s">
        <v>368</v>
      </c>
      <c r="B16" s="41"/>
      <c r="C16" s="46"/>
      <c r="D16" s="46"/>
      <c r="E16" s="45"/>
      <c r="F16" s="43"/>
      <c r="G16" s="43"/>
      <c r="I16" s="7"/>
    </row>
    <row r="17" spans="1:9" ht="14.45" customHeight="1" x14ac:dyDescent="0.25">
      <c r="A17" s="44" t="s">
        <v>369</v>
      </c>
      <c r="B17" s="41" t="s">
        <v>125</v>
      </c>
      <c r="C17" s="43">
        <v>168000</v>
      </c>
      <c r="D17" s="43">
        <v>84000</v>
      </c>
      <c r="E17" s="45">
        <f t="shared" ref="E17:E20" si="0">F17-D17</f>
        <v>132000</v>
      </c>
      <c r="F17" s="43">
        <v>216000</v>
      </c>
      <c r="G17" s="43">
        <v>216000</v>
      </c>
      <c r="I17" s="7"/>
    </row>
    <row r="18" spans="1:9" ht="14.45" customHeight="1" x14ac:dyDescent="0.25">
      <c r="A18" s="44" t="s">
        <v>373</v>
      </c>
      <c r="B18" s="41" t="s">
        <v>131</v>
      </c>
      <c r="C18" s="43">
        <v>49000</v>
      </c>
      <c r="D18" s="43">
        <v>49000</v>
      </c>
      <c r="E18" s="45">
        <f t="shared" si="0"/>
        <v>14000</v>
      </c>
      <c r="F18" s="43">
        <v>63000</v>
      </c>
      <c r="G18" s="43">
        <v>63000</v>
      </c>
      <c r="I18" s="7"/>
    </row>
    <row r="19" spans="1:9" ht="14.45" customHeight="1" x14ac:dyDescent="0.25">
      <c r="A19" s="44" t="s">
        <v>374</v>
      </c>
      <c r="B19" s="41" t="s">
        <v>151</v>
      </c>
      <c r="C19" s="43">
        <v>199815</v>
      </c>
      <c r="D19" s="43">
        <v>0</v>
      </c>
      <c r="E19" s="45">
        <f t="shared" si="0"/>
        <v>297242</v>
      </c>
      <c r="F19" s="43">
        <v>297242</v>
      </c>
      <c r="G19" s="43">
        <v>310215</v>
      </c>
      <c r="I19" s="7"/>
    </row>
    <row r="20" spans="1:9" ht="14.45" customHeight="1" x14ac:dyDescent="0.25">
      <c r="A20" s="44" t="s">
        <v>375</v>
      </c>
      <c r="B20" s="41" t="s">
        <v>153</v>
      </c>
      <c r="C20" s="43">
        <v>35000</v>
      </c>
      <c r="D20" s="43">
        <v>0</v>
      </c>
      <c r="E20" s="45">
        <f t="shared" si="0"/>
        <v>45000</v>
      </c>
      <c r="F20" s="43">
        <v>45000</v>
      </c>
      <c r="G20" s="43">
        <v>45000</v>
      </c>
      <c r="I20" s="7"/>
    </row>
    <row r="21" spans="1:9" ht="14.45" customHeight="1" x14ac:dyDescent="0.25">
      <c r="A21" s="44" t="s">
        <v>376</v>
      </c>
      <c r="B21" s="41" t="s">
        <v>155</v>
      </c>
      <c r="C21" s="46"/>
      <c r="D21" s="46"/>
      <c r="E21" s="45"/>
      <c r="F21" s="43"/>
      <c r="G21" s="43"/>
      <c r="I21" s="7"/>
    </row>
    <row r="22" spans="1:9" ht="14.45" customHeight="1" x14ac:dyDescent="0.25">
      <c r="A22" s="44" t="s">
        <v>623</v>
      </c>
      <c r="B22" s="41" t="s">
        <v>157</v>
      </c>
      <c r="C22" s="43">
        <v>0</v>
      </c>
      <c r="D22" s="43">
        <v>0</v>
      </c>
      <c r="E22" s="45">
        <f t="shared" ref="E22:E24" si="1">F22-D22</f>
        <v>5000</v>
      </c>
      <c r="F22" s="43">
        <v>5000</v>
      </c>
      <c r="G22" s="43">
        <v>0</v>
      </c>
      <c r="I22" s="7"/>
    </row>
    <row r="23" spans="1:9" ht="14.45" customHeight="1" x14ac:dyDescent="0.25">
      <c r="A23" s="44" t="s">
        <v>378</v>
      </c>
      <c r="B23" s="41" t="s">
        <v>159</v>
      </c>
      <c r="C23" s="43">
        <v>0</v>
      </c>
      <c r="D23" s="43">
        <v>21000</v>
      </c>
      <c r="E23" s="45">
        <f t="shared" si="1"/>
        <v>6000</v>
      </c>
      <c r="F23" s="43">
        <v>27000</v>
      </c>
      <c r="G23" s="43">
        <v>0</v>
      </c>
      <c r="I23" s="7"/>
    </row>
    <row r="24" spans="1:9" ht="14.45" customHeight="1" x14ac:dyDescent="0.25">
      <c r="A24" s="44" t="s">
        <v>379</v>
      </c>
      <c r="B24" s="41" t="s">
        <v>161</v>
      </c>
      <c r="C24" s="43">
        <v>176025</v>
      </c>
      <c r="D24" s="43">
        <v>199815</v>
      </c>
      <c r="E24" s="45">
        <f t="shared" si="1"/>
        <v>97427</v>
      </c>
      <c r="F24" s="43">
        <v>297242</v>
      </c>
      <c r="G24" s="43">
        <v>310215</v>
      </c>
      <c r="I24" s="7"/>
    </row>
    <row r="25" spans="1:9" ht="14.45" customHeight="1" x14ac:dyDescent="0.25">
      <c r="A25" s="17" t="s">
        <v>380</v>
      </c>
      <c r="B25" s="41"/>
      <c r="C25" s="46"/>
      <c r="D25" s="46"/>
      <c r="E25" s="45"/>
      <c r="F25" s="43"/>
      <c r="G25" s="43"/>
      <c r="I25" s="7"/>
    </row>
    <row r="26" spans="1:9" ht="14.45" customHeight="1" x14ac:dyDescent="0.25">
      <c r="A26" s="44" t="s">
        <v>381</v>
      </c>
      <c r="B26" s="41" t="s">
        <v>165</v>
      </c>
      <c r="C26" s="43">
        <v>242173.63</v>
      </c>
      <c r="D26" s="43">
        <v>143866.79999999999</v>
      </c>
      <c r="E26" s="45">
        <f t="shared" ref="E26:E29" si="2">F26-D26</f>
        <v>284162.2</v>
      </c>
      <c r="F26" s="43">
        <v>428029</v>
      </c>
      <c r="G26" s="43">
        <v>446710</v>
      </c>
      <c r="I26" s="7"/>
    </row>
    <row r="27" spans="1:9" ht="14.45" customHeight="1" x14ac:dyDescent="0.25">
      <c r="A27" s="44" t="s">
        <v>382</v>
      </c>
      <c r="B27" s="41" t="s">
        <v>167</v>
      </c>
      <c r="C27" s="43">
        <v>44042.12</v>
      </c>
      <c r="D27" s="43">
        <v>23977.8</v>
      </c>
      <c r="E27" s="45">
        <f t="shared" si="2"/>
        <v>47361.2</v>
      </c>
      <c r="F27" s="43">
        <v>71339</v>
      </c>
      <c r="G27" s="43">
        <v>74452</v>
      </c>
      <c r="I27" s="7"/>
    </row>
    <row r="28" spans="1:9" ht="14.45" customHeight="1" x14ac:dyDescent="0.25">
      <c r="A28" s="44" t="s">
        <v>383</v>
      </c>
      <c r="B28" s="41" t="s">
        <v>169</v>
      </c>
      <c r="C28" s="43">
        <v>55052.81</v>
      </c>
      <c r="D28" s="43">
        <v>29972.34</v>
      </c>
      <c r="E28" s="45">
        <f t="shared" si="2"/>
        <v>59205.66</v>
      </c>
      <c r="F28" s="43">
        <v>89178</v>
      </c>
      <c r="G28" s="43">
        <v>93069</v>
      </c>
      <c r="I28" s="7"/>
    </row>
    <row r="29" spans="1:9" ht="14.45" customHeight="1" x14ac:dyDescent="0.25">
      <c r="A29" s="44" t="s">
        <v>384</v>
      </c>
      <c r="B29" s="41" t="s">
        <v>171</v>
      </c>
      <c r="C29" s="43">
        <v>8400</v>
      </c>
      <c r="D29" s="43">
        <v>4200</v>
      </c>
      <c r="E29" s="45">
        <f t="shared" si="2"/>
        <v>6600</v>
      </c>
      <c r="F29" s="43">
        <v>10800</v>
      </c>
      <c r="G29" s="43">
        <v>10800</v>
      </c>
      <c r="I29" s="7"/>
    </row>
    <row r="30" spans="1:9" ht="14.45" customHeight="1" x14ac:dyDescent="0.25">
      <c r="A30" s="17" t="s">
        <v>624</v>
      </c>
      <c r="B30" s="41"/>
      <c r="C30" s="46"/>
      <c r="D30" s="46"/>
      <c r="E30" s="45"/>
      <c r="F30" s="43"/>
      <c r="G30" s="43"/>
      <c r="I30" s="7"/>
    </row>
    <row r="31" spans="1:9" ht="14.45" customHeight="1" x14ac:dyDescent="0.25">
      <c r="A31" s="44" t="s">
        <v>387</v>
      </c>
      <c r="B31" s="41" t="s">
        <v>181</v>
      </c>
      <c r="C31" s="43">
        <v>30329.17</v>
      </c>
      <c r="D31" s="43">
        <v>0</v>
      </c>
      <c r="E31" s="45">
        <f t="shared" ref="E31:E32" si="3">F31-D31</f>
        <v>143249</v>
      </c>
      <c r="F31" s="43">
        <v>143249</v>
      </c>
      <c r="G31" s="43">
        <v>149501</v>
      </c>
      <c r="I31" s="7"/>
    </row>
    <row r="32" spans="1:9" ht="14.45" customHeight="1" x14ac:dyDescent="0.25">
      <c r="A32" s="44" t="s">
        <v>388</v>
      </c>
      <c r="B32" s="41" t="s">
        <v>183</v>
      </c>
      <c r="C32" s="43">
        <v>35000</v>
      </c>
      <c r="D32" s="43">
        <v>0</v>
      </c>
      <c r="E32" s="45">
        <f t="shared" si="3"/>
        <v>45000</v>
      </c>
      <c r="F32" s="43">
        <v>45000</v>
      </c>
      <c r="G32" s="43">
        <v>45000</v>
      </c>
      <c r="I32" s="7"/>
    </row>
    <row r="33" spans="1:26" ht="14.45" customHeight="1" x14ac:dyDescent="0.25">
      <c r="A33" s="88" t="s">
        <v>625</v>
      </c>
      <c r="B33" s="41"/>
      <c r="C33" s="43">
        <v>0</v>
      </c>
      <c r="D33" s="43">
        <v>0</v>
      </c>
      <c r="E33" s="45">
        <v>0</v>
      </c>
      <c r="F33" s="43">
        <v>0</v>
      </c>
      <c r="G33" s="43">
        <v>105303</v>
      </c>
    </row>
    <row r="34" spans="1:26" ht="14.45" customHeight="1" x14ac:dyDescent="0.25">
      <c r="A34" s="17" t="s">
        <v>632</v>
      </c>
      <c r="B34" s="41"/>
      <c r="C34" s="54">
        <f t="shared" ref="C34:D34" si="4">SUM(C15:C33)</f>
        <v>3267023.41</v>
      </c>
      <c r="D34" s="54">
        <f t="shared" si="4"/>
        <v>1754721.9400000002</v>
      </c>
      <c r="E34" s="79">
        <f>F34-D34</f>
        <v>3550261.0599999996</v>
      </c>
      <c r="F34" s="54">
        <f t="shared" ref="F34:G34" si="5">SUM(F15:F33)</f>
        <v>5304983</v>
      </c>
      <c r="G34" s="54">
        <f t="shared" si="5"/>
        <v>5591845</v>
      </c>
    </row>
    <row r="35" spans="1:26" ht="14.45" customHeight="1" x14ac:dyDescent="0.25">
      <c r="A35" s="17"/>
      <c r="B35" s="41"/>
      <c r="C35" s="55"/>
      <c r="D35" s="55"/>
      <c r="E35" s="45"/>
      <c r="F35" s="39"/>
      <c r="G35" s="55"/>
    </row>
    <row r="36" spans="1:26" ht="14.45" customHeight="1" x14ac:dyDescent="0.25">
      <c r="A36" s="17" t="s">
        <v>626</v>
      </c>
      <c r="B36" s="41"/>
      <c r="C36" s="26"/>
      <c r="D36" s="43"/>
      <c r="E36" s="45"/>
      <c r="F36" s="56"/>
      <c r="G36" s="43"/>
    </row>
    <row r="37" spans="1:26" ht="14.45" customHeight="1" x14ac:dyDescent="0.25">
      <c r="A37" s="456" t="s">
        <v>493</v>
      </c>
      <c r="B37" s="454"/>
      <c r="C37" s="514"/>
      <c r="D37" s="514"/>
      <c r="E37" s="443"/>
      <c r="F37" s="443"/>
      <c r="G37" s="462"/>
    </row>
    <row r="38" spans="1:26" ht="14.45" customHeight="1" x14ac:dyDescent="0.25">
      <c r="A38" s="460" t="s">
        <v>396</v>
      </c>
      <c r="B38" s="454" t="s">
        <v>191</v>
      </c>
      <c r="C38" s="443">
        <v>0</v>
      </c>
      <c r="D38" s="443">
        <v>12000</v>
      </c>
      <c r="E38" s="443">
        <f>F38-D38</f>
        <v>179000</v>
      </c>
      <c r="F38" s="443">
        <v>191000</v>
      </c>
      <c r="G38" s="462">
        <f>110000+30000</f>
        <v>140000</v>
      </c>
      <c r="H38" s="114">
        <v>140000</v>
      </c>
      <c r="I38" s="114"/>
      <c r="J38" s="114"/>
      <c r="K38" s="114"/>
      <c r="L38" s="114"/>
      <c r="M38" s="114"/>
      <c r="N38" s="114"/>
      <c r="O38" s="114"/>
      <c r="P38" s="114"/>
      <c r="Q38" s="114"/>
      <c r="R38" s="114"/>
      <c r="S38" s="114"/>
      <c r="T38" s="114"/>
      <c r="U38" s="114"/>
      <c r="V38" s="114"/>
      <c r="W38" s="114"/>
      <c r="X38" s="114"/>
      <c r="Y38" s="114"/>
      <c r="Z38" s="114"/>
    </row>
    <row r="39" spans="1:26" ht="28.9" customHeight="1" x14ac:dyDescent="0.25">
      <c r="A39" s="295" t="s">
        <v>680</v>
      </c>
      <c r="B39" s="41"/>
      <c r="C39" s="46"/>
      <c r="D39" s="156"/>
      <c r="E39" s="43"/>
      <c r="F39" s="26"/>
      <c r="G39" s="43"/>
      <c r="H39" s="114"/>
      <c r="I39" s="60"/>
      <c r="J39" s="114"/>
      <c r="K39" s="114"/>
      <c r="L39" s="114"/>
      <c r="M39" s="114"/>
      <c r="N39" s="114"/>
      <c r="O39" s="114"/>
      <c r="P39" s="114"/>
      <c r="Q39" s="114"/>
      <c r="R39" s="114"/>
      <c r="S39" s="114"/>
      <c r="T39" s="114"/>
      <c r="U39" s="114"/>
      <c r="V39" s="114"/>
      <c r="W39" s="114"/>
      <c r="X39" s="114"/>
      <c r="Y39" s="114"/>
      <c r="Z39" s="114"/>
    </row>
    <row r="40" spans="1:26" ht="13.9" customHeight="1" x14ac:dyDescent="0.25">
      <c r="A40" s="96" t="s">
        <v>681</v>
      </c>
      <c r="B40" s="41"/>
      <c r="C40" s="156"/>
      <c r="D40" s="46"/>
      <c r="E40" s="45"/>
      <c r="F40" s="26"/>
      <c r="G40" s="43"/>
      <c r="H40" s="114"/>
      <c r="I40" s="60"/>
      <c r="J40" s="114"/>
      <c r="K40" s="114"/>
      <c r="L40" s="114"/>
      <c r="M40" s="114"/>
      <c r="N40" s="114"/>
      <c r="O40" s="114"/>
      <c r="P40" s="114"/>
      <c r="Q40" s="114"/>
      <c r="R40" s="114"/>
      <c r="S40" s="114"/>
      <c r="T40" s="114"/>
      <c r="U40" s="114"/>
      <c r="V40" s="114"/>
      <c r="W40" s="114"/>
      <c r="X40" s="114"/>
      <c r="Y40" s="114"/>
      <c r="Z40" s="114"/>
    </row>
    <row r="41" spans="1:26" ht="13.9" customHeight="1" x14ac:dyDescent="0.25">
      <c r="A41" s="17" t="s">
        <v>499</v>
      </c>
      <c r="B41" s="41"/>
      <c r="C41" s="156"/>
      <c r="D41" s="46"/>
      <c r="E41" s="45"/>
      <c r="F41" s="43"/>
      <c r="G41" s="43"/>
      <c r="H41" s="114"/>
      <c r="I41" s="60"/>
      <c r="J41" s="114"/>
      <c r="K41" s="114"/>
      <c r="L41" s="114"/>
      <c r="M41" s="114"/>
      <c r="N41" s="114"/>
      <c r="O41" s="114"/>
      <c r="P41" s="114"/>
      <c r="Q41" s="114"/>
      <c r="R41" s="114"/>
      <c r="S41" s="114"/>
      <c r="T41" s="114"/>
      <c r="U41" s="114"/>
      <c r="V41" s="114"/>
      <c r="W41" s="114"/>
      <c r="X41" s="114"/>
      <c r="Y41" s="114"/>
      <c r="Z41" s="114"/>
    </row>
    <row r="42" spans="1:26" ht="13.9" customHeight="1" x14ac:dyDescent="0.25">
      <c r="A42" s="44" t="s">
        <v>398</v>
      </c>
      <c r="B42" s="41" t="s">
        <v>195</v>
      </c>
      <c r="C42" s="26">
        <v>632500.35</v>
      </c>
      <c r="D42" s="43">
        <v>377796.66</v>
      </c>
      <c r="E42" s="45">
        <f t="shared" ref="E42:E43" si="6">F42-D42</f>
        <v>397144.34</v>
      </c>
      <c r="F42" s="43">
        <v>774941</v>
      </c>
      <c r="G42" s="45">
        <v>758985</v>
      </c>
      <c r="H42" s="57">
        <v>758985</v>
      </c>
      <c r="I42" s="60"/>
    </row>
    <row r="43" spans="1:26" ht="13.9" customHeight="1" x14ac:dyDescent="0.25">
      <c r="A43" s="96" t="s">
        <v>400</v>
      </c>
      <c r="B43" s="41" t="s">
        <v>221</v>
      </c>
      <c r="C43" s="26">
        <v>0</v>
      </c>
      <c r="D43" s="43">
        <v>105680</v>
      </c>
      <c r="E43" s="45">
        <f t="shared" si="6"/>
        <v>43520</v>
      </c>
      <c r="F43" s="43">
        <v>149200</v>
      </c>
      <c r="G43" s="45">
        <v>30000</v>
      </c>
      <c r="H43" s="57">
        <v>30000</v>
      </c>
      <c r="I43" s="60"/>
    </row>
    <row r="44" spans="1:26" ht="13.9" customHeight="1" x14ac:dyDescent="0.25">
      <c r="A44" s="96" t="s">
        <v>538</v>
      </c>
      <c r="B44" s="41" t="s">
        <v>223</v>
      </c>
      <c r="C44" s="26">
        <v>0</v>
      </c>
      <c r="D44" s="43">
        <v>0</v>
      </c>
      <c r="E44" s="45">
        <v>0</v>
      </c>
      <c r="F44" s="43">
        <v>0</v>
      </c>
      <c r="G44" s="45">
        <v>26400</v>
      </c>
      <c r="H44" s="57">
        <v>26400</v>
      </c>
    </row>
    <row r="45" spans="1:26" ht="13.9" customHeight="1" x14ac:dyDescent="0.25">
      <c r="A45" s="48" t="s">
        <v>402</v>
      </c>
      <c r="B45" s="41" t="s">
        <v>225</v>
      </c>
      <c r="C45" s="45">
        <v>0</v>
      </c>
      <c r="D45" s="43">
        <v>20634.04</v>
      </c>
      <c r="E45" s="45">
        <f>F45-D45</f>
        <v>2256.9599999999991</v>
      </c>
      <c r="F45" s="43">
        <v>22891</v>
      </c>
      <c r="G45" s="43">
        <v>23826</v>
      </c>
      <c r="H45" s="57">
        <v>23826</v>
      </c>
    </row>
    <row r="46" spans="1:26" ht="13.9" customHeight="1" x14ac:dyDescent="0.25">
      <c r="A46" s="17" t="s">
        <v>424</v>
      </c>
      <c r="B46" s="41"/>
      <c r="C46" s="26"/>
      <c r="D46" s="43"/>
      <c r="E46" s="45"/>
      <c r="F46" s="45"/>
      <c r="G46" s="43"/>
    </row>
    <row r="47" spans="1:26" ht="13.9" customHeight="1" x14ac:dyDescent="0.25">
      <c r="A47" s="44" t="s">
        <v>415</v>
      </c>
      <c r="B47" s="41" t="s">
        <v>319</v>
      </c>
      <c r="C47" s="45">
        <v>0</v>
      </c>
      <c r="D47" s="43">
        <v>0</v>
      </c>
      <c r="E47" s="45">
        <f>F47-D47</f>
        <v>50000</v>
      </c>
      <c r="F47" s="45">
        <v>50000</v>
      </c>
      <c r="G47" s="43">
        <v>50000</v>
      </c>
      <c r="H47" s="143">
        <v>50000</v>
      </c>
    </row>
    <row r="48" spans="1:26" ht="13.9" customHeight="1" x14ac:dyDescent="0.25">
      <c r="A48" s="44" t="s">
        <v>418</v>
      </c>
      <c r="B48" s="41" t="s">
        <v>331</v>
      </c>
      <c r="C48" s="45">
        <v>0</v>
      </c>
      <c r="D48" s="43">
        <v>0</v>
      </c>
      <c r="E48" s="45">
        <v>0</v>
      </c>
      <c r="F48" s="45">
        <v>0</v>
      </c>
      <c r="G48" s="43">
        <f>7000</f>
        <v>7000</v>
      </c>
      <c r="H48" s="57">
        <v>7000</v>
      </c>
    </row>
    <row r="49" spans="1:11" ht="13.9" customHeight="1" x14ac:dyDescent="0.25">
      <c r="A49" s="44" t="s">
        <v>424</v>
      </c>
      <c r="B49" s="41" t="s">
        <v>335</v>
      </c>
      <c r="C49" s="26">
        <v>678178</v>
      </c>
      <c r="D49" s="43">
        <v>273060</v>
      </c>
      <c r="E49" s="45">
        <f>F49-D49</f>
        <v>541140</v>
      </c>
      <c r="F49" s="45">
        <v>814200</v>
      </c>
      <c r="G49" s="43">
        <f>1012176+100000+112500</f>
        <v>1224676</v>
      </c>
    </row>
    <row r="50" spans="1:11" ht="13.9" customHeight="1" x14ac:dyDescent="0.25">
      <c r="A50" s="96" t="s">
        <v>682</v>
      </c>
      <c r="B50" s="41"/>
      <c r="C50" s="26"/>
      <c r="D50" s="43"/>
      <c r="E50" s="45"/>
      <c r="F50" s="45"/>
      <c r="G50" s="43"/>
      <c r="H50" s="7">
        <v>100000</v>
      </c>
      <c r="I50" s="7"/>
    </row>
    <row r="51" spans="1:11" ht="13.9" customHeight="1" x14ac:dyDescent="0.25">
      <c r="A51" s="96" t="s">
        <v>683</v>
      </c>
      <c r="B51" s="41"/>
      <c r="C51" s="26"/>
      <c r="D51" s="43"/>
      <c r="E51" s="45"/>
      <c r="F51" s="45"/>
      <c r="G51" s="43"/>
      <c r="H51" s="7">
        <v>112500</v>
      </c>
      <c r="I51" s="7"/>
    </row>
    <row r="52" spans="1:11" ht="13.9" customHeight="1" x14ac:dyDescent="0.25">
      <c r="A52" s="96" t="s">
        <v>648</v>
      </c>
      <c r="B52" s="41"/>
      <c r="C52" s="26"/>
      <c r="D52" s="43"/>
      <c r="E52" s="45"/>
      <c r="F52" s="45"/>
      <c r="G52" s="43"/>
      <c r="H52" s="175"/>
      <c r="I52" s="7"/>
    </row>
    <row r="53" spans="1:11" ht="13.9" customHeight="1" x14ac:dyDescent="0.25">
      <c r="A53" s="74" t="s">
        <v>684</v>
      </c>
      <c r="B53" s="41"/>
      <c r="C53" s="26"/>
      <c r="D53" s="43"/>
      <c r="E53" s="45"/>
      <c r="F53" s="45"/>
      <c r="G53" s="43"/>
      <c r="H53" s="175">
        <v>639</v>
      </c>
      <c r="I53" s="7">
        <f>22*12</f>
        <v>264</v>
      </c>
      <c r="J53" s="57">
        <v>6</v>
      </c>
      <c r="K53" s="57">
        <f>J53*I53*H53</f>
        <v>1012176</v>
      </c>
    </row>
    <row r="54" spans="1:11" ht="13.9" customHeight="1" x14ac:dyDescent="0.25">
      <c r="A54" s="17" t="s">
        <v>466</v>
      </c>
      <c r="B54" s="41"/>
      <c r="C54" s="79">
        <f t="shared" ref="C54:D54" si="7">SUM(C38:C49)</f>
        <v>1310678.3500000001</v>
      </c>
      <c r="D54" s="54">
        <f t="shared" si="7"/>
        <v>789170.7</v>
      </c>
      <c r="E54" s="79">
        <f>F54-D54</f>
        <v>1213061.3</v>
      </c>
      <c r="F54" s="79">
        <f t="shared" ref="F54:G54" si="8">SUM(F38:F49)</f>
        <v>2002232</v>
      </c>
      <c r="G54" s="79">
        <f t="shared" si="8"/>
        <v>2260887</v>
      </c>
      <c r="H54" s="175"/>
      <c r="I54" s="7"/>
    </row>
    <row r="55" spans="1:11" ht="13.9" customHeight="1" x14ac:dyDescent="0.25">
      <c r="A55" s="17"/>
      <c r="B55" s="80"/>
      <c r="C55" s="81"/>
      <c r="D55" s="55"/>
      <c r="E55" s="45"/>
      <c r="F55" s="163"/>
      <c r="G55" s="55"/>
      <c r="H55" s="7"/>
      <c r="I55" s="7"/>
    </row>
    <row r="56" spans="1:11" ht="13.9" customHeight="1" x14ac:dyDescent="0.25">
      <c r="A56" s="17" t="s">
        <v>467</v>
      </c>
      <c r="B56" s="41"/>
      <c r="C56" s="26">
        <f t="shared" ref="C56:D56" si="9">C34+C54</f>
        <v>4577701.76</v>
      </c>
      <c r="D56" s="43">
        <f t="shared" si="9"/>
        <v>2543892.64</v>
      </c>
      <c r="E56" s="45">
        <f>F56-D56</f>
        <v>4763322.3599999994</v>
      </c>
      <c r="F56" s="43">
        <f t="shared" ref="F56:G56" si="10">F34+F54</f>
        <v>7307215</v>
      </c>
      <c r="G56" s="164">
        <f t="shared" si="10"/>
        <v>7852732</v>
      </c>
      <c r="H56" s="7"/>
    </row>
    <row r="57" spans="1:11" ht="13.9" customHeight="1" x14ac:dyDescent="0.25">
      <c r="A57" s="446"/>
      <c r="B57" s="437"/>
      <c r="C57" s="443"/>
      <c r="D57" s="438"/>
      <c r="E57" s="473"/>
      <c r="F57" s="438"/>
      <c r="G57" s="767"/>
      <c r="H57" s="7"/>
    </row>
    <row r="58" spans="1:11" ht="13.9" customHeight="1" x14ac:dyDescent="0.25">
      <c r="A58" s="446" t="s">
        <v>529</v>
      </c>
      <c r="B58" s="447"/>
      <c r="C58" s="484"/>
      <c r="D58" s="438"/>
      <c r="E58" s="473"/>
      <c r="F58" s="438"/>
      <c r="G58" s="767"/>
      <c r="H58" s="7"/>
    </row>
    <row r="59" spans="1:11" ht="13.9" customHeight="1" x14ac:dyDescent="0.25">
      <c r="A59" s="42" t="s">
        <v>686</v>
      </c>
      <c r="B59" s="20"/>
      <c r="C59" s="56"/>
      <c r="D59" s="43"/>
      <c r="E59" s="26"/>
      <c r="F59" s="56"/>
      <c r="G59" s="43"/>
    </row>
    <row r="60" spans="1:11" ht="13.9" customHeight="1" x14ac:dyDescent="0.25">
      <c r="A60" s="48" t="s">
        <v>687</v>
      </c>
      <c r="B60" s="20" t="s">
        <v>85</v>
      </c>
      <c r="C60" s="56"/>
      <c r="D60" s="43"/>
      <c r="E60" s="26"/>
      <c r="F60" s="56"/>
      <c r="G60" s="43"/>
    </row>
    <row r="61" spans="1:11" ht="13.9" customHeight="1" x14ac:dyDescent="0.25">
      <c r="A61" s="96" t="s">
        <v>688</v>
      </c>
      <c r="B61" s="20"/>
      <c r="C61" s="56"/>
      <c r="D61" s="43"/>
      <c r="E61" s="26"/>
      <c r="F61" s="56"/>
      <c r="G61" s="43">
        <v>150000</v>
      </c>
    </row>
    <row r="62" spans="1:11" ht="13.9" customHeight="1" x14ac:dyDescent="0.25">
      <c r="A62" s="17" t="s">
        <v>536</v>
      </c>
      <c r="B62" s="20"/>
      <c r="C62" s="97" t="e">
        <f>SUM(#REF!)</f>
        <v>#REF!</v>
      </c>
      <c r="D62" s="54">
        <f>SUM(D59:D61)</f>
        <v>0</v>
      </c>
      <c r="E62" s="97">
        <f>SUM(E59:E61)</f>
        <v>0</v>
      </c>
      <c r="F62" s="97">
        <f>SUM(F59:F61)</f>
        <v>0</v>
      </c>
      <c r="G62" s="54">
        <f>SUM(G59:G61)</f>
        <v>150000</v>
      </c>
    </row>
    <row r="63" spans="1:11" ht="13.9" customHeight="1" x14ac:dyDescent="0.25">
      <c r="A63" s="44"/>
      <c r="B63" s="20"/>
      <c r="C63" s="56"/>
      <c r="D63" s="43"/>
      <c r="E63" s="45">
        <f>F63-D63</f>
        <v>0</v>
      </c>
      <c r="F63" s="56"/>
      <c r="G63" s="54"/>
    </row>
    <row r="64" spans="1:11" ht="13.9" customHeight="1" x14ac:dyDescent="0.25">
      <c r="A64" s="50" t="s">
        <v>487</v>
      </c>
      <c r="B64" s="27" t="s">
        <v>488</v>
      </c>
      <c r="C64" s="97" t="e">
        <f>C62+C56</f>
        <v>#REF!</v>
      </c>
      <c r="D64" s="97">
        <f>D62+D56</f>
        <v>2543892.64</v>
      </c>
      <c r="E64" s="97">
        <f>E62+E56</f>
        <v>4763322.3599999994</v>
      </c>
      <c r="F64" s="97">
        <f>F62+F56</f>
        <v>7307215</v>
      </c>
      <c r="G64" s="54">
        <f>G62+G56</f>
        <v>8002732</v>
      </c>
    </row>
    <row r="65" spans="1:7" ht="15.75" customHeight="1" x14ac:dyDescent="0.25">
      <c r="A65" s="24"/>
      <c r="B65" s="25"/>
      <c r="C65" s="26"/>
      <c r="D65" s="26"/>
      <c r="E65" s="26"/>
      <c r="F65" s="26"/>
      <c r="G65" s="26"/>
    </row>
    <row r="66" spans="1:7" ht="15.75" customHeight="1" x14ac:dyDescent="0.25">
      <c r="A66" s="17"/>
      <c r="B66" s="25"/>
      <c r="C66" s="24"/>
      <c r="D66" s="24"/>
      <c r="E66" s="24"/>
      <c r="F66" s="24"/>
    </row>
    <row r="67" spans="1:7" ht="15.75" customHeight="1" x14ac:dyDescent="0.25">
      <c r="A67" s="17"/>
      <c r="B67" s="25"/>
      <c r="C67" s="24"/>
      <c r="D67" s="24"/>
      <c r="E67" s="24"/>
      <c r="F67" s="24"/>
    </row>
    <row r="68" spans="1:7" ht="15.75" customHeight="1" x14ac:dyDescent="0.25">
      <c r="A68" s="17"/>
      <c r="B68" s="25"/>
      <c r="C68" s="24"/>
      <c r="D68" s="24"/>
      <c r="E68" s="24"/>
      <c r="F68" s="24"/>
    </row>
    <row r="69" spans="1:7" ht="15.75" customHeight="1" x14ac:dyDescent="0.25">
      <c r="A69" s="17"/>
      <c r="B69" s="25"/>
      <c r="C69" s="24"/>
      <c r="D69" s="24"/>
      <c r="E69" s="24"/>
      <c r="F69" s="24"/>
    </row>
    <row r="70" spans="1:7" ht="15.75" customHeight="1" x14ac:dyDescent="0.25">
      <c r="A70" s="17"/>
      <c r="B70" s="25"/>
      <c r="C70" s="24"/>
      <c r="D70" s="24"/>
      <c r="E70" s="24"/>
      <c r="F70" s="24"/>
    </row>
    <row r="71" spans="1:7" ht="15.75" customHeight="1" x14ac:dyDescent="0.25">
      <c r="A71" s="17"/>
      <c r="B71" s="25"/>
      <c r="C71" s="24"/>
      <c r="D71" s="24"/>
      <c r="E71" s="24"/>
      <c r="F71" s="24"/>
    </row>
    <row r="72" spans="1:7" ht="15.75" customHeight="1" x14ac:dyDescent="0.25">
      <c r="A72" s="17"/>
      <c r="B72" s="25"/>
      <c r="C72" s="24"/>
      <c r="D72" s="24"/>
      <c r="E72" s="24"/>
      <c r="F72" s="24"/>
    </row>
    <row r="73" spans="1:7" ht="15.75" customHeight="1" x14ac:dyDescent="0.25">
      <c r="A73" s="17"/>
      <c r="B73" s="25"/>
      <c r="C73" s="24"/>
      <c r="D73" s="24"/>
      <c r="E73" s="24"/>
      <c r="F73" s="24"/>
    </row>
    <row r="74" spans="1:7" ht="15.75" customHeight="1" x14ac:dyDescent="0.25">
      <c r="A74" s="17"/>
      <c r="B74" s="25"/>
      <c r="C74" s="24"/>
      <c r="D74" s="24"/>
      <c r="E74" s="24"/>
      <c r="F74" s="24"/>
    </row>
    <row r="75" spans="1:7" ht="15.75" customHeight="1" x14ac:dyDescent="0.25">
      <c r="A75" s="17"/>
      <c r="B75" s="25"/>
      <c r="C75" s="24"/>
      <c r="D75" s="24"/>
      <c r="E75" s="24"/>
      <c r="F75" s="24"/>
    </row>
    <row r="76" spans="1:7" ht="15.75" customHeight="1" x14ac:dyDescent="0.25">
      <c r="A76" s="17"/>
      <c r="B76" s="25"/>
      <c r="C76" s="24"/>
      <c r="D76" s="24"/>
      <c r="E76" s="24"/>
      <c r="F76" s="24"/>
    </row>
    <row r="77" spans="1:7" ht="15.75" customHeight="1" x14ac:dyDescent="0.25">
      <c r="A77" s="17"/>
      <c r="B77" s="25"/>
      <c r="C77" s="24"/>
      <c r="D77" s="24"/>
      <c r="E77" s="24"/>
      <c r="F77" s="24"/>
    </row>
    <row r="78" spans="1:7" ht="15.75" customHeight="1" x14ac:dyDescent="0.25">
      <c r="A78" s="17"/>
      <c r="B78" s="25"/>
      <c r="C78" s="24"/>
      <c r="D78" s="24"/>
      <c r="E78" s="24"/>
      <c r="F78" s="24"/>
    </row>
    <row r="79" spans="1:7" ht="15.75" customHeight="1" x14ac:dyDescent="0.25">
      <c r="A79" s="17"/>
      <c r="B79" s="25"/>
      <c r="C79" s="24"/>
      <c r="D79" s="24"/>
      <c r="E79" s="24"/>
      <c r="F79" s="24"/>
    </row>
    <row r="80" spans="1:7" ht="15.75" customHeight="1" x14ac:dyDescent="0.25">
      <c r="A80" s="17"/>
      <c r="B80" s="25"/>
      <c r="C80" s="24"/>
      <c r="D80" s="24"/>
      <c r="E80" s="24"/>
      <c r="F80" s="24"/>
    </row>
    <row r="81" spans="1:6" ht="15.75" customHeight="1" x14ac:dyDescent="0.25">
      <c r="A81" s="17"/>
      <c r="B81" s="25"/>
      <c r="C81" s="24"/>
      <c r="D81" s="24"/>
      <c r="E81" s="24"/>
      <c r="F81" s="24"/>
    </row>
    <row r="82" spans="1:6" ht="15.75" customHeight="1" x14ac:dyDescent="0.25">
      <c r="A82" s="17"/>
      <c r="B82" s="25"/>
      <c r="C82" s="24"/>
      <c r="D82" s="24"/>
      <c r="E82" s="24"/>
      <c r="F82" s="24"/>
    </row>
    <row r="83" spans="1:6" ht="15.75" customHeight="1" x14ac:dyDescent="0.25">
      <c r="A83" s="17"/>
      <c r="B83" s="25"/>
      <c r="C83" s="24"/>
      <c r="D83" s="24"/>
      <c r="E83" s="24"/>
      <c r="F83" s="24"/>
    </row>
    <row r="84" spans="1:6" ht="15.75" customHeight="1" x14ac:dyDescent="0.25">
      <c r="A84" s="17"/>
      <c r="B84" s="25"/>
      <c r="C84" s="24"/>
      <c r="D84" s="24"/>
      <c r="E84" s="24"/>
      <c r="F84" s="24"/>
    </row>
    <row r="85" spans="1:6" ht="15.75" customHeight="1" x14ac:dyDescent="0.25">
      <c r="A85" s="17"/>
      <c r="B85" s="25"/>
      <c r="C85" s="24"/>
      <c r="D85" s="24"/>
      <c r="E85" s="24"/>
      <c r="F85" s="24"/>
    </row>
    <row r="86" spans="1:6" ht="15.75" customHeight="1" x14ac:dyDescent="0.25">
      <c r="A86" s="17"/>
      <c r="B86" s="25"/>
      <c r="C86" s="24"/>
      <c r="D86" s="24"/>
      <c r="E86" s="24"/>
      <c r="F86" s="24"/>
    </row>
    <row r="87" spans="1:6" ht="15.75" customHeight="1" x14ac:dyDescent="0.25">
      <c r="A87" s="17"/>
      <c r="B87" s="25"/>
      <c r="C87" s="24"/>
      <c r="D87" s="24"/>
      <c r="E87" s="24"/>
      <c r="F87" s="24"/>
    </row>
    <row r="88" spans="1:6" ht="15.75" customHeight="1" x14ac:dyDescent="0.25">
      <c r="A88" s="17"/>
      <c r="B88" s="25"/>
      <c r="C88" s="24"/>
      <c r="D88" s="24"/>
      <c r="E88" s="24"/>
      <c r="F88" s="24"/>
    </row>
    <row r="89" spans="1:6" ht="15.75" customHeight="1" x14ac:dyDescent="0.25">
      <c r="A89" s="17"/>
      <c r="B89" s="25"/>
      <c r="C89" s="24"/>
      <c r="D89" s="24"/>
      <c r="E89" s="24"/>
      <c r="F89" s="24"/>
    </row>
    <row r="90" spans="1:6" ht="15.75" customHeight="1" x14ac:dyDescent="0.25">
      <c r="A90" s="17"/>
      <c r="B90" s="25"/>
      <c r="C90" s="24"/>
      <c r="D90" s="24"/>
      <c r="E90" s="24"/>
      <c r="F90" s="24"/>
    </row>
    <row r="91" spans="1:6" ht="15.75" customHeight="1" x14ac:dyDescent="0.25">
      <c r="A91" s="17"/>
      <c r="B91" s="25"/>
      <c r="C91" s="24"/>
      <c r="D91" s="24"/>
      <c r="E91" s="24"/>
      <c r="F91" s="24"/>
    </row>
    <row r="92" spans="1:6" ht="15.75" customHeight="1" x14ac:dyDescent="0.25">
      <c r="A92" s="17"/>
      <c r="B92" s="25"/>
      <c r="C92" s="24"/>
      <c r="D92" s="24"/>
      <c r="E92" s="24"/>
      <c r="F92" s="24"/>
    </row>
    <row r="93" spans="1:6" ht="15.75" customHeight="1" x14ac:dyDescent="0.25">
      <c r="A93" s="17"/>
      <c r="B93" s="25"/>
      <c r="C93" s="24"/>
      <c r="D93" s="24"/>
      <c r="E93" s="24"/>
      <c r="F93" s="24"/>
    </row>
    <row r="94" spans="1:6" ht="15.75" customHeight="1" x14ac:dyDescent="0.25">
      <c r="A94" s="17"/>
      <c r="B94" s="25"/>
      <c r="C94" s="24"/>
      <c r="D94" s="24"/>
      <c r="E94" s="24"/>
      <c r="F94" s="24"/>
    </row>
    <row r="95" spans="1:6" ht="15.75" customHeight="1" x14ac:dyDescent="0.25">
      <c r="A95" s="17"/>
      <c r="B95" s="25"/>
      <c r="C95" s="24"/>
      <c r="D95" s="24"/>
      <c r="E95" s="24"/>
      <c r="F95" s="24"/>
    </row>
    <row r="96" spans="1:6" ht="15.75" customHeight="1" x14ac:dyDescent="0.25">
      <c r="A96" s="17"/>
      <c r="B96" s="25"/>
      <c r="C96" s="24"/>
      <c r="D96" s="24"/>
      <c r="E96" s="24"/>
      <c r="F96" s="24"/>
    </row>
    <row r="97" spans="1:6" ht="15.75" customHeight="1" x14ac:dyDescent="0.25">
      <c r="A97" s="17"/>
      <c r="B97" s="25"/>
      <c r="C97" s="24"/>
      <c r="D97" s="24"/>
      <c r="E97" s="24"/>
      <c r="F97" s="24"/>
    </row>
    <row r="98" spans="1:6" ht="15.75" customHeight="1" x14ac:dyDescent="0.25">
      <c r="A98" s="17"/>
      <c r="B98" s="25"/>
      <c r="C98" s="24"/>
      <c r="D98" s="24"/>
      <c r="E98" s="24"/>
      <c r="F98" s="24"/>
    </row>
    <row r="99" spans="1:6" ht="15.75" customHeight="1" x14ac:dyDescent="0.25">
      <c r="A99" s="17"/>
      <c r="B99" s="25"/>
      <c r="C99" s="24"/>
      <c r="D99" s="24"/>
      <c r="E99" s="24"/>
      <c r="F99" s="24"/>
    </row>
    <row r="100" spans="1:6" ht="15.75" customHeight="1" x14ac:dyDescent="0.25">
      <c r="A100" s="17"/>
      <c r="B100" s="25"/>
      <c r="C100" s="24"/>
      <c r="D100" s="24"/>
      <c r="E100" s="24"/>
      <c r="F100" s="24"/>
    </row>
    <row r="101" spans="1:6" ht="15.75" customHeight="1" x14ac:dyDescent="0.25">
      <c r="A101" s="17"/>
      <c r="B101" s="25"/>
      <c r="C101" s="24"/>
      <c r="D101" s="24"/>
      <c r="E101" s="24"/>
      <c r="F101" s="24"/>
    </row>
    <row r="102" spans="1:6" ht="15.75" customHeight="1" x14ac:dyDescent="0.25">
      <c r="A102" s="17"/>
      <c r="B102" s="25"/>
      <c r="C102" s="24"/>
      <c r="D102" s="24"/>
      <c r="E102" s="24"/>
      <c r="F102" s="24"/>
    </row>
    <row r="103" spans="1:6" ht="15.75" customHeight="1" x14ac:dyDescent="0.25">
      <c r="A103" s="17"/>
      <c r="B103" s="25"/>
      <c r="C103" s="24"/>
      <c r="D103" s="24"/>
      <c r="E103" s="24"/>
      <c r="F103" s="24"/>
    </row>
    <row r="104" spans="1:6" ht="15.75" customHeight="1" x14ac:dyDescent="0.25">
      <c r="A104" s="17"/>
      <c r="B104" s="25"/>
      <c r="C104" s="24"/>
      <c r="D104" s="24"/>
      <c r="E104" s="24"/>
      <c r="F104" s="24"/>
    </row>
    <row r="105" spans="1:6" ht="15.75" customHeight="1" x14ac:dyDescent="0.25">
      <c r="A105" s="17"/>
      <c r="B105" s="25"/>
      <c r="C105" s="24"/>
      <c r="D105" s="24"/>
      <c r="E105" s="24"/>
      <c r="F105" s="24"/>
    </row>
    <row r="106" spans="1:6" ht="15.75" customHeight="1" x14ac:dyDescent="0.25">
      <c r="A106" s="17"/>
      <c r="B106" s="25"/>
      <c r="C106" s="24"/>
      <c r="D106" s="24"/>
      <c r="E106" s="24"/>
      <c r="F106" s="24"/>
    </row>
    <row r="107" spans="1:6" ht="15.75" customHeight="1" x14ac:dyDescent="0.25">
      <c r="A107" s="17"/>
      <c r="B107" s="25"/>
      <c r="C107" s="24"/>
      <c r="D107" s="24"/>
      <c r="E107" s="24"/>
      <c r="F107" s="24"/>
    </row>
    <row r="108" spans="1:6" ht="15.75" customHeight="1" x14ac:dyDescent="0.25">
      <c r="A108" s="17"/>
      <c r="B108" s="25"/>
      <c r="C108" s="24"/>
      <c r="D108" s="24"/>
      <c r="E108" s="24"/>
      <c r="F108" s="24"/>
    </row>
    <row r="109" spans="1:6" ht="15.75" customHeight="1" x14ac:dyDescent="0.25">
      <c r="A109" s="17"/>
      <c r="B109" s="25"/>
      <c r="C109" s="24"/>
      <c r="D109" s="24"/>
      <c r="E109" s="24"/>
      <c r="F109" s="24"/>
    </row>
    <row r="110" spans="1:6" ht="15.75" customHeight="1" x14ac:dyDescent="0.25">
      <c r="A110" s="17"/>
      <c r="B110" s="25"/>
      <c r="C110" s="24"/>
      <c r="D110" s="24"/>
      <c r="E110" s="24"/>
      <c r="F110" s="24"/>
    </row>
    <row r="111" spans="1:6" ht="15.75" customHeight="1" x14ac:dyDescent="0.25">
      <c r="A111" s="17"/>
      <c r="B111" s="25"/>
      <c r="C111" s="24"/>
      <c r="D111" s="24"/>
      <c r="E111" s="24"/>
      <c r="F111" s="24"/>
    </row>
    <row r="112" spans="1:6" ht="15.75" customHeight="1" x14ac:dyDescent="0.25">
      <c r="A112" s="17"/>
      <c r="B112" s="25"/>
      <c r="C112" s="24"/>
      <c r="D112" s="24"/>
      <c r="E112" s="24"/>
      <c r="F112" s="24"/>
    </row>
    <row r="113" spans="1:6" ht="15.75" customHeight="1" x14ac:dyDescent="0.25">
      <c r="A113" s="17"/>
      <c r="B113" s="25"/>
      <c r="C113" s="24"/>
      <c r="D113" s="24"/>
      <c r="E113" s="24"/>
      <c r="F113" s="24"/>
    </row>
    <row r="114" spans="1:6" ht="15.75" customHeight="1" x14ac:dyDescent="0.25">
      <c r="A114" s="17"/>
      <c r="B114" s="25"/>
      <c r="C114" s="24"/>
      <c r="D114" s="24"/>
      <c r="E114" s="24"/>
      <c r="F114" s="24"/>
    </row>
    <row r="115" spans="1:6" ht="15.75" customHeight="1" x14ac:dyDescent="0.25">
      <c r="A115" s="17"/>
      <c r="B115" s="25"/>
      <c r="C115" s="24"/>
      <c r="D115" s="24"/>
      <c r="E115" s="24"/>
      <c r="F115" s="24"/>
    </row>
    <row r="116" spans="1:6" ht="15.75" customHeight="1" x14ac:dyDescent="0.25">
      <c r="A116" s="17"/>
      <c r="B116" s="25"/>
      <c r="C116" s="24"/>
      <c r="D116" s="24"/>
      <c r="E116" s="24"/>
      <c r="F116" s="24"/>
    </row>
    <row r="117" spans="1:6" ht="15.75" customHeight="1" x14ac:dyDescent="0.25">
      <c r="A117" s="17"/>
      <c r="B117" s="25"/>
      <c r="C117" s="24"/>
      <c r="D117" s="24"/>
      <c r="E117" s="24"/>
      <c r="F117" s="24"/>
    </row>
    <row r="118" spans="1:6" ht="15.75" customHeight="1" x14ac:dyDescent="0.25">
      <c r="A118" s="17"/>
      <c r="B118" s="25"/>
      <c r="C118" s="24"/>
      <c r="D118" s="24"/>
      <c r="E118" s="24"/>
      <c r="F118" s="24"/>
    </row>
    <row r="119" spans="1:6" ht="15.75" customHeight="1" x14ac:dyDescent="0.25">
      <c r="A119" s="17"/>
      <c r="B119" s="25"/>
      <c r="C119" s="24"/>
      <c r="D119" s="24"/>
      <c r="E119" s="24"/>
      <c r="F119" s="24"/>
    </row>
    <row r="120" spans="1:6" ht="15.75" customHeight="1" x14ac:dyDescent="0.25">
      <c r="A120" s="17"/>
      <c r="B120" s="25"/>
      <c r="C120" s="24"/>
      <c r="D120" s="24"/>
      <c r="E120" s="24"/>
      <c r="F120" s="24"/>
    </row>
    <row r="121" spans="1:6" ht="15.75" customHeight="1" x14ac:dyDescent="0.25">
      <c r="A121" s="17"/>
      <c r="B121" s="25"/>
      <c r="C121" s="24"/>
      <c r="D121" s="24"/>
      <c r="E121" s="24"/>
      <c r="F121" s="24"/>
    </row>
    <row r="122" spans="1:6" ht="15.75" customHeight="1" x14ac:dyDescent="0.25">
      <c r="A122" s="17"/>
      <c r="B122" s="25"/>
      <c r="C122" s="24"/>
      <c r="D122" s="24"/>
      <c r="E122" s="24"/>
      <c r="F122" s="24"/>
    </row>
    <row r="123" spans="1:6" ht="15.75" customHeight="1" x14ac:dyDescent="0.25">
      <c r="A123" s="17"/>
      <c r="B123" s="25"/>
      <c r="C123" s="24"/>
      <c r="D123" s="24"/>
      <c r="E123" s="24"/>
      <c r="F123" s="24"/>
    </row>
    <row r="124" spans="1:6" ht="15.75" customHeight="1" x14ac:dyDescent="0.25">
      <c r="A124" s="17"/>
      <c r="B124" s="25"/>
      <c r="C124" s="24"/>
      <c r="D124" s="24"/>
      <c r="E124" s="24"/>
      <c r="F124" s="24"/>
    </row>
    <row r="125" spans="1:6" ht="15.75" customHeight="1" x14ac:dyDescent="0.25">
      <c r="A125" s="17"/>
      <c r="B125" s="25"/>
      <c r="C125" s="24"/>
      <c r="D125" s="24"/>
      <c r="E125" s="24"/>
      <c r="F125" s="24"/>
    </row>
    <row r="126" spans="1:6" ht="15.75" customHeight="1" x14ac:dyDescent="0.25">
      <c r="A126" s="17"/>
      <c r="B126" s="25"/>
      <c r="C126" s="24"/>
      <c r="D126" s="24"/>
      <c r="E126" s="24"/>
      <c r="F126" s="24"/>
    </row>
    <row r="127" spans="1:6" ht="15.75" customHeight="1" x14ac:dyDescent="0.25">
      <c r="A127" s="17"/>
      <c r="B127" s="25"/>
      <c r="C127" s="24"/>
      <c r="D127" s="24"/>
      <c r="E127" s="24"/>
      <c r="F127" s="24"/>
    </row>
    <row r="128" spans="1:6" ht="15.75" customHeight="1" x14ac:dyDescent="0.25">
      <c r="A128" s="17"/>
      <c r="B128" s="25"/>
      <c r="C128" s="24"/>
      <c r="D128" s="24"/>
      <c r="E128" s="24"/>
      <c r="F128" s="24"/>
    </row>
    <row r="129" spans="1:6" ht="15.75" customHeight="1" x14ac:dyDescent="0.25">
      <c r="A129" s="17"/>
      <c r="B129" s="25"/>
      <c r="C129" s="24"/>
      <c r="D129" s="24"/>
      <c r="E129" s="24"/>
      <c r="F129" s="24"/>
    </row>
    <row r="130" spans="1:6" ht="15.75" customHeight="1" x14ac:dyDescent="0.25">
      <c r="A130" s="17"/>
      <c r="B130" s="25"/>
      <c r="C130" s="24"/>
      <c r="D130" s="24"/>
      <c r="E130" s="24"/>
      <c r="F130" s="24"/>
    </row>
    <row r="131" spans="1:6" ht="15.75" customHeight="1" x14ac:dyDescent="0.25">
      <c r="A131" s="17"/>
      <c r="B131" s="25"/>
      <c r="C131" s="24"/>
      <c r="D131" s="24"/>
      <c r="E131" s="24"/>
      <c r="F131" s="24"/>
    </row>
    <row r="132" spans="1:6" ht="15.75" customHeight="1" x14ac:dyDescent="0.25">
      <c r="A132" s="17"/>
      <c r="B132" s="25"/>
      <c r="C132" s="24"/>
      <c r="D132" s="24"/>
      <c r="E132" s="24"/>
      <c r="F132" s="24"/>
    </row>
    <row r="133" spans="1:6" ht="15.75" customHeight="1" x14ac:dyDescent="0.25">
      <c r="A133" s="17"/>
      <c r="B133" s="25"/>
      <c r="C133" s="24"/>
      <c r="D133" s="24"/>
      <c r="E133" s="24"/>
      <c r="F133" s="24"/>
    </row>
    <row r="134" spans="1:6" ht="15.75" customHeight="1" x14ac:dyDescent="0.25">
      <c r="A134" s="17"/>
      <c r="B134" s="25"/>
      <c r="C134" s="24"/>
      <c r="D134" s="24"/>
      <c r="E134" s="24"/>
      <c r="F134" s="24"/>
    </row>
    <row r="135" spans="1:6" ht="15.75" customHeight="1" x14ac:dyDescent="0.25">
      <c r="A135" s="17"/>
      <c r="B135" s="25"/>
      <c r="C135" s="24"/>
      <c r="D135" s="24"/>
      <c r="E135" s="24"/>
      <c r="F135" s="24"/>
    </row>
    <row r="136" spans="1:6" ht="15.75" customHeight="1" x14ac:dyDescent="0.25">
      <c r="A136" s="17"/>
      <c r="B136" s="25"/>
      <c r="C136" s="24"/>
      <c r="D136" s="24"/>
      <c r="E136" s="24"/>
      <c r="F136" s="24"/>
    </row>
    <row r="137" spans="1:6" ht="15.75" customHeight="1" x14ac:dyDescent="0.25">
      <c r="A137" s="17"/>
      <c r="B137" s="25"/>
      <c r="C137" s="24"/>
      <c r="D137" s="24"/>
      <c r="E137" s="24"/>
      <c r="F137" s="24"/>
    </row>
    <row r="138" spans="1:6" ht="15.75" customHeight="1" x14ac:dyDescent="0.25">
      <c r="A138" s="17"/>
      <c r="B138" s="25"/>
      <c r="C138" s="24"/>
      <c r="D138" s="24"/>
      <c r="E138" s="24"/>
      <c r="F138" s="24"/>
    </row>
    <row r="139" spans="1:6" ht="15.75" customHeight="1" x14ac:dyDescent="0.25">
      <c r="A139" s="17"/>
      <c r="B139" s="25"/>
      <c r="C139" s="24"/>
      <c r="D139" s="24"/>
      <c r="E139" s="24"/>
      <c r="F139" s="24"/>
    </row>
    <row r="140" spans="1:6" ht="15.75" customHeight="1" x14ac:dyDescent="0.25">
      <c r="A140" s="17"/>
      <c r="B140" s="25"/>
      <c r="C140" s="24"/>
      <c r="D140" s="24"/>
      <c r="E140" s="24"/>
      <c r="F140" s="24"/>
    </row>
    <row r="141" spans="1:6" ht="15.75" customHeight="1" x14ac:dyDescent="0.25">
      <c r="A141" s="17"/>
      <c r="B141" s="25"/>
      <c r="C141" s="24"/>
      <c r="D141" s="24"/>
      <c r="E141" s="24"/>
      <c r="F141" s="24"/>
    </row>
    <row r="142" spans="1:6" ht="15.75" customHeight="1" x14ac:dyDescent="0.25">
      <c r="A142" s="17"/>
      <c r="B142" s="25"/>
      <c r="C142" s="24"/>
      <c r="D142" s="24"/>
      <c r="E142" s="24"/>
      <c r="F142" s="24"/>
    </row>
    <row r="143" spans="1:6" ht="15.75" customHeight="1" x14ac:dyDescent="0.25">
      <c r="A143" s="17"/>
      <c r="B143" s="25"/>
      <c r="C143" s="24"/>
      <c r="D143" s="24"/>
      <c r="E143" s="24"/>
      <c r="F143" s="24"/>
    </row>
    <row r="144" spans="1:6" ht="15.75" customHeight="1" x14ac:dyDescent="0.25">
      <c r="A144" s="17"/>
      <c r="B144" s="25"/>
      <c r="C144" s="24"/>
      <c r="D144" s="24"/>
      <c r="E144" s="24"/>
      <c r="F144" s="24"/>
    </row>
    <row r="145" spans="1:6" ht="15.75" customHeight="1" x14ac:dyDescent="0.25">
      <c r="A145" s="17"/>
      <c r="B145" s="25"/>
      <c r="C145" s="24"/>
      <c r="D145" s="24"/>
      <c r="E145" s="24"/>
      <c r="F145" s="24"/>
    </row>
    <row r="146" spans="1:6" ht="15.75" customHeight="1" x14ac:dyDescent="0.25">
      <c r="A146" s="17"/>
      <c r="B146" s="25"/>
      <c r="C146" s="24"/>
      <c r="D146" s="24"/>
      <c r="E146" s="24"/>
      <c r="F146" s="24"/>
    </row>
    <row r="147" spans="1:6" ht="15.75" customHeight="1" x14ac:dyDescent="0.25">
      <c r="A147" s="17"/>
      <c r="B147" s="25"/>
      <c r="C147" s="24"/>
      <c r="D147" s="24"/>
      <c r="E147" s="24"/>
      <c r="F147" s="24"/>
    </row>
    <row r="148" spans="1:6" ht="15.75" customHeight="1" x14ac:dyDescent="0.25">
      <c r="A148" s="17"/>
      <c r="B148" s="25"/>
      <c r="C148" s="24"/>
      <c r="D148" s="24"/>
      <c r="E148" s="24"/>
      <c r="F148" s="24"/>
    </row>
    <row r="149" spans="1:6" ht="15.75" customHeight="1" x14ac:dyDescent="0.25">
      <c r="A149" s="17"/>
      <c r="B149" s="25"/>
      <c r="C149" s="24"/>
      <c r="D149" s="24"/>
      <c r="E149" s="24"/>
      <c r="F149" s="24"/>
    </row>
    <row r="150" spans="1:6" ht="15.75" customHeight="1" x14ac:dyDescent="0.25">
      <c r="A150" s="17"/>
      <c r="B150" s="25"/>
      <c r="C150" s="24"/>
      <c r="D150" s="24"/>
      <c r="E150" s="24"/>
      <c r="F150" s="24"/>
    </row>
    <row r="151" spans="1:6" ht="15.75" customHeight="1" x14ac:dyDescent="0.25">
      <c r="A151" s="17"/>
      <c r="B151" s="25"/>
      <c r="C151" s="24"/>
      <c r="D151" s="24"/>
      <c r="E151" s="24"/>
      <c r="F151" s="24"/>
    </row>
    <row r="152" spans="1:6" ht="15.75" customHeight="1" x14ac:dyDescent="0.25">
      <c r="A152" s="17"/>
      <c r="B152" s="25"/>
      <c r="C152" s="24"/>
      <c r="D152" s="24"/>
      <c r="E152" s="24"/>
      <c r="F152" s="24"/>
    </row>
    <row r="153" spans="1:6" ht="15.75" customHeight="1" x14ac:dyDescent="0.25">
      <c r="A153" s="17"/>
      <c r="B153" s="25"/>
      <c r="C153" s="24"/>
      <c r="D153" s="24"/>
      <c r="E153" s="24"/>
      <c r="F153" s="24"/>
    </row>
    <row r="154" spans="1:6" ht="15.75" customHeight="1" x14ac:dyDescent="0.25">
      <c r="A154" s="17"/>
      <c r="B154" s="25"/>
      <c r="C154" s="24"/>
      <c r="D154" s="24"/>
      <c r="E154" s="24"/>
      <c r="F154" s="24"/>
    </row>
    <row r="155" spans="1:6" ht="15.75" customHeight="1" x14ac:dyDescent="0.25">
      <c r="A155" s="17"/>
      <c r="B155" s="25"/>
      <c r="C155" s="24"/>
      <c r="D155" s="24"/>
      <c r="E155" s="24"/>
      <c r="F155" s="24"/>
    </row>
    <row r="156" spans="1:6" ht="15.75" customHeight="1" x14ac:dyDescent="0.25">
      <c r="A156" s="17"/>
      <c r="B156" s="25"/>
      <c r="C156" s="24"/>
      <c r="D156" s="24"/>
      <c r="E156" s="24"/>
      <c r="F156" s="24"/>
    </row>
    <row r="157" spans="1:6" ht="15.75" customHeight="1" x14ac:dyDescent="0.25">
      <c r="A157" s="17"/>
      <c r="B157" s="25"/>
      <c r="C157" s="24"/>
      <c r="D157" s="24"/>
      <c r="E157" s="24"/>
      <c r="F157" s="24"/>
    </row>
    <row r="158" spans="1:6" ht="15.75" customHeight="1" x14ac:dyDescent="0.25">
      <c r="A158" s="17"/>
      <c r="B158" s="25"/>
      <c r="C158" s="24"/>
      <c r="D158" s="24"/>
      <c r="E158" s="24"/>
      <c r="F158" s="24"/>
    </row>
    <row r="159" spans="1:6" ht="15.75" customHeight="1" x14ac:dyDescent="0.25">
      <c r="A159" s="17"/>
      <c r="B159" s="25"/>
      <c r="C159" s="24"/>
      <c r="D159" s="24"/>
      <c r="E159" s="24"/>
      <c r="F159" s="24"/>
    </row>
    <row r="160" spans="1:6" ht="15.75" customHeight="1" x14ac:dyDescent="0.25">
      <c r="A160" s="17"/>
      <c r="B160" s="25"/>
      <c r="C160" s="24"/>
      <c r="D160" s="24"/>
      <c r="E160" s="24"/>
      <c r="F160" s="24"/>
    </row>
    <row r="161" spans="1:6" ht="15.75" customHeight="1" x14ac:dyDescent="0.25">
      <c r="A161" s="17"/>
      <c r="B161" s="25"/>
      <c r="C161" s="24"/>
      <c r="D161" s="24"/>
      <c r="E161" s="24"/>
      <c r="F161" s="24"/>
    </row>
    <row r="162" spans="1:6" ht="15.75" customHeight="1" x14ac:dyDescent="0.25">
      <c r="A162" s="17"/>
      <c r="B162" s="25"/>
      <c r="C162" s="24"/>
      <c r="D162" s="24"/>
      <c r="E162" s="24"/>
      <c r="F162" s="24"/>
    </row>
    <row r="163" spans="1:6" ht="15.75" customHeight="1" x14ac:dyDescent="0.25">
      <c r="A163" s="17"/>
      <c r="B163" s="25"/>
      <c r="C163" s="24"/>
      <c r="D163" s="24"/>
      <c r="E163" s="24"/>
      <c r="F163" s="24"/>
    </row>
    <row r="164" spans="1:6" ht="15.75" customHeight="1" x14ac:dyDescent="0.25">
      <c r="A164" s="17"/>
      <c r="B164" s="25"/>
      <c r="C164" s="24"/>
      <c r="D164" s="24"/>
      <c r="E164" s="24"/>
      <c r="F164" s="24"/>
    </row>
    <row r="165" spans="1:6" ht="15.75" customHeight="1" x14ac:dyDescent="0.25">
      <c r="A165" s="17"/>
      <c r="B165" s="25"/>
      <c r="C165" s="24"/>
      <c r="D165" s="24"/>
      <c r="E165" s="24"/>
      <c r="F165" s="24"/>
    </row>
    <row r="166" spans="1:6" ht="15.75" customHeight="1" x14ac:dyDescent="0.25">
      <c r="A166" s="17"/>
      <c r="B166" s="25"/>
      <c r="C166" s="24"/>
      <c r="D166" s="24"/>
      <c r="E166" s="24"/>
      <c r="F166" s="24"/>
    </row>
    <row r="167" spans="1:6" ht="15.75" customHeight="1" x14ac:dyDescent="0.25">
      <c r="A167" s="17"/>
      <c r="B167" s="25"/>
      <c r="C167" s="24"/>
      <c r="D167" s="24"/>
      <c r="E167" s="24"/>
      <c r="F167" s="24"/>
    </row>
    <row r="168" spans="1:6" ht="15.75" customHeight="1" x14ac:dyDescent="0.25">
      <c r="A168" s="17"/>
      <c r="B168" s="25"/>
      <c r="C168" s="24"/>
      <c r="D168" s="24"/>
      <c r="E168" s="24"/>
      <c r="F168" s="24"/>
    </row>
    <row r="169" spans="1:6" ht="15.75" customHeight="1" x14ac:dyDescent="0.25">
      <c r="A169" s="17"/>
      <c r="B169" s="25"/>
      <c r="C169" s="24"/>
      <c r="D169" s="24"/>
      <c r="E169" s="24"/>
      <c r="F169" s="24"/>
    </row>
    <row r="170" spans="1:6" ht="15.75" customHeight="1" x14ac:dyDescent="0.25">
      <c r="A170" s="17"/>
      <c r="B170" s="25"/>
      <c r="C170" s="24"/>
      <c r="D170" s="24"/>
      <c r="E170" s="24"/>
      <c r="F170" s="24"/>
    </row>
    <row r="171" spans="1:6" ht="15.75" customHeight="1" x14ac:dyDescent="0.25">
      <c r="A171" s="17"/>
      <c r="B171" s="25"/>
      <c r="C171" s="24"/>
      <c r="D171" s="24"/>
      <c r="E171" s="24"/>
      <c r="F171" s="24"/>
    </row>
    <row r="172" spans="1:6" ht="15.75" customHeight="1" x14ac:dyDescent="0.25">
      <c r="A172" s="17"/>
      <c r="B172" s="25"/>
      <c r="C172" s="24"/>
      <c r="D172" s="24"/>
      <c r="E172" s="24"/>
      <c r="F172" s="24"/>
    </row>
    <row r="173" spans="1:6" ht="15.75" customHeight="1" x14ac:dyDescent="0.25">
      <c r="A173" s="17"/>
      <c r="B173" s="25"/>
      <c r="C173" s="24"/>
      <c r="D173" s="24"/>
      <c r="E173" s="24"/>
      <c r="F173" s="24"/>
    </row>
    <row r="174" spans="1:6" ht="15.75" customHeight="1" x14ac:dyDescent="0.25">
      <c r="A174" s="17"/>
      <c r="B174" s="25"/>
      <c r="C174" s="24"/>
      <c r="D174" s="24"/>
      <c r="E174" s="24"/>
      <c r="F174" s="24"/>
    </row>
    <row r="175" spans="1:6" ht="15.75" customHeight="1" x14ac:dyDescent="0.25">
      <c r="A175" s="17"/>
      <c r="B175" s="25"/>
      <c r="C175" s="24"/>
      <c r="D175" s="24"/>
      <c r="E175" s="24"/>
      <c r="F175" s="24"/>
    </row>
    <row r="176" spans="1:6" ht="15.75" customHeight="1" x14ac:dyDescent="0.25">
      <c r="A176" s="17"/>
      <c r="B176" s="25"/>
      <c r="C176" s="24"/>
      <c r="D176" s="24"/>
      <c r="E176" s="24"/>
      <c r="F176" s="24"/>
    </row>
    <row r="177" spans="1:6" ht="15.75" customHeight="1" x14ac:dyDescent="0.25">
      <c r="A177" s="17"/>
      <c r="B177" s="25"/>
      <c r="C177" s="24"/>
      <c r="D177" s="24"/>
      <c r="E177" s="24"/>
      <c r="F177" s="24"/>
    </row>
    <row r="178" spans="1:6" ht="15.75" customHeight="1" x14ac:dyDescent="0.25">
      <c r="A178" s="17"/>
      <c r="B178" s="25"/>
      <c r="C178" s="24"/>
      <c r="D178" s="24"/>
      <c r="E178" s="24"/>
      <c r="F178" s="24"/>
    </row>
    <row r="179" spans="1:6" ht="15.75" customHeight="1" x14ac:dyDescent="0.25">
      <c r="A179" s="17"/>
      <c r="B179" s="25"/>
      <c r="C179" s="24"/>
      <c r="D179" s="24"/>
      <c r="E179" s="24"/>
      <c r="F179" s="24"/>
    </row>
    <row r="180" spans="1:6" ht="15.75" customHeight="1" x14ac:dyDescent="0.25">
      <c r="A180" s="17"/>
      <c r="B180" s="25"/>
      <c r="C180" s="24"/>
      <c r="D180" s="24"/>
      <c r="E180" s="24"/>
      <c r="F180" s="24"/>
    </row>
    <row r="181" spans="1:6" ht="15.75" customHeight="1" x14ac:dyDescent="0.25">
      <c r="A181" s="17"/>
      <c r="B181" s="25"/>
      <c r="C181" s="24"/>
      <c r="D181" s="24"/>
      <c r="E181" s="24"/>
      <c r="F181" s="24"/>
    </row>
    <row r="182" spans="1:6" ht="15.75" customHeight="1" x14ac:dyDescent="0.25">
      <c r="A182" s="17"/>
      <c r="B182" s="25"/>
      <c r="C182" s="24"/>
      <c r="D182" s="24"/>
      <c r="E182" s="24"/>
      <c r="F182" s="24"/>
    </row>
    <row r="183" spans="1:6" ht="15.75" customHeight="1" x14ac:dyDescent="0.25">
      <c r="A183" s="17"/>
      <c r="B183" s="25"/>
      <c r="C183" s="24"/>
      <c r="D183" s="24"/>
      <c r="E183" s="24"/>
      <c r="F183" s="24"/>
    </row>
    <row r="184" spans="1:6" ht="15.75" customHeight="1" x14ac:dyDescent="0.25">
      <c r="A184" s="17"/>
      <c r="B184" s="25"/>
      <c r="C184" s="24"/>
      <c r="D184" s="24"/>
      <c r="E184" s="24"/>
      <c r="F184" s="24"/>
    </row>
    <row r="185" spans="1:6" ht="15.75" customHeight="1" x14ac:dyDescent="0.25">
      <c r="A185" s="17"/>
      <c r="B185" s="25"/>
      <c r="C185" s="24"/>
      <c r="D185" s="24"/>
      <c r="E185" s="24"/>
      <c r="F185" s="24"/>
    </row>
    <row r="186" spans="1:6" ht="15.75" customHeight="1" x14ac:dyDescent="0.25">
      <c r="A186" s="17"/>
      <c r="B186" s="25"/>
      <c r="C186" s="24"/>
      <c r="D186" s="24"/>
      <c r="E186" s="24"/>
      <c r="F186" s="24"/>
    </row>
    <row r="187" spans="1:6" ht="15.75" customHeight="1" x14ac:dyDescent="0.25">
      <c r="A187" s="17"/>
      <c r="B187" s="25"/>
      <c r="C187" s="24"/>
      <c r="D187" s="24"/>
      <c r="E187" s="24"/>
      <c r="F187" s="24"/>
    </row>
    <row r="188" spans="1:6" ht="15.75" customHeight="1" x14ac:dyDescent="0.25">
      <c r="A188" s="17"/>
      <c r="B188" s="25"/>
      <c r="C188" s="24"/>
      <c r="D188" s="24"/>
      <c r="E188" s="24"/>
      <c r="F188" s="24"/>
    </row>
    <row r="189" spans="1:6" ht="15.75" customHeight="1" x14ac:dyDescent="0.25">
      <c r="A189" s="17"/>
      <c r="B189" s="25"/>
      <c r="C189" s="24"/>
      <c r="D189" s="24"/>
      <c r="E189" s="24"/>
      <c r="F189" s="24"/>
    </row>
    <row r="190" spans="1:6" ht="15.75" customHeight="1" x14ac:dyDescent="0.25">
      <c r="A190" s="17"/>
      <c r="B190" s="25"/>
      <c r="C190" s="24"/>
      <c r="D190" s="24"/>
      <c r="E190" s="24"/>
      <c r="F190" s="24"/>
    </row>
    <row r="191" spans="1:6" ht="15.75" customHeight="1" x14ac:dyDescent="0.25">
      <c r="A191" s="17"/>
      <c r="B191" s="25"/>
      <c r="C191" s="24"/>
      <c r="D191" s="24"/>
      <c r="E191" s="24"/>
      <c r="F191" s="24"/>
    </row>
    <row r="192" spans="1:6" ht="15.75" customHeight="1" x14ac:dyDescent="0.25">
      <c r="A192" s="17"/>
      <c r="B192" s="25"/>
      <c r="C192" s="24"/>
      <c r="D192" s="24"/>
      <c r="E192" s="24"/>
      <c r="F192" s="24"/>
    </row>
    <row r="193" spans="1:6" ht="15.75" customHeight="1" x14ac:dyDescent="0.25">
      <c r="A193" s="17"/>
      <c r="B193" s="25"/>
      <c r="C193" s="24"/>
      <c r="D193" s="24"/>
      <c r="E193" s="24"/>
      <c r="F193" s="24"/>
    </row>
    <row r="194" spans="1:6" ht="15.75" customHeight="1" x14ac:dyDescent="0.25">
      <c r="A194" s="17"/>
      <c r="B194" s="25"/>
      <c r="C194" s="24"/>
      <c r="D194" s="24"/>
      <c r="E194" s="24"/>
      <c r="F194" s="24"/>
    </row>
    <row r="195" spans="1:6" ht="15.75" customHeight="1" x14ac:dyDescent="0.25">
      <c r="A195" s="17"/>
      <c r="B195" s="25"/>
      <c r="C195" s="24"/>
      <c r="D195" s="24"/>
      <c r="E195" s="24"/>
      <c r="F195" s="24"/>
    </row>
    <row r="196" spans="1:6" ht="15.75" customHeight="1" x14ac:dyDescent="0.25">
      <c r="A196" s="17"/>
      <c r="B196" s="25"/>
      <c r="C196" s="24"/>
      <c r="D196" s="24"/>
      <c r="E196" s="24"/>
      <c r="F196" s="24"/>
    </row>
    <row r="197" spans="1:6" ht="15.75" customHeight="1" x14ac:dyDescent="0.25">
      <c r="A197" s="17"/>
      <c r="B197" s="25"/>
      <c r="C197" s="24"/>
      <c r="D197" s="24"/>
      <c r="E197" s="24"/>
      <c r="F197" s="24"/>
    </row>
    <row r="198" spans="1:6" ht="15.75" customHeight="1" x14ac:dyDescent="0.25">
      <c r="A198" s="17"/>
      <c r="B198" s="25"/>
      <c r="C198" s="24"/>
      <c r="D198" s="24"/>
      <c r="E198" s="24"/>
      <c r="F198" s="24"/>
    </row>
    <row r="199" spans="1:6" ht="15.75" customHeight="1" x14ac:dyDescent="0.25">
      <c r="A199" s="17"/>
      <c r="B199" s="25"/>
      <c r="C199" s="24"/>
      <c r="D199" s="24"/>
      <c r="E199" s="24"/>
      <c r="F199" s="24"/>
    </row>
    <row r="200" spans="1:6" ht="15.75" customHeight="1" x14ac:dyDescent="0.25">
      <c r="A200" s="17"/>
      <c r="B200" s="25"/>
      <c r="C200" s="24"/>
      <c r="D200" s="24"/>
      <c r="E200" s="24"/>
      <c r="F200" s="24"/>
    </row>
    <row r="201" spans="1:6" ht="15.75" customHeight="1" x14ac:dyDescent="0.25">
      <c r="A201" s="17"/>
      <c r="B201" s="25"/>
      <c r="C201" s="24"/>
      <c r="D201" s="24"/>
      <c r="E201" s="24"/>
      <c r="F201" s="24"/>
    </row>
    <row r="202" spans="1:6" ht="15.75" customHeight="1" x14ac:dyDescent="0.25">
      <c r="A202" s="17"/>
      <c r="B202" s="25"/>
      <c r="C202" s="24"/>
      <c r="D202" s="24"/>
      <c r="E202" s="24"/>
      <c r="F202" s="24"/>
    </row>
    <row r="203" spans="1:6" ht="15.75" customHeight="1" x14ac:dyDescent="0.25">
      <c r="A203" s="17"/>
      <c r="B203" s="25"/>
      <c r="C203" s="24"/>
      <c r="D203" s="24"/>
      <c r="E203" s="24"/>
      <c r="F203" s="24"/>
    </row>
    <row r="204" spans="1:6" ht="15.75" customHeight="1" x14ac:dyDescent="0.25">
      <c r="A204" s="17"/>
      <c r="B204" s="25"/>
      <c r="C204" s="24"/>
      <c r="D204" s="24"/>
      <c r="E204" s="24"/>
      <c r="F204" s="24"/>
    </row>
    <row r="205" spans="1:6" ht="15.75" customHeight="1" x14ac:dyDescent="0.25">
      <c r="A205" s="17"/>
      <c r="B205" s="25"/>
      <c r="C205" s="24"/>
      <c r="D205" s="24"/>
      <c r="E205" s="24"/>
      <c r="F205" s="24"/>
    </row>
    <row r="206" spans="1:6" ht="15.75" customHeight="1" x14ac:dyDescent="0.25">
      <c r="A206" s="17"/>
      <c r="B206" s="25"/>
      <c r="C206" s="24"/>
      <c r="D206" s="24"/>
      <c r="E206" s="24"/>
      <c r="F206" s="24"/>
    </row>
    <row r="207" spans="1:6" ht="15.75" customHeight="1" x14ac:dyDescent="0.25">
      <c r="A207" s="17"/>
      <c r="B207" s="25"/>
      <c r="C207" s="24"/>
      <c r="D207" s="24"/>
      <c r="E207" s="24"/>
      <c r="F207" s="24"/>
    </row>
    <row r="208" spans="1:6" ht="15.75" customHeight="1" x14ac:dyDescent="0.25">
      <c r="A208" s="17"/>
      <c r="B208" s="25"/>
      <c r="C208" s="24"/>
      <c r="D208" s="24"/>
      <c r="E208" s="24"/>
      <c r="F208" s="24"/>
    </row>
    <row r="209" spans="1:6" ht="15.75" customHeight="1" x14ac:dyDescent="0.25">
      <c r="A209" s="17"/>
      <c r="B209" s="25"/>
      <c r="C209" s="24"/>
      <c r="D209" s="24"/>
      <c r="E209" s="24"/>
      <c r="F209" s="24"/>
    </row>
    <row r="210" spans="1:6" ht="15.75" customHeight="1" x14ac:dyDescent="0.25">
      <c r="A210" s="17"/>
      <c r="B210" s="25"/>
      <c r="C210" s="24"/>
      <c r="D210" s="24"/>
      <c r="E210" s="24"/>
      <c r="F210" s="24"/>
    </row>
    <row r="211" spans="1:6" ht="15.75" customHeight="1" x14ac:dyDescent="0.25">
      <c r="A211" s="17"/>
      <c r="B211" s="25"/>
      <c r="C211" s="24"/>
      <c r="D211" s="24"/>
      <c r="E211" s="24"/>
      <c r="F211" s="24"/>
    </row>
    <row r="212" spans="1:6" ht="15.75" customHeight="1" x14ac:dyDescent="0.25">
      <c r="A212" s="17"/>
      <c r="B212" s="25"/>
      <c r="C212" s="24"/>
      <c r="D212" s="24"/>
      <c r="E212" s="24"/>
      <c r="F212" s="24"/>
    </row>
    <row r="213" spans="1:6" ht="15.75" customHeight="1" x14ac:dyDescent="0.25">
      <c r="A213" s="17"/>
      <c r="B213" s="25"/>
      <c r="C213" s="24"/>
      <c r="D213" s="24"/>
      <c r="E213" s="24"/>
      <c r="F213" s="24"/>
    </row>
    <row r="214" spans="1:6" ht="15.75" customHeight="1" x14ac:dyDescent="0.25">
      <c r="A214" s="17"/>
      <c r="B214" s="25"/>
      <c r="C214" s="24"/>
      <c r="D214" s="24"/>
      <c r="E214" s="24"/>
      <c r="F214" s="24"/>
    </row>
    <row r="215" spans="1:6" ht="15.75" customHeight="1" x14ac:dyDescent="0.25">
      <c r="A215" s="17"/>
      <c r="B215" s="25"/>
      <c r="C215" s="24"/>
      <c r="D215" s="24"/>
      <c r="E215" s="24"/>
      <c r="F215" s="24"/>
    </row>
    <row r="216" spans="1:6" ht="15.75" customHeight="1" x14ac:dyDescent="0.25">
      <c r="A216" s="17"/>
      <c r="B216" s="25"/>
      <c r="C216" s="24"/>
      <c r="D216" s="24"/>
      <c r="E216" s="24"/>
      <c r="F216" s="24"/>
    </row>
    <row r="217" spans="1:6" ht="15.75" customHeight="1" x14ac:dyDescent="0.25">
      <c r="A217" s="17"/>
      <c r="B217" s="25"/>
      <c r="C217" s="24"/>
      <c r="D217" s="24"/>
      <c r="E217" s="24"/>
      <c r="F217" s="24"/>
    </row>
    <row r="218" spans="1:6" ht="15.75" customHeight="1" x14ac:dyDescent="0.25">
      <c r="A218" s="17"/>
      <c r="B218" s="25"/>
      <c r="C218" s="24"/>
      <c r="D218" s="24"/>
      <c r="E218" s="24"/>
      <c r="F218" s="24"/>
    </row>
    <row r="219" spans="1:6" ht="15.75" customHeight="1" x14ac:dyDescent="0.25">
      <c r="A219" s="17"/>
      <c r="B219" s="25"/>
      <c r="C219" s="24"/>
      <c r="D219" s="24"/>
      <c r="E219" s="24"/>
      <c r="F219" s="24"/>
    </row>
    <row r="220" spans="1:6" ht="15.75" customHeight="1" x14ac:dyDescent="0.25">
      <c r="A220" s="17"/>
      <c r="B220" s="25"/>
      <c r="C220" s="24"/>
      <c r="D220" s="24"/>
      <c r="E220" s="24"/>
      <c r="F220" s="24"/>
    </row>
    <row r="221" spans="1:6" ht="15.75" customHeight="1" x14ac:dyDescent="0.25">
      <c r="A221" s="17"/>
      <c r="B221" s="25"/>
      <c r="C221" s="24"/>
      <c r="D221" s="24"/>
      <c r="E221" s="24"/>
      <c r="F221" s="24"/>
    </row>
    <row r="222" spans="1:6" ht="15.75" customHeight="1" x14ac:dyDescent="0.25">
      <c r="A222" s="17"/>
      <c r="B222" s="25"/>
      <c r="C222" s="24"/>
      <c r="D222" s="24"/>
      <c r="E222" s="24"/>
      <c r="F222" s="24"/>
    </row>
    <row r="223" spans="1:6" ht="15.75" customHeight="1" x14ac:dyDescent="0.25">
      <c r="A223" s="17"/>
      <c r="B223" s="25"/>
      <c r="C223" s="24"/>
      <c r="D223" s="24"/>
      <c r="E223" s="24"/>
      <c r="F223" s="24"/>
    </row>
    <row r="224" spans="1:6" ht="15.75" customHeight="1" x14ac:dyDescent="0.25">
      <c r="A224" s="17"/>
      <c r="B224" s="25"/>
      <c r="C224" s="24"/>
      <c r="D224" s="24"/>
      <c r="E224" s="24"/>
      <c r="F224" s="24"/>
    </row>
    <row r="225" spans="1:6" ht="15.75" customHeight="1" x14ac:dyDescent="0.25">
      <c r="A225" s="17"/>
      <c r="B225" s="25"/>
      <c r="C225" s="24"/>
      <c r="D225" s="24"/>
      <c r="E225" s="24"/>
      <c r="F225" s="24"/>
    </row>
    <row r="226" spans="1:6" ht="15.75" customHeight="1" x14ac:dyDescent="0.25">
      <c r="A226" s="17"/>
      <c r="B226" s="25"/>
      <c r="C226" s="24"/>
      <c r="D226" s="24"/>
      <c r="E226" s="24"/>
      <c r="F226" s="24"/>
    </row>
    <row r="227" spans="1:6" ht="15.75" customHeight="1" x14ac:dyDescent="0.25">
      <c r="A227" s="17"/>
      <c r="B227" s="25"/>
      <c r="C227" s="24"/>
      <c r="D227" s="24"/>
      <c r="E227" s="24"/>
      <c r="F227" s="24"/>
    </row>
    <row r="228" spans="1:6" ht="15.75" customHeight="1" x14ac:dyDescent="0.25">
      <c r="A228" s="17"/>
      <c r="B228" s="25"/>
      <c r="C228" s="24"/>
      <c r="D228" s="24"/>
      <c r="E228" s="24"/>
      <c r="F228" s="24"/>
    </row>
    <row r="229" spans="1:6" ht="15.75" customHeight="1" x14ac:dyDescent="0.25">
      <c r="A229" s="17"/>
      <c r="B229" s="25"/>
      <c r="C229" s="24"/>
      <c r="D229" s="24"/>
      <c r="E229" s="24"/>
      <c r="F229" s="24"/>
    </row>
    <row r="230" spans="1:6" ht="15.75" customHeight="1" x14ac:dyDescent="0.25">
      <c r="A230" s="17"/>
      <c r="B230" s="25"/>
      <c r="C230" s="24"/>
      <c r="D230" s="24"/>
      <c r="E230" s="24"/>
      <c r="F230" s="24"/>
    </row>
    <row r="231" spans="1:6" ht="15.75" customHeight="1" x14ac:dyDescent="0.25">
      <c r="A231" s="17"/>
      <c r="B231" s="25"/>
      <c r="C231" s="24"/>
      <c r="D231" s="24"/>
      <c r="E231" s="24"/>
      <c r="F231" s="24"/>
    </row>
    <row r="232" spans="1:6" ht="15.75" customHeight="1" x14ac:dyDescent="0.25">
      <c r="A232" s="17"/>
      <c r="B232" s="25"/>
      <c r="C232" s="24"/>
      <c r="D232" s="24"/>
      <c r="E232" s="24"/>
      <c r="F232" s="24"/>
    </row>
    <row r="233" spans="1:6" ht="15.75" customHeight="1" x14ac:dyDescent="0.25">
      <c r="A233" s="17"/>
      <c r="B233" s="25"/>
      <c r="C233" s="24"/>
      <c r="D233" s="24"/>
      <c r="E233" s="24"/>
      <c r="F233" s="24"/>
    </row>
    <row r="234" spans="1:6" ht="15.75" customHeight="1" x14ac:dyDescent="0.25">
      <c r="A234" s="17"/>
      <c r="B234" s="25"/>
      <c r="C234" s="24"/>
      <c r="D234" s="24"/>
      <c r="E234" s="24"/>
      <c r="F234" s="24"/>
    </row>
    <row r="235" spans="1:6" ht="15.75" customHeight="1" x14ac:dyDescent="0.25">
      <c r="A235" s="17"/>
      <c r="B235" s="25"/>
      <c r="C235" s="24"/>
      <c r="D235" s="24"/>
      <c r="E235" s="24"/>
      <c r="F235" s="24"/>
    </row>
    <row r="236" spans="1:6" ht="15.75" customHeight="1" x14ac:dyDescent="0.25">
      <c r="A236" s="17"/>
      <c r="B236" s="25"/>
      <c r="C236" s="24"/>
      <c r="D236" s="24"/>
      <c r="E236" s="24"/>
      <c r="F236" s="24"/>
    </row>
    <row r="237" spans="1:6" ht="15.75" customHeight="1" x14ac:dyDescent="0.25">
      <c r="A237" s="17"/>
      <c r="B237" s="25"/>
      <c r="C237" s="24"/>
      <c r="D237" s="24"/>
      <c r="E237" s="24"/>
      <c r="F237" s="24"/>
    </row>
    <row r="238" spans="1:6" ht="15.75" customHeight="1" x14ac:dyDescent="0.25">
      <c r="A238" s="17"/>
      <c r="B238" s="25"/>
      <c r="C238" s="24"/>
      <c r="D238" s="24"/>
      <c r="E238" s="24"/>
      <c r="F238" s="24"/>
    </row>
    <row r="239" spans="1:6" ht="15.75" customHeight="1" x14ac:dyDescent="0.25">
      <c r="A239" s="17"/>
      <c r="B239" s="25"/>
      <c r="C239" s="24"/>
      <c r="D239" s="24"/>
      <c r="E239" s="24"/>
      <c r="F239" s="24"/>
    </row>
    <row r="240" spans="1:6" ht="15.75" customHeight="1" x14ac:dyDescent="0.25">
      <c r="A240" s="17"/>
      <c r="B240" s="25"/>
      <c r="C240" s="24"/>
      <c r="D240" s="24"/>
      <c r="E240" s="24"/>
      <c r="F240" s="24"/>
    </row>
    <row r="241" spans="1:6" ht="15.75" customHeight="1" x14ac:dyDescent="0.25">
      <c r="A241" s="17"/>
      <c r="B241" s="25"/>
      <c r="C241" s="24"/>
      <c r="D241" s="24"/>
      <c r="E241" s="24"/>
      <c r="F241" s="24"/>
    </row>
    <row r="242" spans="1:6" ht="15.75" customHeight="1" x14ac:dyDescent="0.25">
      <c r="A242" s="17"/>
      <c r="B242" s="25"/>
      <c r="C242" s="24"/>
      <c r="D242" s="24"/>
      <c r="E242" s="24"/>
      <c r="F242" s="24"/>
    </row>
    <row r="243" spans="1:6" ht="15.75" customHeight="1" x14ac:dyDescent="0.25">
      <c r="A243" s="17"/>
      <c r="B243" s="25"/>
      <c r="C243" s="24"/>
      <c r="D243" s="24"/>
      <c r="E243" s="24"/>
      <c r="F243" s="24"/>
    </row>
    <row r="244" spans="1:6" ht="15.75" customHeight="1" x14ac:dyDescent="0.25">
      <c r="A244" s="17"/>
      <c r="B244" s="25"/>
      <c r="C244" s="24"/>
      <c r="D244" s="24"/>
      <c r="E244" s="24"/>
      <c r="F244" s="24"/>
    </row>
    <row r="245" spans="1:6" ht="15.75" customHeight="1" x14ac:dyDescent="0.25">
      <c r="A245" s="17"/>
      <c r="B245" s="25"/>
      <c r="C245" s="24"/>
      <c r="D245" s="24"/>
      <c r="E245" s="24"/>
      <c r="F245" s="24"/>
    </row>
    <row r="246" spans="1:6" ht="15.75" customHeight="1" x14ac:dyDescent="0.25">
      <c r="A246" s="17"/>
      <c r="B246" s="25"/>
      <c r="C246" s="24"/>
      <c r="D246" s="24"/>
      <c r="E246" s="24"/>
      <c r="F246" s="24"/>
    </row>
    <row r="247" spans="1:6" ht="15.75" customHeight="1" x14ac:dyDescent="0.25">
      <c r="A247" s="17"/>
      <c r="B247" s="25"/>
      <c r="C247" s="24"/>
      <c r="D247" s="24"/>
      <c r="E247" s="24"/>
      <c r="F247" s="24"/>
    </row>
    <row r="248" spans="1:6" ht="15.75" customHeight="1" x14ac:dyDescent="0.25">
      <c r="A248" s="17"/>
      <c r="B248" s="25"/>
      <c r="C248" s="24"/>
      <c r="D248" s="24"/>
      <c r="E248" s="24"/>
      <c r="F248" s="24"/>
    </row>
    <row r="249" spans="1:6" ht="15.75" customHeight="1" x14ac:dyDescent="0.25">
      <c r="A249" s="17"/>
      <c r="B249" s="25"/>
      <c r="C249" s="24"/>
      <c r="D249" s="24"/>
      <c r="E249" s="24"/>
      <c r="F249" s="24"/>
    </row>
    <row r="250" spans="1:6" ht="15.75" customHeight="1" x14ac:dyDescent="0.25">
      <c r="A250" s="17"/>
      <c r="B250" s="25"/>
      <c r="C250" s="24"/>
      <c r="D250" s="24"/>
      <c r="E250" s="24"/>
      <c r="F250" s="24"/>
    </row>
    <row r="251" spans="1:6" ht="15.75" customHeight="1" x14ac:dyDescent="0.25">
      <c r="A251" s="17"/>
      <c r="B251" s="25"/>
      <c r="C251" s="24"/>
      <c r="D251" s="24"/>
      <c r="E251" s="24"/>
      <c r="F251" s="24"/>
    </row>
    <row r="252" spans="1:6" ht="15.75" customHeight="1" x14ac:dyDescent="0.25">
      <c r="A252" s="17"/>
      <c r="B252" s="25"/>
      <c r="C252" s="24"/>
      <c r="D252" s="24"/>
      <c r="E252" s="24"/>
      <c r="F252" s="24"/>
    </row>
    <row r="253" spans="1:6" ht="15.75" customHeight="1" x14ac:dyDescent="0.25">
      <c r="A253" s="17"/>
      <c r="B253" s="25"/>
      <c r="C253" s="24"/>
      <c r="D253" s="24"/>
      <c r="E253" s="24"/>
      <c r="F253" s="24"/>
    </row>
    <row r="254" spans="1:6" ht="15.75" customHeight="1" x14ac:dyDescent="0.25">
      <c r="A254" s="17"/>
      <c r="B254" s="25"/>
      <c r="C254" s="24"/>
      <c r="D254" s="24"/>
      <c r="E254" s="24"/>
      <c r="F254" s="24"/>
    </row>
    <row r="255" spans="1:6" ht="15.75" customHeight="1" x14ac:dyDescent="0.25">
      <c r="A255" s="17"/>
      <c r="B255" s="25"/>
      <c r="C255" s="24"/>
      <c r="D255" s="24"/>
      <c r="E255" s="24"/>
      <c r="F255" s="24"/>
    </row>
    <row r="256" spans="1:6" ht="15.75" customHeight="1" x14ac:dyDescent="0.25">
      <c r="A256" s="17"/>
      <c r="B256" s="25"/>
      <c r="C256" s="24"/>
      <c r="D256" s="24"/>
      <c r="E256" s="24"/>
      <c r="F256" s="24"/>
    </row>
    <row r="257" spans="1:6" ht="15.75" customHeight="1" x14ac:dyDescent="0.25">
      <c r="A257" s="17"/>
      <c r="B257" s="25"/>
      <c r="C257" s="24"/>
      <c r="D257" s="24"/>
      <c r="E257" s="24"/>
      <c r="F257" s="24"/>
    </row>
    <row r="258" spans="1:6" ht="15.75" customHeight="1" x14ac:dyDescent="0.25">
      <c r="A258" s="17"/>
      <c r="B258" s="25"/>
      <c r="C258" s="24"/>
      <c r="D258" s="24"/>
      <c r="E258" s="24"/>
      <c r="F258" s="24"/>
    </row>
    <row r="259" spans="1:6" ht="15.75" customHeight="1" x14ac:dyDescent="0.25">
      <c r="A259" s="17"/>
      <c r="B259" s="25"/>
      <c r="C259" s="24"/>
      <c r="D259" s="24"/>
      <c r="E259" s="24"/>
      <c r="F259" s="24"/>
    </row>
    <row r="260" spans="1:6" ht="15.75" customHeight="1" x14ac:dyDescent="0.25">
      <c r="A260" s="17"/>
      <c r="B260" s="25"/>
      <c r="C260" s="24"/>
      <c r="D260" s="24"/>
      <c r="E260" s="24"/>
      <c r="F260" s="24"/>
    </row>
    <row r="261" spans="1:6" ht="15.75" customHeight="1" x14ac:dyDescent="0.25">
      <c r="A261" s="17"/>
      <c r="B261" s="25"/>
      <c r="C261" s="24"/>
      <c r="D261" s="24"/>
      <c r="E261" s="24"/>
      <c r="F261" s="24"/>
    </row>
    <row r="262" spans="1:6" ht="15.75" customHeight="1" x14ac:dyDescent="0.25">
      <c r="A262" s="17"/>
      <c r="B262" s="25"/>
      <c r="C262" s="24"/>
      <c r="D262" s="24"/>
      <c r="E262" s="24"/>
      <c r="F262" s="24"/>
    </row>
    <row r="263" spans="1:6" ht="15.75" customHeight="1" x14ac:dyDescent="0.25">
      <c r="A263" s="17"/>
      <c r="B263" s="25"/>
      <c r="C263" s="24"/>
      <c r="D263" s="24"/>
      <c r="E263" s="24"/>
      <c r="F263" s="24"/>
    </row>
    <row r="264" spans="1:6" ht="15.75" customHeight="1" x14ac:dyDescent="0.25">
      <c r="A264" s="17"/>
      <c r="B264" s="25"/>
      <c r="C264" s="24"/>
      <c r="D264" s="24"/>
      <c r="E264" s="24"/>
      <c r="F264" s="24"/>
    </row>
    <row r="265" spans="1:6" ht="15.75" customHeight="1" x14ac:dyDescent="0.25">
      <c r="A265" s="17"/>
      <c r="B265" s="25"/>
      <c r="C265" s="24"/>
      <c r="D265" s="24"/>
      <c r="E265" s="24"/>
      <c r="F265" s="24"/>
    </row>
    <row r="266" spans="1:6" ht="15.75" customHeight="1" x14ac:dyDescent="0.25"/>
    <row r="267" spans="1:6" ht="15.75" customHeight="1" x14ac:dyDescent="0.25"/>
    <row r="268" spans="1:6" ht="15.75" customHeight="1" x14ac:dyDescent="0.25"/>
    <row r="269" spans="1:6" ht="15.75" customHeight="1" x14ac:dyDescent="0.25"/>
    <row r="270" spans="1:6" ht="15.75" customHeight="1" x14ac:dyDescent="0.25"/>
    <row r="271" spans="1:6" ht="15.75" customHeight="1" x14ac:dyDescent="0.25"/>
    <row r="272" spans="1: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0"/>
  <sheetViews>
    <sheetView view="pageBreakPreview" topLeftCell="A70" zoomScale="115" zoomScaleNormal="100" zoomScaleSheetLayoutView="115" workbookViewId="0">
      <selection activeCell="A56" sqref="A56"/>
    </sheetView>
  </sheetViews>
  <sheetFormatPr defaultColWidth="14.42578125" defaultRowHeight="15" customHeight="1" x14ac:dyDescent="0.25"/>
  <cols>
    <col min="1" max="1" width="78.7109375" customWidth="1"/>
    <col min="2" max="2" width="23.140625" customWidth="1"/>
    <col min="3" max="6" width="17.42578125" hidden="1" customWidth="1"/>
    <col min="7" max="7" width="17.42578125" customWidth="1"/>
    <col min="8" max="9" width="15.28515625" customWidth="1"/>
    <col min="10"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861" t="s">
        <v>349</v>
      </c>
      <c r="B2" s="862"/>
      <c r="C2" s="862"/>
      <c r="D2" s="862"/>
      <c r="E2" s="862"/>
      <c r="F2" s="862"/>
      <c r="G2" s="863"/>
      <c r="H2" s="14"/>
      <c r="I2" s="15"/>
      <c r="J2" s="15"/>
      <c r="K2" s="16"/>
      <c r="L2" s="15"/>
      <c r="M2" s="15"/>
      <c r="N2" s="15"/>
      <c r="O2" s="15"/>
      <c r="P2" s="15"/>
      <c r="Q2" s="15"/>
      <c r="R2" s="15"/>
      <c r="S2" s="15"/>
      <c r="T2" s="15"/>
      <c r="U2" s="15"/>
      <c r="V2" s="15"/>
      <c r="W2" s="15"/>
      <c r="X2" s="15"/>
      <c r="Y2" s="15"/>
      <c r="Z2" s="15"/>
    </row>
    <row r="3" spans="1:26" ht="15.75" customHeight="1" x14ac:dyDescent="0.25">
      <c r="A3" s="864" t="s">
        <v>350</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3.5" customHeight="1" x14ac:dyDescent="0.25">
      <c r="A4" s="21"/>
      <c r="B4" s="18"/>
      <c r="C4" s="18"/>
      <c r="D4" s="18"/>
      <c r="E4" s="18"/>
      <c r="F4" s="18"/>
      <c r="G4" s="23"/>
      <c r="H4" s="14"/>
      <c r="I4" s="15"/>
      <c r="J4" s="15"/>
      <c r="K4" s="16"/>
      <c r="L4" s="15"/>
      <c r="M4" s="15"/>
      <c r="N4" s="15"/>
      <c r="O4" s="15"/>
      <c r="P4" s="15"/>
      <c r="Q4" s="15"/>
      <c r="R4" s="15"/>
      <c r="S4" s="15"/>
      <c r="T4" s="15"/>
      <c r="U4" s="15"/>
      <c r="V4" s="15"/>
      <c r="W4" s="15"/>
      <c r="X4" s="15"/>
      <c r="Y4" s="15"/>
      <c r="Z4" s="15"/>
    </row>
    <row r="5" spans="1:26" ht="15.75" customHeight="1" x14ac:dyDescent="0.25">
      <c r="A5" s="17" t="s">
        <v>689</v>
      </c>
      <c r="B5" s="24"/>
      <c r="C5" s="25"/>
      <c r="D5" s="25"/>
      <c r="E5" s="25"/>
      <c r="F5" s="24"/>
      <c r="G5" s="19"/>
      <c r="H5" s="14"/>
      <c r="I5" s="15"/>
      <c r="J5" s="15"/>
      <c r="K5" s="16"/>
      <c r="L5" s="15"/>
      <c r="M5" s="15"/>
      <c r="N5" s="15"/>
      <c r="O5" s="15"/>
      <c r="P5" s="15"/>
      <c r="Q5" s="15"/>
      <c r="R5" s="15"/>
      <c r="S5" s="15"/>
      <c r="T5" s="15"/>
      <c r="U5" s="15"/>
      <c r="V5" s="15"/>
      <c r="W5" s="15"/>
      <c r="X5" s="15"/>
      <c r="Y5" s="15"/>
      <c r="Z5" s="15"/>
    </row>
    <row r="6" spans="1:26" ht="15.75" customHeight="1" x14ac:dyDescent="0.25">
      <c r="A6" s="17"/>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865" t="s">
        <v>352</v>
      </c>
      <c r="B7" s="866"/>
      <c r="C7" s="866"/>
      <c r="D7" s="866"/>
      <c r="E7" s="866"/>
      <c r="F7" s="866"/>
      <c r="G7" s="867"/>
      <c r="H7" s="14"/>
      <c r="I7" s="15"/>
      <c r="J7" s="15"/>
      <c r="K7" s="16"/>
      <c r="L7" s="15"/>
      <c r="M7" s="15"/>
      <c r="N7" s="15"/>
      <c r="O7" s="15"/>
      <c r="P7" s="15"/>
      <c r="Q7" s="15"/>
      <c r="R7" s="15"/>
      <c r="S7" s="15"/>
      <c r="T7" s="15"/>
      <c r="U7" s="15"/>
      <c r="V7" s="15"/>
      <c r="W7" s="15"/>
      <c r="X7" s="15"/>
      <c r="Y7" s="15"/>
      <c r="Z7" s="15"/>
    </row>
    <row r="8" spans="1:26" ht="15.75" customHeight="1" x14ac:dyDescent="0.25">
      <c r="A8" s="868" t="s">
        <v>353</v>
      </c>
      <c r="B8" s="857" t="s">
        <v>354</v>
      </c>
      <c r="C8" s="870" t="s">
        <v>355</v>
      </c>
      <c r="D8" s="872" t="s">
        <v>356</v>
      </c>
      <c r="E8" s="873"/>
      <c r="F8" s="874"/>
      <c r="G8" s="857" t="s">
        <v>357</v>
      </c>
      <c r="H8" s="15"/>
      <c r="I8" s="15"/>
      <c r="J8" s="15"/>
      <c r="K8" s="16"/>
      <c r="L8" s="15"/>
      <c r="M8" s="15"/>
      <c r="N8" s="15"/>
      <c r="O8" s="15"/>
      <c r="P8" s="15"/>
      <c r="Q8" s="15"/>
      <c r="R8" s="15"/>
      <c r="S8" s="15"/>
      <c r="T8" s="15"/>
      <c r="U8" s="15"/>
      <c r="V8" s="15"/>
      <c r="W8" s="15"/>
      <c r="X8" s="15"/>
      <c r="Y8" s="15"/>
      <c r="Z8" s="15"/>
    </row>
    <row r="9" spans="1:26" ht="15.75" customHeight="1" x14ac:dyDescent="0.25">
      <c r="A9" s="858"/>
      <c r="B9" s="858"/>
      <c r="C9" s="871"/>
      <c r="D9" s="28" t="s">
        <v>358</v>
      </c>
      <c r="E9" s="29" t="s">
        <v>359</v>
      </c>
      <c r="F9" s="875" t="s">
        <v>360</v>
      </c>
      <c r="G9" s="858"/>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60"/>
      <c r="G10" s="442" t="s">
        <v>2717</v>
      </c>
      <c r="H10" s="15"/>
      <c r="I10" s="15"/>
      <c r="J10" s="15"/>
      <c r="K10" s="16"/>
      <c r="L10" s="15"/>
      <c r="M10" s="15"/>
      <c r="N10" s="15"/>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9" t="s">
        <v>364</v>
      </c>
      <c r="B12" s="38"/>
      <c r="C12" s="42"/>
      <c r="D12" s="42"/>
      <c r="E12" s="42"/>
      <c r="F12" s="42"/>
      <c r="G12" s="37"/>
      <c r="K12" s="40"/>
    </row>
    <row r="13" spans="1:26" ht="15.75" customHeight="1" x14ac:dyDescent="0.25">
      <c r="A13" s="17" t="s">
        <v>622</v>
      </c>
      <c r="B13" s="41"/>
      <c r="C13" s="42"/>
      <c r="D13" s="42"/>
      <c r="E13" s="42"/>
      <c r="F13" s="42"/>
      <c r="G13" s="42"/>
      <c r="K13" s="40"/>
    </row>
    <row r="14" spans="1:26" ht="15.75" customHeight="1" x14ac:dyDescent="0.25">
      <c r="A14" s="17" t="s">
        <v>366</v>
      </c>
      <c r="B14" s="41"/>
      <c r="C14" s="42"/>
      <c r="D14" s="42"/>
      <c r="E14" s="19"/>
      <c r="F14" s="42"/>
      <c r="G14" s="42"/>
      <c r="K14" s="40"/>
    </row>
    <row r="15" spans="1:26" ht="15.75" customHeight="1" x14ac:dyDescent="0.25">
      <c r="A15" s="44" t="s">
        <v>367</v>
      </c>
      <c r="B15" s="41" t="s">
        <v>121</v>
      </c>
      <c r="C15" s="43">
        <v>5033198.78</v>
      </c>
      <c r="D15" s="43">
        <v>2560476.08</v>
      </c>
      <c r="E15" s="45">
        <f>F15-D15</f>
        <v>3505799.92</v>
      </c>
      <c r="F15" s="43">
        <v>6066276</v>
      </c>
      <c r="G15" s="43">
        <v>6357288</v>
      </c>
      <c r="H15" s="43"/>
      <c r="I15" s="7"/>
      <c r="K15" s="40"/>
    </row>
    <row r="16" spans="1:26" ht="15.75" customHeight="1" x14ac:dyDescent="0.25">
      <c r="A16" s="17" t="s">
        <v>368</v>
      </c>
      <c r="B16" s="41"/>
      <c r="C16" s="46"/>
      <c r="D16" s="46"/>
      <c r="E16" s="154"/>
      <c r="F16" s="43"/>
      <c r="G16" s="43"/>
      <c r="H16" s="7"/>
      <c r="I16" s="7"/>
      <c r="K16" s="40"/>
    </row>
    <row r="17" spans="1:11" ht="15.75" customHeight="1" x14ac:dyDescent="0.25">
      <c r="A17" s="44" t="s">
        <v>369</v>
      </c>
      <c r="B17" s="41" t="s">
        <v>125</v>
      </c>
      <c r="C17" s="43">
        <v>308000</v>
      </c>
      <c r="D17" s="43">
        <v>148600</v>
      </c>
      <c r="E17" s="45">
        <f t="shared" ref="E17:E18" si="0">F17-D17</f>
        <v>259400</v>
      </c>
      <c r="F17" s="43">
        <v>408000</v>
      </c>
      <c r="G17" s="43">
        <v>408000</v>
      </c>
      <c r="H17" s="7"/>
      <c r="I17" s="7"/>
      <c r="K17" s="40"/>
    </row>
    <row r="18" spans="1:11" ht="15.75" customHeight="1" x14ac:dyDescent="0.25">
      <c r="A18" s="44" t="s">
        <v>373</v>
      </c>
      <c r="B18" s="41" t="s">
        <v>131</v>
      </c>
      <c r="C18" s="43">
        <v>91000</v>
      </c>
      <c r="D18" s="43">
        <v>84000</v>
      </c>
      <c r="E18" s="45">
        <f t="shared" si="0"/>
        <v>35000</v>
      </c>
      <c r="F18" s="43">
        <v>119000</v>
      </c>
      <c r="G18" s="43">
        <v>119000</v>
      </c>
      <c r="H18" s="7"/>
      <c r="I18" s="7"/>
      <c r="K18" s="40"/>
    </row>
    <row r="19" spans="1:11" ht="15.75" customHeight="1" x14ac:dyDescent="0.25">
      <c r="A19" s="44" t="s">
        <v>690</v>
      </c>
      <c r="B19" s="41" t="s">
        <v>149</v>
      </c>
      <c r="C19" s="43">
        <v>0</v>
      </c>
      <c r="D19" s="43">
        <v>0</v>
      </c>
      <c r="E19" s="45">
        <v>0</v>
      </c>
      <c r="F19" s="43">
        <v>0</v>
      </c>
      <c r="G19" s="43">
        <v>150000</v>
      </c>
      <c r="H19" s="7"/>
      <c r="I19" s="7"/>
      <c r="K19" s="40"/>
    </row>
    <row r="20" spans="1:11" ht="15.75" customHeight="1" x14ac:dyDescent="0.25">
      <c r="A20" s="44" t="s">
        <v>374</v>
      </c>
      <c r="B20" s="41" t="s">
        <v>151</v>
      </c>
      <c r="C20" s="43">
        <v>413939</v>
      </c>
      <c r="D20" s="43">
        <v>0</v>
      </c>
      <c r="E20" s="45">
        <f t="shared" ref="E20:E21" si="1">F20-D20</f>
        <v>505523</v>
      </c>
      <c r="F20" s="43">
        <v>505523</v>
      </c>
      <c r="G20" s="43">
        <v>529774</v>
      </c>
      <c r="H20" s="7"/>
      <c r="I20" s="7"/>
      <c r="K20" s="40"/>
    </row>
    <row r="21" spans="1:11" ht="15.75" customHeight="1" x14ac:dyDescent="0.25">
      <c r="A21" s="44" t="s">
        <v>375</v>
      </c>
      <c r="B21" s="41" t="s">
        <v>153</v>
      </c>
      <c r="C21" s="43">
        <v>60000</v>
      </c>
      <c r="D21" s="43">
        <v>0</v>
      </c>
      <c r="E21" s="45">
        <f t="shared" si="1"/>
        <v>85000</v>
      </c>
      <c r="F21" s="43">
        <v>85000</v>
      </c>
      <c r="G21" s="43">
        <v>85000</v>
      </c>
      <c r="H21" s="7"/>
      <c r="I21" s="7"/>
      <c r="K21" s="40"/>
    </row>
    <row r="22" spans="1:11" ht="15.75" customHeight="1" x14ac:dyDescent="0.25">
      <c r="A22" s="44" t="s">
        <v>376</v>
      </c>
      <c r="B22" s="41" t="s">
        <v>155</v>
      </c>
      <c r="C22" s="46"/>
      <c r="D22" s="46"/>
      <c r="E22" s="154"/>
      <c r="F22" s="43"/>
      <c r="G22" s="43"/>
      <c r="H22" s="7"/>
      <c r="I22" s="7"/>
      <c r="K22" s="40"/>
    </row>
    <row r="23" spans="1:11" ht="15.75" customHeight="1" x14ac:dyDescent="0.25">
      <c r="A23" s="44" t="s">
        <v>377</v>
      </c>
      <c r="B23" s="41" t="s">
        <v>157</v>
      </c>
      <c r="C23" s="43">
        <v>10000</v>
      </c>
      <c r="D23" s="43">
        <v>10000</v>
      </c>
      <c r="E23" s="45">
        <f t="shared" ref="E23:E25" si="2">F23-D23</f>
        <v>15000</v>
      </c>
      <c r="F23" s="43">
        <v>25000</v>
      </c>
      <c r="G23" s="43">
        <v>0</v>
      </c>
      <c r="H23" s="43"/>
      <c r="I23" s="7"/>
      <c r="K23" s="40"/>
    </row>
    <row r="24" spans="1:11" ht="15.75" customHeight="1" x14ac:dyDescent="0.25">
      <c r="A24" s="44" t="s">
        <v>378</v>
      </c>
      <c r="B24" s="41" t="s">
        <v>159</v>
      </c>
      <c r="C24" s="43">
        <v>0</v>
      </c>
      <c r="D24" s="43">
        <v>36000</v>
      </c>
      <c r="E24" s="45">
        <f t="shared" si="2"/>
        <v>15000</v>
      </c>
      <c r="F24" s="43">
        <v>51000</v>
      </c>
      <c r="G24" s="43">
        <v>0</v>
      </c>
      <c r="H24" s="26"/>
      <c r="I24" s="7"/>
      <c r="K24" s="40"/>
    </row>
    <row r="25" spans="1:11" ht="15.75" customHeight="1" x14ac:dyDescent="0.25">
      <c r="A25" s="44" t="s">
        <v>379</v>
      </c>
      <c r="B25" s="41" t="s">
        <v>161</v>
      </c>
      <c r="C25" s="43">
        <v>414816</v>
      </c>
      <c r="D25" s="43">
        <v>415875</v>
      </c>
      <c r="E25" s="45">
        <f t="shared" si="2"/>
        <v>89648</v>
      </c>
      <c r="F25" s="43">
        <v>505523</v>
      </c>
      <c r="G25" s="43">
        <v>529774</v>
      </c>
      <c r="I25" s="7"/>
      <c r="K25" s="40"/>
    </row>
    <row r="26" spans="1:11" ht="15.75" customHeight="1" x14ac:dyDescent="0.25">
      <c r="A26" s="17" t="s">
        <v>380</v>
      </c>
      <c r="B26" s="41"/>
      <c r="C26" s="46"/>
      <c r="D26" s="46"/>
      <c r="E26" s="154"/>
      <c r="F26" s="43"/>
      <c r="G26" s="43"/>
      <c r="I26" s="7"/>
      <c r="K26" s="40"/>
    </row>
    <row r="27" spans="1:11" ht="15.75" customHeight="1" x14ac:dyDescent="0.25">
      <c r="A27" s="44" t="s">
        <v>381</v>
      </c>
      <c r="B27" s="41" t="s">
        <v>165</v>
      </c>
      <c r="C27" s="43">
        <v>603983.84</v>
      </c>
      <c r="D27" s="43">
        <v>306210.07</v>
      </c>
      <c r="E27" s="45">
        <f t="shared" ref="E27:E30" si="3">F27-D27</f>
        <v>421743.93</v>
      </c>
      <c r="F27" s="43">
        <v>727954</v>
      </c>
      <c r="G27" s="43">
        <v>762875</v>
      </c>
      <c r="I27" s="7"/>
      <c r="K27" s="40"/>
    </row>
    <row r="28" spans="1:11" ht="15.75" customHeight="1" x14ac:dyDescent="0.25">
      <c r="A28" s="44" t="s">
        <v>382</v>
      </c>
      <c r="B28" s="41" t="s">
        <v>167</v>
      </c>
      <c r="C28" s="43">
        <v>100663.96</v>
      </c>
      <c r="D28" s="43">
        <v>51035.02</v>
      </c>
      <c r="E28" s="45">
        <f t="shared" si="3"/>
        <v>70290.98000000001</v>
      </c>
      <c r="F28" s="43">
        <v>121326</v>
      </c>
      <c r="G28" s="43">
        <v>127146</v>
      </c>
      <c r="I28" s="7"/>
      <c r="K28" s="40"/>
    </row>
    <row r="29" spans="1:11" ht="15.75" customHeight="1" x14ac:dyDescent="0.25">
      <c r="A29" s="44" t="s">
        <v>383</v>
      </c>
      <c r="B29" s="41" t="s">
        <v>169</v>
      </c>
      <c r="C29" s="43">
        <v>125830.39999999999</v>
      </c>
      <c r="D29" s="43">
        <v>63793.94</v>
      </c>
      <c r="E29" s="45">
        <f t="shared" si="3"/>
        <v>87869.06</v>
      </c>
      <c r="F29" s="43">
        <v>151663</v>
      </c>
      <c r="G29" s="43">
        <v>158942</v>
      </c>
      <c r="I29" s="7"/>
      <c r="K29" s="40"/>
    </row>
    <row r="30" spans="1:11" ht="15.75" customHeight="1" x14ac:dyDescent="0.25">
      <c r="A30" s="460" t="s">
        <v>384</v>
      </c>
      <c r="B30" s="487" t="s">
        <v>171</v>
      </c>
      <c r="C30" s="43">
        <v>15400</v>
      </c>
      <c r="D30" s="45">
        <v>7400</v>
      </c>
      <c r="E30" s="45">
        <f t="shared" si="3"/>
        <v>13000</v>
      </c>
      <c r="F30" s="43">
        <v>20400</v>
      </c>
      <c r="G30" s="43">
        <v>20400</v>
      </c>
      <c r="I30" s="7"/>
      <c r="K30" s="40"/>
    </row>
    <row r="31" spans="1:11" ht="15.75" customHeight="1" x14ac:dyDescent="0.25">
      <c r="A31" s="456" t="s">
        <v>624</v>
      </c>
      <c r="B31" s="487"/>
      <c r="C31" s="46"/>
      <c r="D31" s="154"/>
      <c r="E31" s="154"/>
      <c r="F31" s="43"/>
      <c r="G31" s="43"/>
      <c r="I31" s="7"/>
      <c r="K31" s="40"/>
    </row>
    <row r="32" spans="1:11" ht="15.75" customHeight="1" x14ac:dyDescent="0.25">
      <c r="A32" s="460" t="s">
        <v>387</v>
      </c>
      <c r="B32" s="487" t="s">
        <v>181</v>
      </c>
      <c r="C32" s="43">
        <v>117726.57</v>
      </c>
      <c r="D32" s="45">
        <v>131106.60999999999</v>
      </c>
      <c r="E32" s="45">
        <f t="shared" ref="E32:E33" si="4">F32-D32</f>
        <v>112519.39000000001</v>
      </c>
      <c r="F32" s="43">
        <v>243626</v>
      </c>
      <c r="G32" s="43">
        <v>255313</v>
      </c>
      <c r="I32" s="7"/>
      <c r="K32" s="40"/>
    </row>
    <row r="33" spans="1:26" ht="15.75" customHeight="1" x14ac:dyDescent="0.25">
      <c r="A33" s="460" t="s">
        <v>388</v>
      </c>
      <c r="B33" s="487" t="s">
        <v>183</v>
      </c>
      <c r="C33" s="43">
        <v>60000</v>
      </c>
      <c r="D33" s="45">
        <v>0</v>
      </c>
      <c r="E33" s="45">
        <f t="shared" si="4"/>
        <v>85000</v>
      </c>
      <c r="F33" s="43">
        <v>85000</v>
      </c>
      <c r="G33" s="43">
        <v>85000</v>
      </c>
      <c r="I33" s="7"/>
      <c r="K33" s="40"/>
    </row>
    <row r="34" spans="1:26" ht="31.5" x14ac:dyDescent="0.25">
      <c r="A34" s="455" t="s">
        <v>625</v>
      </c>
      <c r="B34" s="487"/>
      <c r="C34" s="43">
        <v>0</v>
      </c>
      <c r="D34" s="45">
        <v>0</v>
      </c>
      <c r="E34" s="45">
        <v>0</v>
      </c>
      <c r="F34" s="43">
        <v>0</v>
      </c>
      <c r="G34" s="43">
        <v>180272</v>
      </c>
      <c r="H34" s="7"/>
      <c r="K34" s="40"/>
    </row>
    <row r="35" spans="1:26" ht="15.75" customHeight="1" x14ac:dyDescent="0.25">
      <c r="A35" s="456" t="s">
        <v>390</v>
      </c>
      <c r="B35" s="487"/>
      <c r="C35" s="54">
        <f t="shared" ref="C35:G35" si="5">SUM(C15:C34)</f>
        <v>7354558.5500000007</v>
      </c>
      <c r="D35" s="54">
        <f t="shared" si="5"/>
        <v>3814496.7199999997</v>
      </c>
      <c r="E35" s="79">
        <f t="shared" si="5"/>
        <v>5300794.2799999993</v>
      </c>
      <c r="F35" s="54">
        <f t="shared" si="5"/>
        <v>9115291</v>
      </c>
      <c r="G35" s="54">
        <f t="shared" si="5"/>
        <v>9768784</v>
      </c>
      <c r="H35" s="7"/>
      <c r="K35" s="40"/>
    </row>
    <row r="36" spans="1:26" ht="15.75" customHeight="1" x14ac:dyDescent="0.25">
      <c r="A36" s="456"/>
      <c r="B36" s="487"/>
      <c r="C36" s="55"/>
      <c r="D36" s="55"/>
      <c r="E36" s="39"/>
      <c r="F36" s="39"/>
      <c r="G36" s="55"/>
      <c r="K36" s="40"/>
    </row>
    <row r="37" spans="1:26" ht="15.75" customHeight="1" x14ac:dyDescent="0.25">
      <c r="A37" s="456" t="s">
        <v>626</v>
      </c>
      <c r="B37" s="487"/>
      <c r="C37" s="43"/>
      <c r="D37" s="43"/>
      <c r="E37" s="43"/>
      <c r="F37" s="443"/>
      <c r="G37" s="462"/>
      <c r="K37" s="40"/>
    </row>
    <row r="38" spans="1:26" ht="15" customHeight="1" x14ac:dyDescent="0.25">
      <c r="A38" s="456" t="s">
        <v>627</v>
      </c>
      <c r="B38" s="454"/>
      <c r="C38" s="443"/>
      <c r="D38" s="443"/>
      <c r="E38" s="443"/>
      <c r="F38" s="443"/>
      <c r="G38" s="462"/>
      <c r="K38" s="40"/>
    </row>
    <row r="39" spans="1:26" ht="15" customHeight="1" x14ac:dyDescent="0.25">
      <c r="A39" s="460" t="s">
        <v>393</v>
      </c>
      <c r="B39" s="454" t="s">
        <v>187</v>
      </c>
      <c r="C39" s="443">
        <v>93681.08</v>
      </c>
      <c r="D39" s="443">
        <v>0</v>
      </c>
      <c r="E39" s="443">
        <f>F39-D39</f>
        <v>100000</v>
      </c>
      <c r="F39" s="443">
        <v>100000</v>
      </c>
      <c r="G39" s="462">
        <v>100000</v>
      </c>
      <c r="H39" s="57">
        <v>100000</v>
      </c>
      <c r="K39" s="40"/>
    </row>
    <row r="40" spans="1:26" ht="15" customHeight="1" x14ac:dyDescent="0.25">
      <c r="A40" s="456" t="s">
        <v>493</v>
      </c>
      <c r="B40" s="487"/>
      <c r="C40" s="46"/>
      <c r="D40" s="46"/>
      <c r="E40" s="46"/>
      <c r="F40" s="484"/>
      <c r="G40" s="462"/>
      <c r="K40" s="40"/>
    </row>
    <row r="41" spans="1:26" ht="15" customHeight="1" x14ac:dyDescent="0.25">
      <c r="A41" s="460" t="s">
        <v>396</v>
      </c>
      <c r="B41" s="454" t="s">
        <v>191</v>
      </c>
      <c r="C41" s="56">
        <v>31109.8</v>
      </c>
      <c r="D41" s="56">
        <v>0</v>
      </c>
      <c r="E41" s="56">
        <f>F41-D41</f>
        <v>0</v>
      </c>
      <c r="F41" s="56">
        <v>0</v>
      </c>
      <c r="G41" s="43">
        <v>37880</v>
      </c>
      <c r="H41" s="176">
        <v>37880</v>
      </c>
      <c r="I41" s="176"/>
      <c r="J41" s="176"/>
      <c r="K41" s="177"/>
      <c r="L41" s="176"/>
      <c r="M41" s="176"/>
      <c r="N41" s="176"/>
      <c r="O41" s="176"/>
      <c r="P41" s="176"/>
      <c r="Q41" s="176"/>
      <c r="R41" s="176"/>
      <c r="S41" s="176"/>
      <c r="T41" s="176"/>
      <c r="U41" s="176"/>
      <c r="V41" s="176"/>
      <c r="W41" s="176"/>
      <c r="X41" s="176"/>
      <c r="Y41" s="176"/>
      <c r="Z41" s="176"/>
    </row>
    <row r="42" spans="1:26" ht="29.45" customHeight="1" x14ac:dyDescent="0.25">
      <c r="A42" s="479" t="s">
        <v>691</v>
      </c>
      <c r="B42" s="454"/>
      <c r="C42" s="59"/>
      <c r="D42" s="59"/>
      <c r="E42" s="59"/>
      <c r="F42" s="56"/>
      <c r="G42" s="43"/>
      <c r="H42" s="114"/>
      <c r="I42" s="60"/>
      <c r="J42" s="114"/>
      <c r="K42" s="60"/>
      <c r="L42" s="114"/>
      <c r="M42" s="114"/>
      <c r="N42" s="114"/>
      <c r="O42" s="114"/>
      <c r="P42" s="114"/>
      <c r="Q42" s="114"/>
      <c r="R42" s="114"/>
      <c r="S42" s="114"/>
      <c r="T42" s="114"/>
      <c r="U42" s="114"/>
      <c r="V42" s="114"/>
      <c r="W42" s="114"/>
      <c r="X42" s="114"/>
      <c r="Y42" s="114"/>
      <c r="Z42" s="114"/>
    </row>
    <row r="43" spans="1:26" ht="15" customHeight="1" x14ac:dyDescent="0.25">
      <c r="A43" s="456" t="s">
        <v>499</v>
      </c>
      <c r="B43" s="487"/>
      <c r="C43" s="46"/>
      <c r="D43" s="46"/>
      <c r="E43" s="46"/>
      <c r="F43" s="43"/>
      <c r="G43" s="43"/>
      <c r="H43" s="178"/>
      <c r="I43" s="179"/>
      <c r="J43" s="178"/>
      <c r="K43" s="179"/>
      <c r="L43" s="178"/>
      <c r="M43" s="178"/>
      <c r="N43" s="178"/>
      <c r="O43" s="178"/>
      <c r="P43" s="178"/>
      <c r="Q43" s="178"/>
      <c r="R43" s="178"/>
      <c r="S43" s="178"/>
      <c r="T43" s="178"/>
      <c r="U43" s="178"/>
      <c r="V43" s="178"/>
      <c r="W43" s="178"/>
      <c r="X43" s="178"/>
      <c r="Y43" s="178"/>
      <c r="Z43" s="178"/>
    </row>
    <row r="44" spans="1:26" ht="15" customHeight="1" x14ac:dyDescent="0.25">
      <c r="A44" s="96" t="s">
        <v>400</v>
      </c>
      <c r="B44" s="20" t="s">
        <v>221</v>
      </c>
      <c r="C44" s="43"/>
      <c r="D44" s="26">
        <v>0</v>
      </c>
      <c r="E44" s="43">
        <f t="shared" ref="E44:E46" si="6">F44-D44</f>
        <v>585580</v>
      </c>
      <c r="F44" s="43">
        <v>585580</v>
      </c>
      <c r="G44" s="43">
        <v>32000</v>
      </c>
      <c r="H44" s="26">
        <v>32000</v>
      </c>
      <c r="I44" s="60"/>
      <c r="K44" s="40"/>
    </row>
    <row r="45" spans="1:26" ht="15" customHeight="1" x14ac:dyDescent="0.25">
      <c r="A45" s="96" t="s">
        <v>538</v>
      </c>
      <c r="B45" s="20" t="s">
        <v>223</v>
      </c>
      <c r="C45" s="56"/>
      <c r="D45" s="56">
        <v>0</v>
      </c>
      <c r="E45" s="43">
        <f t="shared" si="6"/>
        <v>30000</v>
      </c>
      <c r="F45" s="43">
        <v>30000</v>
      </c>
      <c r="G45" s="43">
        <v>70000</v>
      </c>
      <c r="H45" s="26">
        <v>70000</v>
      </c>
      <c r="I45" s="60"/>
      <c r="K45" s="40"/>
    </row>
    <row r="46" spans="1:26" ht="15" customHeight="1" x14ac:dyDescent="0.25">
      <c r="A46" s="44" t="s">
        <v>402</v>
      </c>
      <c r="B46" s="41" t="s">
        <v>225</v>
      </c>
      <c r="C46" s="43">
        <v>676554.65</v>
      </c>
      <c r="D46" s="43">
        <v>0</v>
      </c>
      <c r="E46" s="56">
        <f t="shared" si="6"/>
        <v>18843</v>
      </c>
      <c r="F46" s="43">
        <v>18843</v>
      </c>
      <c r="G46" s="43">
        <v>65143</v>
      </c>
      <c r="H46" s="57">
        <v>65143</v>
      </c>
      <c r="K46" s="40"/>
    </row>
    <row r="47" spans="1:26" ht="15" customHeight="1" x14ac:dyDescent="0.25">
      <c r="A47" s="17" t="s">
        <v>503</v>
      </c>
      <c r="B47" s="41"/>
      <c r="C47" s="43"/>
      <c r="D47" s="45"/>
      <c r="E47" s="43"/>
      <c r="F47" s="43"/>
      <c r="G47" s="43"/>
      <c r="K47" s="40"/>
    </row>
    <row r="48" spans="1:26" ht="15" customHeight="1" x14ac:dyDescent="0.25">
      <c r="A48" s="44" t="s">
        <v>504</v>
      </c>
      <c r="B48" s="41" t="s">
        <v>237</v>
      </c>
      <c r="C48" s="43">
        <v>0</v>
      </c>
      <c r="D48" s="43">
        <v>0</v>
      </c>
      <c r="E48" s="43">
        <f>F48-D48</f>
        <v>37200</v>
      </c>
      <c r="F48" s="43">
        <v>37200</v>
      </c>
      <c r="G48" s="45">
        <v>37200</v>
      </c>
      <c r="H48" s="57">
        <v>37200</v>
      </c>
      <c r="K48" s="40"/>
    </row>
    <row r="49" spans="1:26" ht="15" customHeight="1" x14ac:dyDescent="0.25">
      <c r="A49" s="17" t="s">
        <v>424</v>
      </c>
      <c r="B49" s="41"/>
      <c r="C49" s="43"/>
      <c r="D49" s="43"/>
      <c r="E49" s="43"/>
      <c r="F49" s="43"/>
      <c r="G49" s="45"/>
      <c r="K49" s="40"/>
    </row>
    <row r="50" spans="1:26" ht="15" customHeight="1" x14ac:dyDescent="0.25">
      <c r="A50" s="44" t="s">
        <v>424</v>
      </c>
      <c r="B50" s="41" t="s">
        <v>335</v>
      </c>
      <c r="C50" s="43">
        <v>1591537</v>
      </c>
      <c r="D50" s="43">
        <f>1037625.21</f>
        <v>1037625.21</v>
      </c>
      <c r="E50" s="43">
        <f>F50-D50</f>
        <v>2183614.79</v>
      </c>
      <c r="F50" s="43">
        <v>3221240</v>
      </c>
      <c r="G50" s="45">
        <f>25500+357984+168696+1431936+1073952</f>
        <v>3058068</v>
      </c>
      <c r="K50" s="40"/>
    </row>
    <row r="51" spans="1:26" ht="15" customHeight="1" x14ac:dyDescent="0.25">
      <c r="A51" s="96" t="s">
        <v>692</v>
      </c>
      <c r="B51" s="41"/>
      <c r="C51" s="43"/>
      <c r="D51" s="43"/>
      <c r="E51" s="43"/>
      <c r="F51" s="43"/>
      <c r="G51" s="45"/>
      <c r="H51" s="175">
        <v>25500</v>
      </c>
      <c r="I51" s="7"/>
      <c r="K51" s="40"/>
    </row>
    <row r="52" spans="1:26" ht="15" customHeight="1" x14ac:dyDescent="0.25">
      <c r="A52" s="96" t="s">
        <v>648</v>
      </c>
      <c r="B52" s="41"/>
      <c r="C52" s="43"/>
      <c r="D52" s="43"/>
      <c r="E52" s="43"/>
      <c r="F52" s="43"/>
      <c r="G52" s="45"/>
      <c r="H52" s="175"/>
      <c r="I52" s="7"/>
      <c r="K52" s="40"/>
    </row>
    <row r="53" spans="1:26" ht="31.5" x14ac:dyDescent="0.25">
      <c r="A53" s="90" t="s">
        <v>693</v>
      </c>
      <c r="B53" s="41"/>
      <c r="C53" s="43"/>
      <c r="D53" s="43"/>
      <c r="E53" s="43"/>
      <c r="F53" s="43"/>
      <c r="G53" s="45"/>
      <c r="H53" s="175">
        <v>678</v>
      </c>
      <c r="I53" s="7">
        <f>22*12</f>
        <v>264</v>
      </c>
      <c r="J53" s="57">
        <v>2</v>
      </c>
      <c r="K53" s="40">
        <f t="shared" ref="K53:K56" si="7">H53*I53*J53</f>
        <v>357984</v>
      </c>
    </row>
    <row r="54" spans="1:26" ht="29.45" customHeight="1" x14ac:dyDescent="0.25">
      <c r="A54" s="90" t="s">
        <v>694</v>
      </c>
      <c r="B54" s="41"/>
      <c r="C54" s="43"/>
      <c r="D54" s="43"/>
      <c r="E54" s="43"/>
      <c r="F54" s="43"/>
      <c r="G54" s="45"/>
      <c r="H54" s="175">
        <v>639</v>
      </c>
      <c r="I54" s="7">
        <v>264</v>
      </c>
      <c r="J54" s="57">
        <v>1</v>
      </c>
      <c r="K54" s="40">
        <f t="shared" si="7"/>
        <v>168696</v>
      </c>
    </row>
    <row r="55" spans="1:26" ht="29.45" customHeight="1" x14ac:dyDescent="0.25">
      <c r="A55" s="627" t="s">
        <v>695</v>
      </c>
      <c r="B55" s="437"/>
      <c r="C55" s="438"/>
      <c r="D55" s="438"/>
      <c r="E55" s="438"/>
      <c r="F55" s="438"/>
      <c r="G55" s="473"/>
      <c r="H55" s="175">
        <v>678</v>
      </c>
      <c r="I55" s="7">
        <v>264</v>
      </c>
      <c r="J55" s="57">
        <v>8</v>
      </c>
      <c r="K55" s="40">
        <f t="shared" si="7"/>
        <v>1431936</v>
      </c>
    </row>
    <row r="56" spans="1:26" ht="43.9" customHeight="1" x14ac:dyDescent="0.25">
      <c r="A56" s="627" t="s">
        <v>696</v>
      </c>
      <c r="B56" s="437"/>
      <c r="C56" s="438"/>
      <c r="D56" s="438"/>
      <c r="E56" s="438"/>
      <c r="F56" s="438"/>
      <c r="G56" s="473"/>
      <c r="H56" s="175">
        <v>678</v>
      </c>
      <c r="I56" s="7">
        <v>264</v>
      </c>
      <c r="J56" s="57">
        <v>6</v>
      </c>
      <c r="K56" s="40">
        <f t="shared" si="7"/>
        <v>1073952</v>
      </c>
    </row>
    <row r="57" spans="1:26" ht="15" customHeight="1" x14ac:dyDescent="0.25">
      <c r="A57" s="482" t="s">
        <v>466</v>
      </c>
      <c r="B57" s="483"/>
      <c r="C57" s="54">
        <f>SUM(C39:C50)</f>
        <v>2392882.5300000003</v>
      </c>
      <c r="D57" s="54">
        <f>SUM(D39:D50)</f>
        <v>1037625.21</v>
      </c>
      <c r="E57" s="54">
        <f>SUM(E39:E50)</f>
        <v>2955237.79</v>
      </c>
      <c r="F57" s="54">
        <f>SUM(F39:F50)</f>
        <v>3992863</v>
      </c>
      <c r="G57" s="54">
        <f>SUM(G39:G50)</f>
        <v>3400291</v>
      </c>
      <c r="H57" s="175"/>
      <c r="I57" s="7"/>
      <c r="K57" s="40"/>
    </row>
    <row r="58" spans="1:26" ht="15" customHeight="1" x14ac:dyDescent="0.25">
      <c r="A58" s="599"/>
      <c r="B58" s="628"/>
      <c r="C58" s="448"/>
      <c r="D58" s="448"/>
      <c r="E58" s="448"/>
      <c r="F58" s="448"/>
      <c r="G58" s="449"/>
      <c r="H58" s="7"/>
      <c r="I58" s="7"/>
      <c r="K58" s="40"/>
    </row>
    <row r="59" spans="1:26" ht="15" customHeight="1" x14ac:dyDescent="0.25">
      <c r="A59" s="17" t="s">
        <v>467</v>
      </c>
      <c r="B59" s="41"/>
      <c r="C59" s="43">
        <f>C57+C35</f>
        <v>9747441.0800000019</v>
      </c>
      <c r="D59" s="43">
        <f>D57+D35</f>
        <v>4852121.93</v>
      </c>
      <c r="E59" s="43">
        <f>E57+E35</f>
        <v>8256032.0699999994</v>
      </c>
      <c r="F59" s="43">
        <f>F57+F35</f>
        <v>13108154</v>
      </c>
      <c r="G59" s="43">
        <f>G57+G35</f>
        <v>13169075</v>
      </c>
      <c r="H59" s="7"/>
      <c r="K59" s="40"/>
    </row>
    <row r="60" spans="1:26" ht="15" customHeight="1" x14ac:dyDescent="0.25">
      <c r="A60" s="42"/>
      <c r="B60" s="41"/>
      <c r="C60" s="43"/>
      <c r="D60" s="43"/>
      <c r="E60" s="43"/>
      <c r="F60" s="43"/>
      <c r="G60" s="45"/>
      <c r="K60" s="40"/>
    </row>
    <row r="61" spans="1:26" ht="15.75" customHeight="1" x14ac:dyDescent="0.25">
      <c r="A61" s="50" t="s">
        <v>487</v>
      </c>
      <c r="B61" s="51" t="s">
        <v>488</v>
      </c>
      <c r="C61" s="54">
        <f t="shared" ref="C61:G61" si="8">C59</f>
        <v>9747441.0800000019</v>
      </c>
      <c r="D61" s="54">
        <f t="shared" si="8"/>
        <v>4852121.93</v>
      </c>
      <c r="E61" s="54">
        <f t="shared" si="8"/>
        <v>8256032.0699999994</v>
      </c>
      <c r="F61" s="54">
        <f t="shared" si="8"/>
        <v>13108154</v>
      </c>
      <c r="G61" s="54">
        <f t="shared" si="8"/>
        <v>13169075</v>
      </c>
      <c r="K61" s="40"/>
    </row>
    <row r="62" spans="1:26" ht="15.75" customHeight="1" x14ac:dyDescent="0.25">
      <c r="A62" s="24"/>
      <c r="B62" s="25"/>
      <c r="C62" s="26"/>
      <c r="D62" s="26"/>
      <c r="E62" s="26"/>
      <c r="F62" s="26"/>
      <c r="G62" s="26"/>
      <c r="K62" s="40"/>
    </row>
    <row r="63" spans="1:26" ht="15.75" customHeight="1" x14ac:dyDescent="0.25">
      <c r="A63" s="24"/>
      <c r="B63" s="25"/>
      <c r="C63" s="24"/>
      <c r="D63" s="24"/>
      <c r="E63" s="24"/>
      <c r="F63" s="24"/>
      <c r="K63" s="40"/>
    </row>
    <row r="64" spans="1:26" ht="15.75" customHeight="1" x14ac:dyDescent="0.25">
      <c r="A64" s="9"/>
      <c r="B64" s="104"/>
      <c r="C64" s="105"/>
      <c r="D64" s="105"/>
      <c r="E64" s="105"/>
      <c r="F64" s="10"/>
      <c r="G64" s="180"/>
      <c r="H64" s="15"/>
      <c r="I64" s="15"/>
      <c r="J64" s="15"/>
      <c r="K64" s="16"/>
      <c r="L64" s="15"/>
      <c r="M64" s="15"/>
      <c r="N64" s="15"/>
      <c r="O64" s="15"/>
      <c r="P64" s="15"/>
      <c r="Q64" s="15"/>
      <c r="R64" s="15"/>
      <c r="S64" s="15"/>
      <c r="T64" s="15"/>
      <c r="U64" s="15"/>
      <c r="V64" s="15"/>
      <c r="W64" s="15"/>
      <c r="X64" s="15"/>
      <c r="Y64" s="15"/>
      <c r="Z64" s="15"/>
    </row>
    <row r="65" spans="1:26" ht="15.75" customHeight="1" x14ac:dyDescent="0.25">
      <c r="A65" s="108" t="s">
        <v>697</v>
      </c>
      <c r="B65" s="25"/>
      <c r="C65" s="26"/>
      <c r="D65" s="26"/>
      <c r="E65" s="26"/>
      <c r="F65" s="14"/>
      <c r="G65" s="181"/>
      <c r="H65" s="15"/>
      <c r="I65" s="15"/>
      <c r="J65" s="15"/>
      <c r="K65" s="16"/>
      <c r="L65" s="15"/>
      <c r="M65" s="15"/>
      <c r="N65" s="15"/>
      <c r="O65" s="15"/>
      <c r="P65" s="15"/>
      <c r="Q65" s="15"/>
      <c r="R65" s="15"/>
      <c r="S65" s="15"/>
      <c r="T65" s="15"/>
      <c r="U65" s="15"/>
      <c r="V65" s="15"/>
      <c r="W65" s="15"/>
      <c r="X65" s="15"/>
      <c r="Y65" s="15"/>
      <c r="Z65" s="15"/>
    </row>
    <row r="66" spans="1:26" ht="15.75" customHeight="1" x14ac:dyDescent="0.25">
      <c r="A66" s="44"/>
      <c r="B66" s="25"/>
      <c r="C66" s="26"/>
      <c r="D66" s="26"/>
      <c r="E66" s="26"/>
      <c r="F66" s="14"/>
      <c r="G66" s="181"/>
      <c r="H66" s="15"/>
      <c r="I66" s="15"/>
      <c r="J66" s="15"/>
      <c r="K66" s="16"/>
      <c r="L66" s="15"/>
      <c r="M66" s="15"/>
      <c r="N66" s="15"/>
      <c r="O66" s="15"/>
      <c r="P66" s="15"/>
      <c r="Q66" s="15"/>
      <c r="R66" s="15"/>
      <c r="S66" s="15"/>
      <c r="T66" s="15"/>
      <c r="U66" s="15"/>
      <c r="V66" s="15"/>
      <c r="W66" s="15"/>
      <c r="X66" s="15"/>
      <c r="Y66" s="15"/>
      <c r="Z66" s="15"/>
    </row>
    <row r="67" spans="1:26" ht="15.75" customHeight="1" x14ac:dyDescent="0.25">
      <c r="A67" s="865" t="s">
        <v>352</v>
      </c>
      <c r="B67" s="866"/>
      <c r="C67" s="866"/>
      <c r="D67" s="866"/>
      <c r="E67" s="866"/>
      <c r="F67" s="866"/>
      <c r="G67" s="867"/>
      <c r="H67" s="15"/>
      <c r="I67" s="15"/>
      <c r="J67" s="15"/>
      <c r="K67" s="16"/>
      <c r="L67" s="15"/>
      <c r="M67" s="15"/>
      <c r="N67" s="15"/>
      <c r="O67" s="15"/>
      <c r="P67" s="15"/>
      <c r="Q67" s="15"/>
      <c r="R67" s="15"/>
      <c r="S67" s="15"/>
      <c r="T67" s="15"/>
      <c r="U67" s="15"/>
      <c r="V67" s="15"/>
      <c r="W67" s="15"/>
      <c r="X67" s="15"/>
      <c r="Y67" s="15"/>
      <c r="Z67" s="15"/>
    </row>
    <row r="68" spans="1:26" ht="15.75" customHeight="1" x14ac:dyDescent="0.25">
      <c r="A68" s="868" t="s">
        <v>353</v>
      </c>
      <c r="B68" s="857" t="s">
        <v>354</v>
      </c>
      <c r="C68" s="870" t="s">
        <v>355</v>
      </c>
      <c r="D68" s="872" t="s">
        <v>356</v>
      </c>
      <c r="E68" s="873"/>
      <c r="F68" s="874"/>
      <c r="G68" s="857" t="s">
        <v>357</v>
      </c>
      <c r="H68" s="15"/>
      <c r="I68" s="15"/>
      <c r="J68" s="15"/>
      <c r="K68" s="16"/>
      <c r="L68" s="15"/>
      <c r="M68" s="15"/>
      <c r="N68" s="15"/>
      <c r="O68" s="15"/>
      <c r="P68" s="15"/>
      <c r="Q68" s="15"/>
      <c r="R68" s="15"/>
      <c r="S68" s="15"/>
      <c r="T68" s="15"/>
      <c r="U68" s="15"/>
      <c r="V68" s="15"/>
      <c r="W68" s="15"/>
      <c r="X68" s="15"/>
      <c r="Y68" s="15"/>
      <c r="Z68" s="15"/>
    </row>
    <row r="69" spans="1:26" ht="15.75" customHeight="1" x14ac:dyDescent="0.25">
      <c r="A69" s="858"/>
      <c r="B69" s="858"/>
      <c r="C69" s="871"/>
      <c r="D69" s="28" t="s">
        <v>358</v>
      </c>
      <c r="E69" s="29" t="s">
        <v>359</v>
      </c>
      <c r="F69" s="875" t="s">
        <v>360</v>
      </c>
      <c r="G69" s="858"/>
      <c r="H69" s="15"/>
      <c r="I69" s="15"/>
      <c r="J69" s="15"/>
      <c r="K69" s="16"/>
      <c r="L69" s="15"/>
      <c r="M69" s="15"/>
      <c r="N69" s="15"/>
      <c r="O69" s="15"/>
      <c r="P69" s="15"/>
      <c r="Q69" s="15"/>
      <c r="R69" s="15"/>
      <c r="S69" s="15"/>
      <c r="T69" s="15"/>
      <c r="U69" s="15"/>
      <c r="V69" s="15"/>
      <c r="W69" s="15"/>
      <c r="X69" s="15"/>
      <c r="Y69" s="15"/>
      <c r="Z69" s="15"/>
    </row>
    <row r="70" spans="1:26" ht="15.75" customHeight="1" x14ac:dyDescent="0.25">
      <c r="A70" s="858"/>
      <c r="B70" s="858"/>
      <c r="C70" s="30" t="s">
        <v>361</v>
      </c>
      <c r="D70" s="31" t="s">
        <v>361</v>
      </c>
      <c r="E70" s="32" t="s">
        <v>362</v>
      </c>
      <c r="F70" s="860"/>
      <c r="G70" s="32" t="s">
        <v>363</v>
      </c>
      <c r="H70" s="15"/>
      <c r="I70" s="15"/>
      <c r="J70" s="15"/>
      <c r="K70" s="16"/>
      <c r="L70" s="15"/>
      <c r="M70" s="15"/>
      <c r="N70" s="15"/>
      <c r="O70" s="15"/>
      <c r="P70" s="15"/>
      <c r="Q70" s="15"/>
      <c r="R70" s="15"/>
      <c r="S70" s="15"/>
      <c r="T70" s="15"/>
      <c r="U70" s="15"/>
      <c r="V70" s="15"/>
      <c r="W70" s="15"/>
      <c r="X70" s="15"/>
      <c r="Y70" s="15"/>
      <c r="Z70" s="15"/>
    </row>
    <row r="71" spans="1:26" ht="15.75" customHeight="1" x14ac:dyDescent="0.25">
      <c r="A71" s="869"/>
      <c r="B71" s="869"/>
      <c r="C71" s="33">
        <v>2024</v>
      </c>
      <c r="D71" s="34">
        <v>2025</v>
      </c>
      <c r="E71" s="35">
        <v>2025</v>
      </c>
      <c r="F71" s="34">
        <v>2025</v>
      </c>
      <c r="G71" s="36">
        <v>2026</v>
      </c>
      <c r="H71" s="15"/>
      <c r="I71" s="15"/>
      <c r="J71" s="15"/>
      <c r="K71" s="16"/>
      <c r="L71" s="15"/>
      <c r="M71" s="15"/>
      <c r="N71" s="15"/>
      <c r="O71" s="15"/>
      <c r="P71" s="15"/>
      <c r="Q71" s="15"/>
      <c r="R71" s="15"/>
      <c r="S71" s="15"/>
      <c r="T71" s="15"/>
      <c r="U71" s="15"/>
      <c r="V71" s="15"/>
      <c r="W71" s="15"/>
      <c r="X71" s="15"/>
      <c r="Y71" s="15"/>
      <c r="Z71" s="15"/>
    </row>
    <row r="72" spans="1:26" ht="15.75" customHeight="1" x14ac:dyDescent="0.25">
      <c r="A72" s="9" t="s">
        <v>364</v>
      </c>
      <c r="B72" s="38"/>
      <c r="C72" s="42"/>
      <c r="D72" s="42"/>
      <c r="E72" s="42"/>
      <c r="F72" s="42"/>
      <c r="G72" s="37"/>
      <c r="K72" s="40"/>
    </row>
    <row r="73" spans="1:26" ht="15.75" customHeight="1" x14ac:dyDescent="0.25">
      <c r="A73" s="42" t="s">
        <v>580</v>
      </c>
      <c r="B73" s="41"/>
      <c r="C73" s="43"/>
      <c r="D73" s="43"/>
      <c r="E73" s="45"/>
      <c r="F73" s="43"/>
      <c r="G73" s="43"/>
      <c r="K73" s="40"/>
    </row>
    <row r="74" spans="1:26" ht="15.75" customHeight="1" x14ac:dyDescent="0.25">
      <c r="A74" s="17" t="s">
        <v>499</v>
      </c>
      <c r="B74" s="41"/>
      <c r="C74" s="43"/>
      <c r="D74" s="43"/>
      <c r="E74" s="45"/>
      <c r="F74" s="43"/>
      <c r="G74" s="43"/>
      <c r="K74" s="40"/>
    </row>
    <row r="75" spans="1:26" ht="15.75" customHeight="1" x14ac:dyDescent="0.25">
      <c r="A75" s="96" t="s">
        <v>400</v>
      </c>
      <c r="B75" s="41" t="s">
        <v>221</v>
      </c>
      <c r="C75" s="43">
        <v>0</v>
      </c>
      <c r="D75" s="43">
        <v>0</v>
      </c>
      <c r="E75" s="45">
        <v>0</v>
      </c>
      <c r="F75" s="43">
        <v>0</v>
      </c>
      <c r="G75" s="43">
        <v>12000</v>
      </c>
      <c r="H75" s="57">
        <v>12000</v>
      </c>
      <c r="K75" s="40"/>
    </row>
    <row r="76" spans="1:26" ht="15.75" customHeight="1" x14ac:dyDescent="0.25">
      <c r="A76" s="96" t="s">
        <v>538</v>
      </c>
      <c r="B76" s="41" t="s">
        <v>223</v>
      </c>
      <c r="C76" s="43">
        <v>0</v>
      </c>
      <c r="D76" s="43">
        <v>0</v>
      </c>
      <c r="E76" s="45">
        <f>F76-D76</f>
        <v>155000</v>
      </c>
      <c r="F76" s="43">
        <v>155000</v>
      </c>
      <c r="G76" s="43">
        <v>40000</v>
      </c>
      <c r="H76" s="57">
        <v>40000</v>
      </c>
      <c r="K76" s="40"/>
    </row>
    <row r="77" spans="1:26" ht="15.75" customHeight="1" x14ac:dyDescent="0.25">
      <c r="A77" s="17" t="s">
        <v>424</v>
      </c>
      <c r="B77" s="41"/>
      <c r="C77" s="43"/>
      <c r="D77" s="43"/>
      <c r="E77" s="45"/>
      <c r="F77" s="43"/>
      <c r="G77" s="43"/>
      <c r="K77" s="40"/>
    </row>
    <row r="78" spans="1:26" ht="15.75" customHeight="1" x14ac:dyDescent="0.25">
      <c r="A78" s="44" t="s">
        <v>424</v>
      </c>
      <c r="B78" s="41" t="s">
        <v>335</v>
      </c>
      <c r="C78" s="43">
        <v>613839.6</v>
      </c>
      <c r="D78" s="43">
        <v>601398</v>
      </c>
      <c r="E78" s="45">
        <f>F78-D78</f>
        <v>67022</v>
      </c>
      <c r="F78" s="43">
        <v>668420</v>
      </c>
      <c r="G78" s="43">
        <f>25000+65600+590320</f>
        <v>680920</v>
      </c>
      <c r="K78" s="40"/>
    </row>
    <row r="79" spans="1:26" ht="15.75" customHeight="1" x14ac:dyDescent="0.25">
      <c r="A79" s="96" t="s">
        <v>698</v>
      </c>
      <c r="B79" s="41"/>
      <c r="C79" s="43"/>
      <c r="D79" s="43"/>
      <c r="E79" s="45"/>
      <c r="F79" s="43"/>
      <c r="G79" s="43"/>
      <c r="K79" s="40"/>
    </row>
    <row r="80" spans="1:26" ht="15.75" customHeight="1" x14ac:dyDescent="0.25">
      <c r="A80" s="96" t="s">
        <v>699</v>
      </c>
      <c r="B80" s="41"/>
      <c r="C80" s="43"/>
      <c r="D80" s="43"/>
      <c r="E80" s="45"/>
      <c r="F80" s="43"/>
      <c r="G80" s="43"/>
      <c r="K80" s="40"/>
    </row>
    <row r="81" spans="1:11" ht="15.75" customHeight="1" x14ac:dyDescent="0.25">
      <c r="A81" s="96" t="s">
        <v>700</v>
      </c>
      <c r="B81" s="41"/>
      <c r="C81" s="43"/>
      <c r="D81" s="43"/>
      <c r="E81" s="45"/>
      <c r="F81" s="43"/>
      <c r="G81" s="43"/>
      <c r="K81" s="40"/>
    </row>
    <row r="82" spans="1:11" ht="15.75" customHeight="1" x14ac:dyDescent="0.25">
      <c r="A82" s="42" t="s">
        <v>466</v>
      </c>
      <c r="B82" s="41"/>
      <c r="C82" s="54">
        <f t="shared" ref="C82:D82" si="9">SUM(C74:C78)</f>
        <v>613839.6</v>
      </c>
      <c r="D82" s="54">
        <f t="shared" si="9"/>
        <v>601398</v>
      </c>
      <c r="E82" s="54">
        <f t="shared" ref="E82:E83" si="10">F82-D82</f>
        <v>222022</v>
      </c>
      <c r="F82" s="54">
        <f t="shared" ref="F82:G82" si="11">SUM(F74:F78)</f>
        <v>823420</v>
      </c>
      <c r="G82" s="54">
        <f t="shared" si="11"/>
        <v>732920</v>
      </c>
      <c r="K82" s="40"/>
    </row>
    <row r="83" spans="1:11" ht="15.75" customHeight="1" x14ac:dyDescent="0.25">
      <c r="A83" s="17"/>
      <c r="B83" s="41"/>
      <c r="C83" s="55"/>
      <c r="D83" s="55"/>
      <c r="E83" s="45">
        <f t="shared" si="10"/>
        <v>0</v>
      </c>
      <c r="F83" s="55"/>
      <c r="G83" s="55"/>
      <c r="K83" s="40"/>
    </row>
    <row r="84" spans="1:11" ht="15.75" customHeight="1" x14ac:dyDescent="0.25">
      <c r="A84" s="17" t="s">
        <v>467</v>
      </c>
      <c r="B84" s="41"/>
      <c r="C84" s="43" t="e">
        <f>C82+#REF!</f>
        <v>#REF!</v>
      </c>
      <c r="D84" s="43" t="e">
        <f>D82+#REF!</f>
        <v>#REF!</v>
      </c>
      <c r="E84" s="43" t="e">
        <f>E82+#REF!</f>
        <v>#REF!</v>
      </c>
      <c r="F84" s="43" t="e">
        <f>F82+#REF!</f>
        <v>#REF!</v>
      </c>
      <c r="G84" s="43">
        <f>+G82</f>
        <v>732920</v>
      </c>
      <c r="K84" s="40"/>
    </row>
    <row r="85" spans="1:11" ht="15.75" customHeight="1" x14ac:dyDescent="0.25">
      <c r="A85" s="17"/>
      <c r="B85" s="41"/>
      <c r="C85" s="43"/>
      <c r="D85" s="43"/>
      <c r="E85" s="45"/>
      <c r="F85" s="43"/>
      <c r="G85" s="43"/>
      <c r="K85" s="40"/>
    </row>
    <row r="86" spans="1:11" ht="15.75" customHeight="1" x14ac:dyDescent="0.25">
      <c r="A86" s="50" t="s">
        <v>487</v>
      </c>
      <c r="B86" s="51" t="s">
        <v>488</v>
      </c>
      <c r="C86" s="54" t="e">
        <f t="shared" ref="C86:G86" si="12">C84</f>
        <v>#REF!</v>
      </c>
      <c r="D86" s="54" t="e">
        <f t="shared" si="12"/>
        <v>#REF!</v>
      </c>
      <c r="E86" s="54" t="e">
        <f t="shared" si="12"/>
        <v>#REF!</v>
      </c>
      <c r="F86" s="54" t="e">
        <f t="shared" si="12"/>
        <v>#REF!</v>
      </c>
      <c r="G86" s="54">
        <f t="shared" si="12"/>
        <v>732920</v>
      </c>
      <c r="K86" s="40"/>
    </row>
    <row r="87" spans="1:11" ht="15.75" customHeight="1" x14ac:dyDescent="0.25">
      <c r="A87" s="24"/>
      <c r="B87" s="25"/>
      <c r="C87" s="26"/>
      <c r="D87" s="26"/>
      <c r="E87" s="26"/>
      <c r="F87" s="26"/>
      <c r="G87" s="26"/>
      <c r="K87" s="40"/>
    </row>
    <row r="88" spans="1:11" ht="15.75" customHeight="1" x14ac:dyDescent="0.25">
      <c r="A88" s="17"/>
      <c r="B88" s="25"/>
      <c r="C88" s="24"/>
      <c r="D88" s="24"/>
      <c r="E88" s="24"/>
      <c r="F88" s="24"/>
      <c r="K88" s="40"/>
    </row>
    <row r="89" spans="1:11" ht="15.75" customHeight="1" x14ac:dyDescent="0.25">
      <c r="A89" s="17"/>
      <c r="B89" s="25"/>
      <c r="C89" s="24"/>
      <c r="D89" s="24"/>
      <c r="E89" s="24"/>
      <c r="F89" s="24"/>
      <c r="K89" s="40"/>
    </row>
    <row r="90" spans="1:11" ht="15.75" customHeight="1" x14ac:dyDescent="0.25">
      <c r="A90" s="17"/>
      <c r="B90" s="25"/>
      <c r="C90" s="24"/>
      <c r="D90" s="24"/>
      <c r="E90" s="24"/>
      <c r="F90" s="24"/>
      <c r="K90" s="40"/>
    </row>
    <row r="91" spans="1:11" ht="15.75" customHeight="1" x14ac:dyDescent="0.25">
      <c r="A91" s="17"/>
      <c r="B91" s="25"/>
      <c r="C91" s="24"/>
      <c r="D91" s="24"/>
      <c r="E91" s="24"/>
      <c r="F91" s="24"/>
      <c r="K91" s="40"/>
    </row>
    <row r="92" spans="1:11" ht="15.75" customHeight="1" x14ac:dyDescent="0.25">
      <c r="A92" s="17"/>
      <c r="B92" s="25"/>
      <c r="C92" s="24"/>
      <c r="D92" s="24"/>
      <c r="E92" s="24"/>
      <c r="F92" s="24"/>
      <c r="K92" s="40"/>
    </row>
    <row r="93" spans="1:11" ht="15.75" customHeight="1" x14ac:dyDescent="0.25">
      <c r="A93" s="17"/>
      <c r="B93" s="25"/>
      <c r="C93" s="24"/>
      <c r="D93" s="24"/>
      <c r="E93" s="24"/>
      <c r="F93" s="24"/>
      <c r="K93" s="40"/>
    </row>
    <row r="94" spans="1:11" ht="15.75" customHeight="1" x14ac:dyDescent="0.25">
      <c r="A94" s="17"/>
      <c r="B94" s="25"/>
      <c r="C94" s="24"/>
      <c r="D94" s="24"/>
      <c r="E94" s="24"/>
      <c r="F94" s="24"/>
      <c r="K94" s="40"/>
    </row>
    <row r="95" spans="1:11" ht="15.75" customHeight="1" x14ac:dyDescent="0.25">
      <c r="A95" s="17"/>
      <c r="B95" s="25"/>
      <c r="C95" s="24"/>
      <c r="D95" s="24"/>
      <c r="E95" s="24"/>
      <c r="F95" s="24"/>
      <c r="K95" s="40"/>
    </row>
    <row r="96" spans="1:11" ht="15.75" customHeight="1" x14ac:dyDescent="0.25">
      <c r="A96" s="17"/>
      <c r="B96" s="25"/>
      <c r="C96" s="24"/>
      <c r="D96" s="24"/>
      <c r="E96" s="24"/>
      <c r="F96" s="24"/>
      <c r="K96" s="40"/>
    </row>
    <row r="97" spans="1:11" ht="15.75" customHeight="1" x14ac:dyDescent="0.25">
      <c r="A97" s="17"/>
      <c r="B97" s="25"/>
      <c r="C97" s="24"/>
      <c r="D97" s="24"/>
      <c r="E97" s="24"/>
      <c r="F97" s="24"/>
      <c r="K97" s="40"/>
    </row>
    <row r="98" spans="1:11" ht="15.75" customHeight="1" x14ac:dyDescent="0.25">
      <c r="A98" s="17"/>
      <c r="B98" s="25"/>
      <c r="C98" s="24"/>
      <c r="D98" s="24"/>
      <c r="E98" s="24"/>
      <c r="F98" s="24"/>
      <c r="K98" s="40"/>
    </row>
    <row r="99" spans="1:11" ht="15.75" customHeight="1" x14ac:dyDescent="0.25">
      <c r="A99" s="17"/>
      <c r="B99" s="25"/>
      <c r="C99" s="24"/>
      <c r="D99" s="24"/>
      <c r="E99" s="24"/>
      <c r="F99" s="24"/>
      <c r="K99" s="40"/>
    </row>
    <row r="100" spans="1:11" ht="15.75" customHeight="1" x14ac:dyDescent="0.25">
      <c r="A100" s="17"/>
      <c r="B100" s="25"/>
      <c r="C100" s="24"/>
      <c r="D100" s="24"/>
      <c r="E100" s="24"/>
      <c r="F100" s="24"/>
      <c r="K100" s="40"/>
    </row>
    <row r="101" spans="1:11" ht="15.75" customHeight="1" x14ac:dyDescent="0.25">
      <c r="A101" s="17"/>
      <c r="B101" s="25"/>
      <c r="C101" s="24"/>
      <c r="D101" s="24"/>
      <c r="E101" s="24"/>
      <c r="F101" s="24"/>
      <c r="K101" s="40"/>
    </row>
    <row r="102" spans="1:11" ht="15.75" customHeight="1" x14ac:dyDescent="0.25">
      <c r="A102" s="17"/>
      <c r="B102" s="25"/>
      <c r="C102" s="24"/>
      <c r="D102" s="24"/>
      <c r="E102" s="24"/>
      <c r="F102" s="24"/>
      <c r="K102" s="40"/>
    </row>
    <row r="103" spans="1:11" ht="15.75" customHeight="1" x14ac:dyDescent="0.25">
      <c r="A103" s="17"/>
      <c r="B103" s="25"/>
      <c r="C103" s="24"/>
      <c r="D103" s="24"/>
      <c r="E103" s="24"/>
      <c r="F103" s="24"/>
      <c r="K103" s="40"/>
    </row>
    <row r="104" spans="1:11" ht="15.75" customHeight="1" x14ac:dyDescent="0.25">
      <c r="A104" s="17"/>
      <c r="B104" s="25"/>
      <c r="C104" s="24"/>
      <c r="D104" s="24"/>
      <c r="E104" s="24"/>
      <c r="F104" s="24"/>
      <c r="K104" s="40"/>
    </row>
    <row r="105" spans="1:11" ht="15.75" customHeight="1" x14ac:dyDescent="0.25">
      <c r="A105" s="17"/>
      <c r="B105" s="25"/>
      <c r="C105" s="24"/>
      <c r="D105" s="24"/>
      <c r="E105" s="24"/>
      <c r="F105" s="24"/>
      <c r="K105" s="40"/>
    </row>
    <row r="106" spans="1:11" ht="15.75" customHeight="1" x14ac:dyDescent="0.25">
      <c r="A106" s="17"/>
      <c r="B106" s="25"/>
      <c r="C106" s="24"/>
      <c r="D106" s="24"/>
      <c r="E106" s="24"/>
      <c r="F106" s="24"/>
      <c r="K106" s="40"/>
    </row>
    <row r="107" spans="1:11" ht="15.75" customHeight="1" x14ac:dyDescent="0.25">
      <c r="A107" s="17"/>
      <c r="B107" s="25"/>
      <c r="C107" s="24"/>
      <c r="D107" s="24"/>
      <c r="E107" s="24"/>
      <c r="F107" s="24"/>
      <c r="K107" s="40"/>
    </row>
    <row r="108" spans="1:11" ht="15.75" customHeight="1" x14ac:dyDescent="0.25">
      <c r="A108" s="17"/>
      <c r="B108" s="25"/>
      <c r="C108" s="24"/>
      <c r="D108" s="24"/>
      <c r="E108" s="24"/>
      <c r="F108" s="24"/>
      <c r="K108" s="40"/>
    </row>
    <row r="109" spans="1:11" ht="15.75" customHeight="1" x14ac:dyDescent="0.25">
      <c r="A109" s="17"/>
      <c r="B109" s="25"/>
      <c r="C109" s="24"/>
      <c r="D109" s="24"/>
      <c r="E109" s="24"/>
      <c r="F109" s="24"/>
      <c r="K109" s="40"/>
    </row>
    <row r="110" spans="1:11" ht="15.75" customHeight="1" x14ac:dyDescent="0.25">
      <c r="A110" s="17"/>
      <c r="B110" s="25"/>
      <c r="C110" s="24"/>
      <c r="D110" s="24"/>
      <c r="E110" s="24"/>
      <c r="F110" s="24"/>
      <c r="K110" s="40"/>
    </row>
    <row r="111" spans="1:11" ht="15.75" customHeight="1" x14ac:dyDescent="0.25">
      <c r="A111" s="17"/>
      <c r="B111" s="25"/>
      <c r="C111" s="24"/>
      <c r="D111" s="24"/>
      <c r="E111" s="24"/>
      <c r="F111" s="24"/>
      <c r="K111" s="40"/>
    </row>
    <row r="112" spans="1:11" ht="15.75" customHeight="1" x14ac:dyDescent="0.25">
      <c r="A112" s="17"/>
      <c r="B112" s="25"/>
      <c r="C112" s="24"/>
      <c r="D112" s="24"/>
      <c r="E112" s="24"/>
      <c r="F112" s="24"/>
      <c r="K112" s="40"/>
    </row>
    <row r="113" spans="1:11" ht="15.75" customHeight="1" x14ac:dyDescent="0.25">
      <c r="A113" s="17"/>
      <c r="B113" s="25"/>
      <c r="C113" s="24"/>
      <c r="D113" s="24"/>
      <c r="E113" s="24"/>
      <c r="F113" s="24"/>
      <c r="K113" s="40"/>
    </row>
    <row r="114" spans="1:11" ht="15.75" customHeight="1" x14ac:dyDescent="0.25">
      <c r="A114" s="17"/>
      <c r="B114" s="25"/>
      <c r="C114" s="24"/>
      <c r="D114" s="24"/>
      <c r="E114" s="24"/>
      <c r="F114" s="24"/>
      <c r="K114" s="40"/>
    </row>
    <row r="115" spans="1:11" ht="15.75" customHeight="1" x14ac:dyDescent="0.25">
      <c r="A115" s="17"/>
      <c r="B115" s="25"/>
      <c r="C115" s="24"/>
      <c r="D115" s="24"/>
      <c r="E115" s="24"/>
      <c r="F115" s="24"/>
      <c r="K115" s="40"/>
    </row>
    <row r="116" spans="1:11" ht="15.75" customHeight="1" x14ac:dyDescent="0.25">
      <c r="A116" s="17"/>
      <c r="B116" s="25"/>
      <c r="C116" s="24"/>
      <c r="D116" s="24"/>
      <c r="E116" s="24"/>
      <c r="F116" s="24"/>
      <c r="K116" s="40"/>
    </row>
    <row r="117" spans="1:11" ht="15.75" customHeight="1" x14ac:dyDescent="0.25">
      <c r="A117" s="17"/>
      <c r="B117" s="25"/>
      <c r="C117" s="24"/>
      <c r="D117" s="24"/>
      <c r="E117" s="24"/>
      <c r="F117" s="24"/>
      <c r="K117" s="40"/>
    </row>
    <row r="118" spans="1:11" ht="15.75" customHeight="1" x14ac:dyDescent="0.25">
      <c r="A118" s="17"/>
      <c r="B118" s="25"/>
      <c r="C118" s="24"/>
      <c r="D118" s="24"/>
      <c r="E118" s="24"/>
      <c r="F118" s="24"/>
      <c r="K118" s="40"/>
    </row>
    <row r="119" spans="1:11" ht="15.75" customHeight="1" x14ac:dyDescent="0.25">
      <c r="A119" s="17"/>
      <c r="B119" s="25"/>
      <c r="C119" s="24"/>
      <c r="D119" s="24"/>
      <c r="E119" s="24"/>
      <c r="F119" s="24"/>
      <c r="K119" s="40"/>
    </row>
    <row r="120" spans="1:11" ht="15.75" customHeight="1" x14ac:dyDescent="0.25">
      <c r="A120" s="17"/>
      <c r="B120" s="25"/>
      <c r="C120" s="24"/>
      <c r="D120" s="24"/>
      <c r="E120" s="24"/>
      <c r="F120" s="24"/>
      <c r="K120" s="40"/>
    </row>
    <row r="121" spans="1:11" ht="15.75" customHeight="1" x14ac:dyDescent="0.25">
      <c r="A121" s="17"/>
      <c r="B121" s="25"/>
      <c r="C121" s="24"/>
      <c r="D121" s="24"/>
      <c r="E121" s="24"/>
      <c r="F121" s="24"/>
      <c r="K121" s="40"/>
    </row>
    <row r="122" spans="1:11" ht="15.75" customHeight="1" x14ac:dyDescent="0.25">
      <c r="A122" s="17"/>
      <c r="B122" s="25"/>
      <c r="C122" s="24"/>
      <c r="D122" s="24"/>
      <c r="E122" s="24"/>
      <c r="F122" s="24"/>
      <c r="K122" s="40"/>
    </row>
    <row r="123" spans="1:11" ht="15.75" customHeight="1" x14ac:dyDescent="0.25">
      <c r="A123" s="17"/>
      <c r="B123" s="25"/>
      <c r="C123" s="24"/>
      <c r="D123" s="24"/>
      <c r="E123" s="24"/>
      <c r="F123" s="24"/>
      <c r="K123" s="40"/>
    </row>
    <row r="124" spans="1:11" ht="15.75" customHeight="1" x14ac:dyDescent="0.25">
      <c r="A124" s="17"/>
      <c r="B124" s="25"/>
      <c r="C124" s="24"/>
      <c r="D124" s="24"/>
      <c r="E124" s="24"/>
      <c r="F124" s="24"/>
      <c r="K124" s="40"/>
    </row>
    <row r="125" spans="1:11" ht="15.75" customHeight="1" x14ac:dyDescent="0.25">
      <c r="A125" s="17"/>
      <c r="B125" s="25"/>
      <c r="C125" s="24"/>
      <c r="D125" s="24"/>
      <c r="E125" s="24"/>
      <c r="F125" s="24"/>
      <c r="K125" s="40"/>
    </row>
    <row r="126" spans="1:11" ht="15.75" customHeight="1" x14ac:dyDescent="0.25">
      <c r="A126" s="17"/>
      <c r="B126" s="25"/>
      <c r="C126" s="24"/>
      <c r="D126" s="24"/>
      <c r="E126" s="24"/>
      <c r="F126" s="24"/>
      <c r="K126" s="40"/>
    </row>
    <row r="127" spans="1:11" ht="15.75" customHeight="1" x14ac:dyDescent="0.25">
      <c r="A127" s="17"/>
      <c r="B127" s="25"/>
      <c r="C127" s="24"/>
      <c r="D127" s="24"/>
      <c r="E127" s="24"/>
      <c r="F127" s="24"/>
      <c r="K127" s="40"/>
    </row>
    <row r="128" spans="1:11" ht="15.75" customHeight="1" x14ac:dyDescent="0.25">
      <c r="A128" s="17"/>
      <c r="B128" s="25"/>
      <c r="C128" s="24"/>
      <c r="D128" s="24"/>
      <c r="E128" s="24"/>
      <c r="F128" s="24"/>
      <c r="K128" s="40"/>
    </row>
    <row r="129" spans="1:11" ht="15.75" customHeight="1" x14ac:dyDescent="0.25">
      <c r="A129" s="17"/>
      <c r="B129" s="25"/>
      <c r="C129" s="24"/>
      <c r="D129" s="24"/>
      <c r="E129" s="24"/>
      <c r="F129" s="24"/>
      <c r="K129" s="40"/>
    </row>
    <row r="130" spans="1:11" ht="15.75" customHeight="1" x14ac:dyDescent="0.25">
      <c r="A130" s="17"/>
      <c r="B130" s="25"/>
      <c r="C130" s="24"/>
      <c r="D130" s="24"/>
      <c r="E130" s="24"/>
      <c r="F130" s="24"/>
      <c r="K130" s="40"/>
    </row>
    <row r="131" spans="1:11" ht="15.75" customHeight="1" x14ac:dyDescent="0.25">
      <c r="A131" s="17"/>
      <c r="B131" s="25"/>
      <c r="C131" s="24"/>
      <c r="D131" s="24"/>
      <c r="E131" s="24"/>
      <c r="F131" s="24"/>
      <c r="K131" s="40"/>
    </row>
    <row r="132" spans="1:11" ht="15.75" customHeight="1" x14ac:dyDescent="0.25">
      <c r="A132" s="17"/>
      <c r="B132" s="25"/>
      <c r="C132" s="24"/>
      <c r="D132" s="24"/>
      <c r="E132" s="24"/>
      <c r="F132" s="24"/>
      <c r="K132" s="40"/>
    </row>
    <row r="133" spans="1:11" ht="15.75" customHeight="1" x14ac:dyDescent="0.25">
      <c r="A133" s="17"/>
      <c r="B133" s="25"/>
      <c r="C133" s="24"/>
      <c r="D133" s="24"/>
      <c r="E133" s="24"/>
      <c r="F133" s="24"/>
      <c r="K133" s="40"/>
    </row>
    <row r="134" spans="1:11" ht="15.75" customHeight="1" x14ac:dyDescent="0.25">
      <c r="A134" s="17"/>
      <c r="B134" s="25"/>
      <c r="C134" s="24"/>
      <c r="D134" s="24"/>
      <c r="E134" s="24"/>
      <c r="F134" s="24"/>
      <c r="K134" s="40"/>
    </row>
    <row r="135" spans="1:11" ht="15.75" customHeight="1" x14ac:dyDescent="0.25">
      <c r="A135" s="17"/>
      <c r="B135" s="25"/>
      <c r="C135" s="24"/>
      <c r="D135" s="24"/>
      <c r="E135" s="24"/>
      <c r="F135" s="24"/>
      <c r="K135" s="40"/>
    </row>
    <row r="136" spans="1:11" ht="15.75" customHeight="1" x14ac:dyDescent="0.25">
      <c r="A136" s="17"/>
      <c r="B136" s="25"/>
      <c r="C136" s="24"/>
      <c r="D136" s="24"/>
      <c r="E136" s="24"/>
      <c r="F136" s="24"/>
      <c r="K136" s="40"/>
    </row>
    <row r="137" spans="1:11" ht="15.75" customHeight="1" x14ac:dyDescent="0.25">
      <c r="A137" s="17"/>
      <c r="B137" s="25"/>
      <c r="C137" s="24"/>
      <c r="D137" s="24"/>
      <c r="E137" s="24"/>
      <c r="F137" s="24"/>
      <c r="K137" s="40"/>
    </row>
    <row r="138" spans="1:11" ht="15.75" customHeight="1" x14ac:dyDescent="0.25">
      <c r="A138" s="17"/>
      <c r="B138" s="25"/>
      <c r="C138" s="24"/>
      <c r="D138" s="24"/>
      <c r="E138" s="24"/>
      <c r="F138" s="24"/>
      <c r="K138" s="40"/>
    </row>
    <row r="139" spans="1:11" ht="15.75" customHeight="1" x14ac:dyDescent="0.25">
      <c r="A139" s="17"/>
      <c r="B139" s="25"/>
      <c r="C139" s="24"/>
      <c r="D139" s="24"/>
      <c r="E139" s="24"/>
      <c r="F139" s="24"/>
      <c r="K139" s="40"/>
    </row>
    <row r="140" spans="1:11" ht="15.75" customHeight="1" x14ac:dyDescent="0.25">
      <c r="A140" s="17"/>
      <c r="B140" s="25"/>
      <c r="C140" s="24"/>
      <c r="D140" s="24"/>
      <c r="E140" s="24"/>
      <c r="F140" s="24"/>
      <c r="K140" s="40"/>
    </row>
    <row r="141" spans="1:11" ht="15.75" customHeight="1" x14ac:dyDescent="0.25">
      <c r="A141" s="17"/>
      <c r="B141" s="25"/>
      <c r="C141" s="24"/>
      <c r="D141" s="24"/>
      <c r="E141" s="24"/>
      <c r="F141" s="24"/>
      <c r="K141" s="40"/>
    </row>
    <row r="142" spans="1:11" ht="15.75" customHeight="1" x14ac:dyDescent="0.25">
      <c r="A142" s="17"/>
      <c r="B142" s="25"/>
      <c r="C142" s="24"/>
      <c r="D142" s="24"/>
      <c r="E142" s="24"/>
      <c r="F142" s="24"/>
      <c r="K142" s="40"/>
    </row>
    <row r="143" spans="1:11" ht="15.75" customHeight="1" x14ac:dyDescent="0.25">
      <c r="A143" s="17"/>
      <c r="B143" s="25"/>
      <c r="C143" s="24"/>
      <c r="D143" s="24"/>
      <c r="E143" s="24"/>
      <c r="F143" s="24"/>
      <c r="K143" s="40"/>
    </row>
    <row r="144" spans="1:11" ht="15.75" customHeight="1" x14ac:dyDescent="0.25">
      <c r="A144" s="17"/>
      <c r="B144" s="25"/>
      <c r="C144" s="24"/>
      <c r="D144" s="24"/>
      <c r="E144" s="24"/>
      <c r="F144" s="24"/>
      <c r="K144" s="40"/>
    </row>
    <row r="145" spans="1:11" ht="15.75" customHeight="1" x14ac:dyDescent="0.25">
      <c r="A145" s="17"/>
      <c r="B145" s="25"/>
      <c r="C145" s="24"/>
      <c r="D145" s="24"/>
      <c r="E145" s="24"/>
      <c r="F145" s="24"/>
      <c r="K145" s="40"/>
    </row>
    <row r="146" spans="1:11" ht="15.75" customHeight="1" x14ac:dyDescent="0.25">
      <c r="A146" s="17"/>
      <c r="B146" s="25"/>
      <c r="C146" s="24"/>
      <c r="D146" s="24"/>
      <c r="E146" s="24"/>
      <c r="F146" s="24"/>
      <c r="K146" s="40"/>
    </row>
    <row r="147" spans="1:11" ht="15.75" customHeight="1" x14ac:dyDescent="0.25">
      <c r="A147" s="17"/>
      <c r="B147" s="25"/>
      <c r="C147" s="24"/>
      <c r="D147" s="24"/>
      <c r="E147" s="24"/>
      <c r="F147" s="24"/>
      <c r="K147" s="40"/>
    </row>
    <row r="148" spans="1:11" ht="15.75" customHeight="1" x14ac:dyDescent="0.25">
      <c r="A148" s="17"/>
      <c r="B148" s="25"/>
      <c r="C148" s="24"/>
      <c r="D148" s="24"/>
      <c r="E148" s="24"/>
      <c r="F148" s="24"/>
      <c r="K148" s="40"/>
    </row>
    <row r="149" spans="1:11" ht="15.75" customHeight="1" x14ac:dyDescent="0.25">
      <c r="A149" s="17"/>
      <c r="B149" s="25"/>
      <c r="C149" s="24"/>
      <c r="D149" s="24"/>
      <c r="E149" s="24"/>
      <c r="F149" s="24"/>
      <c r="K149" s="40"/>
    </row>
    <row r="150" spans="1:11" ht="15.75" customHeight="1" x14ac:dyDescent="0.25">
      <c r="A150" s="17"/>
      <c r="B150" s="25"/>
      <c r="C150" s="24"/>
      <c r="D150" s="24"/>
      <c r="E150" s="24"/>
      <c r="F150" s="24"/>
      <c r="K150" s="40"/>
    </row>
    <row r="151" spans="1:11" ht="15.75" customHeight="1" x14ac:dyDescent="0.25">
      <c r="A151" s="17"/>
      <c r="B151" s="25"/>
      <c r="C151" s="24"/>
      <c r="D151" s="24"/>
      <c r="E151" s="24"/>
      <c r="F151" s="24"/>
      <c r="K151" s="40"/>
    </row>
    <row r="152" spans="1:11" ht="15.75" customHeight="1" x14ac:dyDescent="0.25">
      <c r="A152" s="17"/>
      <c r="B152" s="25"/>
      <c r="C152" s="24"/>
      <c r="D152" s="24"/>
      <c r="E152" s="24"/>
      <c r="F152" s="24"/>
      <c r="K152" s="40"/>
    </row>
    <row r="153" spans="1:11" ht="15.75" customHeight="1" x14ac:dyDescent="0.25">
      <c r="A153" s="17"/>
      <c r="B153" s="25"/>
      <c r="C153" s="24"/>
      <c r="D153" s="24"/>
      <c r="E153" s="24"/>
      <c r="F153" s="24"/>
      <c r="K153" s="40"/>
    </row>
    <row r="154" spans="1:11" ht="15.75" customHeight="1" x14ac:dyDescent="0.25">
      <c r="A154" s="17"/>
      <c r="B154" s="25"/>
      <c r="C154" s="24"/>
      <c r="D154" s="24"/>
      <c r="E154" s="24"/>
      <c r="F154" s="24"/>
      <c r="K154" s="40"/>
    </row>
    <row r="155" spans="1:11" ht="15.75" customHeight="1" x14ac:dyDescent="0.25">
      <c r="A155" s="17"/>
      <c r="B155" s="25"/>
      <c r="C155" s="24"/>
      <c r="D155" s="24"/>
      <c r="E155" s="24"/>
      <c r="F155" s="24"/>
      <c r="K155" s="40"/>
    </row>
    <row r="156" spans="1:11" ht="15.75" customHeight="1" x14ac:dyDescent="0.25">
      <c r="A156" s="17"/>
      <c r="B156" s="25"/>
      <c r="C156" s="24"/>
      <c r="D156" s="24"/>
      <c r="E156" s="24"/>
      <c r="F156" s="24"/>
      <c r="K156" s="40"/>
    </row>
    <row r="157" spans="1:11" ht="15.75" customHeight="1" x14ac:dyDescent="0.25">
      <c r="A157" s="17"/>
      <c r="B157" s="25"/>
      <c r="C157" s="24"/>
      <c r="D157" s="24"/>
      <c r="E157" s="24"/>
      <c r="F157" s="24"/>
      <c r="K157" s="40"/>
    </row>
    <row r="158" spans="1:11" ht="15.75" customHeight="1" x14ac:dyDescent="0.25">
      <c r="A158" s="17"/>
      <c r="B158" s="25"/>
      <c r="C158" s="24"/>
      <c r="D158" s="24"/>
      <c r="E158" s="24"/>
      <c r="F158" s="24"/>
      <c r="K158" s="40"/>
    </row>
    <row r="159" spans="1:11" ht="15.75" customHeight="1" x14ac:dyDescent="0.25">
      <c r="A159" s="17"/>
      <c r="B159" s="25"/>
      <c r="C159" s="24"/>
      <c r="D159" s="24"/>
      <c r="E159" s="24"/>
      <c r="F159" s="24"/>
      <c r="K159" s="40"/>
    </row>
    <row r="160" spans="1:11" ht="15.75" customHeight="1" x14ac:dyDescent="0.25">
      <c r="A160" s="17"/>
      <c r="B160" s="25"/>
      <c r="C160" s="24"/>
      <c r="D160" s="24"/>
      <c r="E160" s="24"/>
      <c r="F160" s="24"/>
      <c r="K160" s="40"/>
    </row>
    <row r="161" spans="1:11" ht="15.75" customHeight="1" x14ac:dyDescent="0.25">
      <c r="A161" s="17"/>
      <c r="B161" s="25"/>
      <c r="C161" s="24"/>
      <c r="D161" s="24"/>
      <c r="E161" s="24"/>
      <c r="F161" s="24"/>
      <c r="K161" s="40"/>
    </row>
    <row r="162" spans="1:11" ht="15.75" customHeight="1" x14ac:dyDescent="0.25">
      <c r="A162" s="17"/>
      <c r="B162" s="25"/>
      <c r="C162" s="24"/>
      <c r="D162" s="24"/>
      <c r="E162" s="24"/>
      <c r="F162" s="24"/>
      <c r="K162" s="40"/>
    </row>
    <row r="163" spans="1:11" ht="15.75" customHeight="1" x14ac:dyDescent="0.25">
      <c r="A163" s="17"/>
      <c r="B163" s="25"/>
      <c r="C163" s="24"/>
      <c r="D163" s="24"/>
      <c r="E163" s="24"/>
      <c r="F163" s="24"/>
      <c r="K163" s="40"/>
    </row>
    <row r="164" spans="1:11" ht="15.75" customHeight="1" x14ac:dyDescent="0.25">
      <c r="A164" s="17"/>
      <c r="B164" s="25"/>
      <c r="C164" s="24"/>
      <c r="D164" s="24"/>
      <c r="E164" s="24"/>
      <c r="F164" s="24"/>
      <c r="K164" s="40"/>
    </row>
    <row r="165" spans="1:11" ht="15.75" customHeight="1" x14ac:dyDescent="0.25">
      <c r="A165" s="17"/>
      <c r="B165" s="25"/>
      <c r="C165" s="24"/>
      <c r="D165" s="24"/>
      <c r="E165" s="24"/>
      <c r="F165" s="24"/>
      <c r="K165" s="40"/>
    </row>
    <row r="166" spans="1:11" ht="15.75" customHeight="1" x14ac:dyDescent="0.25">
      <c r="A166" s="17"/>
      <c r="B166" s="25"/>
      <c r="C166" s="24"/>
      <c r="D166" s="24"/>
      <c r="E166" s="24"/>
      <c r="F166" s="24"/>
      <c r="K166" s="40"/>
    </row>
    <row r="167" spans="1:11" ht="15.75" customHeight="1" x14ac:dyDescent="0.25">
      <c r="A167" s="17"/>
      <c r="B167" s="25"/>
      <c r="C167" s="24"/>
      <c r="D167" s="24"/>
      <c r="E167" s="24"/>
      <c r="F167" s="24"/>
      <c r="K167" s="40"/>
    </row>
    <row r="168" spans="1:11" ht="15.75" customHeight="1" x14ac:dyDescent="0.25">
      <c r="A168" s="17"/>
      <c r="B168" s="25"/>
      <c r="C168" s="24"/>
      <c r="D168" s="24"/>
      <c r="E168" s="24"/>
      <c r="F168" s="24"/>
      <c r="K168" s="40"/>
    </row>
    <row r="169" spans="1:11" ht="15.75" customHeight="1" x14ac:dyDescent="0.25">
      <c r="A169" s="17"/>
      <c r="B169" s="25"/>
      <c r="C169" s="24"/>
      <c r="D169" s="24"/>
      <c r="E169" s="24"/>
      <c r="F169" s="24"/>
      <c r="K169" s="40"/>
    </row>
    <row r="170" spans="1:11" ht="15.75" customHeight="1" x14ac:dyDescent="0.25">
      <c r="A170" s="17"/>
      <c r="B170" s="25"/>
      <c r="C170" s="24"/>
      <c r="D170" s="24"/>
      <c r="E170" s="24"/>
      <c r="F170" s="24"/>
      <c r="K170" s="40"/>
    </row>
    <row r="171" spans="1:11" ht="15.75" customHeight="1" x14ac:dyDescent="0.25">
      <c r="A171" s="17"/>
      <c r="B171" s="25"/>
      <c r="C171" s="24"/>
      <c r="D171" s="24"/>
      <c r="E171" s="24"/>
      <c r="F171" s="24"/>
      <c r="K171" s="40"/>
    </row>
    <row r="172" spans="1:11" ht="15.75" customHeight="1" x14ac:dyDescent="0.25">
      <c r="A172" s="17"/>
      <c r="B172" s="25"/>
      <c r="C172" s="24"/>
      <c r="D172" s="24"/>
      <c r="E172" s="24"/>
      <c r="F172" s="24"/>
      <c r="K172" s="40"/>
    </row>
    <row r="173" spans="1:11" ht="15.75" customHeight="1" x14ac:dyDescent="0.25">
      <c r="A173" s="17"/>
      <c r="B173" s="25"/>
      <c r="C173" s="24"/>
      <c r="D173" s="24"/>
      <c r="E173" s="24"/>
      <c r="F173" s="24"/>
      <c r="K173" s="40"/>
    </row>
    <row r="174" spans="1:11" ht="15.75" customHeight="1" x14ac:dyDescent="0.25">
      <c r="A174" s="17"/>
      <c r="B174" s="25"/>
      <c r="C174" s="24"/>
      <c r="D174" s="24"/>
      <c r="E174" s="24"/>
      <c r="F174" s="24"/>
      <c r="K174" s="40"/>
    </row>
    <row r="175" spans="1:11" ht="15.75" customHeight="1" x14ac:dyDescent="0.25">
      <c r="A175" s="17"/>
      <c r="B175" s="25"/>
      <c r="C175" s="24"/>
      <c r="D175" s="24"/>
      <c r="E175" s="24"/>
      <c r="F175" s="24"/>
      <c r="K175" s="40"/>
    </row>
    <row r="176" spans="1:11" ht="15.75" customHeight="1" x14ac:dyDescent="0.25">
      <c r="A176" s="17"/>
      <c r="B176" s="25"/>
      <c r="C176" s="24"/>
      <c r="D176" s="24"/>
      <c r="E176" s="24"/>
      <c r="F176" s="24"/>
      <c r="K176" s="40"/>
    </row>
    <row r="177" spans="1:11" ht="15.75" customHeight="1" x14ac:dyDescent="0.25">
      <c r="A177" s="17"/>
      <c r="B177" s="25"/>
      <c r="C177" s="24"/>
      <c r="D177" s="24"/>
      <c r="E177" s="24"/>
      <c r="F177" s="24"/>
      <c r="K177" s="40"/>
    </row>
    <row r="178" spans="1:11" ht="15.75" customHeight="1" x14ac:dyDescent="0.25">
      <c r="A178" s="17"/>
      <c r="B178" s="25"/>
      <c r="C178" s="24"/>
      <c r="D178" s="24"/>
      <c r="E178" s="24"/>
      <c r="F178" s="24"/>
      <c r="K178" s="40"/>
    </row>
    <row r="179" spans="1:11" ht="15.75" customHeight="1" x14ac:dyDescent="0.25">
      <c r="A179" s="17"/>
      <c r="B179" s="25"/>
      <c r="C179" s="24"/>
      <c r="D179" s="24"/>
      <c r="E179" s="24"/>
      <c r="F179" s="24"/>
      <c r="K179" s="40"/>
    </row>
    <row r="180" spans="1:11" ht="15.75" customHeight="1" x14ac:dyDescent="0.25">
      <c r="A180" s="17"/>
      <c r="B180" s="25"/>
      <c r="C180" s="24"/>
      <c r="D180" s="24"/>
      <c r="E180" s="24"/>
      <c r="F180" s="24"/>
      <c r="K180" s="40"/>
    </row>
    <row r="181" spans="1:11" ht="15.75" customHeight="1" x14ac:dyDescent="0.25">
      <c r="A181" s="17"/>
      <c r="B181" s="25"/>
      <c r="C181" s="24"/>
      <c r="D181" s="24"/>
      <c r="E181" s="24"/>
      <c r="F181" s="24"/>
      <c r="K181" s="40"/>
    </row>
    <row r="182" spans="1:11" ht="15.75" customHeight="1" x14ac:dyDescent="0.25">
      <c r="A182" s="17"/>
      <c r="B182" s="25"/>
      <c r="C182" s="24"/>
      <c r="D182" s="24"/>
      <c r="E182" s="24"/>
      <c r="F182" s="24"/>
      <c r="K182" s="40"/>
    </row>
    <row r="183" spans="1:11" ht="15.75" customHeight="1" x14ac:dyDescent="0.25">
      <c r="A183" s="17"/>
      <c r="B183" s="25"/>
      <c r="C183" s="24"/>
      <c r="D183" s="24"/>
      <c r="E183" s="24"/>
      <c r="F183" s="24"/>
      <c r="K183" s="40"/>
    </row>
    <row r="184" spans="1:11" ht="15.75" customHeight="1" x14ac:dyDescent="0.25">
      <c r="A184" s="17"/>
      <c r="B184" s="25"/>
      <c r="C184" s="24"/>
      <c r="D184" s="24"/>
      <c r="E184" s="24"/>
      <c r="F184" s="24"/>
      <c r="K184" s="40"/>
    </row>
    <row r="185" spans="1:11" ht="15.75" customHeight="1" x14ac:dyDescent="0.25">
      <c r="A185" s="17"/>
      <c r="B185" s="25"/>
      <c r="C185" s="24"/>
      <c r="D185" s="24"/>
      <c r="E185" s="24"/>
      <c r="F185" s="24"/>
      <c r="K185" s="40"/>
    </row>
    <row r="186" spans="1:11" ht="15.75" customHeight="1" x14ac:dyDescent="0.25">
      <c r="A186" s="17"/>
      <c r="B186" s="25"/>
      <c r="C186" s="24"/>
      <c r="D186" s="24"/>
      <c r="E186" s="24"/>
      <c r="F186" s="24"/>
      <c r="K186" s="40"/>
    </row>
    <row r="187" spans="1:11" ht="15.75" customHeight="1" x14ac:dyDescent="0.25">
      <c r="A187" s="17"/>
      <c r="B187" s="25"/>
      <c r="C187" s="24"/>
      <c r="D187" s="24"/>
      <c r="E187" s="24"/>
      <c r="F187" s="24"/>
      <c r="K187" s="40"/>
    </row>
    <row r="188" spans="1:11" ht="15.75" customHeight="1" x14ac:dyDescent="0.25">
      <c r="A188" s="17"/>
      <c r="B188" s="25"/>
      <c r="C188" s="24"/>
      <c r="D188" s="24"/>
      <c r="E188" s="24"/>
      <c r="F188" s="24"/>
      <c r="K188" s="40"/>
    </row>
    <row r="189" spans="1:11" ht="15.75" customHeight="1" x14ac:dyDescent="0.25">
      <c r="A189" s="17"/>
      <c r="B189" s="25"/>
      <c r="C189" s="24"/>
      <c r="D189" s="24"/>
      <c r="E189" s="24"/>
      <c r="F189" s="24"/>
      <c r="K189" s="40"/>
    </row>
    <row r="190" spans="1:11" ht="15.75" customHeight="1" x14ac:dyDescent="0.25">
      <c r="A190" s="17"/>
      <c r="B190" s="25"/>
      <c r="C190" s="24"/>
      <c r="D190" s="24"/>
      <c r="E190" s="24"/>
      <c r="F190" s="24"/>
      <c r="K190" s="40"/>
    </row>
    <row r="191" spans="1:11" ht="15.75" customHeight="1" x14ac:dyDescent="0.25">
      <c r="A191" s="17"/>
      <c r="B191" s="25"/>
      <c r="C191" s="24"/>
      <c r="D191" s="24"/>
      <c r="E191" s="24"/>
      <c r="F191" s="24"/>
      <c r="K191" s="40"/>
    </row>
    <row r="192" spans="1:11" ht="15.75" customHeight="1" x14ac:dyDescent="0.25">
      <c r="A192" s="17"/>
      <c r="B192" s="25"/>
      <c r="C192" s="24"/>
      <c r="D192" s="24"/>
      <c r="E192" s="24"/>
      <c r="F192" s="24"/>
      <c r="K192" s="40"/>
    </row>
    <row r="193" spans="1:11" ht="15.75" customHeight="1" x14ac:dyDescent="0.25">
      <c r="A193" s="17"/>
      <c r="B193" s="25"/>
      <c r="C193" s="24"/>
      <c r="D193" s="24"/>
      <c r="E193" s="24"/>
      <c r="F193" s="24"/>
      <c r="K193" s="40"/>
    </row>
    <row r="194" spans="1:11" ht="15.75" customHeight="1" x14ac:dyDescent="0.25">
      <c r="A194" s="17"/>
      <c r="B194" s="25"/>
      <c r="C194" s="24"/>
      <c r="D194" s="24"/>
      <c r="E194" s="24"/>
      <c r="F194" s="24"/>
      <c r="K194" s="40"/>
    </row>
    <row r="195" spans="1:11" ht="15.75" customHeight="1" x14ac:dyDescent="0.25">
      <c r="A195" s="17"/>
      <c r="B195" s="25"/>
      <c r="C195" s="24"/>
      <c r="D195" s="24"/>
      <c r="E195" s="24"/>
      <c r="F195" s="24"/>
      <c r="K195" s="40"/>
    </row>
    <row r="196" spans="1:11" ht="15.75" customHeight="1" x14ac:dyDescent="0.25">
      <c r="A196" s="17"/>
      <c r="B196" s="25"/>
      <c r="C196" s="24"/>
      <c r="D196" s="24"/>
      <c r="E196" s="24"/>
      <c r="F196" s="24"/>
      <c r="K196" s="40"/>
    </row>
    <row r="197" spans="1:11" ht="15.75" customHeight="1" x14ac:dyDescent="0.25">
      <c r="A197" s="17"/>
      <c r="B197" s="25"/>
      <c r="C197" s="24"/>
      <c r="D197" s="24"/>
      <c r="E197" s="24"/>
      <c r="F197" s="24"/>
      <c r="K197" s="40"/>
    </row>
    <row r="198" spans="1:11" ht="15.75" customHeight="1" x14ac:dyDescent="0.25">
      <c r="A198" s="17"/>
      <c r="B198" s="25"/>
      <c r="C198" s="24"/>
      <c r="D198" s="24"/>
      <c r="E198" s="24"/>
      <c r="F198" s="24"/>
      <c r="K198" s="40"/>
    </row>
    <row r="199" spans="1:11" ht="15.75" customHeight="1" x14ac:dyDescent="0.25">
      <c r="A199" s="17"/>
      <c r="B199" s="25"/>
      <c r="C199" s="24"/>
      <c r="D199" s="24"/>
      <c r="E199" s="24"/>
      <c r="F199" s="24"/>
      <c r="K199" s="40"/>
    </row>
    <row r="200" spans="1:11" ht="15.75" customHeight="1" x14ac:dyDescent="0.25">
      <c r="A200" s="17"/>
      <c r="B200" s="25"/>
      <c r="C200" s="24"/>
      <c r="D200" s="24"/>
      <c r="E200" s="24"/>
      <c r="F200" s="24"/>
      <c r="K200" s="40"/>
    </row>
    <row r="201" spans="1:11" ht="15.75" customHeight="1" x14ac:dyDescent="0.25">
      <c r="A201" s="17"/>
      <c r="B201" s="25"/>
      <c r="C201" s="24"/>
      <c r="D201" s="24"/>
      <c r="E201" s="24"/>
      <c r="F201" s="24"/>
      <c r="K201" s="40"/>
    </row>
    <row r="202" spans="1:11" ht="15.75" customHeight="1" x14ac:dyDescent="0.25">
      <c r="A202" s="17"/>
      <c r="B202" s="25"/>
      <c r="C202" s="24"/>
      <c r="D202" s="24"/>
      <c r="E202" s="24"/>
      <c r="F202" s="24"/>
      <c r="K202" s="40"/>
    </row>
    <row r="203" spans="1:11" ht="15.75" customHeight="1" x14ac:dyDescent="0.25">
      <c r="A203" s="17"/>
      <c r="B203" s="25"/>
      <c r="C203" s="24"/>
      <c r="D203" s="24"/>
      <c r="E203" s="24"/>
      <c r="F203" s="24"/>
      <c r="K203" s="40"/>
    </row>
    <row r="204" spans="1:11" ht="15.75" customHeight="1" x14ac:dyDescent="0.25">
      <c r="A204" s="17"/>
      <c r="B204" s="25"/>
      <c r="C204" s="24"/>
      <c r="D204" s="24"/>
      <c r="E204" s="24"/>
      <c r="F204" s="24"/>
      <c r="K204" s="40"/>
    </row>
    <row r="205" spans="1:11" ht="15.75" customHeight="1" x14ac:dyDescent="0.25">
      <c r="A205" s="17"/>
      <c r="B205" s="25"/>
      <c r="C205" s="24"/>
      <c r="D205" s="24"/>
      <c r="E205" s="24"/>
      <c r="F205" s="24"/>
      <c r="K205" s="40"/>
    </row>
    <row r="206" spans="1:11" ht="15.75" customHeight="1" x14ac:dyDescent="0.25">
      <c r="A206" s="17"/>
      <c r="B206" s="25"/>
      <c r="C206" s="24"/>
      <c r="D206" s="24"/>
      <c r="E206" s="24"/>
      <c r="F206" s="24"/>
      <c r="K206" s="40"/>
    </row>
    <row r="207" spans="1:11" ht="15.75" customHeight="1" x14ac:dyDescent="0.25">
      <c r="A207" s="17"/>
      <c r="B207" s="25"/>
      <c r="C207" s="24"/>
      <c r="D207" s="24"/>
      <c r="E207" s="24"/>
      <c r="F207" s="24"/>
      <c r="K207" s="40"/>
    </row>
    <row r="208" spans="1:11" ht="15.75" customHeight="1" x14ac:dyDescent="0.25">
      <c r="A208" s="17"/>
      <c r="B208" s="25"/>
      <c r="C208" s="24"/>
      <c r="D208" s="24"/>
      <c r="E208" s="24"/>
      <c r="F208" s="24"/>
      <c r="K208" s="40"/>
    </row>
    <row r="209" spans="1:11" ht="15.75" customHeight="1" x14ac:dyDescent="0.25">
      <c r="A209" s="17"/>
      <c r="B209" s="25"/>
      <c r="C209" s="24"/>
      <c r="D209" s="24"/>
      <c r="E209" s="24"/>
      <c r="F209" s="24"/>
      <c r="K209" s="40"/>
    </row>
    <row r="210" spans="1:11" ht="15.75" customHeight="1" x14ac:dyDescent="0.25">
      <c r="A210" s="17"/>
      <c r="B210" s="25"/>
      <c r="C210" s="24"/>
      <c r="D210" s="24"/>
      <c r="E210" s="24"/>
      <c r="F210" s="24"/>
      <c r="K210" s="40"/>
    </row>
    <row r="211" spans="1:11" ht="15.75" customHeight="1" x14ac:dyDescent="0.25">
      <c r="A211" s="17"/>
      <c r="B211" s="25"/>
      <c r="C211" s="24"/>
      <c r="D211" s="24"/>
      <c r="E211" s="24"/>
      <c r="F211" s="24"/>
      <c r="K211" s="40"/>
    </row>
    <row r="212" spans="1:11" ht="15.75" customHeight="1" x14ac:dyDescent="0.25">
      <c r="A212" s="17"/>
      <c r="B212" s="25"/>
      <c r="C212" s="24"/>
      <c r="D212" s="24"/>
      <c r="E212" s="24"/>
      <c r="F212" s="24"/>
      <c r="K212" s="40"/>
    </row>
    <row r="213" spans="1:11" ht="15.75" customHeight="1" x14ac:dyDescent="0.25">
      <c r="A213" s="17"/>
      <c r="B213" s="25"/>
      <c r="C213" s="24"/>
      <c r="D213" s="24"/>
      <c r="E213" s="24"/>
      <c r="F213" s="24"/>
      <c r="K213" s="40"/>
    </row>
    <row r="214" spans="1:11" ht="15.75" customHeight="1" x14ac:dyDescent="0.25">
      <c r="A214" s="17"/>
      <c r="B214" s="25"/>
      <c r="C214" s="24"/>
      <c r="D214" s="24"/>
      <c r="E214" s="24"/>
      <c r="F214" s="24"/>
      <c r="K214" s="40"/>
    </row>
    <row r="215" spans="1:11" ht="15.75" customHeight="1" x14ac:dyDescent="0.25">
      <c r="A215" s="17"/>
      <c r="B215" s="25"/>
      <c r="C215" s="24"/>
      <c r="D215" s="24"/>
      <c r="E215" s="24"/>
      <c r="F215" s="24"/>
      <c r="K215" s="40"/>
    </row>
    <row r="216" spans="1:11" ht="15.75" customHeight="1" x14ac:dyDescent="0.25">
      <c r="A216" s="17"/>
      <c r="B216" s="25"/>
      <c r="C216" s="24"/>
      <c r="D216" s="24"/>
      <c r="E216" s="24"/>
      <c r="F216" s="24"/>
      <c r="K216" s="40"/>
    </row>
    <row r="217" spans="1:11" ht="15.75" customHeight="1" x14ac:dyDescent="0.25">
      <c r="A217" s="17"/>
      <c r="B217" s="25"/>
      <c r="C217" s="24"/>
      <c r="D217" s="24"/>
      <c r="E217" s="24"/>
      <c r="F217" s="24"/>
      <c r="K217" s="40"/>
    </row>
    <row r="218" spans="1:11" ht="15.75" customHeight="1" x14ac:dyDescent="0.25">
      <c r="A218" s="17"/>
      <c r="B218" s="25"/>
      <c r="C218" s="24"/>
      <c r="D218" s="24"/>
      <c r="E218" s="24"/>
      <c r="F218" s="24"/>
      <c r="K218" s="40"/>
    </row>
    <row r="219" spans="1:11" ht="15.75" customHeight="1" x14ac:dyDescent="0.25">
      <c r="A219" s="17"/>
      <c r="B219" s="25"/>
      <c r="C219" s="24"/>
      <c r="D219" s="24"/>
      <c r="E219" s="24"/>
      <c r="F219" s="24"/>
      <c r="K219" s="40"/>
    </row>
    <row r="220" spans="1:11" ht="15.75" customHeight="1" x14ac:dyDescent="0.25">
      <c r="A220" s="17"/>
      <c r="B220" s="25"/>
      <c r="C220" s="24"/>
      <c r="D220" s="24"/>
      <c r="E220" s="24"/>
      <c r="F220" s="24"/>
      <c r="K220" s="40"/>
    </row>
    <row r="221" spans="1:11" ht="15.75" customHeight="1" x14ac:dyDescent="0.25">
      <c r="A221" s="17"/>
      <c r="B221" s="25"/>
      <c r="C221" s="24"/>
      <c r="D221" s="24"/>
      <c r="E221" s="24"/>
      <c r="F221" s="24"/>
      <c r="K221" s="40"/>
    </row>
    <row r="222" spans="1:11" ht="15.75" customHeight="1" x14ac:dyDescent="0.25">
      <c r="A222" s="17"/>
      <c r="B222" s="25"/>
      <c r="C222" s="24"/>
      <c r="D222" s="24"/>
      <c r="E222" s="24"/>
      <c r="F222" s="24"/>
      <c r="K222" s="40"/>
    </row>
    <row r="223" spans="1:11" ht="15.75" customHeight="1" x14ac:dyDescent="0.25">
      <c r="A223" s="17"/>
      <c r="B223" s="25"/>
      <c r="C223" s="24"/>
      <c r="D223" s="24"/>
      <c r="E223" s="24"/>
      <c r="F223" s="24"/>
      <c r="K223" s="40"/>
    </row>
    <row r="224" spans="1:11" ht="15.75" customHeight="1" x14ac:dyDescent="0.25">
      <c r="A224" s="17"/>
      <c r="B224" s="25"/>
      <c r="C224" s="24"/>
      <c r="D224" s="24"/>
      <c r="E224" s="24"/>
      <c r="F224" s="24"/>
      <c r="K224" s="40"/>
    </row>
    <row r="225" spans="1:11" ht="15.75" customHeight="1" x14ac:dyDescent="0.25">
      <c r="A225" s="17"/>
      <c r="B225" s="25"/>
      <c r="C225" s="24"/>
      <c r="D225" s="24"/>
      <c r="E225" s="24"/>
      <c r="F225" s="24"/>
      <c r="K225" s="40"/>
    </row>
    <row r="226" spans="1:11" ht="15.75" customHeight="1" x14ac:dyDescent="0.25">
      <c r="A226" s="17"/>
      <c r="B226" s="25"/>
      <c r="C226" s="24"/>
      <c r="D226" s="24"/>
      <c r="E226" s="24"/>
      <c r="F226" s="24"/>
      <c r="K226" s="40"/>
    </row>
    <row r="227" spans="1:11" ht="15.75" customHeight="1" x14ac:dyDescent="0.25">
      <c r="A227" s="17"/>
      <c r="B227" s="25"/>
      <c r="C227" s="24"/>
      <c r="D227" s="24"/>
      <c r="E227" s="24"/>
      <c r="F227" s="24"/>
      <c r="K227" s="40"/>
    </row>
    <row r="228" spans="1:11" ht="15.75" customHeight="1" x14ac:dyDescent="0.25">
      <c r="A228" s="17"/>
      <c r="B228" s="25"/>
      <c r="C228" s="24"/>
      <c r="D228" s="24"/>
      <c r="E228" s="24"/>
      <c r="F228" s="24"/>
      <c r="K228" s="40"/>
    </row>
    <row r="229" spans="1:11" ht="15.75" customHeight="1" x14ac:dyDescent="0.25">
      <c r="A229" s="17"/>
      <c r="B229" s="25"/>
      <c r="C229" s="24"/>
      <c r="D229" s="24"/>
      <c r="E229" s="24"/>
      <c r="F229" s="24"/>
      <c r="K229" s="40"/>
    </row>
    <row r="230" spans="1:11" ht="15.75" customHeight="1" x14ac:dyDescent="0.25">
      <c r="A230" s="17"/>
      <c r="B230" s="25"/>
      <c r="C230" s="24"/>
      <c r="D230" s="24"/>
      <c r="E230" s="24"/>
      <c r="F230" s="24"/>
      <c r="K230" s="40"/>
    </row>
    <row r="231" spans="1:11" ht="15.75" customHeight="1" x14ac:dyDescent="0.25">
      <c r="A231" s="17"/>
      <c r="B231" s="25"/>
      <c r="C231" s="24"/>
      <c r="D231" s="24"/>
      <c r="E231" s="24"/>
      <c r="F231" s="24"/>
      <c r="K231" s="40"/>
    </row>
    <row r="232" spans="1:11" ht="15.75" customHeight="1" x14ac:dyDescent="0.25">
      <c r="A232" s="17"/>
      <c r="B232" s="25"/>
      <c r="C232" s="24"/>
      <c r="D232" s="24"/>
      <c r="E232" s="24"/>
      <c r="F232" s="24"/>
      <c r="K232" s="40"/>
    </row>
    <row r="233" spans="1:11" ht="15.75" customHeight="1" x14ac:dyDescent="0.25">
      <c r="A233" s="17"/>
      <c r="B233" s="25"/>
      <c r="C233" s="24"/>
      <c r="D233" s="24"/>
      <c r="E233" s="24"/>
      <c r="F233" s="24"/>
      <c r="K233" s="40"/>
    </row>
    <row r="234" spans="1:11" ht="15.75" customHeight="1" x14ac:dyDescent="0.25">
      <c r="A234" s="17"/>
      <c r="B234" s="25"/>
      <c r="C234" s="24"/>
      <c r="D234" s="24"/>
      <c r="E234" s="24"/>
      <c r="F234" s="24"/>
      <c r="K234" s="40"/>
    </row>
    <row r="235" spans="1:11" ht="15.75" customHeight="1" x14ac:dyDescent="0.25">
      <c r="A235" s="17"/>
      <c r="B235" s="25"/>
      <c r="C235" s="24"/>
      <c r="D235" s="24"/>
      <c r="E235" s="24"/>
      <c r="F235" s="24"/>
      <c r="K235" s="40"/>
    </row>
    <row r="236" spans="1:11" ht="15.75" customHeight="1" x14ac:dyDescent="0.25">
      <c r="A236" s="17"/>
      <c r="B236" s="25"/>
      <c r="C236" s="24"/>
      <c r="D236" s="24"/>
      <c r="E236" s="24"/>
      <c r="F236" s="24"/>
      <c r="K236" s="40"/>
    </row>
    <row r="237" spans="1:11" ht="15.75" customHeight="1" x14ac:dyDescent="0.25">
      <c r="A237" s="17"/>
      <c r="B237" s="25"/>
      <c r="C237" s="24"/>
      <c r="D237" s="24"/>
      <c r="E237" s="24"/>
      <c r="F237" s="24"/>
      <c r="K237" s="40"/>
    </row>
    <row r="238" spans="1:11" ht="15.75" customHeight="1" x14ac:dyDescent="0.25">
      <c r="A238" s="17"/>
      <c r="B238" s="25"/>
      <c r="C238" s="24"/>
      <c r="D238" s="24"/>
      <c r="E238" s="24"/>
      <c r="F238" s="24"/>
      <c r="K238" s="40"/>
    </row>
    <row r="239" spans="1:11" ht="15.75" customHeight="1" x14ac:dyDescent="0.25">
      <c r="A239" s="17"/>
      <c r="B239" s="25"/>
      <c r="C239" s="24"/>
      <c r="D239" s="24"/>
      <c r="E239" s="24"/>
      <c r="F239" s="24"/>
      <c r="K239" s="40"/>
    </row>
    <row r="240" spans="1:11" ht="15.75" customHeight="1" x14ac:dyDescent="0.25">
      <c r="A240" s="17"/>
      <c r="B240" s="25"/>
      <c r="C240" s="24"/>
      <c r="D240" s="24"/>
      <c r="E240" s="24"/>
      <c r="F240" s="24"/>
      <c r="K240" s="40"/>
    </row>
    <row r="241" spans="1:11" ht="15.75" customHeight="1" x14ac:dyDescent="0.25">
      <c r="A241" s="17"/>
      <c r="B241" s="25"/>
      <c r="C241" s="24"/>
      <c r="D241" s="24"/>
      <c r="E241" s="24"/>
      <c r="F241" s="24"/>
      <c r="K241" s="40"/>
    </row>
    <row r="242" spans="1:11" ht="15.75" customHeight="1" x14ac:dyDescent="0.25">
      <c r="A242" s="17"/>
      <c r="B242" s="25"/>
      <c r="C242" s="24"/>
      <c r="D242" s="24"/>
      <c r="E242" s="24"/>
      <c r="F242" s="24"/>
      <c r="K242" s="40"/>
    </row>
    <row r="243" spans="1:11" ht="15.75" customHeight="1" x14ac:dyDescent="0.25">
      <c r="A243" s="17"/>
      <c r="B243" s="25"/>
      <c r="C243" s="24"/>
      <c r="D243" s="24"/>
      <c r="E243" s="24"/>
      <c r="F243" s="24"/>
      <c r="K243" s="40"/>
    </row>
    <row r="244" spans="1:11" ht="15.75" customHeight="1" x14ac:dyDescent="0.25">
      <c r="A244" s="17"/>
      <c r="B244" s="25"/>
      <c r="C244" s="24"/>
      <c r="D244" s="24"/>
      <c r="E244" s="24"/>
      <c r="F244" s="24"/>
      <c r="K244" s="40"/>
    </row>
    <row r="245" spans="1:11" ht="15.75" customHeight="1" x14ac:dyDescent="0.25">
      <c r="A245" s="17"/>
      <c r="B245" s="25"/>
      <c r="C245" s="24"/>
      <c r="D245" s="24"/>
      <c r="E245" s="24"/>
      <c r="F245" s="24"/>
      <c r="K245" s="40"/>
    </row>
    <row r="246" spans="1:11" ht="15.75" customHeight="1" x14ac:dyDescent="0.25">
      <c r="A246" s="17"/>
      <c r="B246" s="25"/>
      <c r="C246" s="24"/>
      <c r="D246" s="24"/>
      <c r="E246" s="24"/>
      <c r="F246" s="24"/>
      <c r="K246" s="40"/>
    </row>
    <row r="247" spans="1:11" ht="15.75" customHeight="1" x14ac:dyDescent="0.25">
      <c r="A247" s="17"/>
      <c r="B247" s="25"/>
      <c r="C247" s="24"/>
      <c r="D247" s="24"/>
      <c r="E247" s="24"/>
      <c r="F247" s="24"/>
      <c r="K247" s="40"/>
    </row>
    <row r="248" spans="1:11" ht="15.75" customHeight="1" x14ac:dyDescent="0.25">
      <c r="A248" s="17"/>
      <c r="B248" s="25"/>
      <c r="C248" s="24"/>
      <c r="D248" s="24"/>
      <c r="E248" s="24"/>
      <c r="F248" s="24"/>
      <c r="K248" s="40"/>
    </row>
    <row r="249" spans="1:11" ht="15.75" customHeight="1" x14ac:dyDescent="0.25">
      <c r="A249" s="17"/>
      <c r="B249" s="25"/>
      <c r="C249" s="24"/>
      <c r="D249" s="24"/>
      <c r="E249" s="24"/>
      <c r="F249" s="24"/>
      <c r="K249" s="40"/>
    </row>
    <row r="250" spans="1:11" ht="15.75" customHeight="1" x14ac:dyDescent="0.25">
      <c r="A250" s="17"/>
      <c r="B250" s="25"/>
      <c r="C250" s="24"/>
      <c r="D250" s="24"/>
      <c r="E250" s="24"/>
      <c r="F250" s="24"/>
      <c r="K250" s="40"/>
    </row>
    <row r="251" spans="1:11" ht="15.75" customHeight="1" x14ac:dyDescent="0.25">
      <c r="A251" s="17"/>
      <c r="B251" s="25"/>
      <c r="C251" s="24"/>
      <c r="D251" s="24"/>
      <c r="E251" s="24"/>
      <c r="F251" s="24"/>
      <c r="K251" s="40"/>
    </row>
    <row r="252" spans="1:11" ht="15.75" customHeight="1" x14ac:dyDescent="0.25">
      <c r="A252" s="17"/>
      <c r="B252" s="25"/>
      <c r="C252" s="24"/>
      <c r="D252" s="24"/>
      <c r="E252" s="24"/>
      <c r="F252" s="24"/>
      <c r="K252" s="40"/>
    </row>
    <row r="253" spans="1:11" ht="15.75" customHeight="1" x14ac:dyDescent="0.25">
      <c r="A253" s="17"/>
      <c r="B253" s="25"/>
      <c r="C253" s="24"/>
      <c r="D253" s="24"/>
      <c r="E253" s="24"/>
      <c r="F253" s="24"/>
      <c r="K253" s="40"/>
    </row>
    <row r="254" spans="1:11" ht="15.75" customHeight="1" x14ac:dyDescent="0.25">
      <c r="A254" s="17"/>
      <c r="B254" s="25"/>
      <c r="C254" s="24"/>
      <c r="D254" s="24"/>
      <c r="E254" s="24"/>
      <c r="F254" s="24"/>
      <c r="K254" s="40"/>
    </row>
    <row r="255" spans="1:11" ht="15.75" customHeight="1" x14ac:dyDescent="0.25">
      <c r="A255" s="17"/>
      <c r="B255" s="25"/>
      <c r="C255" s="24"/>
      <c r="D255" s="24"/>
      <c r="E255" s="24"/>
      <c r="F255" s="24"/>
      <c r="K255" s="40"/>
    </row>
    <row r="256" spans="1:11" ht="15.75" customHeight="1" x14ac:dyDescent="0.25">
      <c r="A256" s="17"/>
      <c r="B256" s="25"/>
      <c r="C256" s="24"/>
      <c r="D256" s="24"/>
      <c r="E256" s="24"/>
      <c r="F256" s="24"/>
      <c r="K256" s="40"/>
    </row>
    <row r="257" spans="1:11" ht="15.75" customHeight="1" x14ac:dyDescent="0.25">
      <c r="A257" s="17"/>
      <c r="B257" s="25"/>
      <c r="C257" s="24"/>
      <c r="D257" s="24"/>
      <c r="E257" s="24"/>
      <c r="F257" s="24"/>
      <c r="K257" s="40"/>
    </row>
    <row r="258" spans="1:11" ht="15.75" customHeight="1" x14ac:dyDescent="0.25">
      <c r="A258" s="17"/>
      <c r="B258" s="25"/>
      <c r="C258" s="24"/>
      <c r="D258" s="24"/>
      <c r="E258" s="24"/>
      <c r="F258" s="24"/>
      <c r="K258" s="40"/>
    </row>
    <row r="259" spans="1:11" ht="15.75" customHeight="1" x14ac:dyDescent="0.25">
      <c r="A259" s="17"/>
      <c r="B259" s="25"/>
      <c r="C259" s="24"/>
      <c r="D259" s="24"/>
      <c r="E259" s="24"/>
      <c r="F259" s="24"/>
      <c r="K259" s="40"/>
    </row>
    <row r="260" spans="1:11" ht="15.75" customHeight="1" x14ac:dyDescent="0.25">
      <c r="A260" s="17"/>
      <c r="B260" s="25"/>
      <c r="C260" s="24"/>
      <c r="D260" s="24"/>
      <c r="E260" s="24"/>
      <c r="F260" s="24"/>
      <c r="K260" s="40"/>
    </row>
    <row r="261" spans="1:11" ht="15.75" customHeight="1" x14ac:dyDescent="0.25">
      <c r="A261" s="17"/>
      <c r="B261" s="25"/>
      <c r="C261" s="24"/>
      <c r="D261" s="24"/>
      <c r="E261" s="24"/>
      <c r="F261" s="24"/>
      <c r="K261" s="40"/>
    </row>
    <row r="262" spans="1:11" ht="15.75" customHeight="1" x14ac:dyDescent="0.25">
      <c r="A262" s="17"/>
      <c r="B262" s="25"/>
      <c r="C262" s="24"/>
      <c r="D262" s="24"/>
      <c r="E262" s="24"/>
      <c r="F262" s="24"/>
      <c r="K262" s="40"/>
    </row>
    <row r="263" spans="1:11" ht="15.75" customHeight="1" x14ac:dyDescent="0.25">
      <c r="A263" s="17"/>
      <c r="B263" s="25"/>
      <c r="C263" s="24"/>
      <c r="D263" s="24"/>
      <c r="E263" s="24"/>
      <c r="F263" s="24"/>
      <c r="K263" s="40"/>
    </row>
    <row r="264" spans="1:11" ht="15.75" customHeight="1" x14ac:dyDescent="0.25">
      <c r="A264" s="17"/>
      <c r="B264" s="25"/>
      <c r="C264" s="24"/>
      <c r="D264" s="24"/>
      <c r="E264" s="24"/>
      <c r="F264" s="24"/>
      <c r="K264" s="40"/>
    </row>
    <row r="265" spans="1:11" ht="15.75" customHeight="1" x14ac:dyDescent="0.25">
      <c r="A265" s="17"/>
      <c r="B265" s="25"/>
      <c r="C265" s="24"/>
      <c r="D265" s="24"/>
      <c r="E265" s="24"/>
      <c r="F265" s="24"/>
      <c r="K265" s="40"/>
    </row>
    <row r="266" spans="1:11" ht="15.75" customHeight="1" x14ac:dyDescent="0.25">
      <c r="A266" s="17"/>
      <c r="B266" s="25"/>
      <c r="C266" s="24"/>
      <c r="D266" s="24"/>
      <c r="E266" s="24"/>
      <c r="F266" s="24"/>
      <c r="K266" s="40"/>
    </row>
    <row r="267" spans="1:11" ht="15.75" customHeight="1" x14ac:dyDescent="0.25">
      <c r="A267" s="17"/>
      <c r="B267" s="25"/>
      <c r="C267" s="24"/>
      <c r="D267" s="24"/>
      <c r="E267" s="24"/>
      <c r="F267" s="24"/>
      <c r="K267" s="40"/>
    </row>
    <row r="268" spans="1:11" ht="15.75" customHeight="1" x14ac:dyDescent="0.25">
      <c r="A268" s="17"/>
      <c r="B268" s="25"/>
      <c r="C268" s="24"/>
      <c r="D268" s="24"/>
      <c r="E268" s="24"/>
      <c r="F268" s="24"/>
      <c r="K268" s="40"/>
    </row>
    <row r="269" spans="1:11" ht="15.75" customHeight="1" x14ac:dyDescent="0.25">
      <c r="A269" s="17"/>
      <c r="B269" s="25"/>
      <c r="C269" s="24"/>
      <c r="D269" s="24"/>
      <c r="E269" s="24"/>
      <c r="F269" s="24"/>
      <c r="K269" s="40"/>
    </row>
    <row r="270" spans="1:11" ht="15.75" customHeight="1" x14ac:dyDescent="0.25">
      <c r="A270" s="17"/>
      <c r="B270" s="25"/>
      <c r="C270" s="24"/>
      <c r="D270" s="24"/>
      <c r="E270" s="24"/>
      <c r="F270" s="24"/>
      <c r="K270" s="40"/>
    </row>
    <row r="271" spans="1:11" ht="15.75" customHeight="1" x14ac:dyDescent="0.25">
      <c r="A271" s="17"/>
      <c r="B271" s="25"/>
      <c r="C271" s="24"/>
      <c r="D271" s="24"/>
      <c r="E271" s="24"/>
      <c r="F271" s="24"/>
      <c r="K271" s="40"/>
    </row>
    <row r="272" spans="1:11" ht="15.75" customHeight="1" x14ac:dyDescent="0.25">
      <c r="A272" s="17"/>
      <c r="B272" s="25"/>
      <c r="C272" s="24"/>
      <c r="D272" s="24"/>
      <c r="E272" s="24"/>
      <c r="F272" s="24"/>
      <c r="K272" s="40"/>
    </row>
    <row r="273" spans="1:11" ht="15.75" customHeight="1" x14ac:dyDescent="0.25">
      <c r="A273" s="17"/>
      <c r="B273" s="25"/>
      <c r="C273" s="24"/>
      <c r="D273" s="24"/>
      <c r="E273" s="24"/>
      <c r="F273" s="24"/>
      <c r="K273" s="40"/>
    </row>
    <row r="274" spans="1:11" ht="15.75" customHeight="1" x14ac:dyDescent="0.25">
      <c r="A274" s="17"/>
      <c r="B274" s="25"/>
      <c r="C274" s="24"/>
      <c r="D274" s="24"/>
      <c r="E274" s="24"/>
      <c r="F274" s="24"/>
      <c r="K274" s="40"/>
    </row>
    <row r="275" spans="1:11" ht="15.75" customHeight="1" x14ac:dyDescent="0.25">
      <c r="A275" s="17"/>
      <c r="B275" s="25"/>
      <c r="C275" s="24"/>
      <c r="D275" s="24"/>
      <c r="E275" s="24"/>
      <c r="F275" s="24"/>
      <c r="K275" s="40"/>
    </row>
    <row r="276" spans="1:11" ht="15.75" customHeight="1" x14ac:dyDescent="0.25">
      <c r="A276" s="17"/>
      <c r="B276" s="25"/>
      <c r="C276" s="24"/>
      <c r="D276" s="24"/>
      <c r="E276" s="24"/>
      <c r="F276" s="24"/>
      <c r="K276" s="40"/>
    </row>
    <row r="277" spans="1:11" ht="15.75" customHeight="1" x14ac:dyDescent="0.25">
      <c r="A277" s="17"/>
      <c r="B277" s="25"/>
      <c r="C277" s="24"/>
      <c r="D277" s="24"/>
      <c r="E277" s="24"/>
      <c r="F277" s="24"/>
      <c r="K277" s="40"/>
    </row>
    <row r="278" spans="1:11" ht="15.75" customHeight="1" x14ac:dyDescent="0.25">
      <c r="A278" s="17"/>
      <c r="B278" s="25"/>
      <c r="C278" s="24"/>
      <c r="D278" s="24"/>
      <c r="E278" s="24"/>
      <c r="F278" s="24"/>
      <c r="K278" s="40"/>
    </row>
    <row r="279" spans="1:11" ht="15.75" customHeight="1" x14ac:dyDescent="0.25">
      <c r="A279" s="17"/>
      <c r="B279" s="25"/>
      <c r="C279" s="24"/>
      <c r="D279" s="24"/>
      <c r="E279" s="24"/>
      <c r="F279" s="24"/>
      <c r="K279" s="40"/>
    </row>
    <row r="280" spans="1:11" ht="15.75" customHeight="1" x14ac:dyDescent="0.25">
      <c r="A280" s="17"/>
      <c r="B280" s="25"/>
      <c r="C280" s="24"/>
      <c r="D280" s="24"/>
      <c r="E280" s="24"/>
      <c r="F280" s="24"/>
      <c r="K280" s="40"/>
    </row>
    <row r="281" spans="1:11" ht="15.75" customHeight="1" x14ac:dyDescent="0.25">
      <c r="A281" s="17"/>
      <c r="B281" s="25"/>
      <c r="C281" s="24"/>
      <c r="D281" s="24"/>
      <c r="E281" s="24"/>
      <c r="F281" s="24"/>
      <c r="K281" s="40"/>
    </row>
    <row r="282" spans="1:11" ht="15.75" customHeight="1" x14ac:dyDescent="0.25">
      <c r="A282" s="17"/>
      <c r="B282" s="25"/>
      <c r="C282" s="24"/>
      <c r="D282" s="24"/>
      <c r="E282" s="24"/>
      <c r="F282" s="24"/>
      <c r="K282" s="40"/>
    </row>
    <row r="283" spans="1:11" ht="15.75" customHeight="1" x14ac:dyDescent="0.25">
      <c r="A283" s="17"/>
      <c r="B283" s="25"/>
      <c r="C283" s="24"/>
      <c r="D283" s="24"/>
      <c r="E283" s="24"/>
      <c r="F283" s="24"/>
      <c r="K283" s="40"/>
    </row>
    <row r="284" spans="1:11" ht="15.75" customHeight="1" x14ac:dyDescent="0.25">
      <c r="A284" s="17"/>
      <c r="B284" s="25"/>
      <c r="C284" s="24"/>
      <c r="D284" s="24"/>
      <c r="E284" s="24"/>
      <c r="F284" s="24"/>
      <c r="K284" s="40"/>
    </row>
    <row r="285" spans="1:11" ht="15.75" customHeight="1" x14ac:dyDescent="0.25">
      <c r="K285" s="40"/>
    </row>
    <row r="286" spans="1:11" ht="15.75" customHeight="1" x14ac:dyDescent="0.25">
      <c r="K286" s="40"/>
    </row>
    <row r="287" spans="1:11" ht="15.75" customHeight="1" x14ac:dyDescent="0.25">
      <c r="K287" s="40"/>
    </row>
    <row r="288" spans="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sheetData>
  <mergeCells count="16">
    <mergeCell ref="A2:G2"/>
    <mergeCell ref="A3:G3"/>
    <mergeCell ref="A7:G7"/>
    <mergeCell ref="A8:A11"/>
    <mergeCell ref="B8:B11"/>
    <mergeCell ref="C8:C9"/>
    <mergeCell ref="D8:F8"/>
    <mergeCell ref="G8:G9"/>
    <mergeCell ref="F9:F10"/>
    <mergeCell ref="A67:G67"/>
    <mergeCell ref="A68:A71"/>
    <mergeCell ref="B68:B71"/>
    <mergeCell ref="C68:C69"/>
    <mergeCell ref="D68:F68"/>
    <mergeCell ref="G68:G69"/>
    <mergeCell ref="F69:F70"/>
  </mergeCells>
  <pageMargins left="0.39370078740157483" right="0.39370078740157483" top="0.39370078740157483" bottom="0.39370078740157483" header="0" footer="0"/>
  <pageSetup paperSize="9" scale="7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267"/>
  <sheetViews>
    <sheetView view="pageBreakPreview" topLeftCell="A56" zoomScale="115" zoomScaleNormal="100" zoomScaleSheetLayoutView="115" workbookViewId="0">
      <selection activeCell="A68" sqref="A67:A68"/>
    </sheetView>
  </sheetViews>
  <sheetFormatPr defaultColWidth="14.42578125" defaultRowHeight="15" x14ac:dyDescent="0.25"/>
  <cols>
    <col min="1" max="1" width="77.28515625" customWidth="1"/>
    <col min="2" max="2" width="17.28515625" customWidth="1"/>
    <col min="3" max="6" width="17.28515625" hidden="1" customWidth="1"/>
    <col min="7" max="7" width="17.28515625" customWidth="1"/>
    <col min="8" max="9" width="15.28515625" customWidth="1"/>
    <col min="10" max="26" width="10.28515625" customWidth="1"/>
  </cols>
  <sheetData>
    <row r="1" spans="1:26" ht="15.75"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x14ac:dyDescent="0.25">
      <c r="A2" s="861" t="s">
        <v>349</v>
      </c>
      <c r="B2" s="862"/>
      <c r="C2" s="862"/>
      <c r="D2" s="862"/>
      <c r="E2" s="862"/>
      <c r="F2" s="862"/>
      <c r="G2" s="863"/>
      <c r="H2" s="14"/>
      <c r="I2" s="15"/>
      <c r="J2" s="15"/>
      <c r="K2" s="15"/>
      <c r="L2" s="15"/>
      <c r="M2" s="15"/>
      <c r="N2" s="15"/>
      <c r="O2" s="15"/>
      <c r="P2" s="15"/>
      <c r="Q2" s="15"/>
      <c r="R2" s="15"/>
      <c r="S2" s="15"/>
      <c r="T2" s="15"/>
      <c r="U2" s="15"/>
      <c r="V2" s="15"/>
      <c r="W2" s="15"/>
      <c r="X2" s="15"/>
      <c r="Y2" s="15"/>
      <c r="Z2" s="15"/>
    </row>
    <row r="3" spans="1:26" ht="15.75" x14ac:dyDescent="0.25">
      <c r="A3" s="864" t="s">
        <v>350</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x14ac:dyDescent="0.25">
      <c r="A4" s="21"/>
      <c r="B4" s="18"/>
      <c r="C4" s="18"/>
      <c r="D4" s="18"/>
      <c r="E4" s="18"/>
      <c r="F4" s="18"/>
      <c r="G4" s="23"/>
      <c r="H4" s="14"/>
      <c r="I4" s="15"/>
      <c r="J4" s="15"/>
      <c r="K4" s="15"/>
      <c r="L4" s="15"/>
      <c r="M4" s="15"/>
      <c r="N4" s="15"/>
      <c r="O4" s="15"/>
      <c r="P4" s="15"/>
      <c r="Q4" s="15"/>
      <c r="R4" s="15"/>
      <c r="S4" s="15"/>
      <c r="T4" s="15"/>
      <c r="U4" s="15"/>
      <c r="V4" s="15"/>
      <c r="W4" s="15"/>
      <c r="X4" s="15"/>
      <c r="Y4" s="15"/>
      <c r="Z4" s="15"/>
    </row>
    <row r="5" spans="1:26" ht="15.75" x14ac:dyDescent="0.25">
      <c r="A5" s="17" t="s">
        <v>701</v>
      </c>
      <c r="B5" s="24"/>
      <c r="C5" s="25"/>
      <c r="D5" s="25"/>
      <c r="E5" s="25"/>
      <c r="F5" s="24"/>
      <c r="G5" s="19"/>
      <c r="H5" s="14"/>
      <c r="I5" s="15"/>
      <c r="J5" s="15"/>
      <c r="K5" s="15"/>
      <c r="L5" s="15"/>
      <c r="M5" s="15"/>
      <c r="N5" s="15"/>
      <c r="O5" s="15"/>
      <c r="P5" s="15"/>
      <c r="Q5" s="15"/>
      <c r="R5" s="15"/>
      <c r="S5" s="15"/>
      <c r="T5" s="15"/>
      <c r="U5" s="15"/>
      <c r="V5" s="15"/>
      <c r="W5" s="15"/>
      <c r="X5" s="15"/>
      <c r="Y5" s="15"/>
      <c r="Z5" s="15"/>
    </row>
    <row r="6" spans="1:26" ht="15.75" x14ac:dyDescent="0.25">
      <c r="A6" s="17"/>
      <c r="B6" s="24"/>
      <c r="C6" s="25"/>
      <c r="D6" s="25"/>
      <c r="E6" s="25"/>
      <c r="F6" s="24"/>
      <c r="G6" s="19"/>
      <c r="H6" s="14"/>
      <c r="I6" s="15"/>
      <c r="J6" s="15"/>
      <c r="K6" s="15"/>
      <c r="L6" s="15"/>
      <c r="M6" s="15"/>
      <c r="N6" s="15"/>
      <c r="O6" s="15"/>
      <c r="P6" s="15"/>
      <c r="Q6" s="15"/>
      <c r="R6" s="15"/>
      <c r="S6" s="15"/>
      <c r="T6" s="15"/>
      <c r="U6" s="15"/>
      <c r="V6" s="15"/>
      <c r="W6" s="15"/>
      <c r="X6" s="15"/>
      <c r="Y6" s="15"/>
      <c r="Z6" s="15"/>
    </row>
    <row r="7" spans="1:26" ht="15.75" x14ac:dyDescent="0.25">
      <c r="A7" s="865" t="s">
        <v>352</v>
      </c>
      <c r="B7" s="866"/>
      <c r="C7" s="866"/>
      <c r="D7" s="866"/>
      <c r="E7" s="866"/>
      <c r="F7" s="866"/>
      <c r="G7" s="867"/>
      <c r="H7" s="14"/>
      <c r="I7" s="15"/>
      <c r="J7" s="15"/>
      <c r="K7" s="15"/>
      <c r="L7" s="15"/>
      <c r="M7" s="15"/>
      <c r="N7" s="15"/>
      <c r="O7" s="15"/>
      <c r="P7" s="15"/>
      <c r="Q7" s="15"/>
      <c r="R7" s="15"/>
      <c r="S7" s="15"/>
      <c r="T7" s="15"/>
      <c r="U7" s="15"/>
      <c r="V7" s="15"/>
      <c r="W7" s="15"/>
      <c r="X7" s="15"/>
      <c r="Y7" s="15"/>
      <c r="Z7" s="15"/>
    </row>
    <row r="8" spans="1:26" ht="15.75" x14ac:dyDescent="0.25">
      <c r="A8" s="868" t="s">
        <v>353</v>
      </c>
      <c r="B8" s="857" t="s">
        <v>354</v>
      </c>
      <c r="C8" s="870" t="s">
        <v>355</v>
      </c>
      <c r="D8" s="872" t="s">
        <v>356</v>
      </c>
      <c r="E8" s="873"/>
      <c r="F8" s="874"/>
      <c r="G8" s="857" t="s">
        <v>357</v>
      </c>
      <c r="H8" s="15"/>
      <c r="I8" s="15"/>
      <c r="J8" s="15"/>
      <c r="K8" s="15"/>
      <c r="L8" s="15"/>
      <c r="M8" s="15"/>
      <c r="N8" s="15"/>
      <c r="O8" s="15"/>
      <c r="P8" s="15"/>
      <c r="Q8" s="15"/>
      <c r="R8" s="15"/>
      <c r="S8" s="15"/>
      <c r="T8" s="15"/>
      <c r="U8" s="15"/>
      <c r="V8" s="15"/>
      <c r="W8" s="15"/>
      <c r="X8" s="15"/>
      <c r="Y8" s="15"/>
      <c r="Z8" s="15"/>
    </row>
    <row r="9" spans="1:26" ht="31.5" x14ac:dyDescent="0.25">
      <c r="A9" s="858"/>
      <c r="B9" s="858"/>
      <c r="C9" s="871"/>
      <c r="D9" s="28" t="s">
        <v>358</v>
      </c>
      <c r="E9" s="29" t="s">
        <v>359</v>
      </c>
      <c r="F9" s="875" t="s">
        <v>360</v>
      </c>
      <c r="G9" s="858"/>
      <c r="H9" s="15"/>
      <c r="I9" s="15"/>
      <c r="J9" s="15"/>
      <c r="K9" s="15"/>
      <c r="L9" s="15"/>
      <c r="M9" s="15"/>
      <c r="N9" s="15"/>
      <c r="O9" s="15"/>
      <c r="P9" s="15"/>
      <c r="Q9" s="15"/>
      <c r="R9" s="15"/>
      <c r="S9" s="15"/>
      <c r="T9" s="15"/>
      <c r="U9" s="15"/>
      <c r="V9" s="15"/>
      <c r="W9" s="15"/>
      <c r="X9" s="15"/>
      <c r="Y9" s="15"/>
      <c r="Z9" s="15"/>
    </row>
    <row r="10" spans="1:26" ht="15.75" x14ac:dyDescent="0.25">
      <c r="A10" s="858"/>
      <c r="B10" s="858"/>
      <c r="C10" s="30" t="s">
        <v>361</v>
      </c>
      <c r="D10" s="31" t="s">
        <v>361</v>
      </c>
      <c r="E10" s="32" t="s">
        <v>362</v>
      </c>
      <c r="F10" s="860"/>
      <c r="G10" s="442" t="s">
        <v>2717</v>
      </c>
      <c r="H10" s="15"/>
      <c r="I10" s="15"/>
      <c r="J10" s="15"/>
      <c r="K10" s="15"/>
      <c r="L10" s="15"/>
      <c r="M10" s="15"/>
      <c r="N10" s="15"/>
      <c r="O10" s="15"/>
      <c r="P10" s="15"/>
      <c r="Q10" s="15"/>
      <c r="R10" s="15"/>
      <c r="S10" s="15"/>
      <c r="T10" s="15"/>
      <c r="U10" s="15"/>
      <c r="V10" s="15"/>
      <c r="W10" s="15"/>
      <c r="X10" s="15"/>
      <c r="Y10" s="15"/>
      <c r="Z10" s="15"/>
    </row>
    <row r="11" spans="1:26" ht="15.75"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5.75" x14ac:dyDescent="0.25">
      <c r="A12" s="9" t="s">
        <v>364</v>
      </c>
      <c r="B12" s="38"/>
      <c r="C12" s="42"/>
      <c r="D12" s="42"/>
      <c r="E12" s="42"/>
      <c r="F12" s="42"/>
      <c r="G12" s="37"/>
    </row>
    <row r="13" spans="1:26" ht="15.75" x14ac:dyDescent="0.25">
      <c r="A13" s="17" t="s">
        <v>622</v>
      </c>
      <c r="B13" s="41"/>
      <c r="C13" s="42"/>
      <c r="D13" s="42"/>
      <c r="E13" s="42"/>
      <c r="F13" s="42"/>
      <c r="G13" s="42"/>
    </row>
    <row r="14" spans="1:26" ht="15.75" x14ac:dyDescent="0.25">
      <c r="A14" s="17" t="s">
        <v>366</v>
      </c>
      <c r="B14" s="41"/>
      <c r="C14" s="42"/>
      <c r="D14" s="42"/>
      <c r="E14" s="42"/>
      <c r="F14" s="19"/>
      <c r="G14" s="19"/>
      <c r="H14" s="7"/>
    </row>
    <row r="15" spans="1:26" ht="15.75" x14ac:dyDescent="0.25">
      <c r="A15" s="44" t="s">
        <v>367</v>
      </c>
      <c r="B15" s="41" t="s">
        <v>121</v>
      </c>
      <c r="C15" s="43">
        <v>2155725.58</v>
      </c>
      <c r="D15" s="43">
        <v>1114911.94</v>
      </c>
      <c r="E15" s="45">
        <f>F15-D15</f>
        <v>1689452.06</v>
      </c>
      <c r="F15" s="43">
        <v>2804364</v>
      </c>
      <c r="G15" s="43">
        <v>2925972</v>
      </c>
      <c r="H15" s="43"/>
      <c r="I15" s="7"/>
    </row>
    <row r="16" spans="1:26" ht="15.75" x14ac:dyDescent="0.25">
      <c r="A16" s="17" t="s">
        <v>656</v>
      </c>
      <c r="B16" s="41"/>
      <c r="C16" s="46"/>
      <c r="D16" s="46"/>
      <c r="E16" s="45"/>
      <c r="F16" s="43"/>
      <c r="G16" s="43"/>
      <c r="H16" s="7"/>
    </row>
    <row r="17" spans="1:11" ht="15.75" x14ac:dyDescent="0.25">
      <c r="A17" s="44" t="s">
        <v>369</v>
      </c>
      <c r="B17" s="41" t="s">
        <v>125</v>
      </c>
      <c r="C17" s="43">
        <v>143636.35999999999</v>
      </c>
      <c r="D17" s="43">
        <v>72000</v>
      </c>
      <c r="E17" s="45">
        <f t="shared" ref="E17:E20" si="0">F17-D17</f>
        <v>120000</v>
      </c>
      <c r="F17" s="43">
        <v>192000</v>
      </c>
      <c r="G17" s="43">
        <v>192000</v>
      </c>
      <c r="H17" s="7"/>
      <c r="I17" s="7"/>
    </row>
    <row r="18" spans="1:11" ht="15.75" x14ac:dyDescent="0.25">
      <c r="A18" s="44" t="s">
        <v>373</v>
      </c>
      <c r="B18" s="41" t="s">
        <v>131</v>
      </c>
      <c r="C18" s="43">
        <v>42000</v>
      </c>
      <c r="D18" s="43">
        <v>42000</v>
      </c>
      <c r="E18" s="45">
        <f t="shared" si="0"/>
        <v>14000</v>
      </c>
      <c r="F18" s="43">
        <v>56000</v>
      </c>
      <c r="G18" s="43">
        <v>56000</v>
      </c>
      <c r="H18" s="7"/>
      <c r="I18" s="7"/>
    </row>
    <row r="19" spans="1:11" ht="15.75" x14ac:dyDescent="0.25">
      <c r="A19" s="44" t="s">
        <v>374</v>
      </c>
      <c r="B19" s="41" t="s">
        <v>151</v>
      </c>
      <c r="C19" s="43">
        <v>185570</v>
      </c>
      <c r="D19" s="43">
        <v>0</v>
      </c>
      <c r="E19" s="45">
        <f t="shared" si="0"/>
        <v>233697</v>
      </c>
      <c r="F19" s="43">
        <v>233697</v>
      </c>
      <c r="G19" s="43">
        <v>243831</v>
      </c>
      <c r="H19" s="7"/>
      <c r="I19" s="7"/>
    </row>
    <row r="20" spans="1:11" ht="15.75" x14ac:dyDescent="0.25">
      <c r="A20" s="44" t="s">
        <v>375</v>
      </c>
      <c r="B20" s="41" t="s">
        <v>153</v>
      </c>
      <c r="C20" s="43">
        <v>30000</v>
      </c>
      <c r="D20" s="43">
        <v>0</v>
      </c>
      <c r="E20" s="45">
        <f t="shared" si="0"/>
        <v>40000</v>
      </c>
      <c r="F20" s="43">
        <v>40000</v>
      </c>
      <c r="G20" s="43">
        <v>40000</v>
      </c>
      <c r="H20" s="7"/>
      <c r="I20" s="7"/>
    </row>
    <row r="21" spans="1:11" ht="15.75" x14ac:dyDescent="0.25">
      <c r="A21" s="44" t="s">
        <v>376</v>
      </c>
      <c r="B21" s="41" t="s">
        <v>155</v>
      </c>
      <c r="C21" s="46"/>
      <c r="D21" s="46"/>
      <c r="E21" s="45"/>
      <c r="F21" s="43"/>
      <c r="G21" s="43"/>
      <c r="H21" s="7"/>
      <c r="I21" s="7"/>
    </row>
    <row r="22" spans="1:11" ht="15.75" x14ac:dyDescent="0.25">
      <c r="A22" s="44" t="s">
        <v>378</v>
      </c>
      <c r="B22" s="41" t="s">
        <v>159</v>
      </c>
      <c r="C22" s="43"/>
      <c r="D22" s="43">
        <v>18000</v>
      </c>
      <c r="E22" s="45">
        <f t="shared" ref="E22:E23" si="1">F22-D22</f>
        <v>6000</v>
      </c>
      <c r="F22" s="43">
        <v>24000</v>
      </c>
      <c r="G22" s="43">
        <v>0</v>
      </c>
      <c r="H22" s="7"/>
      <c r="I22" s="7"/>
    </row>
    <row r="23" spans="1:11" ht="15.75" x14ac:dyDescent="0.25">
      <c r="A23" s="44" t="s">
        <v>379</v>
      </c>
      <c r="B23" s="41" t="s">
        <v>161</v>
      </c>
      <c r="C23" s="43">
        <v>176252</v>
      </c>
      <c r="D23" s="43">
        <v>185820</v>
      </c>
      <c r="E23" s="45">
        <f t="shared" si="1"/>
        <v>47877</v>
      </c>
      <c r="F23" s="43">
        <v>233697</v>
      </c>
      <c r="G23" s="43">
        <v>243831</v>
      </c>
      <c r="H23" s="7"/>
      <c r="I23" s="7"/>
    </row>
    <row r="24" spans="1:11" ht="15.75" x14ac:dyDescent="0.25">
      <c r="A24" s="17" t="s">
        <v>380</v>
      </c>
      <c r="B24" s="41"/>
      <c r="C24" s="46"/>
      <c r="D24" s="46"/>
      <c r="E24" s="45"/>
      <c r="F24" s="43"/>
      <c r="G24" s="43"/>
      <c r="H24" s="7"/>
      <c r="I24" s="7"/>
    </row>
    <row r="25" spans="1:11" ht="15.75" x14ac:dyDescent="0.25">
      <c r="A25" s="44" t="s">
        <v>381</v>
      </c>
      <c r="B25" s="41" t="s">
        <v>165</v>
      </c>
      <c r="C25" s="43">
        <v>259486.03</v>
      </c>
      <c r="D25" s="43">
        <v>133789.43</v>
      </c>
      <c r="E25" s="45">
        <f t="shared" ref="E25:E28" si="2">F25-D25</f>
        <v>202734.57</v>
      </c>
      <c r="F25" s="43">
        <v>336524</v>
      </c>
      <c r="G25" s="43">
        <v>351117</v>
      </c>
      <c r="H25" s="7"/>
      <c r="I25" s="7"/>
    </row>
    <row r="26" spans="1:11" ht="15.75" x14ac:dyDescent="0.25">
      <c r="A26" s="44" t="s">
        <v>382</v>
      </c>
      <c r="B26" s="41" t="s">
        <v>167</v>
      </c>
      <c r="C26" s="43">
        <v>43247.69</v>
      </c>
      <c r="D26" s="43">
        <v>22298.240000000002</v>
      </c>
      <c r="E26" s="45">
        <f t="shared" si="2"/>
        <v>33789.759999999995</v>
      </c>
      <c r="F26" s="43">
        <v>56088</v>
      </c>
      <c r="G26" s="43">
        <v>58520</v>
      </c>
      <c r="H26" s="7"/>
      <c r="I26" s="7"/>
    </row>
    <row r="27" spans="1:11" ht="15.75" x14ac:dyDescent="0.25">
      <c r="A27" s="44" t="s">
        <v>383</v>
      </c>
      <c r="B27" s="41" t="s">
        <v>169</v>
      </c>
      <c r="C27" s="43">
        <v>54059.75</v>
      </c>
      <c r="D27" s="43">
        <v>27872.81</v>
      </c>
      <c r="E27" s="45">
        <f t="shared" si="2"/>
        <v>42240.19</v>
      </c>
      <c r="F27" s="43">
        <v>70113</v>
      </c>
      <c r="G27" s="43">
        <v>73154</v>
      </c>
      <c r="H27" s="7"/>
      <c r="I27" s="7"/>
    </row>
    <row r="28" spans="1:11" ht="15.75" x14ac:dyDescent="0.25">
      <c r="A28" s="44" t="s">
        <v>384</v>
      </c>
      <c r="B28" s="41" t="s">
        <v>171</v>
      </c>
      <c r="C28" s="43">
        <v>7200</v>
      </c>
      <c r="D28" s="43">
        <v>3600</v>
      </c>
      <c r="E28" s="45">
        <f t="shared" si="2"/>
        <v>6000</v>
      </c>
      <c r="F28" s="43">
        <v>9600</v>
      </c>
      <c r="G28" s="43">
        <v>9600</v>
      </c>
      <c r="H28" s="7"/>
      <c r="I28" s="7"/>
      <c r="K28" s="57" t="s">
        <v>702</v>
      </c>
    </row>
    <row r="29" spans="1:11" ht="15.75" x14ac:dyDescent="0.25">
      <c r="A29" s="17" t="s">
        <v>624</v>
      </c>
      <c r="B29" s="41"/>
      <c r="C29" s="46"/>
      <c r="D29" s="46"/>
      <c r="E29" s="45"/>
      <c r="F29" s="43"/>
      <c r="G29" s="43"/>
      <c r="H29" s="7"/>
      <c r="I29" s="7"/>
    </row>
    <row r="30" spans="1:11" ht="15.75" x14ac:dyDescent="0.25">
      <c r="A30" s="44" t="s">
        <v>387</v>
      </c>
      <c r="B30" s="41" t="s">
        <v>181</v>
      </c>
      <c r="C30" s="43">
        <v>75243.240000000005</v>
      </c>
      <c r="D30" s="43">
        <v>0</v>
      </c>
      <c r="E30" s="45">
        <f t="shared" ref="E30:E31" si="3">F30-D30</f>
        <v>112625</v>
      </c>
      <c r="F30" s="43">
        <v>112625</v>
      </c>
      <c r="G30" s="43">
        <v>117509</v>
      </c>
      <c r="H30" s="7"/>
      <c r="I30" s="7"/>
    </row>
    <row r="31" spans="1:11" ht="15.75" x14ac:dyDescent="0.25">
      <c r="A31" s="44" t="s">
        <v>388</v>
      </c>
      <c r="B31" s="41" t="s">
        <v>183</v>
      </c>
      <c r="C31" s="43">
        <v>30000</v>
      </c>
      <c r="D31" s="43">
        <v>0</v>
      </c>
      <c r="E31" s="45">
        <f t="shared" si="3"/>
        <v>40000</v>
      </c>
      <c r="F31" s="43">
        <v>40000</v>
      </c>
      <c r="G31" s="43">
        <v>40000</v>
      </c>
      <c r="H31" s="7"/>
      <c r="I31" s="7"/>
    </row>
    <row r="32" spans="1:11" ht="31.5" x14ac:dyDescent="0.25">
      <c r="A32" s="88" t="s">
        <v>625</v>
      </c>
      <c r="B32" s="41"/>
      <c r="C32" s="43">
        <v>0</v>
      </c>
      <c r="D32" s="43">
        <v>0</v>
      </c>
      <c r="E32" s="45">
        <v>0</v>
      </c>
      <c r="F32" s="43">
        <v>0</v>
      </c>
      <c r="G32" s="43">
        <v>82184</v>
      </c>
      <c r="H32" s="175"/>
    </row>
    <row r="33" spans="1:26" ht="15.75" x14ac:dyDescent="0.25">
      <c r="A33" s="42" t="s">
        <v>632</v>
      </c>
      <c r="B33" s="41"/>
      <c r="C33" s="54">
        <f t="shared" ref="C33:D33" si="4">SUM(C15:C32)</f>
        <v>3202420.65</v>
      </c>
      <c r="D33" s="54">
        <f t="shared" si="4"/>
        <v>1620292.42</v>
      </c>
      <c r="E33" s="79">
        <f>F33-D33</f>
        <v>2588415.58</v>
      </c>
      <c r="F33" s="54">
        <f t="shared" ref="F33:G33" si="5">SUM(F15:F32)</f>
        <v>4208708</v>
      </c>
      <c r="G33" s="54">
        <f t="shared" si="5"/>
        <v>4433718</v>
      </c>
      <c r="H33" s="175"/>
    </row>
    <row r="34" spans="1:26" ht="15.75" x14ac:dyDescent="0.25">
      <c r="A34" s="42"/>
      <c r="B34" s="41"/>
      <c r="C34" s="39"/>
      <c r="D34" s="55"/>
      <c r="E34" s="45"/>
      <c r="F34" s="39"/>
      <c r="G34" s="55"/>
    </row>
    <row r="35" spans="1:26" ht="15.75" x14ac:dyDescent="0.25">
      <c r="A35" s="17" t="s">
        <v>626</v>
      </c>
      <c r="B35" s="20"/>
      <c r="C35" s="56"/>
      <c r="D35" s="43"/>
      <c r="E35" s="45"/>
      <c r="F35" s="26"/>
      <c r="G35" s="43"/>
    </row>
    <row r="36" spans="1:26" ht="15.75" x14ac:dyDescent="0.25">
      <c r="A36" s="17" t="s">
        <v>627</v>
      </c>
      <c r="B36" s="20"/>
      <c r="C36" s="56"/>
      <c r="D36" s="56"/>
      <c r="E36" s="56"/>
      <c r="F36" s="56"/>
      <c r="G36" s="43"/>
    </row>
    <row r="37" spans="1:26" ht="15.75" x14ac:dyDescent="0.25">
      <c r="A37" s="44" t="s">
        <v>393</v>
      </c>
      <c r="B37" s="20" t="s">
        <v>187</v>
      </c>
      <c r="C37" s="56">
        <v>7151</v>
      </c>
      <c r="D37" s="56">
        <v>1931</v>
      </c>
      <c r="E37" s="56">
        <f>F37-D37</f>
        <v>48069</v>
      </c>
      <c r="F37" s="56">
        <v>50000</v>
      </c>
      <c r="G37" s="43">
        <v>50000</v>
      </c>
      <c r="H37" s="176">
        <v>50000</v>
      </c>
      <c r="I37" s="176"/>
      <c r="J37" s="176"/>
      <c r="K37" s="176"/>
      <c r="L37" s="176"/>
      <c r="M37" s="176"/>
      <c r="N37" s="176"/>
      <c r="O37" s="176"/>
      <c r="P37" s="176"/>
      <c r="Q37" s="176"/>
      <c r="R37" s="176"/>
      <c r="S37" s="176"/>
      <c r="T37" s="176"/>
      <c r="U37" s="176"/>
      <c r="V37" s="176"/>
      <c r="W37" s="176"/>
      <c r="X37" s="176"/>
      <c r="Y37" s="176"/>
      <c r="Z37" s="176"/>
    </row>
    <row r="38" spans="1:26" ht="15.75" x14ac:dyDescent="0.25">
      <c r="A38" s="17" t="s">
        <v>493</v>
      </c>
      <c r="B38" s="20"/>
      <c r="C38" s="59"/>
      <c r="D38" s="59"/>
      <c r="E38" s="56"/>
      <c r="F38" s="56"/>
      <c r="G38" s="43"/>
      <c r="H38" s="178"/>
      <c r="I38" s="178"/>
      <c r="J38" s="178"/>
      <c r="K38" s="178"/>
      <c r="L38" s="178"/>
      <c r="M38" s="178"/>
      <c r="N38" s="178"/>
      <c r="O38" s="178"/>
      <c r="P38" s="178"/>
      <c r="Q38" s="178"/>
      <c r="R38" s="178"/>
      <c r="S38" s="178"/>
      <c r="T38" s="178"/>
      <c r="U38" s="178"/>
      <c r="V38" s="178"/>
      <c r="W38" s="178"/>
      <c r="X38" s="178"/>
      <c r="Y38" s="178"/>
      <c r="Z38" s="178"/>
    </row>
    <row r="39" spans="1:26" ht="15.75" x14ac:dyDescent="0.25">
      <c r="A39" s="460" t="s">
        <v>396</v>
      </c>
      <c r="B39" s="454" t="s">
        <v>191</v>
      </c>
      <c r="C39" s="443">
        <v>95948.2</v>
      </c>
      <c r="D39" s="443">
        <v>50440.42</v>
      </c>
      <c r="E39" s="443">
        <f>F39-D39</f>
        <v>49559.58</v>
      </c>
      <c r="F39" s="443">
        <v>100000</v>
      </c>
      <c r="G39" s="462">
        <f>120030+29970</f>
        <v>150000</v>
      </c>
    </row>
    <row r="40" spans="1:26" ht="15.75" x14ac:dyDescent="0.25">
      <c r="A40" s="468" t="s">
        <v>703</v>
      </c>
      <c r="B40" s="454"/>
      <c r="C40" s="514"/>
      <c r="D40" s="514"/>
      <c r="E40" s="443"/>
      <c r="F40" s="443"/>
      <c r="G40" s="462"/>
      <c r="H40" s="57">
        <v>120030</v>
      </c>
      <c r="I40" s="60"/>
    </row>
    <row r="41" spans="1:26" ht="15.75" x14ac:dyDescent="0.25">
      <c r="A41" s="96" t="s">
        <v>704</v>
      </c>
      <c r="B41" s="20"/>
      <c r="C41" s="59"/>
      <c r="D41" s="46"/>
      <c r="E41" s="45"/>
      <c r="F41" s="45"/>
      <c r="G41" s="43"/>
      <c r="H41" s="57">
        <v>29970</v>
      </c>
      <c r="I41" s="60"/>
    </row>
    <row r="42" spans="1:26" ht="15.75" x14ac:dyDescent="0.25">
      <c r="A42" s="17" t="s">
        <v>499</v>
      </c>
      <c r="B42" s="20"/>
      <c r="C42" s="59"/>
      <c r="D42" s="46"/>
      <c r="E42" s="45"/>
      <c r="F42" s="43"/>
      <c r="G42" s="43"/>
      <c r="I42" s="60"/>
    </row>
    <row r="43" spans="1:26" ht="15.75" x14ac:dyDescent="0.25">
      <c r="A43" s="48" t="s">
        <v>398</v>
      </c>
      <c r="B43" s="25" t="s">
        <v>195</v>
      </c>
      <c r="C43" s="43">
        <v>70991.95</v>
      </c>
      <c r="D43" s="43">
        <v>33840.76</v>
      </c>
      <c r="E43" s="45">
        <f>F43-D43</f>
        <v>35044.239999999998</v>
      </c>
      <c r="F43" s="43">
        <v>68885</v>
      </c>
      <c r="G43" s="43">
        <v>37860</v>
      </c>
      <c r="H43" s="57">
        <v>37860</v>
      </c>
      <c r="I43" s="60"/>
    </row>
    <row r="44" spans="1:26" ht="15.75" x14ac:dyDescent="0.25">
      <c r="A44" s="48" t="s">
        <v>400</v>
      </c>
      <c r="B44" s="25" t="s">
        <v>221</v>
      </c>
      <c r="C44" s="43">
        <v>0</v>
      </c>
      <c r="D44" s="43">
        <v>0</v>
      </c>
      <c r="E44" s="45">
        <v>0</v>
      </c>
      <c r="F44" s="43">
        <v>0</v>
      </c>
      <c r="G44" s="43">
        <v>22100</v>
      </c>
      <c r="H44" s="57">
        <v>22100</v>
      </c>
    </row>
    <row r="45" spans="1:26" ht="15.75" x14ac:dyDescent="0.25">
      <c r="A45" s="48" t="s">
        <v>538</v>
      </c>
      <c r="B45" s="25" t="s">
        <v>223</v>
      </c>
      <c r="C45" s="43">
        <v>0</v>
      </c>
      <c r="D45" s="43">
        <v>0</v>
      </c>
      <c r="E45" s="45">
        <v>0</v>
      </c>
      <c r="F45" s="43">
        <v>0</v>
      </c>
      <c r="G45" s="43">
        <v>20000</v>
      </c>
      <c r="H45" s="57">
        <v>20000</v>
      </c>
    </row>
    <row r="46" spans="1:26" ht="15.75" x14ac:dyDescent="0.25">
      <c r="A46" s="48" t="s">
        <v>402</v>
      </c>
      <c r="B46" s="25" t="s">
        <v>225</v>
      </c>
      <c r="C46" s="43">
        <v>141908.54</v>
      </c>
      <c r="D46" s="43">
        <v>36216.800000000003</v>
      </c>
      <c r="E46" s="45">
        <f t="shared" ref="E46:E48" si="6">F46-D46</f>
        <v>36870.199999999997</v>
      </c>
      <c r="F46" s="43">
        <v>73087</v>
      </c>
      <c r="G46" s="43">
        <v>53294</v>
      </c>
      <c r="H46" s="57">
        <v>53294</v>
      </c>
    </row>
    <row r="47" spans="1:26" ht="15.75" x14ac:dyDescent="0.25">
      <c r="A47" s="17" t="s">
        <v>503</v>
      </c>
      <c r="B47" s="41"/>
      <c r="C47" s="56"/>
      <c r="D47" s="43"/>
      <c r="E47" s="45">
        <f t="shared" si="6"/>
        <v>0</v>
      </c>
      <c r="F47" s="45"/>
      <c r="G47" s="45"/>
    </row>
    <row r="48" spans="1:26" ht="15.75" x14ac:dyDescent="0.25">
      <c r="A48" s="44" t="s">
        <v>504</v>
      </c>
      <c r="B48" s="41" t="s">
        <v>237</v>
      </c>
      <c r="C48" s="56">
        <v>24000</v>
      </c>
      <c r="D48" s="43">
        <v>8000.04</v>
      </c>
      <c r="E48" s="45">
        <f t="shared" si="6"/>
        <v>15999.96</v>
      </c>
      <c r="F48" s="45">
        <v>24000</v>
      </c>
      <c r="G48" s="45">
        <f>24000+45600</f>
        <v>69600</v>
      </c>
      <c r="H48" s="57">
        <v>69600</v>
      </c>
    </row>
    <row r="49" spans="1:11" ht="15.75" x14ac:dyDescent="0.25">
      <c r="A49" s="17" t="s">
        <v>424</v>
      </c>
      <c r="B49" s="41"/>
      <c r="C49" s="56"/>
      <c r="D49" s="43"/>
      <c r="E49" s="45"/>
      <c r="F49" s="45"/>
      <c r="G49" s="45"/>
    </row>
    <row r="50" spans="1:11" ht="15.75" x14ac:dyDescent="0.25">
      <c r="A50" s="44" t="s">
        <v>424</v>
      </c>
      <c r="B50" s="41" t="s">
        <v>335</v>
      </c>
      <c r="C50" s="45">
        <v>1227274.24</v>
      </c>
      <c r="D50" s="43">
        <v>524276</v>
      </c>
      <c r="E50" s="45">
        <f>F50-D50</f>
        <v>771994</v>
      </c>
      <c r="F50" s="45">
        <v>1296270</v>
      </c>
      <c r="G50" s="45">
        <f>8880+21750+21750+50690+29970+50320+50320+4442256+55200</f>
        <v>4731136</v>
      </c>
    </row>
    <row r="51" spans="1:11" ht="15.75" x14ac:dyDescent="0.25">
      <c r="A51" s="96" t="s">
        <v>705</v>
      </c>
      <c r="B51" s="41"/>
      <c r="C51" s="45"/>
      <c r="D51" s="43"/>
      <c r="E51" s="45"/>
      <c r="F51" s="45"/>
      <c r="G51" s="45"/>
      <c r="H51" s="175"/>
      <c r="I51" s="7"/>
    </row>
    <row r="52" spans="1:11" ht="15.75" x14ac:dyDescent="0.25">
      <c r="A52" s="96" t="s">
        <v>706</v>
      </c>
      <c r="B52" s="41"/>
      <c r="C52" s="45"/>
      <c r="D52" s="43"/>
      <c r="E52" s="45"/>
      <c r="F52" s="45"/>
      <c r="G52" s="45"/>
      <c r="H52" s="175"/>
      <c r="I52" s="7"/>
    </row>
    <row r="53" spans="1:11" ht="15.75" x14ac:dyDescent="0.25">
      <c r="A53" s="96" t="s">
        <v>707</v>
      </c>
      <c r="B53" s="41"/>
      <c r="C53" s="45"/>
      <c r="D53" s="43"/>
      <c r="E53" s="45"/>
      <c r="F53" s="45"/>
      <c r="G53" s="45"/>
      <c r="H53" s="175"/>
      <c r="I53" s="7"/>
    </row>
    <row r="54" spans="1:11" ht="15.75" x14ac:dyDescent="0.25">
      <c r="A54" s="96" t="s">
        <v>708</v>
      </c>
      <c r="B54" s="41"/>
      <c r="C54" s="45"/>
      <c r="D54" s="43"/>
      <c r="E54" s="45"/>
      <c r="F54" s="45"/>
      <c r="G54" s="45"/>
      <c r="H54" s="175"/>
      <c r="I54" s="7"/>
    </row>
    <row r="55" spans="1:11" ht="15.75" x14ac:dyDescent="0.25">
      <c r="A55" s="96" t="s">
        <v>709</v>
      </c>
      <c r="B55" s="41"/>
      <c r="C55" s="45"/>
      <c r="D55" s="43"/>
      <c r="E55" s="45"/>
      <c r="F55" s="45"/>
      <c r="G55" s="45"/>
      <c r="H55" s="175"/>
      <c r="I55" s="7"/>
    </row>
    <row r="56" spans="1:11" ht="15.75" x14ac:dyDescent="0.25">
      <c r="A56" s="96" t="s">
        <v>710</v>
      </c>
      <c r="B56" s="41"/>
      <c r="C56" s="45"/>
      <c r="D56" s="43"/>
      <c r="E56" s="45"/>
      <c r="F56" s="45"/>
      <c r="G56" s="45"/>
      <c r="H56" s="175"/>
      <c r="I56" s="7"/>
    </row>
    <row r="57" spans="1:11" ht="15.75" x14ac:dyDescent="0.25">
      <c r="A57" s="629" t="s">
        <v>711</v>
      </c>
      <c r="B57" s="483"/>
      <c r="C57" s="452"/>
      <c r="D57" s="457"/>
      <c r="E57" s="452"/>
      <c r="F57" s="452"/>
      <c r="G57" s="452"/>
      <c r="H57" s="175"/>
      <c r="I57" s="7"/>
    </row>
    <row r="58" spans="1:11" ht="15.75" x14ac:dyDescent="0.25">
      <c r="A58" s="630" t="s">
        <v>712</v>
      </c>
      <c r="B58" s="601"/>
      <c r="C58" s="449"/>
      <c r="D58" s="448"/>
      <c r="E58" s="449"/>
      <c r="F58" s="449"/>
      <c r="G58" s="449"/>
      <c r="H58" s="175"/>
      <c r="I58" s="7"/>
    </row>
    <row r="59" spans="1:11" ht="15.75" x14ac:dyDescent="0.25">
      <c r="A59" s="96" t="s">
        <v>648</v>
      </c>
      <c r="B59" s="41"/>
      <c r="C59" s="45"/>
      <c r="D59" s="43"/>
      <c r="E59" s="45"/>
      <c r="F59" s="45"/>
      <c r="G59" s="45"/>
      <c r="H59" s="175"/>
      <c r="I59" s="7"/>
    </row>
    <row r="60" spans="1:11" ht="31.5" x14ac:dyDescent="0.25">
      <c r="A60" s="90" t="s">
        <v>713</v>
      </c>
      <c r="B60" s="41"/>
      <c r="C60" s="45"/>
      <c r="D60" s="43"/>
      <c r="E60" s="45"/>
      <c r="F60" s="45"/>
      <c r="G60" s="45"/>
      <c r="H60" s="175">
        <v>21</v>
      </c>
      <c r="I60" s="7">
        <f>26*12</f>
        <v>312</v>
      </c>
      <c r="J60" s="57">
        <f>678</f>
        <v>678</v>
      </c>
      <c r="K60" s="57">
        <f>J60*I60*H60</f>
        <v>4442256</v>
      </c>
    </row>
    <row r="61" spans="1:11" ht="15.75" x14ac:dyDescent="0.25">
      <c r="A61" s="42" t="s">
        <v>466</v>
      </c>
      <c r="B61" s="41"/>
      <c r="C61" s="79">
        <f>SUM(C37:C50)</f>
        <v>1567273.93</v>
      </c>
      <c r="D61" s="54">
        <f>SUM(D37:D50)</f>
        <v>654705.02</v>
      </c>
      <c r="E61" s="79">
        <f>F61-D61</f>
        <v>957536.98</v>
      </c>
      <c r="F61" s="79">
        <f>SUM(F37:F50)</f>
        <v>1612242</v>
      </c>
      <c r="G61" s="79">
        <f>SUM(G37:G50)</f>
        <v>5133990</v>
      </c>
      <c r="H61" s="175"/>
      <c r="I61" s="7"/>
    </row>
    <row r="62" spans="1:11" ht="15.75" x14ac:dyDescent="0.25">
      <c r="A62" s="42"/>
      <c r="B62" s="80"/>
      <c r="C62" s="81"/>
      <c r="D62" s="55"/>
      <c r="E62" s="45"/>
      <c r="F62" s="163"/>
      <c r="G62" s="55"/>
      <c r="H62" s="7"/>
      <c r="I62" s="7"/>
    </row>
    <row r="63" spans="1:11" ht="15.75" x14ac:dyDescent="0.25">
      <c r="A63" s="17" t="s">
        <v>467</v>
      </c>
      <c r="B63" s="20"/>
      <c r="C63" s="56">
        <f>C61+C33</f>
        <v>4769694.58</v>
      </c>
      <c r="D63" s="56">
        <f>D61+D33</f>
        <v>2274997.44</v>
      </c>
      <c r="E63" s="56">
        <f>E61+E33</f>
        <v>3545952.56</v>
      </c>
      <c r="F63" s="56">
        <f>F61+F33</f>
        <v>5820950</v>
      </c>
      <c r="G63" s="43">
        <f>G61+G33</f>
        <v>9567708</v>
      </c>
      <c r="H63" s="7"/>
    </row>
    <row r="64" spans="1:11" ht="15.75" x14ac:dyDescent="0.25">
      <c r="A64" s="42"/>
      <c r="B64" s="25"/>
      <c r="C64" s="56"/>
      <c r="D64" s="43"/>
      <c r="E64" s="45"/>
      <c r="F64" s="443"/>
      <c r="G64" s="444"/>
    </row>
    <row r="65" spans="1:8" ht="15.75" x14ac:dyDescent="0.25">
      <c r="A65" s="42" t="s">
        <v>529</v>
      </c>
      <c r="B65" s="25"/>
      <c r="C65" s="56"/>
      <c r="D65" s="43"/>
      <c r="E65" s="45"/>
      <c r="F65" s="443"/>
      <c r="G65" s="444"/>
    </row>
    <row r="66" spans="1:8" ht="15.75" x14ac:dyDescent="0.25">
      <c r="A66" s="17" t="s">
        <v>476</v>
      </c>
      <c r="B66" s="41"/>
      <c r="C66" s="26"/>
      <c r="D66" s="43"/>
      <c r="E66" s="45"/>
      <c r="F66" s="443"/>
      <c r="G66" s="444"/>
    </row>
    <row r="67" spans="1:8" ht="15.75" x14ac:dyDescent="0.25">
      <c r="A67" s="44" t="s">
        <v>639</v>
      </c>
      <c r="B67" s="41" t="s">
        <v>47</v>
      </c>
      <c r="C67" s="26">
        <v>74900</v>
      </c>
      <c r="D67" s="43">
        <v>0</v>
      </c>
      <c r="E67" s="45">
        <f>F67-D67</f>
        <v>55000</v>
      </c>
      <c r="F67" s="484">
        <v>55000</v>
      </c>
      <c r="G67" s="444">
        <f>55000*2</f>
        <v>110000</v>
      </c>
      <c r="H67" s="57">
        <v>110000</v>
      </c>
    </row>
    <row r="68" spans="1:8" ht="15.75" x14ac:dyDescent="0.25">
      <c r="A68" s="96" t="s">
        <v>714</v>
      </c>
      <c r="B68" s="20"/>
      <c r="C68" s="56"/>
      <c r="D68" s="43"/>
      <c r="E68" s="45"/>
      <c r="F68" s="484"/>
      <c r="G68" s="444"/>
    </row>
    <row r="69" spans="1:8" ht="15.75" x14ac:dyDescent="0.25">
      <c r="A69" s="17" t="s">
        <v>536</v>
      </c>
      <c r="B69" s="20"/>
      <c r="C69" s="54">
        <f t="shared" ref="C69:D69" si="7">SUM(C67)</f>
        <v>74900</v>
      </c>
      <c r="D69" s="54">
        <f t="shared" si="7"/>
        <v>0</v>
      </c>
      <c r="E69" s="79">
        <f>F69-D69</f>
        <v>55000</v>
      </c>
      <c r="F69" s="498">
        <f t="shared" ref="F69:G69" si="8">SUM(F67)</f>
        <v>55000</v>
      </c>
      <c r="G69" s="491">
        <f t="shared" si="8"/>
        <v>110000</v>
      </c>
    </row>
    <row r="70" spans="1:8" ht="15.75" x14ac:dyDescent="0.25">
      <c r="A70" s="17"/>
      <c r="B70" s="20"/>
      <c r="C70" s="56"/>
      <c r="D70" s="43"/>
      <c r="E70" s="45"/>
      <c r="F70" s="498"/>
      <c r="G70" s="516"/>
    </row>
    <row r="71" spans="1:8" ht="15.75" x14ac:dyDescent="0.25">
      <c r="A71" s="631" t="s">
        <v>487</v>
      </c>
      <c r="B71" s="632" t="s">
        <v>488</v>
      </c>
      <c r="C71" s="633">
        <f t="shared" ref="C71:D71" si="9">+C69+C63</f>
        <v>4844594.58</v>
      </c>
      <c r="D71" s="634">
        <f t="shared" si="9"/>
        <v>2274997.44</v>
      </c>
      <c r="E71" s="635">
        <f>F71-D71</f>
        <v>3600952.56</v>
      </c>
      <c r="F71" s="633">
        <f t="shared" ref="F71:G71" si="10">+F69+F63</f>
        <v>5875950</v>
      </c>
      <c r="G71" s="636">
        <f t="shared" si="10"/>
        <v>9677708</v>
      </c>
    </row>
    <row r="72" spans="1:8" ht="15.75" x14ac:dyDescent="0.25">
      <c r="A72" s="637"/>
      <c r="B72" s="638"/>
      <c r="C72" s="637"/>
      <c r="D72" s="637"/>
      <c r="E72" s="637"/>
      <c r="F72" s="637"/>
      <c r="G72" s="639"/>
    </row>
    <row r="73" spans="1:8" ht="15.75" x14ac:dyDescent="0.25">
      <c r="A73" s="17"/>
      <c r="B73" s="25"/>
      <c r="C73" s="24"/>
      <c r="D73" s="24"/>
      <c r="E73" s="24"/>
      <c r="F73" s="24"/>
    </row>
    <row r="74" spans="1:8" ht="15.75" x14ac:dyDescent="0.25">
      <c r="A74" s="17"/>
      <c r="B74" s="25"/>
      <c r="C74" s="24"/>
      <c r="D74" s="24"/>
      <c r="E74" s="24"/>
      <c r="F74" s="24"/>
    </row>
    <row r="75" spans="1:8" ht="15.75" x14ac:dyDescent="0.25">
      <c r="A75" s="17"/>
      <c r="B75" s="25"/>
      <c r="C75" s="24"/>
      <c r="D75" s="24"/>
      <c r="E75" s="24"/>
      <c r="F75" s="24"/>
    </row>
    <row r="76" spans="1:8" ht="15.75" x14ac:dyDescent="0.25">
      <c r="A76" s="17"/>
      <c r="B76" s="25"/>
      <c r="C76" s="24"/>
      <c r="D76" s="24"/>
      <c r="E76" s="24"/>
      <c r="F76" s="24"/>
    </row>
    <row r="77" spans="1:8" ht="15.75" x14ac:dyDescent="0.25">
      <c r="A77" s="17"/>
      <c r="B77" s="25"/>
      <c r="C77" s="24"/>
      <c r="D77" s="24"/>
      <c r="E77" s="24"/>
      <c r="F77" s="24"/>
    </row>
    <row r="78" spans="1:8" ht="15.75" x14ac:dyDescent="0.25">
      <c r="A78" s="17"/>
      <c r="B78" s="25"/>
      <c r="C78" s="24"/>
      <c r="D78" s="24"/>
      <c r="E78" s="24"/>
      <c r="F78" s="24"/>
    </row>
    <row r="79" spans="1:8" ht="15.75" x14ac:dyDescent="0.25">
      <c r="A79" s="17"/>
      <c r="B79" s="25"/>
      <c r="C79" s="24"/>
      <c r="D79" s="24"/>
      <c r="E79" s="24"/>
      <c r="F79" s="24"/>
    </row>
    <row r="80" spans="1:8" ht="15.75" x14ac:dyDescent="0.25">
      <c r="A80" s="17"/>
      <c r="B80" s="25"/>
      <c r="C80" s="24"/>
      <c r="D80" s="24"/>
      <c r="E80" s="24"/>
      <c r="F80" s="24"/>
    </row>
    <row r="81" spans="1:6" ht="15.75" x14ac:dyDescent="0.25">
      <c r="A81" s="17"/>
      <c r="B81" s="25"/>
      <c r="C81" s="24"/>
      <c r="D81" s="24"/>
      <c r="E81" s="24"/>
      <c r="F81" s="24"/>
    </row>
    <row r="82" spans="1:6" ht="15.75" x14ac:dyDescent="0.25">
      <c r="A82" s="17"/>
      <c r="B82" s="25"/>
      <c r="C82" s="24"/>
      <c r="D82" s="24"/>
      <c r="E82" s="24"/>
      <c r="F82" s="24"/>
    </row>
    <row r="83" spans="1:6" ht="15.75" x14ac:dyDescent="0.25">
      <c r="A83" s="17"/>
      <c r="B83" s="25"/>
      <c r="C83" s="24"/>
      <c r="D83" s="24"/>
      <c r="E83" s="24"/>
      <c r="F83" s="24"/>
    </row>
    <row r="84" spans="1:6" ht="15.75" x14ac:dyDescent="0.25">
      <c r="A84" s="17"/>
      <c r="B84" s="25"/>
      <c r="C84" s="24"/>
      <c r="D84" s="24"/>
      <c r="E84" s="24"/>
      <c r="F84" s="24"/>
    </row>
    <row r="85" spans="1:6" ht="15.75" x14ac:dyDescent="0.25">
      <c r="A85" s="17"/>
      <c r="B85" s="25"/>
      <c r="C85" s="24"/>
      <c r="D85" s="24"/>
      <c r="E85" s="24"/>
      <c r="F85" s="24"/>
    </row>
    <row r="86" spans="1:6" ht="15.75" x14ac:dyDescent="0.25">
      <c r="A86" s="17"/>
      <c r="B86" s="25"/>
      <c r="C86" s="24"/>
      <c r="D86" s="24"/>
      <c r="E86" s="24"/>
      <c r="F86" s="24"/>
    </row>
    <row r="87" spans="1:6" ht="15.75" x14ac:dyDescent="0.25">
      <c r="A87" s="17"/>
      <c r="B87" s="25"/>
      <c r="C87" s="24"/>
      <c r="D87" s="24"/>
      <c r="E87" s="24"/>
      <c r="F87" s="24"/>
    </row>
    <row r="88" spans="1:6" ht="15.75" x14ac:dyDescent="0.25">
      <c r="A88" s="17"/>
      <c r="B88" s="25"/>
      <c r="C88" s="24"/>
      <c r="D88" s="24"/>
      <c r="E88" s="24"/>
      <c r="F88" s="24"/>
    </row>
    <row r="89" spans="1:6" ht="15.75" x14ac:dyDescent="0.25">
      <c r="A89" s="17"/>
      <c r="B89" s="25"/>
      <c r="C89" s="24"/>
      <c r="D89" s="24"/>
      <c r="E89" s="24"/>
      <c r="F89" s="24"/>
    </row>
    <row r="90" spans="1:6" ht="15.75" x14ac:dyDescent="0.25">
      <c r="A90" s="17"/>
      <c r="B90" s="25"/>
      <c r="C90" s="24"/>
      <c r="D90" s="24"/>
      <c r="E90" s="24"/>
      <c r="F90" s="24"/>
    </row>
    <row r="91" spans="1:6" ht="15.75" x14ac:dyDescent="0.25">
      <c r="A91" s="17"/>
      <c r="B91" s="25"/>
      <c r="C91" s="24"/>
      <c r="D91" s="24"/>
      <c r="E91" s="24"/>
      <c r="F91" s="24"/>
    </row>
    <row r="92" spans="1:6" ht="15.75" x14ac:dyDescent="0.25">
      <c r="A92" s="17"/>
      <c r="B92" s="25"/>
      <c r="C92" s="24"/>
      <c r="D92" s="24"/>
      <c r="E92" s="24"/>
      <c r="F92" s="24"/>
    </row>
    <row r="93" spans="1:6" ht="15.75" x14ac:dyDescent="0.25">
      <c r="A93" s="17"/>
      <c r="B93" s="25"/>
      <c r="C93" s="24"/>
      <c r="D93" s="24"/>
      <c r="E93" s="24"/>
      <c r="F93" s="24"/>
    </row>
    <row r="94" spans="1:6" ht="15.75" x14ac:dyDescent="0.25">
      <c r="A94" s="17"/>
      <c r="B94" s="25"/>
      <c r="C94" s="24"/>
      <c r="D94" s="24"/>
      <c r="E94" s="24"/>
      <c r="F94" s="24"/>
    </row>
    <row r="95" spans="1:6" ht="15.75" x14ac:dyDescent="0.25">
      <c r="A95" s="17"/>
      <c r="B95" s="25"/>
      <c r="C95" s="24"/>
      <c r="D95" s="24"/>
      <c r="E95" s="24"/>
      <c r="F95" s="24"/>
    </row>
    <row r="96" spans="1:6" ht="15.75" x14ac:dyDescent="0.25">
      <c r="A96" s="17"/>
      <c r="B96" s="25"/>
      <c r="C96" s="24"/>
      <c r="D96" s="24"/>
      <c r="E96" s="24"/>
      <c r="F96" s="24"/>
    </row>
    <row r="97" spans="1:6" ht="15.75" x14ac:dyDescent="0.25">
      <c r="A97" s="17"/>
      <c r="B97" s="25"/>
      <c r="C97" s="24"/>
      <c r="D97" s="24"/>
      <c r="E97" s="24"/>
      <c r="F97" s="24"/>
    </row>
    <row r="98" spans="1:6" ht="15.75" x14ac:dyDescent="0.25">
      <c r="A98" s="17"/>
      <c r="B98" s="25"/>
      <c r="C98" s="24"/>
      <c r="D98" s="24"/>
      <c r="E98" s="24"/>
      <c r="F98" s="24"/>
    </row>
    <row r="99" spans="1:6" ht="15.75" x14ac:dyDescent="0.25">
      <c r="A99" s="17"/>
      <c r="B99" s="25"/>
      <c r="C99" s="24"/>
      <c r="D99" s="24"/>
      <c r="E99" s="24"/>
      <c r="F99" s="24"/>
    </row>
    <row r="100" spans="1:6" ht="15.75" x14ac:dyDescent="0.25">
      <c r="A100" s="17"/>
      <c r="B100" s="25"/>
      <c r="C100" s="24"/>
      <c r="D100" s="24"/>
      <c r="E100" s="24"/>
      <c r="F100" s="24"/>
    </row>
    <row r="101" spans="1:6" ht="15.75" x14ac:dyDescent="0.25">
      <c r="A101" s="17"/>
      <c r="B101" s="25"/>
      <c r="C101" s="24"/>
      <c r="D101" s="24"/>
      <c r="E101" s="24"/>
      <c r="F101" s="24"/>
    </row>
    <row r="102" spans="1:6" ht="15.75" x14ac:dyDescent="0.25">
      <c r="A102" s="17"/>
      <c r="B102" s="25"/>
      <c r="C102" s="24"/>
      <c r="D102" s="24"/>
      <c r="E102" s="24"/>
      <c r="F102" s="24"/>
    </row>
    <row r="103" spans="1:6" ht="15.75" x14ac:dyDescent="0.25">
      <c r="A103" s="17"/>
      <c r="B103" s="25"/>
      <c r="C103" s="24"/>
      <c r="D103" s="24"/>
      <c r="E103" s="24"/>
      <c r="F103" s="24"/>
    </row>
    <row r="104" spans="1:6" ht="15.75" x14ac:dyDescent="0.25">
      <c r="A104" s="17"/>
      <c r="B104" s="25"/>
      <c r="C104" s="24"/>
      <c r="D104" s="24"/>
      <c r="E104" s="24"/>
      <c r="F104" s="24"/>
    </row>
    <row r="105" spans="1:6" ht="15.75" x14ac:dyDescent="0.25">
      <c r="A105" s="17"/>
      <c r="B105" s="25"/>
      <c r="C105" s="24"/>
      <c r="D105" s="24"/>
      <c r="E105" s="24"/>
      <c r="F105" s="24"/>
    </row>
    <row r="106" spans="1:6" ht="15.75" x14ac:dyDescent="0.25">
      <c r="A106" s="17"/>
      <c r="B106" s="25"/>
      <c r="C106" s="24"/>
      <c r="D106" s="24"/>
      <c r="E106" s="24"/>
      <c r="F106" s="24"/>
    </row>
    <row r="107" spans="1:6" ht="15.75" x14ac:dyDescent="0.25">
      <c r="A107" s="17"/>
      <c r="B107" s="25"/>
      <c r="C107" s="24"/>
      <c r="D107" s="24"/>
      <c r="E107" s="24"/>
      <c r="F107" s="24"/>
    </row>
    <row r="108" spans="1:6" ht="15.75" x14ac:dyDescent="0.25">
      <c r="A108" s="17"/>
      <c r="B108" s="25"/>
      <c r="C108" s="24"/>
      <c r="D108" s="24"/>
      <c r="E108" s="24"/>
      <c r="F108" s="24"/>
    </row>
    <row r="109" spans="1:6" ht="15.75" x14ac:dyDescent="0.25">
      <c r="A109" s="17"/>
      <c r="B109" s="25"/>
      <c r="C109" s="24"/>
      <c r="D109" s="24"/>
      <c r="E109" s="24"/>
      <c r="F109" s="24"/>
    </row>
    <row r="110" spans="1:6" ht="15.75" x14ac:dyDescent="0.25">
      <c r="A110" s="17"/>
      <c r="B110" s="25"/>
      <c r="C110" s="24"/>
      <c r="D110" s="24"/>
      <c r="E110" s="24"/>
      <c r="F110" s="24"/>
    </row>
    <row r="111" spans="1:6" ht="15.75" x14ac:dyDescent="0.25">
      <c r="A111" s="17"/>
      <c r="B111" s="25"/>
      <c r="C111" s="24"/>
      <c r="D111" s="24"/>
      <c r="E111" s="24"/>
      <c r="F111" s="24"/>
    </row>
    <row r="112" spans="1:6" ht="15.75" x14ac:dyDescent="0.25">
      <c r="A112" s="17"/>
      <c r="B112" s="25"/>
      <c r="C112" s="24"/>
      <c r="D112" s="24"/>
      <c r="E112" s="24"/>
      <c r="F112" s="24"/>
    </row>
    <row r="113" spans="1:6" ht="15.75" x14ac:dyDescent="0.25">
      <c r="A113" s="17"/>
      <c r="B113" s="25"/>
      <c r="C113" s="24"/>
      <c r="D113" s="24"/>
      <c r="E113" s="24"/>
      <c r="F113" s="24"/>
    </row>
    <row r="114" spans="1:6" ht="15.75" x14ac:dyDescent="0.25">
      <c r="A114" s="17"/>
      <c r="B114" s="25"/>
      <c r="C114" s="24"/>
      <c r="D114" s="24"/>
      <c r="E114" s="24"/>
      <c r="F114" s="24"/>
    </row>
    <row r="115" spans="1:6" ht="15.75" x14ac:dyDescent="0.25">
      <c r="A115" s="17"/>
      <c r="B115" s="25"/>
      <c r="C115" s="24"/>
      <c r="D115" s="24"/>
      <c r="E115" s="24"/>
      <c r="F115" s="24"/>
    </row>
    <row r="116" spans="1:6" ht="15.75" x14ac:dyDescent="0.25">
      <c r="A116" s="17"/>
      <c r="B116" s="25"/>
      <c r="C116" s="24"/>
      <c r="D116" s="24"/>
      <c r="E116" s="24"/>
      <c r="F116" s="24"/>
    </row>
    <row r="117" spans="1:6" ht="15.75" x14ac:dyDescent="0.25">
      <c r="A117" s="17"/>
      <c r="B117" s="25"/>
      <c r="C117" s="24"/>
      <c r="D117" s="24"/>
      <c r="E117" s="24"/>
      <c r="F117" s="24"/>
    </row>
    <row r="118" spans="1:6" ht="15.75" x14ac:dyDescent="0.25">
      <c r="A118" s="17"/>
      <c r="B118" s="25"/>
      <c r="C118" s="24"/>
      <c r="D118" s="24"/>
      <c r="E118" s="24"/>
      <c r="F118" s="24"/>
    </row>
    <row r="119" spans="1:6" ht="15.75" x14ac:dyDescent="0.25">
      <c r="A119" s="17"/>
      <c r="B119" s="25"/>
      <c r="C119" s="24"/>
      <c r="D119" s="24"/>
      <c r="E119" s="24"/>
      <c r="F119" s="24"/>
    </row>
    <row r="120" spans="1:6" ht="15.75" x14ac:dyDescent="0.25">
      <c r="A120" s="17"/>
      <c r="B120" s="25"/>
      <c r="C120" s="24"/>
      <c r="D120" s="24"/>
      <c r="E120" s="24"/>
      <c r="F120" s="24"/>
    </row>
    <row r="121" spans="1:6" ht="15.75" x14ac:dyDescent="0.25">
      <c r="A121" s="17"/>
      <c r="B121" s="25"/>
      <c r="C121" s="24"/>
      <c r="D121" s="24"/>
      <c r="E121" s="24"/>
      <c r="F121" s="24"/>
    </row>
    <row r="122" spans="1:6" ht="15.75" x14ac:dyDescent="0.25">
      <c r="A122" s="17"/>
      <c r="B122" s="25"/>
      <c r="C122" s="24"/>
      <c r="D122" s="24"/>
      <c r="E122" s="24"/>
      <c r="F122" s="24"/>
    </row>
    <row r="123" spans="1:6" ht="15.75" x14ac:dyDescent="0.25">
      <c r="A123" s="17"/>
      <c r="B123" s="25"/>
      <c r="C123" s="24"/>
      <c r="D123" s="24"/>
      <c r="E123" s="24"/>
      <c r="F123" s="24"/>
    </row>
    <row r="124" spans="1:6" ht="15.75" x14ac:dyDescent="0.25">
      <c r="A124" s="17"/>
      <c r="B124" s="25"/>
      <c r="C124" s="24"/>
      <c r="D124" s="24"/>
      <c r="E124" s="24"/>
      <c r="F124" s="24"/>
    </row>
    <row r="125" spans="1:6" ht="15.75" x14ac:dyDescent="0.25">
      <c r="A125" s="17"/>
      <c r="B125" s="25"/>
      <c r="C125" s="24"/>
      <c r="D125" s="24"/>
      <c r="E125" s="24"/>
      <c r="F125" s="24"/>
    </row>
    <row r="126" spans="1:6" ht="15.75" x14ac:dyDescent="0.25">
      <c r="A126" s="17"/>
      <c r="B126" s="25"/>
      <c r="C126" s="24"/>
      <c r="D126" s="24"/>
      <c r="E126" s="24"/>
      <c r="F126" s="24"/>
    </row>
    <row r="127" spans="1:6" ht="15.75" x14ac:dyDescent="0.25">
      <c r="A127" s="17"/>
      <c r="B127" s="25"/>
      <c r="C127" s="24"/>
      <c r="D127" s="24"/>
      <c r="E127" s="24"/>
      <c r="F127" s="24"/>
    </row>
    <row r="128" spans="1:6" ht="15.75" x14ac:dyDescent="0.25">
      <c r="A128" s="17"/>
      <c r="B128" s="25"/>
      <c r="C128" s="24"/>
      <c r="D128" s="24"/>
      <c r="E128" s="24"/>
      <c r="F128" s="24"/>
    </row>
    <row r="129" spans="1:6" ht="15.75" x14ac:dyDescent="0.25">
      <c r="A129" s="17"/>
      <c r="B129" s="25"/>
      <c r="C129" s="24"/>
      <c r="D129" s="24"/>
      <c r="E129" s="24"/>
      <c r="F129" s="24"/>
    </row>
    <row r="130" spans="1:6" ht="15.75" x14ac:dyDescent="0.25">
      <c r="A130" s="17"/>
      <c r="B130" s="25"/>
      <c r="C130" s="24"/>
      <c r="D130" s="24"/>
      <c r="E130" s="24"/>
      <c r="F130" s="24"/>
    </row>
    <row r="131" spans="1:6" ht="15.75" x14ac:dyDescent="0.25">
      <c r="A131" s="17"/>
      <c r="B131" s="25"/>
      <c r="C131" s="24"/>
      <c r="D131" s="24"/>
      <c r="E131" s="24"/>
      <c r="F131" s="24"/>
    </row>
    <row r="132" spans="1:6" ht="15.75" x14ac:dyDescent="0.25">
      <c r="A132" s="17"/>
      <c r="B132" s="25"/>
      <c r="C132" s="24"/>
      <c r="D132" s="24"/>
      <c r="E132" s="24"/>
      <c r="F132" s="24"/>
    </row>
    <row r="133" spans="1:6" ht="15.75" x14ac:dyDescent="0.25">
      <c r="A133" s="17"/>
      <c r="B133" s="25"/>
      <c r="C133" s="24"/>
      <c r="D133" s="24"/>
      <c r="E133" s="24"/>
      <c r="F133" s="24"/>
    </row>
    <row r="134" spans="1:6" ht="15.75" x14ac:dyDescent="0.25">
      <c r="A134" s="17"/>
      <c r="B134" s="25"/>
      <c r="C134" s="24"/>
      <c r="D134" s="24"/>
      <c r="E134" s="24"/>
      <c r="F134" s="24"/>
    </row>
    <row r="135" spans="1:6" ht="15.75" x14ac:dyDescent="0.25">
      <c r="A135" s="17"/>
      <c r="B135" s="25"/>
      <c r="C135" s="24"/>
      <c r="D135" s="24"/>
      <c r="E135" s="24"/>
      <c r="F135" s="24"/>
    </row>
    <row r="136" spans="1:6" ht="15.75" x14ac:dyDescent="0.25">
      <c r="A136" s="17"/>
      <c r="B136" s="25"/>
      <c r="C136" s="24"/>
      <c r="D136" s="24"/>
      <c r="E136" s="24"/>
      <c r="F136" s="24"/>
    </row>
    <row r="137" spans="1:6" ht="15.75" x14ac:dyDescent="0.25">
      <c r="A137" s="17"/>
      <c r="B137" s="25"/>
      <c r="C137" s="24"/>
      <c r="D137" s="24"/>
      <c r="E137" s="24"/>
      <c r="F137" s="24"/>
    </row>
    <row r="138" spans="1:6" ht="15.75" x14ac:dyDescent="0.25">
      <c r="A138" s="17"/>
      <c r="B138" s="25"/>
      <c r="C138" s="24"/>
      <c r="D138" s="24"/>
      <c r="E138" s="24"/>
      <c r="F138" s="24"/>
    </row>
    <row r="139" spans="1:6" ht="15.75" x14ac:dyDescent="0.25">
      <c r="A139" s="17"/>
      <c r="B139" s="25"/>
      <c r="C139" s="24"/>
      <c r="D139" s="24"/>
      <c r="E139" s="24"/>
      <c r="F139" s="24"/>
    </row>
    <row r="140" spans="1:6" ht="15.75" x14ac:dyDescent="0.25">
      <c r="A140" s="17"/>
      <c r="B140" s="25"/>
      <c r="C140" s="24"/>
      <c r="D140" s="24"/>
      <c r="E140" s="24"/>
      <c r="F140" s="24"/>
    </row>
    <row r="141" spans="1:6" ht="15.75" x14ac:dyDescent="0.25">
      <c r="A141" s="17"/>
      <c r="B141" s="25"/>
      <c r="C141" s="24"/>
      <c r="D141" s="24"/>
      <c r="E141" s="24"/>
      <c r="F141" s="24"/>
    </row>
    <row r="142" spans="1:6" ht="15.75" x14ac:dyDescent="0.25">
      <c r="A142" s="17"/>
      <c r="B142" s="25"/>
      <c r="C142" s="24"/>
      <c r="D142" s="24"/>
      <c r="E142" s="24"/>
      <c r="F142" s="24"/>
    </row>
    <row r="143" spans="1:6" ht="15.75" x14ac:dyDescent="0.25">
      <c r="A143" s="17"/>
      <c r="B143" s="25"/>
      <c r="C143" s="24"/>
      <c r="D143" s="24"/>
      <c r="E143" s="24"/>
      <c r="F143" s="24"/>
    </row>
    <row r="144" spans="1:6" ht="15.75" x14ac:dyDescent="0.25">
      <c r="A144" s="17"/>
      <c r="B144" s="25"/>
      <c r="C144" s="24"/>
      <c r="D144" s="24"/>
      <c r="E144" s="24"/>
      <c r="F144" s="24"/>
    </row>
    <row r="145" spans="1:6" ht="15.75" x14ac:dyDescent="0.25">
      <c r="A145" s="17"/>
      <c r="B145" s="25"/>
      <c r="C145" s="24"/>
      <c r="D145" s="24"/>
      <c r="E145" s="24"/>
      <c r="F145" s="24"/>
    </row>
    <row r="146" spans="1:6" ht="15.75" x14ac:dyDescent="0.25">
      <c r="A146" s="17"/>
      <c r="B146" s="25"/>
      <c r="C146" s="24"/>
      <c r="D146" s="24"/>
      <c r="E146" s="24"/>
      <c r="F146" s="24"/>
    </row>
    <row r="147" spans="1:6" ht="15.75" x14ac:dyDescent="0.25">
      <c r="A147" s="17"/>
      <c r="B147" s="25"/>
      <c r="C147" s="24"/>
      <c r="D147" s="24"/>
      <c r="E147" s="24"/>
      <c r="F147" s="24"/>
    </row>
    <row r="148" spans="1:6" ht="15.75" x14ac:dyDescent="0.25">
      <c r="A148" s="17"/>
      <c r="B148" s="25"/>
      <c r="C148" s="24"/>
      <c r="D148" s="24"/>
      <c r="E148" s="24"/>
      <c r="F148" s="24"/>
    </row>
    <row r="149" spans="1:6" ht="15.75" x14ac:dyDescent="0.25">
      <c r="A149" s="17"/>
      <c r="B149" s="25"/>
      <c r="C149" s="24"/>
      <c r="D149" s="24"/>
      <c r="E149" s="24"/>
      <c r="F149" s="24"/>
    </row>
    <row r="150" spans="1:6" ht="15.75" x14ac:dyDescent="0.25">
      <c r="A150" s="17"/>
      <c r="B150" s="25"/>
      <c r="C150" s="24"/>
      <c r="D150" s="24"/>
      <c r="E150" s="24"/>
      <c r="F150" s="24"/>
    </row>
    <row r="151" spans="1:6" ht="15.75" x14ac:dyDescent="0.25">
      <c r="A151" s="17"/>
      <c r="B151" s="25"/>
      <c r="C151" s="24"/>
      <c r="D151" s="24"/>
      <c r="E151" s="24"/>
      <c r="F151" s="24"/>
    </row>
    <row r="152" spans="1:6" ht="15.75" x14ac:dyDescent="0.25">
      <c r="A152" s="17"/>
      <c r="B152" s="25"/>
      <c r="C152" s="24"/>
      <c r="D152" s="24"/>
      <c r="E152" s="24"/>
      <c r="F152" s="24"/>
    </row>
    <row r="153" spans="1:6" ht="15.75" x14ac:dyDescent="0.25">
      <c r="A153" s="17"/>
      <c r="B153" s="25"/>
      <c r="C153" s="24"/>
      <c r="D153" s="24"/>
      <c r="E153" s="24"/>
      <c r="F153" s="24"/>
    </row>
    <row r="154" spans="1:6" ht="15.75" x14ac:dyDescent="0.25">
      <c r="A154" s="17"/>
      <c r="B154" s="25"/>
      <c r="C154" s="24"/>
      <c r="D154" s="24"/>
      <c r="E154" s="24"/>
      <c r="F154" s="24"/>
    </row>
    <row r="155" spans="1:6" ht="15.75" x14ac:dyDescent="0.25">
      <c r="A155" s="17"/>
      <c r="B155" s="25"/>
      <c r="C155" s="24"/>
      <c r="D155" s="24"/>
      <c r="E155" s="24"/>
      <c r="F155" s="24"/>
    </row>
    <row r="156" spans="1:6" ht="15.75" x14ac:dyDescent="0.25">
      <c r="A156" s="17"/>
      <c r="B156" s="25"/>
      <c r="C156" s="24"/>
      <c r="D156" s="24"/>
      <c r="E156" s="24"/>
      <c r="F156" s="24"/>
    </row>
    <row r="157" spans="1:6" ht="15.75" x14ac:dyDescent="0.25">
      <c r="A157" s="17"/>
      <c r="B157" s="25"/>
      <c r="C157" s="24"/>
      <c r="D157" s="24"/>
      <c r="E157" s="24"/>
      <c r="F157" s="24"/>
    </row>
    <row r="158" spans="1:6" ht="15.75" x14ac:dyDescent="0.25">
      <c r="A158" s="17"/>
      <c r="B158" s="25"/>
      <c r="C158" s="24"/>
      <c r="D158" s="24"/>
      <c r="E158" s="24"/>
      <c r="F158" s="24"/>
    </row>
    <row r="159" spans="1:6" ht="15.75" x14ac:dyDescent="0.25">
      <c r="A159" s="17"/>
      <c r="B159" s="25"/>
      <c r="C159" s="24"/>
      <c r="D159" s="24"/>
      <c r="E159" s="24"/>
      <c r="F159" s="24"/>
    </row>
    <row r="160" spans="1:6" ht="15.75" x14ac:dyDescent="0.25">
      <c r="A160" s="17"/>
      <c r="B160" s="25"/>
      <c r="C160" s="24"/>
      <c r="D160" s="24"/>
      <c r="E160" s="24"/>
      <c r="F160" s="24"/>
    </row>
    <row r="161" spans="1:6" ht="15.75" x14ac:dyDescent="0.25">
      <c r="A161" s="17"/>
      <c r="B161" s="25"/>
      <c r="C161" s="24"/>
      <c r="D161" s="24"/>
      <c r="E161" s="24"/>
      <c r="F161" s="24"/>
    </row>
    <row r="162" spans="1:6" ht="15.75" x14ac:dyDescent="0.25">
      <c r="A162" s="17"/>
      <c r="B162" s="25"/>
      <c r="C162" s="24"/>
      <c r="D162" s="24"/>
      <c r="E162" s="24"/>
      <c r="F162" s="24"/>
    </row>
    <row r="163" spans="1:6" ht="15.75" x14ac:dyDescent="0.25">
      <c r="A163" s="17"/>
      <c r="B163" s="25"/>
      <c r="C163" s="24"/>
      <c r="D163" s="24"/>
      <c r="E163" s="24"/>
      <c r="F163" s="24"/>
    </row>
    <row r="164" spans="1:6" ht="15.75" x14ac:dyDescent="0.25">
      <c r="A164" s="17"/>
      <c r="B164" s="25"/>
      <c r="C164" s="24"/>
      <c r="D164" s="24"/>
      <c r="E164" s="24"/>
      <c r="F164" s="24"/>
    </row>
    <row r="165" spans="1:6" ht="15.75" x14ac:dyDescent="0.25">
      <c r="A165" s="17"/>
      <c r="B165" s="25"/>
      <c r="C165" s="24"/>
      <c r="D165" s="24"/>
      <c r="E165" s="24"/>
      <c r="F165" s="24"/>
    </row>
    <row r="166" spans="1:6" ht="15.75" x14ac:dyDescent="0.25">
      <c r="A166" s="17"/>
      <c r="B166" s="25"/>
      <c r="C166" s="24"/>
      <c r="D166" s="24"/>
      <c r="E166" s="24"/>
      <c r="F166" s="24"/>
    </row>
    <row r="167" spans="1:6" ht="15.75" x14ac:dyDescent="0.25">
      <c r="A167" s="17"/>
      <c r="B167" s="25"/>
      <c r="C167" s="24"/>
      <c r="D167" s="24"/>
      <c r="E167" s="24"/>
      <c r="F167" s="24"/>
    </row>
    <row r="168" spans="1:6" ht="15.75" x14ac:dyDescent="0.25">
      <c r="A168" s="17"/>
      <c r="B168" s="25"/>
      <c r="C168" s="24"/>
      <c r="D168" s="24"/>
      <c r="E168" s="24"/>
      <c r="F168" s="24"/>
    </row>
    <row r="169" spans="1:6" ht="15.75" x14ac:dyDescent="0.25">
      <c r="A169" s="17"/>
      <c r="B169" s="25"/>
      <c r="C169" s="24"/>
      <c r="D169" s="24"/>
      <c r="E169" s="24"/>
      <c r="F169" s="24"/>
    </row>
    <row r="170" spans="1:6" ht="15.75" x14ac:dyDescent="0.25">
      <c r="A170" s="17"/>
      <c r="B170" s="25"/>
      <c r="C170" s="24"/>
      <c r="D170" s="24"/>
      <c r="E170" s="24"/>
      <c r="F170" s="24"/>
    </row>
    <row r="171" spans="1:6" ht="15.75" x14ac:dyDescent="0.25">
      <c r="A171" s="17"/>
      <c r="B171" s="25"/>
      <c r="C171" s="24"/>
      <c r="D171" s="24"/>
      <c r="E171" s="24"/>
      <c r="F171" s="24"/>
    </row>
    <row r="172" spans="1:6" ht="15.75" x14ac:dyDescent="0.25">
      <c r="A172" s="17"/>
      <c r="B172" s="25"/>
      <c r="C172" s="24"/>
      <c r="D172" s="24"/>
      <c r="E172" s="24"/>
      <c r="F172" s="24"/>
    </row>
    <row r="173" spans="1:6" ht="15.75" x14ac:dyDescent="0.25">
      <c r="A173" s="17"/>
      <c r="B173" s="25"/>
      <c r="C173" s="24"/>
      <c r="D173" s="24"/>
      <c r="E173" s="24"/>
      <c r="F173" s="24"/>
    </row>
    <row r="174" spans="1:6" ht="15.75" x14ac:dyDescent="0.25">
      <c r="A174" s="17"/>
      <c r="B174" s="25"/>
      <c r="C174" s="24"/>
      <c r="D174" s="24"/>
      <c r="E174" s="24"/>
      <c r="F174" s="24"/>
    </row>
    <row r="175" spans="1:6" ht="15.75" x14ac:dyDescent="0.25">
      <c r="A175" s="17"/>
      <c r="B175" s="25"/>
      <c r="C175" s="24"/>
      <c r="D175" s="24"/>
      <c r="E175" s="24"/>
      <c r="F175" s="24"/>
    </row>
    <row r="176" spans="1:6" ht="15.75" x14ac:dyDescent="0.25">
      <c r="A176" s="17"/>
      <c r="B176" s="25"/>
      <c r="C176" s="24"/>
      <c r="D176" s="24"/>
      <c r="E176" s="24"/>
      <c r="F176" s="24"/>
    </row>
    <row r="177" spans="1:6" ht="15.75" x14ac:dyDescent="0.25">
      <c r="A177" s="17"/>
      <c r="B177" s="25"/>
      <c r="C177" s="24"/>
      <c r="D177" s="24"/>
      <c r="E177" s="24"/>
      <c r="F177" s="24"/>
    </row>
    <row r="178" spans="1:6" ht="15.75" x14ac:dyDescent="0.25">
      <c r="A178" s="17"/>
      <c r="B178" s="25"/>
      <c r="C178" s="24"/>
      <c r="D178" s="24"/>
      <c r="E178" s="24"/>
      <c r="F178" s="24"/>
    </row>
    <row r="179" spans="1:6" ht="15.75" x14ac:dyDescent="0.25">
      <c r="A179" s="17"/>
      <c r="B179" s="25"/>
      <c r="C179" s="24"/>
      <c r="D179" s="24"/>
      <c r="E179" s="24"/>
      <c r="F179" s="24"/>
    </row>
    <row r="180" spans="1:6" ht="15.75" x14ac:dyDescent="0.25">
      <c r="A180" s="17"/>
      <c r="B180" s="25"/>
      <c r="C180" s="24"/>
      <c r="D180" s="24"/>
      <c r="E180" s="24"/>
      <c r="F180" s="24"/>
    </row>
    <row r="181" spans="1:6" ht="15.75" x14ac:dyDescent="0.25">
      <c r="A181" s="17"/>
      <c r="B181" s="25"/>
      <c r="C181" s="24"/>
      <c r="D181" s="24"/>
      <c r="E181" s="24"/>
      <c r="F181" s="24"/>
    </row>
    <row r="182" spans="1:6" ht="15.75" x14ac:dyDescent="0.25">
      <c r="A182" s="17"/>
      <c r="B182" s="25"/>
      <c r="C182" s="24"/>
      <c r="D182" s="24"/>
      <c r="E182" s="24"/>
      <c r="F182" s="24"/>
    </row>
    <row r="183" spans="1:6" ht="15.75" x14ac:dyDescent="0.25">
      <c r="A183" s="17"/>
      <c r="B183" s="25"/>
      <c r="C183" s="24"/>
      <c r="D183" s="24"/>
      <c r="E183" s="24"/>
      <c r="F183" s="24"/>
    </row>
    <row r="184" spans="1:6" ht="15.75" x14ac:dyDescent="0.25">
      <c r="A184" s="17"/>
      <c r="B184" s="25"/>
      <c r="C184" s="24"/>
      <c r="D184" s="24"/>
      <c r="E184" s="24"/>
      <c r="F184" s="24"/>
    </row>
    <row r="185" spans="1:6" ht="15.75" x14ac:dyDescent="0.25">
      <c r="A185" s="17"/>
      <c r="B185" s="25"/>
      <c r="C185" s="24"/>
      <c r="D185" s="24"/>
      <c r="E185" s="24"/>
      <c r="F185" s="24"/>
    </row>
    <row r="186" spans="1:6" ht="15.75" x14ac:dyDescent="0.25">
      <c r="A186" s="17"/>
      <c r="B186" s="25"/>
      <c r="C186" s="24"/>
      <c r="D186" s="24"/>
      <c r="E186" s="24"/>
      <c r="F186" s="24"/>
    </row>
    <row r="187" spans="1:6" ht="15.75" x14ac:dyDescent="0.25">
      <c r="A187" s="17"/>
      <c r="B187" s="25"/>
      <c r="C187" s="24"/>
      <c r="D187" s="24"/>
      <c r="E187" s="24"/>
      <c r="F187" s="24"/>
    </row>
    <row r="188" spans="1:6" ht="15.75" x14ac:dyDescent="0.25">
      <c r="A188" s="17"/>
      <c r="B188" s="25"/>
      <c r="C188" s="24"/>
      <c r="D188" s="24"/>
      <c r="E188" s="24"/>
      <c r="F188" s="24"/>
    </row>
    <row r="189" spans="1:6" ht="15.75" x14ac:dyDescent="0.25">
      <c r="A189" s="17"/>
      <c r="B189" s="25"/>
      <c r="C189" s="24"/>
      <c r="D189" s="24"/>
      <c r="E189" s="24"/>
      <c r="F189" s="24"/>
    </row>
    <row r="190" spans="1:6" ht="15.75" x14ac:dyDescent="0.25">
      <c r="A190" s="17"/>
      <c r="B190" s="25"/>
      <c r="C190" s="24"/>
      <c r="D190" s="24"/>
      <c r="E190" s="24"/>
      <c r="F190" s="24"/>
    </row>
    <row r="191" spans="1:6" ht="15.75" x14ac:dyDescent="0.25">
      <c r="A191" s="17"/>
      <c r="B191" s="25"/>
      <c r="C191" s="24"/>
      <c r="D191" s="24"/>
      <c r="E191" s="24"/>
      <c r="F191" s="24"/>
    </row>
    <row r="192" spans="1:6" ht="15.75" x14ac:dyDescent="0.25">
      <c r="A192" s="17"/>
      <c r="B192" s="25"/>
      <c r="C192" s="24"/>
      <c r="D192" s="24"/>
      <c r="E192" s="24"/>
      <c r="F192" s="24"/>
    </row>
    <row r="193" spans="1:6" ht="15.75" x14ac:dyDescent="0.25">
      <c r="A193" s="17"/>
      <c r="B193" s="25"/>
      <c r="C193" s="24"/>
      <c r="D193" s="24"/>
      <c r="E193" s="24"/>
      <c r="F193" s="24"/>
    </row>
    <row r="194" spans="1:6" ht="15.75" x14ac:dyDescent="0.25">
      <c r="A194" s="17"/>
      <c r="B194" s="25"/>
      <c r="C194" s="24"/>
      <c r="D194" s="24"/>
      <c r="E194" s="24"/>
      <c r="F194" s="24"/>
    </row>
    <row r="195" spans="1:6" ht="15.75" x14ac:dyDescent="0.25">
      <c r="A195" s="17"/>
      <c r="B195" s="25"/>
      <c r="C195" s="24"/>
      <c r="D195" s="24"/>
      <c r="E195" s="24"/>
      <c r="F195" s="24"/>
    </row>
    <row r="196" spans="1:6" ht="15.75" x14ac:dyDescent="0.25">
      <c r="A196" s="17"/>
      <c r="B196" s="25"/>
      <c r="C196" s="24"/>
      <c r="D196" s="24"/>
      <c r="E196" s="24"/>
      <c r="F196" s="24"/>
    </row>
    <row r="197" spans="1:6" ht="15.75" x14ac:dyDescent="0.25">
      <c r="A197" s="17"/>
      <c r="B197" s="25"/>
      <c r="C197" s="24"/>
      <c r="D197" s="24"/>
      <c r="E197" s="24"/>
      <c r="F197" s="24"/>
    </row>
    <row r="198" spans="1:6" ht="15.75" x14ac:dyDescent="0.25">
      <c r="A198" s="17"/>
      <c r="B198" s="25"/>
      <c r="C198" s="24"/>
      <c r="D198" s="24"/>
      <c r="E198" s="24"/>
      <c r="F198" s="24"/>
    </row>
    <row r="199" spans="1:6" ht="15.75" x14ac:dyDescent="0.25">
      <c r="A199" s="17"/>
      <c r="B199" s="25"/>
      <c r="C199" s="24"/>
      <c r="D199" s="24"/>
      <c r="E199" s="24"/>
      <c r="F199" s="24"/>
    </row>
    <row r="200" spans="1:6" ht="15.75" x14ac:dyDescent="0.25">
      <c r="A200" s="17"/>
      <c r="B200" s="25"/>
      <c r="C200" s="24"/>
      <c r="D200" s="24"/>
      <c r="E200" s="24"/>
      <c r="F200" s="24"/>
    </row>
    <row r="201" spans="1:6" ht="15.75" x14ac:dyDescent="0.25">
      <c r="A201" s="17"/>
      <c r="B201" s="25"/>
      <c r="C201" s="24"/>
      <c r="D201" s="24"/>
      <c r="E201" s="24"/>
      <c r="F201" s="24"/>
    </row>
    <row r="202" spans="1:6" ht="15.75" x14ac:dyDescent="0.25">
      <c r="A202" s="17"/>
      <c r="B202" s="25"/>
      <c r="C202" s="24"/>
      <c r="D202" s="24"/>
      <c r="E202" s="24"/>
      <c r="F202" s="24"/>
    </row>
    <row r="203" spans="1:6" ht="15.75" x14ac:dyDescent="0.25">
      <c r="A203" s="17"/>
      <c r="B203" s="25"/>
      <c r="C203" s="24"/>
      <c r="D203" s="24"/>
      <c r="E203" s="24"/>
      <c r="F203" s="24"/>
    </row>
    <row r="204" spans="1:6" ht="15.75" x14ac:dyDescent="0.25">
      <c r="A204" s="17"/>
      <c r="B204" s="25"/>
      <c r="C204" s="24"/>
      <c r="D204" s="24"/>
      <c r="E204" s="24"/>
      <c r="F204" s="24"/>
    </row>
    <row r="205" spans="1:6" ht="15.75" x14ac:dyDescent="0.25">
      <c r="A205" s="17"/>
      <c r="B205" s="25"/>
      <c r="C205" s="24"/>
      <c r="D205" s="24"/>
      <c r="E205" s="24"/>
      <c r="F205" s="24"/>
    </row>
    <row r="206" spans="1:6" ht="15.75" x14ac:dyDescent="0.25">
      <c r="A206" s="17"/>
      <c r="B206" s="25"/>
      <c r="C206" s="24"/>
      <c r="D206" s="24"/>
      <c r="E206" s="24"/>
      <c r="F206" s="24"/>
    </row>
    <row r="207" spans="1:6" ht="15.75" x14ac:dyDescent="0.25">
      <c r="A207" s="17"/>
      <c r="B207" s="25"/>
      <c r="C207" s="24"/>
      <c r="D207" s="24"/>
      <c r="E207" s="24"/>
      <c r="F207" s="24"/>
    </row>
    <row r="208" spans="1:6" ht="15.75" x14ac:dyDescent="0.25">
      <c r="A208" s="17"/>
      <c r="B208" s="25"/>
      <c r="C208" s="24"/>
      <c r="D208" s="24"/>
      <c r="E208" s="24"/>
      <c r="F208" s="24"/>
    </row>
    <row r="209" spans="1:6" ht="15.75" x14ac:dyDescent="0.25">
      <c r="A209" s="17"/>
      <c r="B209" s="25"/>
      <c r="C209" s="24"/>
      <c r="D209" s="24"/>
      <c r="E209" s="24"/>
      <c r="F209" s="24"/>
    </row>
    <row r="210" spans="1:6" ht="15.75" x14ac:dyDescent="0.25">
      <c r="A210" s="17"/>
      <c r="B210" s="25"/>
      <c r="C210" s="24"/>
      <c r="D210" s="24"/>
      <c r="E210" s="24"/>
      <c r="F210" s="24"/>
    </row>
    <row r="211" spans="1:6" ht="15.75" x14ac:dyDescent="0.25">
      <c r="A211" s="17"/>
      <c r="B211" s="25"/>
      <c r="C211" s="24"/>
      <c r="D211" s="24"/>
      <c r="E211" s="24"/>
      <c r="F211" s="24"/>
    </row>
    <row r="212" spans="1:6" ht="15.75" x14ac:dyDescent="0.25">
      <c r="A212" s="17"/>
      <c r="B212" s="25"/>
      <c r="C212" s="24"/>
      <c r="D212" s="24"/>
      <c r="E212" s="24"/>
      <c r="F212" s="24"/>
    </row>
    <row r="213" spans="1:6" ht="15.75" x14ac:dyDescent="0.25">
      <c r="A213" s="17"/>
      <c r="B213" s="25"/>
      <c r="C213" s="24"/>
      <c r="D213" s="24"/>
      <c r="E213" s="24"/>
      <c r="F213" s="24"/>
    </row>
    <row r="214" spans="1:6" ht="15.75" x14ac:dyDescent="0.25">
      <c r="A214" s="17"/>
      <c r="B214" s="25"/>
      <c r="C214" s="24"/>
      <c r="D214" s="24"/>
      <c r="E214" s="24"/>
      <c r="F214" s="24"/>
    </row>
    <row r="215" spans="1:6" ht="15.75" x14ac:dyDescent="0.25">
      <c r="A215" s="17"/>
      <c r="B215" s="25"/>
      <c r="C215" s="24"/>
      <c r="D215" s="24"/>
      <c r="E215" s="24"/>
      <c r="F215" s="24"/>
    </row>
    <row r="216" spans="1:6" ht="15.75" x14ac:dyDescent="0.25">
      <c r="A216" s="17"/>
      <c r="B216" s="25"/>
      <c r="C216" s="24"/>
      <c r="D216" s="24"/>
      <c r="E216" s="24"/>
      <c r="F216" s="24"/>
    </row>
    <row r="217" spans="1:6" ht="15.75" x14ac:dyDescent="0.25">
      <c r="A217" s="17"/>
      <c r="B217" s="25"/>
      <c r="C217" s="24"/>
      <c r="D217" s="24"/>
      <c r="E217" s="24"/>
      <c r="F217" s="24"/>
    </row>
    <row r="218" spans="1:6" ht="15.75" x14ac:dyDescent="0.25">
      <c r="A218" s="17"/>
      <c r="B218" s="25"/>
      <c r="C218" s="24"/>
      <c r="D218" s="24"/>
      <c r="E218" s="24"/>
      <c r="F218" s="24"/>
    </row>
    <row r="219" spans="1:6" ht="15.75" x14ac:dyDescent="0.25">
      <c r="A219" s="17"/>
      <c r="B219" s="25"/>
      <c r="C219" s="24"/>
      <c r="D219" s="24"/>
      <c r="E219" s="24"/>
      <c r="F219" s="24"/>
    </row>
    <row r="220" spans="1:6" ht="15.75" x14ac:dyDescent="0.25">
      <c r="A220" s="17"/>
      <c r="B220" s="25"/>
      <c r="C220" s="24"/>
      <c r="D220" s="24"/>
      <c r="E220" s="24"/>
      <c r="F220" s="24"/>
    </row>
    <row r="221" spans="1:6" ht="15.75" x14ac:dyDescent="0.25">
      <c r="A221" s="17"/>
      <c r="B221" s="25"/>
      <c r="C221" s="24"/>
      <c r="D221" s="24"/>
      <c r="E221" s="24"/>
      <c r="F221" s="24"/>
    </row>
    <row r="222" spans="1:6" ht="15.75" x14ac:dyDescent="0.25">
      <c r="A222" s="17"/>
      <c r="B222" s="25"/>
      <c r="C222" s="24"/>
      <c r="D222" s="24"/>
      <c r="E222" s="24"/>
      <c r="F222" s="24"/>
    </row>
    <row r="223" spans="1:6" ht="15.75" x14ac:dyDescent="0.25">
      <c r="A223" s="17"/>
      <c r="B223" s="25"/>
      <c r="C223" s="24"/>
      <c r="D223" s="24"/>
      <c r="E223" s="24"/>
      <c r="F223" s="24"/>
    </row>
    <row r="224" spans="1:6" ht="15.75" x14ac:dyDescent="0.25">
      <c r="A224" s="17"/>
      <c r="B224" s="25"/>
      <c r="C224" s="24"/>
      <c r="D224" s="24"/>
      <c r="E224" s="24"/>
      <c r="F224" s="24"/>
    </row>
    <row r="225" spans="1:6" ht="15.75" x14ac:dyDescent="0.25">
      <c r="A225" s="17"/>
      <c r="B225" s="25"/>
      <c r="C225" s="24"/>
      <c r="D225" s="24"/>
      <c r="E225" s="24"/>
      <c r="F225" s="24"/>
    </row>
    <row r="226" spans="1:6" ht="15.75" x14ac:dyDescent="0.25">
      <c r="A226" s="17"/>
      <c r="B226" s="25"/>
      <c r="C226" s="24"/>
      <c r="D226" s="24"/>
      <c r="E226" s="24"/>
      <c r="F226" s="24"/>
    </row>
    <row r="227" spans="1:6" ht="15.75" x14ac:dyDescent="0.25">
      <c r="A227" s="17"/>
      <c r="B227" s="25"/>
      <c r="C227" s="24"/>
      <c r="D227" s="24"/>
      <c r="E227" s="24"/>
      <c r="F227" s="24"/>
    </row>
    <row r="228" spans="1:6" ht="15.75" x14ac:dyDescent="0.25">
      <c r="A228" s="17"/>
      <c r="B228" s="25"/>
      <c r="C228" s="24"/>
      <c r="D228" s="24"/>
      <c r="E228" s="24"/>
      <c r="F228" s="24"/>
    </row>
    <row r="229" spans="1:6" ht="15.75" x14ac:dyDescent="0.25">
      <c r="A229" s="17"/>
      <c r="B229" s="25"/>
      <c r="C229" s="24"/>
      <c r="D229" s="24"/>
      <c r="E229" s="24"/>
      <c r="F229" s="24"/>
    </row>
    <row r="230" spans="1:6" ht="15.75" x14ac:dyDescent="0.25">
      <c r="A230" s="17"/>
      <c r="B230" s="25"/>
      <c r="C230" s="24"/>
      <c r="D230" s="24"/>
      <c r="E230" s="24"/>
      <c r="F230" s="24"/>
    </row>
    <row r="231" spans="1:6" ht="15.75" x14ac:dyDescent="0.25">
      <c r="A231" s="17"/>
      <c r="B231" s="25"/>
      <c r="C231" s="24"/>
      <c r="D231" s="24"/>
      <c r="E231" s="24"/>
      <c r="F231" s="24"/>
    </row>
    <row r="232" spans="1:6" ht="15.75" x14ac:dyDescent="0.25">
      <c r="A232" s="17"/>
      <c r="B232" s="25"/>
      <c r="C232" s="24"/>
      <c r="D232" s="24"/>
      <c r="E232" s="24"/>
      <c r="F232" s="24"/>
    </row>
    <row r="233" spans="1:6" ht="15.75" x14ac:dyDescent="0.25">
      <c r="A233" s="17"/>
      <c r="B233" s="25"/>
      <c r="C233" s="24"/>
      <c r="D233" s="24"/>
      <c r="E233" s="24"/>
      <c r="F233" s="24"/>
    </row>
    <row r="234" spans="1:6" ht="15.75" x14ac:dyDescent="0.25">
      <c r="A234" s="17"/>
      <c r="B234" s="25"/>
      <c r="C234" s="24"/>
      <c r="D234" s="24"/>
      <c r="E234" s="24"/>
      <c r="F234" s="24"/>
    </row>
    <row r="235" spans="1:6" ht="15.75" x14ac:dyDescent="0.25">
      <c r="A235" s="17"/>
      <c r="B235" s="25"/>
      <c r="C235" s="24"/>
      <c r="D235" s="24"/>
      <c r="E235" s="24"/>
      <c r="F235" s="24"/>
    </row>
    <row r="236" spans="1:6" ht="15.75" x14ac:dyDescent="0.25">
      <c r="A236" s="17"/>
      <c r="B236" s="25"/>
      <c r="C236" s="24"/>
      <c r="D236" s="24"/>
      <c r="E236" s="24"/>
      <c r="F236" s="24"/>
    </row>
    <row r="237" spans="1:6" ht="15.75" x14ac:dyDescent="0.25">
      <c r="A237" s="17"/>
      <c r="B237" s="25"/>
      <c r="C237" s="24"/>
      <c r="D237" s="24"/>
      <c r="E237" s="24"/>
      <c r="F237" s="24"/>
    </row>
    <row r="238" spans="1:6" ht="15.75" x14ac:dyDescent="0.25">
      <c r="A238" s="17"/>
      <c r="B238" s="25"/>
      <c r="C238" s="24"/>
      <c r="D238" s="24"/>
      <c r="E238" s="24"/>
      <c r="F238" s="24"/>
    </row>
    <row r="239" spans="1:6" ht="15.75" x14ac:dyDescent="0.25">
      <c r="A239" s="17"/>
      <c r="B239" s="25"/>
      <c r="C239" s="24"/>
      <c r="D239" s="24"/>
      <c r="E239" s="24"/>
      <c r="F239" s="24"/>
    </row>
    <row r="240" spans="1:6" ht="15.75" x14ac:dyDescent="0.25">
      <c r="A240" s="17"/>
      <c r="B240" s="25"/>
      <c r="C240" s="24"/>
      <c r="D240" s="24"/>
      <c r="E240" s="24"/>
      <c r="F240" s="24"/>
    </row>
    <row r="241" spans="1:6" ht="15.75" x14ac:dyDescent="0.25">
      <c r="A241" s="17"/>
      <c r="B241" s="25"/>
      <c r="C241" s="24"/>
      <c r="D241" s="24"/>
      <c r="E241" s="24"/>
      <c r="F241" s="24"/>
    </row>
    <row r="242" spans="1:6" ht="15.75" x14ac:dyDescent="0.25">
      <c r="A242" s="17"/>
      <c r="B242" s="25"/>
      <c r="C242" s="24"/>
      <c r="D242" s="24"/>
      <c r="E242" s="24"/>
      <c r="F242" s="24"/>
    </row>
    <row r="243" spans="1:6" ht="15.75" x14ac:dyDescent="0.25">
      <c r="A243" s="17"/>
      <c r="B243" s="25"/>
      <c r="C243" s="24"/>
      <c r="D243" s="24"/>
      <c r="E243" s="24"/>
      <c r="F243" s="24"/>
    </row>
    <row r="244" spans="1:6" ht="15.75" x14ac:dyDescent="0.25">
      <c r="A244" s="17"/>
      <c r="B244" s="25"/>
      <c r="C244" s="24"/>
      <c r="D244" s="24"/>
      <c r="E244" s="24"/>
      <c r="F244" s="24"/>
    </row>
    <row r="245" spans="1:6" ht="15.75" x14ac:dyDescent="0.25">
      <c r="A245" s="17"/>
      <c r="B245" s="25"/>
      <c r="C245" s="24"/>
      <c r="D245" s="24"/>
      <c r="E245" s="24"/>
      <c r="F245" s="24"/>
    </row>
    <row r="246" spans="1:6" ht="15.75" x14ac:dyDescent="0.25">
      <c r="A246" s="17"/>
      <c r="B246" s="25"/>
      <c r="C246" s="24"/>
      <c r="D246" s="24"/>
      <c r="E246" s="24"/>
      <c r="F246" s="24"/>
    </row>
    <row r="247" spans="1:6" ht="15.75" x14ac:dyDescent="0.25">
      <c r="A247" s="17"/>
      <c r="B247" s="25"/>
      <c r="C247" s="24"/>
      <c r="D247" s="24"/>
      <c r="E247" s="24"/>
      <c r="F247" s="24"/>
    </row>
    <row r="248" spans="1:6" ht="15.75" x14ac:dyDescent="0.25">
      <c r="A248" s="17"/>
      <c r="B248" s="25"/>
      <c r="C248" s="24"/>
      <c r="D248" s="24"/>
      <c r="E248" s="24"/>
      <c r="F248" s="24"/>
    </row>
    <row r="249" spans="1:6" ht="15.75" x14ac:dyDescent="0.25">
      <c r="A249" s="17"/>
      <c r="B249" s="25"/>
      <c r="C249" s="24"/>
      <c r="D249" s="24"/>
      <c r="E249" s="24"/>
      <c r="F249" s="24"/>
    </row>
    <row r="250" spans="1:6" ht="15.75" x14ac:dyDescent="0.25">
      <c r="A250" s="17"/>
      <c r="B250" s="25"/>
      <c r="C250" s="24"/>
      <c r="D250" s="24"/>
      <c r="E250" s="24"/>
      <c r="F250" s="24"/>
    </row>
    <row r="251" spans="1:6" ht="15.75" x14ac:dyDescent="0.25">
      <c r="A251" s="17"/>
      <c r="B251" s="25"/>
      <c r="C251" s="24"/>
      <c r="D251" s="24"/>
      <c r="E251" s="24"/>
      <c r="F251" s="24"/>
    </row>
    <row r="252" spans="1:6" ht="15.75" x14ac:dyDescent="0.25">
      <c r="A252" s="17"/>
      <c r="B252" s="25"/>
      <c r="C252" s="24"/>
      <c r="D252" s="24"/>
      <c r="E252" s="24"/>
      <c r="F252" s="24"/>
    </row>
    <row r="253" spans="1:6" ht="15.75" x14ac:dyDescent="0.25">
      <c r="A253" s="17"/>
      <c r="B253" s="25"/>
      <c r="C253" s="24"/>
      <c r="D253" s="24"/>
      <c r="E253" s="24"/>
      <c r="F253" s="24"/>
    </row>
    <row r="254" spans="1:6" ht="15.75" x14ac:dyDescent="0.25">
      <c r="A254" s="17"/>
      <c r="B254" s="25"/>
      <c r="C254" s="24"/>
      <c r="D254" s="24"/>
      <c r="E254" s="24"/>
      <c r="F254" s="24"/>
    </row>
    <row r="255" spans="1:6" ht="15.75" x14ac:dyDescent="0.25">
      <c r="A255" s="17"/>
      <c r="B255" s="25"/>
      <c r="C255" s="24"/>
      <c r="D255" s="24"/>
      <c r="E255" s="24"/>
      <c r="F255" s="24"/>
    </row>
    <row r="256" spans="1:6" ht="15.75" x14ac:dyDescent="0.25">
      <c r="A256" s="17"/>
      <c r="B256" s="25"/>
      <c r="C256" s="24"/>
      <c r="D256" s="24"/>
      <c r="E256" s="24"/>
      <c r="F256" s="24"/>
    </row>
    <row r="257" spans="1:6" ht="15.75" x14ac:dyDescent="0.25">
      <c r="A257" s="17"/>
      <c r="B257" s="25"/>
      <c r="C257" s="24"/>
      <c r="D257" s="24"/>
      <c r="E257" s="24"/>
      <c r="F257" s="24"/>
    </row>
    <row r="258" spans="1:6" ht="15.75" x14ac:dyDescent="0.25">
      <c r="A258" s="17"/>
      <c r="B258" s="25"/>
      <c r="C258" s="24"/>
      <c r="D258" s="24"/>
      <c r="E258" s="24"/>
      <c r="F258" s="24"/>
    </row>
    <row r="259" spans="1:6" ht="15.75" x14ac:dyDescent="0.25">
      <c r="A259" s="17"/>
      <c r="B259" s="25"/>
      <c r="C259" s="24"/>
      <c r="D259" s="24"/>
      <c r="E259" s="24"/>
      <c r="F259" s="24"/>
    </row>
    <row r="260" spans="1:6" ht="15.75" x14ac:dyDescent="0.25">
      <c r="A260" s="17"/>
      <c r="B260" s="25"/>
      <c r="C260" s="24"/>
      <c r="D260" s="24"/>
      <c r="E260" s="24"/>
      <c r="F260" s="24"/>
    </row>
    <row r="261" spans="1:6" ht="15.75" x14ac:dyDescent="0.25">
      <c r="A261" s="17"/>
      <c r="B261" s="25"/>
      <c r="C261" s="24"/>
      <c r="D261" s="24"/>
      <c r="E261" s="24"/>
      <c r="F261" s="24"/>
    </row>
    <row r="262" spans="1:6" ht="15.75" x14ac:dyDescent="0.25">
      <c r="A262" s="17"/>
      <c r="B262" s="25"/>
      <c r="C262" s="24"/>
      <c r="D262" s="24"/>
      <c r="E262" s="24"/>
      <c r="F262" s="24"/>
    </row>
    <row r="263" spans="1:6" ht="15.75" x14ac:dyDescent="0.25">
      <c r="A263" s="17"/>
      <c r="B263" s="25"/>
      <c r="C263" s="24"/>
      <c r="D263" s="24"/>
      <c r="E263" s="24"/>
      <c r="F263" s="24"/>
    </row>
    <row r="264" spans="1:6" ht="15.75" x14ac:dyDescent="0.25">
      <c r="A264" s="17"/>
      <c r="B264" s="25"/>
      <c r="C264" s="24"/>
      <c r="D264" s="24"/>
      <c r="E264" s="24"/>
      <c r="F264" s="24"/>
    </row>
    <row r="265" spans="1:6" ht="15.75" x14ac:dyDescent="0.25">
      <c r="A265" s="17"/>
      <c r="B265" s="25"/>
      <c r="C265" s="24"/>
      <c r="D265" s="24"/>
      <c r="E265" s="24"/>
      <c r="F265" s="24"/>
    </row>
    <row r="266" spans="1:6" ht="15.75" x14ac:dyDescent="0.25">
      <c r="A266" s="17"/>
      <c r="B266" s="25"/>
      <c r="C266" s="24"/>
      <c r="D266" s="24"/>
      <c r="E266" s="24"/>
      <c r="F266" s="24"/>
    </row>
    <row r="267" spans="1:6" ht="15.75" x14ac:dyDescent="0.25">
      <c r="A267" s="17"/>
      <c r="B267" s="25"/>
      <c r="C267" s="24"/>
      <c r="D267" s="24"/>
      <c r="E267" s="24"/>
      <c r="F267" s="24"/>
    </row>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5"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29"/>
  <sheetViews>
    <sheetView view="pageBreakPreview" zoomScale="115" zoomScaleNormal="100" zoomScaleSheetLayoutView="115" workbookViewId="0">
      <selection activeCell="A61" sqref="A61"/>
    </sheetView>
  </sheetViews>
  <sheetFormatPr defaultColWidth="14.42578125" defaultRowHeight="15" customHeight="1" x14ac:dyDescent="0.25"/>
  <cols>
    <col min="1" max="1" width="76.85546875" customWidth="1"/>
    <col min="2" max="2" width="17.140625" customWidth="1"/>
    <col min="3" max="6" width="17.140625" hidden="1" customWidth="1"/>
    <col min="7" max="7" width="17.140625" customWidth="1"/>
    <col min="8" max="9" width="15.28515625" customWidth="1"/>
    <col min="10" max="10" width="15.5703125" customWidth="1"/>
    <col min="11" max="11" width="13" customWidth="1"/>
    <col min="12" max="12" width="13.28515625" customWidth="1"/>
    <col min="13" max="13" width="13.42578125" customWidth="1"/>
    <col min="14" max="26" width="10.28515625" customWidth="1"/>
  </cols>
  <sheetData>
    <row r="1" spans="1:26" ht="15.75" customHeight="1" x14ac:dyDescent="0.25">
      <c r="A1" s="9"/>
      <c r="B1" s="10"/>
      <c r="C1" s="11"/>
      <c r="D1" s="11"/>
      <c r="E1" s="11"/>
      <c r="F1" s="10"/>
      <c r="G1" s="13"/>
      <c r="H1" s="14"/>
      <c r="I1" s="15"/>
      <c r="J1" s="15"/>
      <c r="K1" s="15"/>
      <c r="L1" s="16"/>
      <c r="M1" s="15"/>
      <c r="N1" s="16"/>
      <c r="O1" s="15"/>
      <c r="P1" s="15"/>
      <c r="Q1" s="15"/>
      <c r="R1" s="15"/>
      <c r="S1" s="15"/>
      <c r="T1" s="15"/>
      <c r="U1" s="15"/>
      <c r="V1" s="15"/>
      <c r="W1" s="15"/>
      <c r="X1" s="15"/>
      <c r="Y1" s="15"/>
      <c r="Z1" s="15"/>
    </row>
    <row r="2" spans="1:26" ht="15.75" customHeight="1" x14ac:dyDescent="0.25">
      <c r="A2" s="861" t="s">
        <v>349</v>
      </c>
      <c r="B2" s="862"/>
      <c r="C2" s="862"/>
      <c r="D2" s="862"/>
      <c r="E2" s="862"/>
      <c r="F2" s="862"/>
      <c r="G2" s="863"/>
      <c r="H2" s="14"/>
      <c r="I2" s="15"/>
      <c r="J2" s="15"/>
      <c r="K2" s="15"/>
      <c r="L2" s="16"/>
      <c r="M2" s="15"/>
      <c r="N2" s="16"/>
      <c r="O2" s="15"/>
      <c r="P2" s="15"/>
      <c r="Q2" s="15"/>
      <c r="R2" s="15"/>
      <c r="S2" s="15"/>
      <c r="T2" s="15"/>
      <c r="U2" s="15"/>
      <c r="V2" s="15"/>
      <c r="W2" s="15"/>
      <c r="X2" s="15"/>
      <c r="Y2" s="15"/>
      <c r="Z2" s="15"/>
    </row>
    <row r="3" spans="1:26" ht="15.75" customHeight="1" x14ac:dyDescent="0.25">
      <c r="A3" s="864" t="s">
        <v>350</v>
      </c>
      <c r="B3" s="862"/>
      <c r="C3" s="862"/>
      <c r="D3" s="862"/>
      <c r="E3" s="862"/>
      <c r="F3" s="862"/>
      <c r="G3" s="863"/>
      <c r="H3" s="14"/>
      <c r="I3" s="15"/>
      <c r="J3" s="15"/>
      <c r="K3" s="15"/>
      <c r="L3" s="16"/>
      <c r="M3" s="15"/>
      <c r="N3" s="16"/>
      <c r="O3" s="15"/>
      <c r="P3" s="15"/>
      <c r="Q3" s="15"/>
      <c r="R3" s="15"/>
      <c r="S3" s="15"/>
      <c r="T3" s="15"/>
      <c r="U3" s="15"/>
      <c r="V3" s="15"/>
      <c r="W3" s="15"/>
      <c r="X3" s="15"/>
      <c r="Y3" s="15"/>
      <c r="Z3" s="15"/>
    </row>
    <row r="4" spans="1:26" ht="13.5" customHeight="1" x14ac:dyDescent="0.25">
      <c r="A4" s="21"/>
      <c r="B4" s="18"/>
      <c r="C4" s="18"/>
      <c r="D4" s="18"/>
      <c r="E4" s="18"/>
      <c r="F4" s="18"/>
      <c r="G4" s="23"/>
      <c r="H4" s="14"/>
      <c r="I4" s="15"/>
      <c r="J4" s="15"/>
      <c r="K4" s="15"/>
      <c r="L4" s="16"/>
      <c r="M4" s="15"/>
      <c r="N4" s="16"/>
      <c r="O4" s="15"/>
      <c r="P4" s="15"/>
      <c r="Q4" s="15"/>
      <c r="R4" s="15"/>
      <c r="S4" s="15"/>
      <c r="T4" s="15"/>
      <c r="U4" s="15"/>
      <c r="V4" s="15"/>
      <c r="W4" s="15"/>
      <c r="X4" s="15"/>
      <c r="Y4" s="15"/>
      <c r="Z4" s="15"/>
    </row>
    <row r="5" spans="1:26" ht="15.75" customHeight="1" x14ac:dyDescent="0.25">
      <c r="A5" s="17" t="s">
        <v>715</v>
      </c>
      <c r="B5" s="24"/>
      <c r="C5" s="25"/>
      <c r="D5" s="25"/>
      <c r="E5" s="25"/>
      <c r="F5" s="24"/>
      <c r="G5" s="19"/>
      <c r="H5" s="14"/>
      <c r="I5" s="15"/>
      <c r="J5" s="15"/>
      <c r="K5" s="15"/>
      <c r="L5" s="16"/>
      <c r="M5" s="15"/>
      <c r="N5" s="16"/>
      <c r="O5" s="15"/>
      <c r="P5" s="15"/>
      <c r="Q5" s="15"/>
      <c r="R5" s="15"/>
      <c r="S5" s="15"/>
      <c r="T5" s="15"/>
      <c r="U5" s="15"/>
      <c r="V5" s="15"/>
      <c r="W5" s="15"/>
      <c r="X5" s="15"/>
      <c r="Y5" s="15"/>
      <c r="Z5" s="15"/>
    </row>
    <row r="6" spans="1:26" ht="15.75" customHeight="1" x14ac:dyDescent="0.25">
      <c r="A6" s="17"/>
      <c r="B6" s="24"/>
      <c r="C6" s="25"/>
      <c r="D6" s="25"/>
      <c r="E6" s="25"/>
      <c r="F6" s="24"/>
      <c r="G6" s="19"/>
      <c r="H6" s="14"/>
      <c r="I6" s="15"/>
      <c r="J6" s="15"/>
      <c r="K6" s="15"/>
      <c r="L6" s="16"/>
      <c r="M6" s="15"/>
      <c r="N6" s="16"/>
      <c r="O6" s="15"/>
      <c r="P6" s="15"/>
      <c r="Q6" s="15"/>
      <c r="R6" s="15"/>
      <c r="S6" s="15"/>
      <c r="T6" s="15"/>
      <c r="U6" s="15"/>
      <c r="V6" s="15"/>
      <c r="W6" s="15"/>
      <c r="X6" s="15"/>
      <c r="Y6" s="15"/>
      <c r="Z6" s="15"/>
    </row>
    <row r="7" spans="1:26" ht="15.75" customHeight="1" x14ac:dyDescent="0.25">
      <c r="A7" s="865" t="s">
        <v>352</v>
      </c>
      <c r="B7" s="866"/>
      <c r="C7" s="866"/>
      <c r="D7" s="866"/>
      <c r="E7" s="866"/>
      <c r="F7" s="866"/>
      <c r="G7" s="867"/>
      <c r="H7" s="14"/>
      <c r="I7" s="15"/>
      <c r="J7" s="15"/>
      <c r="K7" s="15"/>
      <c r="L7" s="16"/>
      <c r="M7" s="15"/>
      <c r="N7" s="16"/>
      <c r="O7" s="15"/>
      <c r="P7" s="15"/>
      <c r="Q7" s="15"/>
      <c r="R7" s="15"/>
      <c r="S7" s="15"/>
      <c r="T7" s="15"/>
      <c r="U7" s="15"/>
      <c r="V7" s="15"/>
      <c r="W7" s="15"/>
      <c r="X7" s="15"/>
      <c r="Y7" s="15"/>
      <c r="Z7" s="15"/>
    </row>
    <row r="8" spans="1:26" ht="15.75" customHeight="1" x14ac:dyDescent="0.25">
      <c r="A8" s="868" t="s">
        <v>353</v>
      </c>
      <c r="B8" s="857" t="s">
        <v>354</v>
      </c>
      <c r="C8" s="870" t="s">
        <v>355</v>
      </c>
      <c r="D8" s="872" t="s">
        <v>356</v>
      </c>
      <c r="E8" s="873"/>
      <c r="F8" s="874"/>
      <c r="G8" s="857" t="s">
        <v>357</v>
      </c>
      <c r="H8" s="15"/>
      <c r="I8" s="15"/>
      <c r="J8" s="15"/>
      <c r="K8" s="15"/>
      <c r="L8" s="16"/>
      <c r="M8" s="15"/>
      <c r="N8" s="16"/>
      <c r="O8" s="15"/>
      <c r="P8" s="15"/>
      <c r="Q8" s="15"/>
      <c r="R8" s="15"/>
      <c r="S8" s="15"/>
      <c r="T8" s="15"/>
      <c r="U8" s="15"/>
      <c r="V8" s="15"/>
      <c r="W8" s="15"/>
      <c r="X8" s="15"/>
      <c r="Y8" s="15"/>
      <c r="Z8" s="15"/>
    </row>
    <row r="9" spans="1:26" ht="15.75" customHeight="1" x14ac:dyDescent="0.25">
      <c r="A9" s="858"/>
      <c r="B9" s="858"/>
      <c r="C9" s="871"/>
      <c r="D9" s="28" t="s">
        <v>358</v>
      </c>
      <c r="E9" s="29" t="s">
        <v>359</v>
      </c>
      <c r="F9" s="875" t="s">
        <v>360</v>
      </c>
      <c r="G9" s="858"/>
      <c r="H9" s="15"/>
      <c r="I9" s="15"/>
      <c r="J9" s="15"/>
      <c r="K9" s="15"/>
      <c r="L9" s="16"/>
      <c r="M9" s="15"/>
      <c r="N9" s="16"/>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60"/>
      <c r="G10" s="442" t="s">
        <v>2717</v>
      </c>
      <c r="H10" s="15"/>
      <c r="I10" s="15"/>
      <c r="J10" s="15"/>
      <c r="K10" s="15"/>
      <c r="L10" s="16"/>
      <c r="M10" s="15"/>
      <c r="N10" s="16"/>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15"/>
      <c r="I11" s="15"/>
      <c r="J11" s="15"/>
      <c r="K11" s="15"/>
      <c r="L11" s="16"/>
      <c r="M11" s="15"/>
      <c r="N11" s="16"/>
      <c r="O11" s="15"/>
      <c r="P11" s="15"/>
      <c r="Q11" s="15"/>
      <c r="R11" s="15"/>
      <c r="S11" s="15"/>
      <c r="T11" s="15"/>
      <c r="U11" s="15"/>
      <c r="V11" s="15"/>
      <c r="W11" s="15"/>
      <c r="X11" s="15"/>
      <c r="Y11" s="15"/>
      <c r="Z11" s="15"/>
    </row>
    <row r="12" spans="1:26" ht="15.75" customHeight="1" x14ac:dyDescent="0.25">
      <c r="A12" s="9" t="s">
        <v>364</v>
      </c>
      <c r="B12" s="38"/>
      <c r="C12" s="42"/>
      <c r="D12" s="42"/>
      <c r="E12" s="42"/>
      <c r="F12" s="42"/>
      <c r="G12" s="37"/>
      <c r="L12" s="40"/>
      <c r="N12" s="40"/>
    </row>
    <row r="13" spans="1:26" ht="15.75" customHeight="1" x14ac:dyDescent="0.25">
      <c r="A13" s="17" t="s">
        <v>622</v>
      </c>
      <c r="B13" s="41"/>
      <c r="C13" s="42"/>
      <c r="D13" s="42"/>
      <c r="E13" s="42"/>
      <c r="F13" s="42"/>
      <c r="G13" s="42"/>
      <c r="L13" s="40"/>
      <c r="N13" s="40"/>
    </row>
    <row r="14" spans="1:26" ht="15.75" customHeight="1" x14ac:dyDescent="0.25">
      <c r="A14" s="17" t="s">
        <v>366</v>
      </c>
      <c r="B14" s="41"/>
      <c r="C14" s="42"/>
      <c r="D14" s="42"/>
      <c r="E14" s="42"/>
      <c r="F14" s="19"/>
      <c r="G14" s="19"/>
      <c r="L14" s="40"/>
      <c r="N14" s="40"/>
    </row>
    <row r="15" spans="1:26" ht="15.75" customHeight="1" x14ac:dyDescent="0.25">
      <c r="A15" s="44" t="s">
        <v>367</v>
      </c>
      <c r="B15" s="41" t="s">
        <v>121</v>
      </c>
      <c r="C15" s="43">
        <v>512287.68</v>
      </c>
      <c r="D15" s="43">
        <v>212604</v>
      </c>
      <c r="E15" s="45">
        <f>F15-D15</f>
        <v>505176</v>
      </c>
      <c r="F15" s="43">
        <v>717780</v>
      </c>
      <c r="G15" s="43">
        <v>755640</v>
      </c>
      <c r="H15" s="43"/>
      <c r="I15" s="7"/>
      <c r="L15" s="40"/>
      <c r="N15" s="40"/>
    </row>
    <row r="16" spans="1:26" ht="15.75" customHeight="1" x14ac:dyDescent="0.25">
      <c r="A16" s="17" t="s">
        <v>368</v>
      </c>
      <c r="B16" s="41"/>
      <c r="C16" s="46"/>
      <c r="D16" s="46"/>
      <c r="E16" s="45"/>
      <c r="F16" s="43"/>
      <c r="G16" s="43"/>
      <c r="I16" s="7"/>
      <c r="L16" s="40"/>
      <c r="N16" s="40"/>
    </row>
    <row r="17" spans="1:14" ht="15.75" customHeight="1" x14ac:dyDescent="0.25">
      <c r="A17" s="44" t="s">
        <v>369</v>
      </c>
      <c r="B17" s="41" t="s">
        <v>125</v>
      </c>
      <c r="C17" s="43">
        <v>32000</v>
      </c>
      <c r="D17" s="43">
        <v>12000</v>
      </c>
      <c r="E17" s="45">
        <f t="shared" ref="E17:E20" si="0">F17-D17</f>
        <v>36000</v>
      </c>
      <c r="F17" s="43">
        <v>48000</v>
      </c>
      <c r="G17" s="43">
        <v>48000</v>
      </c>
      <c r="I17" s="7"/>
      <c r="L17" s="40"/>
      <c r="N17" s="40"/>
    </row>
    <row r="18" spans="1:14" ht="15.75" customHeight="1" x14ac:dyDescent="0.25">
      <c r="A18" s="44" t="s">
        <v>373</v>
      </c>
      <c r="B18" s="41" t="s">
        <v>131</v>
      </c>
      <c r="C18" s="43">
        <v>7000</v>
      </c>
      <c r="D18" s="43">
        <v>7000</v>
      </c>
      <c r="E18" s="45">
        <f t="shared" si="0"/>
        <v>7000</v>
      </c>
      <c r="F18" s="43">
        <v>14000</v>
      </c>
      <c r="G18" s="43">
        <v>14000</v>
      </c>
      <c r="I18" s="7"/>
      <c r="L18" s="40"/>
      <c r="N18" s="40"/>
    </row>
    <row r="19" spans="1:14" ht="15.75" customHeight="1" x14ac:dyDescent="0.25">
      <c r="A19" s="44" t="s">
        <v>374</v>
      </c>
      <c r="B19" s="41" t="s">
        <v>151</v>
      </c>
      <c r="C19" s="43">
        <v>35434</v>
      </c>
      <c r="D19" s="43">
        <v>0</v>
      </c>
      <c r="E19" s="45">
        <f t="shared" si="0"/>
        <v>59815</v>
      </c>
      <c r="F19" s="43">
        <v>59815</v>
      </c>
      <c r="G19" s="43">
        <v>62970</v>
      </c>
      <c r="I19" s="7"/>
      <c r="L19" s="40"/>
      <c r="N19" s="40"/>
    </row>
    <row r="20" spans="1:14" ht="15.75" customHeight="1" x14ac:dyDescent="0.25">
      <c r="A20" s="44" t="s">
        <v>375</v>
      </c>
      <c r="B20" s="41" t="s">
        <v>153</v>
      </c>
      <c r="C20" s="43">
        <v>5000</v>
      </c>
      <c r="D20" s="43">
        <v>0</v>
      </c>
      <c r="E20" s="45">
        <f t="shared" si="0"/>
        <v>10000</v>
      </c>
      <c r="F20" s="43">
        <v>10000</v>
      </c>
      <c r="G20" s="43">
        <v>10000</v>
      </c>
      <c r="I20" s="7"/>
      <c r="L20" s="40"/>
      <c r="N20" s="40"/>
    </row>
    <row r="21" spans="1:14" ht="15.75" customHeight="1" x14ac:dyDescent="0.25">
      <c r="A21" s="44" t="s">
        <v>376</v>
      </c>
      <c r="B21" s="41" t="s">
        <v>155</v>
      </c>
      <c r="C21" s="46"/>
      <c r="D21" s="46"/>
      <c r="E21" s="45"/>
      <c r="F21" s="43"/>
      <c r="G21" s="43"/>
      <c r="I21" s="7"/>
      <c r="L21" s="40"/>
      <c r="N21" s="40"/>
    </row>
    <row r="22" spans="1:14" ht="15.75" customHeight="1" x14ac:dyDescent="0.25">
      <c r="A22" s="44" t="s">
        <v>378</v>
      </c>
      <c r="B22" s="41" t="s">
        <v>159</v>
      </c>
      <c r="C22" s="43">
        <v>0</v>
      </c>
      <c r="D22" s="43">
        <v>3000</v>
      </c>
      <c r="E22" s="45">
        <f t="shared" ref="E22:E23" si="1">F22-D22</f>
        <v>3000</v>
      </c>
      <c r="F22" s="43">
        <v>6000</v>
      </c>
      <c r="G22" s="43">
        <v>0</v>
      </c>
      <c r="I22" s="7"/>
      <c r="L22" s="40"/>
      <c r="N22" s="40"/>
    </row>
    <row r="23" spans="1:14" ht="15.75" customHeight="1" x14ac:dyDescent="0.25">
      <c r="A23" s="44" t="s">
        <v>379</v>
      </c>
      <c r="B23" s="41" t="s">
        <v>161</v>
      </c>
      <c r="C23" s="43">
        <v>33843</v>
      </c>
      <c r="D23" s="43">
        <v>35434</v>
      </c>
      <c r="E23" s="45">
        <f t="shared" si="1"/>
        <v>24381</v>
      </c>
      <c r="F23" s="43">
        <v>59815</v>
      </c>
      <c r="G23" s="43">
        <v>62970</v>
      </c>
      <c r="I23" s="7"/>
      <c r="L23" s="40"/>
      <c r="N23" s="40"/>
    </row>
    <row r="24" spans="1:14" ht="15.75" customHeight="1" x14ac:dyDescent="0.25">
      <c r="A24" s="17" t="s">
        <v>380</v>
      </c>
      <c r="B24" s="41"/>
      <c r="C24" s="46"/>
      <c r="D24" s="46"/>
      <c r="E24" s="45"/>
      <c r="F24" s="43"/>
      <c r="G24" s="43"/>
      <c r="I24" s="7"/>
      <c r="L24" s="40"/>
      <c r="N24" s="40"/>
    </row>
    <row r="25" spans="1:14" ht="15.75" customHeight="1" x14ac:dyDescent="0.25">
      <c r="A25" s="44" t="s">
        <v>381</v>
      </c>
      <c r="B25" s="41" t="s">
        <v>165</v>
      </c>
      <c r="C25" s="43">
        <v>61474.52</v>
      </c>
      <c r="D25" s="43">
        <v>25512.48</v>
      </c>
      <c r="E25" s="45">
        <f t="shared" ref="E25:E28" si="2">F25-D25</f>
        <v>60621.520000000004</v>
      </c>
      <c r="F25" s="43">
        <v>86134</v>
      </c>
      <c r="G25" s="43">
        <v>90677</v>
      </c>
      <c r="I25" s="7"/>
      <c r="L25" s="40"/>
      <c r="N25" s="40"/>
    </row>
    <row r="26" spans="1:14" ht="15.75" customHeight="1" x14ac:dyDescent="0.25">
      <c r="A26" s="44" t="s">
        <v>382</v>
      </c>
      <c r="B26" s="41" t="s">
        <v>167</v>
      </c>
      <c r="C26" s="43">
        <v>10245.75</v>
      </c>
      <c r="D26" s="43">
        <v>4252.08</v>
      </c>
      <c r="E26" s="45">
        <f t="shared" si="2"/>
        <v>10103.92</v>
      </c>
      <c r="F26" s="43">
        <v>14356</v>
      </c>
      <c r="G26" s="43">
        <v>15113</v>
      </c>
      <c r="I26" s="7"/>
      <c r="L26" s="40"/>
      <c r="N26" s="40"/>
    </row>
    <row r="27" spans="1:14" ht="15.75" customHeight="1" x14ac:dyDescent="0.25">
      <c r="A27" s="44" t="s">
        <v>383</v>
      </c>
      <c r="B27" s="41" t="s">
        <v>169</v>
      </c>
      <c r="C27" s="43">
        <v>12807.25</v>
      </c>
      <c r="D27" s="43">
        <v>5315.1</v>
      </c>
      <c r="E27" s="45">
        <f t="shared" si="2"/>
        <v>12630.9</v>
      </c>
      <c r="F27" s="43">
        <v>17946</v>
      </c>
      <c r="G27" s="43">
        <v>18892</v>
      </c>
      <c r="I27" s="7"/>
      <c r="L27" s="40"/>
      <c r="N27" s="40"/>
    </row>
    <row r="28" spans="1:14" ht="15.75" customHeight="1" x14ac:dyDescent="0.25">
      <c r="A28" s="44" t="s">
        <v>384</v>
      </c>
      <c r="B28" s="41" t="s">
        <v>171</v>
      </c>
      <c r="C28" s="43">
        <v>1600</v>
      </c>
      <c r="D28" s="43">
        <v>600</v>
      </c>
      <c r="E28" s="45">
        <f t="shared" si="2"/>
        <v>1800</v>
      </c>
      <c r="F28" s="43">
        <v>2400</v>
      </c>
      <c r="G28" s="43">
        <v>2400</v>
      </c>
      <c r="I28" s="7"/>
      <c r="L28" s="40"/>
      <c r="N28" s="40"/>
    </row>
    <row r="29" spans="1:14" ht="15.75" customHeight="1" x14ac:dyDescent="0.25">
      <c r="A29" s="17" t="s">
        <v>624</v>
      </c>
      <c r="B29" s="41"/>
      <c r="C29" s="46"/>
      <c r="D29" s="46"/>
      <c r="E29" s="45"/>
      <c r="F29" s="43"/>
      <c r="G29" s="43"/>
      <c r="I29" s="7"/>
      <c r="L29" s="40"/>
      <c r="N29" s="40"/>
    </row>
    <row r="30" spans="1:14" ht="15.75" customHeight="1" x14ac:dyDescent="0.25">
      <c r="A30" s="44" t="s">
        <v>387</v>
      </c>
      <c r="B30" s="41" t="s">
        <v>181</v>
      </c>
      <c r="C30" s="43">
        <v>27230.85</v>
      </c>
      <c r="D30" s="43">
        <v>0</v>
      </c>
      <c r="E30" s="45">
        <f t="shared" ref="E30:E31" si="3">F30-D30</f>
        <v>28827</v>
      </c>
      <c r="F30" s="43">
        <v>28827</v>
      </c>
      <c r="G30" s="43">
        <v>30347</v>
      </c>
      <c r="I30" s="7"/>
      <c r="L30" s="40"/>
      <c r="N30" s="40"/>
    </row>
    <row r="31" spans="1:14" ht="15.75" customHeight="1" x14ac:dyDescent="0.25">
      <c r="A31" s="44" t="s">
        <v>388</v>
      </c>
      <c r="B31" s="41" t="s">
        <v>183</v>
      </c>
      <c r="C31" s="43">
        <v>5000</v>
      </c>
      <c r="D31" s="43">
        <v>0</v>
      </c>
      <c r="E31" s="45">
        <f t="shared" si="3"/>
        <v>10000</v>
      </c>
      <c r="F31" s="43">
        <v>10000</v>
      </c>
      <c r="G31" s="43">
        <v>10000</v>
      </c>
      <c r="I31" s="7"/>
      <c r="L31" s="40"/>
      <c r="N31" s="40"/>
    </row>
    <row r="32" spans="1:14" ht="31.5" x14ac:dyDescent="0.25">
      <c r="A32" s="88" t="s">
        <v>625</v>
      </c>
      <c r="B32" s="41"/>
      <c r="C32" s="45"/>
      <c r="D32" s="43"/>
      <c r="E32" s="45"/>
      <c r="F32" s="43"/>
      <c r="G32" s="43">
        <v>22566</v>
      </c>
      <c r="H32" s="7"/>
      <c r="L32" s="40"/>
      <c r="N32" s="40"/>
    </row>
    <row r="33" spans="1:26" ht="15.75" customHeight="1" x14ac:dyDescent="0.25">
      <c r="A33" s="42" t="s">
        <v>390</v>
      </c>
      <c r="B33" s="41"/>
      <c r="C33" s="79">
        <f t="shared" ref="C33:D33" si="4">SUM(C15:C31)</f>
        <v>743923.04999999993</v>
      </c>
      <c r="D33" s="54">
        <f t="shared" si="4"/>
        <v>305717.65999999997</v>
      </c>
      <c r="E33" s="54">
        <f>F33-D33</f>
        <v>769355.34000000008</v>
      </c>
      <c r="F33" s="54">
        <f>SUM(F15:F31)</f>
        <v>1075073</v>
      </c>
      <c r="G33" s="54">
        <f>SUM(G15:G32)</f>
        <v>1143575</v>
      </c>
      <c r="H33" s="7"/>
      <c r="L33" s="40"/>
      <c r="N33" s="40"/>
    </row>
    <row r="34" spans="1:26" ht="15.75" customHeight="1" x14ac:dyDescent="0.25">
      <c r="A34" s="42"/>
      <c r="B34" s="41"/>
      <c r="C34" s="39"/>
      <c r="D34" s="55"/>
      <c r="E34" s="45"/>
      <c r="F34" s="39"/>
      <c r="G34" s="55"/>
      <c r="L34" s="40"/>
      <c r="N34" s="40"/>
    </row>
    <row r="35" spans="1:26" ht="15.75" customHeight="1" x14ac:dyDescent="0.25">
      <c r="A35" s="17" t="s">
        <v>626</v>
      </c>
      <c r="B35" s="20"/>
      <c r="C35" s="56"/>
      <c r="D35" s="43"/>
      <c r="E35" s="45"/>
      <c r="F35" s="56"/>
      <c r="G35" s="43"/>
      <c r="L35" s="40"/>
      <c r="N35" s="40"/>
    </row>
    <row r="36" spans="1:26" ht="15.75" customHeight="1" x14ac:dyDescent="0.25">
      <c r="A36" s="17" t="s">
        <v>627</v>
      </c>
      <c r="B36" s="20"/>
      <c r="C36" s="56"/>
      <c r="D36" s="43"/>
      <c r="E36" s="45"/>
      <c r="F36" s="43"/>
      <c r="G36" s="43"/>
      <c r="L36" s="40"/>
      <c r="N36" s="40"/>
    </row>
    <row r="37" spans="1:26" ht="15.75" customHeight="1" x14ac:dyDescent="0.25">
      <c r="A37" s="460" t="s">
        <v>393</v>
      </c>
      <c r="B37" s="454" t="s">
        <v>187</v>
      </c>
      <c r="C37" s="443">
        <v>108682.16</v>
      </c>
      <c r="D37" s="443">
        <v>74240.28</v>
      </c>
      <c r="E37" s="443">
        <f>F37-D37</f>
        <v>225759.72</v>
      </c>
      <c r="F37" s="443">
        <v>300000</v>
      </c>
      <c r="G37" s="462">
        <v>300000</v>
      </c>
      <c r="H37" s="176">
        <v>300000</v>
      </c>
      <c r="I37" s="176"/>
      <c r="J37" s="176"/>
      <c r="K37" s="176"/>
      <c r="L37" s="177"/>
      <c r="M37" s="176"/>
      <c r="N37" s="177"/>
      <c r="O37" s="176"/>
      <c r="P37" s="176"/>
      <c r="Q37" s="176"/>
      <c r="R37" s="176"/>
      <c r="S37" s="176"/>
      <c r="T37" s="176"/>
      <c r="U37" s="176"/>
      <c r="V37" s="176"/>
      <c r="W37" s="176"/>
      <c r="X37" s="176"/>
      <c r="Y37" s="176"/>
      <c r="Z37" s="176"/>
    </row>
    <row r="38" spans="1:26" ht="15.75" customHeight="1" x14ac:dyDescent="0.25">
      <c r="A38" s="456" t="s">
        <v>493</v>
      </c>
      <c r="B38" s="454"/>
      <c r="C38" s="514"/>
      <c r="D38" s="514"/>
      <c r="E38" s="443"/>
      <c r="F38" s="443"/>
      <c r="G38" s="462"/>
      <c r="H38" s="178"/>
      <c r="I38" s="178"/>
      <c r="J38" s="178"/>
      <c r="K38" s="178"/>
      <c r="L38" s="179"/>
      <c r="M38" s="178"/>
      <c r="N38" s="179"/>
      <c r="O38" s="178"/>
      <c r="P38" s="178"/>
      <c r="Q38" s="178"/>
      <c r="R38" s="178"/>
      <c r="S38" s="178"/>
      <c r="T38" s="178"/>
      <c r="U38" s="178"/>
      <c r="V38" s="178"/>
      <c r="W38" s="178"/>
      <c r="X38" s="178"/>
      <c r="Y38" s="178"/>
      <c r="Z38" s="178"/>
    </row>
    <row r="39" spans="1:26" ht="15.75" customHeight="1" x14ac:dyDescent="0.25">
      <c r="A39" s="44" t="s">
        <v>396</v>
      </c>
      <c r="B39" s="41" t="s">
        <v>191</v>
      </c>
      <c r="C39" s="56">
        <v>253726.7</v>
      </c>
      <c r="D39" s="43">
        <v>139970</v>
      </c>
      <c r="E39" s="45">
        <f>F39-D39</f>
        <v>176780</v>
      </c>
      <c r="F39" s="43">
        <v>316750</v>
      </c>
      <c r="G39" s="45">
        <f>127000+115500+220000+100000</f>
        <v>562500</v>
      </c>
      <c r="L39" s="40"/>
      <c r="N39" s="40"/>
    </row>
    <row r="40" spans="1:26" ht="15.75" customHeight="1" x14ac:dyDescent="0.25">
      <c r="A40" s="44" t="s">
        <v>716</v>
      </c>
      <c r="B40" s="41"/>
      <c r="C40" s="156"/>
      <c r="D40" s="46"/>
      <c r="E40" s="45"/>
      <c r="F40" s="43"/>
      <c r="G40" s="45"/>
      <c r="H40" s="57">
        <v>127000</v>
      </c>
      <c r="I40" s="60"/>
      <c r="L40" s="40"/>
      <c r="N40" s="40"/>
    </row>
    <row r="41" spans="1:26" ht="15.75" customHeight="1" x14ac:dyDescent="0.25">
      <c r="A41" s="44" t="s">
        <v>717</v>
      </c>
      <c r="B41" s="41"/>
      <c r="C41" s="156"/>
      <c r="D41" s="46"/>
      <c r="E41" s="45"/>
      <c r="F41" s="43"/>
      <c r="G41" s="45"/>
      <c r="H41" s="57">
        <v>115500</v>
      </c>
      <c r="I41" s="60"/>
      <c r="L41" s="40"/>
      <c r="N41" s="40"/>
    </row>
    <row r="42" spans="1:26" ht="15.75" customHeight="1" x14ac:dyDescent="0.25">
      <c r="A42" s="44" t="s">
        <v>718</v>
      </c>
      <c r="B42" s="41"/>
      <c r="C42" s="156"/>
      <c r="D42" s="46"/>
      <c r="E42" s="45"/>
      <c r="F42" s="43"/>
      <c r="G42" s="45"/>
      <c r="H42" s="57">
        <v>220000</v>
      </c>
      <c r="I42" s="60"/>
      <c r="L42" s="40"/>
      <c r="N42" s="40"/>
    </row>
    <row r="43" spans="1:26" ht="15.75" customHeight="1" x14ac:dyDescent="0.25">
      <c r="A43" s="44" t="s">
        <v>719</v>
      </c>
      <c r="B43" s="41"/>
      <c r="C43" s="156"/>
      <c r="D43" s="46"/>
      <c r="E43" s="45"/>
      <c r="F43" s="43"/>
      <c r="G43" s="45"/>
      <c r="H43" s="57">
        <v>100000</v>
      </c>
      <c r="I43" s="60"/>
      <c r="L43" s="40"/>
      <c r="N43" s="40"/>
    </row>
    <row r="44" spans="1:26" ht="15.75" customHeight="1" x14ac:dyDescent="0.25">
      <c r="A44" s="42" t="s">
        <v>499</v>
      </c>
      <c r="B44" s="41"/>
      <c r="C44" s="154"/>
      <c r="D44" s="46"/>
      <c r="E44" s="45"/>
      <c r="F44" s="43"/>
      <c r="G44" s="43"/>
      <c r="I44" s="60"/>
      <c r="L44" s="40"/>
      <c r="N44" s="40"/>
    </row>
    <row r="45" spans="1:26" ht="15.75" customHeight="1" x14ac:dyDescent="0.25">
      <c r="A45" s="48" t="s">
        <v>398</v>
      </c>
      <c r="B45" s="41" t="s">
        <v>195</v>
      </c>
      <c r="C45" s="43">
        <v>37003.730000000003</v>
      </c>
      <c r="D45" s="43">
        <v>0</v>
      </c>
      <c r="E45" s="45">
        <f t="shared" ref="E45:E48" si="5">F45-D45</f>
        <v>44283</v>
      </c>
      <c r="F45" s="43">
        <v>44283</v>
      </c>
      <c r="G45" s="43">
        <v>52910</v>
      </c>
      <c r="H45" s="57">
        <v>52910</v>
      </c>
      <c r="I45" s="60"/>
      <c r="L45" s="40"/>
      <c r="N45" s="40"/>
    </row>
    <row r="46" spans="1:26" ht="15.75" customHeight="1" x14ac:dyDescent="0.25">
      <c r="A46" s="74" t="s">
        <v>633</v>
      </c>
      <c r="B46" s="41" t="s">
        <v>221</v>
      </c>
      <c r="C46" s="43">
        <v>0</v>
      </c>
      <c r="D46" s="43">
        <v>222100</v>
      </c>
      <c r="E46" s="45">
        <f t="shared" si="5"/>
        <v>1800</v>
      </c>
      <c r="F46" s="43">
        <v>223900</v>
      </c>
      <c r="G46" s="43">
        <v>125400</v>
      </c>
      <c r="H46" s="57">
        <v>125400</v>
      </c>
      <c r="I46" s="60"/>
      <c r="L46" s="40"/>
      <c r="N46" s="40"/>
    </row>
    <row r="47" spans="1:26" ht="15.75" customHeight="1" x14ac:dyDescent="0.25">
      <c r="A47" s="74" t="s">
        <v>720</v>
      </c>
      <c r="B47" s="41" t="s">
        <v>223</v>
      </c>
      <c r="C47" s="43">
        <v>0</v>
      </c>
      <c r="D47" s="43">
        <v>68680</v>
      </c>
      <c r="E47" s="45">
        <f t="shared" si="5"/>
        <v>320</v>
      </c>
      <c r="F47" s="43">
        <v>69000</v>
      </c>
      <c r="G47" s="43">
        <v>28000</v>
      </c>
      <c r="H47" s="57">
        <v>28000</v>
      </c>
      <c r="I47" s="60"/>
      <c r="L47" s="40"/>
      <c r="N47" s="40"/>
    </row>
    <row r="48" spans="1:26" ht="15.75" customHeight="1" x14ac:dyDescent="0.25">
      <c r="A48" s="48" t="s">
        <v>402</v>
      </c>
      <c r="B48" s="41" t="s">
        <v>225</v>
      </c>
      <c r="C48" s="43">
        <v>1934567.2</v>
      </c>
      <c r="D48" s="43">
        <v>3524979.96</v>
      </c>
      <c r="E48" s="45">
        <f t="shared" si="5"/>
        <v>114711.04000000004</v>
      </c>
      <c r="F48" s="43">
        <v>3639691</v>
      </c>
      <c r="G48" s="43">
        <f>94304+874080+3684000</f>
        <v>4652384</v>
      </c>
      <c r="L48" s="40"/>
      <c r="N48" s="40"/>
    </row>
    <row r="49" spans="1:14" ht="15.75" customHeight="1" x14ac:dyDescent="0.25">
      <c r="A49" s="44" t="s">
        <v>721</v>
      </c>
      <c r="B49" s="41"/>
      <c r="C49" s="56"/>
      <c r="D49" s="43"/>
      <c r="E49" s="45"/>
      <c r="F49" s="43"/>
      <c r="G49" s="45"/>
      <c r="H49" s="7">
        <v>94304</v>
      </c>
      <c r="L49" s="40"/>
      <c r="N49" s="40"/>
    </row>
    <row r="50" spans="1:14" ht="15.75" customHeight="1" x14ac:dyDescent="0.25">
      <c r="A50" s="44" t="s">
        <v>722</v>
      </c>
      <c r="B50" s="41"/>
      <c r="C50" s="56"/>
      <c r="D50" s="43"/>
      <c r="E50" s="45"/>
      <c r="F50" s="43"/>
      <c r="G50" s="45"/>
      <c r="H50" s="7">
        <v>874080</v>
      </c>
      <c r="L50" s="40"/>
      <c r="N50" s="40"/>
    </row>
    <row r="51" spans="1:14" ht="15.75" customHeight="1" x14ac:dyDescent="0.25">
      <c r="A51" s="44" t="s">
        <v>723</v>
      </c>
      <c r="B51" s="41"/>
      <c r="C51" s="56"/>
      <c r="D51" s="43"/>
      <c r="E51" s="45"/>
      <c r="F51" s="43"/>
      <c r="G51" s="45"/>
      <c r="H51" s="7">
        <v>3684000</v>
      </c>
      <c r="L51" s="40"/>
      <c r="N51" s="40"/>
    </row>
    <row r="52" spans="1:14" ht="15.75" customHeight="1" x14ac:dyDescent="0.25">
      <c r="A52" s="17" t="s">
        <v>503</v>
      </c>
      <c r="B52" s="41"/>
      <c r="C52" s="56"/>
      <c r="D52" s="43"/>
      <c r="E52" s="45"/>
      <c r="F52" s="43"/>
      <c r="G52" s="45"/>
      <c r="H52" s="7"/>
      <c r="L52" s="40"/>
      <c r="N52" s="40"/>
    </row>
    <row r="53" spans="1:14" ht="15.75" customHeight="1" x14ac:dyDescent="0.25">
      <c r="A53" s="44" t="s">
        <v>504</v>
      </c>
      <c r="B53" s="41" t="s">
        <v>237</v>
      </c>
      <c r="C53" s="56">
        <v>11256.64</v>
      </c>
      <c r="D53" s="43">
        <v>4948.29</v>
      </c>
      <c r="E53" s="45">
        <f>F53-D53</f>
        <v>10051.709999999999</v>
      </c>
      <c r="F53" s="45">
        <v>15000</v>
      </c>
      <c r="G53" s="45">
        <v>15000</v>
      </c>
      <c r="H53" s="57">
        <v>15000</v>
      </c>
      <c r="L53" s="40"/>
      <c r="N53" s="40"/>
    </row>
    <row r="54" spans="1:14" ht="15.75" customHeight="1" x14ac:dyDescent="0.25">
      <c r="A54" s="17" t="s">
        <v>724</v>
      </c>
      <c r="B54" s="41"/>
      <c r="C54" s="56"/>
      <c r="D54" s="43"/>
      <c r="E54" s="45"/>
      <c r="F54" s="45"/>
      <c r="G54" s="45"/>
      <c r="H54" s="7"/>
      <c r="L54" s="40"/>
      <c r="N54" s="40"/>
    </row>
    <row r="55" spans="1:14" ht="15.75" customHeight="1" x14ac:dyDescent="0.25">
      <c r="A55" s="44" t="s">
        <v>725</v>
      </c>
      <c r="B55" s="41" t="s">
        <v>283</v>
      </c>
      <c r="C55" s="56">
        <v>0</v>
      </c>
      <c r="D55" s="43">
        <v>0</v>
      </c>
      <c r="E55" s="45">
        <v>0</v>
      </c>
      <c r="F55" s="45">
        <v>0</v>
      </c>
      <c r="G55" s="45">
        <v>190390</v>
      </c>
      <c r="H55" s="7">
        <v>190390</v>
      </c>
      <c r="L55" s="40"/>
      <c r="N55" s="40"/>
    </row>
    <row r="56" spans="1:14" ht="15.75" customHeight="1" x14ac:dyDescent="0.25">
      <c r="A56" s="17" t="s">
        <v>424</v>
      </c>
      <c r="B56" s="41"/>
      <c r="C56" s="56"/>
      <c r="D56" s="43"/>
      <c r="E56" s="45"/>
      <c r="F56" s="45"/>
      <c r="G56" s="45"/>
      <c r="H56" s="7"/>
      <c r="L56" s="40"/>
      <c r="N56" s="40"/>
    </row>
    <row r="57" spans="1:14" ht="15.75" customHeight="1" x14ac:dyDescent="0.25">
      <c r="A57" s="610" t="s">
        <v>424</v>
      </c>
      <c r="B57" s="483" t="s">
        <v>335</v>
      </c>
      <c r="C57" s="457">
        <v>33707832.799999997</v>
      </c>
      <c r="D57" s="452">
        <v>15768633.68</v>
      </c>
      <c r="E57" s="452">
        <f>F57-D57</f>
        <v>16836806.32</v>
      </c>
      <c r="F57" s="452">
        <v>32605440</v>
      </c>
      <c r="G57" s="452">
        <v>35904452</v>
      </c>
      <c r="H57" s="60"/>
      <c r="L57" s="40"/>
      <c r="N57" s="40"/>
    </row>
    <row r="58" spans="1:14" ht="30.75" customHeight="1" x14ac:dyDescent="0.25">
      <c r="A58" s="614" t="s">
        <v>726</v>
      </c>
      <c r="B58" s="601"/>
      <c r="C58" s="449"/>
      <c r="D58" s="449"/>
      <c r="E58" s="449"/>
      <c r="F58" s="449"/>
      <c r="G58" s="449"/>
      <c r="H58" s="175">
        <v>4000000</v>
      </c>
      <c r="I58" s="7"/>
      <c r="L58" s="40"/>
      <c r="N58" s="40"/>
    </row>
    <row r="59" spans="1:14" ht="15.75" customHeight="1" x14ac:dyDescent="0.25">
      <c r="A59" s="44" t="s">
        <v>727</v>
      </c>
      <c r="B59" s="41"/>
      <c r="C59" s="45"/>
      <c r="D59" s="45"/>
      <c r="E59" s="45"/>
      <c r="F59" s="45"/>
      <c r="G59" s="45"/>
      <c r="H59" s="175">
        <v>2000000</v>
      </c>
      <c r="I59" s="7"/>
      <c r="J59" s="182">
        <f>I69+K81</f>
        <v>35904452</v>
      </c>
      <c r="L59" s="40"/>
      <c r="N59" s="40"/>
    </row>
    <row r="60" spans="1:14" ht="15.75" customHeight="1" x14ac:dyDescent="0.25">
      <c r="A60" s="44" t="s">
        <v>728</v>
      </c>
      <c r="B60" s="41"/>
      <c r="C60" s="45"/>
      <c r="D60" s="45"/>
      <c r="E60" s="45"/>
      <c r="F60" s="45"/>
      <c r="G60" s="45"/>
      <c r="H60" s="175">
        <v>1000000</v>
      </c>
      <c r="I60" s="7"/>
      <c r="L60" s="40"/>
      <c r="N60" s="40"/>
    </row>
    <row r="61" spans="1:14" ht="15.75" customHeight="1" x14ac:dyDescent="0.25">
      <c r="A61" s="44" t="s">
        <v>729</v>
      </c>
      <c r="B61" s="41"/>
      <c r="C61" s="45"/>
      <c r="D61" s="45"/>
      <c r="E61" s="45"/>
      <c r="F61" s="45"/>
      <c r="G61" s="45"/>
      <c r="H61" s="175">
        <v>2500000</v>
      </c>
      <c r="I61" s="7"/>
      <c r="L61" s="40"/>
      <c r="N61" s="40"/>
    </row>
    <row r="62" spans="1:14" ht="15.75" customHeight="1" x14ac:dyDescent="0.25">
      <c r="A62" s="44" t="s">
        <v>730</v>
      </c>
      <c r="B62" s="41"/>
      <c r="C62" s="45"/>
      <c r="D62" s="45"/>
      <c r="E62" s="45"/>
      <c r="F62" s="45"/>
      <c r="G62" s="45"/>
      <c r="H62" s="175">
        <v>2000000</v>
      </c>
      <c r="I62" s="7"/>
      <c r="L62" s="40"/>
      <c r="N62" s="40"/>
    </row>
    <row r="63" spans="1:14" ht="31.5" x14ac:dyDescent="0.25">
      <c r="A63" s="118" t="s">
        <v>731</v>
      </c>
      <c r="B63" s="41"/>
      <c r="C63" s="45"/>
      <c r="D63" s="45"/>
      <c r="E63" s="45"/>
      <c r="F63" s="45"/>
      <c r="G63" s="45"/>
      <c r="H63" s="175">
        <v>2000000</v>
      </c>
      <c r="I63" s="7"/>
      <c r="L63" s="40"/>
      <c r="N63" s="40"/>
    </row>
    <row r="64" spans="1:14" ht="15.75" customHeight="1" x14ac:dyDescent="0.25">
      <c r="A64" s="44" t="s">
        <v>732</v>
      </c>
      <c r="B64" s="41"/>
      <c r="C64" s="45"/>
      <c r="D64" s="45"/>
      <c r="E64" s="45"/>
      <c r="F64" s="45"/>
      <c r="G64" s="45"/>
      <c r="H64" s="175">
        <v>3500000</v>
      </c>
      <c r="I64" s="7"/>
      <c r="L64" s="40"/>
      <c r="N64" s="40"/>
    </row>
    <row r="65" spans="1:15" ht="15.75" customHeight="1" x14ac:dyDescent="0.25">
      <c r="A65" s="44" t="s">
        <v>733</v>
      </c>
      <c r="B65" s="41"/>
      <c r="C65" s="45"/>
      <c r="D65" s="45"/>
      <c r="E65" s="45"/>
      <c r="F65" s="45"/>
      <c r="G65" s="45"/>
      <c r="H65" s="175">
        <v>4000000</v>
      </c>
      <c r="I65" s="7"/>
      <c r="L65" s="40"/>
      <c r="N65" s="40"/>
    </row>
    <row r="66" spans="1:15" ht="15.75" customHeight="1" x14ac:dyDescent="0.25">
      <c r="A66" s="44" t="s">
        <v>734</v>
      </c>
      <c r="B66" s="41"/>
      <c r="C66" s="45"/>
      <c r="D66" s="45"/>
      <c r="E66" s="45"/>
      <c r="F66" s="45"/>
      <c r="G66" s="45"/>
      <c r="H66" s="175">
        <v>300000</v>
      </c>
      <c r="I66" s="7"/>
      <c r="L66" s="40"/>
      <c r="N66" s="40"/>
    </row>
    <row r="67" spans="1:15" ht="15.75" customHeight="1" x14ac:dyDescent="0.25">
      <c r="A67" s="44" t="s">
        <v>735</v>
      </c>
      <c r="B67" s="41"/>
      <c r="C67" s="45"/>
      <c r="D67" s="45"/>
      <c r="E67" s="45"/>
      <c r="F67" s="45"/>
      <c r="G67" s="45"/>
      <c r="H67" s="175">
        <v>1000000</v>
      </c>
      <c r="I67" s="7"/>
      <c r="L67" s="40"/>
      <c r="N67" s="40"/>
    </row>
    <row r="68" spans="1:15" ht="31.5" x14ac:dyDescent="0.25">
      <c r="A68" s="118" t="s">
        <v>736</v>
      </c>
      <c r="B68" s="41"/>
      <c r="C68" s="45"/>
      <c r="D68" s="45"/>
      <c r="E68" s="45"/>
      <c r="F68" s="45"/>
      <c r="G68" s="45"/>
      <c r="H68" s="175">
        <v>4000000</v>
      </c>
      <c r="I68" s="7"/>
      <c r="L68" s="40"/>
      <c r="N68" s="40"/>
    </row>
    <row r="69" spans="1:15" ht="15.75" customHeight="1" x14ac:dyDescent="0.25">
      <c r="A69" s="44" t="s">
        <v>737</v>
      </c>
      <c r="B69" s="41"/>
      <c r="C69" s="45"/>
      <c r="D69" s="45"/>
      <c r="E69" s="45"/>
      <c r="F69" s="45"/>
      <c r="G69" s="45"/>
      <c r="H69" s="175">
        <v>16500</v>
      </c>
      <c r="I69" s="183">
        <f>SUM(H58:H69)</f>
        <v>26316500</v>
      </c>
      <c r="J69" s="182"/>
      <c r="K69" s="182"/>
      <c r="L69" s="40"/>
      <c r="N69" s="40"/>
    </row>
    <row r="70" spans="1:15" ht="15.75" customHeight="1" x14ac:dyDescent="0.25">
      <c r="A70" s="44" t="s">
        <v>738</v>
      </c>
      <c r="B70" s="41"/>
      <c r="C70" s="45"/>
      <c r="D70" s="45"/>
      <c r="E70" s="45"/>
      <c r="F70" s="45"/>
      <c r="G70" s="45"/>
      <c r="H70" s="184"/>
      <c r="I70" s="60"/>
      <c r="J70" s="40"/>
      <c r="K70" s="40"/>
      <c r="L70" s="40"/>
      <c r="N70" s="40"/>
    </row>
    <row r="71" spans="1:15" ht="31.5" x14ac:dyDescent="0.25">
      <c r="A71" s="479" t="s">
        <v>739</v>
      </c>
      <c r="B71" s="454"/>
      <c r="C71" s="443"/>
      <c r="D71" s="443"/>
      <c r="E71" s="443"/>
      <c r="F71" s="443"/>
      <c r="G71" s="462"/>
      <c r="H71" s="184">
        <v>264</v>
      </c>
      <c r="I71" s="60">
        <v>678</v>
      </c>
      <c r="J71" s="40">
        <v>2</v>
      </c>
      <c r="K71" s="40">
        <f t="shared" ref="K71:K80" si="6">H71*I71*J71</f>
        <v>357984</v>
      </c>
      <c r="L71" s="40"/>
      <c r="N71" s="40">
        <f t="shared" ref="N71:N80" si="7">I71*10%</f>
        <v>67.8</v>
      </c>
      <c r="O71" s="40">
        <f t="shared" ref="O71:O80" si="8">N71*J71*22*12</f>
        <v>35798.399999999994</v>
      </c>
    </row>
    <row r="72" spans="1:15" ht="31.5" x14ac:dyDescent="0.25">
      <c r="A72" s="479" t="s">
        <v>740</v>
      </c>
      <c r="B72" s="454"/>
      <c r="C72" s="443"/>
      <c r="D72" s="443"/>
      <c r="E72" s="443"/>
      <c r="F72" s="443"/>
      <c r="G72" s="462"/>
      <c r="H72" s="184">
        <v>264</v>
      </c>
      <c r="I72" s="60">
        <v>678</v>
      </c>
      <c r="J72" s="40">
        <v>1</v>
      </c>
      <c r="K72" s="40">
        <f t="shared" si="6"/>
        <v>178992</v>
      </c>
      <c r="L72" s="40"/>
      <c r="N72" s="40">
        <f t="shared" si="7"/>
        <v>67.8</v>
      </c>
      <c r="O72" s="40">
        <f t="shared" si="8"/>
        <v>17899.199999999997</v>
      </c>
    </row>
    <row r="73" spans="1:15" ht="31.5" x14ac:dyDescent="0.25">
      <c r="A73" s="118" t="s">
        <v>741</v>
      </c>
      <c r="B73" s="41"/>
      <c r="C73" s="45"/>
      <c r="D73" s="45"/>
      <c r="E73" s="45"/>
      <c r="F73" s="45"/>
      <c r="G73" s="45"/>
      <c r="H73" s="184">
        <v>264</v>
      </c>
      <c r="I73" s="60">
        <v>678</v>
      </c>
      <c r="J73" s="40">
        <v>2</v>
      </c>
      <c r="K73" s="40">
        <f t="shared" si="6"/>
        <v>357984</v>
      </c>
      <c r="L73" s="40"/>
      <c r="N73" s="40">
        <f t="shared" si="7"/>
        <v>67.8</v>
      </c>
      <c r="O73" s="40">
        <f t="shared" si="8"/>
        <v>35798.399999999994</v>
      </c>
    </row>
    <row r="74" spans="1:15" ht="31.5" x14ac:dyDescent="0.25">
      <c r="A74" s="118" t="s">
        <v>742</v>
      </c>
      <c r="B74" s="20"/>
      <c r="C74" s="56"/>
      <c r="D74" s="56"/>
      <c r="E74" s="56"/>
      <c r="F74" s="56"/>
      <c r="G74" s="43"/>
      <c r="H74" s="184">
        <v>264</v>
      </c>
      <c r="I74" s="60">
        <v>678</v>
      </c>
      <c r="J74" s="40">
        <v>4</v>
      </c>
      <c r="K74" s="40">
        <f t="shared" si="6"/>
        <v>715968</v>
      </c>
      <c r="L74" s="40"/>
      <c r="N74" s="40">
        <f t="shared" si="7"/>
        <v>67.8</v>
      </c>
      <c r="O74" s="40">
        <f t="shared" si="8"/>
        <v>71596.799999999988</v>
      </c>
    </row>
    <row r="75" spans="1:15" ht="31.5" x14ac:dyDescent="0.25">
      <c r="A75" s="118" t="s">
        <v>743</v>
      </c>
      <c r="B75" s="41"/>
      <c r="C75" s="45"/>
      <c r="D75" s="45"/>
      <c r="E75" s="45"/>
      <c r="F75" s="45"/>
      <c r="G75" s="45"/>
      <c r="H75" s="184">
        <v>264</v>
      </c>
      <c r="I75" s="60">
        <v>765</v>
      </c>
      <c r="J75" s="40">
        <v>1</v>
      </c>
      <c r="K75" s="40">
        <f t="shared" si="6"/>
        <v>201960</v>
      </c>
      <c r="L75" s="40"/>
      <c r="N75" s="40">
        <f t="shared" si="7"/>
        <v>76.5</v>
      </c>
      <c r="O75" s="40">
        <f t="shared" si="8"/>
        <v>20196</v>
      </c>
    </row>
    <row r="76" spans="1:15" ht="31.5" x14ac:dyDescent="0.25">
      <c r="A76" s="118" t="s">
        <v>744</v>
      </c>
      <c r="B76" s="41"/>
      <c r="C76" s="45"/>
      <c r="D76" s="45"/>
      <c r="E76" s="45"/>
      <c r="F76" s="45"/>
      <c r="G76" s="45"/>
      <c r="H76" s="184">
        <v>264</v>
      </c>
      <c r="I76" s="60">
        <v>678</v>
      </c>
      <c r="J76" s="40">
        <v>29</v>
      </c>
      <c r="K76" s="40">
        <f t="shared" si="6"/>
        <v>5190768</v>
      </c>
      <c r="L76" s="40"/>
      <c r="N76" s="40">
        <f t="shared" si="7"/>
        <v>67.8</v>
      </c>
      <c r="O76" s="40">
        <f t="shared" si="8"/>
        <v>519076.79999999993</v>
      </c>
    </row>
    <row r="77" spans="1:15" ht="31.5" x14ac:dyDescent="0.25">
      <c r="A77" s="118" t="s">
        <v>745</v>
      </c>
      <c r="B77" s="41"/>
      <c r="C77" s="45"/>
      <c r="D77" s="45"/>
      <c r="E77" s="45"/>
      <c r="F77" s="45"/>
      <c r="G77" s="45"/>
      <c r="H77" s="184">
        <v>264</v>
      </c>
      <c r="I77" s="60">
        <v>765</v>
      </c>
      <c r="J77" s="40">
        <v>1</v>
      </c>
      <c r="K77" s="40">
        <f t="shared" si="6"/>
        <v>201960</v>
      </c>
      <c r="L77" s="40"/>
      <c r="N77" s="40">
        <f t="shared" si="7"/>
        <v>76.5</v>
      </c>
      <c r="O77" s="40">
        <f t="shared" si="8"/>
        <v>20196</v>
      </c>
    </row>
    <row r="78" spans="1:15" ht="31.5" x14ac:dyDescent="0.25">
      <c r="A78" s="118" t="s">
        <v>746</v>
      </c>
      <c r="B78" s="41"/>
      <c r="C78" s="45"/>
      <c r="D78" s="45"/>
      <c r="E78" s="45"/>
      <c r="F78" s="45"/>
      <c r="G78" s="45"/>
      <c r="H78" s="184">
        <v>264</v>
      </c>
      <c r="I78" s="60">
        <v>678</v>
      </c>
      <c r="J78" s="40">
        <v>1</v>
      </c>
      <c r="K78" s="40">
        <f t="shared" si="6"/>
        <v>178992</v>
      </c>
      <c r="L78" s="40"/>
      <c r="N78" s="40">
        <f t="shared" si="7"/>
        <v>67.8</v>
      </c>
      <c r="O78" s="40">
        <f t="shared" si="8"/>
        <v>17899.199999999997</v>
      </c>
    </row>
    <row r="79" spans="1:15" ht="31.5" x14ac:dyDescent="0.25">
      <c r="A79" s="118" t="s">
        <v>747</v>
      </c>
      <c r="B79" s="41"/>
      <c r="C79" s="45"/>
      <c r="D79" s="45"/>
      <c r="E79" s="45"/>
      <c r="F79" s="45"/>
      <c r="G79" s="45"/>
      <c r="H79" s="184">
        <v>264</v>
      </c>
      <c r="I79" s="60">
        <v>678</v>
      </c>
      <c r="J79" s="40">
        <v>1</v>
      </c>
      <c r="K79" s="40">
        <f t="shared" si="6"/>
        <v>178992</v>
      </c>
      <c r="L79" s="40"/>
      <c r="N79" s="40">
        <f t="shared" si="7"/>
        <v>67.8</v>
      </c>
      <c r="O79" s="40">
        <f t="shared" si="8"/>
        <v>17899.199999999997</v>
      </c>
    </row>
    <row r="80" spans="1:15" ht="15.75" customHeight="1" x14ac:dyDescent="0.25">
      <c r="A80" s="44" t="s">
        <v>748</v>
      </c>
      <c r="B80" s="41"/>
      <c r="C80" s="45"/>
      <c r="D80" s="45"/>
      <c r="E80" s="45"/>
      <c r="F80" s="45"/>
      <c r="G80" s="45"/>
      <c r="H80" s="184">
        <v>264</v>
      </c>
      <c r="I80" s="7">
        <v>639</v>
      </c>
      <c r="J80" s="57">
        <v>12</v>
      </c>
      <c r="K80" s="40">
        <f t="shared" si="6"/>
        <v>2024352</v>
      </c>
      <c r="L80" s="40"/>
      <c r="N80" s="40">
        <f t="shared" si="7"/>
        <v>63.900000000000006</v>
      </c>
      <c r="O80" s="40">
        <f t="shared" si="8"/>
        <v>202435.20000000001</v>
      </c>
    </row>
    <row r="81" spans="1:15" ht="15.75" customHeight="1" x14ac:dyDescent="0.25">
      <c r="A81" s="42" t="s">
        <v>466</v>
      </c>
      <c r="B81" s="41"/>
      <c r="C81" s="79">
        <f t="shared" ref="C81:D81" si="9">SUM(C37:C57)</f>
        <v>36053069.229999997</v>
      </c>
      <c r="D81" s="54">
        <f t="shared" si="9"/>
        <v>19803552.210000001</v>
      </c>
      <c r="E81" s="54">
        <f>F81-D81</f>
        <v>17410511.789999999</v>
      </c>
      <c r="F81" s="79">
        <f>SUM(F37:F57)</f>
        <v>37214064</v>
      </c>
      <c r="G81" s="79">
        <f>SUM(G34:G80)</f>
        <v>41831036</v>
      </c>
      <c r="H81" s="175">
        <v>37121264</v>
      </c>
      <c r="I81" s="7"/>
      <c r="K81" s="40">
        <f>SUM(K71:K80)</f>
        <v>9587952</v>
      </c>
      <c r="L81" s="40" t="e">
        <f>#REF!+#REF!+J69</f>
        <v>#REF!</v>
      </c>
      <c r="M81" s="185"/>
      <c r="N81" s="40"/>
    </row>
    <row r="82" spans="1:15" ht="15.75" customHeight="1" x14ac:dyDescent="0.25">
      <c r="A82" s="42"/>
      <c r="B82" s="80"/>
      <c r="C82" s="81"/>
      <c r="D82" s="55"/>
      <c r="E82" s="45"/>
      <c r="F82" s="163"/>
      <c r="G82" s="55"/>
      <c r="H82" s="7"/>
      <c r="I82" s="7"/>
      <c r="L82" s="40"/>
      <c r="N82" s="40"/>
      <c r="O82" s="40" t="e">
        <f>#REF!*0.1</f>
        <v>#REF!</v>
      </c>
    </row>
    <row r="83" spans="1:15" ht="15.75" customHeight="1" x14ac:dyDescent="0.25">
      <c r="A83" s="17" t="s">
        <v>467</v>
      </c>
      <c r="B83" s="20"/>
      <c r="C83" s="56">
        <f t="shared" ref="C83:D83" si="10">C33+C81</f>
        <v>36796992.279999994</v>
      </c>
      <c r="D83" s="43">
        <f t="shared" si="10"/>
        <v>20109269.870000001</v>
      </c>
      <c r="E83" s="45">
        <f>F83-D83</f>
        <v>18179867.129999999</v>
      </c>
      <c r="F83" s="26">
        <f t="shared" ref="F83:G83" si="11">F33+F81</f>
        <v>38289137</v>
      </c>
      <c r="G83" s="164">
        <f t="shared" si="11"/>
        <v>42974611</v>
      </c>
      <c r="H83" s="7"/>
      <c r="L83" s="40"/>
      <c r="N83" s="40"/>
    </row>
    <row r="84" spans="1:15" ht="15.75" customHeight="1" x14ac:dyDescent="0.25">
      <c r="A84" s="42"/>
      <c r="B84" s="25"/>
      <c r="C84" s="56"/>
      <c r="D84" s="43"/>
      <c r="E84" s="45"/>
      <c r="F84" s="43"/>
      <c r="G84" s="43"/>
      <c r="L84" s="40"/>
      <c r="N84" s="40"/>
    </row>
    <row r="85" spans="1:15" ht="15.75" customHeight="1" x14ac:dyDescent="0.25">
      <c r="A85" s="42" t="s">
        <v>529</v>
      </c>
      <c r="B85" s="25"/>
      <c r="C85" s="56"/>
      <c r="D85" s="43"/>
      <c r="E85" s="45"/>
      <c r="F85" s="43"/>
      <c r="G85" s="43"/>
      <c r="L85" s="40"/>
      <c r="N85" s="40"/>
    </row>
    <row r="86" spans="1:15" ht="15.75" customHeight="1" x14ac:dyDescent="0.25">
      <c r="A86" s="17" t="s">
        <v>476</v>
      </c>
      <c r="B86" s="41"/>
      <c r="C86" s="26"/>
      <c r="D86" s="43"/>
      <c r="E86" s="45"/>
      <c r="F86" s="56"/>
      <c r="G86" s="43"/>
      <c r="L86" s="40"/>
      <c r="N86" s="40"/>
    </row>
    <row r="87" spans="1:15" ht="15.75" customHeight="1" x14ac:dyDescent="0.25">
      <c r="A87" s="44" t="s">
        <v>479</v>
      </c>
      <c r="B87" s="41" t="s">
        <v>47</v>
      </c>
      <c r="C87" s="26">
        <v>0</v>
      </c>
      <c r="D87" s="43">
        <v>0</v>
      </c>
      <c r="E87" s="45">
        <v>0</v>
      </c>
      <c r="F87" s="56">
        <v>0</v>
      </c>
      <c r="G87" s="43">
        <f>60600</f>
        <v>60600</v>
      </c>
      <c r="H87" s="57">
        <v>60600</v>
      </c>
      <c r="L87" s="40"/>
      <c r="N87" s="40"/>
    </row>
    <row r="88" spans="1:15" ht="15.75" customHeight="1" x14ac:dyDescent="0.25">
      <c r="A88" s="44" t="s">
        <v>749</v>
      </c>
      <c r="B88" s="41"/>
      <c r="C88" s="26"/>
      <c r="D88" s="43"/>
      <c r="E88" s="45"/>
      <c r="F88" s="56"/>
      <c r="G88" s="43"/>
      <c r="L88" s="40"/>
      <c r="N88" s="40"/>
    </row>
    <row r="89" spans="1:15" ht="15.75" customHeight="1" x14ac:dyDescent="0.25">
      <c r="A89" s="44" t="s">
        <v>482</v>
      </c>
      <c r="B89" s="41" t="s">
        <v>52</v>
      </c>
      <c r="C89" s="26">
        <v>0</v>
      </c>
      <c r="D89" s="43">
        <v>0</v>
      </c>
      <c r="E89" s="45">
        <v>0</v>
      </c>
      <c r="F89" s="56">
        <v>0</v>
      </c>
      <c r="G89" s="43">
        <v>250000</v>
      </c>
      <c r="H89" s="57">
        <v>250000</v>
      </c>
      <c r="L89" s="40"/>
      <c r="N89" s="40"/>
    </row>
    <row r="90" spans="1:15" ht="15.75" customHeight="1" x14ac:dyDescent="0.25">
      <c r="A90" s="44" t="s">
        <v>750</v>
      </c>
      <c r="B90" s="41"/>
      <c r="C90" s="26"/>
      <c r="D90" s="43"/>
      <c r="E90" s="45"/>
      <c r="F90" s="56"/>
      <c r="G90" s="43"/>
      <c r="L90" s="40"/>
      <c r="N90" s="40"/>
    </row>
    <row r="91" spans="1:15" ht="15.75" customHeight="1" x14ac:dyDescent="0.25">
      <c r="A91" s="17" t="s">
        <v>570</v>
      </c>
      <c r="B91" s="41"/>
      <c r="C91" s="26"/>
      <c r="D91" s="43"/>
      <c r="E91" s="45"/>
      <c r="F91" s="56"/>
      <c r="G91" s="43"/>
      <c r="L91" s="40"/>
      <c r="N91" s="40"/>
    </row>
    <row r="92" spans="1:15" ht="15.75" customHeight="1" x14ac:dyDescent="0.25">
      <c r="A92" s="44" t="s">
        <v>630</v>
      </c>
      <c r="B92" s="41" t="s">
        <v>55</v>
      </c>
      <c r="C92" s="26">
        <v>74800</v>
      </c>
      <c r="D92" s="43">
        <v>0</v>
      </c>
      <c r="E92" s="45">
        <f>F92-D92</f>
        <v>0</v>
      </c>
      <c r="F92" s="43">
        <v>0</v>
      </c>
      <c r="G92" s="43">
        <v>1500000</v>
      </c>
      <c r="L92" s="40"/>
      <c r="N92" s="40"/>
    </row>
    <row r="93" spans="1:15" ht="15.75" customHeight="1" x14ac:dyDescent="0.25">
      <c r="A93" s="44" t="s">
        <v>751</v>
      </c>
      <c r="B93" s="41"/>
      <c r="C93" s="26"/>
      <c r="D93" s="43"/>
      <c r="E93" s="45"/>
      <c r="F93" s="43"/>
      <c r="G93" s="43"/>
      <c r="L93" s="40"/>
      <c r="N93" s="40"/>
    </row>
    <row r="94" spans="1:15" ht="15.75" customHeight="1" x14ac:dyDescent="0.25">
      <c r="A94" s="17" t="s">
        <v>536</v>
      </c>
      <c r="B94" s="41"/>
      <c r="C94" s="54">
        <f>C92</f>
        <v>74800</v>
      </c>
      <c r="D94" s="54">
        <f>+SUM(D91:D92)</f>
        <v>0</v>
      </c>
      <c r="E94" s="54">
        <f t="shared" ref="E94:E96" si="12">F94-D94</f>
        <v>0</v>
      </c>
      <c r="F94" s="54">
        <f>+SUM(F91:F92)</f>
        <v>0</v>
      </c>
      <c r="G94" s="54">
        <f>SUM(G87:G93)</f>
        <v>1810600</v>
      </c>
      <c r="L94" s="40"/>
      <c r="N94" s="40"/>
    </row>
    <row r="95" spans="1:15" ht="15.75" customHeight="1" x14ac:dyDescent="0.25">
      <c r="A95" s="17"/>
      <c r="B95" s="41"/>
      <c r="C95" s="26"/>
      <c r="D95" s="55"/>
      <c r="E95" s="45">
        <f t="shared" si="12"/>
        <v>0</v>
      </c>
      <c r="F95" s="55"/>
      <c r="G95" s="55"/>
      <c r="L95" s="40"/>
      <c r="N95" s="40"/>
    </row>
    <row r="96" spans="1:15" ht="15.75" customHeight="1" x14ac:dyDescent="0.25">
      <c r="A96" s="160" t="s">
        <v>487</v>
      </c>
      <c r="B96" s="51" t="s">
        <v>488</v>
      </c>
      <c r="C96" s="97">
        <f t="shared" ref="C96:D96" si="13">+C94+C83</f>
        <v>36871792.279999994</v>
      </c>
      <c r="D96" s="54">
        <f t="shared" si="13"/>
        <v>20109269.870000001</v>
      </c>
      <c r="E96" s="79">
        <f t="shared" si="12"/>
        <v>18179867.129999999</v>
      </c>
      <c r="F96" s="54">
        <f t="shared" ref="F96:G96" si="14">+F94+F83</f>
        <v>38289137</v>
      </c>
      <c r="G96" s="54">
        <f t="shared" si="14"/>
        <v>44785211</v>
      </c>
      <c r="L96" s="40"/>
      <c r="N96" s="40"/>
    </row>
    <row r="97" spans="1:14" ht="15.75" customHeight="1" x14ac:dyDescent="0.25">
      <c r="A97" s="24"/>
      <c r="B97" s="25"/>
      <c r="C97" s="24"/>
      <c r="D97" s="24"/>
      <c r="E97" s="24"/>
      <c r="F97" s="24"/>
      <c r="L97" s="40"/>
      <c r="N97" s="40"/>
    </row>
    <row r="98" spans="1:14" ht="15.75" customHeight="1" x14ac:dyDescent="0.25">
      <c r="A98" s="24"/>
      <c r="B98" s="25"/>
      <c r="C98" s="24"/>
      <c r="D98" s="24"/>
      <c r="E98" s="24"/>
      <c r="F98" s="24"/>
      <c r="L98" s="40"/>
      <c r="N98" s="40"/>
    </row>
    <row r="99" spans="1:14" ht="15.75" customHeight="1" x14ac:dyDescent="0.25">
      <c r="A99" s="17"/>
      <c r="B99" s="25"/>
      <c r="C99" s="24"/>
      <c r="D99" s="24"/>
      <c r="E99" s="24"/>
      <c r="F99" s="24"/>
      <c r="L99" s="40"/>
      <c r="N99" s="40"/>
    </row>
    <row r="100" spans="1:14" ht="15.75" customHeight="1" x14ac:dyDescent="0.25">
      <c r="A100" s="17"/>
      <c r="B100" s="25"/>
      <c r="C100" s="24"/>
      <c r="D100" s="24"/>
      <c r="E100" s="24"/>
      <c r="F100" s="24"/>
      <c r="L100" s="40"/>
      <c r="N100" s="40"/>
    </row>
    <row r="101" spans="1:14" ht="15.75" customHeight="1" x14ac:dyDescent="0.25">
      <c r="A101" s="17"/>
      <c r="B101" s="25"/>
      <c r="C101" s="24"/>
      <c r="D101" s="24"/>
      <c r="E101" s="24"/>
      <c r="F101" s="24"/>
      <c r="L101" s="40"/>
      <c r="N101" s="40"/>
    </row>
    <row r="102" spans="1:14" ht="15.75" customHeight="1" x14ac:dyDescent="0.25">
      <c r="A102" s="17"/>
      <c r="B102" s="25"/>
      <c r="C102" s="24"/>
      <c r="D102" s="24"/>
      <c r="E102" s="24"/>
      <c r="F102" s="24"/>
      <c r="L102" s="40"/>
      <c r="N102" s="40"/>
    </row>
    <row r="103" spans="1:14" ht="15.75" customHeight="1" x14ac:dyDescent="0.25">
      <c r="A103" s="17"/>
      <c r="B103" s="25"/>
      <c r="C103" s="24"/>
      <c r="D103" s="24"/>
      <c r="E103" s="24"/>
      <c r="F103" s="24"/>
      <c r="L103" s="40"/>
      <c r="N103" s="40"/>
    </row>
    <row r="104" spans="1:14" ht="15.75" customHeight="1" x14ac:dyDescent="0.25">
      <c r="A104" s="17"/>
      <c r="B104" s="25"/>
      <c r="C104" s="24"/>
      <c r="D104" s="24"/>
      <c r="E104" s="24"/>
      <c r="F104" s="24"/>
      <c r="L104" s="40"/>
      <c r="N104" s="40"/>
    </row>
    <row r="105" spans="1:14" ht="15.75" customHeight="1" x14ac:dyDescent="0.25">
      <c r="A105" s="17"/>
      <c r="B105" s="25"/>
      <c r="C105" s="24"/>
      <c r="D105" s="24"/>
      <c r="E105" s="24"/>
      <c r="F105" s="24"/>
      <c r="L105" s="40"/>
      <c r="N105" s="40"/>
    </row>
    <row r="106" spans="1:14" ht="15.75" customHeight="1" x14ac:dyDescent="0.25">
      <c r="A106" s="17"/>
      <c r="B106" s="25"/>
      <c r="C106" s="24"/>
      <c r="D106" s="24"/>
      <c r="E106" s="24"/>
      <c r="F106" s="24"/>
      <c r="L106" s="40"/>
      <c r="N106" s="40"/>
    </row>
    <row r="107" spans="1:14" ht="15.75" customHeight="1" x14ac:dyDescent="0.25">
      <c r="A107" s="17"/>
      <c r="B107" s="25"/>
      <c r="C107" s="24"/>
      <c r="D107" s="24"/>
      <c r="E107" s="24"/>
      <c r="F107" s="24"/>
      <c r="L107" s="40"/>
      <c r="N107" s="40"/>
    </row>
    <row r="108" spans="1:14" ht="15.75" customHeight="1" x14ac:dyDescent="0.25">
      <c r="A108" s="17"/>
      <c r="B108" s="25"/>
      <c r="C108" s="24"/>
      <c r="D108" s="24"/>
      <c r="E108" s="24"/>
      <c r="F108" s="24"/>
      <c r="L108" s="40"/>
      <c r="N108" s="40"/>
    </row>
    <row r="109" spans="1:14" ht="15.75" customHeight="1" x14ac:dyDescent="0.25">
      <c r="A109" s="17"/>
      <c r="B109" s="25"/>
      <c r="C109" s="24"/>
      <c r="D109" s="24"/>
      <c r="E109" s="24"/>
      <c r="F109" s="24"/>
      <c r="L109" s="40"/>
      <c r="N109" s="40"/>
    </row>
    <row r="110" spans="1:14" ht="15.75" customHeight="1" x14ac:dyDescent="0.25">
      <c r="A110" s="17"/>
      <c r="B110" s="25"/>
      <c r="C110" s="24"/>
      <c r="D110" s="24"/>
      <c r="E110" s="24"/>
      <c r="F110" s="24"/>
      <c r="L110" s="40"/>
      <c r="N110" s="40"/>
    </row>
    <row r="111" spans="1:14" ht="15.75" customHeight="1" x14ac:dyDescent="0.25">
      <c r="A111" s="17"/>
      <c r="B111" s="25"/>
      <c r="C111" s="24"/>
      <c r="D111" s="24"/>
      <c r="E111" s="24"/>
      <c r="F111" s="24"/>
      <c r="L111" s="40"/>
      <c r="N111" s="40"/>
    </row>
    <row r="112" spans="1:14" ht="15.75" customHeight="1" x14ac:dyDescent="0.25">
      <c r="A112" s="17"/>
      <c r="B112" s="25"/>
      <c r="C112" s="24"/>
      <c r="D112" s="24"/>
      <c r="E112" s="24"/>
      <c r="F112" s="24"/>
      <c r="L112" s="40"/>
      <c r="N112" s="40"/>
    </row>
    <row r="113" spans="1:14" ht="15.75" customHeight="1" x14ac:dyDescent="0.25">
      <c r="A113" s="17"/>
      <c r="B113" s="25"/>
      <c r="C113" s="24"/>
      <c r="D113" s="24"/>
      <c r="E113" s="24"/>
      <c r="F113" s="24"/>
      <c r="L113" s="40"/>
      <c r="N113" s="40"/>
    </row>
    <row r="114" spans="1:14" ht="15.75" customHeight="1" x14ac:dyDescent="0.25">
      <c r="A114" s="17"/>
      <c r="B114" s="25"/>
      <c r="C114" s="24"/>
      <c r="D114" s="24"/>
      <c r="E114" s="24"/>
      <c r="F114" s="24"/>
      <c r="L114" s="40"/>
      <c r="N114" s="40"/>
    </row>
    <row r="115" spans="1:14" ht="15.75" customHeight="1" x14ac:dyDescent="0.25">
      <c r="A115" s="17"/>
      <c r="B115" s="25"/>
      <c r="C115" s="24"/>
      <c r="D115" s="24"/>
      <c r="E115" s="24"/>
      <c r="F115" s="24"/>
      <c r="L115" s="40"/>
      <c r="N115" s="40"/>
    </row>
    <row r="116" spans="1:14" ht="15.75" customHeight="1" x14ac:dyDescent="0.25">
      <c r="A116" s="17"/>
      <c r="B116" s="25"/>
      <c r="C116" s="24"/>
      <c r="D116" s="24"/>
      <c r="E116" s="24"/>
      <c r="F116" s="24"/>
      <c r="L116" s="40"/>
      <c r="N116" s="40"/>
    </row>
    <row r="117" spans="1:14" ht="15.75" customHeight="1" x14ac:dyDescent="0.25">
      <c r="A117" s="17"/>
      <c r="B117" s="25"/>
      <c r="C117" s="24"/>
      <c r="D117" s="24"/>
      <c r="E117" s="24"/>
      <c r="F117" s="24"/>
      <c r="L117" s="40"/>
      <c r="N117" s="40"/>
    </row>
    <row r="118" spans="1:14" ht="15.75" customHeight="1" x14ac:dyDescent="0.25">
      <c r="A118" s="17"/>
      <c r="B118" s="25"/>
      <c r="C118" s="24"/>
      <c r="D118" s="24"/>
      <c r="E118" s="24"/>
      <c r="F118" s="24"/>
      <c r="L118" s="40"/>
      <c r="N118" s="40"/>
    </row>
    <row r="119" spans="1:14" ht="15.75" customHeight="1" x14ac:dyDescent="0.25">
      <c r="A119" s="17"/>
      <c r="B119" s="25"/>
      <c r="C119" s="24"/>
      <c r="D119" s="24"/>
      <c r="E119" s="24"/>
      <c r="F119" s="24"/>
      <c r="L119" s="40"/>
      <c r="N119" s="40"/>
    </row>
    <row r="120" spans="1:14" ht="15.75" customHeight="1" x14ac:dyDescent="0.25">
      <c r="A120" s="17"/>
      <c r="B120" s="25"/>
      <c r="C120" s="24"/>
      <c r="D120" s="24"/>
      <c r="E120" s="24"/>
      <c r="F120" s="24"/>
      <c r="L120" s="40"/>
      <c r="N120" s="40"/>
    </row>
    <row r="121" spans="1:14" ht="15.75" customHeight="1" x14ac:dyDescent="0.25">
      <c r="A121" s="17"/>
      <c r="B121" s="25"/>
      <c r="C121" s="24"/>
      <c r="D121" s="24"/>
      <c r="E121" s="24"/>
      <c r="F121" s="24"/>
      <c r="L121" s="40"/>
      <c r="N121" s="40"/>
    </row>
    <row r="122" spans="1:14" ht="15.75" customHeight="1" x14ac:dyDescent="0.25">
      <c r="A122" s="17"/>
      <c r="B122" s="25"/>
      <c r="C122" s="24"/>
      <c r="D122" s="24"/>
      <c r="E122" s="24"/>
      <c r="F122" s="24"/>
      <c r="L122" s="40"/>
      <c r="N122" s="40"/>
    </row>
    <row r="123" spans="1:14" ht="15.75" customHeight="1" x14ac:dyDescent="0.25">
      <c r="A123" s="17"/>
      <c r="B123" s="25"/>
      <c r="C123" s="24"/>
      <c r="D123" s="24"/>
      <c r="E123" s="24"/>
      <c r="F123" s="24"/>
      <c r="L123" s="40"/>
      <c r="N123" s="40"/>
    </row>
    <row r="124" spans="1:14" ht="15.75" customHeight="1" x14ac:dyDescent="0.25">
      <c r="A124" s="17"/>
      <c r="B124" s="25"/>
      <c r="C124" s="24"/>
      <c r="D124" s="24"/>
      <c r="E124" s="24"/>
      <c r="F124" s="24"/>
      <c r="L124" s="40"/>
      <c r="N124" s="40"/>
    </row>
    <row r="125" spans="1:14" ht="15.75" customHeight="1" x14ac:dyDescent="0.25">
      <c r="A125" s="17"/>
      <c r="B125" s="25"/>
      <c r="C125" s="24"/>
      <c r="D125" s="24"/>
      <c r="E125" s="24"/>
      <c r="F125" s="24"/>
      <c r="L125" s="40"/>
      <c r="N125" s="40"/>
    </row>
    <row r="126" spans="1:14" ht="15.75" customHeight="1" x14ac:dyDescent="0.25">
      <c r="A126" s="17"/>
      <c r="B126" s="25"/>
      <c r="C126" s="24"/>
      <c r="D126" s="24"/>
      <c r="E126" s="24"/>
      <c r="F126" s="24"/>
      <c r="L126" s="40"/>
      <c r="N126" s="40"/>
    </row>
    <row r="127" spans="1:14" ht="15.75" customHeight="1" x14ac:dyDescent="0.25">
      <c r="A127" s="17"/>
      <c r="B127" s="25"/>
      <c r="C127" s="24"/>
      <c r="D127" s="24"/>
      <c r="E127" s="24"/>
      <c r="F127" s="24"/>
      <c r="L127" s="40"/>
      <c r="N127" s="40"/>
    </row>
    <row r="128" spans="1:14" ht="15.75" customHeight="1" x14ac:dyDescent="0.25">
      <c r="A128" s="17"/>
      <c r="B128" s="25"/>
      <c r="C128" s="24"/>
      <c r="D128" s="24"/>
      <c r="E128" s="24"/>
      <c r="F128" s="24"/>
      <c r="L128" s="40"/>
      <c r="N128" s="40"/>
    </row>
    <row r="129" spans="1:14" ht="15.75" customHeight="1" x14ac:dyDescent="0.25">
      <c r="A129" s="17"/>
      <c r="B129" s="25"/>
      <c r="C129" s="24"/>
      <c r="D129" s="24"/>
      <c r="E129" s="24"/>
      <c r="F129" s="24"/>
      <c r="L129" s="40"/>
      <c r="N129" s="40"/>
    </row>
    <row r="130" spans="1:14" ht="15.75" customHeight="1" x14ac:dyDescent="0.25">
      <c r="A130" s="17"/>
      <c r="B130" s="25"/>
      <c r="C130" s="24"/>
      <c r="D130" s="24"/>
      <c r="E130" s="24"/>
      <c r="F130" s="24"/>
      <c r="L130" s="40"/>
      <c r="N130" s="40"/>
    </row>
    <row r="131" spans="1:14" ht="15.75" customHeight="1" x14ac:dyDescent="0.25">
      <c r="A131" s="17"/>
      <c r="B131" s="25"/>
      <c r="C131" s="24"/>
      <c r="D131" s="24"/>
      <c r="E131" s="24"/>
      <c r="F131" s="24"/>
      <c r="L131" s="40"/>
      <c r="N131" s="40"/>
    </row>
    <row r="132" spans="1:14" ht="15.75" customHeight="1" x14ac:dyDescent="0.25">
      <c r="A132" s="17"/>
      <c r="B132" s="25"/>
      <c r="C132" s="24"/>
      <c r="D132" s="24"/>
      <c r="E132" s="24"/>
      <c r="F132" s="24"/>
      <c r="L132" s="40"/>
      <c r="N132" s="40"/>
    </row>
    <row r="133" spans="1:14" ht="15.75" customHeight="1" x14ac:dyDescent="0.25">
      <c r="A133" s="17"/>
      <c r="B133" s="25"/>
      <c r="C133" s="24"/>
      <c r="D133" s="24"/>
      <c r="E133" s="24"/>
      <c r="F133" s="24"/>
      <c r="L133" s="40"/>
      <c r="N133" s="40"/>
    </row>
    <row r="134" spans="1:14" ht="15.75" customHeight="1" x14ac:dyDescent="0.25">
      <c r="A134" s="17"/>
      <c r="B134" s="25"/>
      <c r="C134" s="24"/>
      <c r="D134" s="24"/>
      <c r="E134" s="24"/>
      <c r="F134" s="24"/>
      <c r="L134" s="40"/>
      <c r="N134" s="40"/>
    </row>
    <row r="135" spans="1:14" ht="15.75" customHeight="1" x14ac:dyDescent="0.25">
      <c r="A135" s="17"/>
      <c r="B135" s="25"/>
      <c r="C135" s="24"/>
      <c r="D135" s="24"/>
      <c r="E135" s="24"/>
      <c r="F135" s="24"/>
      <c r="L135" s="40"/>
      <c r="N135" s="40"/>
    </row>
    <row r="136" spans="1:14" ht="15.75" customHeight="1" x14ac:dyDescent="0.25">
      <c r="A136" s="17"/>
      <c r="B136" s="25"/>
      <c r="C136" s="24"/>
      <c r="D136" s="24"/>
      <c r="E136" s="24"/>
      <c r="F136" s="24"/>
      <c r="L136" s="40"/>
      <c r="N136" s="40"/>
    </row>
    <row r="137" spans="1:14" ht="15.75" customHeight="1" x14ac:dyDescent="0.25">
      <c r="A137" s="17"/>
      <c r="B137" s="25"/>
      <c r="C137" s="24"/>
      <c r="D137" s="24"/>
      <c r="E137" s="24"/>
      <c r="F137" s="24"/>
      <c r="L137" s="40"/>
      <c r="N137" s="40"/>
    </row>
    <row r="138" spans="1:14" ht="15.75" customHeight="1" x14ac:dyDescent="0.25">
      <c r="A138" s="17"/>
      <c r="B138" s="25"/>
      <c r="C138" s="24"/>
      <c r="D138" s="24"/>
      <c r="E138" s="24"/>
      <c r="F138" s="24"/>
      <c r="L138" s="40"/>
      <c r="N138" s="40"/>
    </row>
    <row r="139" spans="1:14" ht="15.75" customHeight="1" x14ac:dyDescent="0.25">
      <c r="A139" s="17"/>
      <c r="B139" s="25"/>
      <c r="C139" s="24"/>
      <c r="D139" s="24"/>
      <c r="E139" s="24"/>
      <c r="F139" s="24"/>
      <c r="L139" s="40"/>
      <c r="N139" s="40"/>
    </row>
    <row r="140" spans="1:14" ht="15.75" customHeight="1" x14ac:dyDescent="0.25">
      <c r="A140" s="17"/>
      <c r="B140" s="25"/>
      <c r="C140" s="24"/>
      <c r="D140" s="24"/>
      <c r="E140" s="24"/>
      <c r="F140" s="24"/>
      <c r="L140" s="40"/>
      <c r="N140" s="40"/>
    </row>
    <row r="141" spans="1:14" ht="15.75" customHeight="1" x14ac:dyDescent="0.25">
      <c r="A141" s="17"/>
      <c r="B141" s="25"/>
      <c r="C141" s="24"/>
      <c r="D141" s="24"/>
      <c r="E141" s="24"/>
      <c r="F141" s="24"/>
      <c r="L141" s="40"/>
      <c r="N141" s="40"/>
    </row>
    <row r="142" spans="1:14" ht="15.75" customHeight="1" x14ac:dyDescent="0.25">
      <c r="A142" s="17"/>
      <c r="B142" s="25"/>
      <c r="C142" s="24"/>
      <c r="D142" s="24"/>
      <c r="E142" s="24"/>
      <c r="F142" s="24"/>
      <c r="L142" s="40"/>
      <c r="N142" s="40"/>
    </row>
    <row r="143" spans="1:14" ht="15.75" customHeight="1" x14ac:dyDescent="0.25">
      <c r="A143" s="17"/>
      <c r="B143" s="25"/>
      <c r="C143" s="24"/>
      <c r="D143" s="24"/>
      <c r="E143" s="24"/>
      <c r="F143" s="24"/>
      <c r="L143" s="40"/>
      <c r="N143" s="40"/>
    </row>
    <row r="144" spans="1:14" ht="15.75" customHeight="1" x14ac:dyDescent="0.25">
      <c r="A144" s="17"/>
      <c r="B144" s="25"/>
      <c r="C144" s="24"/>
      <c r="D144" s="24"/>
      <c r="E144" s="24"/>
      <c r="F144" s="24"/>
      <c r="L144" s="40"/>
      <c r="N144" s="40"/>
    </row>
    <row r="145" spans="1:14" ht="15.75" customHeight="1" x14ac:dyDescent="0.25">
      <c r="A145" s="17"/>
      <c r="B145" s="25"/>
      <c r="C145" s="24"/>
      <c r="D145" s="24"/>
      <c r="E145" s="24"/>
      <c r="F145" s="24"/>
      <c r="L145" s="40"/>
      <c r="N145" s="40"/>
    </row>
    <row r="146" spans="1:14" ht="15.75" customHeight="1" x14ac:dyDescent="0.25">
      <c r="A146" s="17"/>
      <c r="B146" s="25"/>
      <c r="C146" s="24"/>
      <c r="D146" s="24"/>
      <c r="E146" s="24"/>
      <c r="F146" s="24"/>
      <c r="L146" s="40"/>
      <c r="N146" s="40"/>
    </row>
    <row r="147" spans="1:14" ht="15.75" customHeight="1" x14ac:dyDescent="0.25">
      <c r="A147" s="17"/>
      <c r="B147" s="25"/>
      <c r="C147" s="24"/>
      <c r="D147" s="24"/>
      <c r="E147" s="24"/>
      <c r="F147" s="24"/>
      <c r="L147" s="40"/>
      <c r="N147" s="40"/>
    </row>
    <row r="148" spans="1:14" ht="15.75" customHeight="1" x14ac:dyDescent="0.25">
      <c r="A148" s="17"/>
      <c r="B148" s="25"/>
      <c r="C148" s="24"/>
      <c r="D148" s="24"/>
      <c r="E148" s="24"/>
      <c r="F148" s="24"/>
      <c r="L148" s="40"/>
      <c r="N148" s="40"/>
    </row>
    <row r="149" spans="1:14" ht="15.75" customHeight="1" x14ac:dyDescent="0.25">
      <c r="A149" s="17"/>
      <c r="B149" s="25"/>
      <c r="C149" s="24"/>
      <c r="D149" s="24"/>
      <c r="E149" s="24"/>
      <c r="F149" s="24"/>
      <c r="L149" s="40"/>
      <c r="N149" s="40"/>
    </row>
    <row r="150" spans="1:14" ht="15.75" customHeight="1" x14ac:dyDescent="0.25">
      <c r="A150" s="17"/>
      <c r="B150" s="25"/>
      <c r="C150" s="24"/>
      <c r="D150" s="24"/>
      <c r="E150" s="24"/>
      <c r="F150" s="24"/>
      <c r="L150" s="40"/>
      <c r="N150" s="40"/>
    </row>
    <row r="151" spans="1:14" ht="15.75" customHeight="1" x14ac:dyDescent="0.25">
      <c r="A151" s="17"/>
      <c r="B151" s="25"/>
      <c r="C151" s="24"/>
      <c r="D151" s="24"/>
      <c r="E151" s="24"/>
      <c r="F151" s="24"/>
      <c r="L151" s="40"/>
      <c r="N151" s="40"/>
    </row>
    <row r="152" spans="1:14" ht="15.75" customHeight="1" x14ac:dyDescent="0.25">
      <c r="A152" s="17"/>
      <c r="B152" s="25"/>
      <c r="C152" s="24"/>
      <c r="D152" s="24"/>
      <c r="E152" s="24"/>
      <c r="F152" s="24"/>
      <c r="L152" s="40"/>
      <c r="N152" s="40"/>
    </row>
    <row r="153" spans="1:14" ht="15.75" customHeight="1" x14ac:dyDescent="0.25">
      <c r="A153" s="17"/>
      <c r="B153" s="25"/>
      <c r="C153" s="24"/>
      <c r="D153" s="24"/>
      <c r="E153" s="24"/>
      <c r="F153" s="24"/>
      <c r="L153" s="40"/>
      <c r="N153" s="40"/>
    </row>
    <row r="154" spans="1:14" ht="15.75" customHeight="1" x14ac:dyDescent="0.25">
      <c r="A154" s="17"/>
      <c r="B154" s="25"/>
      <c r="C154" s="24"/>
      <c r="D154" s="24"/>
      <c r="E154" s="24"/>
      <c r="F154" s="24"/>
      <c r="L154" s="40"/>
      <c r="N154" s="40"/>
    </row>
    <row r="155" spans="1:14" ht="15.75" customHeight="1" x14ac:dyDescent="0.25">
      <c r="A155" s="17"/>
      <c r="B155" s="25"/>
      <c r="C155" s="24"/>
      <c r="D155" s="24"/>
      <c r="E155" s="24"/>
      <c r="F155" s="24"/>
      <c r="L155" s="40"/>
      <c r="N155" s="40"/>
    </row>
    <row r="156" spans="1:14" ht="15.75" customHeight="1" x14ac:dyDescent="0.25">
      <c r="A156" s="17"/>
      <c r="B156" s="25"/>
      <c r="C156" s="24"/>
      <c r="D156" s="24"/>
      <c r="E156" s="24"/>
      <c r="F156" s="24"/>
      <c r="L156" s="40"/>
      <c r="N156" s="40"/>
    </row>
    <row r="157" spans="1:14" ht="15.75" customHeight="1" x14ac:dyDescent="0.25">
      <c r="A157" s="17"/>
      <c r="B157" s="25"/>
      <c r="C157" s="24"/>
      <c r="D157" s="24"/>
      <c r="E157" s="24"/>
      <c r="F157" s="24"/>
      <c r="L157" s="40"/>
      <c r="N157" s="40"/>
    </row>
    <row r="158" spans="1:14" ht="15.75" customHeight="1" x14ac:dyDescent="0.25">
      <c r="A158" s="17"/>
      <c r="B158" s="25"/>
      <c r="C158" s="24"/>
      <c r="D158" s="24"/>
      <c r="E158" s="24"/>
      <c r="F158" s="24"/>
      <c r="L158" s="40"/>
      <c r="N158" s="40"/>
    </row>
    <row r="159" spans="1:14" ht="15.75" customHeight="1" x14ac:dyDescent="0.25">
      <c r="A159" s="17"/>
      <c r="B159" s="25"/>
      <c r="C159" s="24"/>
      <c r="D159" s="24"/>
      <c r="E159" s="24"/>
      <c r="F159" s="24"/>
      <c r="L159" s="40"/>
      <c r="N159" s="40"/>
    </row>
    <row r="160" spans="1:14" ht="15.75" customHeight="1" x14ac:dyDescent="0.25">
      <c r="A160" s="17"/>
      <c r="B160" s="25"/>
      <c r="C160" s="24"/>
      <c r="D160" s="24"/>
      <c r="E160" s="24"/>
      <c r="F160" s="24"/>
      <c r="L160" s="40"/>
      <c r="N160" s="40"/>
    </row>
    <row r="161" spans="1:14" ht="15.75" customHeight="1" x14ac:dyDescent="0.25">
      <c r="A161" s="17"/>
      <c r="B161" s="25"/>
      <c r="C161" s="24"/>
      <c r="D161" s="24"/>
      <c r="E161" s="24"/>
      <c r="F161" s="24"/>
      <c r="L161" s="40"/>
      <c r="N161" s="40"/>
    </row>
    <row r="162" spans="1:14" ht="15.75" customHeight="1" x14ac:dyDescent="0.25">
      <c r="A162" s="17"/>
      <c r="B162" s="25"/>
      <c r="C162" s="24"/>
      <c r="D162" s="24"/>
      <c r="E162" s="24"/>
      <c r="F162" s="24"/>
      <c r="L162" s="40"/>
      <c r="N162" s="40"/>
    </row>
    <row r="163" spans="1:14" ht="15.75" customHeight="1" x14ac:dyDescent="0.25">
      <c r="A163" s="17"/>
      <c r="B163" s="25"/>
      <c r="C163" s="24"/>
      <c r="D163" s="24"/>
      <c r="E163" s="24"/>
      <c r="F163" s="24"/>
      <c r="L163" s="40"/>
      <c r="N163" s="40"/>
    </row>
    <row r="164" spans="1:14" ht="15.75" customHeight="1" x14ac:dyDescent="0.25">
      <c r="A164" s="17"/>
      <c r="B164" s="25"/>
      <c r="C164" s="24"/>
      <c r="D164" s="24"/>
      <c r="E164" s="24"/>
      <c r="F164" s="24"/>
      <c r="L164" s="40"/>
      <c r="N164" s="40"/>
    </row>
    <row r="165" spans="1:14" ht="15.75" customHeight="1" x14ac:dyDescent="0.25">
      <c r="A165" s="17"/>
      <c r="B165" s="25"/>
      <c r="C165" s="24"/>
      <c r="D165" s="24"/>
      <c r="E165" s="24"/>
      <c r="F165" s="24"/>
      <c r="L165" s="40"/>
      <c r="N165" s="40"/>
    </row>
    <row r="166" spans="1:14" ht="15.75" customHeight="1" x14ac:dyDescent="0.25">
      <c r="A166" s="17"/>
      <c r="B166" s="25"/>
      <c r="C166" s="24"/>
      <c r="D166" s="24"/>
      <c r="E166" s="24"/>
      <c r="F166" s="24"/>
      <c r="L166" s="40"/>
      <c r="N166" s="40"/>
    </row>
    <row r="167" spans="1:14" ht="15.75" customHeight="1" x14ac:dyDescent="0.25">
      <c r="A167" s="17"/>
      <c r="B167" s="25"/>
      <c r="C167" s="24"/>
      <c r="D167" s="24"/>
      <c r="E167" s="24"/>
      <c r="F167" s="24"/>
      <c r="L167" s="40"/>
      <c r="N167" s="40"/>
    </row>
    <row r="168" spans="1:14" ht="15.75" customHeight="1" x14ac:dyDescent="0.25">
      <c r="A168" s="17"/>
      <c r="B168" s="25"/>
      <c r="C168" s="24"/>
      <c r="D168" s="24"/>
      <c r="E168" s="24"/>
      <c r="F168" s="24"/>
      <c r="L168" s="40"/>
      <c r="N168" s="40"/>
    </row>
    <row r="169" spans="1:14" ht="15.75" customHeight="1" x14ac:dyDescent="0.25">
      <c r="A169" s="17"/>
      <c r="B169" s="25"/>
      <c r="C169" s="24"/>
      <c r="D169" s="24"/>
      <c r="E169" s="24"/>
      <c r="F169" s="24"/>
      <c r="L169" s="40"/>
      <c r="N169" s="40"/>
    </row>
    <row r="170" spans="1:14" ht="15.75" customHeight="1" x14ac:dyDescent="0.25">
      <c r="A170" s="17"/>
      <c r="B170" s="25"/>
      <c r="C170" s="24"/>
      <c r="D170" s="24"/>
      <c r="E170" s="24"/>
      <c r="F170" s="24"/>
      <c r="L170" s="40"/>
      <c r="N170" s="40"/>
    </row>
    <row r="171" spans="1:14" ht="15.75" customHeight="1" x14ac:dyDescent="0.25">
      <c r="A171" s="17"/>
      <c r="B171" s="25"/>
      <c r="C171" s="24"/>
      <c r="D171" s="24"/>
      <c r="E171" s="24"/>
      <c r="F171" s="24"/>
      <c r="L171" s="40"/>
      <c r="N171" s="40"/>
    </row>
    <row r="172" spans="1:14" ht="15.75" customHeight="1" x14ac:dyDescent="0.25">
      <c r="A172" s="17"/>
      <c r="B172" s="25"/>
      <c r="C172" s="24"/>
      <c r="D172" s="24"/>
      <c r="E172" s="24"/>
      <c r="F172" s="24"/>
      <c r="L172" s="40"/>
      <c r="N172" s="40"/>
    </row>
    <row r="173" spans="1:14" ht="15.75" customHeight="1" x14ac:dyDescent="0.25">
      <c r="A173" s="17"/>
      <c r="B173" s="25"/>
      <c r="C173" s="24"/>
      <c r="D173" s="24"/>
      <c r="E173" s="24"/>
      <c r="F173" s="24"/>
      <c r="L173" s="40"/>
      <c r="N173" s="40"/>
    </row>
    <row r="174" spans="1:14" ht="15.75" customHeight="1" x14ac:dyDescent="0.25">
      <c r="A174" s="17"/>
      <c r="B174" s="25"/>
      <c r="C174" s="24"/>
      <c r="D174" s="24"/>
      <c r="E174" s="24"/>
      <c r="F174" s="24"/>
      <c r="L174" s="40"/>
      <c r="N174" s="40"/>
    </row>
    <row r="175" spans="1:14" ht="15.75" customHeight="1" x14ac:dyDescent="0.25">
      <c r="A175" s="17"/>
      <c r="B175" s="25"/>
      <c r="C175" s="24"/>
      <c r="D175" s="24"/>
      <c r="E175" s="24"/>
      <c r="F175" s="24"/>
      <c r="L175" s="40"/>
      <c r="N175" s="40"/>
    </row>
    <row r="176" spans="1:14" ht="15.75" customHeight="1" x14ac:dyDescent="0.25">
      <c r="A176" s="17"/>
      <c r="B176" s="25"/>
      <c r="C176" s="24"/>
      <c r="D176" s="24"/>
      <c r="E176" s="24"/>
      <c r="F176" s="24"/>
      <c r="L176" s="40"/>
      <c r="N176" s="40"/>
    </row>
    <row r="177" spans="1:14" ht="15.75" customHeight="1" x14ac:dyDescent="0.25">
      <c r="A177" s="17"/>
      <c r="B177" s="25"/>
      <c r="C177" s="24"/>
      <c r="D177" s="24"/>
      <c r="E177" s="24"/>
      <c r="F177" s="24"/>
      <c r="L177" s="40"/>
      <c r="N177" s="40"/>
    </row>
    <row r="178" spans="1:14" ht="15.75" customHeight="1" x14ac:dyDescent="0.25">
      <c r="A178" s="17"/>
      <c r="B178" s="25"/>
      <c r="C178" s="24"/>
      <c r="D178" s="24"/>
      <c r="E178" s="24"/>
      <c r="F178" s="24"/>
      <c r="L178" s="40"/>
      <c r="N178" s="40"/>
    </row>
    <row r="179" spans="1:14" ht="15.75" customHeight="1" x14ac:dyDescent="0.25">
      <c r="A179" s="17"/>
      <c r="B179" s="25"/>
      <c r="C179" s="24"/>
      <c r="D179" s="24"/>
      <c r="E179" s="24"/>
      <c r="F179" s="24"/>
      <c r="L179" s="40"/>
      <c r="N179" s="40"/>
    </row>
    <row r="180" spans="1:14" ht="15.75" customHeight="1" x14ac:dyDescent="0.25">
      <c r="A180" s="17"/>
      <c r="B180" s="25"/>
      <c r="C180" s="24"/>
      <c r="D180" s="24"/>
      <c r="E180" s="24"/>
      <c r="F180" s="24"/>
      <c r="L180" s="40"/>
      <c r="N180" s="40"/>
    </row>
    <row r="181" spans="1:14" ht="15.75" customHeight="1" x14ac:dyDescent="0.25">
      <c r="A181" s="17"/>
      <c r="B181" s="25"/>
      <c r="C181" s="24"/>
      <c r="D181" s="24"/>
      <c r="E181" s="24"/>
      <c r="F181" s="24"/>
      <c r="L181" s="40"/>
      <c r="N181" s="40"/>
    </row>
    <row r="182" spans="1:14" ht="15.75" customHeight="1" x14ac:dyDescent="0.25">
      <c r="A182" s="17"/>
      <c r="B182" s="25"/>
      <c r="C182" s="24"/>
      <c r="D182" s="24"/>
      <c r="E182" s="24"/>
      <c r="F182" s="24"/>
      <c r="L182" s="40"/>
      <c r="N182" s="40"/>
    </row>
    <row r="183" spans="1:14" ht="15.75" customHeight="1" x14ac:dyDescent="0.25">
      <c r="A183" s="17"/>
      <c r="B183" s="25"/>
      <c r="C183" s="24"/>
      <c r="D183" s="24"/>
      <c r="E183" s="24"/>
      <c r="F183" s="24"/>
      <c r="L183" s="40"/>
      <c r="N183" s="40"/>
    </row>
    <row r="184" spans="1:14" ht="15.75" customHeight="1" x14ac:dyDescent="0.25">
      <c r="A184" s="17"/>
      <c r="B184" s="25"/>
      <c r="C184" s="24"/>
      <c r="D184" s="24"/>
      <c r="E184" s="24"/>
      <c r="F184" s="24"/>
      <c r="L184" s="40"/>
      <c r="N184" s="40"/>
    </row>
    <row r="185" spans="1:14" ht="15.75" customHeight="1" x14ac:dyDescent="0.25">
      <c r="A185" s="17"/>
      <c r="B185" s="25"/>
      <c r="C185" s="24"/>
      <c r="D185" s="24"/>
      <c r="E185" s="24"/>
      <c r="F185" s="24"/>
      <c r="L185" s="40"/>
      <c r="N185" s="40"/>
    </row>
    <row r="186" spans="1:14" ht="15.75" customHeight="1" x14ac:dyDescent="0.25">
      <c r="A186" s="17"/>
      <c r="B186" s="25"/>
      <c r="C186" s="24"/>
      <c r="D186" s="24"/>
      <c r="E186" s="24"/>
      <c r="F186" s="24"/>
      <c r="L186" s="40"/>
      <c r="N186" s="40"/>
    </row>
    <row r="187" spans="1:14" ht="15.75" customHeight="1" x14ac:dyDescent="0.25">
      <c r="A187" s="17"/>
      <c r="B187" s="25"/>
      <c r="C187" s="24"/>
      <c r="D187" s="24"/>
      <c r="E187" s="24"/>
      <c r="F187" s="24"/>
      <c r="L187" s="40"/>
      <c r="N187" s="40"/>
    </row>
    <row r="188" spans="1:14" ht="15.75" customHeight="1" x14ac:dyDescent="0.25">
      <c r="A188" s="17"/>
      <c r="B188" s="25"/>
      <c r="C188" s="24"/>
      <c r="D188" s="24"/>
      <c r="E188" s="24"/>
      <c r="F188" s="24"/>
      <c r="L188" s="40"/>
      <c r="N188" s="40"/>
    </row>
    <row r="189" spans="1:14" ht="15.75" customHeight="1" x14ac:dyDescent="0.25">
      <c r="A189" s="17"/>
      <c r="B189" s="25"/>
      <c r="C189" s="24"/>
      <c r="D189" s="24"/>
      <c r="E189" s="24"/>
      <c r="F189" s="24"/>
      <c r="L189" s="40"/>
      <c r="N189" s="40"/>
    </row>
    <row r="190" spans="1:14" ht="15.75" customHeight="1" x14ac:dyDescent="0.25">
      <c r="A190" s="17"/>
      <c r="B190" s="25"/>
      <c r="C190" s="24"/>
      <c r="D190" s="24"/>
      <c r="E190" s="24"/>
      <c r="F190" s="24"/>
      <c r="L190" s="40"/>
      <c r="N190" s="40"/>
    </row>
    <row r="191" spans="1:14" ht="15.75" customHeight="1" x14ac:dyDescent="0.25">
      <c r="A191" s="17"/>
      <c r="B191" s="25"/>
      <c r="C191" s="24"/>
      <c r="D191" s="24"/>
      <c r="E191" s="24"/>
      <c r="F191" s="24"/>
      <c r="L191" s="40"/>
      <c r="N191" s="40"/>
    </row>
    <row r="192" spans="1:14" ht="15.75" customHeight="1" x14ac:dyDescent="0.25">
      <c r="A192" s="17"/>
      <c r="B192" s="25"/>
      <c r="C192" s="24"/>
      <c r="D192" s="24"/>
      <c r="E192" s="24"/>
      <c r="F192" s="24"/>
      <c r="L192" s="40"/>
      <c r="N192" s="40"/>
    </row>
    <row r="193" spans="1:14" ht="15.75" customHeight="1" x14ac:dyDescent="0.25">
      <c r="A193" s="17"/>
      <c r="B193" s="25"/>
      <c r="C193" s="24"/>
      <c r="D193" s="24"/>
      <c r="E193" s="24"/>
      <c r="F193" s="24"/>
      <c r="L193" s="40"/>
      <c r="N193" s="40"/>
    </row>
    <row r="194" spans="1:14" ht="15.75" customHeight="1" x14ac:dyDescent="0.25">
      <c r="A194" s="17"/>
      <c r="B194" s="25"/>
      <c r="C194" s="24"/>
      <c r="D194" s="24"/>
      <c r="E194" s="24"/>
      <c r="F194" s="24"/>
      <c r="L194" s="40"/>
      <c r="N194" s="40"/>
    </row>
    <row r="195" spans="1:14" ht="15.75" customHeight="1" x14ac:dyDescent="0.25">
      <c r="A195" s="17"/>
      <c r="B195" s="25"/>
      <c r="C195" s="24"/>
      <c r="D195" s="24"/>
      <c r="E195" s="24"/>
      <c r="F195" s="24"/>
      <c r="L195" s="40"/>
      <c r="N195" s="40"/>
    </row>
    <row r="196" spans="1:14" ht="15.75" customHeight="1" x14ac:dyDescent="0.25">
      <c r="A196" s="17"/>
      <c r="B196" s="25"/>
      <c r="C196" s="24"/>
      <c r="D196" s="24"/>
      <c r="E196" s="24"/>
      <c r="F196" s="24"/>
      <c r="L196" s="40"/>
      <c r="N196" s="40"/>
    </row>
    <row r="197" spans="1:14" ht="15.75" customHeight="1" x14ac:dyDescent="0.25">
      <c r="A197" s="17"/>
      <c r="B197" s="25"/>
      <c r="C197" s="24"/>
      <c r="D197" s="24"/>
      <c r="E197" s="24"/>
      <c r="F197" s="24"/>
      <c r="L197" s="40"/>
      <c r="N197" s="40"/>
    </row>
    <row r="198" spans="1:14" ht="15.75" customHeight="1" x14ac:dyDescent="0.25">
      <c r="A198" s="17"/>
      <c r="B198" s="25"/>
      <c r="C198" s="24"/>
      <c r="D198" s="24"/>
      <c r="E198" s="24"/>
      <c r="F198" s="24"/>
      <c r="L198" s="40"/>
      <c r="N198" s="40"/>
    </row>
    <row r="199" spans="1:14" ht="15.75" customHeight="1" x14ac:dyDescent="0.25">
      <c r="A199" s="17"/>
      <c r="B199" s="25"/>
      <c r="C199" s="24"/>
      <c r="D199" s="24"/>
      <c r="E199" s="24"/>
      <c r="F199" s="24"/>
      <c r="L199" s="40"/>
      <c r="N199" s="40"/>
    </row>
    <row r="200" spans="1:14" ht="15.75" customHeight="1" x14ac:dyDescent="0.25">
      <c r="A200" s="17"/>
      <c r="B200" s="25"/>
      <c r="C200" s="24"/>
      <c r="D200" s="24"/>
      <c r="E200" s="24"/>
      <c r="F200" s="24"/>
      <c r="L200" s="40"/>
      <c r="N200" s="40"/>
    </row>
    <row r="201" spans="1:14" ht="15.75" customHeight="1" x14ac:dyDescent="0.25">
      <c r="A201" s="17"/>
      <c r="B201" s="25"/>
      <c r="C201" s="24"/>
      <c r="D201" s="24"/>
      <c r="E201" s="24"/>
      <c r="F201" s="24"/>
      <c r="L201" s="40"/>
      <c r="N201" s="40"/>
    </row>
    <row r="202" spans="1:14" ht="15.75" customHeight="1" x14ac:dyDescent="0.25">
      <c r="A202" s="17"/>
      <c r="B202" s="25"/>
      <c r="C202" s="24"/>
      <c r="D202" s="24"/>
      <c r="E202" s="24"/>
      <c r="F202" s="24"/>
      <c r="L202" s="40"/>
      <c r="N202" s="40"/>
    </row>
    <row r="203" spans="1:14" ht="15.75" customHeight="1" x14ac:dyDescent="0.25">
      <c r="A203" s="17"/>
      <c r="B203" s="25"/>
      <c r="C203" s="24"/>
      <c r="D203" s="24"/>
      <c r="E203" s="24"/>
      <c r="F203" s="24"/>
      <c r="L203" s="40"/>
      <c r="N203" s="40"/>
    </row>
    <row r="204" spans="1:14" ht="15.75" customHeight="1" x14ac:dyDescent="0.25">
      <c r="A204" s="17"/>
      <c r="B204" s="25"/>
      <c r="C204" s="24"/>
      <c r="D204" s="24"/>
      <c r="E204" s="24"/>
      <c r="F204" s="24"/>
      <c r="L204" s="40"/>
      <c r="N204" s="40"/>
    </row>
    <row r="205" spans="1:14" ht="15.75" customHeight="1" x14ac:dyDescent="0.25">
      <c r="A205" s="17"/>
      <c r="B205" s="25"/>
      <c r="C205" s="24"/>
      <c r="D205" s="24"/>
      <c r="E205" s="24"/>
      <c r="F205" s="24"/>
      <c r="L205" s="40"/>
      <c r="N205" s="40"/>
    </row>
    <row r="206" spans="1:14" ht="15.75" customHeight="1" x14ac:dyDescent="0.25">
      <c r="A206" s="17"/>
      <c r="B206" s="25"/>
      <c r="C206" s="24"/>
      <c r="D206" s="24"/>
      <c r="E206" s="24"/>
      <c r="F206" s="24"/>
      <c r="L206" s="40"/>
      <c r="N206" s="40"/>
    </row>
    <row r="207" spans="1:14" ht="15.75" customHeight="1" x14ac:dyDescent="0.25">
      <c r="A207" s="17"/>
      <c r="B207" s="25"/>
      <c r="C207" s="24"/>
      <c r="D207" s="24"/>
      <c r="E207" s="24"/>
      <c r="F207" s="24"/>
      <c r="L207" s="40"/>
      <c r="N207" s="40"/>
    </row>
    <row r="208" spans="1:14" ht="15.75" customHeight="1" x14ac:dyDescent="0.25">
      <c r="A208" s="17"/>
      <c r="B208" s="25"/>
      <c r="C208" s="24"/>
      <c r="D208" s="24"/>
      <c r="E208" s="24"/>
      <c r="F208" s="24"/>
      <c r="L208" s="40"/>
      <c r="N208" s="40"/>
    </row>
    <row r="209" spans="1:14" ht="15.75" customHeight="1" x14ac:dyDescent="0.25">
      <c r="A209" s="17"/>
      <c r="B209" s="25"/>
      <c r="C209" s="24"/>
      <c r="D209" s="24"/>
      <c r="E209" s="24"/>
      <c r="F209" s="24"/>
      <c r="L209" s="40"/>
      <c r="N209" s="40"/>
    </row>
    <row r="210" spans="1:14" ht="15.75" customHeight="1" x14ac:dyDescent="0.25">
      <c r="A210" s="17"/>
      <c r="B210" s="25"/>
      <c r="C210" s="24"/>
      <c r="D210" s="24"/>
      <c r="E210" s="24"/>
      <c r="F210" s="24"/>
      <c r="L210" s="40"/>
      <c r="N210" s="40"/>
    </row>
    <row r="211" spans="1:14" ht="15.75" customHeight="1" x14ac:dyDescent="0.25">
      <c r="A211" s="17"/>
      <c r="B211" s="25"/>
      <c r="C211" s="24"/>
      <c r="D211" s="24"/>
      <c r="E211" s="24"/>
      <c r="F211" s="24"/>
      <c r="L211" s="40"/>
      <c r="N211" s="40"/>
    </row>
    <row r="212" spans="1:14" ht="15.75" customHeight="1" x14ac:dyDescent="0.25">
      <c r="A212" s="17"/>
      <c r="B212" s="25"/>
      <c r="C212" s="24"/>
      <c r="D212" s="24"/>
      <c r="E212" s="24"/>
      <c r="F212" s="24"/>
      <c r="L212" s="40"/>
      <c r="N212" s="40"/>
    </row>
    <row r="213" spans="1:14" ht="15.75" customHeight="1" x14ac:dyDescent="0.25">
      <c r="A213" s="17"/>
      <c r="B213" s="25"/>
      <c r="C213" s="24"/>
      <c r="D213" s="24"/>
      <c r="E213" s="24"/>
      <c r="F213" s="24"/>
      <c r="L213" s="40"/>
      <c r="N213" s="40"/>
    </row>
    <row r="214" spans="1:14" ht="15.75" customHeight="1" x14ac:dyDescent="0.25">
      <c r="A214" s="17"/>
      <c r="B214" s="25"/>
      <c r="C214" s="24"/>
      <c r="D214" s="24"/>
      <c r="E214" s="24"/>
      <c r="F214" s="24"/>
      <c r="L214" s="40"/>
      <c r="N214" s="40"/>
    </row>
    <row r="215" spans="1:14" ht="15.75" customHeight="1" x14ac:dyDescent="0.25">
      <c r="A215" s="17"/>
      <c r="B215" s="25"/>
      <c r="C215" s="24"/>
      <c r="D215" s="24"/>
      <c r="E215" s="24"/>
      <c r="F215" s="24"/>
      <c r="L215" s="40"/>
      <c r="N215" s="40"/>
    </row>
    <row r="216" spans="1:14" ht="15.75" customHeight="1" x14ac:dyDescent="0.25">
      <c r="A216" s="17"/>
      <c r="B216" s="25"/>
      <c r="C216" s="24"/>
      <c r="D216" s="24"/>
      <c r="E216" s="24"/>
      <c r="F216" s="24"/>
      <c r="L216" s="40"/>
      <c r="N216" s="40"/>
    </row>
    <row r="217" spans="1:14" ht="15.75" customHeight="1" x14ac:dyDescent="0.25">
      <c r="A217" s="17"/>
      <c r="B217" s="25"/>
      <c r="C217" s="24"/>
      <c r="D217" s="24"/>
      <c r="E217" s="24"/>
      <c r="F217" s="24"/>
      <c r="L217" s="40"/>
      <c r="N217" s="40"/>
    </row>
    <row r="218" spans="1:14" ht="15.75" customHeight="1" x14ac:dyDescent="0.25">
      <c r="A218" s="17"/>
      <c r="B218" s="25"/>
      <c r="C218" s="24"/>
      <c r="D218" s="24"/>
      <c r="E218" s="24"/>
      <c r="F218" s="24"/>
      <c r="L218" s="40"/>
      <c r="N218" s="40"/>
    </row>
    <row r="219" spans="1:14" ht="15.75" customHeight="1" x14ac:dyDescent="0.25">
      <c r="A219" s="17"/>
      <c r="B219" s="25"/>
      <c r="C219" s="24"/>
      <c r="D219" s="24"/>
      <c r="E219" s="24"/>
      <c r="F219" s="24"/>
      <c r="L219" s="40"/>
      <c r="N219" s="40"/>
    </row>
    <row r="220" spans="1:14" ht="15.75" customHeight="1" x14ac:dyDescent="0.25">
      <c r="A220" s="17"/>
      <c r="B220" s="25"/>
      <c r="C220" s="24"/>
      <c r="D220" s="24"/>
      <c r="E220" s="24"/>
      <c r="F220" s="24"/>
      <c r="L220" s="40"/>
      <c r="N220" s="40"/>
    </row>
    <row r="221" spans="1:14" ht="15.75" customHeight="1" x14ac:dyDescent="0.25">
      <c r="A221" s="17"/>
      <c r="B221" s="25"/>
      <c r="C221" s="24"/>
      <c r="D221" s="24"/>
      <c r="E221" s="24"/>
      <c r="F221" s="24"/>
      <c r="L221" s="40"/>
      <c r="N221" s="40"/>
    </row>
    <row r="222" spans="1:14" ht="15.75" customHeight="1" x14ac:dyDescent="0.25">
      <c r="A222" s="17"/>
      <c r="B222" s="25"/>
      <c r="C222" s="24"/>
      <c r="D222" s="24"/>
      <c r="E222" s="24"/>
      <c r="F222" s="24"/>
      <c r="L222" s="40"/>
      <c r="N222" s="40"/>
    </row>
    <row r="223" spans="1:14" ht="15.75" customHeight="1" x14ac:dyDescent="0.25">
      <c r="A223" s="17"/>
      <c r="B223" s="25"/>
      <c r="C223" s="24"/>
      <c r="D223" s="24"/>
      <c r="E223" s="24"/>
      <c r="F223" s="24"/>
      <c r="L223" s="40"/>
      <c r="N223" s="40"/>
    </row>
    <row r="224" spans="1:14" ht="15.75" customHeight="1" x14ac:dyDescent="0.25">
      <c r="A224" s="17"/>
      <c r="B224" s="25"/>
      <c r="C224" s="24"/>
      <c r="D224" s="24"/>
      <c r="E224" s="24"/>
      <c r="F224" s="24"/>
      <c r="L224" s="40"/>
      <c r="N224" s="40"/>
    </row>
    <row r="225" spans="1:14" ht="15.75" customHeight="1" x14ac:dyDescent="0.25">
      <c r="A225" s="17"/>
      <c r="B225" s="25"/>
      <c r="C225" s="24"/>
      <c r="D225" s="24"/>
      <c r="E225" s="24"/>
      <c r="F225" s="24"/>
      <c r="L225" s="40"/>
      <c r="N225" s="40"/>
    </row>
    <row r="226" spans="1:14" ht="15.75" customHeight="1" x14ac:dyDescent="0.25">
      <c r="A226" s="17"/>
      <c r="B226" s="25"/>
      <c r="C226" s="24"/>
      <c r="D226" s="24"/>
      <c r="E226" s="24"/>
      <c r="F226" s="24"/>
      <c r="L226" s="40"/>
      <c r="N226" s="40"/>
    </row>
    <row r="227" spans="1:14" ht="15.75" customHeight="1" x14ac:dyDescent="0.25">
      <c r="A227" s="17"/>
      <c r="B227" s="25"/>
      <c r="C227" s="24"/>
      <c r="D227" s="24"/>
      <c r="E227" s="24"/>
      <c r="F227" s="24"/>
      <c r="L227" s="40"/>
      <c r="N227" s="40"/>
    </row>
    <row r="228" spans="1:14" ht="15.75" customHeight="1" x14ac:dyDescent="0.25">
      <c r="A228" s="17"/>
      <c r="B228" s="25"/>
      <c r="C228" s="24"/>
      <c r="D228" s="24"/>
      <c r="E228" s="24"/>
      <c r="F228" s="24"/>
      <c r="L228" s="40"/>
      <c r="N228" s="40"/>
    </row>
    <row r="229" spans="1:14" ht="15.75" customHeight="1" x14ac:dyDescent="0.25">
      <c r="A229" s="17"/>
      <c r="B229" s="25"/>
      <c r="C229" s="24"/>
      <c r="D229" s="24"/>
      <c r="E229" s="24"/>
      <c r="F229" s="24"/>
      <c r="L229" s="40"/>
      <c r="N229" s="40"/>
    </row>
    <row r="230" spans="1:14" ht="15.75" customHeight="1" x14ac:dyDescent="0.25">
      <c r="A230" s="17"/>
      <c r="B230" s="25"/>
      <c r="C230" s="24"/>
      <c r="D230" s="24"/>
      <c r="E230" s="24"/>
      <c r="F230" s="24"/>
      <c r="L230" s="40"/>
      <c r="N230" s="40"/>
    </row>
    <row r="231" spans="1:14" ht="15.75" customHeight="1" x14ac:dyDescent="0.25">
      <c r="A231" s="17"/>
      <c r="B231" s="25"/>
      <c r="C231" s="24"/>
      <c r="D231" s="24"/>
      <c r="E231" s="24"/>
      <c r="F231" s="24"/>
      <c r="L231" s="40"/>
      <c r="N231" s="40"/>
    </row>
    <row r="232" spans="1:14" ht="15.75" customHeight="1" x14ac:dyDescent="0.25">
      <c r="A232" s="17"/>
      <c r="B232" s="25"/>
      <c r="C232" s="24"/>
      <c r="D232" s="24"/>
      <c r="E232" s="24"/>
      <c r="F232" s="24"/>
      <c r="L232" s="40"/>
      <c r="N232" s="40"/>
    </row>
    <row r="233" spans="1:14" ht="15.75" customHeight="1" x14ac:dyDescent="0.25">
      <c r="A233" s="17"/>
      <c r="B233" s="25"/>
      <c r="C233" s="24"/>
      <c r="D233" s="24"/>
      <c r="E233" s="24"/>
      <c r="F233" s="24"/>
      <c r="L233" s="40"/>
      <c r="N233" s="40"/>
    </row>
    <row r="234" spans="1:14" ht="15.75" customHeight="1" x14ac:dyDescent="0.25">
      <c r="A234" s="17"/>
      <c r="B234" s="25"/>
      <c r="C234" s="24"/>
      <c r="D234" s="24"/>
      <c r="E234" s="24"/>
      <c r="F234" s="24"/>
      <c r="L234" s="40"/>
      <c r="N234" s="40"/>
    </row>
    <row r="235" spans="1:14" ht="15.75" customHeight="1" x14ac:dyDescent="0.25">
      <c r="A235" s="17"/>
      <c r="B235" s="25"/>
      <c r="C235" s="24"/>
      <c r="D235" s="24"/>
      <c r="E235" s="24"/>
      <c r="F235" s="24"/>
      <c r="L235" s="40"/>
      <c r="N235" s="40"/>
    </row>
    <row r="236" spans="1:14" ht="15.75" customHeight="1" x14ac:dyDescent="0.25">
      <c r="A236" s="17"/>
      <c r="B236" s="25"/>
      <c r="C236" s="24"/>
      <c r="D236" s="24"/>
      <c r="E236" s="24"/>
      <c r="F236" s="24"/>
      <c r="L236" s="40"/>
      <c r="N236" s="40"/>
    </row>
    <row r="237" spans="1:14" ht="15.75" customHeight="1" x14ac:dyDescent="0.25">
      <c r="A237" s="17"/>
      <c r="B237" s="25"/>
      <c r="C237" s="24"/>
      <c r="D237" s="24"/>
      <c r="E237" s="24"/>
      <c r="F237" s="24"/>
      <c r="L237" s="40"/>
      <c r="N237" s="40"/>
    </row>
    <row r="238" spans="1:14" ht="15.75" customHeight="1" x14ac:dyDescent="0.25">
      <c r="A238" s="17"/>
      <c r="B238" s="25"/>
      <c r="C238" s="24"/>
      <c r="D238" s="24"/>
      <c r="E238" s="24"/>
      <c r="F238" s="24"/>
      <c r="L238" s="40"/>
      <c r="N238" s="40"/>
    </row>
    <row r="239" spans="1:14" ht="15.75" customHeight="1" x14ac:dyDescent="0.25">
      <c r="A239" s="17"/>
      <c r="B239" s="25"/>
      <c r="C239" s="24"/>
      <c r="D239" s="24"/>
      <c r="E239" s="24"/>
      <c r="F239" s="24"/>
      <c r="L239" s="40"/>
      <c r="N239" s="40"/>
    </row>
    <row r="240" spans="1:14" ht="15.75" customHeight="1" x14ac:dyDescent="0.25">
      <c r="A240" s="17"/>
      <c r="B240" s="25"/>
      <c r="C240" s="24"/>
      <c r="D240" s="24"/>
      <c r="E240" s="24"/>
      <c r="F240" s="24"/>
      <c r="L240" s="40"/>
      <c r="N240" s="40"/>
    </row>
    <row r="241" spans="1:14" ht="15.75" customHeight="1" x14ac:dyDescent="0.25">
      <c r="A241" s="17"/>
      <c r="B241" s="25"/>
      <c r="C241" s="24"/>
      <c r="D241" s="24"/>
      <c r="E241" s="24"/>
      <c r="F241" s="24"/>
      <c r="L241" s="40"/>
      <c r="N241" s="40"/>
    </row>
    <row r="242" spans="1:14" ht="15.75" customHeight="1" x14ac:dyDescent="0.25">
      <c r="A242" s="17"/>
      <c r="B242" s="25"/>
      <c r="C242" s="24"/>
      <c r="D242" s="24"/>
      <c r="E242" s="24"/>
      <c r="F242" s="24"/>
      <c r="L242" s="40"/>
      <c r="N242" s="40"/>
    </row>
    <row r="243" spans="1:14" ht="15.75" customHeight="1" x14ac:dyDescent="0.25">
      <c r="A243" s="17"/>
      <c r="B243" s="25"/>
      <c r="C243" s="24"/>
      <c r="D243" s="24"/>
      <c r="E243" s="24"/>
      <c r="F243" s="24"/>
      <c r="L243" s="40"/>
      <c r="N243" s="40"/>
    </row>
    <row r="244" spans="1:14" ht="15.75" customHeight="1" x14ac:dyDescent="0.25">
      <c r="A244" s="17"/>
      <c r="B244" s="25"/>
      <c r="C244" s="24"/>
      <c r="D244" s="24"/>
      <c r="E244" s="24"/>
      <c r="F244" s="24"/>
      <c r="L244" s="40"/>
      <c r="N244" s="40"/>
    </row>
    <row r="245" spans="1:14" ht="15.75" customHeight="1" x14ac:dyDescent="0.25">
      <c r="A245" s="17"/>
      <c r="B245" s="25"/>
      <c r="C245" s="24"/>
      <c r="D245" s="24"/>
      <c r="E245" s="24"/>
      <c r="F245" s="24"/>
      <c r="L245" s="40"/>
      <c r="N245" s="40"/>
    </row>
    <row r="246" spans="1:14" ht="15.75" customHeight="1" x14ac:dyDescent="0.25">
      <c r="A246" s="17"/>
      <c r="B246" s="25"/>
      <c r="C246" s="24"/>
      <c r="D246" s="24"/>
      <c r="E246" s="24"/>
      <c r="F246" s="24"/>
      <c r="L246" s="40"/>
      <c r="N246" s="40"/>
    </row>
    <row r="247" spans="1:14" ht="15.75" customHeight="1" x14ac:dyDescent="0.25">
      <c r="A247" s="17"/>
      <c r="B247" s="25"/>
      <c r="C247" s="24"/>
      <c r="D247" s="24"/>
      <c r="E247" s="24"/>
      <c r="F247" s="24"/>
      <c r="L247" s="40"/>
      <c r="N247" s="40"/>
    </row>
    <row r="248" spans="1:14" ht="15.75" customHeight="1" x14ac:dyDescent="0.25">
      <c r="A248" s="17"/>
      <c r="B248" s="25"/>
      <c r="C248" s="24"/>
      <c r="D248" s="24"/>
      <c r="E248" s="24"/>
      <c r="F248" s="24"/>
      <c r="L248" s="40"/>
      <c r="N248" s="40"/>
    </row>
    <row r="249" spans="1:14" ht="15.75" customHeight="1" x14ac:dyDescent="0.25">
      <c r="A249" s="17"/>
      <c r="B249" s="25"/>
      <c r="C249" s="24"/>
      <c r="D249" s="24"/>
      <c r="E249" s="24"/>
      <c r="F249" s="24"/>
      <c r="L249" s="40"/>
      <c r="N249" s="40"/>
    </row>
    <row r="250" spans="1:14" ht="15.75" customHeight="1" x14ac:dyDescent="0.25">
      <c r="A250" s="17"/>
      <c r="B250" s="25"/>
      <c r="C250" s="24"/>
      <c r="D250" s="24"/>
      <c r="E250" s="24"/>
      <c r="F250" s="24"/>
      <c r="L250" s="40"/>
      <c r="N250" s="40"/>
    </row>
    <row r="251" spans="1:14" ht="15.75" customHeight="1" x14ac:dyDescent="0.25">
      <c r="A251" s="17"/>
      <c r="B251" s="25"/>
      <c r="C251" s="24"/>
      <c r="D251" s="24"/>
      <c r="E251" s="24"/>
      <c r="F251" s="24"/>
      <c r="L251" s="40"/>
      <c r="N251" s="40"/>
    </row>
    <row r="252" spans="1:14" ht="15.75" customHeight="1" x14ac:dyDescent="0.25">
      <c r="A252" s="17"/>
      <c r="B252" s="25"/>
      <c r="C252" s="24"/>
      <c r="D252" s="24"/>
      <c r="E252" s="24"/>
      <c r="F252" s="24"/>
      <c r="L252" s="40"/>
      <c r="N252" s="40"/>
    </row>
    <row r="253" spans="1:14" ht="15.75" customHeight="1" x14ac:dyDescent="0.25">
      <c r="A253" s="17"/>
      <c r="B253" s="25"/>
      <c r="C253" s="24"/>
      <c r="D253" s="24"/>
      <c r="E253" s="24"/>
      <c r="F253" s="24"/>
      <c r="L253" s="40"/>
      <c r="N253" s="40"/>
    </row>
    <row r="254" spans="1:14" ht="15.75" customHeight="1" x14ac:dyDescent="0.25">
      <c r="A254" s="17"/>
      <c r="B254" s="25"/>
      <c r="C254" s="24"/>
      <c r="D254" s="24"/>
      <c r="E254" s="24"/>
      <c r="F254" s="24"/>
      <c r="L254" s="40"/>
      <c r="N254" s="40"/>
    </row>
    <row r="255" spans="1:14" ht="15.75" customHeight="1" x14ac:dyDescent="0.25">
      <c r="A255" s="17"/>
      <c r="B255" s="25"/>
      <c r="C255" s="24"/>
      <c r="D255" s="24"/>
      <c r="E255" s="24"/>
      <c r="F255" s="24"/>
      <c r="L255" s="40"/>
      <c r="N255" s="40"/>
    </row>
    <row r="256" spans="1:14" ht="15.75" customHeight="1" x14ac:dyDescent="0.25">
      <c r="A256" s="17"/>
      <c r="B256" s="25"/>
      <c r="C256" s="24"/>
      <c r="D256" s="24"/>
      <c r="E256" s="24"/>
      <c r="F256" s="24"/>
      <c r="L256" s="40"/>
      <c r="N256" s="40"/>
    </row>
    <row r="257" spans="1:14" ht="15.75" customHeight="1" x14ac:dyDescent="0.25">
      <c r="A257" s="17"/>
      <c r="B257" s="25"/>
      <c r="C257" s="24"/>
      <c r="D257" s="24"/>
      <c r="E257" s="24"/>
      <c r="F257" s="24"/>
      <c r="L257" s="40"/>
      <c r="N257" s="40"/>
    </row>
    <row r="258" spans="1:14" ht="15.75" customHeight="1" x14ac:dyDescent="0.25">
      <c r="A258" s="17"/>
      <c r="B258" s="25"/>
      <c r="C258" s="24"/>
      <c r="D258" s="24"/>
      <c r="E258" s="24"/>
      <c r="F258" s="24"/>
      <c r="L258" s="40"/>
      <c r="N258" s="40"/>
    </row>
    <row r="259" spans="1:14" ht="15.75" customHeight="1" x14ac:dyDescent="0.25">
      <c r="A259" s="17"/>
      <c r="B259" s="25"/>
      <c r="C259" s="24"/>
      <c r="D259" s="24"/>
      <c r="E259" s="24"/>
      <c r="F259" s="24"/>
      <c r="L259" s="40"/>
      <c r="N259" s="40"/>
    </row>
    <row r="260" spans="1:14" ht="15.75" customHeight="1" x14ac:dyDescent="0.25">
      <c r="A260" s="17"/>
      <c r="B260" s="25"/>
      <c r="C260" s="24"/>
      <c r="D260" s="24"/>
      <c r="E260" s="24"/>
      <c r="F260" s="24"/>
      <c r="L260" s="40"/>
      <c r="N260" s="40"/>
    </row>
    <row r="261" spans="1:14" ht="15.75" customHeight="1" x14ac:dyDescent="0.25">
      <c r="A261" s="17"/>
      <c r="B261" s="25"/>
      <c r="C261" s="24"/>
      <c r="D261" s="24"/>
      <c r="E261" s="24"/>
      <c r="F261" s="24"/>
      <c r="L261" s="40"/>
      <c r="N261" s="40"/>
    </row>
    <row r="262" spans="1:14" ht="15.75" customHeight="1" x14ac:dyDescent="0.25">
      <c r="A262" s="17"/>
      <c r="B262" s="25"/>
      <c r="C262" s="24"/>
      <c r="D262" s="24"/>
      <c r="E262" s="24"/>
      <c r="F262" s="24"/>
      <c r="L262" s="40"/>
      <c r="N262" s="40"/>
    </row>
    <row r="263" spans="1:14" ht="15.75" customHeight="1" x14ac:dyDescent="0.25">
      <c r="A263" s="17"/>
      <c r="B263" s="25"/>
      <c r="C263" s="24"/>
      <c r="D263" s="24"/>
      <c r="E263" s="24"/>
      <c r="F263" s="24"/>
      <c r="L263" s="40"/>
      <c r="N263" s="40"/>
    </row>
    <row r="264" spans="1:14" ht="15.75" customHeight="1" x14ac:dyDescent="0.25">
      <c r="A264" s="17"/>
      <c r="B264" s="25"/>
      <c r="C264" s="24"/>
      <c r="D264" s="24"/>
      <c r="E264" s="24"/>
      <c r="F264" s="24"/>
      <c r="L264" s="40"/>
      <c r="N264" s="40"/>
    </row>
    <row r="265" spans="1:14" ht="15.75" customHeight="1" x14ac:dyDescent="0.25">
      <c r="A265" s="17"/>
      <c r="B265" s="25"/>
      <c r="C265" s="24"/>
      <c r="D265" s="24"/>
      <c r="E265" s="24"/>
      <c r="F265" s="24"/>
      <c r="L265" s="40"/>
      <c r="N265" s="40"/>
    </row>
    <row r="266" spans="1:14" ht="15.75" customHeight="1" x14ac:dyDescent="0.25">
      <c r="A266" s="17"/>
      <c r="B266" s="25"/>
      <c r="C266" s="24"/>
      <c r="D266" s="24"/>
      <c r="E266" s="24"/>
      <c r="F266" s="24"/>
      <c r="L266" s="40"/>
      <c r="N266" s="40"/>
    </row>
    <row r="267" spans="1:14" ht="15.75" customHeight="1" x14ac:dyDescent="0.25">
      <c r="A267" s="17"/>
      <c r="B267" s="25"/>
      <c r="C267" s="24"/>
      <c r="D267" s="24"/>
      <c r="E267" s="24"/>
      <c r="F267" s="24"/>
      <c r="L267" s="40"/>
      <c r="N267" s="40"/>
    </row>
    <row r="268" spans="1:14" ht="15.75" customHeight="1" x14ac:dyDescent="0.25">
      <c r="A268" s="17"/>
      <c r="B268" s="25"/>
      <c r="C268" s="24"/>
      <c r="D268" s="24"/>
      <c r="E268" s="24"/>
      <c r="F268" s="24"/>
      <c r="L268" s="40"/>
      <c r="N268" s="40"/>
    </row>
    <row r="269" spans="1:14" ht="15.75" customHeight="1" x14ac:dyDescent="0.25">
      <c r="A269" s="17"/>
      <c r="B269" s="25"/>
      <c r="C269" s="24"/>
      <c r="D269" s="24"/>
      <c r="E269" s="24"/>
      <c r="F269" s="24"/>
      <c r="L269" s="40"/>
      <c r="N269" s="40"/>
    </row>
    <row r="270" spans="1:14" ht="15.75" customHeight="1" x14ac:dyDescent="0.25">
      <c r="A270" s="17"/>
      <c r="B270" s="25"/>
      <c r="C270" s="24"/>
      <c r="D270" s="24"/>
      <c r="E270" s="24"/>
      <c r="F270" s="24"/>
      <c r="L270" s="40"/>
      <c r="N270" s="40"/>
    </row>
    <row r="271" spans="1:14" ht="15.75" customHeight="1" x14ac:dyDescent="0.25">
      <c r="A271" s="17"/>
      <c r="B271" s="25"/>
      <c r="C271" s="24"/>
      <c r="D271" s="24"/>
      <c r="E271" s="24"/>
      <c r="F271" s="24"/>
      <c r="L271" s="40"/>
      <c r="N271" s="40"/>
    </row>
    <row r="272" spans="1:14" ht="15.75" customHeight="1" x14ac:dyDescent="0.25">
      <c r="A272" s="17"/>
      <c r="B272" s="25"/>
      <c r="C272" s="24"/>
      <c r="D272" s="24"/>
      <c r="E272" s="24"/>
      <c r="F272" s="24"/>
      <c r="L272" s="40"/>
      <c r="N272" s="40"/>
    </row>
    <row r="273" spans="1:14" ht="15.75" customHeight="1" x14ac:dyDescent="0.25">
      <c r="A273" s="17"/>
      <c r="B273" s="25"/>
      <c r="C273" s="24"/>
      <c r="D273" s="24"/>
      <c r="E273" s="24"/>
      <c r="F273" s="24"/>
      <c r="L273" s="40"/>
      <c r="N273" s="40"/>
    </row>
    <row r="274" spans="1:14" ht="15.75" customHeight="1" x14ac:dyDescent="0.25">
      <c r="A274" s="17"/>
      <c r="B274" s="25"/>
      <c r="C274" s="24"/>
      <c r="D274" s="24"/>
      <c r="E274" s="24"/>
      <c r="F274" s="24"/>
      <c r="L274" s="40"/>
      <c r="N274" s="40"/>
    </row>
    <row r="275" spans="1:14" ht="15.75" customHeight="1" x14ac:dyDescent="0.25">
      <c r="A275" s="17"/>
      <c r="B275" s="25"/>
      <c r="C275" s="24"/>
      <c r="D275" s="24"/>
      <c r="E275" s="24"/>
      <c r="F275" s="24"/>
      <c r="L275" s="40"/>
      <c r="N275" s="40"/>
    </row>
    <row r="276" spans="1:14" ht="15.75" customHeight="1" x14ac:dyDescent="0.25">
      <c r="A276" s="17"/>
      <c r="B276" s="25"/>
      <c r="C276" s="24"/>
      <c r="D276" s="24"/>
      <c r="E276" s="24"/>
      <c r="F276" s="24"/>
      <c r="L276" s="40"/>
      <c r="N276" s="40"/>
    </row>
    <row r="277" spans="1:14" ht="15.75" customHeight="1" x14ac:dyDescent="0.25">
      <c r="A277" s="17"/>
      <c r="B277" s="25"/>
      <c r="C277" s="24"/>
      <c r="D277" s="24"/>
      <c r="E277" s="24"/>
      <c r="F277" s="24"/>
      <c r="L277" s="40"/>
      <c r="N277" s="40"/>
    </row>
    <row r="278" spans="1:14" ht="15.75" customHeight="1" x14ac:dyDescent="0.25">
      <c r="A278" s="17"/>
      <c r="B278" s="25"/>
      <c r="C278" s="24"/>
      <c r="D278" s="24"/>
      <c r="E278" s="24"/>
      <c r="F278" s="24"/>
      <c r="L278" s="40"/>
      <c r="N278" s="40"/>
    </row>
    <row r="279" spans="1:14" ht="15.75" customHeight="1" x14ac:dyDescent="0.25">
      <c r="A279" s="17"/>
      <c r="B279" s="25"/>
      <c r="C279" s="24"/>
      <c r="D279" s="24"/>
      <c r="E279" s="24"/>
      <c r="F279" s="24"/>
      <c r="L279" s="40"/>
      <c r="N279" s="40"/>
    </row>
    <row r="280" spans="1:14" ht="15.75" customHeight="1" x14ac:dyDescent="0.25">
      <c r="A280" s="17"/>
      <c r="B280" s="25"/>
      <c r="C280" s="24"/>
      <c r="D280" s="24"/>
      <c r="E280" s="24"/>
      <c r="F280" s="24"/>
      <c r="L280" s="40"/>
      <c r="N280" s="40"/>
    </row>
    <row r="281" spans="1:14" ht="15.75" customHeight="1" x14ac:dyDescent="0.25">
      <c r="A281" s="17"/>
      <c r="B281" s="25"/>
      <c r="C281" s="24"/>
      <c r="D281" s="24"/>
      <c r="E281" s="24"/>
      <c r="F281" s="24"/>
      <c r="L281" s="40"/>
      <c r="N281" s="40"/>
    </row>
    <row r="282" spans="1:14" ht="15.75" customHeight="1" x14ac:dyDescent="0.25">
      <c r="A282" s="17"/>
      <c r="B282" s="25"/>
      <c r="C282" s="24"/>
      <c r="D282" s="24"/>
      <c r="E282" s="24"/>
      <c r="F282" s="24"/>
      <c r="L282" s="40"/>
      <c r="N282" s="40"/>
    </row>
    <row r="283" spans="1:14" ht="15.75" customHeight="1" x14ac:dyDescent="0.25">
      <c r="A283" s="17"/>
      <c r="B283" s="25"/>
      <c r="C283" s="24"/>
      <c r="D283" s="24"/>
      <c r="E283" s="24"/>
      <c r="F283" s="24"/>
      <c r="L283" s="40"/>
      <c r="N283" s="40"/>
    </row>
    <row r="284" spans="1:14" ht="15.75" customHeight="1" x14ac:dyDescent="0.25">
      <c r="A284" s="17"/>
      <c r="B284" s="25"/>
      <c r="C284" s="24"/>
      <c r="D284" s="24"/>
      <c r="E284" s="24"/>
      <c r="F284" s="24"/>
      <c r="L284" s="40"/>
      <c r="N284" s="40"/>
    </row>
    <row r="285" spans="1:14" ht="15.75" customHeight="1" x14ac:dyDescent="0.25">
      <c r="A285" s="17"/>
      <c r="B285" s="25"/>
      <c r="C285" s="24"/>
      <c r="D285" s="24"/>
      <c r="E285" s="24"/>
      <c r="F285" s="24"/>
      <c r="L285" s="40"/>
      <c r="N285" s="40"/>
    </row>
    <row r="286" spans="1:14" ht="15.75" customHeight="1" x14ac:dyDescent="0.25">
      <c r="A286" s="17"/>
      <c r="B286" s="25"/>
      <c r="C286" s="24"/>
      <c r="D286" s="24"/>
      <c r="E286" s="24"/>
      <c r="F286" s="24"/>
      <c r="L286" s="40"/>
      <c r="N286" s="40"/>
    </row>
    <row r="287" spans="1:14" ht="15.75" customHeight="1" x14ac:dyDescent="0.25">
      <c r="A287" s="17"/>
      <c r="B287" s="25"/>
      <c r="C287" s="24"/>
      <c r="D287" s="24"/>
      <c r="E287" s="24"/>
      <c r="F287" s="24"/>
      <c r="L287" s="40"/>
      <c r="N287" s="40"/>
    </row>
    <row r="288" spans="1:14" ht="15.75" customHeight="1" x14ac:dyDescent="0.25">
      <c r="A288" s="17"/>
      <c r="B288" s="25"/>
      <c r="C288" s="24"/>
      <c r="D288" s="24"/>
      <c r="E288" s="24"/>
      <c r="F288" s="24"/>
      <c r="L288" s="40"/>
      <c r="N288" s="40"/>
    </row>
    <row r="289" spans="1:14" ht="15.75" customHeight="1" x14ac:dyDescent="0.25">
      <c r="A289" s="17"/>
      <c r="B289" s="25"/>
      <c r="C289" s="24"/>
      <c r="D289" s="24"/>
      <c r="E289" s="24"/>
      <c r="F289" s="24"/>
      <c r="L289" s="40"/>
      <c r="N289" s="40"/>
    </row>
    <row r="290" spans="1:14" ht="15.75" customHeight="1" x14ac:dyDescent="0.25">
      <c r="A290" s="17"/>
      <c r="B290" s="25"/>
      <c r="C290" s="24"/>
      <c r="D290" s="24"/>
      <c r="E290" s="24"/>
      <c r="F290" s="24"/>
      <c r="L290" s="40"/>
      <c r="N290" s="40"/>
    </row>
    <row r="291" spans="1:14" ht="15.75" customHeight="1" x14ac:dyDescent="0.25">
      <c r="A291" s="17"/>
      <c r="B291" s="25"/>
      <c r="C291" s="24"/>
      <c r="D291" s="24"/>
      <c r="E291" s="24"/>
      <c r="F291" s="24"/>
      <c r="L291" s="40"/>
      <c r="N291" s="40"/>
    </row>
    <row r="292" spans="1:14" ht="15.75" customHeight="1" x14ac:dyDescent="0.25">
      <c r="A292" s="17"/>
      <c r="B292" s="25"/>
      <c r="C292" s="24"/>
      <c r="D292" s="24"/>
      <c r="E292" s="24"/>
      <c r="F292" s="24"/>
      <c r="L292" s="40"/>
      <c r="N292" s="40"/>
    </row>
    <row r="293" spans="1:14" ht="15.75" customHeight="1" x14ac:dyDescent="0.25">
      <c r="L293" s="40"/>
      <c r="N293" s="40"/>
    </row>
    <row r="294" spans="1:14" ht="15.75" customHeight="1" x14ac:dyDescent="0.25">
      <c r="L294" s="40"/>
      <c r="N294" s="40"/>
    </row>
    <row r="295" spans="1:14" ht="15.75" customHeight="1" x14ac:dyDescent="0.25">
      <c r="L295" s="40"/>
      <c r="N295" s="40"/>
    </row>
    <row r="296" spans="1:14" ht="15.75" customHeight="1" x14ac:dyDescent="0.25">
      <c r="L296" s="40"/>
      <c r="N296" s="40"/>
    </row>
    <row r="297" spans="1:14" ht="15.75" customHeight="1" x14ac:dyDescent="0.25">
      <c r="L297" s="40"/>
      <c r="N297" s="40"/>
    </row>
    <row r="298" spans="1:14" ht="15.75" customHeight="1" x14ac:dyDescent="0.25">
      <c r="L298" s="40"/>
      <c r="N298" s="40"/>
    </row>
    <row r="299" spans="1:14" ht="15.75" customHeight="1" x14ac:dyDescent="0.25">
      <c r="L299" s="40"/>
      <c r="N299" s="40"/>
    </row>
    <row r="300" spans="1:14" ht="15.75" customHeight="1" x14ac:dyDescent="0.25">
      <c r="L300" s="40"/>
      <c r="N300" s="40"/>
    </row>
    <row r="301" spans="1:14" ht="15.75" customHeight="1" x14ac:dyDescent="0.25">
      <c r="L301" s="40"/>
      <c r="N301" s="40"/>
    </row>
    <row r="302" spans="1:14" ht="15.75" customHeight="1" x14ac:dyDescent="0.25">
      <c r="L302" s="40"/>
      <c r="N302" s="40"/>
    </row>
    <row r="303" spans="1:14" ht="15.75" customHeight="1" x14ac:dyDescent="0.25">
      <c r="L303" s="40"/>
      <c r="N303" s="40"/>
    </row>
    <row r="304" spans="1:14" ht="15.75" customHeight="1" x14ac:dyDescent="0.25">
      <c r="L304" s="40"/>
      <c r="N304" s="40"/>
    </row>
    <row r="305" spans="12:14" ht="15.75" customHeight="1" x14ac:dyDescent="0.25">
      <c r="L305" s="40"/>
      <c r="N305" s="40"/>
    </row>
    <row r="306" spans="12:14" ht="15.75" customHeight="1" x14ac:dyDescent="0.25">
      <c r="L306" s="40"/>
      <c r="N306" s="40"/>
    </row>
    <row r="307" spans="12:14" ht="15.75" customHeight="1" x14ac:dyDescent="0.25">
      <c r="L307" s="40"/>
      <c r="N307" s="40"/>
    </row>
    <row r="308" spans="12:14" ht="15.75" customHeight="1" x14ac:dyDescent="0.25">
      <c r="L308" s="40"/>
      <c r="N308" s="40"/>
    </row>
    <row r="309" spans="12:14" ht="15.75" customHeight="1" x14ac:dyDescent="0.25">
      <c r="L309" s="40"/>
      <c r="N309" s="40"/>
    </row>
    <row r="310" spans="12:14" ht="15.75" customHeight="1" x14ac:dyDescent="0.25">
      <c r="L310" s="40"/>
      <c r="N310" s="40"/>
    </row>
    <row r="311" spans="12:14" ht="15.75" customHeight="1" x14ac:dyDescent="0.25">
      <c r="L311" s="40"/>
      <c r="N311" s="40"/>
    </row>
    <row r="312" spans="12:14" ht="15.75" customHeight="1" x14ac:dyDescent="0.25">
      <c r="L312" s="40"/>
      <c r="N312" s="40"/>
    </row>
    <row r="313" spans="12:14" ht="15.75" customHeight="1" x14ac:dyDescent="0.25">
      <c r="L313" s="40"/>
      <c r="N313" s="40"/>
    </row>
    <row r="314" spans="12:14" ht="15.75" customHeight="1" x14ac:dyDescent="0.25">
      <c r="L314" s="40"/>
      <c r="N314" s="40"/>
    </row>
    <row r="315" spans="12:14" ht="15.75" customHeight="1" x14ac:dyDescent="0.25">
      <c r="L315" s="40"/>
      <c r="N315" s="40"/>
    </row>
    <row r="316" spans="12:14" ht="15.75" customHeight="1" x14ac:dyDescent="0.25">
      <c r="L316" s="40"/>
      <c r="N316" s="40"/>
    </row>
    <row r="317" spans="12:14" ht="15.75" customHeight="1" x14ac:dyDescent="0.25">
      <c r="L317" s="40"/>
      <c r="N317" s="40"/>
    </row>
    <row r="318" spans="12:14" ht="15.75" customHeight="1" x14ac:dyDescent="0.25">
      <c r="L318" s="40"/>
      <c r="N318" s="40"/>
    </row>
    <row r="319" spans="12:14" ht="15.75" customHeight="1" x14ac:dyDescent="0.25">
      <c r="L319" s="40"/>
      <c r="N319" s="40"/>
    </row>
    <row r="320" spans="12:14" ht="15.75" customHeight="1" x14ac:dyDescent="0.25">
      <c r="L320" s="40"/>
      <c r="N320" s="40"/>
    </row>
    <row r="321" spans="12:14" ht="15.75" customHeight="1" x14ac:dyDescent="0.25">
      <c r="L321" s="40"/>
      <c r="N321" s="40"/>
    </row>
    <row r="322" spans="12:14" ht="15.75" customHeight="1" x14ac:dyDescent="0.25">
      <c r="L322" s="40"/>
      <c r="N322" s="40"/>
    </row>
    <row r="323" spans="12:14" ht="15.75" customHeight="1" x14ac:dyDescent="0.25">
      <c r="L323" s="40"/>
      <c r="N323" s="40"/>
    </row>
    <row r="324" spans="12:14" ht="15.75" customHeight="1" x14ac:dyDescent="0.25">
      <c r="L324" s="40"/>
      <c r="N324" s="40"/>
    </row>
    <row r="325" spans="12:14" ht="15.75" customHeight="1" x14ac:dyDescent="0.25">
      <c r="L325" s="40"/>
      <c r="N325" s="40"/>
    </row>
    <row r="326" spans="12:14" ht="15.75" customHeight="1" x14ac:dyDescent="0.25">
      <c r="L326" s="40"/>
      <c r="N326" s="40"/>
    </row>
    <row r="327" spans="12:14" ht="15.75" customHeight="1" x14ac:dyDescent="0.25">
      <c r="L327" s="40"/>
      <c r="N327" s="40"/>
    </row>
    <row r="328" spans="12:14" ht="15.75" customHeight="1" x14ac:dyDescent="0.25">
      <c r="L328" s="40"/>
      <c r="N328" s="40"/>
    </row>
    <row r="329" spans="12:14" ht="15.75" customHeight="1" x14ac:dyDescent="0.25">
      <c r="L329" s="40"/>
      <c r="N329" s="40"/>
    </row>
    <row r="330" spans="12:14" ht="15.75" customHeight="1" x14ac:dyDescent="0.25">
      <c r="L330" s="40"/>
      <c r="N330" s="40"/>
    </row>
    <row r="331" spans="12:14" ht="15.75" customHeight="1" x14ac:dyDescent="0.25">
      <c r="L331" s="40"/>
      <c r="N331" s="40"/>
    </row>
    <row r="332" spans="12:14" ht="15.75" customHeight="1" x14ac:dyDescent="0.25">
      <c r="L332" s="40"/>
      <c r="N332" s="40"/>
    </row>
    <row r="333" spans="12:14" ht="15.75" customHeight="1" x14ac:dyDescent="0.25">
      <c r="L333" s="40"/>
      <c r="N333" s="40"/>
    </row>
    <row r="334" spans="12:14" ht="15.75" customHeight="1" x14ac:dyDescent="0.25">
      <c r="L334" s="40"/>
      <c r="N334" s="40"/>
    </row>
    <row r="335" spans="12:14" ht="15.75" customHeight="1" x14ac:dyDescent="0.25">
      <c r="L335" s="40"/>
      <c r="N335" s="40"/>
    </row>
    <row r="336" spans="12:14" ht="15.75" customHeight="1" x14ac:dyDescent="0.25">
      <c r="L336" s="40"/>
      <c r="N336" s="40"/>
    </row>
    <row r="337" spans="12:14" ht="15.75" customHeight="1" x14ac:dyDescent="0.25">
      <c r="L337" s="40"/>
      <c r="N337" s="40"/>
    </row>
    <row r="338" spans="12:14" ht="15.75" customHeight="1" x14ac:dyDescent="0.25">
      <c r="L338" s="40"/>
      <c r="N338" s="40"/>
    </row>
    <row r="339" spans="12:14" ht="15.75" customHeight="1" x14ac:dyDescent="0.25">
      <c r="L339" s="40"/>
      <c r="N339" s="40"/>
    </row>
    <row r="340" spans="12:14" ht="15.75" customHeight="1" x14ac:dyDescent="0.25">
      <c r="L340" s="40"/>
      <c r="N340" s="40"/>
    </row>
    <row r="341" spans="12:14" ht="15.75" customHeight="1" x14ac:dyDescent="0.25">
      <c r="L341" s="40"/>
      <c r="N341" s="40"/>
    </row>
    <row r="342" spans="12:14" ht="15.75" customHeight="1" x14ac:dyDescent="0.25">
      <c r="L342" s="40"/>
      <c r="N342" s="40"/>
    </row>
    <row r="343" spans="12:14" ht="15.75" customHeight="1" x14ac:dyDescent="0.25">
      <c r="L343" s="40"/>
      <c r="N343" s="40"/>
    </row>
    <row r="344" spans="12:14" ht="15.75" customHeight="1" x14ac:dyDescent="0.25">
      <c r="L344" s="40"/>
      <c r="N344" s="40"/>
    </row>
    <row r="345" spans="12:14" ht="15.75" customHeight="1" x14ac:dyDescent="0.25">
      <c r="L345" s="40"/>
      <c r="N345" s="40"/>
    </row>
    <row r="346" spans="12:14" ht="15.75" customHeight="1" x14ac:dyDescent="0.25">
      <c r="L346" s="40"/>
      <c r="N346" s="40"/>
    </row>
    <row r="347" spans="12:14" ht="15.75" customHeight="1" x14ac:dyDescent="0.25">
      <c r="L347" s="40"/>
      <c r="N347" s="40"/>
    </row>
    <row r="348" spans="12:14" ht="15.75" customHeight="1" x14ac:dyDescent="0.25">
      <c r="L348" s="40"/>
      <c r="N348" s="40"/>
    </row>
    <row r="349" spans="12:14" ht="15.75" customHeight="1" x14ac:dyDescent="0.25">
      <c r="L349" s="40"/>
      <c r="N349" s="40"/>
    </row>
    <row r="350" spans="12:14" ht="15.75" customHeight="1" x14ac:dyDescent="0.25">
      <c r="L350" s="40"/>
      <c r="N350" s="40"/>
    </row>
    <row r="351" spans="12:14" ht="15.75" customHeight="1" x14ac:dyDescent="0.25">
      <c r="L351" s="40"/>
      <c r="N351" s="40"/>
    </row>
    <row r="352" spans="12:14" ht="15.75" customHeight="1" x14ac:dyDescent="0.25">
      <c r="L352" s="40"/>
      <c r="N352" s="40"/>
    </row>
    <row r="353" spans="12:14" ht="15.75" customHeight="1" x14ac:dyDescent="0.25">
      <c r="L353" s="40"/>
      <c r="N353" s="40"/>
    </row>
    <row r="354" spans="12:14" ht="15.75" customHeight="1" x14ac:dyDescent="0.25">
      <c r="L354" s="40"/>
      <c r="N354" s="40"/>
    </row>
    <row r="355" spans="12:14" ht="15.75" customHeight="1" x14ac:dyDescent="0.25">
      <c r="L355" s="40"/>
      <c r="N355" s="40"/>
    </row>
    <row r="356" spans="12:14" ht="15.75" customHeight="1" x14ac:dyDescent="0.25">
      <c r="L356" s="40"/>
      <c r="N356" s="40"/>
    </row>
    <row r="357" spans="12:14" ht="15.75" customHeight="1" x14ac:dyDescent="0.25">
      <c r="L357" s="40"/>
      <c r="N357" s="40"/>
    </row>
    <row r="358" spans="12:14" ht="15.75" customHeight="1" x14ac:dyDescent="0.25">
      <c r="L358" s="40"/>
      <c r="N358" s="40"/>
    </row>
    <row r="359" spans="12:14" ht="15.75" customHeight="1" x14ac:dyDescent="0.25">
      <c r="L359" s="40"/>
      <c r="N359" s="40"/>
    </row>
    <row r="360" spans="12:14" ht="15.75" customHeight="1" x14ac:dyDescent="0.25">
      <c r="L360" s="40"/>
      <c r="N360" s="40"/>
    </row>
    <row r="361" spans="12:14" ht="15.75" customHeight="1" x14ac:dyDescent="0.25">
      <c r="L361" s="40"/>
      <c r="N361" s="40"/>
    </row>
    <row r="362" spans="12:14" ht="15.75" customHeight="1" x14ac:dyDescent="0.25">
      <c r="L362" s="40"/>
      <c r="N362" s="40"/>
    </row>
    <row r="363" spans="12:14" ht="15.75" customHeight="1" x14ac:dyDescent="0.25">
      <c r="L363" s="40"/>
      <c r="N363" s="40"/>
    </row>
    <row r="364" spans="12:14" ht="15.75" customHeight="1" x14ac:dyDescent="0.25">
      <c r="L364" s="40"/>
      <c r="N364" s="40"/>
    </row>
    <row r="365" spans="12:14" ht="15.75" customHeight="1" x14ac:dyDescent="0.25">
      <c r="L365" s="40"/>
      <c r="N365" s="40"/>
    </row>
    <row r="366" spans="12:14" ht="15.75" customHeight="1" x14ac:dyDescent="0.25">
      <c r="L366" s="40"/>
      <c r="N366" s="40"/>
    </row>
    <row r="367" spans="12:14" ht="15.75" customHeight="1" x14ac:dyDescent="0.25">
      <c r="L367" s="40"/>
      <c r="N367" s="40"/>
    </row>
    <row r="368" spans="12:14" ht="15.75" customHeight="1" x14ac:dyDescent="0.25">
      <c r="L368" s="40"/>
      <c r="N368" s="40"/>
    </row>
    <row r="369" spans="12:14" ht="15.75" customHeight="1" x14ac:dyDescent="0.25">
      <c r="L369" s="40"/>
      <c r="N369" s="40"/>
    </row>
    <row r="370" spans="12:14" ht="15.75" customHeight="1" x14ac:dyDescent="0.25">
      <c r="L370" s="40"/>
      <c r="N370" s="40"/>
    </row>
    <row r="371" spans="12:14" ht="15.75" customHeight="1" x14ac:dyDescent="0.25">
      <c r="L371" s="40"/>
      <c r="N371" s="40"/>
    </row>
    <row r="372" spans="12:14" ht="15.75" customHeight="1" x14ac:dyDescent="0.25">
      <c r="L372" s="40"/>
      <c r="N372" s="40"/>
    </row>
    <row r="373" spans="12:14" ht="15.75" customHeight="1" x14ac:dyDescent="0.25">
      <c r="L373" s="40"/>
      <c r="N373" s="40"/>
    </row>
    <row r="374" spans="12:14" ht="15.75" customHeight="1" x14ac:dyDescent="0.25">
      <c r="L374" s="40"/>
      <c r="N374" s="40"/>
    </row>
    <row r="375" spans="12:14" ht="15.75" customHeight="1" x14ac:dyDescent="0.25">
      <c r="L375" s="40"/>
      <c r="N375" s="40"/>
    </row>
    <row r="376" spans="12:14" ht="15.75" customHeight="1" x14ac:dyDescent="0.25">
      <c r="L376" s="40"/>
      <c r="N376" s="40"/>
    </row>
    <row r="377" spans="12:14" ht="15.75" customHeight="1" x14ac:dyDescent="0.25">
      <c r="L377" s="40"/>
      <c r="N377" s="40"/>
    </row>
    <row r="378" spans="12:14" ht="15.75" customHeight="1" x14ac:dyDescent="0.25">
      <c r="L378" s="40"/>
      <c r="N378" s="40"/>
    </row>
    <row r="379" spans="12:14" ht="15.75" customHeight="1" x14ac:dyDescent="0.25">
      <c r="L379" s="40"/>
      <c r="N379" s="40"/>
    </row>
    <row r="380" spans="12:14" ht="15.75" customHeight="1" x14ac:dyDescent="0.25">
      <c r="L380" s="40"/>
      <c r="N380" s="40"/>
    </row>
    <row r="381" spans="12:14" ht="15.75" customHeight="1" x14ac:dyDescent="0.25">
      <c r="L381" s="40"/>
      <c r="N381" s="40"/>
    </row>
    <row r="382" spans="12:14" ht="15.75" customHeight="1" x14ac:dyDescent="0.25">
      <c r="L382" s="40"/>
      <c r="N382" s="40"/>
    </row>
    <row r="383" spans="12:14" ht="15.75" customHeight="1" x14ac:dyDescent="0.25">
      <c r="L383" s="40"/>
      <c r="N383" s="40"/>
    </row>
    <row r="384" spans="12:14" ht="15.75" customHeight="1" x14ac:dyDescent="0.25">
      <c r="L384" s="40"/>
      <c r="N384" s="40"/>
    </row>
    <row r="385" spans="12:14" ht="15.75" customHeight="1" x14ac:dyDescent="0.25">
      <c r="L385" s="40"/>
      <c r="N385" s="40"/>
    </row>
    <row r="386" spans="12:14" ht="15.75" customHeight="1" x14ac:dyDescent="0.25">
      <c r="L386" s="40"/>
      <c r="N386" s="40"/>
    </row>
    <row r="387" spans="12:14" ht="15.75" customHeight="1" x14ac:dyDescent="0.25">
      <c r="L387" s="40"/>
      <c r="N387" s="40"/>
    </row>
    <row r="388" spans="12:14" ht="15.75" customHeight="1" x14ac:dyDescent="0.25">
      <c r="L388" s="40"/>
      <c r="N388" s="40"/>
    </row>
    <row r="389" spans="12:14" ht="15.75" customHeight="1" x14ac:dyDescent="0.25">
      <c r="L389" s="40"/>
      <c r="N389" s="40"/>
    </row>
    <row r="390" spans="12:14" ht="15.75" customHeight="1" x14ac:dyDescent="0.25">
      <c r="L390" s="40"/>
      <c r="N390" s="40"/>
    </row>
    <row r="391" spans="12:14" ht="15.75" customHeight="1" x14ac:dyDescent="0.25">
      <c r="L391" s="40"/>
      <c r="N391" s="40"/>
    </row>
    <row r="392" spans="12:14" ht="15.75" customHeight="1" x14ac:dyDescent="0.25">
      <c r="L392" s="40"/>
      <c r="N392" s="40"/>
    </row>
    <row r="393" spans="12:14" ht="15.75" customHeight="1" x14ac:dyDescent="0.25">
      <c r="L393" s="40"/>
      <c r="N393" s="40"/>
    </row>
    <row r="394" spans="12:14" ht="15.75" customHeight="1" x14ac:dyDescent="0.25">
      <c r="L394" s="40"/>
      <c r="N394" s="40"/>
    </row>
    <row r="395" spans="12:14" ht="15.75" customHeight="1" x14ac:dyDescent="0.25">
      <c r="L395" s="40"/>
      <c r="N395" s="40"/>
    </row>
    <row r="396" spans="12:14" ht="15.75" customHeight="1" x14ac:dyDescent="0.25">
      <c r="L396" s="40"/>
      <c r="N396" s="40"/>
    </row>
    <row r="397" spans="12:14" ht="15.75" customHeight="1" x14ac:dyDescent="0.25">
      <c r="L397" s="40"/>
      <c r="N397" s="40"/>
    </row>
    <row r="398" spans="12:14" ht="15.75" customHeight="1" x14ac:dyDescent="0.25">
      <c r="L398" s="40"/>
      <c r="N398" s="40"/>
    </row>
    <row r="399" spans="12:14" ht="15.75" customHeight="1" x14ac:dyDescent="0.25">
      <c r="L399" s="40"/>
      <c r="N399" s="40"/>
    </row>
    <row r="400" spans="12:14" ht="15.75" customHeight="1" x14ac:dyDescent="0.25">
      <c r="L400" s="40"/>
      <c r="N400" s="40"/>
    </row>
    <row r="401" spans="12:14" ht="15.75" customHeight="1" x14ac:dyDescent="0.25">
      <c r="L401" s="40"/>
      <c r="N401" s="40"/>
    </row>
    <row r="402" spans="12:14" ht="15.75" customHeight="1" x14ac:dyDescent="0.25">
      <c r="L402" s="40"/>
      <c r="N402" s="40"/>
    </row>
    <row r="403" spans="12:14" ht="15.75" customHeight="1" x14ac:dyDescent="0.25">
      <c r="L403" s="40"/>
      <c r="N403" s="40"/>
    </row>
    <row r="404" spans="12:14" ht="15.75" customHeight="1" x14ac:dyDescent="0.25">
      <c r="L404" s="40"/>
      <c r="N404" s="40"/>
    </row>
    <row r="405" spans="12:14" ht="15.75" customHeight="1" x14ac:dyDescent="0.25">
      <c r="L405" s="40"/>
      <c r="N405" s="40"/>
    </row>
    <row r="406" spans="12:14" ht="15.75" customHeight="1" x14ac:dyDescent="0.25">
      <c r="L406" s="40"/>
      <c r="N406" s="40"/>
    </row>
    <row r="407" spans="12:14" ht="15.75" customHeight="1" x14ac:dyDescent="0.25">
      <c r="L407" s="40"/>
      <c r="N407" s="40"/>
    </row>
    <row r="408" spans="12:14" ht="15.75" customHeight="1" x14ac:dyDescent="0.25">
      <c r="L408" s="40"/>
      <c r="N408" s="40"/>
    </row>
    <row r="409" spans="12:14" ht="15.75" customHeight="1" x14ac:dyDescent="0.25">
      <c r="L409" s="40"/>
      <c r="N409" s="40"/>
    </row>
    <row r="410" spans="12:14" ht="15.75" customHeight="1" x14ac:dyDescent="0.25">
      <c r="L410" s="40"/>
      <c r="N410" s="40"/>
    </row>
    <row r="411" spans="12:14" ht="15.75" customHeight="1" x14ac:dyDescent="0.25">
      <c r="L411" s="40"/>
      <c r="N411" s="40"/>
    </row>
    <row r="412" spans="12:14" ht="15.75" customHeight="1" x14ac:dyDescent="0.25">
      <c r="L412" s="40"/>
      <c r="N412" s="40"/>
    </row>
    <row r="413" spans="12:14" ht="15.75" customHeight="1" x14ac:dyDescent="0.25">
      <c r="L413" s="40"/>
      <c r="N413" s="40"/>
    </row>
    <row r="414" spans="12:14" ht="15.75" customHeight="1" x14ac:dyDescent="0.25">
      <c r="L414" s="40"/>
      <c r="N414" s="40"/>
    </row>
    <row r="415" spans="12:14" ht="15.75" customHeight="1" x14ac:dyDescent="0.25">
      <c r="L415" s="40"/>
      <c r="N415" s="40"/>
    </row>
    <row r="416" spans="12:14" ht="15.75" customHeight="1" x14ac:dyDescent="0.25">
      <c r="L416" s="40"/>
      <c r="N416" s="40"/>
    </row>
    <row r="417" spans="12:14" ht="15.75" customHeight="1" x14ac:dyDescent="0.25">
      <c r="L417" s="40"/>
      <c r="N417" s="40"/>
    </row>
    <row r="418" spans="12:14" ht="15.75" customHeight="1" x14ac:dyDescent="0.25">
      <c r="L418" s="40"/>
      <c r="N418" s="40"/>
    </row>
    <row r="419" spans="12:14" ht="15.75" customHeight="1" x14ac:dyDescent="0.25">
      <c r="L419" s="40"/>
      <c r="N419" s="40"/>
    </row>
    <row r="420" spans="12:14" ht="15.75" customHeight="1" x14ac:dyDescent="0.25">
      <c r="L420" s="40"/>
      <c r="N420" s="40"/>
    </row>
    <row r="421" spans="12:14" ht="15.75" customHeight="1" x14ac:dyDescent="0.25">
      <c r="L421" s="40"/>
      <c r="N421" s="40"/>
    </row>
    <row r="422" spans="12:14" ht="15.75" customHeight="1" x14ac:dyDescent="0.25">
      <c r="L422" s="40"/>
      <c r="N422" s="40"/>
    </row>
    <row r="423" spans="12:14" ht="15.75" customHeight="1" x14ac:dyDescent="0.25">
      <c r="L423" s="40"/>
      <c r="N423" s="40"/>
    </row>
    <row r="424" spans="12:14" ht="15.75" customHeight="1" x14ac:dyDescent="0.25">
      <c r="L424" s="40"/>
      <c r="N424" s="40"/>
    </row>
    <row r="425" spans="12:14" ht="15.75" customHeight="1" x14ac:dyDescent="0.25">
      <c r="L425" s="40"/>
      <c r="N425" s="40"/>
    </row>
    <row r="426" spans="12:14" ht="15.75" customHeight="1" x14ac:dyDescent="0.25">
      <c r="L426" s="40"/>
      <c r="N426" s="40"/>
    </row>
    <row r="427" spans="12:14" ht="15.75" customHeight="1" x14ac:dyDescent="0.25">
      <c r="L427" s="40"/>
      <c r="N427" s="40"/>
    </row>
    <row r="428" spans="12:14" ht="15.75" customHeight="1" x14ac:dyDescent="0.25">
      <c r="L428" s="40"/>
      <c r="N428" s="40"/>
    </row>
    <row r="429" spans="12:14" ht="15.75" customHeight="1" x14ac:dyDescent="0.25">
      <c r="L429" s="40"/>
      <c r="N429" s="40"/>
    </row>
    <row r="430" spans="12:14" ht="15.75" customHeight="1" x14ac:dyDescent="0.25">
      <c r="L430" s="40"/>
      <c r="N430" s="40"/>
    </row>
    <row r="431" spans="12:14" ht="15.75" customHeight="1" x14ac:dyDescent="0.25">
      <c r="L431" s="40"/>
      <c r="N431" s="40"/>
    </row>
    <row r="432" spans="12:14" ht="15.75" customHeight="1" x14ac:dyDescent="0.25">
      <c r="L432" s="40"/>
      <c r="N432" s="40"/>
    </row>
    <row r="433" spans="12:14" ht="15.75" customHeight="1" x14ac:dyDescent="0.25">
      <c r="L433" s="40"/>
      <c r="N433" s="40"/>
    </row>
    <row r="434" spans="12:14" ht="15.75" customHeight="1" x14ac:dyDescent="0.25">
      <c r="L434" s="40"/>
      <c r="N434" s="40"/>
    </row>
    <row r="435" spans="12:14" ht="15.75" customHeight="1" x14ac:dyDescent="0.25">
      <c r="L435" s="40"/>
      <c r="N435" s="40"/>
    </row>
    <row r="436" spans="12:14" ht="15.75" customHeight="1" x14ac:dyDescent="0.25">
      <c r="L436" s="40"/>
      <c r="N436" s="40"/>
    </row>
    <row r="437" spans="12:14" ht="15.75" customHeight="1" x14ac:dyDescent="0.25">
      <c r="L437" s="40"/>
      <c r="N437" s="40"/>
    </row>
    <row r="438" spans="12:14" ht="15.75" customHeight="1" x14ac:dyDescent="0.25">
      <c r="L438" s="40"/>
      <c r="N438" s="40"/>
    </row>
    <row r="439" spans="12:14" ht="15.75" customHeight="1" x14ac:dyDescent="0.25">
      <c r="L439" s="40"/>
      <c r="N439" s="40"/>
    </row>
    <row r="440" spans="12:14" ht="15.75" customHeight="1" x14ac:dyDescent="0.25">
      <c r="L440" s="40"/>
      <c r="N440" s="40"/>
    </row>
    <row r="441" spans="12:14" ht="15.75" customHeight="1" x14ac:dyDescent="0.25">
      <c r="L441" s="40"/>
      <c r="N441" s="40"/>
    </row>
    <row r="442" spans="12:14" ht="15.75" customHeight="1" x14ac:dyDescent="0.25">
      <c r="L442" s="40"/>
      <c r="N442" s="40"/>
    </row>
    <row r="443" spans="12:14" ht="15.75" customHeight="1" x14ac:dyDescent="0.25">
      <c r="L443" s="40"/>
      <c r="N443" s="40"/>
    </row>
    <row r="444" spans="12:14" ht="15.75" customHeight="1" x14ac:dyDescent="0.25">
      <c r="L444" s="40"/>
      <c r="N444" s="40"/>
    </row>
    <row r="445" spans="12:14" ht="15.75" customHeight="1" x14ac:dyDescent="0.25">
      <c r="L445" s="40"/>
      <c r="N445" s="40"/>
    </row>
    <row r="446" spans="12:14" ht="15.75" customHeight="1" x14ac:dyDescent="0.25">
      <c r="L446" s="40"/>
      <c r="N446" s="40"/>
    </row>
    <row r="447" spans="12:14" ht="15.75" customHeight="1" x14ac:dyDescent="0.25">
      <c r="L447" s="40"/>
      <c r="N447" s="40"/>
    </row>
    <row r="448" spans="12:14" ht="15.75" customHeight="1" x14ac:dyDescent="0.25">
      <c r="L448" s="40"/>
      <c r="N448" s="40"/>
    </row>
    <row r="449" spans="12:14" ht="15.75" customHeight="1" x14ac:dyDescent="0.25">
      <c r="L449" s="40"/>
      <c r="N449" s="40"/>
    </row>
    <row r="450" spans="12:14" ht="15.75" customHeight="1" x14ac:dyDescent="0.25">
      <c r="L450" s="40"/>
      <c r="N450" s="40"/>
    </row>
    <row r="451" spans="12:14" ht="15.75" customHeight="1" x14ac:dyDescent="0.25">
      <c r="L451" s="40"/>
      <c r="N451" s="40"/>
    </row>
    <row r="452" spans="12:14" ht="15.75" customHeight="1" x14ac:dyDescent="0.25">
      <c r="L452" s="40"/>
      <c r="N452" s="40"/>
    </row>
    <row r="453" spans="12:14" ht="15.75" customHeight="1" x14ac:dyDescent="0.25">
      <c r="L453" s="40"/>
      <c r="N453" s="40"/>
    </row>
    <row r="454" spans="12:14" ht="15.75" customHeight="1" x14ac:dyDescent="0.25">
      <c r="L454" s="40"/>
      <c r="N454" s="40"/>
    </row>
    <row r="455" spans="12:14" ht="15.75" customHeight="1" x14ac:dyDescent="0.25">
      <c r="L455" s="40"/>
      <c r="N455" s="40"/>
    </row>
    <row r="456" spans="12:14" ht="15.75" customHeight="1" x14ac:dyDescent="0.25">
      <c r="L456" s="40"/>
      <c r="N456" s="40"/>
    </row>
    <row r="457" spans="12:14" ht="15.75" customHeight="1" x14ac:dyDescent="0.25">
      <c r="L457" s="40"/>
      <c r="N457" s="40"/>
    </row>
    <row r="458" spans="12:14" ht="15.75" customHeight="1" x14ac:dyDescent="0.25">
      <c r="L458" s="40"/>
      <c r="N458" s="40"/>
    </row>
    <row r="459" spans="12:14" ht="15.75" customHeight="1" x14ac:dyDescent="0.25">
      <c r="L459" s="40"/>
      <c r="N459" s="40"/>
    </row>
    <row r="460" spans="12:14" ht="15.75" customHeight="1" x14ac:dyDescent="0.25">
      <c r="L460" s="40"/>
      <c r="N460" s="40"/>
    </row>
    <row r="461" spans="12:14" ht="15.75" customHeight="1" x14ac:dyDescent="0.25">
      <c r="L461" s="40"/>
      <c r="N461" s="40"/>
    </row>
    <row r="462" spans="12:14" ht="15.75" customHeight="1" x14ac:dyDescent="0.25">
      <c r="L462" s="40"/>
      <c r="N462" s="40"/>
    </row>
    <row r="463" spans="12:14" ht="15.75" customHeight="1" x14ac:dyDescent="0.25">
      <c r="L463" s="40"/>
      <c r="N463" s="40"/>
    </row>
    <row r="464" spans="12:14" ht="15.75" customHeight="1" x14ac:dyDescent="0.25">
      <c r="L464" s="40"/>
      <c r="N464" s="40"/>
    </row>
    <row r="465" spans="12:14" ht="15.75" customHeight="1" x14ac:dyDescent="0.25">
      <c r="L465" s="40"/>
      <c r="N465" s="40"/>
    </row>
    <row r="466" spans="12:14" ht="15.75" customHeight="1" x14ac:dyDescent="0.25">
      <c r="L466" s="40"/>
      <c r="N466" s="40"/>
    </row>
    <row r="467" spans="12:14" ht="15.75" customHeight="1" x14ac:dyDescent="0.25">
      <c r="L467" s="40"/>
      <c r="N467" s="40"/>
    </row>
    <row r="468" spans="12:14" ht="15.75" customHeight="1" x14ac:dyDescent="0.25">
      <c r="L468" s="40"/>
      <c r="N468" s="40"/>
    </row>
    <row r="469" spans="12:14" ht="15.75" customHeight="1" x14ac:dyDescent="0.25">
      <c r="L469" s="40"/>
      <c r="N469" s="40"/>
    </row>
    <row r="470" spans="12:14" ht="15.75" customHeight="1" x14ac:dyDescent="0.25">
      <c r="L470" s="40"/>
      <c r="N470" s="40"/>
    </row>
    <row r="471" spans="12:14" ht="15.75" customHeight="1" x14ac:dyDescent="0.25">
      <c r="L471" s="40"/>
      <c r="N471" s="40"/>
    </row>
    <row r="472" spans="12:14" ht="15.75" customHeight="1" x14ac:dyDescent="0.25">
      <c r="L472" s="40"/>
      <c r="N472" s="40"/>
    </row>
    <row r="473" spans="12:14" ht="15.75" customHeight="1" x14ac:dyDescent="0.25">
      <c r="L473" s="40"/>
      <c r="N473" s="40"/>
    </row>
    <row r="474" spans="12:14" ht="15.75" customHeight="1" x14ac:dyDescent="0.25">
      <c r="L474" s="40"/>
      <c r="N474" s="40"/>
    </row>
    <row r="475" spans="12:14" ht="15.75" customHeight="1" x14ac:dyDescent="0.25">
      <c r="L475" s="40"/>
      <c r="N475" s="40"/>
    </row>
    <row r="476" spans="12:14" ht="15.75" customHeight="1" x14ac:dyDescent="0.25">
      <c r="L476" s="40"/>
      <c r="N476" s="40"/>
    </row>
    <row r="477" spans="12:14" ht="15.75" customHeight="1" x14ac:dyDescent="0.25">
      <c r="L477" s="40"/>
      <c r="N477" s="40"/>
    </row>
    <row r="478" spans="12:14" ht="15.75" customHeight="1" x14ac:dyDescent="0.25">
      <c r="L478" s="40"/>
      <c r="N478" s="40"/>
    </row>
    <row r="479" spans="12:14" ht="15.75" customHeight="1" x14ac:dyDescent="0.25">
      <c r="L479" s="40"/>
      <c r="N479" s="40"/>
    </row>
    <row r="480" spans="12:14" ht="15.75" customHeight="1" x14ac:dyDescent="0.25">
      <c r="L480" s="40"/>
      <c r="N480" s="40"/>
    </row>
    <row r="481" spans="12:14" ht="15.75" customHeight="1" x14ac:dyDescent="0.25">
      <c r="L481" s="40"/>
      <c r="N481" s="40"/>
    </row>
    <row r="482" spans="12:14" ht="15.75" customHeight="1" x14ac:dyDescent="0.25">
      <c r="L482" s="40"/>
      <c r="N482" s="40"/>
    </row>
    <row r="483" spans="12:14" ht="15.75" customHeight="1" x14ac:dyDescent="0.25">
      <c r="L483" s="40"/>
      <c r="N483" s="40"/>
    </row>
    <row r="484" spans="12:14" ht="15.75" customHeight="1" x14ac:dyDescent="0.25">
      <c r="L484" s="40"/>
      <c r="N484" s="40"/>
    </row>
    <row r="485" spans="12:14" ht="15.75" customHeight="1" x14ac:dyDescent="0.25">
      <c r="L485" s="40"/>
      <c r="N485" s="40"/>
    </row>
    <row r="486" spans="12:14" ht="15.75" customHeight="1" x14ac:dyDescent="0.25">
      <c r="L486" s="40"/>
      <c r="N486" s="40"/>
    </row>
    <row r="487" spans="12:14" ht="15.75" customHeight="1" x14ac:dyDescent="0.25">
      <c r="L487" s="40"/>
      <c r="N487" s="40"/>
    </row>
    <row r="488" spans="12:14" ht="15.75" customHeight="1" x14ac:dyDescent="0.25">
      <c r="L488" s="40"/>
      <c r="N488" s="40"/>
    </row>
    <row r="489" spans="12:14" ht="15.75" customHeight="1" x14ac:dyDescent="0.25">
      <c r="L489" s="40"/>
      <c r="N489" s="40"/>
    </row>
    <row r="490" spans="12:14" ht="15.75" customHeight="1" x14ac:dyDescent="0.25">
      <c r="L490" s="40"/>
      <c r="N490" s="40"/>
    </row>
    <row r="491" spans="12:14" ht="15.75" customHeight="1" x14ac:dyDescent="0.25">
      <c r="L491" s="40"/>
      <c r="N491" s="40"/>
    </row>
    <row r="492" spans="12:14" ht="15.75" customHeight="1" x14ac:dyDescent="0.25">
      <c r="L492" s="40"/>
      <c r="N492" s="40"/>
    </row>
    <row r="493" spans="12:14" ht="15.75" customHeight="1" x14ac:dyDescent="0.25">
      <c r="L493" s="40"/>
      <c r="N493" s="40"/>
    </row>
    <row r="494" spans="12:14" ht="15.75" customHeight="1" x14ac:dyDescent="0.25">
      <c r="L494" s="40"/>
      <c r="N494" s="40"/>
    </row>
    <row r="495" spans="12:14" ht="15.75" customHeight="1" x14ac:dyDescent="0.25">
      <c r="L495" s="40"/>
      <c r="N495" s="40"/>
    </row>
    <row r="496" spans="12:14" ht="15.75" customHeight="1" x14ac:dyDescent="0.25">
      <c r="L496" s="40"/>
      <c r="N496" s="40"/>
    </row>
    <row r="497" spans="12:14" ht="15.75" customHeight="1" x14ac:dyDescent="0.25">
      <c r="L497" s="40"/>
      <c r="N497" s="40"/>
    </row>
    <row r="498" spans="12:14" ht="15.75" customHeight="1" x14ac:dyDescent="0.25">
      <c r="L498" s="40"/>
      <c r="N498" s="40"/>
    </row>
    <row r="499" spans="12:14" ht="15.75" customHeight="1" x14ac:dyDescent="0.25">
      <c r="L499" s="40"/>
      <c r="N499" s="40"/>
    </row>
    <row r="500" spans="12:14" ht="15.75" customHeight="1" x14ac:dyDescent="0.25">
      <c r="L500" s="40"/>
      <c r="N500" s="40"/>
    </row>
    <row r="501" spans="12:14" ht="15.75" customHeight="1" x14ac:dyDescent="0.25">
      <c r="L501" s="40"/>
      <c r="N501" s="40"/>
    </row>
    <row r="502" spans="12:14" ht="15.75" customHeight="1" x14ac:dyDescent="0.25">
      <c r="L502" s="40"/>
      <c r="N502" s="40"/>
    </row>
    <row r="503" spans="12:14" ht="15.75" customHeight="1" x14ac:dyDescent="0.25">
      <c r="L503" s="40"/>
      <c r="N503" s="40"/>
    </row>
    <row r="504" spans="12:14" ht="15.75" customHeight="1" x14ac:dyDescent="0.25">
      <c r="L504" s="40"/>
      <c r="N504" s="40"/>
    </row>
    <row r="505" spans="12:14" ht="15.75" customHeight="1" x14ac:dyDescent="0.25">
      <c r="L505" s="40"/>
      <c r="N505" s="40"/>
    </row>
    <row r="506" spans="12:14" ht="15.75" customHeight="1" x14ac:dyDescent="0.25">
      <c r="L506" s="40"/>
      <c r="N506" s="40"/>
    </row>
    <row r="507" spans="12:14" ht="15.75" customHeight="1" x14ac:dyDescent="0.25">
      <c r="L507" s="40"/>
      <c r="N507" s="40"/>
    </row>
    <row r="508" spans="12:14" ht="15.75" customHeight="1" x14ac:dyDescent="0.25">
      <c r="L508" s="40"/>
      <c r="N508" s="40"/>
    </row>
    <row r="509" spans="12:14" ht="15.75" customHeight="1" x14ac:dyDescent="0.25">
      <c r="L509" s="40"/>
      <c r="N509" s="40"/>
    </row>
    <row r="510" spans="12:14" ht="15.75" customHeight="1" x14ac:dyDescent="0.25">
      <c r="L510" s="40"/>
      <c r="N510" s="40"/>
    </row>
    <row r="511" spans="12:14" ht="15.75" customHeight="1" x14ac:dyDescent="0.25">
      <c r="L511" s="40"/>
      <c r="N511" s="40"/>
    </row>
    <row r="512" spans="12:14" ht="15.75" customHeight="1" x14ac:dyDescent="0.25">
      <c r="L512" s="40"/>
      <c r="N512" s="40"/>
    </row>
    <row r="513" spans="12:14" ht="15.75" customHeight="1" x14ac:dyDescent="0.25">
      <c r="L513" s="40"/>
      <c r="N513" s="40"/>
    </row>
    <row r="514" spans="12:14" ht="15.75" customHeight="1" x14ac:dyDescent="0.25">
      <c r="L514" s="40"/>
      <c r="N514" s="40"/>
    </row>
    <row r="515" spans="12:14" ht="15.75" customHeight="1" x14ac:dyDescent="0.25">
      <c r="L515" s="40"/>
      <c r="N515" s="40"/>
    </row>
    <row r="516" spans="12:14" ht="15.75" customHeight="1" x14ac:dyDescent="0.25">
      <c r="L516" s="40"/>
      <c r="N516" s="40"/>
    </row>
    <row r="517" spans="12:14" ht="15.75" customHeight="1" x14ac:dyDescent="0.25">
      <c r="L517" s="40"/>
      <c r="N517" s="40"/>
    </row>
    <row r="518" spans="12:14" ht="15.75" customHeight="1" x14ac:dyDescent="0.25">
      <c r="L518" s="40"/>
      <c r="N518" s="40"/>
    </row>
    <row r="519" spans="12:14" ht="15.75" customHeight="1" x14ac:dyDescent="0.25">
      <c r="L519" s="40"/>
      <c r="N519" s="40"/>
    </row>
    <row r="520" spans="12:14" ht="15.75" customHeight="1" x14ac:dyDescent="0.25">
      <c r="L520" s="40"/>
      <c r="N520" s="40"/>
    </row>
    <row r="521" spans="12:14" ht="15.75" customHeight="1" x14ac:dyDescent="0.25">
      <c r="L521" s="40"/>
      <c r="N521" s="40"/>
    </row>
    <row r="522" spans="12:14" ht="15.75" customHeight="1" x14ac:dyDescent="0.25">
      <c r="L522" s="40"/>
      <c r="N522" s="40"/>
    </row>
    <row r="523" spans="12:14" ht="15.75" customHeight="1" x14ac:dyDescent="0.25">
      <c r="L523" s="40"/>
      <c r="N523" s="40"/>
    </row>
    <row r="524" spans="12:14" ht="15.75" customHeight="1" x14ac:dyDescent="0.25">
      <c r="L524" s="40"/>
      <c r="N524" s="40"/>
    </row>
    <row r="525" spans="12:14" ht="15.75" customHeight="1" x14ac:dyDescent="0.25">
      <c r="L525" s="40"/>
      <c r="N525" s="40"/>
    </row>
    <row r="526" spans="12:14" ht="15.75" customHeight="1" x14ac:dyDescent="0.25">
      <c r="L526" s="40"/>
      <c r="N526" s="40"/>
    </row>
    <row r="527" spans="12:14" ht="15.75" customHeight="1" x14ac:dyDescent="0.25">
      <c r="L527" s="40"/>
      <c r="N527" s="40"/>
    </row>
    <row r="528" spans="12:14" ht="15.75" customHeight="1" x14ac:dyDescent="0.25">
      <c r="L528" s="40"/>
      <c r="N528" s="40"/>
    </row>
    <row r="529" spans="12:14" ht="15.75" customHeight="1" x14ac:dyDescent="0.25">
      <c r="L529" s="40"/>
      <c r="N529" s="40"/>
    </row>
    <row r="530" spans="12:14" ht="15.75" customHeight="1" x14ac:dyDescent="0.25">
      <c r="L530" s="40"/>
      <c r="N530" s="40"/>
    </row>
    <row r="531" spans="12:14" ht="15.75" customHeight="1" x14ac:dyDescent="0.25">
      <c r="L531" s="40"/>
      <c r="N531" s="40"/>
    </row>
    <row r="532" spans="12:14" ht="15.75" customHeight="1" x14ac:dyDescent="0.25">
      <c r="L532" s="40"/>
      <c r="N532" s="40"/>
    </row>
    <row r="533" spans="12:14" ht="15.75" customHeight="1" x14ac:dyDescent="0.25">
      <c r="L533" s="40"/>
      <c r="N533" s="40"/>
    </row>
    <row r="534" spans="12:14" ht="15.75" customHeight="1" x14ac:dyDescent="0.25">
      <c r="L534" s="40"/>
      <c r="N534" s="40"/>
    </row>
    <row r="535" spans="12:14" ht="15.75" customHeight="1" x14ac:dyDescent="0.25">
      <c r="L535" s="40"/>
      <c r="N535" s="40"/>
    </row>
    <row r="536" spans="12:14" ht="15.75" customHeight="1" x14ac:dyDescent="0.25">
      <c r="L536" s="40"/>
      <c r="N536" s="40"/>
    </row>
    <row r="537" spans="12:14" ht="15.75" customHeight="1" x14ac:dyDescent="0.25">
      <c r="L537" s="40"/>
      <c r="N537" s="40"/>
    </row>
    <row r="538" spans="12:14" ht="15.75" customHeight="1" x14ac:dyDescent="0.25">
      <c r="L538" s="40"/>
      <c r="N538" s="40"/>
    </row>
    <row r="539" spans="12:14" ht="15.75" customHeight="1" x14ac:dyDescent="0.25">
      <c r="L539" s="40"/>
      <c r="N539" s="40"/>
    </row>
    <row r="540" spans="12:14" ht="15.75" customHeight="1" x14ac:dyDescent="0.25">
      <c r="L540" s="40"/>
      <c r="N540" s="40"/>
    </row>
    <row r="541" spans="12:14" ht="15.75" customHeight="1" x14ac:dyDescent="0.25">
      <c r="L541" s="40"/>
      <c r="N541" s="40"/>
    </row>
    <row r="542" spans="12:14" ht="15.75" customHeight="1" x14ac:dyDescent="0.25">
      <c r="L542" s="40"/>
      <c r="N542" s="40"/>
    </row>
    <row r="543" spans="12:14" ht="15.75" customHeight="1" x14ac:dyDescent="0.25">
      <c r="L543" s="40"/>
      <c r="N543" s="40"/>
    </row>
    <row r="544" spans="12:14" ht="15.75" customHeight="1" x14ac:dyDescent="0.25">
      <c r="L544" s="40"/>
      <c r="N544" s="40"/>
    </row>
    <row r="545" spans="12:14" ht="15.75" customHeight="1" x14ac:dyDescent="0.25">
      <c r="L545" s="40"/>
      <c r="N545" s="40"/>
    </row>
    <row r="546" spans="12:14" ht="15.75" customHeight="1" x14ac:dyDescent="0.25">
      <c r="L546" s="40"/>
      <c r="N546" s="40"/>
    </row>
    <row r="547" spans="12:14" ht="15.75" customHeight="1" x14ac:dyDescent="0.25">
      <c r="L547" s="40"/>
      <c r="N547" s="40"/>
    </row>
    <row r="548" spans="12:14" ht="15.75" customHeight="1" x14ac:dyDescent="0.25">
      <c r="L548" s="40"/>
      <c r="N548" s="40"/>
    </row>
    <row r="549" spans="12:14" ht="15.75" customHeight="1" x14ac:dyDescent="0.25">
      <c r="L549" s="40"/>
      <c r="N549" s="40"/>
    </row>
    <row r="550" spans="12:14" ht="15.75" customHeight="1" x14ac:dyDescent="0.25">
      <c r="L550" s="40"/>
      <c r="N550" s="40"/>
    </row>
    <row r="551" spans="12:14" ht="15.75" customHeight="1" x14ac:dyDescent="0.25">
      <c r="L551" s="40"/>
      <c r="N551" s="40"/>
    </row>
    <row r="552" spans="12:14" ht="15.75" customHeight="1" x14ac:dyDescent="0.25">
      <c r="L552" s="40"/>
      <c r="N552" s="40"/>
    </row>
    <row r="553" spans="12:14" ht="15.75" customHeight="1" x14ac:dyDescent="0.25">
      <c r="L553" s="40"/>
      <c r="N553" s="40"/>
    </row>
    <row r="554" spans="12:14" ht="15.75" customHeight="1" x14ac:dyDescent="0.25">
      <c r="L554" s="40"/>
      <c r="N554" s="40"/>
    </row>
    <row r="555" spans="12:14" ht="15.75" customHeight="1" x14ac:dyDescent="0.25">
      <c r="L555" s="40"/>
      <c r="N555" s="40"/>
    </row>
    <row r="556" spans="12:14" ht="15.75" customHeight="1" x14ac:dyDescent="0.25">
      <c r="L556" s="40"/>
      <c r="N556" s="40"/>
    </row>
    <row r="557" spans="12:14" ht="15.75" customHeight="1" x14ac:dyDescent="0.25">
      <c r="L557" s="40"/>
      <c r="N557" s="40"/>
    </row>
    <row r="558" spans="12:14" ht="15.75" customHeight="1" x14ac:dyDescent="0.25">
      <c r="L558" s="40"/>
      <c r="N558" s="40"/>
    </row>
    <row r="559" spans="12:14" ht="15.75" customHeight="1" x14ac:dyDescent="0.25">
      <c r="L559" s="40"/>
      <c r="N559" s="40"/>
    </row>
    <row r="560" spans="12:14" ht="15.75" customHeight="1" x14ac:dyDescent="0.25">
      <c r="L560" s="40"/>
      <c r="N560" s="40"/>
    </row>
    <row r="561" spans="12:14" ht="15.75" customHeight="1" x14ac:dyDescent="0.25">
      <c r="L561" s="40"/>
      <c r="N561" s="40"/>
    </row>
    <row r="562" spans="12:14" ht="15.75" customHeight="1" x14ac:dyDescent="0.25">
      <c r="L562" s="40"/>
      <c r="N562" s="40"/>
    </row>
    <row r="563" spans="12:14" ht="15.75" customHeight="1" x14ac:dyDescent="0.25">
      <c r="L563" s="40"/>
      <c r="N563" s="40"/>
    </row>
    <row r="564" spans="12:14" ht="15.75" customHeight="1" x14ac:dyDescent="0.25">
      <c r="L564" s="40"/>
      <c r="N564" s="40"/>
    </row>
    <row r="565" spans="12:14" ht="15.75" customHeight="1" x14ac:dyDescent="0.25">
      <c r="L565" s="40"/>
      <c r="N565" s="40"/>
    </row>
    <row r="566" spans="12:14" ht="15.75" customHeight="1" x14ac:dyDescent="0.25">
      <c r="L566" s="40"/>
      <c r="N566" s="40"/>
    </row>
    <row r="567" spans="12:14" ht="15.75" customHeight="1" x14ac:dyDescent="0.25">
      <c r="L567" s="40"/>
      <c r="N567" s="40"/>
    </row>
    <row r="568" spans="12:14" ht="15.75" customHeight="1" x14ac:dyDescent="0.25">
      <c r="L568" s="40"/>
      <c r="N568" s="40"/>
    </row>
    <row r="569" spans="12:14" ht="15.75" customHeight="1" x14ac:dyDescent="0.25">
      <c r="L569" s="40"/>
      <c r="N569" s="40"/>
    </row>
    <row r="570" spans="12:14" ht="15.75" customHeight="1" x14ac:dyDescent="0.25">
      <c r="L570" s="40"/>
      <c r="N570" s="40"/>
    </row>
    <row r="571" spans="12:14" ht="15.75" customHeight="1" x14ac:dyDescent="0.25">
      <c r="L571" s="40"/>
      <c r="N571" s="40"/>
    </row>
    <row r="572" spans="12:14" ht="15.75" customHeight="1" x14ac:dyDescent="0.25">
      <c r="L572" s="40"/>
      <c r="N572" s="40"/>
    </row>
    <row r="573" spans="12:14" ht="15.75" customHeight="1" x14ac:dyDescent="0.25">
      <c r="L573" s="40"/>
      <c r="N573" s="40"/>
    </row>
    <row r="574" spans="12:14" ht="15.75" customHeight="1" x14ac:dyDescent="0.25">
      <c r="L574" s="40"/>
      <c r="N574" s="40"/>
    </row>
    <row r="575" spans="12:14" ht="15.75" customHeight="1" x14ac:dyDescent="0.25">
      <c r="L575" s="40"/>
      <c r="N575" s="40"/>
    </row>
    <row r="576" spans="12:14" ht="15.75" customHeight="1" x14ac:dyDescent="0.25">
      <c r="L576" s="40"/>
      <c r="N576" s="40"/>
    </row>
    <row r="577" spans="12:14" ht="15.75" customHeight="1" x14ac:dyDescent="0.25">
      <c r="L577" s="40"/>
      <c r="N577" s="40"/>
    </row>
    <row r="578" spans="12:14" ht="15.75" customHeight="1" x14ac:dyDescent="0.25">
      <c r="L578" s="40"/>
      <c r="N578" s="40"/>
    </row>
    <row r="579" spans="12:14" ht="15.75" customHeight="1" x14ac:dyDescent="0.25">
      <c r="L579" s="40"/>
      <c r="N579" s="40"/>
    </row>
    <row r="580" spans="12:14" ht="15.75" customHeight="1" x14ac:dyDescent="0.25">
      <c r="L580" s="40"/>
      <c r="N580" s="40"/>
    </row>
    <row r="581" spans="12:14" ht="15.75" customHeight="1" x14ac:dyDescent="0.25">
      <c r="L581" s="40"/>
      <c r="N581" s="40"/>
    </row>
    <row r="582" spans="12:14" ht="15.75" customHeight="1" x14ac:dyDescent="0.25">
      <c r="L582" s="40"/>
      <c r="N582" s="40"/>
    </row>
    <row r="583" spans="12:14" ht="15.75" customHeight="1" x14ac:dyDescent="0.25">
      <c r="L583" s="40"/>
      <c r="N583" s="40"/>
    </row>
    <row r="584" spans="12:14" ht="15.75" customHeight="1" x14ac:dyDescent="0.25">
      <c r="L584" s="40"/>
      <c r="N584" s="40"/>
    </row>
    <row r="585" spans="12:14" ht="15.75" customHeight="1" x14ac:dyDescent="0.25">
      <c r="L585" s="40"/>
      <c r="N585" s="40"/>
    </row>
    <row r="586" spans="12:14" ht="15.75" customHeight="1" x14ac:dyDescent="0.25">
      <c r="L586" s="40"/>
      <c r="N586" s="40"/>
    </row>
    <row r="587" spans="12:14" ht="15.75" customHeight="1" x14ac:dyDescent="0.25">
      <c r="L587" s="40"/>
      <c r="N587" s="40"/>
    </row>
    <row r="588" spans="12:14" ht="15.75" customHeight="1" x14ac:dyDescent="0.25">
      <c r="L588" s="40"/>
      <c r="N588" s="40"/>
    </row>
    <row r="589" spans="12:14" ht="15.75" customHeight="1" x14ac:dyDescent="0.25">
      <c r="L589" s="40"/>
      <c r="N589" s="40"/>
    </row>
    <row r="590" spans="12:14" ht="15.75" customHeight="1" x14ac:dyDescent="0.25">
      <c r="L590" s="40"/>
      <c r="N590" s="40"/>
    </row>
    <row r="591" spans="12:14" ht="15.75" customHeight="1" x14ac:dyDescent="0.25">
      <c r="L591" s="40"/>
      <c r="N591" s="40"/>
    </row>
    <row r="592" spans="12:14" ht="15.75" customHeight="1" x14ac:dyDescent="0.25">
      <c r="L592" s="40"/>
      <c r="N592" s="40"/>
    </row>
    <row r="593" spans="12:14" ht="15.75" customHeight="1" x14ac:dyDescent="0.25">
      <c r="L593" s="40"/>
      <c r="N593" s="40"/>
    </row>
    <row r="594" spans="12:14" ht="15.75" customHeight="1" x14ac:dyDescent="0.25">
      <c r="L594" s="40"/>
      <c r="N594" s="40"/>
    </row>
    <row r="595" spans="12:14" ht="15.75" customHeight="1" x14ac:dyDescent="0.25">
      <c r="L595" s="40"/>
      <c r="N595" s="40"/>
    </row>
    <row r="596" spans="12:14" ht="15.75" customHeight="1" x14ac:dyDescent="0.25">
      <c r="L596" s="40"/>
      <c r="N596" s="40"/>
    </row>
    <row r="597" spans="12:14" ht="15.75" customHeight="1" x14ac:dyDescent="0.25">
      <c r="L597" s="40"/>
      <c r="N597" s="40"/>
    </row>
    <row r="598" spans="12:14" ht="15.75" customHeight="1" x14ac:dyDescent="0.25">
      <c r="L598" s="40"/>
      <c r="N598" s="40"/>
    </row>
    <row r="599" spans="12:14" ht="15.75" customHeight="1" x14ac:dyDescent="0.25">
      <c r="L599" s="40"/>
      <c r="N599" s="40"/>
    </row>
    <row r="600" spans="12:14" ht="15.75" customHeight="1" x14ac:dyDescent="0.25">
      <c r="L600" s="40"/>
      <c r="N600" s="40"/>
    </row>
    <row r="601" spans="12:14" ht="15.75" customHeight="1" x14ac:dyDescent="0.25">
      <c r="L601" s="40"/>
      <c r="N601" s="40"/>
    </row>
    <row r="602" spans="12:14" ht="15.75" customHeight="1" x14ac:dyDescent="0.25">
      <c r="L602" s="40"/>
      <c r="N602" s="40"/>
    </row>
    <row r="603" spans="12:14" ht="15.75" customHeight="1" x14ac:dyDescent="0.25">
      <c r="L603" s="40"/>
      <c r="N603" s="40"/>
    </row>
    <row r="604" spans="12:14" ht="15.75" customHeight="1" x14ac:dyDescent="0.25">
      <c r="L604" s="40"/>
      <c r="N604" s="40"/>
    </row>
    <row r="605" spans="12:14" ht="15.75" customHeight="1" x14ac:dyDescent="0.25">
      <c r="L605" s="40"/>
      <c r="N605" s="40"/>
    </row>
    <row r="606" spans="12:14" ht="15.75" customHeight="1" x14ac:dyDescent="0.25">
      <c r="L606" s="40"/>
      <c r="N606" s="40"/>
    </row>
    <row r="607" spans="12:14" ht="15.75" customHeight="1" x14ac:dyDescent="0.25">
      <c r="L607" s="40"/>
      <c r="N607" s="40"/>
    </row>
    <row r="608" spans="12:14" ht="15.75" customHeight="1" x14ac:dyDescent="0.25">
      <c r="L608" s="40"/>
      <c r="N608" s="40"/>
    </row>
    <row r="609" spans="12:14" ht="15.75" customHeight="1" x14ac:dyDescent="0.25">
      <c r="L609" s="40"/>
      <c r="N609" s="40"/>
    </row>
    <row r="610" spans="12:14" ht="15.75" customHeight="1" x14ac:dyDescent="0.25">
      <c r="L610" s="40"/>
      <c r="N610" s="40"/>
    </row>
    <row r="611" spans="12:14" ht="15.75" customHeight="1" x14ac:dyDescent="0.25">
      <c r="L611" s="40"/>
      <c r="N611" s="40"/>
    </row>
    <row r="612" spans="12:14" ht="15.75" customHeight="1" x14ac:dyDescent="0.25">
      <c r="L612" s="40"/>
      <c r="N612" s="40"/>
    </row>
    <row r="613" spans="12:14" ht="15.75" customHeight="1" x14ac:dyDescent="0.25">
      <c r="L613" s="40"/>
      <c r="N613" s="40"/>
    </row>
    <row r="614" spans="12:14" ht="15.75" customHeight="1" x14ac:dyDescent="0.25">
      <c r="L614" s="40"/>
      <c r="N614" s="40"/>
    </row>
    <row r="615" spans="12:14" ht="15.75" customHeight="1" x14ac:dyDescent="0.25">
      <c r="L615" s="40"/>
      <c r="N615" s="40"/>
    </row>
    <row r="616" spans="12:14" ht="15.75" customHeight="1" x14ac:dyDescent="0.25">
      <c r="L616" s="40"/>
      <c r="N616" s="40"/>
    </row>
    <row r="617" spans="12:14" ht="15.75" customHeight="1" x14ac:dyDescent="0.25">
      <c r="L617" s="40"/>
      <c r="N617" s="40"/>
    </row>
    <row r="618" spans="12:14" ht="15.75" customHeight="1" x14ac:dyDescent="0.25">
      <c r="L618" s="40"/>
      <c r="N618" s="40"/>
    </row>
    <row r="619" spans="12:14" ht="15.75" customHeight="1" x14ac:dyDescent="0.25">
      <c r="L619" s="40"/>
      <c r="N619" s="40"/>
    </row>
    <row r="620" spans="12:14" ht="15.75" customHeight="1" x14ac:dyDescent="0.25">
      <c r="L620" s="40"/>
      <c r="N620" s="40"/>
    </row>
    <row r="621" spans="12:14" ht="15.75" customHeight="1" x14ac:dyDescent="0.25">
      <c r="L621" s="40"/>
      <c r="N621" s="40"/>
    </row>
    <row r="622" spans="12:14" ht="15.75" customHeight="1" x14ac:dyDescent="0.25">
      <c r="L622" s="40"/>
      <c r="N622" s="40"/>
    </row>
    <row r="623" spans="12:14" ht="15.75" customHeight="1" x14ac:dyDescent="0.25">
      <c r="L623" s="40"/>
      <c r="N623" s="40"/>
    </row>
    <row r="624" spans="12:14" ht="15.75" customHeight="1" x14ac:dyDescent="0.25">
      <c r="L624" s="40"/>
      <c r="N624" s="40"/>
    </row>
    <row r="625" spans="12:14" ht="15.75" customHeight="1" x14ac:dyDescent="0.25">
      <c r="L625" s="40"/>
      <c r="N625" s="40"/>
    </row>
    <row r="626" spans="12:14" ht="15.75" customHeight="1" x14ac:dyDescent="0.25">
      <c r="L626" s="40"/>
      <c r="N626" s="40"/>
    </row>
    <row r="627" spans="12:14" ht="15.75" customHeight="1" x14ac:dyDescent="0.25">
      <c r="L627" s="40"/>
      <c r="N627" s="40"/>
    </row>
    <row r="628" spans="12:14" ht="15.75" customHeight="1" x14ac:dyDescent="0.25">
      <c r="L628" s="40"/>
      <c r="N628" s="40"/>
    </row>
    <row r="629" spans="12:14" ht="15.75" customHeight="1" x14ac:dyDescent="0.25">
      <c r="L629" s="40"/>
      <c r="N629" s="40"/>
    </row>
    <row r="630" spans="12:14" ht="15.75" customHeight="1" x14ac:dyDescent="0.25">
      <c r="L630" s="40"/>
      <c r="N630" s="40"/>
    </row>
    <row r="631" spans="12:14" ht="15.75" customHeight="1" x14ac:dyDescent="0.25">
      <c r="L631" s="40"/>
      <c r="N631" s="40"/>
    </row>
    <row r="632" spans="12:14" ht="15.75" customHeight="1" x14ac:dyDescent="0.25">
      <c r="L632" s="40"/>
      <c r="N632" s="40"/>
    </row>
    <row r="633" spans="12:14" ht="15.75" customHeight="1" x14ac:dyDescent="0.25">
      <c r="L633" s="40"/>
      <c r="N633" s="40"/>
    </row>
    <row r="634" spans="12:14" ht="15.75" customHeight="1" x14ac:dyDescent="0.25">
      <c r="L634" s="40"/>
      <c r="N634" s="40"/>
    </row>
    <row r="635" spans="12:14" ht="15.75" customHeight="1" x14ac:dyDescent="0.25">
      <c r="L635" s="40"/>
      <c r="N635" s="40"/>
    </row>
    <row r="636" spans="12:14" ht="15.75" customHeight="1" x14ac:dyDescent="0.25">
      <c r="L636" s="40"/>
      <c r="N636" s="40"/>
    </row>
    <row r="637" spans="12:14" ht="15.75" customHeight="1" x14ac:dyDescent="0.25">
      <c r="L637" s="40"/>
      <c r="N637" s="40"/>
    </row>
    <row r="638" spans="12:14" ht="15.75" customHeight="1" x14ac:dyDescent="0.25">
      <c r="L638" s="40"/>
      <c r="N638" s="40"/>
    </row>
    <row r="639" spans="12:14" ht="15.75" customHeight="1" x14ac:dyDescent="0.25">
      <c r="L639" s="40"/>
      <c r="N639" s="40"/>
    </row>
    <row r="640" spans="12:14" ht="15.75" customHeight="1" x14ac:dyDescent="0.25">
      <c r="L640" s="40"/>
      <c r="N640" s="40"/>
    </row>
    <row r="641" spans="12:14" ht="15.75" customHeight="1" x14ac:dyDescent="0.25">
      <c r="L641" s="40"/>
      <c r="N641" s="40"/>
    </row>
    <row r="642" spans="12:14" ht="15.75" customHeight="1" x14ac:dyDescent="0.25">
      <c r="L642" s="40"/>
      <c r="N642" s="40"/>
    </row>
    <row r="643" spans="12:14" ht="15.75" customHeight="1" x14ac:dyDescent="0.25">
      <c r="L643" s="40"/>
      <c r="N643" s="40"/>
    </row>
    <row r="644" spans="12:14" ht="15.75" customHeight="1" x14ac:dyDescent="0.25">
      <c r="L644" s="40"/>
      <c r="N644" s="40"/>
    </row>
    <row r="645" spans="12:14" ht="15.75" customHeight="1" x14ac:dyDescent="0.25">
      <c r="L645" s="40"/>
      <c r="N645" s="40"/>
    </row>
    <row r="646" spans="12:14" ht="15.75" customHeight="1" x14ac:dyDescent="0.25">
      <c r="L646" s="40"/>
      <c r="N646" s="40"/>
    </row>
    <row r="647" spans="12:14" ht="15.75" customHeight="1" x14ac:dyDescent="0.25">
      <c r="L647" s="40"/>
      <c r="N647" s="40"/>
    </row>
    <row r="648" spans="12:14" ht="15.75" customHeight="1" x14ac:dyDescent="0.25">
      <c r="L648" s="40"/>
      <c r="N648" s="40"/>
    </row>
    <row r="649" spans="12:14" ht="15.75" customHeight="1" x14ac:dyDescent="0.25">
      <c r="L649" s="40"/>
      <c r="N649" s="40"/>
    </row>
    <row r="650" spans="12:14" ht="15.75" customHeight="1" x14ac:dyDescent="0.25">
      <c r="L650" s="40"/>
      <c r="N650" s="40"/>
    </row>
    <row r="651" spans="12:14" ht="15.75" customHeight="1" x14ac:dyDescent="0.25">
      <c r="L651" s="40"/>
      <c r="N651" s="40"/>
    </row>
    <row r="652" spans="12:14" ht="15.75" customHeight="1" x14ac:dyDescent="0.25">
      <c r="L652" s="40"/>
      <c r="N652" s="40"/>
    </row>
    <row r="653" spans="12:14" ht="15.75" customHeight="1" x14ac:dyDescent="0.25">
      <c r="L653" s="40"/>
      <c r="N653" s="40"/>
    </row>
    <row r="654" spans="12:14" ht="15.75" customHeight="1" x14ac:dyDescent="0.25">
      <c r="L654" s="40"/>
      <c r="N654" s="40"/>
    </row>
    <row r="655" spans="12:14" ht="15.75" customHeight="1" x14ac:dyDescent="0.25">
      <c r="L655" s="40"/>
      <c r="N655" s="40"/>
    </row>
    <row r="656" spans="12:14" ht="15.75" customHeight="1" x14ac:dyDescent="0.25">
      <c r="L656" s="40"/>
      <c r="N656" s="40"/>
    </row>
    <row r="657" spans="12:14" ht="15.75" customHeight="1" x14ac:dyDescent="0.25">
      <c r="L657" s="40"/>
      <c r="N657" s="40"/>
    </row>
    <row r="658" spans="12:14" ht="15.75" customHeight="1" x14ac:dyDescent="0.25">
      <c r="L658" s="40"/>
      <c r="N658" s="40"/>
    </row>
    <row r="659" spans="12:14" ht="15.75" customHeight="1" x14ac:dyDescent="0.25">
      <c r="L659" s="40"/>
      <c r="N659" s="40"/>
    </row>
    <row r="660" spans="12:14" ht="15.75" customHeight="1" x14ac:dyDescent="0.25">
      <c r="L660" s="40"/>
      <c r="N660" s="40"/>
    </row>
    <row r="661" spans="12:14" ht="15.75" customHeight="1" x14ac:dyDescent="0.25">
      <c r="L661" s="40"/>
      <c r="N661" s="40"/>
    </row>
    <row r="662" spans="12:14" ht="15.75" customHeight="1" x14ac:dyDescent="0.25">
      <c r="L662" s="40"/>
      <c r="N662" s="40"/>
    </row>
    <row r="663" spans="12:14" ht="15.75" customHeight="1" x14ac:dyDescent="0.25">
      <c r="L663" s="40"/>
      <c r="N663" s="40"/>
    </row>
    <row r="664" spans="12:14" ht="15.75" customHeight="1" x14ac:dyDescent="0.25">
      <c r="L664" s="40"/>
      <c r="N664" s="40"/>
    </row>
    <row r="665" spans="12:14" ht="15.75" customHeight="1" x14ac:dyDescent="0.25">
      <c r="L665" s="40"/>
      <c r="N665" s="40"/>
    </row>
    <row r="666" spans="12:14" ht="15.75" customHeight="1" x14ac:dyDescent="0.25">
      <c r="L666" s="40"/>
      <c r="N666" s="40"/>
    </row>
    <row r="667" spans="12:14" ht="15.75" customHeight="1" x14ac:dyDescent="0.25">
      <c r="L667" s="40"/>
      <c r="N667" s="40"/>
    </row>
    <row r="668" spans="12:14" ht="15.75" customHeight="1" x14ac:dyDescent="0.25">
      <c r="L668" s="40"/>
      <c r="N668" s="40"/>
    </row>
    <row r="669" spans="12:14" ht="15.75" customHeight="1" x14ac:dyDescent="0.25">
      <c r="L669" s="40"/>
      <c r="N669" s="40"/>
    </row>
    <row r="670" spans="12:14" ht="15.75" customHeight="1" x14ac:dyDescent="0.25">
      <c r="L670" s="40"/>
      <c r="N670" s="40"/>
    </row>
    <row r="671" spans="12:14" ht="15.75" customHeight="1" x14ac:dyDescent="0.25">
      <c r="L671" s="40"/>
      <c r="N671" s="40"/>
    </row>
    <row r="672" spans="12:14" ht="15.75" customHeight="1" x14ac:dyDescent="0.25">
      <c r="L672" s="40"/>
      <c r="N672" s="40"/>
    </row>
    <row r="673" spans="12:14" ht="15.75" customHeight="1" x14ac:dyDescent="0.25">
      <c r="L673" s="40"/>
      <c r="N673" s="40"/>
    </row>
    <row r="674" spans="12:14" ht="15.75" customHeight="1" x14ac:dyDescent="0.25">
      <c r="L674" s="40"/>
      <c r="N674" s="40"/>
    </row>
    <row r="675" spans="12:14" ht="15.75" customHeight="1" x14ac:dyDescent="0.25">
      <c r="L675" s="40"/>
      <c r="N675" s="40"/>
    </row>
    <row r="676" spans="12:14" ht="15.75" customHeight="1" x14ac:dyDescent="0.25">
      <c r="L676" s="40"/>
      <c r="N676" s="40"/>
    </row>
    <row r="677" spans="12:14" ht="15.75" customHeight="1" x14ac:dyDescent="0.25">
      <c r="L677" s="40"/>
      <c r="N677" s="40"/>
    </row>
    <row r="678" spans="12:14" ht="15.75" customHeight="1" x14ac:dyDescent="0.25">
      <c r="L678" s="40"/>
      <c r="N678" s="40"/>
    </row>
    <row r="679" spans="12:14" ht="15.75" customHeight="1" x14ac:dyDescent="0.25">
      <c r="L679" s="40"/>
      <c r="N679" s="40"/>
    </row>
    <row r="680" spans="12:14" ht="15.75" customHeight="1" x14ac:dyDescent="0.25">
      <c r="L680" s="40"/>
      <c r="N680" s="40"/>
    </row>
    <row r="681" spans="12:14" ht="15.75" customHeight="1" x14ac:dyDescent="0.25">
      <c r="L681" s="40"/>
      <c r="N681" s="40"/>
    </row>
    <row r="682" spans="12:14" ht="15.75" customHeight="1" x14ac:dyDescent="0.25">
      <c r="L682" s="40"/>
      <c r="N682" s="40"/>
    </row>
    <row r="683" spans="12:14" ht="15.75" customHeight="1" x14ac:dyDescent="0.25">
      <c r="L683" s="40"/>
      <c r="N683" s="40"/>
    </row>
    <row r="684" spans="12:14" ht="15.75" customHeight="1" x14ac:dyDescent="0.25">
      <c r="L684" s="40"/>
      <c r="N684" s="40"/>
    </row>
    <row r="685" spans="12:14" ht="15.75" customHeight="1" x14ac:dyDescent="0.25">
      <c r="L685" s="40"/>
      <c r="N685" s="40"/>
    </row>
    <row r="686" spans="12:14" ht="15.75" customHeight="1" x14ac:dyDescent="0.25">
      <c r="L686" s="40"/>
      <c r="N686" s="40"/>
    </row>
    <row r="687" spans="12:14" ht="15.75" customHeight="1" x14ac:dyDescent="0.25">
      <c r="L687" s="40"/>
      <c r="N687" s="40"/>
    </row>
    <row r="688" spans="12:14" ht="15.75" customHeight="1" x14ac:dyDescent="0.25">
      <c r="L688" s="40"/>
      <c r="N688" s="40"/>
    </row>
    <row r="689" spans="12:14" ht="15.75" customHeight="1" x14ac:dyDescent="0.25">
      <c r="L689" s="40"/>
      <c r="N689" s="40"/>
    </row>
    <row r="690" spans="12:14" ht="15.75" customHeight="1" x14ac:dyDescent="0.25">
      <c r="L690" s="40"/>
      <c r="N690" s="40"/>
    </row>
    <row r="691" spans="12:14" ht="15.75" customHeight="1" x14ac:dyDescent="0.25">
      <c r="L691" s="40"/>
      <c r="N691" s="40"/>
    </row>
    <row r="692" spans="12:14" ht="15.75" customHeight="1" x14ac:dyDescent="0.25">
      <c r="L692" s="40"/>
      <c r="N692" s="40"/>
    </row>
    <row r="693" spans="12:14" ht="15.75" customHeight="1" x14ac:dyDescent="0.25">
      <c r="L693" s="40"/>
      <c r="N693" s="40"/>
    </row>
    <row r="694" spans="12:14" ht="15.75" customHeight="1" x14ac:dyDescent="0.25">
      <c r="L694" s="40"/>
      <c r="N694" s="40"/>
    </row>
    <row r="695" spans="12:14" ht="15.75" customHeight="1" x14ac:dyDescent="0.25">
      <c r="L695" s="40"/>
      <c r="N695" s="40"/>
    </row>
    <row r="696" spans="12:14" ht="15.75" customHeight="1" x14ac:dyDescent="0.25">
      <c r="L696" s="40"/>
      <c r="N696" s="40"/>
    </row>
    <row r="697" spans="12:14" ht="15.75" customHeight="1" x14ac:dyDescent="0.25">
      <c r="L697" s="40"/>
      <c r="N697" s="40"/>
    </row>
    <row r="698" spans="12:14" ht="15.75" customHeight="1" x14ac:dyDescent="0.25">
      <c r="L698" s="40"/>
      <c r="N698" s="40"/>
    </row>
    <row r="699" spans="12:14" ht="15.75" customHeight="1" x14ac:dyDescent="0.25">
      <c r="L699" s="40"/>
      <c r="N699" s="40"/>
    </row>
    <row r="700" spans="12:14" ht="15.75" customHeight="1" x14ac:dyDescent="0.25">
      <c r="L700" s="40"/>
      <c r="N700" s="40"/>
    </row>
    <row r="701" spans="12:14" ht="15.75" customHeight="1" x14ac:dyDescent="0.25">
      <c r="L701" s="40"/>
      <c r="N701" s="40"/>
    </row>
    <row r="702" spans="12:14" ht="15.75" customHeight="1" x14ac:dyDescent="0.25">
      <c r="L702" s="40"/>
      <c r="N702" s="40"/>
    </row>
    <row r="703" spans="12:14" ht="15.75" customHeight="1" x14ac:dyDescent="0.25">
      <c r="L703" s="40"/>
      <c r="N703" s="40"/>
    </row>
    <row r="704" spans="12:14" ht="15.75" customHeight="1" x14ac:dyDescent="0.25">
      <c r="L704" s="40"/>
      <c r="N704" s="40"/>
    </row>
    <row r="705" spans="12:14" ht="15.75" customHeight="1" x14ac:dyDescent="0.25">
      <c r="L705" s="40"/>
      <c r="N705" s="40"/>
    </row>
    <row r="706" spans="12:14" ht="15.75" customHeight="1" x14ac:dyDescent="0.25">
      <c r="L706" s="40"/>
      <c r="N706" s="40"/>
    </row>
    <row r="707" spans="12:14" ht="15.75" customHeight="1" x14ac:dyDescent="0.25">
      <c r="L707" s="40"/>
      <c r="N707" s="40"/>
    </row>
    <row r="708" spans="12:14" ht="15.75" customHeight="1" x14ac:dyDescent="0.25">
      <c r="L708" s="40"/>
      <c r="N708" s="40"/>
    </row>
    <row r="709" spans="12:14" ht="15.75" customHeight="1" x14ac:dyDescent="0.25">
      <c r="L709" s="40"/>
      <c r="N709" s="40"/>
    </row>
    <row r="710" spans="12:14" ht="15.75" customHeight="1" x14ac:dyDescent="0.25">
      <c r="L710" s="40"/>
      <c r="N710" s="40"/>
    </row>
    <row r="711" spans="12:14" ht="15.75" customHeight="1" x14ac:dyDescent="0.25">
      <c r="L711" s="40"/>
      <c r="N711" s="40"/>
    </row>
    <row r="712" spans="12:14" ht="15.75" customHeight="1" x14ac:dyDescent="0.25">
      <c r="L712" s="40"/>
      <c r="N712" s="40"/>
    </row>
    <row r="713" spans="12:14" ht="15.75" customHeight="1" x14ac:dyDescent="0.25">
      <c r="L713" s="40"/>
      <c r="N713" s="40"/>
    </row>
    <row r="714" spans="12:14" ht="15.75" customHeight="1" x14ac:dyDescent="0.25">
      <c r="L714" s="40"/>
      <c r="N714" s="40"/>
    </row>
    <row r="715" spans="12:14" ht="15.75" customHeight="1" x14ac:dyDescent="0.25">
      <c r="L715" s="40"/>
      <c r="N715" s="40"/>
    </row>
    <row r="716" spans="12:14" ht="15.75" customHeight="1" x14ac:dyDescent="0.25">
      <c r="L716" s="40"/>
      <c r="N716" s="40"/>
    </row>
    <row r="717" spans="12:14" ht="15.75" customHeight="1" x14ac:dyDescent="0.25">
      <c r="L717" s="40"/>
      <c r="N717" s="40"/>
    </row>
    <row r="718" spans="12:14" ht="15.75" customHeight="1" x14ac:dyDescent="0.25">
      <c r="L718" s="40"/>
      <c r="N718" s="40"/>
    </row>
    <row r="719" spans="12:14" ht="15.75" customHeight="1" x14ac:dyDescent="0.25">
      <c r="L719" s="40"/>
      <c r="N719" s="40"/>
    </row>
    <row r="720" spans="12:14" ht="15.75" customHeight="1" x14ac:dyDescent="0.25">
      <c r="L720" s="40"/>
      <c r="N720" s="40"/>
    </row>
    <row r="721" spans="12:14" ht="15.75" customHeight="1" x14ac:dyDescent="0.25">
      <c r="L721" s="40"/>
      <c r="N721" s="40"/>
    </row>
    <row r="722" spans="12:14" ht="15.75" customHeight="1" x14ac:dyDescent="0.25">
      <c r="L722" s="40"/>
      <c r="N722" s="40"/>
    </row>
    <row r="723" spans="12:14" ht="15.75" customHeight="1" x14ac:dyDescent="0.25">
      <c r="L723" s="40"/>
      <c r="N723" s="40"/>
    </row>
    <row r="724" spans="12:14" ht="15.75" customHeight="1" x14ac:dyDescent="0.25">
      <c r="L724" s="40"/>
      <c r="N724" s="40"/>
    </row>
    <row r="725" spans="12:14" ht="15.75" customHeight="1" x14ac:dyDescent="0.25">
      <c r="L725" s="40"/>
      <c r="N725" s="40"/>
    </row>
    <row r="726" spans="12:14" ht="15.75" customHeight="1" x14ac:dyDescent="0.25">
      <c r="L726" s="40"/>
      <c r="N726" s="40"/>
    </row>
    <row r="727" spans="12:14" ht="15.75" customHeight="1" x14ac:dyDescent="0.25">
      <c r="L727" s="40"/>
      <c r="N727" s="40"/>
    </row>
    <row r="728" spans="12:14" ht="15.75" customHeight="1" x14ac:dyDescent="0.25">
      <c r="L728" s="40"/>
      <c r="N728" s="40"/>
    </row>
    <row r="729" spans="12:14" ht="15.75" customHeight="1" x14ac:dyDescent="0.25">
      <c r="L729" s="40"/>
      <c r="N729" s="40"/>
    </row>
    <row r="730" spans="12:14" ht="15.75" customHeight="1" x14ac:dyDescent="0.25">
      <c r="L730" s="40"/>
      <c r="N730" s="40"/>
    </row>
    <row r="731" spans="12:14" ht="15.75" customHeight="1" x14ac:dyDescent="0.25">
      <c r="L731" s="40"/>
      <c r="N731" s="40"/>
    </row>
    <row r="732" spans="12:14" ht="15.75" customHeight="1" x14ac:dyDescent="0.25">
      <c r="L732" s="40"/>
      <c r="N732" s="40"/>
    </row>
    <row r="733" spans="12:14" ht="15.75" customHeight="1" x14ac:dyDescent="0.25">
      <c r="L733" s="40"/>
      <c r="N733" s="40"/>
    </row>
    <row r="734" spans="12:14" ht="15.75" customHeight="1" x14ac:dyDescent="0.25">
      <c r="L734" s="40"/>
      <c r="N734" s="40"/>
    </row>
    <row r="735" spans="12:14" ht="15.75" customHeight="1" x14ac:dyDescent="0.25">
      <c r="L735" s="40"/>
      <c r="N735" s="40"/>
    </row>
    <row r="736" spans="12:14" ht="15.75" customHeight="1" x14ac:dyDescent="0.25">
      <c r="L736" s="40"/>
      <c r="N736" s="40"/>
    </row>
    <row r="737" spans="12:14" ht="15.75" customHeight="1" x14ac:dyDescent="0.25">
      <c r="L737" s="40"/>
      <c r="N737" s="40"/>
    </row>
    <row r="738" spans="12:14" ht="15.75" customHeight="1" x14ac:dyDescent="0.25">
      <c r="L738" s="40"/>
      <c r="N738" s="40"/>
    </row>
    <row r="739" spans="12:14" ht="15.75" customHeight="1" x14ac:dyDescent="0.25">
      <c r="L739" s="40"/>
      <c r="N739" s="40"/>
    </row>
    <row r="740" spans="12:14" ht="15.75" customHeight="1" x14ac:dyDescent="0.25">
      <c r="L740" s="40"/>
      <c r="N740" s="40"/>
    </row>
    <row r="741" spans="12:14" ht="15.75" customHeight="1" x14ac:dyDescent="0.25">
      <c r="L741" s="40"/>
      <c r="N741" s="40"/>
    </row>
    <row r="742" spans="12:14" ht="15.75" customHeight="1" x14ac:dyDescent="0.25">
      <c r="L742" s="40"/>
      <c r="N742" s="40"/>
    </row>
    <row r="743" spans="12:14" ht="15.75" customHeight="1" x14ac:dyDescent="0.25">
      <c r="L743" s="40"/>
      <c r="N743" s="40"/>
    </row>
    <row r="744" spans="12:14" ht="15.75" customHeight="1" x14ac:dyDescent="0.25">
      <c r="L744" s="40"/>
      <c r="N744" s="40"/>
    </row>
    <row r="745" spans="12:14" ht="15.75" customHeight="1" x14ac:dyDescent="0.25">
      <c r="L745" s="40"/>
      <c r="N745" s="40"/>
    </row>
    <row r="746" spans="12:14" ht="15.75" customHeight="1" x14ac:dyDescent="0.25">
      <c r="L746" s="40"/>
      <c r="N746" s="40"/>
    </row>
    <row r="747" spans="12:14" ht="15.75" customHeight="1" x14ac:dyDescent="0.25">
      <c r="L747" s="40"/>
      <c r="N747" s="40"/>
    </row>
    <row r="748" spans="12:14" ht="15.75" customHeight="1" x14ac:dyDescent="0.25">
      <c r="L748" s="40"/>
      <c r="N748" s="40"/>
    </row>
    <row r="749" spans="12:14" ht="15.75" customHeight="1" x14ac:dyDescent="0.25">
      <c r="L749" s="40"/>
      <c r="N749" s="40"/>
    </row>
    <row r="750" spans="12:14" ht="15.75" customHeight="1" x14ac:dyDescent="0.25">
      <c r="L750" s="40"/>
      <c r="N750" s="40"/>
    </row>
    <row r="751" spans="12:14" ht="15.75" customHeight="1" x14ac:dyDescent="0.25">
      <c r="L751" s="40"/>
      <c r="N751" s="40"/>
    </row>
    <row r="752" spans="12:14" ht="15.75" customHeight="1" x14ac:dyDescent="0.25">
      <c r="L752" s="40"/>
      <c r="N752" s="40"/>
    </row>
    <row r="753" spans="12:14" ht="15.75" customHeight="1" x14ac:dyDescent="0.25">
      <c r="L753" s="40"/>
      <c r="N753" s="40"/>
    </row>
    <row r="754" spans="12:14" ht="15.75" customHeight="1" x14ac:dyDescent="0.25">
      <c r="L754" s="40"/>
      <c r="N754" s="40"/>
    </row>
    <row r="755" spans="12:14" ht="15.75" customHeight="1" x14ac:dyDescent="0.25">
      <c r="L755" s="40"/>
      <c r="N755" s="40"/>
    </row>
    <row r="756" spans="12:14" ht="15.75" customHeight="1" x14ac:dyDescent="0.25">
      <c r="L756" s="40"/>
      <c r="N756" s="40"/>
    </row>
    <row r="757" spans="12:14" ht="15.75" customHeight="1" x14ac:dyDescent="0.25">
      <c r="L757" s="40"/>
      <c r="N757" s="40"/>
    </row>
    <row r="758" spans="12:14" ht="15.75" customHeight="1" x14ac:dyDescent="0.25">
      <c r="L758" s="40"/>
      <c r="N758" s="40"/>
    </row>
    <row r="759" spans="12:14" ht="15.75" customHeight="1" x14ac:dyDescent="0.25">
      <c r="L759" s="40"/>
      <c r="N759" s="40"/>
    </row>
    <row r="760" spans="12:14" ht="15.75" customHeight="1" x14ac:dyDescent="0.25">
      <c r="L760" s="40"/>
      <c r="N760" s="40"/>
    </row>
    <row r="761" spans="12:14" ht="15.75" customHeight="1" x14ac:dyDescent="0.25">
      <c r="L761" s="40"/>
      <c r="N761" s="40"/>
    </row>
    <row r="762" spans="12:14" ht="15.75" customHeight="1" x14ac:dyDescent="0.25">
      <c r="L762" s="40"/>
      <c r="N762" s="40"/>
    </row>
    <row r="763" spans="12:14" ht="15.75" customHeight="1" x14ac:dyDescent="0.25">
      <c r="L763" s="40"/>
      <c r="N763" s="40"/>
    </row>
    <row r="764" spans="12:14" ht="15.75" customHeight="1" x14ac:dyDescent="0.25">
      <c r="L764" s="40"/>
      <c r="N764" s="40"/>
    </row>
    <row r="765" spans="12:14" ht="15.75" customHeight="1" x14ac:dyDescent="0.25">
      <c r="L765" s="40"/>
      <c r="N765" s="40"/>
    </row>
    <row r="766" spans="12:14" ht="15.75" customHeight="1" x14ac:dyDescent="0.25">
      <c r="L766" s="40"/>
      <c r="N766" s="40"/>
    </row>
    <row r="767" spans="12:14" ht="15.75" customHeight="1" x14ac:dyDescent="0.25">
      <c r="L767" s="40"/>
      <c r="N767" s="40"/>
    </row>
    <row r="768" spans="12:14" ht="15.75" customHeight="1" x14ac:dyDescent="0.25">
      <c r="L768" s="40"/>
      <c r="N768" s="40"/>
    </row>
    <row r="769" spans="12:14" ht="15.75" customHeight="1" x14ac:dyDescent="0.25">
      <c r="L769" s="40"/>
      <c r="N769" s="40"/>
    </row>
    <row r="770" spans="12:14" ht="15.75" customHeight="1" x14ac:dyDescent="0.25">
      <c r="L770" s="40"/>
      <c r="N770" s="40"/>
    </row>
    <row r="771" spans="12:14" ht="15.75" customHeight="1" x14ac:dyDescent="0.25">
      <c r="L771" s="40"/>
      <c r="N771" s="40"/>
    </row>
    <row r="772" spans="12:14" ht="15.75" customHeight="1" x14ac:dyDescent="0.25">
      <c r="L772" s="40"/>
      <c r="N772" s="40"/>
    </row>
    <row r="773" spans="12:14" ht="15.75" customHeight="1" x14ac:dyDescent="0.25">
      <c r="L773" s="40"/>
      <c r="N773" s="40"/>
    </row>
    <row r="774" spans="12:14" ht="15.75" customHeight="1" x14ac:dyDescent="0.25">
      <c r="L774" s="40"/>
      <c r="N774" s="40"/>
    </row>
    <row r="775" spans="12:14" ht="15.75" customHeight="1" x14ac:dyDescent="0.25">
      <c r="L775" s="40"/>
      <c r="N775" s="40"/>
    </row>
    <row r="776" spans="12:14" ht="15.75" customHeight="1" x14ac:dyDescent="0.25">
      <c r="L776" s="40"/>
      <c r="N776" s="40"/>
    </row>
    <row r="777" spans="12:14" ht="15.75" customHeight="1" x14ac:dyDescent="0.25">
      <c r="L777" s="40"/>
      <c r="N777" s="40"/>
    </row>
    <row r="778" spans="12:14" ht="15.75" customHeight="1" x14ac:dyDescent="0.25">
      <c r="L778" s="40"/>
      <c r="N778" s="40"/>
    </row>
    <row r="779" spans="12:14" ht="15.75" customHeight="1" x14ac:dyDescent="0.25">
      <c r="L779" s="40"/>
      <c r="N779" s="40"/>
    </row>
    <row r="780" spans="12:14" ht="15.75" customHeight="1" x14ac:dyDescent="0.25">
      <c r="L780" s="40"/>
      <c r="N780" s="40"/>
    </row>
    <row r="781" spans="12:14" ht="15.75" customHeight="1" x14ac:dyDescent="0.25">
      <c r="L781" s="40"/>
      <c r="N781" s="40"/>
    </row>
    <row r="782" spans="12:14" ht="15.75" customHeight="1" x14ac:dyDescent="0.25">
      <c r="L782" s="40"/>
      <c r="N782" s="40"/>
    </row>
    <row r="783" spans="12:14" ht="15.75" customHeight="1" x14ac:dyDescent="0.25">
      <c r="L783" s="40"/>
      <c r="N783" s="40"/>
    </row>
    <row r="784" spans="12:14" ht="15.75" customHeight="1" x14ac:dyDescent="0.25">
      <c r="L784" s="40"/>
      <c r="N784" s="40"/>
    </row>
    <row r="785" spans="12:14" ht="15.75" customHeight="1" x14ac:dyDescent="0.25">
      <c r="L785" s="40"/>
      <c r="N785" s="40"/>
    </row>
    <row r="786" spans="12:14" ht="15.75" customHeight="1" x14ac:dyDescent="0.25">
      <c r="L786" s="40"/>
      <c r="N786" s="40"/>
    </row>
    <row r="787" spans="12:14" ht="15.75" customHeight="1" x14ac:dyDescent="0.25">
      <c r="L787" s="40"/>
      <c r="N787" s="40"/>
    </row>
    <row r="788" spans="12:14" ht="15.75" customHeight="1" x14ac:dyDescent="0.25">
      <c r="L788" s="40"/>
      <c r="N788" s="40"/>
    </row>
    <row r="789" spans="12:14" ht="15.75" customHeight="1" x14ac:dyDescent="0.25">
      <c r="L789" s="40"/>
      <c r="N789" s="40"/>
    </row>
    <row r="790" spans="12:14" ht="15.75" customHeight="1" x14ac:dyDescent="0.25">
      <c r="L790" s="40"/>
      <c r="N790" s="40"/>
    </row>
    <row r="791" spans="12:14" ht="15.75" customHeight="1" x14ac:dyDescent="0.25">
      <c r="L791" s="40"/>
      <c r="N791" s="40"/>
    </row>
    <row r="792" spans="12:14" ht="15.75" customHeight="1" x14ac:dyDescent="0.25">
      <c r="L792" s="40"/>
      <c r="N792" s="40"/>
    </row>
    <row r="793" spans="12:14" ht="15.75" customHeight="1" x14ac:dyDescent="0.25">
      <c r="L793" s="40"/>
      <c r="N793" s="40"/>
    </row>
    <row r="794" spans="12:14" ht="15.75" customHeight="1" x14ac:dyDescent="0.25">
      <c r="L794" s="40"/>
      <c r="N794" s="40"/>
    </row>
    <row r="795" spans="12:14" ht="15.75" customHeight="1" x14ac:dyDescent="0.25">
      <c r="L795" s="40"/>
      <c r="N795" s="40"/>
    </row>
    <row r="796" spans="12:14" ht="15.75" customHeight="1" x14ac:dyDescent="0.25">
      <c r="L796" s="40"/>
      <c r="N796" s="40"/>
    </row>
    <row r="797" spans="12:14" ht="15.75" customHeight="1" x14ac:dyDescent="0.25">
      <c r="L797" s="40"/>
      <c r="N797" s="40"/>
    </row>
    <row r="798" spans="12:14" ht="15.75" customHeight="1" x14ac:dyDescent="0.25">
      <c r="L798" s="40"/>
      <c r="N798" s="40"/>
    </row>
    <row r="799" spans="12:14" ht="15.75" customHeight="1" x14ac:dyDescent="0.25">
      <c r="L799" s="40"/>
      <c r="N799" s="40"/>
    </row>
    <row r="800" spans="12:14" ht="15.75" customHeight="1" x14ac:dyDescent="0.25">
      <c r="L800" s="40"/>
      <c r="N800" s="40"/>
    </row>
    <row r="801" spans="12:14" ht="15.75" customHeight="1" x14ac:dyDescent="0.25">
      <c r="L801" s="40"/>
      <c r="N801" s="40"/>
    </row>
    <row r="802" spans="12:14" ht="15.75" customHeight="1" x14ac:dyDescent="0.25">
      <c r="L802" s="40"/>
      <c r="N802" s="40"/>
    </row>
    <row r="803" spans="12:14" ht="15.75" customHeight="1" x14ac:dyDescent="0.25">
      <c r="L803" s="40"/>
      <c r="N803" s="40"/>
    </row>
    <row r="804" spans="12:14" ht="15.75" customHeight="1" x14ac:dyDescent="0.25">
      <c r="L804" s="40"/>
      <c r="N804" s="40"/>
    </row>
    <row r="805" spans="12:14" ht="15.75" customHeight="1" x14ac:dyDescent="0.25">
      <c r="L805" s="40"/>
      <c r="N805" s="40"/>
    </row>
    <row r="806" spans="12:14" ht="15.75" customHeight="1" x14ac:dyDescent="0.25">
      <c r="L806" s="40"/>
      <c r="N806" s="40"/>
    </row>
    <row r="807" spans="12:14" ht="15.75" customHeight="1" x14ac:dyDescent="0.25">
      <c r="L807" s="40"/>
      <c r="N807" s="40"/>
    </row>
    <row r="808" spans="12:14" ht="15.75" customHeight="1" x14ac:dyDescent="0.25">
      <c r="L808" s="40"/>
      <c r="N808" s="40"/>
    </row>
    <row r="809" spans="12:14" ht="15.75" customHeight="1" x14ac:dyDescent="0.25">
      <c r="L809" s="40"/>
      <c r="N809" s="40"/>
    </row>
    <row r="810" spans="12:14" ht="15.75" customHeight="1" x14ac:dyDescent="0.25">
      <c r="L810" s="40"/>
      <c r="N810" s="40"/>
    </row>
    <row r="811" spans="12:14" ht="15.75" customHeight="1" x14ac:dyDescent="0.25">
      <c r="L811" s="40"/>
      <c r="N811" s="40"/>
    </row>
    <row r="812" spans="12:14" ht="15.75" customHeight="1" x14ac:dyDescent="0.25">
      <c r="L812" s="40"/>
      <c r="N812" s="40"/>
    </row>
    <row r="813" spans="12:14" ht="15.75" customHeight="1" x14ac:dyDescent="0.25">
      <c r="L813" s="40"/>
      <c r="N813" s="40"/>
    </row>
    <row r="814" spans="12:14" ht="15.75" customHeight="1" x14ac:dyDescent="0.25">
      <c r="L814" s="40"/>
      <c r="N814" s="40"/>
    </row>
    <row r="815" spans="12:14" ht="15.75" customHeight="1" x14ac:dyDescent="0.25">
      <c r="L815" s="40"/>
      <c r="N815" s="40"/>
    </row>
    <row r="816" spans="12:14" ht="15.75" customHeight="1" x14ac:dyDescent="0.25">
      <c r="L816" s="40"/>
      <c r="N816" s="40"/>
    </row>
    <row r="817" spans="12:14" ht="15.75" customHeight="1" x14ac:dyDescent="0.25">
      <c r="L817" s="40"/>
      <c r="N817" s="40"/>
    </row>
    <row r="818" spans="12:14" ht="15.75" customHeight="1" x14ac:dyDescent="0.25">
      <c r="L818" s="40"/>
      <c r="N818" s="40"/>
    </row>
    <row r="819" spans="12:14" ht="15.75" customHeight="1" x14ac:dyDescent="0.25">
      <c r="L819" s="40"/>
      <c r="N819" s="40"/>
    </row>
    <row r="820" spans="12:14" ht="15.75" customHeight="1" x14ac:dyDescent="0.25">
      <c r="L820" s="40"/>
      <c r="N820" s="40"/>
    </row>
    <row r="821" spans="12:14" ht="15.75" customHeight="1" x14ac:dyDescent="0.25">
      <c r="L821" s="40"/>
      <c r="N821" s="40"/>
    </row>
    <row r="822" spans="12:14" ht="15.75" customHeight="1" x14ac:dyDescent="0.25">
      <c r="L822" s="40"/>
      <c r="N822" s="40"/>
    </row>
    <row r="823" spans="12:14" ht="15.75" customHeight="1" x14ac:dyDescent="0.25">
      <c r="L823" s="40"/>
      <c r="N823" s="40"/>
    </row>
    <row r="824" spans="12:14" ht="15.75" customHeight="1" x14ac:dyDescent="0.25">
      <c r="L824" s="40"/>
      <c r="N824" s="40"/>
    </row>
    <row r="825" spans="12:14" ht="15.75" customHeight="1" x14ac:dyDescent="0.25">
      <c r="L825" s="40"/>
      <c r="N825" s="40"/>
    </row>
    <row r="826" spans="12:14" ht="15.75" customHeight="1" x14ac:dyDescent="0.25">
      <c r="L826" s="40"/>
      <c r="N826" s="40"/>
    </row>
    <row r="827" spans="12:14" ht="15.75" customHeight="1" x14ac:dyDescent="0.25">
      <c r="L827" s="40"/>
      <c r="N827" s="40"/>
    </row>
    <row r="828" spans="12:14" ht="15.75" customHeight="1" x14ac:dyDescent="0.25">
      <c r="L828" s="40"/>
      <c r="N828" s="40"/>
    </row>
    <row r="829" spans="12:14" ht="15.75" customHeight="1" x14ac:dyDescent="0.25">
      <c r="L829" s="40"/>
      <c r="N829" s="40"/>
    </row>
    <row r="830" spans="12:14" ht="15.75" customHeight="1" x14ac:dyDescent="0.25">
      <c r="L830" s="40"/>
      <c r="N830" s="40"/>
    </row>
    <row r="831" spans="12:14" ht="15.75" customHeight="1" x14ac:dyDescent="0.25">
      <c r="L831" s="40"/>
      <c r="N831" s="40"/>
    </row>
    <row r="832" spans="12:14" ht="15.75" customHeight="1" x14ac:dyDescent="0.25">
      <c r="L832" s="40"/>
      <c r="N832" s="40"/>
    </row>
    <row r="833" spans="12:14" ht="15.75" customHeight="1" x14ac:dyDescent="0.25">
      <c r="L833" s="40"/>
      <c r="N833" s="40"/>
    </row>
    <row r="834" spans="12:14" ht="15.75" customHeight="1" x14ac:dyDescent="0.25">
      <c r="L834" s="40"/>
      <c r="N834" s="40"/>
    </row>
    <row r="835" spans="12:14" ht="15.75" customHeight="1" x14ac:dyDescent="0.25">
      <c r="L835" s="40"/>
      <c r="N835" s="40"/>
    </row>
    <row r="836" spans="12:14" ht="15.75" customHeight="1" x14ac:dyDescent="0.25">
      <c r="L836" s="40"/>
      <c r="N836" s="40"/>
    </row>
    <row r="837" spans="12:14" ht="15.75" customHeight="1" x14ac:dyDescent="0.25">
      <c r="L837" s="40"/>
      <c r="N837" s="40"/>
    </row>
    <row r="838" spans="12:14" ht="15.75" customHeight="1" x14ac:dyDescent="0.25">
      <c r="L838" s="40"/>
      <c r="N838" s="40"/>
    </row>
    <row r="839" spans="12:14" ht="15.75" customHeight="1" x14ac:dyDescent="0.25">
      <c r="L839" s="40"/>
      <c r="N839" s="40"/>
    </row>
    <row r="840" spans="12:14" ht="15.75" customHeight="1" x14ac:dyDescent="0.25">
      <c r="L840" s="40"/>
      <c r="N840" s="40"/>
    </row>
    <row r="841" spans="12:14" ht="15.75" customHeight="1" x14ac:dyDescent="0.25">
      <c r="L841" s="40"/>
      <c r="N841" s="40"/>
    </row>
    <row r="842" spans="12:14" ht="15.75" customHeight="1" x14ac:dyDescent="0.25">
      <c r="L842" s="40"/>
      <c r="N842" s="40"/>
    </row>
    <row r="843" spans="12:14" ht="15.75" customHeight="1" x14ac:dyDescent="0.25">
      <c r="L843" s="40"/>
      <c r="N843" s="40"/>
    </row>
    <row r="844" spans="12:14" ht="15.75" customHeight="1" x14ac:dyDescent="0.25">
      <c r="L844" s="40"/>
      <c r="N844" s="40"/>
    </row>
    <row r="845" spans="12:14" ht="15.75" customHeight="1" x14ac:dyDescent="0.25">
      <c r="L845" s="40"/>
      <c r="N845" s="40"/>
    </row>
    <row r="846" spans="12:14" ht="15.75" customHeight="1" x14ac:dyDescent="0.25">
      <c r="L846" s="40"/>
      <c r="N846" s="40"/>
    </row>
    <row r="847" spans="12:14" ht="15.75" customHeight="1" x14ac:dyDescent="0.25">
      <c r="L847" s="40"/>
      <c r="N847" s="40"/>
    </row>
    <row r="848" spans="12:14" ht="15.75" customHeight="1" x14ac:dyDescent="0.25">
      <c r="L848" s="40"/>
      <c r="N848" s="40"/>
    </row>
    <row r="849" spans="12:14" ht="15.75" customHeight="1" x14ac:dyDescent="0.25">
      <c r="L849" s="40"/>
      <c r="N849" s="40"/>
    </row>
    <row r="850" spans="12:14" ht="15.75" customHeight="1" x14ac:dyDescent="0.25">
      <c r="L850" s="40"/>
      <c r="N850" s="40"/>
    </row>
    <row r="851" spans="12:14" ht="15.75" customHeight="1" x14ac:dyDescent="0.25">
      <c r="L851" s="40"/>
      <c r="N851" s="40"/>
    </row>
    <row r="852" spans="12:14" ht="15.75" customHeight="1" x14ac:dyDescent="0.25">
      <c r="L852" s="40"/>
      <c r="N852" s="40"/>
    </row>
    <row r="853" spans="12:14" ht="15.75" customHeight="1" x14ac:dyDescent="0.25">
      <c r="L853" s="40"/>
      <c r="N853" s="40"/>
    </row>
    <row r="854" spans="12:14" ht="15.75" customHeight="1" x14ac:dyDescent="0.25">
      <c r="L854" s="40"/>
      <c r="N854" s="40"/>
    </row>
    <row r="855" spans="12:14" ht="15.75" customHeight="1" x14ac:dyDescent="0.25">
      <c r="L855" s="40"/>
      <c r="N855" s="40"/>
    </row>
    <row r="856" spans="12:14" ht="15.75" customHeight="1" x14ac:dyDescent="0.25">
      <c r="L856" s="40"/>
      <c r="N856" s="40"/>
    </row>
    <row r="857" spans="12:14" ht="15.75" customHeight="1" x14ac:dyDescent="0.25">
      <c r="L857" s="40"/>
      <c r="N857" s="40"/>
    </row>
    <row r="858" spans="12:14" ht="15.75" customHeight="1" x14ac:dyDescent="0.25">
      <c r="L858" s="40"/>
      <c r="N858" s="40"/>
    </row>
    <row r="859" spans="12:14" ht="15.75" customHeight="1" x14ac:dyDescent="0.25">
      <c r="L859" s="40"/>
      <c r="N859" s="40"/>
    </row>
    <row r="860" spans="12:14" ht="15.75" customHeight="1" x14ac:dyDescent="0.25">
      <c r="L860" s="40"/>
      <c r="N860" s="40"/>
    </row>
    <row r="861" spans="12:14" ht="15.75" customHeight="1" x14ac:dyDescent="0.25">
      <c r="L861" s="40"/>
      <c r="N861" s="40"/>
    </row>
    <row r="862" spans="12:14" ht="15.75" customHeight="1" x14ac:dyDescent="0.25">
      <c r="L862" s="40"/>
      <c r="N862" s="40"/>
    </row>
    <row r="863" spans="12:14" ht="15.75" customHeight="1" x14ac:dyDescent="0.25">
      <c r="L863" s="40"/>
      <c r="N863" s="40"/>
    </row>
    <row r="864" spans="12:14" ht="15.75" customHeight="1" x14ac:dyDescent="0.25">
      <c r="L864" s="40"/>
      <c r="N864" s="40"/>
    </row>
    <row r="865" spans="12:14" ht="15.75" customHeight="1" x14ac:dyDescent="0.25">
      <c r="L865" s="40"/>
      <c r="N865" s="40"/>
    </row>
    <row r="866" spans="12:14" ht="15.75" customHeight="1" x14ac:dyDescent="0.25">
      <c r="L866" s="40"/>
      <c r="N866" s="40"/>
    </row>
    <row r="867" spans="12:14" ht="15.75" customHeight="1" x14ac:dyDescent="0.25">
      <c r="L867" s="40"/>
      <c r="N867" s="40"/>
    </row>
    <row r="868" spans="12:14" ht="15.75" customHeight="1" x14ac:dyDescent="0.25">
      <c r="L868" s="40"/>
      <c r="N868" s="40"/>
    </row>
    <row r="869" spans="12:14" ht="15.75" customHeight="1" x14ac:dyDescent="0.25">
      <c r="L869" s="40"/>
      <c r="N869" s="40"/>
    </row>
    <row r="870" spans="12:14" ht="15.75" customHeight="1" x14ac:dyDescent="0.25">
      <c r="L870" s="40"/>
      <c r="N870" s="40"/>
    </row>
    <row r="871" spans="12:14" ht="15.75" customHeight="1" x14ac:dyDescent="0.25">
      <c r="L871" s="40"/>
      <c r="N871" s="40"/>
    </row>
    <row r="872" spans="12:14" ht="15.75" customHeight="1" x14ac:dyDescent="0.25">
      <c r="L872" s="40"/>
      <c r="N872" s="40"/>
    </row>
    <row r="873" spans="12:14" ht="15.75" customHeight="1" x14ac:dyDescent="0.25">
      <c r="L873" s="40"/>
      <c r="N873" s="40"/>
    </row>
    <row r="874" spans="12:14" ht="15.75" customHeight="1" x14ac:dyDescent="0.25">
      <c r="L874" s="40"/>
      <c r="N874" s="40"/>
    </row>
    <row r="875" spans="12:14" ht="15.75" customHeight="1" x14ac:dyDescent="0.25">
      <c r="L875" s="40"/>
      <c r="N875" s="40"/>
    </row>
    <row r="876" spans="12:14" ht="15.75" customHeight="1" x14ac:dyDescent="0.25">
      <c r="L876" s="40"/>
      <c r="N876" s="40"/>
    </row>
    <row r="877" spans="12:14" ht="15.75" customHeight="1" x14ac:dyDescent="0.25">
      <c r="L877" s="40"/>
      <c r="N877" s="40"/>
    </row>
    <row r="878" spans="12:14" ht="15.75" customHeight="1" x14ac:dyDescent="0.25">
      <c r="L878" s="40"/>
      <c r="N878" s="40"/>
    </row>
    <row r="879" spans="12:14" ht="15.75" customHeight="1" x14ac:dyDescent="0.25">
      <c r="L879" s="40"/>
      <c r="N879" s="40"/>
    </row>
    <row r="880" spans="12:14" ht="15.75" customHeight="1" x14ac:dyDescent="0.25">
      <c r="L880" s="40"/>
      <c r="N880" s="40"/>
    </row>
    <row r="881" spans="12:14" ht="15.75" customHeight="1" x14ac:dyDescent="0.25">
      <c r="L881" s="40"/>
      <c r="N881" s="40"/>
    </row>
    <row r="882" spans="12:14" ht="15.75" customHeight="1" x14ac:dyDescent="0.25">
      <c r="L882" s="40"/>
      <c r="N882" s="40"/>
    </row>
    <row r="883" spans="12:14" ht="15.75" customHeight="1" x14ac:dyDescent="0.25">
      <c r="L883" s="40"/>
      <c r="N883" s="40"/>
    </row>
    <row r="884" spans="12:14" ht="15.75" customHeight="1" x14ac:dyDescent="0.25">
      <c r="L884" s="40"/>
      <c r="N884" s="40"/>
    </row>
    <row r="885" spans="12:14" ht="15.75" customHeight="1" x14ac:dyDescent="0.25">
      <c r="L885" s="40"/>
      <c r="N885" s="40"/>
    </row>
    <row r="886" spans="12:14" ht="15.75" customHeight="1" x14ac:dyDescent="0.25">
      <c r="L886" s="40"/>
      <c r="N886" s="40"/>
    </row>
    <row r="887" spans="12:14" ht="15.75" customHeight="1" x14ac:dyDescent="0.25">
      <c r="L887" s="40"/>
      <c r="N887" s="40"/>
    </row>
    <row r="888" spans="12:14" ht="15.75" customHeight="1" x14ac:dyDescent="0.25">
      <c r="L888" s="40"/>
      <c r="N888" s="40"/>
    </row>
    <row r="889" spans="12:14" ht="15.75" customHeight="1" x14ac:dyDescent="0.25">
      <c r="L889" s="40"/>
      <c r="N889" s="40"/>
    </row>
    <row r="890" spans="12:14" ht="15.75" customHeight="1" x14ac:dyDescent="0.25">
      <c r="L890" s="40"/>
      <c r="N890" s="40"/>
    </row>
    <row r="891" spans="12:14" ht="15.75" customHeight="1" x14ac:dyDescent="0.25">
      <c r="L891" s="40"/>
      <c r="N891" s="40"/>
    </row>
    <row r="892" spans="12:14" ht="15.75" customHeight="1" x14ac:dyDescent="0.25">
      <c r="L892" s="40"/>
      <c r="N892" s="40"/>
    </row>
    <row r="893" spans="12:14" ht="15.75" customHeight="1" x14ac:dyDescent="0.25">
      <c r="L893" s="40"/>
      <c r="N893" s="40"/>
    </row>
    <row r="894" spans="12:14" ht="15.75" customHeight="1" x14ac:dyDescent="0.25">
      <c r="L894" s="40"/>
      <c r="N894" s="40"/>
    </row>
    <row r="895" spans="12:14" ht="15.75" customHeight="1" x14ac:dyDescent="0.25">
      <c r="L895" s="40"/>
      <c r="N895" s="40"/>
    </row>
    <row r="896" spans="12:14" ht="15.75" customHeight="1" x14ac:dyDescent="0.25">
      <c r="L896" s="40"/>
      <c r="N896" s="40"/>
    </row>
    <row r="897" spans="12:14" ht="15.75" customHeight="1" x14ac:dyDescent="0.25">
      <c r="L897" s="40"/>
      <c r="N897" s="40"/>
    </row>
    <row r="898" spans="12:14" ht="15.75" customHeight="1" x14ac:dyDescent="0.25">
      <c r="L898" s="40"/>
      <c r="N898" s="40"/>
    </row>
    <row r="899" spans="12:14" ht="15.75" customHeight="1" x14ac:dyDescent="0.25">
      <c r="L899" s="40"/>
      <c r="N899" s="40"/>
    </row>
    <row r="900" spans="12:14" ht="15.75" customHeight="1" x14ac:dyDescent="0.25">
      <c r="L900" s="40"/>
      <c r="N900" s="40"/>
    </row>
    <row r="901" spans="12:14" ht="15.75" customHeight="1" x14ac:dyDescent="0.25">
      <c r="L901" s="40"/>
      <c r="N901" s="40"/>
    </row>
    <row r="902" spans="12:14" ht="15.75" customHeight="1" x14ac:dyDescent="0.25">
      <c r="L902" s="40"/>
      <c r="N902" s="40"/>
    </row>
    <row r="903" spans="12:14" ht="15.75" customHeight="1" x14ac:dyDescent="0.25">
      <c r="L903" s="40"/>
      <c r="N903" s="40"/>
    </row>
    <row r="904" spans="12:14" ht="15.75" customHeight="1" x14ac:dyDescent="0.25">
      <c r="L904" s="40"/>
      <c r="N904" s="40"/>
    </row>
    <row r="905" spans="12:14" ht="15.75" customHeight="1" x14ac:dyDescent="0.25">
      <c r="L905" s="40"/>
      <c r="N905" s="40"/>
    </row>
    <row r="906" spans="12:14" ht="15.75" customHeight="1" x14ac:dyDescent="0.25">
      <c r="L906" s="40"/>
      <c r="N906" s="40"/>
    </row>
    <row r="907" spans="12:14" ht="15.75" customHeight="1" x14ac:dyDescent="0.25">
      <c r="L907" s="40"/>
      <c r="N907" s="40"/>
    </row>
    <row r="908" spans="12:14" ht="15.75" customHeight="1" x14ac:dyDescent="0.25">
      <c r="L908" s="40"/>
      <c r="N908" s="40"/>
    </row>
    <row r="909" spans="12:14" ht="15.75" customHeight="1" x14ac:dyDescent="0.25">
      <c r="L909" s="40"/>
      <c r="N909" s="40"/>
    </row>
    <row r="910" spans="12:14" ht="15.75" customHeight="1" x14ac:dyDescent="0.25">
      <c r="L910" s="40"/>
      <c r="N910" s="40"/>
    </row>
    <row r="911" spans="12:14" ht="15.75" customHeight="1" x14ac:dyDescent="0.25">
      <c r="L911" s="40"/>
      <c r="N911" s="40"/>
    </row>
    <row r="912" spans="12:14" ht="15.75" customHeight="1" x14ac:dyDescent="0.25">
      <c r="L912" s="40"/>
      <c r="N912" s="40"/>
    </row>
    <row r="913" spans="12:14" ht="15.75" customHeight="1" x14ac:dyDescent="0.25">
      <c r="L913" s="40"/>
      <c r="N913" s="40"/>
    </row>
    <row r="914" spans="12:14" ht="15.75" customHeight="1" x14ac:dyDescent="0.25">
      <c r="L914" s="40"/>
      <c r="N914" s="40"/>
    </row>
    <row r="915" spans="12:14" ht="15.75" customHeight="1" x14ac:dyDescent="0.25">
      <c r="L915" s="40"/>
      <c r="N915" s="40"/>
    </row>
    <row r="916" spans="12:14" ht="15.75" customHeight="1" x14ac:dyDescent="0.25">
      <c r="L916" s="40"/>
      <c r="N916" s="40"/>
    </row>
    <row r="917" spans="12:14" ht="15.75" customHeight="1" x14ac:dyDescent="0.25">
      <c r="L917" s="40"/>
      <c r="N917" s="40"/>
    </row>
    <row r="918" spans="12:14" ht="15.75" customHeight="1" x14ac:dyDescent="0.25">
      <c r="L918" s="40"/>
      <c r="N918" s="40"/>
    </row>
    <row r="919" spans="12:14" ht="15.75" customHeight="1" x14ac:dyDescent="0.25">
      <c r="L919" s="40"/>
      <c r="N919" s="40"/>
    </row>
    <row r="920" spans="12:14" ht="15.75" customHeight="1" x14ac:dyDescent="0.25">
      <c r="L920" s="40"/>
      <c r="N920" s="40"/>
    </row>
    <row r="921" spans="12:14" ht="15.75" customHeight="1" x14ac:dyDescent="0.25">
      <c r="L921" s="40"/>
      <c r="N921" s="40"/>
    </row>
    <row r="922" spans="12:14" ht="15.75" customHeight="1" x14ac:dyDescent="0.25">
      <c r="L922" s="40"/>
      <c r="N922" s="40"/>
    </row>
    <row r="923" spans="12:14" ht="15.75" customHeight="1" x14ac:dyDescent="0.25">
      <c r="L923" s="40"/>
      <c r="N923" s="40"/>
    </row>
    <row r="924" spans="12:14" ht="15.75" customHeight="1" x14ac:dyDescent="0.25">
      <c r="L924" s="40"/>
      <c r="N924" s="40"/>
    </row>
    <row r="925" spans="12:14" ht="15.75" customHeight="1" x14ac:dyDescent="0.25">
      <c r="L925" s="40"/>
      <c r="N925" s="40"/>
    </row>
    <row r="926" spans="12:14" ht="15.75" customHeight="1" x14ac:dyDescent="0.25">
      <c r="L926" s="40"/>
      <c r="N926" s="40"/>
    </row>
    <row r="927" spans="12:14" ht="15.75" customHeight="1" x14ac:dyDescent="0.25">
      <c r="L927" s="40"/>
      <c r="N927" s="40"/>
    </row>
    <row r="928" spans="12:14" ht="15.75" customHeight="1" x14ac:dyDescent="0.25">
      <c r="L928" s="40"/>
      <c r="N928" s="40"/>
    </row>
    <row r="929" spans="12:14" ht="15.75" customHeight="1" x14ac:dyDescent="0.25">
      <c r="L929" s="40"/>
      <c r="N929" s="40"/>
    </row>
    <row r="930" spans="12:14" ht="15.75" customHeight="1" x14ac:dyDescent="0.25">
      <c r="L930" s="40"/>
      <c r="N930" s="40"/>
    </row>
    <row r="931" spans="12:14" ht="15.75" customHeight="1" x14ac:dyDescent="0.25">
      <c r="L931" s="40"/>
      <c r="N931" s="40"/>
    </row>
    <row r="932" spans="12:14" ht="15.75" customHeight="1" x14ac:dyDescent="0.25">
      <c r="L932" s="40"/>
      <c r="N932" s="40"/>
    </row>
    <row r="933" spans="12:14" ht="15.75" customHeight="1" x14ac:dyDescent="0.25">
      <c r="L933" s="40"/>
      <c r="N933" s="40"/>
    </row>
    <row r="934" spans="12:14" ht="15.75" customHeight="1" x14ac:dyDescent="0.25">
      <c r="L934" s="40"/>
      <c r="N934" s="40"/>
    </row>
    <row r="935" spans="12:14" ht="15.75" customHeight="1" x14ac:dyDescent="0.25">
      <c r="L935" s="40"/>
      <c r="N935" s="40"/>
    </row>
    <row r="936" spans="12:14" ht="15.75" customHeight="1" x14ac:dyDescent="0.25">
      <c r="L936" s="40"/>
      <c r="N936" s="40"/>
    </row>
    <row r="937" spans="12:14" ht="15.75" customHeight="1" x14ac:dyDescent="0.25">
      <c r="L937" s="40"/>
      <c r="N937" s="40"/>
    </row>
    <row r="938" spans="12:14" ht="15.75" customHeight="1" x14ac:dyDescent="0.25">
      <c r="L938" s="40"/>
      <c r="N938" s="40"/>
    </row>
    <row r="939" spans="12:14" ht="15.75" customHeight="1" x14ac:dyDescent="0.25">
      <c r="L939" s="40"/>
      <c r="N939" s="40"/>
    </row>
    <row r="940" spans="12:14" ht="15.75" customHeight="1" x14ac:dyDescent="0.25">
      <c r="L940" s="40"/>
      <c r="N940" s="40"/>
    </row>
    <row r="941" spans="12:14" ht="15.75" customHeight="1" x14ac:dyDescent="0.25">
      <c r="L941" s="40"/>
      <c r="N941" s="40"/>
    </row>
    <row r="942" spans="12:14" ht="15.75" customHeight="1" x14ac:dyDescent="0.25">
      <c r="L942" s="40"/>
      <c r="N942" s="40"/>
    </row>
    <row r="943" spans="12:14" ht="15.75" customHeight="1" x14ac:dyDescent="0.25">
      <c r="L943" s="40"/>
      <c r="N943" s="40"/>
    </row>
    <row r="944" spans="12:14" ht="15.75" customHeight="1" x14ac:dyDescent="0.25">
      <c r="L944" s="40"/>
      <c r="N944" s="40"/>
    </row>
    <row r="945" spans="12:14" ht="15.75" customHeight="1" x14ac:dyDescent="0.25">
      <c r="L945" s="40"/>
      <c r="N945" s="40"/>
    </row>
    <row r="946" spans="12:14" ht="15.75" customHeight="1" x14ac:dyDescent="0.25">
      <c r="L946" s="40"/>
      <c r="N946" s="40"/>
    </row>
    <row r="947" spans="12:14" ht="15.75" customHeight="1" x14ac:dyDescent="0.25">
      <c r="L947" s="40"/>
      <c r="N947" s="40"/>
    </row>
    <row r="948" spans="12:14" ht="15.75" customHeight="1" x14ac:dyDescent="0.25">
      <c r="L948" s="40"/>
      <c r="N948" s="40"/>
    </row>
    <row r="949" spans="12:14" ht="15.75" customHeight="1" x14ac:dyDescent="0.25">
      <c r="L949" s="40"/>
      <c r="N949" s="40"/>
    </row>
    <row r="950" spans="12:14" ht="15.75" customHeight="1" x14ac:dyDescent="0.25">
      <c r="L950" s="40"/>
      <c r="N950" s="40"/>
    </row>
    <row r="951" spans="12:14" ht="15.75" customHeight="1" x14ac:dyDescent="0.25">
      <c r="L951" s="40"/>
      <c r="N951" s="40"/>
    </row>
    <row r="952" spans="12:14" ht="15.75" customHeight="1" x14ac:dyDescent="0.25">
      <c r="L952" s="40"/>
      <c r="N952" s="40"/>
    </row>
    <row r="953" spans="12:14" ht="15.75" customHeight="1" x14ac:dyDescent="0.25">
      <c r="L953" s="40"/>
      <c r="N953" s="40"/>
    </row>
    <row r="954" spans="12:14" ht="15.75" customHeight="1" x14ac:dyDescent="0.25">
      <c r="L954" s="40"/>
      <c r="N954" s="40"/>
    </row>
    <row r="955" spans="12:14" ht="15.75" customHeight="1" x14ac:dyDescent="0.25">
      <c r="L955" s="40"/>
      <c r="N955" s="40"/>
    </row>
    <row r="956" spans="12:14" ht="15.75" customHeight="1" x14ac:dyDescent="0.25">
      <c r="L956" s="40"/>
      <c r="N956" s="40"/>
    </row>
    <row r="957" spans="12:14" ht="15.75" customHeight="1" x14ac:dyDescent="0.25">
      <c r="L957" s="40"/>
      <c r="N957" s="40"/>
    </row>
    <row r="958" spans="12:14" ht="15.75" customHeight="1" x14ac:dyDescent="0.25">
      <c r="L958" s="40"/>
      <c r="N958" s="40"/>
    </row>
    <row r="959" spans="12:14" ht="15.75" customHeight="1" x14ac:dyDescent="0.25">
      <c r="L959" s="40"/>
      <c r="N959" s="40"/>
    </row>
    <row r="960" spans="12:14" ht="15.75" customHeight="1" x14ac:dyDescent="0.25">
      <c r="L960" s="40"/>
      <c r="N960" s="40"/>
    </row>
    <row r="961" spans="12:14" ht="15.75" customHeight="1" x14ac:dyDescent="0.25">
      <c r="L961" s="40"/>
      <c r="N961" s="40"/>
    </row>
    <row r="962" spans="12:14" ht="15.75" customHeight="1" x14ac:dyDescent="0.25">
      <c r="L962" s="40"/>
      <c r="N962" s="40"/>
    </row>
    <row r="963" spans="12:14" ht="15.75" customHeight="1" x14ac:dyDescent="0.25">
      <c r="L963" s="40"/>
      <c r="N963" s="40"/>
    </row>
    <row r="964" spans="12:14" ht="15.75" customHeight="1" x14ac:dyDescent="0.25">
      <c r="L964" s="40"/>
      <c r="N964" s="40"/>
    </row>
    <row r="965" spans="12:14" ht="15.75" customHeight="1" x14ac:dyDescent="0.25">
      <c r="L965" s="40"/>
      <c r="N965" s="40"/>
    </row>
    <row r="966" spans="12:14" ht="15.75" customHeight="1" x14ac:dyDescent="0.25">
      <c r="L966" s="40"/>
      <c r="N966" s="40"/>
    </row>
    <row r="967" spans="12:14" ht="15.75" customHeight="1" x14ac:dyDescent="0.25">
      <c r="L967" s="40"/>
      <c r="N967" s="40"/>
    </row>
    <row r="968" spans="12:14" ht="15.75" customHeight="1" x14ac:dyDescent="0.25">
      <c r="L968" s="40"/>
      <c r="N968" s="40"/>
    </row>
    <row r="969" spans="12:14" ht="15.75" customHeight="1" x14ac:dyDescent="0.25">
      <c r="L969" s="40"/>
      <c r="N969" s="40"/>
    </row>
    <row r="970" spans="12:14" ht="15.75" customHeight="1" x14ac:dyDescent="0.25">
      <c r="L970" s="40"/>
      <c r="N970" s="40"/>
    </row>
    <row r="971" spans="12:14" ht="15.75" customHeight="1" x14ac:dyDescent="0.25">
      <c r="L971" s="40"/>
      <c r="N971" s="40"/>
    </row>
    <row r="972" spans="12:14" ht="15.75" customHeight="1" x14ac:dyDescent="0.25">
      <c r="L972" s="40"/>
      <c r="N972" s="40"/>
    </row>
    <row r="973" spans="12:14" ht="15.75" customHeight="1" x14ac:dyDescent="0.25">
      <c r="L973" s="40"/>
      <c r="N973" s="40"/>
    </row>
    <row r="974" spans="12:14" ht="15.75" customHeight="1" x14ac:dyDescent="0.25">
      <c r="L974" s="40"/>
      <c r="N974" s="40"/>
    </row>
    <row r="975" spans="12:14" ht="15.75" customHeight="1" x14ac:dyDescent="0.25">
      <c r="L975" s="40"/>
      <c r="N975" s="40"/>
    </row>
    <row r="976" spans="12:14" ht="15.75" customHeight="1" x14ac:dyDescent="0.25">
      <c r="L976" s="40"/>
      <c r="N976" s="40"/>
    </row>
    <row r="977" spans="12:14" ht="15.75" customHeight="1" x14ac:dyDescent="0.25">
      <c r="L977" s="40"/>
      <c r="N977" s="40"/>
    </row>
    <row r="978" spans="12:14" ht="15.75" customHeight="1" x14ac:dyDescent="0.25">
      <c r="L978" s="40"/>
      <c r="N978" s="40"/>
    </row>
    <row r="979" spans="12:14" ht="15.75" customHeight="1" x14ac:dyDescent="0.25">
      <c r="L979" s="40"/>
      <c r="N979" s="40"/>
    </row>
    <row r="980" spans="12:14" ht="15.75" customHeight="1" x14ac:dyDescent="0.25">
      <c r="L980" s="40"/>
      <c r="N980" s="40"/>
    </row>
    <row r="981" spans="12:14" ht="15.75" customHeight="1" x14ac:dyDescent="0.25">
      <c r="L981" s="40"/>
      <c r="N981" s="40"/>
    </row>
    <row r="982" spans="12:14" ht="15.75" customHeight="1" x14ac:dyDescent="0.25">
      <c r="L982" s="40"/>
      <c r="N982" s="40"/>
    </row>
    <row r="983" spans="12:14" ht="15.75" customHeight="1" x14ac:dyDescent="0.25">
      <c r="L983" s="40"/>
      <c r="N983" s="40"/>
    </row>
    <row r="984" spans="12:14" ht="15.75" customHeight="1" x14ac:dyDescent="0.25">
      <c r="L984" s="40"/>
      <c r="N984" s="40"/>
    </row>
    <row r="985" spans="12:14" ht="15.75" customHeight="1" x14ac:dyDescent="0.25">
      <c r="L985" s="40"/>
      <c r="N985" s="40"/>
    </row>
    <row r="986" spans="12:14" ht="15.75" customHeight="1" x14ac:dyDescent="0.25">
      <c r="L986" s="40"/>
      <c r="N986" s="40"/>
    </row>
    <row r="987" spans="12:14" ht="15.75" customHeight="1" x14ac:dyDescent="0.25">
      <c r="L987" s="40"/>
      <c r="N987" s="40"/>
    </row>
    <row r="988" spans="12:14" ht="15.75" customHeight="1" x14ac:dyDescent="0.25">
      <c r="L988" s="40"/>
      <c r="N988" s="40"/>
    </row>
    <row r="989" spans="12:14" ht="15.75" customHeight="1" x14ac:dyDescent="0.25">
      <c r="L989" s="40"/>
      <c r="N989" s="40"/>
    </row>
    <row r="990" spans="12:14" ht="15.75" customHeight="1" x14ac:dyDescent="0.25">
      <c r="L990" s="40"/>
      <c r="N990" s="40"/>
    </row>
    <row r="991" spans="12:14" ht="15.75" customHeight="1" x14ac:dyDescent="0.25">
      <c r="L991" s="40"/>
      <c r="N991" s="40"/>
    </row>
    <row r="992" spans="12:14" ht="15.75" customHeight="1" x14ac:dyDescent="0.25">
      <c r="L992" s="40"/>
      <c r="N992" s="40"/>
    </row>
    <row r="993" spans="12:14" ht="15.75" customHeight="1" x14ac:dyDescent="0.25">
      <c r="L993" s="40"/>
      <c r="N993" s="40"/>
    </row>
    <row r="994" spans="12:14" ht="15.75" customHeight="1" x14ac:dyDescent="0.25">
      <c r="L994" s="40"/>
      <c r="N994" s="40"/>
    </row>
    <row r="995" spans="12:14" ht="15.75" customHeight="1" x14ac:dyDescent="0.25">
      <c r="L995" s="40"/>
      <c r="N995" s="40"/>
    </row>
    <row r="996" spans="12:14" ht="15.75" customHeight="1" x14ac:dyDescent="0.25">
      <c r="L996" s="40"/>
      <c r="N996" s="40"/>
    </row>
    <row r="997" spans="12:14" ht="15.75" customHeight="1" x14ac:dyDescent="0.25">
      <c r="L997" s="40"/>
      <c r="N997" s="40"/>
    </row>
    <row r="998" spans="12:14" ht="15.75" customHeight="1" x14ac:dyDescent="0.25">
      <c r="L998" s="40"/>
      <c r="N998" s="40"/>
    </row>
    <row r="999" spans="12:14" ht="15.75" customHeight="1" x14ac:dyDescent="0.25">
      <c r="L999" s="40"/>
      <c r="N999" s="40"/>
    </row>
    <row r="1000" spans="12:14" ht="15.75" customHeight="1" x14ac:dyDescent="0.25">
      <c r="L1000" s="40"/>
      <c r="N1000" s="40"/>
    </row>
    <row r="1001" spans="12:14" ht="15.75" customHeight="1" x14ac:dyDescent="0.25">
      <c r="L1001" s="40"/>
      <c r="N1001" s="40"/>
    </row>
    <row r="1002" spans="12:14" ht="15.75" customHeight="1" x14ac:dyDescent="0.25">
      <c r="L1002" s="40"/>
      <c r="N1002" s="40"/>
    </row>
    <row r="1003" spans="12:14" ht="15.75" customHeight="1" x14ac:dyDescent="0.25">
      <c r="L1003" s="40"/>
      <c r="N1003" s="40"/>
    </row>
    <row r="1004" spans="12:14" ht="15.75" customHeight="1" x14ac:dyDescent="0.25">
      <c r="L1004" s="40"/>
      <c r="N1004" s="40"/>
    </row>
    <row r="1005" spans="12:14" ht="15.75" customHeight="1" x14ac:dyDescent="0.25">
      <c r="L1005" s="40"/>
      <c r="N1005" s="40"/>
    </row>
    <row r="1006" spans="12:14" ht="15.75" customHeight="1" x14ac:dyDescent="0.25">
      <c r="L1006" s="40"/>
      <c r="N1006" s="40"/>
    </row>
    <row r="1007" spans="12:14" ht="15.75" customHeight="1" x14ac:dyDescent="0.25">
      <c r="L1007" s="40"/>
      <c r="N1007" s="40"/>
    </row>
    <row r="1008" spans="12:14" ht="15.75" customHeight="1" x14ac:dyDescent="0.25">
      <c r="L1008" s="40"/>
      <c r="N1008" s="40"/>
    </row>
    <row r="1009" spans="12:14" ht="15.75" customHeight="1" x14ac:dyDescent="0.25">
      <c r="L1009" s="40"/>
      <c r="N1009" s="40"/>
    </row>
    <row r="1010" spans="12:14" ht="15.75" customHeight="1" x14ac:dyDescent="0.25">
      <c r="L1010" s="40"/>
      <c r="N1010" s="40"/>
    </row>
    <row r="1011" spans="12:14" ht="15.75" customHeight="1" x14ac:dyDescent="0.25">
      <c r="L1011" s="40"/>
      <c r="N1011" s="40"/>
    </row>
    <row r="1012" spans="12:14" ht="15.75" customHeight="1" x14ac:dyDescent="0.25">
      <c r="L1012" s="40"/>
      <c r="N1012" s="40"/>
    </row>
    <row r="1013" spans="12:14" ht="15.75" customHeight="1" x14ac:dyDescent="0.25">
      <c r="L1013" s="40"/>
      <c r="N1013" s="40"/>
    </row>
    <row r="1014" spans="12:14" ht="15.75" customHeight="1" x14ac:dyDescent="0.25">
      <c r="L1014" s="40"/>
      <c r="N1014" s="40"/>
    </row>
    <row r="1015" spans="12:14" ht="15.75" customHeight="1" x14ac:dyDescent="0.25">
      <c r="L1015" s="40"/>
      <c r="N1015" s="40"/>
    </row>
    <row r="1016" spans="12:14" ht="15.75" customHeight="1" x14ac:dyDescent="0.25">
      <c r="L1016" s="40"/>
      <c r="N1016" s="40"/>
    </row>
    <row r="1017" spans="12:14" ht="15.75" customHeight="1" x14ac:dyDescent="0.25">
      <c r="L1017" s="40"/>
      <c r="N1017" s="40"/>
    </row>
    <row r="1018" spans="12:14" ht="15.75" customHeight="1" x14ac:dyDescent="0.25">
      <c r="L1018" s="40"/>
      <c r="N1018" s="40"/>
    </row>
    <row r="1019" spans="12:14" ht="15.75" customHeight="1" x14ac:dyDescent="0.25">
      <c r="L1019" s="40"/>
      <c r="N1019" s="40"/>
    </row>
    <row r="1020" spans="12:14" ht="15.75" customHeight="1" x14ac:dyDescent="0.25">
      <c r="L1020" s="40"/>
      <c r="N1020" s="40"/>
    </row>
    <row r="1021" spans="12:14" ht="15.75" customHeight="1" x14ac:dyDescent="0.25">
      <c r="L1021" s="40"/>
      <c r="N1021" s="40"/>
    </row>
    <row r="1022" spans="12:14" ht="15.75" customHeight="1" x14ac:dyDescent="0.25">
      <c r="L1022" s="40"/>
      <c r="N1022" s="40"/>
    </row>
    <row r="1023" spans="12:14" ht="15.75" customHeight="1" x14ac:dyDescent="0.25">
      <c r="L1023" s="40"/>
      <c r="N1023" s="40"/>
    </row>
    <row r="1024" spans="12:14" ht="15.75" customHeight="1" x14ac:dyDescent="0.25">
      <c r="L1024" s="40"/>
      <c r="N1024" s="40"/>
    </row>
    <row r="1025" spans="12:14" ht="15.75" customHeight="1" x14ac:dyDescent="0.25">
      <c r="L1025" s="40"/>
      <c r="N1025" s="40"/>
    </row>
    <row r="1026" spans="12:14" ht="15.75" customHeight="1" x14ac:dyDescent="0.25">
      <c r="L1026" s="40"/>
      <c r="N1026" s="40"/>
    </row>
    <row r="1027" spans="12:14" ht="15.75" customHeight="1" x14ac:dyDescent="0.25">
      <c r="L1027" s="40"/>
      <c r="N1027" s="40"/>
    </row>
    <row r="1028" spans="12:14" ht="15.75" customHeight="1" x14ac:dyDescent="0.25">
      <c r="L1028" s="40"/>
      <c r="N1028" s="40"/>
    </row>
    <row r="1029" spans="12:14" ht="15.75" customHeight="1" x14ac:dyDescent="0.25">
      <c r="L1029" s="40"/>
      <c r="N1029" s="40"/>
    </row>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5"/>
  <sheetViews>
    <sheetView view="pageBreakPreview" zoomScale="115" zoomScaleNormal="100" zoomScaleSheetLayoutView="115" workbookViewId="0">
      <selection activeCell="A46" sqref="A46"/>
    </sheetView>
  </sheetViews>
  <sheetFormatPr defaultColWidth="14.42578125" defaultRowHeight="15" customHeight="1" x14ac:dyDescent="0.25"/>
  <cols>
    <col min="1" max="1" width="75.85546875" customWidth="1"/>
    <col min="2" max="2" width="16.28515625" customWidth="1"/>
    <col min="3" max="6" width="17.85546875" hidden="1" customWidth="1"/>
    <col min="7" max="7" width="17.85546875" customWidth="1"/>
    <col min="8" max="9" width="15.28515625" customWidth="1"/>
    <col min="10"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752</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75" customHeight="1" x14ac:dyDescent="0.25">
      <c r="A13" s="9" t="s">
        <v>364</v>
      </c>
      <c r="B13" s="38"/>
      <c r="C13" s="42"/>
      <c r="D13" s="42"/>
      <c r="E13" s="42"/>
      <c r="F13" s="42"/>
      <c r="G13" s="37"/>
      <c r="K13" s="40"/>
    </row>
    <row r="14" spans="1:26" ht="15.75" customHeight="1" x14ac:dyDescent="0.25">
      <c r="A14" s="17" t="s">
        <v>622</v>
      </c>
      <c r="B14" s="41"/>
      <c r="C14" s="42"/>
      <c r="D14" s="42"/>
      <c r="E14" s="42"/>
      <c r="F14" s="42"/>
      <c r="G14" s="42"/>
      <c r="K14" s="40"/>
    </row>
    <row r="15" spans="1:26" ht="15.75" customHeight="1" x14ac:dyDescent="0.25">
      <c r="A15" s="17" t="s">
        <v>366</v>
      </c>
      <c r="B15" s="41"/>
      <c r="C15" s="42"/>
      <c r="D15" s="42"/>
      <c r="E15" s="42"/>
      <c r="F15" s="19"/>
      <c r="G15" s="19"/>
      <c r="K15" s="40"/>
    </row>
    <row r="16" spans="1:26" ht="15.75" customHeight="1" x14ac:dyDescent="0.25">
      <c r="A16" s="44" t="s">
        <v>367</v>
      </c>
      <c r="B16" s="41" t="s">
        <v>121</v>
      </c>
      <c r="C16" s="43">
        <v>1365350.33</v>
      </c>
      <c r="D16" s="43">
        <v>914594.57</v>
      </c>
      <c r="E16" s="45">
        <f>F16-D16</f>
        <v>1509105.4300000002</v>
      </c>
      <c r="F16" s="43">
        <v>2423700</v>
      </c>
      <c r="G16" s="43">
        <v>2530488</v>
      </c>
      <c r="H16" s="43"/>
      <c r="I16" s="7"/>
      <c r="K16" s="40"/>
    </row>
    <row r="17" spans="1:11" ht="15.75" customHeight="1" x14ac:dyDescent="0.25">
      <c r="A17" s="17" t="s">
        <v>368</v>
      </c>
      <c r="B17" s="41"/>
      <c r="C17" s="46"/>
      <c r="D17" s="46"/>
      <c r="E17" s="45"/>
      <c r="F17" s="43"/>
      <c r="G17" s="43"/>
      <c r="K17" s="40"/>
    </row>
    <row r="18" spans="1:11" ht="15.75" customHeight="1" x14ac:dyDescent="0.25">
      <c r="A18" s="44" t="s">
        <v>369</v>
      </c>
      <c r="B18" s="41" t="s">
        <v>125</v>
      </c>
      <c r="C18" s="43">
        <v>53612.9</v>
      </c>
      <c r="D18" s="43">
        <v>36000</v>
      </c>
      <c r="E18" s="45">
        <f t="shared" ref="E18:E21" si="0">F18-D18</f>
        <v>84000</v>
      </c>
      <c r="F18" s="43">
        <v>120000</v>
      </c>
      <c r="G18" s="43">
        <v>120000</v>
      </c>
      <c r="I18" s="7"/>
      <c r="K18" s="40"/>
    </row>
    <row r="19" spans="1:11" ht="15.75" customHeight="1" x14ac:dyDescent="0.25">
      <c r="A19" s="44" t="s">
        <v>373</v>
      </c>
      <c r="B19" s="41" t="s">
        <v>131</v>
      </c>
      <c r="C19" s="43">
        <v>14000</v>
      </c>
      <c r="D19" s="43">
        <v>21000</v>
      </c>
      <c r="E19" s="45">
        <f t="shared" si="0"/>
        <v>14000</v>
      </c>
      <c r="F19" s="43">
        <v>35000</v>
      </c>
      <c r="G19" s="43">
        <v>35000</v>
      </c>
      <c r="I19" s="7"/>
      <c r="K19" s="40"/>
    </row>
    <row r="20" spans="1:11" ht="15.75" customHeight="1" x14ac:dyDescent="0.25">
      <c r="A20" s="44" t="s">
        <v>374</v>
      </c>
      <c r="B20" s="41" t="s">
        <v>151</v>
      </c>
      <c r="C20" s="43">
        <v>130959</v>
      </c>
      <c r="D20" s="43">
        <v>0</v>
      </c>
      <c r="E20" s="45">
        <f t="shared" si="0"/>
        <v>201975</v>
      </c>
      <c r="F20" s="43">
        <v>201975</v>
      </c>
      <c r="G20" s="43">
        <v>210874</v>
      </c>
      <c r="I20" s="7"/>
      <c r="K20" s="40"/>
    </row>
    <row r="21" spans="1:11" ht="15.75" customHeight="1" x14ac:dyDescent="0.25">
      <c r="A21" s="44" t="s">
        <v>375</v>
      </c>
      <c r="B21" s="41" t="s">
        <v>153</v>
      </c>
      <c r="C21" s="43">
        <v>10500</v>
      </c>
      <c r="D21" s="43">
        <v>0</v>
      </c>
      <c r="E21" s="45">
        <f t="shared" si="0"/>
        <v>25000</v>
      </c>
      <c r="F21" s="43">
        <v>25000</v>
      </c>
      <c r="G21" s="43">
        <v>25000</v>
      </c>
      <c r="I21" s="7"/>
      <c r="K21" s="40"/>
    </row>
    <row r="22" spans="1:11" ht="15.75" customHeight="1" x14ac:dyDescent="0.25">
      <c r="A22" s="17" t="s">
        <v>753</v>
      </c>
      <c r="B22" s="41" t="s">
        <v>155</v>
      </c>
      <c r="C22" s="46"/>
      <c r="D22" s="46"/>
      <c r="E22" s="45"/>
      <c r="F22" s="43"/>
      <c r="G22" s="43"/>
      <c r="I22" s="7"/>
      <c r="K22" s="40"/>
    </row>
    <row r="23" spans="1:11" ht="15.75" customHeight="1" x14ac:dyDescent="0.25">
      <c r="A23" s="44" t="s">
        <v>623</v>
      </c>
      <c r="B23" s="41" t="s">
        <v>157</v>
      </c>
      <c r="C23" s="43">
        <v>0</v>
      </c>
      <c r="D23" s="43">
        <v>0</v>
      </c>
      <c r="E23" s="45">
        <f t="shared" ref="E23:E25" si="1">F23-D23</f>
        <v>5000</v>
      </c>
      <c r="F23" s="43">
        <v>5000</v>
      </c>
      <c r="G23" s="43">
        <v>0</v>
      </c>
      <c r="I23" s="7"/>
      <c r="K23" s="40"/>
    </row>
    <row r="24" spans="1:11" ht="15.75" customHeight="1" x14ac:dyDescent="0.25">
      <c r="A24" s="44" t="s">
        <v>378</v>
      </c>
      <c r="B24" s="41" t="s">
        <v>159</v>
      </c>
      <c r="C24" s="43">
        <v>0</v>
      </c>
      <c r="D24" s="43">
        <v>6000</v>
      </c>
      <c r="E24" s="45">
        <f t="shared" si="1"/>
        <v>9000</v>
      </c>
      <c r="F24" s="43">
        <v>15000</v>
      </c>
      <c r="G24" s="43">
        <v>0</v>
      </c>
      <c r="I24" s="7"/>
      <c r="K24" s="40"/>
    </row>
    <row r="25" spans="1:11" ht="15.75" customHeight="1" x14ac:dyDescent="0.25">
      <c r="A25" s="44" t="s">
        <v>379</v>
      </c>
      <c r="B25" s="41" t="s">
        <v>161</v>
      </c>
      <c r="C25" s="43">
        <v>100661</v>
      </c>
      <c r="D25" s="43">
        <v>152645</v>
      </c>
      <c r="E25" s="45">
        <f t="shared" si="1"/>
        <v>49330</v>
      </c>
      <c r="F25" s="43">
        <v>201975</v>
      </c>
      <c r="G25" s="43">
        <v>210874</v>
      </c>
      <c r="I25" s="7"/>
      <c r="K25" s="40"/>
    </row>
    <row r="26" spans="1:11" ht="15.75" customHeight="1" x14ac:dyDescent="0.25">
      <c r="A26" s="17" t="s">
        <v>380</v>
      </c>
      <c r="B26" s="41"/>
      <c r="C26" s="46"/>
      <c r="D26" s="46"/>
      <c r="E26" s="45"/>
      <c r="F26" s="43"/>
      <c r="G26" s="43"/>
      <c r="I26" s="7"/>
      <c r="K26" s="40"/>
    </row>
    <row r="27" spans="1:11" ht="15.75" customHeight="1" x14ac:dyDescent="0.25">
      <c r="A27" s="44" t="s">
        <v>381</v>
      </c>
      <c r="B27" s="41" t="s">
        <v>165</v>
      </c>
      <c r="C27" s="43">
        <v>163842.04</v>
      </c>
      <c r="D27" s="43">
        <v>109751.35</v>
      </c>
      <c r="E27" s="45">
        <f t="shared" ref="E27:E30" si="2">F27-D27</f>
        <v>181092.65</v>
      </c>
      <c r="F27" s="43">
        <v>290844</v>
      </c>
      <c r="G27" s="43">
        <v>303659</v>
      </c>
      <c r="I27" s="7"/>
      <c r="K27" s="40"/>
    </row>
    <row r="28" spans="1:11" ht="15.75" customHeight="1" x14ac:dyDescent="0.25">
      <c r="A28" s="44" t="s">
        <v>382</v>
      </c>
      <c r="B28" s="41" t="s">
        <v>167</v>
      </c>
      <c r="C28" s="43">
        <v>27307</v>
      </c>
      <c r="D28" s="43">
        <v>18291.89</v>
      </c>
      <c r="E28" s="45">
        <f t="shared" si="2"/>
        <v>30182.11</v>
      </c>
      <c r="F28" s="43">
        <v>48474</v>
      </c>
      <c r="G28" s="43">
        <v>50610</v>
      </c>
      <c r="I28" s="7"/>
      <c r="K28" s="40"/>
    </row>
    <row r="29" spans="1:11" ht="15.75" customHeight="1" x14ac:dyDescent="0.25">
      <c r="A29" s="44" t="s">
        <v>383</v>
      </c>
      <c r="B29" s="41" t="s">
        <v>169</v>
      </c>
      <c r="C29" s="43">
        <v>34133.82</v>
      </c>
      <c r="D29" s="43">
        <v>22864.9</v>
      </c>
      <c r="E29" s="45">
        <f t="shared" si="2"/>
        <v>37730.1</v>
      </c>
      <c r="F29" s="43">
        <v>60595</v>
      </c>
      <c r="G29" s="43">
        <v>63265</v>
      </c>
      <c r="I29" s="7"/>
      <c r="K29" s="40"/>
    </row>
    <row r="30" spans="1:11" ht="15.75" customHeight="1" x14ac:dyDescent="0.25">
      <c r="A30" s="44" t="s">
        <v>384</v>
      </c>
      <c r="B30" s="41" t="s">
        <v>171</v>
      </c>
      <c r="C30" s="43">
        <v>2700</v>
      </c>
      <c r="D30" s="43">
        <v>1800</v>
      </c>
      <c r="E30" s="45">
        <f t="shared" si="2"/>
        <v>4200</v>
      </c>
      <c r="F30" s="43">
        <v>6000</v>
      </c>
      <c r="G30" s="43">
        <v>6000</v>
      </c>
      <c r="I30" s="7"/>
      <c r="K30" s="40"/>
    </row>
    <row r="31" spans="1:11" ht="15.75" customHeight="1" x14ac:dyDescent="0.25">
      <c r="A31" s="17" t="s">
        <v>624</v>
      </c>
      <c r="B31" s="41"/>
      <c r="C31" s="46"/>
      <c r="D31" s="46"/>
      <c r="E31" s="45"/>
      <c r="F31" s="43"/>
      <c r="G31" s="43"/>
      <c r="I31" s="7"/>
      <c r="K31" s="40"/>
    </row>
    <row r="32" spans="1:11" ht="15.75" customHeight="1" x14ac:dyDescent="0.25">
      <c r="A32" s="44" t="s">
        <v>387</v>
      </c>
      <c r="B32" s="41" t="s">
        <v>181</v>
      </c>
      <c r="C32" s="43">
        <v>13012.03</v>
      </c>
      <c r="D32" s="43">
        <v>25962.85</v>
      </c>
      <c r="E32" s="45">
        <f t="shared" ref="E32:E33" si="3">F32-D32</f>
        <v>71375.149999999994</v>
      </c>
      <c r="F32" s="43">
        <v>97338</v>
      </c>
      <c r="G32" s="43">
        <v>101626</v>
      </c>
      <c r="I32" s="7"/>
      <c r="K32" s="40"/>
    </row>
    <row r="33" spans="1:11" ht="15.75" customHeight="1" x14ac:dyDescent="0.25">
      <c r="A33" s="44" t="s">
        <v>388</v>
      </c>
      <c r="B33" s="41" t="s">
        <v>183</v>
      </c>
      <c r="C33" s="43">
        <v>11500</v>
      </c>
      <c r="D33" s="43">
        <v>0</v>
      </c>
      <c r="E33" s="45">
        <f t="shared" si="3"/>
        <v>25000</v>
      </c>
      <c r="F33" s="43">
        <v>25000</v>
      </c>
      <c r="G33" s="43">
        <v>25000</v>
      </c>
      <c r="I33" s="7"/>
      <c r="K33" s="40"/>
    </row>
    <row r="34" spans="1:11" ht="31.5" x14ac:dyDescent="0.25">
      <c r="A34" s="88" t="s">
        <v>625</v>
      </c>
      <c r="B34" s="49"/>
      <c r="C34" s="45">
        <v>0</v>
      </c>
      <c r="D34" s="43">
        <v>0</v>
      </c>
      <c r="E34" s="45">
        <v>0</v>
      </c>
      <c r="F34" s="43">
        <v>0</v>
      </c>
      <c r="G34" s="43">
        <v>74431</v>
      </c>
      <c r="K34" s="40"/>
    </row>
    <row r="35" spans="1:11" ht="15.75" customHeight="1" x14ac:dyDescent="0.25">
      <c r="A35" s="42" t="s">
        <v>632</v>
      </c>
      <c r="B35" s="49"/>
      <c r="C35" s="79">
        <f t="shared" ref="C35:D35" si="4">SUM(C16:C34)</f>
        <v>1927578.12</v>
      </c>
      <c r="D35" s="54">
        <f t="shared" si="4"/>
        <v>1308910.5599999998</v>
      </c>
      <c r="E35" s="79">
        <f>F35-D35</f>
        <v>2246990.4400000004</v>
      </c>
      <c r="F35" s="54">
        <f t="shared" ref="F35:G35" si="5">SUM(F16:F34)</f>
        <v>3555901</v>
      </c>
      <c r="G35" s="54">
        <f t="shared" si="5"/>
        <v>3756827</v>
      </c>
      <c r="K35" s="40"/>
    </row>
    <row r="36" spans="1:11" ht="15.75" customHeight="1" x14ac:dyDescent="0.25">
      <c r="A36" s="42"/>
      <c r="B36" s="186"/>
      <c r="C36" s="81"/>
      <c r="D36" s="55"/>
      <c r="E36" s="45"/>
      <c r="F36" s="163"/>
      <c r="G36" s="55"/>
      <c r="H36" s="7"/>
      <c r="I36" s="7"/>
      <c r="K36" s="40"/>
    </row>
    <row r="37" spans="1:11" ht="15.75" customHeight="1" x14ac:dyDescent="0.25">
      <c r="A37" s="17" t="s">
        <v>626</v>
      </c>
      <c r="B37" s="172"/>
      <c r="C37" s="43"/>
      <c r="D37" s="43"/>
      <c r="E37" s="45"/>
      <c r="F37" s="43"/>
      <c r="G37" s="43"/>
      <c r="H37" s="7"/>
      <c r="K37" s="40"/>
    </row>
    <row r="38" spans="1:11" ht="13.5" customHeight="1" x14ac:dyDescent="0.25">
      <c r="A38" s="17" t="s">
        <v>627</v>
      </c>
      <c r="B38" s="41"/>
      <c r="C38" s="43"/>
      <c r="D38" s="43"/>
      <c r="E38" s="45"/>
      <c r="F38" s="43"/>
      <c r="G38" s="43"/>
      <c r="K38" s="40"/>
    </row>
    <row r="39" spans="1:11" ht="15.75" customHeight="1" x14ac:dyDescent="0.25">
      <c r="A39" s="460" t="s">
        <v>393</v>
      </c>
      <c r="B39" s="454" t="s">
        <v>187</v>
      </c>
      <c r="C39" s="443">
        <v>182383.86</v>
      </c>
      <c r="D39" s="443">
        <v>55232</v>
      </c>
      <c r="E39" s="443">
        <f>F39-D39</f>
        <v>144768</v>
      </c>
      <c r="F39" s="443">
        <v>200000</v>
      </c>
      <c r="G39" s="462">
        <v>250000</v>
      </c>
      <c r="H39" s="57">
        <v>250000</v>
      </c>
      <c r="K39" s="40"/>
    </row>
    <row r="40" spans="1:11" ht="15.75" customHeight="1" x14ac:dyDescent="0.25">
      <c r="A40" s="456" t="s">
        <v>493</v>
      </c>
      <c r="B40" s="454"/>
      <c r="C40" s="443"/>
      <c r="D40" s="443"/>
      <c r="E40" s="443"/>
      <c r="F40" s="443"/>
      <c r="G40" s="462"/>
      <c r="K40" s="40"/>
    </row>
    <row r="41" spans="1:11" ht="15.75" customHeight="1" x14ac:dyDescent="0.25">
      <c r="A41" s="460" t="s">
        <v>396</v>
      </c>
      <c r="B41" s="454" t="s">
        <v>191</v>
      </c>
      <c r="C41" s="443">
        <v>994071</v>
      </c>
      <c r="D41" s="443">
        <v>104416</v>
      </c>
      <c r="E41" s="443">
        <f>F41-D41</f>
        <v>1095584</v>
      </c>
      <c r="F41" s="443">
        <v>1200000</v>
      </c>
      <c r="G41" s="462">
        <f>929600+54400+216000</f>
        <v>1200000</v>
      </c>
      <c r="K41" s="40"/>
    </row>
    <row r="42" spans="1:11" ht="15.75" customHeight="1" x14ac:dyDescent="0.25">
      <c r="A42" s="96" t="s">
        <v>754</v>
      </c>
      <c r="B42" s="20"/>
      <c r="C42" s="56"/>
      <c r="D42" s="56"/>
      <c r="E42" s="56"/>
      <c r="F42" s="56"/>
      <c r="G42" s="438"/>
      <c r="H42" s="642">
        <v>929600</v>
      </c>
      <c r="K42" s="40"/>
    </row>
    <row r="43" spans="1:11" ht="31.5" x14ac:dyDescent="0.25">
      <c r="A43" s="295" t="s">
        <v>755</v>
      </c>
      <c r="B43" s="20"/>
      <c r="C43" s="56"/>
      <c r="D43" s="56"/>
      <c r="E43" s="56"/>
      <c r="F43" s="56"/>
      <c r="G43" s="438"/>
      <c r="H43" s="642">
        <v>54400</v>
      </c>
      <c r="K43" s="40"/>
    </row>
    <row r="44" spans="1:11" ht="15.75" customHeight="1" x14ac:dyDescent="0.25">
      <c r="A44" s="96" t="s">
        <v>756</v>
      </c>
      <c r="B44" s="20"/>
      <c r="C44" s="56"/>
      <c r="D44" s="56"/>
      <c r="E44" s="56"/>
      <c r="F44" s="56"/>
      <c r="G44" s="438"/>
      <c r="H44" s="642">
        <v>216000</v>
      </c>
      <c r="K44" s="40"/>
    </row>
    <row r="45" spans="1:11" ht="15.75" customHeight="1" x14ac:dyDescent="0.25">
      <c r="A45" s="42" t="s">
        <v>499</v>
      </c>
      <c r="B45" s="41"/>
      <c r="C45" s="43"/>
      <c r="D45" s="43"/>
      <c r="E45" s="45"/>
      <c r="F45" s="43"/>
      <c r="G45" s="438"/>
      <c r="H45" s="643"/>
      <c r="K45" s="40"/>
    </row>
    <row r="46" spans="1:11" ht="15.75" customHeight="1" x14ac:dyDescent="0.25">
      <c r="A46" s="44" t="s">
        <v>398</v>
      </c>
      <c r="B46" s="41" t="s">
        <v>195</v>
      </c>
      <c r="C46" s="45">
        <v>116480</v>
      </c>
      <c r="D46" s="45">
        <v>103489.67</v>
      </c>
      <c r="E46" s="45">
        <f t="shared" ref="E46:E49" si="6">F46-D46</f>
        <v>19388.330000000002</v>
      </c>
      <c r="F46" s="45">
        <v>122878</v>
      </c>
      <c r="G46" s="45">
        <v>114460</v>
      </c>
      <c r="H46" s="57">
        <v>114460</v>
      </c>
      <c r="K46" s="40"/>
    </row>
    <row r="47" spans="1:11" ht="15.75" customHeight="1" x14ac:dyDescent="0.25">
      <c r="A47" s="96" t="s">
        <v>400</v>
      </c>
      <c r="B47" s="41" t="s">
        <v>221</v>
      </c>
      <c r="C47" s="45">
        <v>0</v>
      </c>
      <c r="D47" s="45">
        <v>15385</v>
      </c>
      <c r="E47" s="45">
        <f t="shared" si="6"/>
        <v>15</v>
      </c>
      <c r="F47" s="45">
        <v>15400</v>
      </c>
      <c r="G47" s="45">
        <v>98800</v>
      </c>
      <c r="H47" s="57">
        <v>98800</v>
      </c>
      <c r="K47" s="40"/>
    </row>
    <row r="48" spans="1:11" ht="15.75" customHeight="1" x14ac:dyDescent="0.25">
      <c r="A48" s="96" t="s">
        <v>538</v>
      </c>
      <c r="B48" s="41" t="s">
        <v>223</v>
      </c>
      <c r="C48" s="45">
        <v>0</v>
      </c>
      <c r="D48" s="45">
        <v>14900</v>
      </c>
      <c r="E48" s="45">
        <f t="shared" si="6"/>
        <v>100</v>
      </c>
      <c r="F48" s="45">
        <v>15000</v>
      </c>
      <c r="G48" s="45">
        <v>30000</v>
      </c>
      <c r="H48" s="57">
        <v>30000</v>
      </c>
      <c r="K48" s="40"/>
    </row>
    <row r="49" spans="1:11" ht="15.75" customHeight="1" x14ac:dyDescent="0.25">
      <c r="A49" s="44" t="s">
        <v>402</v>
      </c>
      <c r="B49" s="41" t="s">
        <v>225</v>
      </c>
      <c r="C49" s="45">
        <v>173501</v>
      </c>
      <c r="D49" s="45">
        <v>104583</v>
      </c>
      <c r="E49" s="45">
        <f t="shared" si="6"/>
        <v>5865</v>
      </c>
      <c r="F49" s="45">
        <v>110448</v>
      </c>
      <c r="G49" s="45">
        <v>55935</v>
      </c>
      <c r="H49" s="57">
        <v>55935</v>
      </c>
      <c r="K49" s="40"/>
    </row>
    <row r="50" spans="1:11" ht="15.75" customHeight="1" x14ac:dyDescent="0.25">
      <c r="A50" s="17" t="s">
        <v>503</v>
      </c>
      <c r="B50" s="41"/>
      <c r="C50" s="45"/>
      <c r="D50" s="45"/>
      <c r="E50" s="45"/>
      <c r="F50" s="45"/>
      <c r="G50" s="45"/>
      <c r="K50" s="40"/>
    </row>
    <row r="51" spans="1:11" ht="15.75" customHeight="1" x14ac:dyDescent="0.25">
      <c r="A51" s="44" t="s">
        <v>643</v>
      </c>
      <c r="B51" s="41" t="s">
        <v>233</v>
      </c>
      <c r="C51" s="45">
        <v>21398.57</v>
      </c>
      <c r="D51" s="45">
        <v>10080.33</v>
      </c>
      <c r="E51" s="45">
        <f>F51-D51</f>
        <v>39919.67</v>
      </c>
      <c r="F51" s="45">
        <v>50000</v>
      </c>
      <c r="G51" s="45">
        <v>50000</v>
      </c>
      <c r="H51" s="57">
        <v>50000</v>
      </c>
      <c r="K51" s="40"/>
    </row>
    <row r="52" spans="1:11" ht="15.75" customHeight="1" x14ac:dyDescent="0.25">
      <c r="A52" s="44" t="s">
        <v>405</v>
      </c>
      <c r="B52" s="41" t="s">
        <v>237</v>
      </c>
      <c r="C52" s="45">
        <v>0</v>
      </c>
      <c r="D52" s="45">
        <v>0</v>
      </c>
      <c r="E52" s="45">
        <v>0</v>
      </c>
      <c r="F52" s="45">
        <v>0</v>
      </c>
      <c r="G52" s="45">
        <v>2000</v>
      </c>
      <c r="H52" s="57">
        <v>2000</v>
      </c>
      <c r="K52" s="40"/>
    </row>
    <row r="53" spans="1:11" ht="15.75" customHeight="1" x14ac:dyDescent="0.25">
      <c r="A53" s="44" t="s">
        <v>504</v>
      </c>
      <c r="B53" s="41" t="s">
        <v>237</v>
      </c>
      <c r="C53" s="45">
        <v>12000</v>
      </c>
      <c r="D53" s="45">
        <v>4000</v>
      </c>
      <c r="E53" s="45">
        <f>F53-D53</f>
        <v>8000</v>
      </c>
      <c r="F53" s="45">
        <v>12000</v>
      </c>
      <c r="G53" s="45">
        <v>12000</v>
      </c>
      <c r="H53" s="57">
        <v>12000</v>
      </c>
      <c r="K53" s="40"/>
    </row>
    <row r="54" spans="1:11" ht="15.75" customHeight="1" x14ac:dyDescent="0.25">
      <c r="A54" s="17" t="s">
        <v>511</v>
      </c>
      <c r="B54" s="41"/>
      <c r="C54" s="42"/>
      <c r="D54" s="42"/>
      <c r="E54" s="45"/>
      <c r="F54" s="43"/>
      <c r="G54" s="43"/>
      <c r="K54" s="40"/>
    </row>
    <row r="55" spans="1:11" ht="15.75" customHeight="1" x14ac:dyDescent="0.25">
      <c r="A55" s="610" t="s">
        <v>424</v>
      </c>
      <c r="B55" s="483" t="s">
        <v>335</v>
      </c>
      <c r="C55" s="457">
        <v>2482314.63</v>
      </c>
      <c r="D55" s="457">
        <v>1072792.94</v>
      </c>
      <c r="E55" s="452">
        <f>F55-D55</f>
        <v>1682672.06</v>
      </c>
      <c r="F55" s="457">
        <v>2755465</v>
      </c>
      <c r="G55" s="457">
        <f>480000+305125+1200000+3360+52540+50000+357984+178992+380160</f>
        <v>3008161</v>
      </c>
      <c r="K55" s="40"/>
    </row>
    <row r="56" spans="1:11" ht="15.75" customHeight="1" x14ac:dyDescent="0.25">
      <c r="A56" s="630" t="s">
        <v>757</v>
      </c>
      <c r="B56" s="601"/>
      <c r="C56" s="448"/>
      <c r="D56" s="448"/>
      <c r="E56" s="449"/>
      <c r="F56" s="448"/>
      <c r="G56" s="448"/>
      <c r="H56" s="99">
        <v>480000</v>
      </c>
      <c r="K56" s="40"/>
    </row>
    <row r="57" spans="1:11" ht="15.75" customHeight="1" x14ac:dyDescent="0.25">
      <c r="A57" s="96" t="s">
        <v>758</v>
      </c>
      <c r="B57" s="41"/>
      <c r="C57" s="43"/>
      <c r="D57" s="43"/>
      <c r="E57" s="45"/>
      <c r="F57" s="43"/>
      <c r="G57" s="43"/>
      <c r="H57" s="99">
        <v>305125</v>
      </c>
      <c r="K57" s="40"/>
    </row>
    <row r="58" spans="1:11" ht="15.75" customHeight="1" x14ac:dyDescent="0.25">
      <c r="A58" s="96" t="s">
        <v>759</v>
      </c>
      <c r="B58" s="41"/>
      <c r="C58" s="43"/>
      <c r="D58" s="43"/>
      <c r="E58" s="45"/>
      <c r="F58" s="43"/>
      <c r="G58" s="43"/>
      <c r="H58" s="99">
        <v>1200000</v>
      </c>
      <c r="K58" s="40"/>
    </row>
    <row r="59" spans="1:11" ht="15.75" customHeight="1" x14ac:dyDescent="0.25">
      <c r="A59" s="96" t="s">
        <v>760</v>
      </c>
      <c r="B59" s="41"/>
      <c r="C59" s="43"/>
      <c r="D59" s="43"/>
      <c r="E59" s="45"/>
      <c r="F59" s="43"/>
      <c r="G59" s="43"/>
      <c r="H59" s="99">
        <v>3360</v>
      </c>
      <c r="K59" s="40"/>
    </row>
    <row r="60" spans="1:11" ht="15.75" customHeight="1" x14ac:dyDescent="0.25">
      <c r="A60" s="96" t="s">
        <v>761</v>
      </c>
      <c r="B60" s="41"/>
      <c r="C60" s="43"/>
      <c r="D60" s="43"/>
      <c r="E60" s="45"/>
      <c r="F60" s="43"/>
      <c r="G60" s="43"/>
      <c r="H60" s="99">
        <v>52540</v>
      </c>
      <c r="K60" s="40"/>
    </row>
    <row r="61" spans="1:11" ht="15.75" customHeight="1" x14ac:dyDescent="0.25">
      <c r="A61" s="96" t="s">
        <v>762</v>
      </c>
      <c r="B61" s="41"/>
      <c r="C61" s="43"/>
      <c r="D61" s="43"/>
      <c r="E61" s="45"/>
      <c r="F61" s="43"/>
      <c r="G61" s="43"/>
      <c r="H61" s="99">
        <v>50000</v>
      </c>
      <c r="K61" s="40"/>
    </row>
    <row r="62" spans="1:11" ht="15.75" customHeight="1" x14ac:dyDescent="0.25">
      <c r="A62" s="96" t="s">
        <v>648</v>
      </c>
      <c r="B62" s="41"/>
      <c r="C62" s="43"/>
      <c r="D62" s="43"/>
      <c r="E62" s="45"/>
      <c r="F62" s="43"/>
      <c r="G62" s="43"/>
      <c r="H62" s="99"/>
      <c r="K62" s="40"/>
    </row>
    <row r="63" spans="1:11" ht="15.75" x14ac:dyDescent="0.25">
      <c r="A63" s="74" t="s">
        <v>763</v>
      </c>
      <c r="B63" s="41"/>
      <c r="C63" s="43"/>
      <c r="D63" s="43"/>
      <c r="E63" s="45"/>
      <c r="F63" s="43"/>
      <c r="G63" s="43"/>
      <c r="H63" s="99">
        <v>678</v>
      </c>
      <c r="I63" s="57">
        <f t="shared" ref="I63:I65" si="7">22*12</f>
        <v>264</v>
      </c>
      <c r="J63" s="57">
        <v>2</v>
      </c>
      <c r="K63" s="40">
        <f t="shared" ref="K63:K65" si="8">J63*I63*H63</f>
        <v>357984</v>
      </c>
    </row>
    <row r="64" spans="1:11" ht="31.5" x14ac:dyDescent="0.25">
      <c r="A64" s="90" t="s">
        <v>764</v>
      </c>
      <c r="B64" s="41"/>
      <c r="C64" s="43"/>
      <c r="D64" s="43"/>
      <c r="E64" s="45"/>
      <c r="F64" s="43"/>
      <c r="G64" s="43"/>
      <c r="H64" s="99">
        <v>678</v>
      </c>
      <c r="I64" s="57">
        <f t="shared" si="7"/>
        <v>264</v>
      </c>
      <c r="J64" s="57">
        <v>1</v>
      </c>
      <c r="K64" s="40">
        <f t="shared" si="8"/>
        <v>178992</v>
      </c>
    </row>
    <row r="65" spans="1:11" ht="47.25" x14ac:dyDescent="0.25">
      <c r="A65" s="90" t="s">
        <v>765</v>
      </c>
      <c r="B65" s="41"/>
      <c r="C65" s="43"/>
      <c r="D65" s="43"/>
      <c r="E65" s="45"/>
      <c r="F65" s="43"/>
      <c r="G65" s="43"/>
      <c r="H65" s="99">
        <v>720</v>
      </c>
      <c r="I65" s="57">
        <f t="shared" si="7"/>
        <v>264</v>
      </c>
      <c r="J65" s="57">
        <v>2</v>
      </c>
      <c r="K65" s="40">
        <f t="shared" si="8"/>
        <v>380160</v>
      </c>
    </row>
    <row r="66" spans="1:11" ht="15.75" customHeight="1" x14ac:dyDescent="0.25">
      <c r="A66" s="42" t="s">
        <v>466</v>
      </c>
      <c r="B66" s="41"/>
      <c r="C66" s="54">
        <f t="shared" ref="C66:D66" si="9">SUM(C39:C55)</f>
        <v>3982149.0599999996</v>
      </c>
      <c r="D66" s="54">
        <f t="shared" si="9"/>
        <v>1484878.94</v>
      </c>
      <c r="E66" s="54">
        <f>F66-D66</f>
        <v>2996312.06</v>
      </c>
      <c r="F66" s="54">
        <f>SUM(F39:F55)</f>
        <v>4481191</v>
      </c>
      <c r="G66" s="54">
        <f>SUM(G39:G55)</f>
        <v>4821356</v>
      </c>
      <c r="H66" s="99"/>
      <c r="K66" s="40"/>
    </row>
    <row r="67" spans="1:11" ht="15.75" customHeight="1" x14ac:dyDescent="0.25">
      <c r="A67" s="42"/>
      <c r="B67" s="41"/>
      <c r="C67" s="55"/>
      <c r="D67" s="55"/>
      <c r="E67" s="45"/>
      <c r="F67" s="55"/>
      <c r="G67" s="55"/>
      <c r="K67" s="40"/>
    </row>
    <row r="68" spans="1:11" ht="15.75" customHeight="1" x14ac:dyDescent="0.25">
      <c r="A68" s="17" t="s">
        <v>467</v>
      </c>
      <c r="B68" s="172"/>
      <c r="C68" s="43">
        <f t="shared" ref="C68:D68" si="10">C66+C35</f>
        <v>5909727.1799999997</v>
      </c>
      <c r="D68" s="43">
        <f t="shared" si="10"/>
        <v>2793789.5</v>
      </c>
      <c r="E68" s="45">
        <f>F68-D68</f>
        <v>5243302.5</v>
      </c>
      <c r="F68" s="43">
        <f t="shared" ref="F68:G68" si="11">F66+F35</f>
        <v>8037092</v>
      </c>
      <c r="G68" s="43">
        <f t="shared" si="11"/>
        <v>8578183</v>
      </c>
      <c r="K68" s="40"/>
    </row>
    <row r="69" spans="1:11" ht="15.75" customHeight="1" x14ac:dyDescent="0.25">
      <c r="A69" s="42" t="s">
        <v>766</v>
      </c>
      <c r="B69" s="172"/>
      <c r="C69" s="43"/>
      <c r="D69" s="45"/>
      <c r="E69" s="45"/>
      <c r="F69" s="45"/>
      <c r="G69" s="45"/>
      <c r="K69" s="40"/>
    </row>
    <row r="70" spans="1:11" ht="15.75" customHeight="1" x14ac:dyDescent="0.25">
      <c r="A70" s="640" t="s">
        <v>487</v>
      </c>
      <c r="B70" s="641" t="s">
        <v>488</v>
      </c>
      <c r="C70" s="634">
        <f t="shared" ref="C70:D70" si="12">C68</f>
        <v>5909727.1799999997</v>
      </c>
      <c r="D70" s="634">
        <f t="shared" si="12"/>
        <v>2793789.5</v>
      </c>
      <c r="E70" s="635">
        <f>F70-D70</f>
        <v>5243302.5</v>
      </c>
      <c r="F70" s="634">
        <f t="shared" ref="F70:G70" si="13">F68</f>
        <v>8037092</v>
      </c>
      <c r="G70" s="634">
        <f t="shared" si="13"/>
        <v>8578183</v>
      </c>
      <c r="K70" s="40"/>
    </row>
    <row r="71" spans="1:11" ht="15.75" customHeight="1" x14ac:dyDescent="0.25">
      <c r="A71" s="637"/>
      <c r="B71" s="638"/>
      <c r="C71" s="637"/>
      <c r="D71" s="637"/>
      <c r="E71" s="637"/>
      <c r="F71" s="637"/>
      <c r="G71" s="639"/>
      <c r="K71" s="40"/>
    </row>
    <row r="72" spans="1:11" ht="15.75" customHeight="1" x14ac:dyDescent="0.25">
      <c r="A72" s="24"/>
      <c r="B72" s="25"/>
      <c r="C72" s="24"/>
      <c r="D72" s="24"/>
      <c r="E72" s="24"/>
      <c r="F72" s="24"/>
      <c r="K72" s="40"/>
    </row>
    <row r="73" spans="1:11" ht="15.75" customHeight="1" x14ac:dyDescent="0.25">
      <c r="A73" s="24"/>
      <c r="B73" s="25"/>
      <c r="C73" s="24"/>
      <c r="D73" s="24"/>
      <c r="E73" s="24"/>
      <c r="F73" s="24"/>
      <c r="K73" s="40"/>
    </row>
    <row r="74" spans="1:11" ht="15.75" customHeight="1" x14ac:dyDescent="0.25">
      <c r="A74" s="24"/>
      <c r="B74" s="25"/>
      <c r="C74" s="24"/>
      <c r="D74" s="24"/>
      <c r="E74" s="24"/>
      <c r="F74" s="24"/>
      <c r="K74" s="40"/>
    </row>
    <row r="75" spans="1:11" ht="15.75" customHeight="1" x14ac:dyDescent="0.25">
      <c r="A75" s="24"/>
      <c r="B75" s="25"/>
      <c r="C75" s="24"/>
      <c r="D75" s="24"/>
      <c r="E75" s="24"/>
      <c r="F75" s="24"/>
      <c r="K75" s="40"/>
    </row>
    <row r="76" spans="1:11" ht="15.75" customHeight="1" x14ac:dyDescent="0.25">
      <c r="A76" s="24"/>
      <c r="B76" s="25"/>
      <c r="C76" s="24"/>
      <c r="D76" s="24"/>
      <c r="E76" s="24"/>
      <c r="F76" s="24"/>
      <c r="K76" s="40"/>
    </row>
    <row r="77" spans="1:11" ht="15.75" customHeight="1" x14ac:dyDescent="0.25">
      <c r="A77" s="24"/>
      <c r="B77" s="25"/>
      <c r="C77" s="24"/>
      <c r="D77" s="24"/>
      <c r="E77" s="24"/>
      <c r="F77" s="24"/>
      <c r="K77" s="40"/>
    </row>
    <row r="78" spans="1:11" ht="15.75" customHeight="1" x14ac:dyDescent="0.25">
      <c r="A78" s="24"/>
      <c r="B78" s="25"/>
      <c r="C78" s="24"/>
      <c r="D78" s="24"/>
      <c r="E78" s="24"/>
      <c r="F78" s="24"/>
      <c r="K78" s="40"/>
    </row>
    <row r="79" spans="1:11" ht="15.75" customHeight="1" x14ac:dyDescent="0.25">
      <c r="A79" s="17"/>
      <c r="B79" s="25"/>
      <c r="C79" s="24"/>
      <c r="D79" s="24"/>
      <c r="E79" s="24"/>
      <c r="F79" s="24"/>
      <c r="K79" s="40"/>
    </row>
    <row r="80" spans="1:11" ht="15.75" customHeight="1" x14ac:dyDescent="0.25">
      <c r="A80" s="17"/>
      <c r="B80" s="25"/>
      <c r="C80" s="24"/>
      <c r="D80" s="24"/>
      <c r="E80" s="24"/>
      <c r="F80" s="24"/>
      <c r="K80" s="40"/>
    </row>
    <row r="81" spans="1:11" ht="15.75" customHeight="1" x14ac:dyDescent="0.25">
      <c r="A81" s="17"/>
      <c r="B81" s="25"/>
      <c r="C81" s="24"/>
      <c r="D81" s="24"/>
      <c r="E81" s="24"/>
      <c r="F81" s="24"/>
      <c r="K81" s="40"/>
    </row>
    <row r="82" spans="1:11" ht="15.75" customHeight="1" x14ac:dyDescent="0.25">
      <c r="A82" s="17"/>
      <c r="B82" s="25"/>
      <c r="C82" s="24"/>
      <c r="D82" s="24"/>
      <c r="E82" s="24"/>
      <c r="F82" s="24"/>
      <c r="K82" s="40"/>
    </row>
    <row r="83" spans="1:11" ht="15.75" customHeight="1" x14ac:dyDescent="0.25">
      <c r="A83" s="17"/>
      <c r="B83" s="25"/>
      <c r="C83" s="24"/>
      <c r="D83" s="24"/>
      <c r="E83" s="24"/>
      <c r="F83" s="24"/>
      <c r="K83" s="40"/>
    </row>
    <row r="84" spans="1:11" ht="15.75" customHeight="1" x14ac:dyDescent="0.25">
      <c r="A84" s="17"/>
      <c r="B84" s="25"/>
      <c r="C84" s="24"/>
      <c r="D84" s="24"/>
      <c r="E84" s="24"/>
      <c r="F84" s="24"/>
      <c r="K84" s="40"/>
    </row>
    <row r="85" spans="1:11" ht="15.75" customHeight="1" x14ac:dyDescent="0.25">
      <c r="A85" s="17"/>
      <c r="B85" s="25"/>
      <c r="C85" s="24"/>
      <c r="D85" s="24"/>
      <c r="E85" s="24"/>
      <c r="F85" s="24"/>
      <c r="K85" s="40"/>
    </row>
    <row r="86" spans="1:11" ht="15.75" customHeight="1" x14ac:dyDescent="0.25">
      <c r="A86" s="17"/>
      <c r="B86" s="25"/>
      <c r="C86" s="24"/>
      <c r="D86" s="24"/>
      <c r="E86" s="24"/>
      <c r="F86" s="24"/>
      <c r="K86" s="40"/>
    </row>
    <row r="87" spans="1:11" ht="15.75" customHeight="1" x14ac:dyDescent="0.25">
      <c r="A87" s="17"/>
      <c r="B87" s="25"/>
      <c r="C87" s="24"/>
      <c r="D87" s="24"/>
      <c r="E87" s="24"/>
      <c r="F87" s="24"/>
      <c r="K87" s="40"/>
    </row>
    <row r="88" spans="1:11" ht="15.75" customHeight="1" x14ac:dyDescent="0.25">
      <c r="A88" s="17"/>
      <c r="B88" s="25"/>
      <c r="C88" s="24"/>
      <c r="D88" s="24"/>
      <c r="E88" s="24"/>
      <c r="F88" s="24"/>
      <c r="K88" s="40"/>
    </row>
    <row r="89" spans="1:11" ht="15.75" customHeight="1" x14ac:dyDescent="0.25">
      <c r="A89" s="17"/>
      <c r="B89" s="25"/>
      <c r="C89" s="24"/>
      <c r="D89" s="24"/>
      <c r="E89" s="24"/>
      <c r="F89" s="24"/>
      <c r="K89" s="40"/>
    </row>
    <row r="90" spans="1:11" ht="15.75" customHeight="1" x14ac:dyDescent="0.25">
      <c r="A90" s="17"/>
      <c r="B90" s="25"/>
      <c r="C90" s="24"/>
      <c r="D90" s="24"/>
      <c r="E90" s="24"/>
      <c r="F90" s="24"/>
      <c r="K90" s="40"/>
    </row>
    <row r="91" spans="1:11" ht="15.75" customHeight="1" x14ac:dyDescent="0.25">
      <c r="A91" s="17"/>
      <c r="B91" s="25"/>
      <c r="C91" s="24"/>
      <c r="D91" s="24"/>
      <c r="E91" s="24"/>
      <c r="F91" s="24"/>
      <c r="K91" s="40"/>
    </row>
    <row r="92" spans="1:11" ht="15.75" customHeight="1" x14ac:dyDescent="0.25">
      <c r="A92" s="17"/>
      <c r="B92" s="25"/>
      <c r="C92" s="24"/>
      <c r="D92" s="24"/>
      <c r="E92" s="24"/>
      <c r="F92" s="24"/>
      <c r="K92" s="40"/>
    </row>
    <row r="93" spans="1:11" ht="15.75" customHeight="1" x14ac:dyDescent="0.25">
      <c r="A93" s="17"/>
      <c r="B93" s="25"/>
      <c r="C93" s="24"/>
      <c r="D93" s="24"/>
      <c r="E93" s="24"/>
      <c r="F93" s="24"/>
      <c r="K93" s="40"/>
    </row>
    <row r="94" spans="1:11" ht="15.75" customHeight="1" x14ac:dyDescent="0.25">
      <c r="A94" s="17"/>
      <c r="B94" s="25"/>
      <c r="C94" s="24"/>
      <c r="D94" s="24"/>
      <c r="E94" s="24"/>
      <c r="F94" s="24"/>
      <c r="K94" s="40"/>
    </row>
    <row r="95" spans="1:11" ht="15.75" customHeight="1" x14ac:dyDescent="0.25">
      <c r="A95" s="17"/>
      <c r="B95" s="25"/>
      <c r="C95" s="24"/>
      <c r="D95" s="24"/>
      <c r="E95" s="24"/>
      <c r="F95" s="24"/>
      <c r="K95" s="40"/>
    </row>
    <row r="96" spans="1:11" ht="15.75" customHeight="1" x14ac:dyDescent="0.25">
      <c r="A96" s="17"/>
      <c r="B96" s="25"/>
      <c r="C96" s="24"/>
      <c r="D96" s="24"/>
      <c r="E96" s="24"/>
      <c r="F96" s="24"/>
      <c r="K96" s="40"/>
    </row>
    <row r="97" spans="1:11" ht="15.75" customHeight="1" x14ac:dyDescent="0.25">
      <c r="A97" s="17"/>
      <c r="B97" s="25"/>
      <c r="C97" s="24"/>
      <c r="D97" s="24"/>
      <c r="E97" s="24"/>
      <c r="F97" s="24"/>
      <c r="K97" s="40"/>
    </row>
    <row r="98" spans="1:11" ht="15.75" customHeight="1" x14ac:dyDescent="0.25">
      <c r="A98" s="17"/>
      <c r="B98" s="25"/>
      <c r="C98" s="24"/>
      <c r="D98" s="24"/>
      <c r="E98" s="24"/>
      <c r="F98" s="24"/>
      <c r="K98" s="40"/>
    </row>
    <row r="99" spans="1:11" ht="15.75" customHeight="1" x14ac:dyDescent="0.25">
      <c r="A99" s="17"/>
      <c r="B99" s="25"/>
      <c r="C99" s="24"/>
      <c r="D99" s="24"/>
      <c r="E99" s="24"/>
      <c r="F99" s="24"/>
      <c r="K99" s="40"/>
    </row>
    <row r="100" spans="1:11" ht="15.75" customHeight="1" x14ac:dyDescent="0.25">
      <c r="A100" s="17"/>
      <c r="B100" s="25"/>
      <c r="C100" s="24"/>
      <c r="D100" s="24"/>
      <c r="E100" s="24"/>
      <c r="F100" s="24"/>
      <c r="K100" s="40"/>
    </row>
    <row r="101" spans="1:11" ht="15.75" customHeight="1" x14ac:dyDescent="0.25">
      <c r="A101" s="17"/>
      <c r="B101" s="25"/>
      <c r="C101" s="24"/>
      <c r="D101" s="24"/>
      <c r="E101" s="24"/>
      <c r="F101" s="24"/>
      <c r="K101" s="40"/>
    </row>
    <row r="102" spans="1:11" ht="15.75" customHeight="1" x14ac:dyDescent="0.25">
      <c r="A102" s="17"/>
      <c r="B102" s="25"/>
      <c r="C102" s="24"/>
      <c r="D102" s="24"/>
      <c r="E102" s="24"/>
      <c r="F102" s="24"/>
      <c r="K102" s="40"/>
    </row>
    <row r="103" spans="1:11" ht="15.75" customHeight="1" x14ac:dyDescent="0.25">
      <c r="A103" s="17"/>
      <c r="B103" s="25"/>
      <c r="C103" s="24"/>
      <c r="D103" s="24"/>
      <c r="E103" s="24"/>
      <c r="F103" s="24"/>
      <c r="K103" s="40"/>
    </row>
    <row r="104" spans="1:11" ht="15.75" customHeight="1" x14ac:dyDescent="0.25">
      <c r="A104" s="17"/>
      <c r="B104" s="25"/>
      <c r="C104" s="24"/>
      <c r="D104" s="24"/>
      <c r="E104" s="24"/>
      <c r="F104" s="24"/>
      <c r="K104" s="40"/>
    </row>
    <row r="105" spans="1:11" ht="15.75" customHeight="1" x14ac:dyDescent="0.25">
      <c r="A105" s="17"/>
      <c r="B105" s="25"/>
      <c r="C105" s="24"/>
      <c r="D105" s="24"/>
      <c r="E105" s="24"/>
      <c r="F105" s="24"/>
      <c r="K105" s="40"/>
    </row>
    <row r="106" spans="1:11" ht="15.75" customHeight="1" x14ac:dyDescent="0.25">
      <c r="A106" s="17"/>
      <c r="B106" s="25"/>
      <c r="C106" s="24"/>
      <c r="D106" s="24"/>
      <c r="E106" s="24"/>
      <c r="F106" s="24"/>
      <c r="K106" s="40"/>
    </row>
    <row r="107" spans="1:11" ht="15.75" customHeight="1" x14ac:dyDescent="0.25">
      <c r="A107" s="17"/>
      <c r="B107" s="25"/>
      <c r="C107" s="24"/>
      <c r="D107" s="24"/>
      <c r="E107" s="24"/>
      <c r="F107" s="24"/>
      <c r="K107" s="40"/>
    </row>
    <row r="108" spans="1:11" ht="15.75" customHeight="1" x14ac:dyDescent="0.25">
      <c r="A108" s="17"/>
      <c r="B108" s="25"/>
      <c r="C108" s="24"/>
      <c r="D108" s="24"/>
      <c r="E108" s="24"/>
      <c r="F108" s="24"/>
      <c r="K108" s="40"/>
    </row>
    <row r="109" spans="1:11" ht="15.75" customHeight="1" x14ac:dyDescent="0.25">
      <c r="A109" s="17"/>
      <c r="B109" s="25"/>
      <c r="C109" s="24"/>
      <c r="D109" s="24"/>
      <c r="E109" s="24"/>
      <c r="F109" s="24"/>
      <c r="K109" s="40"/>
    </row>
    <row r="110" spans="1:11" ht="15.75" customHeight="1" x14ac:dyDescent="0.25">
      <c r="A110" s="17"/>
      <c r="B110" s="25"/>
      <c r="C110" s="24"/>
      <c r="D110" s="24"/>
      <c r="E110" s="24"/>
      <c r="F110" s="24"/>
      <c r="K110" s="40"/>
    </row>
    <row r="111" spans="1:11" ht="15.75" customHeight="1" x14ac:dyDescent="0.25">
      <c r="A111" s="17"/>
      <c r="B111" s="25"/>
      <c r="C111" s="24"/>
      <c r="D111" s="24"/>
      <c r="E111" s="24"/>
      <c r="F111" s="24"/>
      <c r="K111" s="40"/>
    </row>
    <row r="112" spans="1:11" ht="15.75" customHeight="1" x14ac:dyDescent="0.25">
      <c r="A112" s="17"/>
      <c r="B112" s="25"/>
      <c r="C112" s="24"/>
      <c r="D112" s="24"/>
      <c r="E112" s="24"/>
      <c r="F112" s="24"/>
      <c r="K112" s="40"/>
    </row>
    <row r="113" spans="1:11" ht="15.75" customHeight="1" x14ac:dyDescent="0.25">
      <c r="A113" s="17"/>
      <c r="B113" s="25"/>
      <c r="C113" s="24"/>
      <c r="D113" s="24"/>
      <c r="E113" s="24"/>
      <c r="F113" s="24"/>
      <c r="K113" s="40"/>
    </row>
    <row r="114" spans="1:11" ht="15.75" customHeight="1" x14ac:dyDescent="0.25">
      <c r="A114" s="17"/>
      <c r="B114" s="25"/>
      <c r="C114" s="24"/>
      <c r="D114" s="24"/>
      <c r="E114" s="24"/>
      <c r="F114" s="24"/>
      <c r="K114" s="40"/>
    </row>
    <row r="115" spans="1:11" ht="15.75" customHeight="1" x14ac:dyDescent="0.25">
      <c r="A115" s="17"/>
      <c r="B115" s="25"/>
      <c r="C115" s="24"/>
      <c r="D115" s="24"/>
      <c r="E115" s="24"/>
      <c r="F115" s="24"/>
      <c r="K115" s="40"/>
    </row>
    <row r="116" spans="1:11" ht="15.75" customHeight="1" x14ac:dyDescent="0.25">
      <c r="A116" s="17"/>
      <c r="B116" s="25"/>
      <c r="C116" s="24"/>
      <c r="D116" s="24"/>
      <c r="E116" s="24"/>
      <c r="F116" s="24"/>
      <c r="K116" s="40"/>
    </row>
    <row r="117" spans="1:11" ht="15.75" customHeight="1" x14ac:dyDescent="0.25">
      <c r="A117" s="17"/>
      <c r="B117" s="25"/>
      <c r="C117" s="24"/>
      <c r="D117" s="24"/>
      <c r="E117" s="24"/>
      <c r="F117" s="24"/>
      <c r="K117" s="40"/>
    </row>
    <row r="118" spans="1:11" ht="15.75" customHeight="1" x14ac:dyDescent="0.25">
      <c r="A118" s="17"/>
      <c r="B118" s="25"/>
      <c r="C118" s="24"/>
      <c r="D118" s="24"/>
      <c r="E118" s="24"/>
      <c r="F118" s="24"/>
      <c r="K118" s="40"/>
    </row>
    <row r="119" spans="1:11" ht="15.75" customHeight="1" x14ac:dyDescent="0.25">
      <c r="A119" s="17"/>
      <c r="B119" s="25"/>
      <c r="C119" s="24"/>
      <c r="D119" s="24"/>
      <c r="E119" s="24"/>
      <c r="F119" s="24"/>
      <c r="K119" s="40"/>
    </row>
    <row r="120" spans="1:11" ht="15.75" customHeight="1" x14ac:dyDescent="0.25">
      <c r="A120" s="17"/>
      <c r="B120" s="25"/>
      <c r="C120" s="24"/>
      <c r="D120" s="24"/>
      <c r="E120" s="24"/>
      <c r="F120" s="24"/>
      <c r="K120" s="40"/>
    </row>
    <row r="121" spans="1:11" ht="15.75" customHeight="1" x14ac:dyDescent="0.25">
      <c r="A121" s="17"/>
      <c r="B121" s="25"/>
      <c r="C121" s="24"/>
      <c r="D121" s="24"/>
      <c r="E121" s="24"/>
      <c r="F121" s="24"/>
      <c r="K121" s="40"/>
    </row>
    <row r="122" spans="1:11" ht="15.75" customHeight="1" x14ac:dyDescent="0.25">
      <c r="A122" s="17"/>
      <c r="B122" s="25"/>
      <c r="C122" s="24"/>
      <c r="D122" s="24"/>
      <c r="E122" s="24"/>
      <c r="F122" s="24"/>
      <c r="K122" s="40"/>
    </row>
    <row r="123" spans="1:11" ht="15.75" customHeight="1" x14ac:dyDescent="0.25">
      <c r="A123" s="17"/>
      <c r="B123" s="25"/>
      <c r="C123" s="24"/>
      <c r="D123" s="24"/>
      <c r="E123" s="24"/>
      <c r="F123" s="24"/>
      <c r="K123" s="40"/>
    </row>
    <row r="124" spans="1:11" ht="15.75" customHeight="1" x14ac:dyDescent="0.25">
      <c r="A124" s="17"/>
      <c r="B124" s="25"/>
      <c r="C124" s="24"/>
      <c r="D124" s="24"/>
      <c r="E124" s="24"/>
      <c r="F124" s="24"/>
      <c r="K124" s="40"/>
    </row>
    <row r="125" spans="1:11" ht="15.75" customHeight="1" x14ac:dyDescent="0.25">
      <c r="A125" s="17"/>
      <c r="B125" s="25"/>
      <c r="C125" s="24"/>
      <c r="D125" s="24"/>
      <c r="E125" s="24"/>
      <c r="F125" s="24"/>
      <c r="K125" s="40"/>
    </row>
    <row r="126" spans="1:11" ht="15.75" customHeight="1" x14ac:dyDescent="0.25">
      <c r="A126" s="17"/>
      <c r="B126" s="25"/>
      <c r="C126" s="24"/>
      <c r="D126" s="24"/>
      <c r="E126" s="24"/>
      <c r="F126" s="24"/>
      <c r="K126" s="40"/>
    </row>
    <row r="127" spans="1:11" ht="15.75" customHeight="1" x14ac:dyDescent="0.25">
      <c r="A127" s="17"/>
      <c r="B127" s="25"/>
      <c r="C127" s="24"/>
      <c r="D127" s="24"/>
      <c r="E127" s="24"/>
      <c r="F127" s="24"/>
      <c r="K127" s="40"/>
    </row>
    <row r="128" spans="1:11" ht="15.75" customHeight="1" x14ac:dyDescent="0.25">
      <c r="A128" s="17"/>
      <c r="B128" s="25"/>
      <c r="C128" s="24"/>
      <c r="D128" s="24"/>
      <c r="E128" s="24"/>
      <c r="F128" s="24"/>
      <c r="K128" s="40"/>
    </row>
    <row r="129" spans="1:11" ht="15.75" customHeight="1" x14ac:dyDescent="0.25">
      <c r="A129" s="17"/>
      <c r="B129" s="25"/>
      <c r="C129" s="24"/>
      <c r="D129" s="24"/>
      <c r="E129" s="24"/>
      <c r="F129" s="24"/>
      <c r="K129" s="40"/>
    </row>
    <row r="130" spans="1:11" ht="15.75" customHeight="1" x14ac:dyDescent="0.25">
      <c r="A130" s="17"/>
      <c r="B130" s="25"/>
      <c r="C130" s="24"/>
      <c r="D130" s="24"/>
      <c r="E130" s="24"/>
      <c r="F130" s="24"/>
      <c r="K130" s="40"/>
    </row>
    <row r="131" spans="1:11" ht="15.75" customHeight="1" x14ac:dyDescent="0.25">
      <c r="A131" s="17"/>
      <c r="B131" s="25"/>
      <c r="C131" s="24"/>
      <c r="D131" s="24"/>
      <c r="E131" s="24"/>
      <c r="F131" s="24"/>
      <c r="K131" s="40"/>
    </row>
    <row r="132" spans="1:11" ht="15.75" customHeight="1" x14ac:dyDescent="0.25">
      <c r="A132" s="17"/>
      <c r="B132" s="25"/>
      <c r="C132" s="24"/>
      <c r="D132" s="24"/>
      <c r="E132" s="24"/>
      <c r="F132" s="24"/>
      <c r="K132" s="40"/>
    </row>
    <row r="133" spans="1:11" ht="15.75" customHeight="1" x14ac:dyDescent="0.25">
      <c r="A133" s="17"/>
      <c r="B133" s="25"/>
      <c r="C133" s="24"/>
      <c r="D133" s="24"/>
      <c r="E133" s="24"/>
      <c r="F133" s="24"/>
      <c r="K133" s="40"/>
    </row>
    <row r="134" spans="1:11" ht="15.75" customHeight="1" x14ac:dyDescent="0.25">
      <c r="A134" s="17"/>
      <c r="B134" s="25"/>
      <c r="C134" s="24"/>
      <c r="D134" s="24"/>
      <c r="E134" s="24"/>
      <c r="F134" s="24"/>
      <c r="K134" s="40"/>
    </row>
    <row r="135" spans="1:11" ht="15.75" customHeight="1" x14ac:dyDescent="0.25">
      <c r="A135" s="17"/>
      <c r="B135" s="25"/>
      <c r="C135" s="24"/>
      <c r="D135" s="24"/>
      <c r="E135" s="24"/>
      <c r="F135" s="24"/>
      <c r="K135" s="40"/>
    </row>
    <row r="136" spans="1:11" ht="15.75" customHeight="1" x14ac:dyDescent="0.25">
      <c r="A136" s="17"/>
      <c r="B136" s="25"/>
      <c r="C136" s="24"/>
      <c r="D136" s="24"/>
      <c r="E136" s="24"/>
      <c r="F136" s="24"/>
      <c r="K136" s="40"/>
    </row>
    <row r="137" spans="1:11" ht="15.75" customHeight="1" x14ac:dyDescent="0.25">
      <c r="A137" s="17"/>
      <c r="B137" s="25"/>
      <c r="C137" s="24"/>
      <c r="D137" s="24"/>
      <c r="E137" s="24"/>
      <c r="F137" s="24"/>
      <c r="K137" s="40"/>
    </row>
    <row r="138" spans="1:11" ht="15.75" customHeight="1" x14ac:dyDescent="0.25">
      <c r="A138" s="17"/>
      <c r="B138" s="25"/>
      <c r="C138" s="24"/>
      <c r="D138" s="24"/>
      <c r="E138" s="24"/>
      <c r="F138" s="24"/>
      <c r="K138" s="40"/>
    </row>
    <row r="139" spans="1:11" ht="15.75" customHeight="1" x14ac:dyDescent="0.25">
      <c r="A139" s="17"/>
      <c r="B139" s="25"/>
      <c r="C139" s="24"/>
      <c r="D139" s="24"/>
      <c r="E139" s="24"/>
      <c r="F139" s="24"/>
      <c r="K139" s="40"/>
    </row>
    <row r="140" spans="1:11" ht="15.75" customHeight="1" x14ac:dyDescent="0.25">
      <c r="A140" s="17"/>
      <c r="B140" s="25"/>
      <c r="C140" s="24"/>
      <c r="D140" s="24"/>
      <c r="E140" s="24"/>
      <c r="F140" s="24"/>
      <c r="K140" s="40"/>
    </row>
    <row r="141" spans="1:11" ht="15.75" customHeight="1" x14ac:dyDescent="0.25">
      <c r="A141" s="17"/>
      <c r="B141" s="25"/>
      <c r="C141" s="24"/>
      <c r="D141" s="24"/>
      <c r="E141" s="24"/>
      <c r="F141" s="24"/>
      <c r="K141" s="40"/>
    </row>
    <row r="142" spans="1:11" ht="15.75" customHeight="1" x14ac:dyDescent="0.25">
      <c r="A142" s="17"/>
      <c r="B142" s="25"/>
      <c r="C142" s="24"/>
      <c r="D142" s="24"/>
      <c r="E142" s="24"/>
      <c r="F142" s="24"/>
      <c r="K142" s="40"/>
    </row>
    <row r="143" spans="1:11" ht="15.75" customHeight="1" x14ac:dyDescent="0.25">
      <c r="A143" s="17"/>
      <c r="B143" s="25"/>
      <c r="C143" s="24"/>
      <c r="D143" s="24"/>
      <c r="E143" s="24"/>
      <c r="F143" s="24"/>
      <c r="K143" s="40"/>
    </row>
    <row r="144" spans="1:11" ht="15.75" customHeight="1" x14ac:dyDescent="0.25">
      <c r="A144" s="17"/>
      <c r="B144" s="25"/>
      <c r="C144" s="24"/>
      <c r="D144" s="24"/>
      <c r="E144" s="24"/>
      <c r="F144" s="24"/>
      <c r="K144" s="40"/>
    </row>
    <row r="145" spans="1:11" ht="15.75" customHeight="1" x14ac:dyDescent="0.25">
      <c r="A145" s="17"/>
      <c r="B145" s="25"/>
      <c r="C145" s="24"/>
      <c r="D145" s="24"/>
      <c r="E145" s="24"/>
      <c r="F145" s="24"/>
      <c r="K145" s="40"/>
    </row>
    <row r="146" spans="1:11" ht="15.75" customHeight="1" x14ac:dyDescent="0.25">
      <c r="A146" s="17"/>
      <c r="B146" s="25"/>
      <c r="C146" s="24"/>
      <c r="D146" s="24"/>
      <c r="E146" s="24"/>
      <c r="F146" s="24"/>
      <c r="K146" s="40"/>
    </row>
    <row r="147" spans="1:11" ht="15.75" customHeight="1" x14ac:dyDescent="0.25">
      <c r="A147" s="17"/>
      <c r="B147" s="25"/>
      <c r="C147" s="24"/>
      <c r="D147" s="24"/>
      <c r="E147" s="24"/>
      <c r="F147" s="24"/>
      <c r="K147" s="40"/>
    </row>
    <row r="148" spans="1:11" ht="15.75" customHeight="1" x14ac:dyDescent="0.25">
      <c r="A148" s="17"/>
      <c r="B148" s="25"/>
      <c r="C148" s="24"/>
      <c r="D148" s="24"/>
      <c r="E148" s="24"/>
      <c r="F148" s="24"/>
      <c r="K148" s="40"/>
    </row>
    <row r="149" spans="1:11" ht="15.75" customHeight="1" x14ac:dyDescent="0.25">
      <c r="A149" s="17"/>
      <c r="B149" s="25"/>
      <c r="C149" s="24"/>
      <c r="D149" s="24"/>
      <c r="E149" s="24"/>
      <c r="F149" s="24"/>
      <c r="K149" s="40"/>
    </row>
    <row r="150" spans="1:11" ht="15.75" customHeight="1" x14ac:dyDescent="0.25">
      <c r="A150" s="17"/>
      <c r="B150" s="25"/>
      <c r="C150" s="24"/>
      <c r="D150" s="24"/>
      <c r="E150" s="24"/>
      <c r="F150" s="24"/>
      <c r="K150" s="40"/>
    </row>
    <row r="151" spans="1:11" ht="15.75" customHeight="1" x14ac:dyDescent="0.25">
      <c r="A151" s="17"/>
      <c r="B151" s="25"/>
      <c r="C151" s="24"/>
      <c r="D151" s="24"/>
      <c r="E151" s="24"/>
      <c r="F151" s="24"/>
      <c r="K151" s="40"/>
    </row>
    <row r="152" spans="1:11" ht="15.75" customHeight="1" x14ac:dyDescent="0.25">
      <c r="A152" s="17"/>
      <c r="B152" s="25"/>
      <c r="C152" s="24"/>
      <c r="D152" s="24"/>
      <c r="E152" s="24"/>
      <c r="F152" s="24"/>
      <c r="K152" s="40"/>
    </row>
    <row r="153" spans="1:11" ht="15.75" customHeight="1" x14ac:dyDescent="0.25">
      <c r="A153" s="17"/>
      <c r="B153" s="25"/>
      <c r="C153" s="24"/>
      <c r="D153" s="24"/>
      <c r="E153" s="24"/>
      <c r="F153" s="24"/>
      <c r="K153" s="40"/>
    </row>
    <row r="154" spans="1:11" ht="15.75" customHeight="1" x14ac:dyDescent="0.25">
      <c r="A154" s="17"/>
      <c r="B154" s="25"/>
      <c r="C154" s="24"/>
      <c r="D154" s="24"/>
      <c r="E154" s="24"/>
      <c r="F154" s="24"/>
      <c r="K154" s="40"/>
    </row>
    <row r="155" spans="1:11" ht="15.75" customHeight="1" x14ac:dyDescent="0.25">
      <c r="A155" s="17"/>
      <c r="B155" s="25"/>
      <c r="C155" s="24"/>
      <c r="D155" s="24"/>
      <c r="E155" s="24"/>
      <c r="F155" s="24"/>
      <c r="K155" s="40"/>
    </row>
    <row r="156" spans="1:11" ht="15.75" customHeight="1" x14ac:dyDescent="0.25">
      <c r="A156" s="17"/>
      <c r="B156" s="25"/>
      <c r="C156" s="24"/>
      <c r="D156" s="24"/>
      <c r="E156" s="24"/>
      <c r="F156" s="24"/>
      <c r="K156" s="40"/>
    </row>
    <row r="157" spans="1:11" ht="15.75" customHeight="1" x14ac:dyDescent="0.25">
      <c r="A157" s="17"/>
      <c r="B157" s="25"/>
      <c r="C157" s="24"/>
      <c r="D157" s="24"/>
      <c r="E157" s="24"/>
      <c r="F157" s="24"/>
      <c r="K157" s="40"/>
    </row>
    <row r="158" spans="1:11" ht="15.75" customHeight="1" x14ac:dyDescent="0.25">
      <c r="A158" s="17"/>
      <c r="B158" s="25"/>
      <c r="C158" s="24"/>
      <c r="D158" s="24"/>
      <c r="E158" s="24"/>
      <c r="F158" s="24"/>
      <c r="K158" s="40"/>
    </row>
    <row r="159" spans="1:11" ht="15.75" customHeight="1" x14ac:dyDescent="0.25">
      <c r="A159" s="17"/>
      <c r="B159" s="25"/>
      <c r="C159" s="24"/>
      <c r="D159" s="24"/>
      <c r="E159" s="24"/>
      <c r="F159" s="24"/>
      <c r="K159" s="40"/>
    </row>
    <row r="160" spans="1:11" ht="15.75" customHeight="1" x14ac:dyDescent="0.25">
      <c r="A160" s="17"/>
      <c r="B160" s="25"/>
      <c r="C160" s="24"/>
      <c r="D160" s="24"/>
      <c r="E160" s="24"/>
      <c r="F160" s="24"/>
      <c r="K160" s="40"/>
    </row>
    <row r="161" spans="1:11" ht="15.75" customHeight="1" x14ac:dyDescent="0.25">
      <c r="A161" s="17"/>
      <c r="B161" s="25"/>
      <c r="C161" s="24"/>
      <c r="D161" s="24"/>
      <c r="E161" s="24"/>
      <c r="F161" s="24"/>
      <c r="K161" s="40"/>
    </row>
    <row r="162" spans="1:11" ht="15.75" customHeight="1" x14ac:dyDescent="0.25">
      <c r="A162" s="17"/>
      <c r="B162" s="25"/>
      <c r="C162" s="24"/>
      <c r="D162" s="24"/>
      <c r="E162" s="24"/>
      <c r="F162" s="24"/>
      <c r="K162" s="40"/>
    </row>
    <row r="163" spans="1:11" ht="15.75" customHeight="1" x14ac:dyDescent="0.25">
      <c r="A163" s="17"/>
      <c r="B163" s="25"/>
      <c r="C163" s="24"/>
      <c r="D163" s="24"/>
      <c r="E163" s="24"/>
      <c r="F163" s="24"/>
      <c r="K163" s="40"/>
    </row>
    <row r="164" spans="1:11" ht="15.75" customHeight="1" x14ac:dyDescent="0.25">
      <c r="A164" s="17"/>
      <c r="B164" s="25"/>
      <c r="C164" s="24"/>
      <c r="D164" s="24"/>
      <c r="E164" s="24"/>
      <c r="F164" s="24"/>
      <c r="K164" s="40"/>
    </row>
    <row r="165" spans="1:11" ht="15.75" customHeight="1" x14ac:dyDescent="0.25">
      <c r="A165" s="17"/>
      <c r="B165" s="25"/>
      <c r="C165" s="24"/>
      <c r="D165" s="24"/>
      <c r="E165" s="24"/>
      <c r="F165" s="24"/>
      <c r="K165" s="40"/>
    </row>
    <row r="166" spans="1:11" ht="15.75" customHeight="1" x14ac:dyDescent="0.25">
      <c r="A166" s="17"/>
      <c r="B166" s="25"/>
      <c r="C166" s="24"/>
      <c r="D166" s="24"/>
      <c r="E166" s="24"/>
      <c r="F166" s="24"/>
      <c r="K166" s="40"/>
    </row>
    <row r="167" spans="1:11" ht="15.75" customHeight="1" x14ac:dyDescent="0.25">
      <c r="A167" s="17"/>
      <c r="B167" s="25"/>
      <c r="C167" s="24"/>
      <c r="D167" s="24"/>
      <c r="E167" s="24"/>
      <c r="F167" s="24"/>
      <c r="K167" s="40"/>
    </row>
    <row r="168" spans="1:11" ht="15.75" customHeight="1" x14ac:dyDescent="0.25">
      <c r="A168" s="17"/>
      <c r="B168" s="25"/>
      <c r="C168" s="24"/>
      <c r="D168" s="24"/>
      <c r="E168" s="24"/>
      <c r="F168" s="24"/>
      <c r="K168" s="40"/>
    </row>
    <row r="169" spans="1:11" ht="15.75" customHeight="1" x14ac:dyDescent="0.25">
      <c r="A169" s="17"/>
      <c r="B169" s="25"/>
      <c r="C169" s="24"/>
      <c r="D169" s="24"/>
      <c r="E169" s="24"/>
      <c r="F169" s="24"/>
      <c r="K169" s="40"/>
    </row>
    <row r="170" spans="1:11" ht="15.75" customHeight="1" x14ac:dyDescent="0.25">
      <c r="A170" s="17"/>
      <c r="B170" s="25"/>
      <c r="C170" s="24"/>
      <c r="D170" s="24"/>
      <c r="E170" s="24"/>
      <c r="F170" s="24"/>
      <c r="K170" s="40"/>
    </row>
    <row r="171" spans="1:11" ht="15.75" customHeight="1" x14ac:dyDescent="0.25">
      <c r="A171" s="17"/>
      <c r="B171" s="25"/>
      <c r="C171" s="24"/>
      <c r="D171" s="24"/>
      <c r="E171" s="24"/>
      <c r="F171" s="24"/>
      <c r="K171" s="40"/>
    </row>
    <row r="172" spans="1:11" ht="15.75" customHeight="1" x14ac:dyDescent="0.25">
      <c r="A172" s="17"/>
      <c r="B172" s="25"/>
      <c r="C172" s="24"/>
      <c r="D172" s="24"/>
      <c r="E172" s="24"/>
      <c r="F172" s="24"/>
      <c r="K172" s="40"/>
    </row>
    <row r="173" spans="1:11" ht="15.75" customHeight="1" x14ac:dyDescent="0.25">
      <c r="A173" s="17"/>
      <c r="B173" s="25"/>
      <c r="C173" s="24"/>
      <c r="D173" s="24"/>
      <c r="E173" s="24"/>
      <c r="F173" s="24"/>
      <c r="K173" s="40"/>
    </row>
    <row r="174" spans="1:11" ht="15.75" customHeight="1" x14ac:dyDescent="0.25">
      <c r="A174" s="17"/>
      <c r="B174" s="25"/>
      <c r="C174" s="24"/>
      <c r="D174" s="24"/>
      <c r="E174" s="24"/>
      <c r="F174" s="24"/>
      <c r="K174" s="40"/>
    </row>
    <row r="175" spans="1:11" ht="15.75" customHeight="1" x14ac:dyDescent="0.25">
      <c r="A175" s="17"/>
      <c r="B175" s="25"/>
      <c r="C175" s="24"/>
      <c r="D175" s="24"/>
      <c r="E175" s="24"/>
      <c r="F175" s="24"/>
      <c r="K175" s="40"/>
    </row>
    <row r="176" spans="1:11" ht="15.75" customHeight="1" x14ac:dyDescent="0.25">
      <c r="A176" s="17"/>
      <c r="B176" s="25"/>
      <c r="C176" s="24"/>
      <c r="D176" s="24"/>
      <c r="E176" s="24"/>
      <c r="F176" s="24"/>
      <c r="K176" s="40"/>
    </row>
    <row r="177" spans="1:11" ht="15.75" customHeight="1" x14ac:dyDescent="0.25">
      <c r="A177" s="17"/>
      <c r="B177" s="25"/>
      <c r="C177" s="24"/>
      <c r="D177" s="24"/>
      <c r="E177" s="24"/>
      <c r="F177" s="24"/>
      <c r="K177" s="40"/>
    </row>
    <row r="178" spans="1:11" ht="15.75" customHeight="1" x14ac:dyDescent="0.25">
      <c r="A178" s="17"/>
      <c r="B178" s="25"/>
      <c r="C178" s="24"/>
      <c r="D178" s="24"/>
      <c r="E178" s="24"/>
      <c r="F178" s="24"/>
      <c r="K178" s="40"/>
    </row>
    <row r="179" spans="1:11" ht="15.75" customHeight="1" x14ac:dyDescent="0.25">
      <c r="A179" s="17"/>
      <c r="B179" s="25"/>
      <c r="C179" s="24"/>
      <c r="D179" s="24"/>
      <c r="E179" s="24"/>
      <c r="F179" s="24"/>
      <c r="K179" s="40"/>
    </row>
    <row r="180" spans="1:11" ht="15.75" customHeight="1" x14ac:dyDescent="0.25">
      <c r="A180" s="17"/>
      <c r="B180" s="25"/>
      <c r="C180" s="24"/>
      <c r="D180" s="24"/>
      <c r="E180" s="24"/>
      <c r="F180" s="24"/>
      <c r="K180" s="40"/>
    </row>
    <row r="181" spans="1:11" ht="15.75" customHeight="1" x14ac:dyDescent="0.25">
      <c r="A181" s="17"/>
      <c r="B181" s="25"/>
      <c r="C181" s="24"/>
      <c r="D181" s="24"/>
      <c r="E181" s="24"/>
      <c r="F181" s="24"/>
      <c r="K181" s="40"/>
    </row>
    <row r="182" spans="1:11" ht="15.75" customHeight="1" x14ac:dyDescent="0.25">
      <c r="A182" s="17"/>
      <c r="B182" s="25"/>
      <c r="C182" s="24"/>
      <c r="D182" s="24"/>
      <c r="E182" s="24"/>
      <c r="F182" s="24"/>
      <c r="K182" s="40"/>
    </row>
    <row r="183" spans="1:11" ht="15.75" customHeight="1" x14ac:dyDescent="0.25">
      <c r="A183" s="17"/>
      <c r="B183" s="25"/>
      <c r="C183" s="24"/>
      <c r="D183" s="24"/>
      <c r="E183" s="24"/>
      <c r="F183" s="24"/>
      <c r="K183" s="40"/>
    </row>
    <row r="184" spans="1:11" ht="15.75" customHeight="1" x14ac:dyDescent="0.25">
      <c r="A184" s="17"/>
      <c r="B184" s="25"/>
      <c r="C184" s="24"/>
      <c r="D184" s="24"/>
      <c r="E184" s="24"/>
      <c r="F184" s="24"/>
      <c r="K184" s="40"/>
    </row>
    <row r="185" spans="1:11" ht="15.75" customHeight="1" x14ac:dyDescent="0.25">
      <c r="A185" s="17"/>
      <c r="B185" s="25"/>
      <c r="C185" s="24"/>
      <c r="D185" s="24"/>
      <c r="E185" s="24"/>
      <c r="F185" s="24"/>
      <c r="K185" s="40"/>
    </row>
    <row r="186" spans="1:11" ht="15.75" customHeight="1" x14ac:dyDescent="0.25">
      <c r="A186" s="17"/>
      <c r="B186" s="25"/>
      <c r="C186" s="24"/>
      <c r="D186" s="24"/>
      <c r="E186" s="24"/>
      <c r="F186" s="24"/>
      <c r="K186" s="40"/>
    </row>
    <row r="187" spans="1:11" ht="15.75" customHeight="1" x14ac:dyDescent="0.25">
      <c r="A187" s="17"/>
      <c r="B187" s="25"/>
      <c r="C187" s="24"/>
      <c r="D187" s="24"/>
      <c r="E187" s="24"/>
      <c r="F187" s="24"/>
      <c r="K187" s="40"/>
    </row>
    <row r="188" spans="1:11" ht="15.75" customHeight="1" x14ac:dyDescent="0.25">
      <c r="A188" s="17"/>
      <c r="B188" s="25"/>
      <c r="C188" s="24"/>
      <c r="D188" s="24"/>
      <c r="E188" s="24"/>
      <c r="F188" s="24"/>
      <c r="K188" s="40"/>
    </row>
    <row r="189" spans="1:11" ht="15.75" customHeight="1" x14ac:dyDescent="0.25">
      <c r="A189" s="17"/>
      <c r="B189" s="25"/>
      <c r="C189" s="24"/>
      <c r="D189" s="24"/>
      <c r="E189" s="24"/>
      <c r="F189" s="24"/>
      <c r="K189" s="40"/>
    </row>
    <row r="190" spans="1:11" ht="15.75" customHeight="1" x14ac:dyDescent="0.25">
      <c r="A190" s="17"/>
      <c r="B190" s="25"/>
      <c r="C190" s="24"/>
      <c r="D190" s="24"/>
      <c r="E190" s="24"/>
      <c r="F190" s="24"/>
      <c r="K190" s="40"/>
    </row>
    <row r="191" spans="1:11" ht="15.75" customHeight="1" x14ac:dyDescent="0.25">
      <c r="A191" s="17"/>
      <c r="B191" s="25"/>
      <c r="C191" s="24"/>
      <c r="D191" s="24"/>
      <c r="E191" s="24"/>
      <c r="F191" s="24"/>
      <c r="K191" s="40"/>
    </row>
    <row r="192" spans="1:11" ht="15.75" customHeight="1" x14ac:dyDescent="0.25">
      <c r="A192" s="17"/>
      <c r="B192" s="25"/>
      <c r="C192" s="24"/>
      <c r="D192" s="24"/>
      <c r="E192" s="24"/>
      <c r="F192" s="24"/>
      <c r="K192" s="40"/>
    </row>
    <row r="193" spans="1:11" ht="15.75" customHeight="1" x14ac:dyDescent="0.25">
      <c r="A193" s="17"/>
      <c r="B193" s="25"/>
      <c r="C193" s="24"/>
      <c r="D193" s="24"/>
      <c r="E193" s="24"/>
      <c r="F193" s="24"/>
      <c r="K193" s="40"/>
    </row>
    <row r="194" spans="1:11" ht="15.75" customHeight="1" x14ac:dyDescent="0.25">
      <c r="A194" s="17"/>
      <c r="B194" s="25"/>
      <c r="C194" s="24"/>
      <c r="D194" s="24"/>
      <c r="E194" s="24"/>
      <c r="F194" s="24"/>
      <c r="K194" s="40"/>
    </row>
    <row r="195" spans="1:11" ht="15.75" customHeight="1" x14ac:dyDescent="0.25">
      <c r="A195" s="17"/>
      <c r="B195" s="25"/>
      <c r="C195" s="24"/>
      <c r="D195" s="24"/>
      <c r="E195" s="24"/>
      <c r="F195" s="24"/>
      <c r="K195" s="40"/>
    </row>
    <row r="196" spans="1:11" ht="15.75" customHeight="1" x14ac:dyDescent="0.25">
      <c r="A196" s="17"/>
      <c r="B196" s="25"/>
      <c r="C196" s="24"/>
      <c r="D196" s="24"/>
      <c r="E196" s="24"/>
      <c r="F196" s="24"/>
      <c r="K196" s="40"/>
    </row>
    <row r="197" spans="1:11" ht="15.75" customHeight="1" x14ac:dyDescent="0.25">
      <c r="A197" s="17"/>
      <c r="B197" s="25"/>
      <c r="C197" s="24"/>
      <c r="D197" s="24"/>
      <c r="E197" s="24"/>
      <c r="F197" s="24"/>
      <c r="K197" s="40"/>
    </row>
    <row r="198" spans="1:11" ht="15.75" customHeight="1" x14ac:dyDescent="0.25">
      <c r="A198" s="17"/>
      <c r="B198" s="25"/>
      <c r="C198" s="24"/>
      <c r="D198" s="24"/>
      <c r="E198" s="24"/>
      <c r="F198" s="24"/>
      <c r="K198" s="40"/>
    </row>
    <row r="199" spans="1:11" ht="15.75" customHeight="1" x14ac:dyDescent="0.25">
      <c r="A199" s="17"/>
      <c r="B199" s="25"/>
      <c r="C199" s="24"/>
      <c r="D199" s="24"/>
      <c r="E199" s="24"/>
      <c r="F199" s="24"/>
      <c r="K199" s="40"/>
    </row>
    <row r="200" spans="1:11" ht="15.75" customHeight="1" x14ac:dyDescent="0.25">
      <c r="A200" s="17"/>
      <c r="B200" s="25"/>
      <c r="C200" s="24"/>
      <c r="D200" s="24"/>
      <c r="E200" s="24"/>
      <c r="F200" s="24"/>
      <c r="K200" s="40"/>
    </row>
    <row r="201" spans="1:11" ht="15.75" customHeight="1" x14ac:dyDescent="0.25">
      <c r="A201" s="17"/>
      <c r="B201" s="25"/>
      <c r="C201" s="24"/>
      <c r="D201" s="24"/>
      <c r="E201" s="24"/>
      <c r="F201" s="24"/>
      <c r="K201" s="40"/>
    </row>
    <row r="202" spans="1:11" ht="15.75" customHeight="1" x14ac:dyDescent="0.25">
      <c r="A202" s="17"/>
      <c r="B202" s="25"/>
      <c r="C202" s="24"/>
      <c r="D202" s="24"/>
      <c r="E202" s="24"/>
      <c r="F202" s="24"/>
      <c r="K202" s="40"/>
    </row>
    <row r="203" spans="1:11" ht="15.75" customHeight="1" x14ac:dyDescent="0.25">
      <c r="A203" s="17"/>
      <c r="B203" s="25"/>
      <c r="C203" s="24"/>
      <c r="D203" s="24"/>
      <c r="E203" s="24"/>
      <c r="F203" s="24"/>
      <c r="K203" s="40"/>
    </row>
    <row r="204" spans="1:11" ht="15.75" customHeight="1" x14ac:dyDescent="0.25">
      <c r="A204" s="17"/>
      <c r="B204" s="25"/>
      <c r="C204" s="24"/>
      <c r="D204" s="24"/>
      <c r="E204" s="24"/>
      <c r="F204" s="24"/>
      <c r="K204" s="40"/>
    </row>
    <row r="205" spans="1:11" ht="15.75" customHeight="1" x14ac:dyDescent="0.25">
      <c r="A205" s="17"/>
      <c r="B205" s="25"/>
      <c r="C205" s="24"/>
      <c r="D205" s="24"/>
      <c r="E205" s="24"/>
      <c r="F205" s="24"/>
      <c r="K205" s="40"/>
    </row>
    <row r="206" spans="1:11" ht="15.75" customHeight="1" x14ac:dyDescent="0.25">
      <c r="A206" s="17"/>
      <c r="B206" s="25"/>
      <c r="C206" s="24"/>
      <c r="D206" s="24"/>
      <c r="E206" s="24"/>
      <c r="F206" s="24"/>
      <c r="K206" s="40"/>
    </row>
    <row r="207" spans="1:11" ht="15.75" customHeight="1" x14ac:dyDescent="0.25">
      <c r="A207" s="17"/>
      <c r="B207" s="25"/>
      <c r="C207" s="24"/>
      <c r="D207" s="24"/>
      <c r="E207" s="24"/>
      <c r="F207" s="24"/>
      <c r="K207" s="40"/>
    </row>
    <row r="208" spans="1:11" ht="15.75" customHeight="1" x14ac:dyDescent="0.25">
      <c r="A208" s="17"/>
      <c r="B208" s="25"/>
      <c r="C208" s="24"/>
      <c r="D208" s="24"/>
      <c r="E208" s="24"/>
      <c r="F208" s="24"/>
      <c r="K208" s="40"/>
    </row>
    <row r="209" spans="1:11" ht="15.75" customHeight="1" x14ac:dyDescent="0.25">
      <c r="A209" s="17"/>
      <c r="B209" s="25"/>
      <c r="C209" s="24"/>
      <c r="D209" s="24"/>
      <c r="E209" s="24"/>
      <c r="F209" s="24"/>
      <c r="K209" s="40"/>
    </row>
    <row r="210" spans="1:11" ht="15.75" customHeight="1" x14ac:dyDescent="0.25">
      <c r="A210" s="17"/>
      <c r="B210" s="25"/>
      <c r="C210" s="24"/>
      <c r="D210" s="24"/>
      <c r="E210" s="24"/>
      <c r="F210" s="24"/>
      <c r="K210" s="40"/>
    </row>
    <row r="211" spans="1:11" ht="15.75" customHeight="1" x14ac:dyDescent="0.25">
      <c r="A211" s="17"/>
      <c r="B211" s="25"/>
      <c r="C211" s="24"/>
      <c r="D211" s="24"/>
      <c r="E211" s="24"/>
      <c r="F211" s="24"/>
      <c r="K211" s="40"/>
    </row>
    <row r="212" spans="1:11" ht="15.75" customHeight="1" x14ac:dyDescent="0.25">
      <c r="A212" s="17"/>
      <c r="B212" s="25"/>
      <c r="C212" s="24"/>
      <c r="D212" s="24"/>
      <c r="E212" s="24"/>
      <c r="F212" s="24"/>
      <c r="K212" s="40"/>
    </row>
    <row r="213" spans="1:11" ht="15.75" customHeight="1" x14ac:dyDescent="0.25">
      <c r="A213" s="17"/>
      <c r="B213" s="25"/>
      <c r="C213" s="24"/>
      <c r="D213" s="24"/>
      <c r="E213" s="24"/>
      <c r="F213" s="24"/>
      <c r="K213" s="40"/>
    </row>
    <row r="214" spans="1:11" ht="15.75" customHeight="1" x14ac:dyDescent="0.25">
      <c r="A214" s="17"/>
      <c r="B214" s="25"/>
      <c r="C214" s="24"/>
      <c r="D214" s="24"/>
      <c r="E214" s="24"/>
      <c r="F214" s="24"/>
      <c r="K214" s="40"/>
    </row>
    <row r="215" spans="1:11" ht="15.75" customHeight="1" x14ac:dyDescent="0.25">
      <c r="A215" s="17"/>
      <c r="B215" s="25"/>
      <c r="C215" s="24"/>
      <c r="D215" s="24"/>
      <c r="E215" s="24"/>
      <c r="F215" s="24"/>
      <c r="K215" s="40"/>
    </row>
    <row r="216" spans="1:11" ht="15.75" customHeight="1" x14ac:dyDescent="0.25">
      <c r="A216" s="17"/>
      <c r="B216" s="25"/>
      <c r="C216" s="24"/>
      <c r="D216" s="24"/>
      <c r="E216" s="24"/>
      <c r="F216" s="24"/>
      <c r="K216" s="40"/>
    </row>
    <row r="217" spans="1:11" ht="15.75" customHeight="1" x14ac:dyDescent="0.25">
      <c r="A217" s="17"/>
      <c r="B217" s="25"/>
      <c r="C217" s="24"/>
      <c r="D217" s="24"/>
      <c r="E217" s="24"/>
      <c r="F217" s="24"/>
      <c r="K217" s="40"/>
    </row>
    <row r="218" spans="1:11" ht="15.75" customHeight="1" x14ac:dyDescent="0.25">
      <c r="A218" s="17"/>
      <c r="B218" s="25"/>
      <c r="C218" s="24"/>
      <c r="D218" s="24"/>
      <c r="E218" s="24"/>
      <c r="F218" s="24"/>
      <c r="K218" s="40"/>
    </row>
    <row r="219" spans="1:11" ht="15.75" customHeight="1" x14ac:dyDescent="0.25">
      <c r="A219" s="17"/>
      <c r="B219" s="25"/>
      <c r="C219" s="24"/>
      <c r="D219" s="24"/>
      <c r="E219" s="24"/>
      <c r="F219" s="24"/>
      <c r="K219" s="40"/>
    </row>
    <row r="220" spans="1:11" ht="15.75" customHeight="1" x14ac:dyDescent="0.25">
      <c r="A220" s="17"/>
      <c r="B220" s="25"/>
      <c r="C220" s="24"/>
      <c r="D220" s="24"/>
      <c r="E220" s="24"/>
      <c r="F220" s="24"/>
      <c r="K220" s="40"/>
    </row>
    <row r="221" spans="1:11" ht="15.75" customHeight="1" x14ac:dyDescent="0.25">
      <c r="A221" s="17"/>
      <c r="B221" s="25"/>
      <c r="C221" s="24"/>
      <c r="D221" s="24"/>
      <c r="E221" s="24"/>
      <c r="F221" s="24"/>
      <c r="K221" s="40"/>
    </row>
    <row r="222" spans="1:11" ht="15.75" customHeight="1" x14ac:dyDescent="0.25">
      <c r="A222" s="17"/>
      <c r="B222" s="25"/>
      <c r="C222" s="24"/>
      <c r="D222" s="24"/>
      <c r="E222" s="24"/>
      <c r="F222" s="24"/>
      <c r="K222" s="40"/>
    </row>
    <row r="223" spans="1:11" ht="15.75" customHeight="1" x14ac:dyDescent="0.25">
      <c r="A223" s="17"/>
      <c r="B223" s="25"/>
      <c r="C223" s="24"/>
      <c r="D223" s="24"/>
      <c r="E223" s="24"/>
      <c r="F223" s="24"/>
      <c r="K223" s="40"/>
    </row>
    <row r="224" spans="1:11" ht="15.75" customHeight="1" x14ac:dyDescent="0.25">
      <c r="A224" s="17"/>
      <c r="B224" s="25"/>
      <c r="C224" s="24"/>
      <c r="D224" s="24"/>
      <c r="E224" s="24"/>
      <c r="F224" s="24"/>
      <c r="K224" s="40"/>
    </row>
    <row r="225" spans="1:11" ht="15.75" customHeight="1" x14ac:dyDescent="0.25">
      <c r="A225" s="17"/>
      <c r="B225" s="25"/>
      <c r="C225" s="24"/>
      <c r="D225" s="24"/>
      <c r="E225" s="24"/>
      <c r="F225" s="24"/>
      <c r="K225" s="40"/>
    </row>
    <row r="226" spans="1:11" ht="15.75" customHeight="1" x14ac:dyDescent="0.25">
      <c r="A226" s="17"/>
      <c r="B226" s="25"/>
      <c r="C226" s="24"/>
      <c r="D226" s="24"/>
      <c r="E226" s="24"/>
      <c r="F226" s="24"/>
      <c r="K226" s="40"/>
    </row>
    <row r="227" spans="1:11" ht="15.75" customHeight="1" x14ac:dyDescent="0.25">
      <c r="A227" s="17"/>
      <c r="B227" s="25"/>
      <c r="C227" s="24"/>
      <c r="D227" s="24"/>
      <c r="E227" s="24"/>
      <c r="F227" s="24"/>
      <c r="K227" s="40"/>
    </row>
    <row r="228" spans="1:11" ht="15.75" customHeight="1" x14ac:dyDescent="0.25">
      <c r="A228" s="17"/>
      <c r="B228" s="25"/>
      <c r="C228" s="24"/>
      <c r="D228" s="24"/>
      <c r="E228" s="24"/>
      <c r="F228" s="24"/>
      <c r="K228" s="40"/>
    </row>
    <row r="229" spans="1:11" ht="15.75" customHeight="1" x14ac:dyDescent="0.25">
      <c r="A229" s="17"/>
      <c r="B229" s="25"/>
      <c r="C229" s="24"/>
      <c r="D229" s="24"/>
      <c r="E229" s="24"/>
      <c r="F229" s="24"/>
      <c r="K229" s="40"/>
    </row>
    <row r="230" spans="1:11" ht="15.75" customHeight="1" x14ac:dyDescent="0.25">
      <c r="A230" s="17"/>
      <c r="B230" s="25"/>
      <c r="C230" s="24"/>
      <c r="D230" s="24"/>
      <c r="E230" s="24"/>
      <c r="F230" s="24"/>
      <c r="K230" s="40"/>
    </row>
    <row r="231" spans="1:11" ht="15.75" customHeight="1" x14ac:dyDescent="0.25">
      <c r="A231" s="17"/>
      <c r="B231" s="25"/>
      <c r="C231" s="24"/>
      <c r="D231" s="24"/>
      <c r="E231" s="24"/>
      <c r="F231" s="24"/>
      <c r="K231" s="40"/>
    </row>
    <row r="232" spans="1:11" ht="15.75" customHeight="1" x14ac:dyDescent="0.25">
      <c r="A232" s="17"/>
      <c r="B232" s="25"/>
      <c r="C232" s="24"/>
      <c r="D232" s="24"/>
      <c r="E232" s="24"/>
      <c r="F232" s="24"/>
      <c r="K232" s="40"/>
    </row>
    <row r="233" spans="1:11" ht="15.75" customHeight="1" x14ac:dyDescent="0.25">
      <c r="A233" s="17"/>
      <c r="B233" s="25"/>
      <c r="C233" s="24"/>
      <c r="D233" s="24"/>
      <c r="E233" s="24"/>
      <c r="F233" s="24"/>
      <c r="K233" s="40"/>
    </row>
    <row r="234" spans="1:11" ht="15.75" customHeight="1" x14ac:dyDescent="0.25">
      <c r="A234" s="17"/>
      <c r="B234" s="25"/>
      <c r="C234" s="24"/>
      <c r="D234" s="24"/>
      <c r="E234" s="24"/>
      <c r="F234" s="24"/>
      <c r="K234" s="40"/>
    </row>
    <row r="235" spans="1:11" ht="15.75" customHeight="1" x14ac:dyDescent="0.25">
      <c r="A235" s="17"/>
      <c r="B235" s="25"/>
      <c r="C235" s="24"/>
      <c r="D235" s="24"/>
      <c r="E235" s="24"/>
      <c r="F235" s="24"/>
      <c r="K235" s="40"/>
    </row>
    <row r="236" spans="1:11" ht="15.75" customHeight="1" x14ac:dyDescent="0.25">
      <c r="A236" s="17"/>
      <c r="B236" s="25"/>
      <c r="C236" s="24"/>
      <c r="D236" s="24"/>
      <c r="E236" s="24"/>
      <c r="F236" s="24"/>
      <c r="K236" s="40"/>
    </row>
    <row r="237" spans="1:11" ht="15.75" customHeight="1" x14ac:dyDescent="0.25">
      <c r="A237" s="17"/>
      <c r="B237" s="25"/>
      <c r="C237" s="24"/>
      <c r="D237" s="24"/>
      <c r="E237" s="24"/>
      <c r="F237" s="24"/>
      <c r="K237" s="40"/>
    </row>
    <row r="238" spans="1:11" ht="15.75" customHeight="1" x14ac:dyDescent="0.25">
      <c r="A238" s="17"/>
      <c r="B238" s="25"/>
      <c r="C238" s="24"/>
      <c r="D238" s="24"/>
      <c r="E238" s="24"/>
      <c r="F238" s="24"/>
      <c r="K238" s="40"/>
    </row>
    <row r="239" spans="1:11" ht="15.75" customHeight="1" x14ac:dyDescent="0.25">
      <c r="A239" s="17"/>
      <c r="B239" s="25"/>
      <c r="C239" s="24"/>
      <c r="D239" s="24"/>
      <c r="E239" s="24"/>
      <c r="F239" s="24"/>
      <c r="K239" s="40"/>
    </row>
    <row r="240" spans="1:11" ht="15.75" customHeight="1" x14ac:dyDescent="0.25">
      <c r="A240" s="17"/>
      <c r="B240" s="25"/>
      <c r="C240" s="24"/>
      <c r="D240" s="24"/>
      <c r="E240" s="24"/>
      <c r="F240" s="24"/>
      <c r="K240" s="40"/>
    </row>
    <row r="241" spans="1:11" ht="15.75" customHeight="1" x14ac:dyDescent="0.25">
      <c r="A241" s="17"/>
      <c r="B241" s="25"/>
      <c r="C241" s="24"/>
      <c r="D241" s="24"/>
      <c r="E241" s="24"/>
      <c r="F241" s="24"/>
      <c r="K241" s="40"/>
    </row>
    <row r="242" spans="1:11" ht="15.75" customHeight="1" x14ac:dyDescent="0.25">
      <c r="A242" s="17"/>
      <c r="B242" s="25"/>
      <c r="C242" s="24"/>
      <c r="D242" s="24"/>
      <c r="E242" s="24"/>
      <c r="F242" s="24"/>
      <c r="K242" s="40"/>
    </row>
    <row r="243" spans="1:11" ht="15.75" customHeight="1" x14ac:dyDescent="0.25">
      <c r="A243" s="17"/>
      <c r="B243" s="25"/>
      <c r="C243" s="24"/>
      <c r="D243" s="24"/>
      <c r="E243" s="24"/>
      <c r="F243" s="24"/>
      <c r="K243" s="40"/>
    </row>
    <row r="244" spans="1:11" ht="15.75" customHeight="1" x14ac:dyDescent="0.25">
      <c r="A244" s="17"/>
      <c r="B244" s="25"/>
      <c r="C244" s="24"/>
      <c r="D244" s="24"/>
      <c r="E244" s="24"/>
      <c r="F244" s="24"/>
      <c r="K244" s="40"/>
    </row>
    <row r="245" spans="1:11" ht="15.75" customHeight="1" x14ac:dyDescent="0.25">
      <c r="A245" s="17"/>
      <c r="B245" s="25"/>
      <c r="C245" s="24"/>
      <c r="D245" s="24"/>
      <c r="E245" s="24"/>
      <c r="F245" s="24"/>
      <c r="K245" s="40"/>
    </row>
    <row r="246" spans="1:11" ht="15.75" customHeight="1" x14ac:dyDescent="0.25">
      <c r="A246" s="17"/>
      <c r="B246" s="25"/>
      <c r="C246" s="24"/>
      <c r="D246" s="24"/>
      <c r="E246" s="24"/>
      <c r="F246" s="24"/>
      <c r="K246" s="40"/>
    </row>
    <row r="247" spans="1:11" ht="15.75" customHeight="1" x14ac:dyDescent="0.25">
      <c r="A247" s="17"/>
      <c r="B247" s="25"/>
      <c r="C247" s="24"/>
      <c r="D247" s="24"/>
      <c r="E247" s="24"/>
      <c r="F247" s="24"/>
      <c r="K247" s="40"/>
    </row>
    <row r="248" spans="1:11" ht="15.75" customHeight="1" x14ac:dyDescent="0.25">
      <c r="A248" s="17"/>
      <c r="B248" s="25"/>
      <c r="C248" s="24"/>
      <c r="D248" s="24"/>
      <c r="E248" s="24"/>
      <c r="F248" s="24"/>
      <c r="K248" s="40"/>
    </row>
    <row r="249" spans="1:11" ht="15.75" customHeight="1" x14ac:dyDescent="0.25">
      <c r="A249" s="17"/>
      <c r="B249" s="25"/>
      <c r="C249" s="24"/>
      <c r="D249" s="24"/>
      <c r="E249" s="24"/>
      <c r="F249" s="24"/>
      <c r="K249" s="40"/>
    </row>
    <row r="250" spans="1:11" ht="15.75" customHeight="1" x14ac:dyDescent="0.25">
      <c r="A250" s="17"/>
      <c r="B250" s="25"/>
      <c r="C250" s="24"/>
      <c r="D250" s="24"/>
      <c r="E250" s="24"/>
      <c r="F250" s="24"/>
      <c r="K250" s="40"/>
    </row>
    <row r="251" spans="1:11" ht="15.75" customHeight="1" x14ac:dyDescent="0.25">
      <c r="A251" s="17"/>
      <c r="B251" s="25"/>
      <c r="C251" s="24"/>
      <c r="D251" s="24"/>
      <c r="E251" s="24"/>
      <c r="F251" s="24"/>
      <c r="K251" s="40"/>
    </row>
    <row r="252" spans="1:11" ht="15.75" customHeight="1" x14ac:dyDescent="0.25">
      <c r="A252" s="17"/>
      <c r="B252" s="25"/>
      <c r="C252" s="24"/>
      <c r="D252" s="24"/>
      <c r="E252" s="24"/>
      <c r="F252" s="24"/>
      <c r="K252" s="40"/>
    </row>
    <row r="253" spans="1:11" ht="15.75" customHeight="1" x14ac:dyDescent="0.25">
      <c r="A253" s="17"/>
      <c r="B253" s="25"/>
      <c r="C253" s="24"/>
      <c r="D253" s="24"/>
      <c r="E253" s="24"/>
      <c r="F253" s="24"/>
      <c r="K253" s="40"/>
    </row>
    <row r="254" spans="1:11" ht="15.75" customHeight="1" x14ac:dyDescent="0.25">
      <c r="A254" s="17"/>
      <c r="B254" s="25"/>
      <c r="C254" s="24"/>
      <c r="D254" s="24"/>
      <c r="E254" s="24"/>
      <c r="F254" s="24"/>
      <c r="K254" s="40"/>
    </row>
    <row r="255" spans="1:11" ht="15.75" customHeight="1" x14ac:dyDescent="0.25">
      <c r="A255" s="17"/>
      <c r="B255" s="25"/>
      <c r="C255" s="24"/>
      <c r="D255" s="24"/>
      <c r="E255" s="24"/>
      <c r="F255" s="24"/>
      <c r="K255" s="40"/>
    </row>
    <row r="256" spans="1:11" ht="15.75" customHeight="1" x14ac:dyDescent="0.25">
      <c r="A256" s="17"/>
      <c r="B256" s="25"/>
      <c r="C256" s="24"/>
      <c r="D256" s="24"/>
      <c r="E256" s="24"/>
      <c r="F256" s="24"/>
      <c r="K256" s="40"/>
    </row>
    <row r="257" spans="1:11" ht="15.75" customHeight="1" x14ac:dyDescent="0.25">
      <c r="A257" s="17"/>
      <c r="B257" s="25"/>
      <c r="C257" s="24"/>
      <c r="D257" s="24"/>
      <c r="E257" s="24"/>
      <c r="F257" s="24"/>
      <c r="K257" s="40"/>
    </row>
    <row r="258" spans="1:11" ht="15.75" customHeight="1" x14ac:dyDescent="0.25">
      <c r="A258" s="17"/>
      <c r="B258" s="25"/>
      <c r="C258" s="24"/>
      <c r="D258" s="24"/>
      <c r="E258" s="24"/>
      <c r="F258" s="24"/>
      <c r="K258" s="40"/>
    </row>
    <row r="259" spans="1:11" ht="15.75" customHeight="1" x14ac:dyDescent="0.25">
      <c r="A259" s="17"/>
      <c r="B259" s="25"/>
      <c r="C259" s="24"/>
      <c r="D259" s="24"/>
      <c r="E259" s="24"/>
      <c r="F259" s="24"/>
      <c r="K259" s="40"/>
    </row>
    <row r="260" spans="1:11" ht="15.75" customHeight="1" x14ac:dyDescent="0.25">
      <c r="A260" s="17"/>
      <c r="B260" s="25"/>
      <c r="C260" s="24"/>
      <c r="D260" s="24"/>
      <c r="E260" s="24"/>
      <c r="F260" s="24"/>
      <c r="K260" s="40"/>
    </row>
    <row r="261" spans="1:11" ht="15.75" customHeight="1" x14ac:dyDescent="0.25">
      <c r="A261" s="17"/>
      <c r="B261" s="25"/>
      <c r="C261" s="24"/>
      <c r="D261" s="24"/>
      <c r="E261" s="24"/>
      <c r="F261" s="24"/>
      <c r="K261" s="40"/>
    </row>
    <row r="262" spans="1:11" ht="15.75" customHeight="1" x14ac:dyDescent="0.25">
      <c r="A262" s="17"/>
      <c r="B262" s="25"/>
      <c r="C262" s="24"/>
      <c r="D262" s="24"/>
      <c r="E262" s="24"/>
      <c r="F262" s="24"/>
      <c r="K262" s="40"/>
    </row>
    <row r="263" spans="1:11" ht="15.75" customHeight="1" x14ac:dyDescent="0.25">
      <c r="A263" s="17"/>
      <c r="B263" s="25"/>
      <c r="C263" s="24"/>
      <c r="D263" s="24"/>
      <c r="E263" s="24"/>
      <c r="F263" s="24"/>
      <c r="K263" s="40"/>
    </row>
    <row r="264" spans="1:11" ht="15.75" customHeight="1" x14ac:dyDescent="0.25">
      <c r="A264" s="17"/>
      <c r="B264" s="25"/>
      <c r="C264" s="24"/>
      <c r="D264" s="24"/>
      <c r="E264" s="24"/>
      <c r="F264" s="24"/>
      <c r="K264" s="40"/>
    </row>
    <row r="265" spans="1:11" ht="15.75" customHeight="1" x14ac:dyDescent="0.25">
      <c r="A265" s="17"/>
      <c r="B265" s="25"/>
      <c r="C265" s="24"/>
      <c r="D265" s="24"/>
      <c r="E265" s="24"/>
      <c r="F265" s="24"/>
      <c r="K265" s="40"/>
    </row>
    <row r="266" spans="1:11" ht="15.75" customHeight="1" x14ac:dyDescent="0.25">
      <c r="A266" s="17"/>
      <c r="B266" s="25"/>
      <c r="C266" s="24"/>
      <c r="D266" s="24"/>
      <c r="E266" s="24"/>
      <c r="F266" s="24"/>
      <c r="K266" s="40"/>
    </row>
    <row r="267" spans="1:11" ht="15.75" customHeight="1" x14ac:dyDescent="0.25">
      <c r="K267" s="40"/>
    </row>
    <row r="268" spans="1:11" ht="15.75" customHeight="1" x14ac:dyDescent="0.25">
      <c r="K268" s="40"/>
    </row>
    <row r="269" spans="1:11" ht="15.75" customHeight="1" x14ac:dyDescent="0.25">
      <c r="K269" s="40"/>
    </row>
    <row r="270" spans="1:11" ht="15.75" customHeight="1" x14ac:dyDescent="0.25">
      <c r="K270" s="40"/>
    </row>
    <row r="271" spans="1:11" ht="15.75" customHeight="1" x14ac:dyDescent="0.25">
      <c r="K271" s="40"/>
    </row>
    <row r="272" spans="1:11" ht="15.75" customHeight="1" x14ac:dyDescent="0.25">
      <c r="K272" s="40"/>
    </row>
    <row r="273" spans="11:11" ht="15.75" customHeight="1" x14ac:dyDescent="0.25">
      <c r="K273" s="40"/>
    </row>
    <row r="274" spans="11:11" ht="15.75" customHeight="1" x14ac:dyDescent="0.25">
      <c r="K274" s="40"/>
    </row>
    <row r="275" spans="11:11" ht="15.75" customHeight="1" x14ac:dyDescent="0.25">
      <c r="K275" s="40"/>
    </row>
    <row r="276" spans="11:11" ht="15.75" customHeight="1" x14ac:dyDescent="0.25">
      <c r="K276" s="40"/>
    </row>
    <row r="277" spans="11:11" ht="15.75" customHeight="1" x14ac:dyDescent="0.25">
      <c r="K277" s="40"/>
    </row>
    <row r="278" spans="11:11" ht="15.75" customHeight="1" x14ac:dyDescent="0.25">
      <c r="K278" s="40"/>
    </row>
    <row r="279" spans="11:11" ht="15.75" customHeight="1" x14ac:dyDescent="0.25">
      <c r="K279" s="40"/>
    </row>
    <row r="280" spans="11:11" ht="15.75" customHeight="1" x14ac:dyDescent="0.25">
      <c r="K280" s="40"/>
    </row>
    <row r="281" spans="11:11" ht="15.75" customHeight="1" x14ac:dyDescent="0.25">
      <c r="K281" s="40"/>
    </row>
    <row r="282" spans="11:11" ht="15.75" customHeight="1" x14ac:dyDescent="0.25">
      <c r="K282" s="40"/>
    </row>
    <row r="283" spans="11:11" ht="15.75" customHeight="1" x14ac:dyDescent="0.25">
      <c r="K283" s="40"/>
    </row>
    <row r="284" spans="11:11" ht="15.75" customHeight="1" x14ac:dyDescent="0.25">
      <c r="K284" s="40"/>
    </row>
    <row r="285" spans="11:11" ht="15.75" customHeight="1" x14ac:dyDescent="0.25">
      <c r="K285" s="40"/>
    </row>
    <row r="286" spans="11:11" ht="15.75" customHeight="1" x14ac:dyDescent="0.25">
      <c r="K286" s="40"/>
    </row>
    <row r="287" spans="11:11" ht="15.75" customHeight="1" x14ac:dyDescent="0.25">
      <c r="K287" s="40"/>
    </row>
    <row r="288" spans="1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row r="997" spans="11:11" ht="15.75" customHeight="1" x14ac:dyDescent="0.25">
      <c r="K997" s="40"/>
    </row>
    <row r="998" spans="11:11" ht="15.75" customHeight="1" x14ac:dyDescent="0.25">
      <c r="K998" s="40"/>
    </row>
    <row r="999" spans="11:11" ht="15.75" customHeight="1" x14ac:dyDescent="0.25">
      <c r="K999" s="40"/>
    </row>
    <row r="1000" spans="11:11" ht="15.75" customHeight="1" x14ac:dyDescent="0.25">
      <c r="K1000" s="40"/>
    </row>
    <row r="1001" spans="11:11" ht="15.75" customHeight="1" x14ac:dyDescent="0.25">
      <c r="K1001" s="40"/>
    </row>
    <row r="1002" spans="11:11" ht="15.75" customHeight="1" x14ac:dyDescent="0.25">
      <c r="K1002" s="40"/>
    </row>
    <row r="1003" spans="11:11" ht="15.75" customHeight="1" x14ac:dyDescent="0.25">
      <c r="K1003" s="40"/>
    </row>
    <row r="1004" spans="11:11" ht="15.75" customHeight="1" x14ac:dyDescent="0.25">
      <c r="K1004" s="40"/>
    </row>
    <row r="1005" spans="11:11" ht="15.75" customHeight="1" x14ac:dyDescent="0.25">
      <c r="K1005"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763"/>
  <sheetViews>
    <sheetView view="pageBreakPreview" topLeftCell="A32" zoomScale="115" zoomScaleNormal="100" zoomScaleSheetLayoutView="115" workbookViewId="0">
      <selection activeCell="A6" sqref="A6"/>
    </sheetView>
  </sheetViews>
  <sheetFormatPr defaultColWidth="14.42578125" defaultRowHeight="15" customHeight="1" x14ac:dyDescent="0.25"/>
  <cols>
    <col min="1" max="1" width="76.28515625" customWidth="1"/>
    <col min="2" max="2" width="17.28515625" customWidth="1"/>
    <col min="3" max="6" width="17.85546875" hidden="1" customWidth="1"/>
    <col min="7" max="7" width="17.85546875" customWidth="1"/>
    <col min="8" max="9" width="15.28515625" customWidth="1"/>
    <col min="10" max="10" width="10.28515625" customWidth="1"/>
    <col min="11" max="11" width="12.28515625" customWidth="1"/>
    <col min="12" max="26" width="10.28515625" customWidth="1"/>
  </cols>
  <sheetData>
    <row r="1" spans="1:26" ht="15.7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5.75" x14ac:dyDescent="0.25">
      <c r="A2" s="17"/>
      <c r="B2" s="15"/>
      <c r="C2" s="18"/>
      <c r="D2" s="18"/>
      <c r="E2" s="18"/>
      <c r="F2" s="15"/>
      <c r="G2" s="19"/>
      <c r="H2" s="14"/>
      <c r="I2" s="15"/>
      <c r="J2" s="15"/>
      <c r="K2" s="167"/>
      <c r="L2" s="15"/>
      <c r="M2" s="15"/>
      <c r="N2" s="15"/>
      <c r="O2" s="15"/>
      <c r="P2" s="15"/>
      <c r="Q2" s="15"/>
      <c r="R2" s="15"/>
      <c r="S2" s="15"/>
      <c r="T2" s="15"/>
      <c r="U2" s="15"/>
      <c r="V2" s="15"/>
      <c r="W2" s="15"/>
      <c r="X2" s="15"/>
      <c r="Y2" s="15"/>
      <c r="Z2" s="15"/>
    </row>
    <row r="3" spans="1:26" ht="15.75" x14ac:dyDescent="0.25">
      <c r="A3" s="861" t="s">
        <v>349</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5.75" x14ac:dyDescent="0.25">
      <c r="A4" s="864" t="s">
        <v>350</v>
      </c>
      <c r="B4" s="862"/>
      <c r="C4" s="862"/>
      <c r="D4" s="862"/>
      <c r="E4" s="862"/>
      <c r="F4" s="862"/>
      <c r="G4" s="863"/>
      <c r="H4" s="14"/>
      <c r="I4" s="15"/>
      <c r="J4" s="15"/>
      <c r="K4" s="167"/>
      <c r="L4" s="15"/>
      <c r="M4" s="15"/>
      <c r="N4" s="15"/>
      <c r="O4" s="15"/>
      <c r="P4" s="15"/>
      <c r="Q4" s="15"/>
      <c r="R4" s="15"/>
      <c r="S4" s="15"/>
      <c r="T4" s="15"/>
      <c r="U4" s="15"/>
      <c r="V4" s="15"/>
      <c r="W4" s="15"/>
      <c r="X4" s="15"/>
      <c r="Y4" s="15"/>
      <c r="Z4" s="15"/>
    </row>
    <row r="5" spans="1:26" ht="15.75" x14ac:dyDescent="0.25">
      <c r="A5" s="21"/>
      <c r="B5" s="18"/>
      <c r="C5" s="18"/>
      <c r="D5" s="18"/>
      <c r="E5" s="18"/>
      <c r="F5" s="18"/>
      <c r="G5" s="23"/>
      <c r="H5" s="14"/>
      <c r="I5" s="15"/>
      <c r="J5" s="15"/>
      <c r="K5" s="167"/>
      <c r="L5" s="15"/>
      <c r="M5" s="15"/>
      <c r="N5" s="15"/>
      <c r="O5" s="15"/>
      <c r="P5" s="15"/>
      <c r="Q5" s="15"/>
      <c r="R5" s="15"/>
      <c r="S5" s="15"/>
      <c r="T5" s="15"/>
      <c r="U5" s="15"/>
      <c r="V5" s="15"/>
      <c r="W5" s="15"/>
      <c r="X5" s="15"/>
      <c r="Y5" s="15"/>
      <c r="Z5" s="15"/>
    </row>
    <row r="6" spans="1:26" ht="15.75" x14ac:dyDescent="0.25">
      <c r="A6" s="17" t="s">
        <v>767</v>
      </c>
      <c r="B6" s="24"/>
      <c r="C6" s="25"/>
      <c r="D6" s="25"/>
      <c r="E6" s="25"/>
      <c r="F6" s="24"/>
      <c r="G6" s="19"/>
      <c r="H6" s="14"/>
      <c r="I6" s="15"/>
      <c r="J6" s="15"/>
      <c r="K6" s="167"/>
      <c r="L6" s="15"/>
      <c r="M6" s="15"/>
      <c r="N6" s="15"/>
      <c r="O6" s="15"/>
      <c r="P6" s="15"/>
      <c r="Q6" s="15"/>
      <c r="R6" s="15"/>
      <c r="S6" s="15"/>
      <c r="T6" s="15"/>
      <c r="U6" s="15"/>
      <c r="V6" s="15"/>
      <c r="W6" s="15"/>
      <c r="X6" s="15"/>
      <c r="Y6" s="15"/>
      <c r="Z6" s="15"/>
    </row>
    <row r="7" spans="1:26" ht="15.75" x14ac:dyDescent="0.25">
      <c r="A7" s="17"/>
      <c r="B7" s="24"/>
      <c r="C7" s="25"/>
      <c r="D7" s="25"/>
      <c r="E7" s="25"/>
      <c r="F7" s="24"/>
      <c r="G7" s="19"/>
      <c r="H7" s="14"/>
      <c r="I7" s="15"/>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9" t="s">
        <v>364</v>
      </c>
      <c r="B13" s="38"/>
      <c r="C13" s="42"/>
      <c r="D13" s="42"/>
      <c r="E13" s="42"/>
      <c r="F13" s="42"/>
      <c r="G13" s="37"/>
      <c r="K13" s="168"/>
    </row>
    <row r="14" spans="1:26" ht="15.75" customHeight="1" x14ac:dyDescent="0.25">
      <c r="A14" s="17" t="s">
        <v>622</v>
      </c>
      <c r="B14" s="41"/>
      <c r="C14" s="42"/>
      <c r="D14" s="42"/>
      <c r="E14" s="42"/>
      <c r="F14" s="42"/>
      <c r="G14" s="42"/>
      <c r="K14" s="168"/>
    </row>
    <row r="15" spans="1:26" ht="15.75" customHeight="1" x14ac:dyDescent="0.25">
      <c r="A15" s="17" t="s">
        <v>366</v>
      </c>
      <c r="B15" s="41"/>
      <c r="C15" s="42"/>
      <c r="D15" s="42"/>
      <c r="E15" s="19"/>
      <c r="F15" s="42"/>
      <c r="G15" s="42"/>
      <c r="K15" s="168"/>
    </row>
    <row r="16" spans="1:26" ht="15.75" customHeight="1" x14ac:dyDescent="0.25">
      <c r="A16" s="44" t="s">
        <v>367</v>
      </c>
      <c r="B16" s="41" t="s">
        <v>121</v>
      </c>
      <c r="C16" s="43">
        <v>2521228.94</v>
      </c>
      <c r="D16" s="43">
        <v>1283178.67</v>
      </c>
      <c r="E16" s="45">
        <f>F16-D16</f>
        <v>2194253.33</v>
      </c>
      <c r="F16" s="43">
        <v>3477432</v>
      </c>
      <c r="G16" s="43">
        <v>3637644</v>
      </c>
      <c r="H16" s="56"/>
      <c r="I16" s="7"/>
      <c r="K16" s="168"/>
    </row>
    <row r="17" spans="1:11" ht="15.75" customHeight="1" x14ac:dyDescent="0.25">
      <c r="A17" s="17" t="s">
        <v>368</v>
      </c>
      <c r="B17" s="41"/>
      <c r="C17" s="46"/>
      <c r="D17" s="46"/>
      <c r="E17" s="45"/>
      <c r="F17" s="43"/>
      <c r="G17" s="43"/>
      <c r="I17" s="7"/>
      <c r="K17" s="168"/>
    </row>
    <row r="18" spans="1:11" ht="15.75" customHeight="1" x14ac:dyDescent="0.25">
      <c r="A18" s="44" t="s">
        <v>369</v>
      </c>
      <c r="B18" s="41" t="s">
        <v>125</v>
      </c>
      <c r="C18" s="43">
        <v>141580.9</v>
      </c>
      <c r="D18" s="43">
        <v>69959.63</v>
      </c>
      <c r="E18" s="45">
        <f t="shared" ref="E18:E21" si="0">F18-D18</f>
        <v>146040.37</v>
      </c>
      <c r="F18" s="43">
        <v>216000</v>
      </c>
      <c r="G18" s="43">
        <v>216000</v>
      </c>
      <c r="I18" s="7"/>
      <c r="K18" s="168"/>
    </row>
    <row r="19" spans="1:11" ht="15.75" customHeight="1" x14ac:dyDescent="0.25">
      <c r="A19" s="44" t="s">
        <v>373</v>
      </c>
      <c r="B19" s="41" t="s">
        <v>131</v>
      </c>
      <c r="C19" s="43">
        <v>42000</v>
      </c>
      <c r="D19" s="43">
        <v>42000</v>
      </c>
      <c r="E19" s="45">
        <f t="shared" si="0"/>
        <v>21000</v>
      </c>
      <c r="F19" s="43">
        <v>63000</v>
      </c>
      <c r="G19" s="43">
        <v>63000</v>
      </c>
      <c r="I19" s="7"/>
      <c r="K19" s="168"/>
    </row>
    <row r="20" spans="1:11" ht="15.75" customHeight="1" x14ac:dyDescent="0.25">
      <c r="A20" s="44" t="s">
        <v>374</v>
      </c>
      <c r="B20" s="41" t="s">
        <v>151</v>
      </c>
      <c r="C20" s="43">
        <v>218920</v>
      </c>
      <c r="D20" s="43">
        <v>0</v>
      </c>
      <c r="E20" s="45">
        <f t="shared" si="0"/>
        <v>289786</v>
      </c>
      <c r="F20" s="43">
        <v>289786</v>
      </c>
      <c r="G20" s="43">
        <v>303137</v>
      </c>
      <c r="I20" s="7"/>
      <c r="K20" s="168"/>
    </row>
    <row r="21" spans="1:11" ht="15.75" customHeight="1" x14ac:dyDescent="0.25">
      <c r="A21" s="44" t="s">
        <v>375</v>
      </c>
      <c r="B21" s="41" t="s">
        <v>153</v>
      </c>
      <c r="C21" s="43">
        <v>30000</v>
      </c>
      <c r="D21" s="43">
        <v>0</v>
      </c>
      <c r="E21" s="45">
        <f t="shared" si="0"/>
        <v>45000</v>
      </c>
      <c r="F21" s="43">
        <v>45000</v>
      </c>
      <c r="G21" s="43">
        <v>45000</v>
      </c>
      <c r="I21" s="7"/>
      <c r="K21" s="168"/>
    </row>
    <row r="22" spans="1:11" ht="15.75" customHeight="1" x14ac:dyDescent="0.25">
      <c r="A22" s="44" t="s">
        <v>376</v>
      </c>
      <c r="B22" s="41" t="s">
        <v>155</v>
      </c>
      <c r="C22" s="46"/>
      <c r="D22" s="46"/>
      <c r="E22" s="45"/>
      <c r="F22" s="43"/>
      <c r="G22" s="43"/>
      <c r="I22" s="7"/>
      <c r="K22" s="168"/>
    </row>
    <row r="23" spans="1:11" ht="15.75" customHeight="1" x14ac:dyDescent="0.25">
      <c r="A23" s="96" t="s">
        <v>623</v>
      </c>
      <c r="B23" s="41" t="s">
        <v>157</v>
      </c>
      <c r="C23" s="46"/>
      <c r="D23" s="46"/>
      <c r="E23" s="45"/>
      <c r="F23" s="43"/>
      <c r="G23" s="43">
        <v>10000</v>
      </c>
      <c r="I23" s="7"/>
      <c r="K23" s="168"/>
    </row>
    <row r="24" spans="1:11" ht="15.75" customHeight="1" x14ac:dyDescent="0.25">
      <c r="A24" s="44" t="s">
        <v>378</v>
      </c>
      <c r="B24" s="41" t="s">
        <v>159</v>
      </c>
      <c r="C24" s="43"/>
      <c r="D24" s="43">
        <v>18000</v>
      </c>
      <c r="E24" s="45">
        <f t="shared" ref="E24:E25" si="1">F24-D24</f>
        <v>9000</v>
      </c>
      <c r="F24" s="43">
        <v>27000</v>
      </c>
      <c r="G24" s="43">
        <v>0</v>
      </c>
      <c r="I24" s="7"/>
      <c r="K24" s="168"/>
    </row>
    <row r="25" spans="1:11" ht="15.75" customHeight="1" x14ac:dyDescent="0.25">
      <c r="A25" s="44" t="s">
        <v>379</v>
      </c>
      <c r="B25" s="41" t="s">
        <v>161</v>
      </c>
      <c r="C25" s="43">
        <v>208960</v>
      </c>
      <c r="D25" s="43">
        <v>219072</v>
      </c>
      <c r="E25" s="45">
        <f t="shared" si="1"/>
        <v>70714</v>
      </c>
      <c r="F25" s="43">
        <v>289786</v>
      </c>
      <c r="G25" s="43">
        <v>303137</v>
      </c>
      <c r="I25" s="7"/>
      <c r="K25" s="168"/>
    </row>
    <row r="26" spans="1:11" ht="15.75" customHeight="1" x14ac:dyDescent="0.25">
      <c r="A26" s="17" t="s">
        <v>380</v>
      </c>
      <c r="B26" s="41"/>
      <c r="C26" s="46"/>
      <c r="D26" s="46"/>
      <c r="E26" s="45"/>
      <c r="F26" s="43"/>
      <c r="G26" s="43"/>
      <c r="I26" s="7"/>
      <c r="K26" s="168"/>
    </row>
    <row r="27" spans="1:11" ht="15.75" customHeight="1" x14ac:dyDescent="0.25">
      <c r="A27" s="44" t="s">
        <v>381</v>
      </c>
      <c r="B27" s="41" t="s">
        <v>165</v>
      </c>
      <c r="C27" s="43">
        <v>303860.08</v>
      </c>
      <c r="D27" s="43">
        <v>157725.96</v>
      </c>
      <c r="E27" s="45">
        <f t="shared" ref="E27:E30" si="2">F27-D27</f>
        <v>259566.04</v>
      </c>
      <c r="F27" s="43">
        <v>417292</v>
      </c>
      <c r="G27" s="43">
        <v>436518</v>
      </c>
      <c r="I27" s="7"/>
      <c r="K27" s="168"/>
    </row>
    <row r="28" spans="1:11" ht="15.75" customHeight="1" x14ac:dyDescent="0.25">
      <c r="A28" s="44" t="s">
        <v>382</v>
      </c>
      <c r="B28" s="41" t="s">
        <v>167</v>
      </c>
      <c r="C28" s="43">
        <v>51127.92</v>
      </c>
      <c r="D28" s="43">
        <v>26287.66</v>
      </c>
      <c r="E28" s="45">
        <f t="shared" si="2"/>
        <v>43261.34</v>
      </c>
      <c r="F28" s="43">
        <v>69549</v>
      </c>
      <c r="G28" s="43">
        <v>72753</v>
      </c>
      <c r="I28" s="7"/>
      <c r="K28" s="168"/>
    </row>
    <row r="29" spans="1:11" ht="15.75" customHeight="1" x14ac:dyDescent="0.25">
      <c r="A29" s="44" t="s">
        <v>383</v>
      </c>
      <c r="B29" s="41" t="s">
        <v>169</v>
      </c>
      <c r="C29" s="43">
        <v>63910.12</v>
      </c>
      <c r="D29" s="43">
        <v>32859.64</v>
      </c>
      <c r="E29" s="45">
        <f t="shared" si="2"/>
        <v>54080.36</v>
      </c>
      <c r="F29" s="43">
        <v>86940</v>
      </c>
      <c r="G29" s="43">
        <v>90945</v>
      </c>
      <c r="I29" s="7"/>
      <c r="K29" s="168"/>
    </row>
    <row r="30" spans="1:11" ht="15.75" customHeight="1" x14ac:dyDescent="0.25">
      <c r="A30" s="44" t="s">
        <v>384</v>
      </c>
      <c r="B30" s="41" t="s">
        <v>171</v>
      </c>
      <c r="C30" s="43">
        <v>7200</v>
      </c>
      <c r="D30" s="43">
        <v>3600</v>
      </c>
      <c r="E30" s="45">
        <f t="shared" si="2"/>
        <v>7200</v>
      </c>
      <c r="F30" s="43">
        <v>10800</v>
      </c>
      <c r="G30" s="43">
        <v>10800</v>
      </c>
      <c r="I30" s="7"/>
      <c r="K30" s="168"/>
    </row>
    <row r="31" spans="1:11" ht="15.75" customHeight="1" x14ac:dyDescent="0.25">
      <c r="A31" s="17" t="s">
        <v>624</v>
      </c>
      <c r="B31" s="41"/>
      <c r="C31" s="46"/>
      <c r="D31" s="46"/>
      <c r="E31" s="45"/>
      <c r="F31" s="43"/>
      <c r="G31" s="43"/>
      <c r="I31" s="7"/>
      <c r="K31" s="168"/>
    </row>
    <row r="32" spans="1:11" ht="15.75" x14ac:dyDescent="0.25">
      <c r="A32" s="44" t="s">
        <v>387</v>
      </c>
      <c r="B32" s="41" t="s">
        <v>181</v>
      </c>
      <c r="C32" s="43">
        <v>10043.36</v>
      </c>
      <c r="D32" s="43">
        <v>10539.74</v>
      </c>
      <c r="E32" s="45">
        <f t="shared" ref="E32:E33" si="3">F32-D32</f>
        <v>129116.26</v>
      </c>
      <c r="F32" s="43">
        <v>139656</v>
      </c>
      <c r="G32" s="43">
        <v>146090</v>
      </c>
      <c r="I32" s="7"/>
      <c r="K32" s="168"/>
    </row>
    <row r="33" spans="1:11" ht="15.75" x14ac:dyDescent="0.25">
      <c r="A33" s="44" t="s">
        <v>388</v>
      </c>
      <c r="B33" s="41" t="s">
        <v>183</v>
      </c>
      <c r="C33" s="43">
        <v>30000</v>
      </c>
      <c r="D33" s="43">
        <v>0</v>
      </c>
      <c r="E33" s="45">
        <f t="shared" si="3"/>
        <v>45000</v>
      </c>
      <c r="F33" s="43">
        <v>45000</v>
      </c>
      <c r="G33" s="43">
        <v>45000</v>
      </c>
      <c r="I33" s="7"/>
      <c r="K33" s="168"/>
    </row>
    <row r="34" spans="1:11" ht="31.5" x14ac:dyDescent="0.25">
      <c r="A34" s="455" t="s">
        <v>625</v>
      </c>
      <c r="B34" s="487"/>
      <c r="C34" s="45"/>
      <c r="D34" s="43"/>
      <c r="E34" s="45"/>
      <c r="F34" s="43"/>
      <c r="G34" s="43">
        <v>105316</v>
      </c>
      <c r="K34" s="168"/>
    </row>
    <row r="35" spans="1:11" ht="15.75" x14ac:dyDescent="0.25">
      <c r="A35" s="456" t="s">
        <v>632</v>
      </c>
      <c r="B35" s="454"/>
      <c r="C35" s="79">
        <f t="shared" ref="C35:D35" si="4">SUM(C16:C33)</f>
        <v>3628831.32</v>
      </c>
      <c r="D35" s="54">
        <f t="shared" si="4"/>
        <v>1863223.2999999996</v>
      </c>
      <c r="E35" s="54">
        <f>F35-D35</f>
        <v>3314017.7</v>
      </c>
      <c r="F35" s="54">
        <f>SUM(F16:F33)</f>
        <v>5177241</v>
      </c>
      <c r="G35" s="54">
        <f>SUM(G16:G34)</f>
        <v>5485340</v>
      </c>
      <c r="K35" s="168"/>
    </row>
    <row r="36" spans="1:11" ht="15.75" x14ac:dyDescent="0.25">
      <c r="A36" s="456"/>
      <c r="B36" s="517"/>
      <c r="C36" s="81"/>
      <c r="D36" s="55"/>
      <c r="E36" s="39"/>
      <c r="F36" s="163"/>
      <c r="G36" s="55"/>
      <c r="H36" s="7"/>
      <c r="I36" s="7"/>
      <c r="K36" s="168"/>
    </row>
    <row r="37" spans="1:11" ht="15.75" x14ac:dyDescent="0.25">
      <c r="A37" s="456" t="s">
        <v>626</v>
      </c>
      <c r="B37" s="518"/>
      <c r="C37" s="43"/>
      <c r="D37" s="43"/>
      <c r="E37" s="45"/>
      <c r="F37" s="43"/>
      <c r="G37" s="43"/>
      <c r="H37" s="7"/>
      <c r="K37" s="168"/>
    </row>
    <row r="38" spans="1:11" ht="15.75" x14ac:dyDescent="0.25">
      <c r="A38" s="17" t="s">
        <v>642</v>
      </c>
      <c r="B38" s="41"/>
      <c r="C38" s="43"/>
      <c r="D38" s="43"/>
      <c r="E38" s="45"/>
      <c r="F38" s="43"/>
      <c r="G38" s="440"/>
      <c r="K38" s="168"/>
    </row>
    <row r="39" spans="1:11" ht="15.75" x14ac:dyDescent="0.25">
      <c r="A39" s="44" t="s">
        <v>393</v>
      </c>
      <c r="B39" s="41" t="s">
        <v>187</v>
      </c>
      <c r="C39" s="43">
        <v>81451.759999999995</v>
      </c>
      <c r="D39" s="43">
        <v>39756</v>
      </c>
      <c r="E39" s="45">
        <f>F39-D39</f>
        <v>60244</v>
      </c>
      <c r="F39" s="43">
        <v>100000</v>
      </c>
      <c r="G39" s="440">
        <v>150000</v>
      </c>
      <c r="K39" s="168"/>
    </row>
    <row r="40" spans="1:11" ht="15.75" x14ac:dyDescent="0.25">
      <c r="A40" s="17" t="s">
        <v>493</v>
      </c>
      <c r="B40" s="41"/>
      <c r="C40" s="43"/>
      <c r="D40" s="43"/>
      <c r="E40" s="45"/>
      <c r="F40" s="43"/>
      <c r="G40" s="440"/>
      <c r="K40" s="168"/>
    </row>
    <row r="41" spans="1:11" ht="15.75" x14ac:dyDescent="0.25">
      <c r="A41" s="44" t="s">
        <v>396</v>
      </c>
      <c r="B41" s="41" t="s">
        <v>191</v>
      </c>
      <c r="C41" s="45">
        <v>49998</v>
      </c>
      <c r="D41" s="45">
        <v>6500</v>
      </c>
      <c r="E41" s="45">
        <f>F41-D41</f>
        <v>43500</v>
      </c>
      <c r="F41" s="45">
        <v>50000</v>
      </c>
      <c r="G41" s="494">
        <v>100000</v>
      </c>
      <c r="K41" s="168"/>
    </row>
    <row r="42" spans="1:11" ht="15.75" x14ac:dyDescent="0.25">
      <c r="A42" s="17" t="s">
        <v>499</v>
      </c>
      <c r="B42" s="41"/>
      <c r="C42" s="45"/>
      <c r="D42" s="45"/>
      <c r="E42" s="45"/>
      <c r="F42" s="45"/>
      <c r="G42" s="494"/>
      <c r="K42" s="168"/>
    </row>
    <row r="43" spans="1:11" ht="15.75" x14ac:dyDescent="0.25">
      <c r="A43" s="44" t="s">
        <v>398</v>
      </c>
      <c r="B43" s="41" t="s">
        <v>195</v>
      </c>
      <c r="C43" s="43">
        <v>133000</v>
      </c>
      <c r="D43" s="43">
        <v>160832.57</v>
      </c>
      <c r="E43" s="45">
        <f t="shared" ref="E43:E45" si="5">F43-D43</f>
        <v>652.42999999999302</v>
      </c>
      <c r="F43" s="43">
        <v>161485</v>
      </c>
      <c r="G43" s="440">
        <v>213840</v>
      </c>
      <c r="K43" s="168"/>
    </row>
    <row r="44" spans="1:11" ht="15.75" x14ac:dyDescent="0.25">
      <c r="A44" s="48" t="s">
        <v>400</v>
      </c>
      <c r="B44" s="49" t="s">
        <v>221</v>
      </c>
      <c r="C44" s="45">
        <v>0</v>
      </c>
      <c r="D44" s="45">
        <v>0</v>
      </c>
      <c r="E44" s="45">
        <f t="shared" si="5"/>
        <v>0</v>
      </c>
      <c r="F44" s="45">
        <v>0</v>
      </c>
      <c r="G44" s="494">
        <v>105600</v>
      </c>
      <c r="K44" s="168"/>
    </row>
    <row r="45" spans="1:11" ht="15.75" x14ac:dyDescent="0.25">
      <c r="A45" s="44" t="s">
        <v>402</v>
      </c>
      <c r="B45" s="41" t="s">
        <v>225</v>
      </c>
      <c r="C45" s="43">
        <v>10000</v>
      </c>
      <c r="D45" s="43">
        <v>13998.52</v>
      </c>
      <c r="E45" s="45">
        <f t="shared" si="5"/>
        <v>56.479999999999563</v>
      </c>
      <c r="F45" s="43">
        <v>14055</v>
      </c>
      <c r="G45" s="440">
        <v>18572</v>
      </c>
      <c r="K45" s="168"/>
    </row>
    <row r="46" spans="1:11" ht="15.75" x14ac:dyDescent="0.25">
      <c r="A46" s="42" t="s">
        <v>768</v>
      </c>
      <c r="B46" s="41"/>
      <c r="C46" s="43"/>
      <c r="D46" s="43"/>
      <c r="E46" s="45" t="s">
        <v>769</v>
      </c>
      <c r="F46" s="43"/>
      <c r="G46" s="440"/>
      <c r="K46" s="168"/>
    </row>
    <row r="47" spans="1:11" ht="15.75" customHeight="1" x14ac:dyDescent="0.25">
      <c r="A47" s="44" t="s">
        <v>770</v>
      </c>
      <c r="B47" s="41" t="s">
        <v>245</v>
      </c>
      <c r="C47" s="43">
        <v>4237369</v>
      </c>
      <c r="D47" s="43">
        <v>2221077</v>
      </c>
      <c r="E47" s="45">
        <f>F47-D47</f>
        <v>1778923</v>
      </c>
      <c r="F47" s="43">
        <v>4000000</v>
      </c>
      <c r="G47" s="440">
        <v>4890000</v>
      </c>
      <c r="I47" s="187"/>
      <c r="K47" s="168"/>
    </row>
    <row r="48" spans="1:11" ht="15.75" customHeight="1" x14ac:dyDescent="0.25">
      <c r="A48" s="42" t="s">
        <v>506</v>
      </c>
      <c r="B48" s="41"/>
      <c r="C48" s="42"/>
      <c r="D48" s="42"/>
      <c r="E48" s="45"/>
      <c r="F48" s="43"/>
      <c r="G48" s="440"/>
      <c r="K48" s="168"/>
    </row>
    <row r="49" spans="1:11" ht="15.75" customHeight="1" x14ac:dyDescent="0.25">
      <c r="A49" s="44" t="s">
        <v>725</v>
      </c>
      <c r="B49" s="41" t="s">
        <v>283</v>
      </c>
      <c r="C49" s="45">
        <v>0</v>
      </c>
      <c r="D49" s="45">
        <v>0</v>
      </c>
      <c r="E49" s="45">
        <f>F49-D49</f>
        <v>0</v>
      </c>
      <c r="F49" s="45">
        <v>0</v>
      </c>
      <c r="G49" s="440">
        <v>150000</v>
      </c>
      <c r="K49" s="168"/>
    </row>
    <row r="50" spans="1:11" ht="15.75" customHeight="1" x14ac:dyDescent="0.25">
      <c r="A50" s="17" t="s">
        <v>771</v>
      </c>
      <c r="B50" s="41"/>
      <c r="C50" s="42"/>
      <c r="D50" s="42"/>
      <c r="E50" s="45"/>
      <c r="F50" s="43"/>
      <c r="G50" s="440"/>
      <c r="K50" s="168"/>
    </row>
    <row r="51" spans="1:11" ht="15.75" customHeight="1" x14ac:dyDescent="0.25">
      <c r="A51" s="17" t="s">
        <v>511</v>
      </c>
      <c r="B51" s="41"/>
      <c r="C51" s="42"/>
      <c r="D51" s="42"/>
      <c r="E51" s="45"/>
      <c r="F51" s="43"/>
      <c r="G51" s="440"/>
      <c r="K51" s="168"/>
    </row>
    <row r="52" spans="1:11" ht="15.75" customHeight="1" x14ac:dyDescent="0.25">
      <c r="A52" s="44" t="s">
        <v>424</v>
      </c>
      <c r="B52" s="41" t="s">
        <v>335</v>
      </c>
      <c r="C52" s="43">
        <v>2483711</v>
      </c>
      <c r="D52" s="43">
        <v>1266299</v>
      </c>
      <c r="E52" s="45">
        <f>F52-D52</f>
        <v>2022981</v>
      </c>
      <c r="F52" s="43">
        <v>3289280</v>
      </c>
      <c r="G52" s="440">
        <v>7311164</v>
      </c>
      <c r="H52" s="168">
        <f>SUM(K54:K66)</f>
        <v>7311164</v>
      </c>
      <c r="K52" s="168"/>
    </row>
    <row r="53" spans="1:11" ht="15.75" customHeight="1" x14ac:dyDescent="0.25">
      <c r="A53" s="44" t="s">
        <v>450</v>
      </c>
      <c r="B53" s="172"/>
      <c r="C53" s="43"/>
      <c r="D53" s="43"/>
      <c r="E53" s="45"/>
      <c r="F53" s="43"/>
      <c r="G53" s="440"/>
      <c r="H53" s="99"/>
      <c r="K53" s="168"/>
    </row>
    <row r="54" spans="1:11" ht="15.75" customHeight="1" x14ac:dyDescent="0.25">
      <c r="A54" s="44" t="s">
        <v>772</v>
      </c>
      <c r="B54" s="172"/>
      <c r="C54" s="43"/>
      <c r="D54" s="43"/>
      <c r="E54" s="45"/>
      <c r="F54" s="43"/>
      <c r="G54" s="440"/>
      <c r="H54" s="99">
        <v>264</v>
      </c>
      <c r="I54" s="57">
        <v>1056</v>
      </c>
      <c r="J54" s="57">
        <v>1</v>
      </c>
      <c r="K54" s="168">
        <f>H54*I54*J54</f>
        <v>278784</v>
      </c>
    </row>
    <row r="55" spans="1:11" ht="15.75" customHeight="1" x14ac:dyDescent="0.25">
      <c r="A55" s="44" t="s">
        <v>773</v>
      </c>
      <c r="B55" s="172"/>
      <c r="C55" s="43"/>
      <c r="D55" s="43"/>
      <c r="E55" s="45"/>
      <c r="F55" s="43"/>
      <c r="G55" s="440"/>
      <c r="H55" s="99"/>
      <c r="K55" s="168"/>
    </row>
    <row r="56" spans="1:11" ht="15.75" customHeight="1" x14ac:dyDescent="0.25">
      <c r="A56" s="44" t="s">
        <v>774</v>
      </c>
      <c r="B56" s="172"/>
      <c r="C56" s="43"/>
      <c r="D56" s="43"/>
      <c r="E56" s="45"/>
      <c r="F56" s="43"/>
      <c r="G56" s="43"/>
      <c r="H56" s="99">
        <v>264</v>
      </c>
      <c r="I56" s="57">
        <v>678</v>
      </c>
      <c r="J56" s="57">
        <v>10</v>
      </c>
      <c r="K56" s="168">
        <f>H56*I56*J56</f>
        <v>1789920</v>
      </c>
    </row>
    <row r="57" spans="1:11" ht="15.75" customHeight="1" x14ac:dyDescent="0.25">
      <c r="A57" s="646" t="s">
        <v>775</v>
      </c>
      <c r="B57" s="555"/>
      <c r="C57" s="457"/>
      <c r="D57" s="457"/>
      <c r="E57" s="452"/>
      <c r="F57" s="457"/>
      <c r="G57" s="457"/>
      <c r="H57" s="99"/>
      <c r="K57" s="168"/>
    </row>
    <row r="58" spans="1:11" ht="15.75" customHeight="1" x14ac:dyDescent="0.25">
      <c r="A58" s="611" t="s">
        <v>776</v>
      </c>
      <c r="B58" s="624"/>
      <c r="C58" s="448"/>
      <c r="D58" s="448"/>
      <c r="E58" s="449"/>
      <c r="F58" s="448"/>
      <c r="G58" s="448"/>
      <c r="H58" s="99"/>
      <c r="K58" s="168"/>
    </row>
    <row r="59" spans="1:11" ht="15.75" customHeight="1" x14ac:dyDescent="0.25">
      <c r="A59" s="188" t="s">
        <v>777</v>
      </c>
      <c r="B59" s="172"/>
      <c r="C59" s="43"/>
      <c r="D59" s="43"/>
      <c r="E59" s="45"/>
      <c r="F59" s="43"/>
      <c r="G59" s="43"/>
      <c r="H59" s="99">
        <v>264</v>
      </c>
      <c r="I59" s="57">
        <v>639</v>
      </c>
      <c r="J59" s="57">
        <v>10</v>
      </c>
      <c r="K59" s="168">
        <f>H59*I59*J59</f>
        <v>1686960</v>
      </c>
    </row>
    <row r="60" spans="1:11" ht="15.75" customHeight="1" x14ac:dyDescent="0.25">
      <c r="A60" s="44" t="s">
        <v>778</v>
      </c>
      <c r="B60" s="172"/>
      <c r="C60" s="43"/>
      <c r="D60" s="43"/>
      <c r="E60" s="45"/>
      <c r="F60" s="43"/>
      <c r="G60" s="43"/>
      <c r="H60" s="99"/>
      <c r="K60" s="168"/>
    </row>
    <row r="61" spans="1:11" ht="15.75" customHeight="1" x14ac:dyDescent="0.25">
      <c r="A61" s="44" t="s">
        <v>779</v>
      </c>
      <c r="B61" s="172"/>
      <c r="C61" s="43"/>
      <c r="D61" s="43"/>
      <c r="E61" s="45"/>
      <c r="F61" s="43"/>
      <c r="G61" s="43"/>
      <c r="H61" s="99"/>
      <c r="K61" s="168">
        <v>300000</v>
      </c>
    </row>
    <row r="62" spans="1:11" ht="15.75" customHeight="1" x14ac:dyDescent="0.25">
      <c r="A62" s="44" t="s">
        <v>780</v>
      </c>
      <c r="B62" s="172"/>
      <c r="C62" s="43"/>
      <c r="D62" s="43"/>
      <c r="E62" s="45"/>
      <c r="F62" s="43"/>
      <c r="G62" s="43"/>
      <c r="H62" s="99"/>
      <c r="K62" s="168">
        <v>200000</v>
      </c>
    </row>
    <row r="63" spans="1:11" ht="15.75" customHeight="1" x14ac:dyDescent="0.25">
      <c r="A63" s="44" t="s">
        <v>781</v>
      </c>
      <c r="B63" s="172"/>
      <c r="C63" s="43"/>
      <c r="D63" s="43"/>
      <c r="E63" s="45"/>
      <c r="F63" s="43"/>
      <c r="G63" s="43"/>
      <c r="H63" s="99"/>
      <c r="K63" s="168">
        <v>55500</v>
      </c>
    </row>
    <row r="64" spans="1:11" ht="15.75" customHeight="1" x14ac:dyDescent="0.25">
      <c r="A64" s="44" t="s">
        <v>782</v>
      </c>
      <c r="B64" s="172"/>
      <c r="C64" s="43"/>
      <c r="D64" s="43"/>
      <c r="E64" s="45"/>
      <c r="F64" s="43"/>
      <c r="G64" s="43"/>
      <c r="H64" s="99"/>
      <c r="K64" s="168"/>
    </row>
    <row r="65" spans="1:11" ht="15.75" customHeight="1" x14ac:dyDescent="0.25">
      <c r="A65" s="44" t="s">
        <v>783</v>
      </c>
      <c r="B65" s="172"/>
      <c r="C65" s="43"/>
      <c r="D65" s="43"/>
      <c r="E65" s="45"/>
      <c r="F65" s="43"/>
      <c r="G65" s="43"/>
      <c r="H65" s="99"/>
      <c r="K65" s="168"/>
    </row>
    <row r="66" spans="1:11" ht="15.75" customHeight="1" x14ac:dyDescent="0.25">
      <c r="A66" s="188" t="s">
        <v>784</v>
      </c>
      <c r="B66" s="172"/>
      <c r="C66" s="43"/>
      <c r="D66" s="43"/>
      <c r="E66" s="45"/>
      <c r="F66" s="43"/>
      <c r="G66" s="43"/>
      <c r="H66" s="99"/>
      <c r="K66" s="168">
        <v>3000000</v>
      </c>
    </row>
    <row r="67" spans="1:11" ht="15.75" customHeight="1" x14ac:dyDescent="0.25">
      <c r="A67" s="17" t="s">
        <v>466</v>
      </c>
      <c r="B67" s="172"/>
      <c r="C67" s="54">
        <f t="shared" ref="C67:D67" si="6">SUM(C39:C52)</f>
        <v>6995529.7599999998</v>
      </c>
      <c r="D67" s="54">
        <f t="shared" si="6"/>
        <v>3708463.09</v>
      </c>
      <c r="E67" s="54">
        <f>F67-D67</f>
        <v>3906356.91</v>
      </c>
      <c r="F67" s="54">
        <f t="shared" ref="F67:G67" si="7">SUM(F39:F52)</f>
        <v>7614820</v>
      </c>
      <c r="G67" s="54">
        <f t="shared" si="7"/>
        <v>12939176</v>
      </c>
      <c r="H67" s="99"/>
      <c r="K67" s="168"/>
    </row>
    <row r="68" spans="1:11" ht="15.75" customHeight="1" x14ac:dyDescent="0.25">
      <c r="A68" s="17"/>
      <c r="B68" s="172"/>
      <c r="C68" s="55"/>
      <c r="D68" s="55"/>
      <c r="E68" s="45"/>
      <c r="F68" s="55"/>
      <c r="G68" s="55"/>
      <c r="K68" s="168"/>
    </row>
    <row r="69" spans="1:11" ht="15.75" customHeight="1" x14ac:dyDescent="0.25">
      <c r="A69" s="456" t="s">
        <v>467</v>
      </c>
      <c r="B69" s="518"/>
      <c r="C69" s="43">
        <f t="shared" ref="C69:D69" si="8">C67+C35</f>
        <v>10624361.08</v>
      </c>
      <c r="D69" s="43">
        <f t="shared" si="8"/>
        <v>5571686.3899999997</v>
      </c>
      <c r="E69" s="45">
        <f>F69-D69</f>
        <v>7220374.6100000003</v>
      </c>
      <c r="F69" s="43">
        <f t="shared" ref="F69:G69" si="9">F67+F35</f>
        <v>12792061</v>
      </c>
      <c r="G69" s="462">
        <f t="shared" si="9"/>
        <v>18424516</v>
      </c>
      <c r="H69" s="458"/>
      <c r="K69" s="168"/>
    </row>
    <row r="70" spans="1:11" ht="15.75" customHeight="1" x14ac:dyDescent="0.25">
      <c r="A70" s="456"/>
      <c r="B70" s="519"/>
      <c r="C70" s="519"/>
      <c r="D70" s="443"/>
      <c r="E70" s="443"/>
      <c r="F70" s="519"/>
      <c r="G70" s="520"/>
      <c r="H70" s="458"/>
      <c r="K70" s="168"/>
    </row>
    <row r="71" spans="1:11" ht="15.75" customHeight="1" x14ac:dyDescent="0.25">
      <c r="A71" s="456" t="s">
        <v>529</v>
      </c>
      <c r="B71" s="519"/>
      <c r="C71" s="443"/>
      <c r="D71" s="443"/>
      <c r="E71" s="443"/>
      <c r="F71" s="443"/>
      <c r="G71" s="462"/>
      <c r="H71" s="458"/>
      <c r="K71" s="168"/>
    </row>
    <row r="72" spans="1:11" ht="15.75" customHeight="1" x14ac:dyDescent="0.25">
      <c r="A72" s="17" t="s">
        <v>785</v>
      </c>
      <c r="B72" s="41"/>
      <c r="C72" s="43"/>
      <c r="D72" s="43"/>
      <c r="E72" s="45"/>
      <c r="F72" s="43"/>
      <c r="G72" s="43"/>
      <c r="K72" s="168"/>
    </row>
    <row r="73" spans="1:11" ht="15.75" customHeight="1" x14ac:dyDescent="0.25">
      <c r="A73" s="44" t="s">
        <v>786</v>
      </c>
      <c r="B73" s="41" t="s">
        <v>335</v>
      </c>
      <c r="C73" s="43">
        <v>0</v>
      </c>
      <c r="D73" s="43">
        <v>0</v>
      </c>
      <c r="E73" s="45">
        <f>F73-D73</f>
        <v>500000</v>
      </c>
      <c r="F73" s="43">
        <v>500000</v>
      </c>
      <c r="G73" s="43">
        <v>450000</v>
      </c>
      <c r="K73" s="168"/>
    </row>
    <row r="74" spans="1:11" ht="15.75" customHeight="1" x14ac:dyDescent="0.25">
      <c r="A74" s="44" t="s">
        <v>787</v>
      </c>
      <c r="B74" s="41"/>
      <c r="C74" s="43"/>
      <c r="D74" s="43"/>
      <c r="E74" s="45"/>
      <c r="F74" s="43"/>
      <c r="G74" s="43"/>
      <c r="K74" s="168"/>
    </row>
    <row r="75" spans="1:11" ht="15.75" customHeight="1" x14ac:dyDescent="0.25">
      <c r="A75" s="17" t="s">
        <v>476</v>
      </c>
      <c r="B75" s="41"/>
      <c r="C75" s="43"/>
      <c r="D75" s="43"/>
      <c r="E75" s="45"/>
      <c r="F75" s="43"/>
      <c r="G75" s="43"/>
      <c r="K75" s="168"/>
    </row>
    <row r="76" spans="1:11" ht="15.75" customHeight="1" x14ac:dyDescent="0.25">
      <c r="A76" s="189" t="s">
        <v>788</v>
      </c>
      <c r="B76" s="190" t="s">
        <v>45</v>
      </c>
      <c r="C76" s="43">
        <v>0</v>
      </c>
      <c r="D76" s="43">
        <v>0</v>
      </c>
      <c r="E76" s="45">
        <f>F76-D76</f>
        <v>0</v>
      </c>
      <c r="F76" s="43">
        <v>0</v>
      </c>
      <c r="G76" s="43">
        <v>140000</v>
      </c>
      <c r="K76" s="168"/>
    </row>
    <row r="77" spans="1:11" ht="15.75" customHeight="1" x14ac:dyDescent="0.25">
      <c r="A77" s="44" t="s">
        <v>789</v>
      </c>
      <c r="B77" s="41"/>
      <c r="C77" s="43"/>
      <c r="D77" s="43"/>
      <c r="E77" s="45"/>
      <c r="F77" s="43"/>
      <c r="G77" s="43"/>
      <c r="K77" s="168"/>
    </row>
    <row r="78" spans="1:11" ht="15.75" customHeight="1" x14ac:dyDescent="0.25">
      <c r="A78" s="17" t="s">
        <v>640</v>
      </c>
      <c r="B78" s="41"/>
      <c r="C78" s="54">
        <f>SUM(C72:C77)</f>
        <v>0</v>
      </c>
      <c r="D78" s="54">
        <f>SUM(D72:D77)</f>
        <v>0</v>
      </c>
      <c r="E78" s="54">
        <f>SUM(E72:E77)</f>
        <v>500000</v>
      </c>
      <c r="F78" s="54">
        <f>SUM(F72:F77)</f>
        <v>500000</v>
      </c>
      <c r="G78" s="54">
        <f>SUM(G72:G77)</f>
        <v>590000</v>
      </c>
      <c r="K78" s="168"/>
    </row>
    <row r="79" spans="1:11" ht="15.75" customHeight="1" x14ac:dyDescent="0.25">
      <c r="A79" s="17"/>
      <c r="B79" s="172"/>
      <c r="C79" s="43"/>
      <c r="D79" s="43"/>
      <c r="E79" s="45"/>
      <c r="F79" s="43"/>
      <c r="G79" s="43"/>
      <c r="K79" s="168"/>
    </row>
    <row r="80" spans="1:11" s="458" customFormat="1" ht="15.75" customHeight="1" x14ac:dyDescent="0.25">
      <c r="A80" s="640" t="s">
        <v>487</v>
      </c>
      <c r="B80" s="641" t="s">
        <v>488</v>
      </c>
      <c r="C80" s="634">
        <f>C69+C78</f>
        <v>10624361.08</v>
      </c>
      <c r="D80" s="634">
        <f>D69+D78</f>
        <v>5571686.3899999997</v>
      </c>
      <c r="E80" s="635">
        <f>F80-D80</f>
        <v>7720374.6100000003</v>
      </c>
      <c r="F80" s="634">
        <f>F69+F78</f>
        <v>13292061</v>
      </c>
      <c r="G80" s="634">
        <f>G69+G78</f>
        <v>19014516</v>
      </c>
      <c r="K80" s="644"/>
    </row>
    <row r="81" spans="11:11" s="639" customFormat="1" ht="15.75" customHeight="1" x14ac:dyDescent="0.25">
      <c r="K81" s="645"/>
    </row>
    <row r="82" spans="11:11" s="458" customFormat="1" ht="15.75" customHeight="1" x14ac:dyDescent="0.25">
      <c r="K82" s="644"/>
    </row>
    <row r="83" spans="11:11" ht="15.75" customHeight="1" x14ac:dyDescent="0.25">
      <c r="K83" s="168"/>
    </row>
    <row r="84" spans="11:11" ht="15.75" customHeight="1" x14ac:dyDescent="0.25">
      <c r="K84" s="168"/>
    </row>
    <row r="85" spans="11:11" ht="15.75" customHeight="1" x14ac:dyDescent="0.25">
      <c r="K85" s="168"/>
    </row>
    <row r="86" spans="11:11" ht="15.75" customHeight="1" x14ac:dyDescent="0.25">
      <c r="K86" s="168"/>
    </row>
    <row r="87" spans="11:11" ht="15.75" customHeight="1" x14ac:dyDescent="0.25">
      <c r="K87" s="168"/>
    </row>
    <row r="88" spans="11:11" ht="15.75" customHeight="1" x14ac:dyDescent="0.25">
      <c r="K88" s="168"/>
    </row>
    <row r="89" spans="11:11" ht="15.75" customHeight="1" x14ac:dyDescent="0.25">
      <c r="K89" s="168"/>
    </row>
    <row r="90" spans="11:11" ht="15.75" customHeight="1" x14ac:dyDescent="0.25">
      <c r="K90" s="168"/>
    </row>
    <row r="91" spans="11:11" ht="15.75" customHeight="1" x14ac:dyDescent="0.25">
      <c r="K91" s="168"/>
    </row>
    <row r="92" spans="11:11" ht="15.75" customHeight="1" x14ac:dyDescent="0.25">
      <c r="K92" s="168"/>
    </row>
    <row r="93" spans="11:11" ht="15.75" customHeight="1" x14ac:dyDescent="0.25">
      <c r="K93" s="168"/>
    </row>
    <row r="94" spans="11:11" ht="15.75" customHeight="1" x14ac:dyDescent="0.25">
      <c r="K94" s="168"/>
    </row>
    <row r="95" spans="11:11" ht="15.75" customHeight="1" x14ac:dyDescent="0.25">
      <c r="K95" s="168"/>
    </row>
    <row r="96" spans="11:11" ht="15.75" customHeight="1" x14ac:dyDescent="0.25">
      <c r="K96" s="168"/>
    </row>
    <row r="97" spans="11:11" ht="15.75" customHeight="1" x14ac:dyDescent="0.25">
      <c r="K97" s="168"/>
    </row>
    <row r="98" spans="11:11" ht="15.75" customHeight="1" x14ac:dyDescent="0.25">
      <c r="K98" s="168"/>
    </row>
    <row r="99" spans="11:11" ht="15.75" customHeight="1" x14ac:dyDescent="0.25">
      <c r="K99" s="168"/>
    </row>
    <row r="100" spans="11:11" ht="15.75" customHeight="1" x14ac:dyDescent="0.25">
      <c r="K100" s="168"/>
    </row>
    <row r="101" spans="11:11" ht="15.75" customHeight="1" x14ac:dyDescent="0.25">
      <c r="K101" s="168"/>
    </row>
    <row r="102" spans="11:11" ht="15.75" customHeight="1" x14ac:dyDescent="0.25">
      <c r="K102" s="168"/>
    </row>
    <row r="103" spans="11:11" ht="15.75" customHeight="1" x14ac:dyDescent="0.25">
      <c r="K103" s="168"/>
    </row>
    <row r="104" spans="11:11" ht="15.75" customHeight="1" x14ac:dyDescent="0.25">
      <c r="K104" s="168"/>
    </row>
    <row r="105" spans="11:11" ht="15.75" customHeight="1" x14ac:dyDescent="0.25">
      <c r="K105" s="168"/>
    </row>
    <row r="106" spans="11:11" ht="15.75" customHeight="1" x14ac:dyDescent="0.25">
      <c r="K106" s="168"/>
    </row>
    <row r="107" spans="11:11" ht="15.75" customHeight="1" x14ac:dyDescent="0.25">
      <c r="K107" s="168"/>
    </row>
    <row r="108" spans="11:11" ht="15.75" customHeight="1" x14ac:dyDescent="0.25">
      <c r="K108" s="168"/>
    </row>
    <row r="109" spans="11:11" ht="15.75" customHeight="1" x14ac:dyDescent="0.25">
      <c r="K109" s="168"/>
    </row>
    <row r="110" spans="11:11" ht="15.75" customHeight="1" x14ac:dyDescent="0.25">
      <c r="K110" s="168"/>
    </row>
    <row r="111" spans="11:11" ht="15.75" customHeight="1" x14ac:dyDescent="0.25">
      <c r="K111" s="168"/>
    </row>
    <row r="112" spans="11:11" ht="15.75" customHeight="1" x14ac:dyDescent="0.25">
      <c r="K112" s="168"/>
    </row>
    <row r="113" spans="11:11" ht="15.75" customHeight="1" x14ac:dyDescent="0.25">
      <c r="K113" s="168"/>
    </row>
    <row r="114" spans="11:11" ht="15.75" customHeight="1" x14ac:dyDescent="0.25">
      <c r="K114" s="168"/>
    </row>
    <row r="115" spans="11:11" ht="15.75" customHeight="1" x14ac:dyDescent="0.25">
      <c r="K115" s="168"/>
    </row>
    <row r="116" spans="11:11" ht="15.75" customHeight="1" x14ac:dyDescent="0.25">
      <c r="K116" s="168"/>
    </row>
    <row r="117" spans="11:11" ht="15.75" customHeight="1" x14ac:dyDescent="0.25">
      <c r="K117" s="168"/>
    </row>
    <row r="118" spans="11:11" ht="15.75" customHeight="1" x14ac:dyDescent="0.25">
      <c r="K118" s="168"/>
    </row>
    <row r="119" spans="11:11" ht="15.75" customHeight="1" x14ac:dyDescent="0.25">
      <c r="K119" s="168"/>
    </row>
    <row r="120" spans="11:11" ht="15.75" customHeight="1" x14ac:dyDescent="0.25">
      <c r="K120" s="168"/>
    </row>
    <row r="121" spans="11:11" ht="15.75" customHeight="1" x14ac:dyDescent="0.25">
      <c r="K121" s="168"/>
    </row>
    <row r="122" spans="11:11" ht="15.75" customHeight="1" x14ac:dyDescent="0.25">
      <c r="K122" s="168"/>
    </row>
    <row r="123" spans="11:11" ht="15.75" customHeight="1" x14ac:dyDescent="0.25">
      <c r="K123" s="168"/>
    </row>
    <row r="124" spans="11:11" ht="15.75" customHeight="1" x14ac:dyDescent="0.25">
      <c r="K124" s="168"/>
    </row>
    <row r="125" spans="11:11" ht="15.75" customHeight="1" x14ac:dyDescent="0.25">
      <c r="K125" s="168"/>
    </row>
    <row r="126" spans="11:11" ht="15.75" customHeight="1" x14ac:dyDescent="0.25">
      <c r="K126" s="168"/>
    </row>
    <row r="127" spans="11:11" ht="15.75" customHeight="1" x14ac:dyDescent="0.25">
      <c r="K127" s="168"/>
    </row>
    <row r="128" spans="11:11" ht="15.75" customHeight="1" x14ac:dyDescent="0.25">
      <c r="K128" s="168"/>
    </row>
    <row r="129" spans="11:11" ht="15.75" customHeight="1" x14ac:dyDescent="0.25">
      <c r="K129" s="168"/>
    </row>
    <row r="130" spans="11:11" ht="15.75" customHeight="1" x14ac:dyDescent="0.25">
      <c r="K130" s="168"/>
    </row>
    <row r="131" spans="11:11" ht="15.75" customHeight="1" x14ac:dyDescent="0.25">
      <c r="K131" s="168"/>
    </row>
    <row r="132" spans="11:11" ht="15.75" customHeight="1" x14ac:dyDescent="0.25">
      <c r="K132" s="168"/>
    </row>
    <row r="133" spans="11:11" ht="15.75" customHeight="1" x14ac:dyDescent="0.25">
      <c r="K133" s="168"/>
    </row>
    <row r="134" spans="11:11" ht="15.75" customHeight="1" x14ac:dyDescent="0.25">
      <c r="K134" s="168"/>
    </row>
    <row r="135" spans="11:11" ht="15.75" customHeight="1" x14ac:dyDescent="0.25">
      <c r="K135" s="168"/>
    </row>
    <row r="136" spans="11:11" ht="15.75" customHeight="1" x14ac:dyDescent="0.25">
      <c r="K136" s="168"/>
    </row>
    <row r="137" spans="11:11" ht="15.75" customHeight="1" x14ac:dyDescent="0.25">
      <c r="K137" s="168"/>
    </row>
    <row r="138" spans="11:11" ht="15.75" customHeight="1" x14ac:dyDescent="0.25">
      <c r="K138" s="168"/>
    </row>
    <row r="139" spans="11:11" ht="15.75" customHeight="1" x14ac:dyDescent="0.25">
      <c r="K139" s="168"/>
    </row>
    <row r="140" spans="11:11" ht="15.75" customHeight="1" x14ac:dyDescent="0.25">
      <c r="K140" s="168"/>
    </row>
    <row r="141" spans="11:11" ht="15.75" customHeight="1" x14ac:dyDescent="0.25">
      <c r="K141" s="168"/>
    </row>
    <row r="142" spans="11:11" ht="15.75" customHeight="1" x14ac:dyDescent="0.25">
      <c r="K142" s="168"/>
    </row>
    <row r="143" spans="11:11" ht="15.75" customHeight="1" x14ac:dyDescent="0.25">
      <c r="K143" s="168"/>
    </row>
    <row r="144" spans="11:11" ht="15.75" customHeight="1" x14ac:dyDescent="0.25">
      <c r="K144" s="168"/>
    </row>
    <row r="145" spans="11:11" ht="15.75" customHeight="1" x14ac:dyDescent="0.25">
      <c r="K145" s="168"/>
    </row>
    <row r="146" spans="11:11" ht="15.75" customHeight="1" x14ac:dyDescent="0.25">
      <c r="K146" s="168"/>
    </row>
    <row r="147" spans="11:11" ht="15.75" customHeight="1" x14ac:dyDescent="0.25">
      <c r="K147" s="168"/>
    </row>
    <row r="148" spans="11:11" ht="15.75" customHeight="1" x14ac:dyDescent="0.25">
      <c r="K148" s="168"/>
    </row>
    <row r="149" spans="11:11" ht="15.75" customHeight="1" x14ac:dyDescent="0.25">
      <c r="K149" s="168"/>
    </row>
    <row r="150" spans="11:11" ht="15.75" customHeight="1" x14ac:dyDescent="0.25">
      <c r="K150" s="168"/>
    </row>
    <row r="151" spans="11:11" ht="15.75" customHeight="1" x14ac:dyDescent="0.25">
      <c r="K151" s="168"/>
    </row>
    <row r="152" spans="11:11" ht="15.75" customHeight="1" x14ac:dyDescent="0.25">
      <c r="K152" s="168"/>
    </row>
    <row r="153" spans="11:11" ht="15.75" customHeight="1" x14ac:dyDescent="0.25">
      <c r="K153" s="168"/>
    </row>
    <row r="154" spans="11:11" ht="15.75" customHeight="1" x14ac:dyDescent="0.25">
      <c r="K154" s="168"/>
    </row>
    <row r="155" spans="11:11" ht="15.75" customHeight="1" x14ac:dyDescent="0.25">
      <c r="K155" s="168"/>
    </row>
    <row r="156" spans="11:11" ht="15.75" customHeight="1" x14ac:dyDescent="0.25">
      <c r="K156" s="168"/>
    </row>
    <row r="157" spans="11:11" ht="15.75" customHeight="1" x14ac:dyDescent="0.25">
      <c r="K157" s="168"/>
    </row>
    <row r="158" spans="11:11" ht="15.75" customHeight="1" x14ac:dyDescent="0.25">
      <c r="K158" s="168"/>
    </row>
    <row r="159" spans="11:11" ht="15.75" customHeight="1" x14ac:dyDescent="0.25">
      <c r="K159" s="168"/>
    </row>
    <row r="160" spans="11:11" ht="15.75" customHeight="1" x14ac:dyDescent="0.25">
      <c r="K160" s="168"/>
    </row>
    <row r="161" spans="11:11" ht="15.75" customHeight="1" x14ac:dyDescent="0.25">
      <c r="K161" s="168"/>
    </row>
    <row r="162" spans="11:11" ht="15.75" customHeight="1" x14ac:dyDescent="0.25">
      <c r="K162" s="168"/>
    </row>
    <row r="163" spans="11:11" ht="15.75" customHeight="1" x14ac:dyDescent="0.25">
      <c r="K163" s="168"/>
    </row>
    <row r="164" spans="11:11" ht="15.75" customHeight="1" x14ac:dyDescent="0.25">
      <c r="K164" s="168"/>
    </row>
    <row r="165" spans="11:11" ht="15.75" customHeight="1" x14ac:dyDescent="0.25">
      <c r="K165" s="168"/>
    </row>
    <row r="166" spans="11:11" ht="15.75" customHeight="1" x14ac:dyDescent="0.25">
      <c r="K166" s="168"/>
    </row>
    <row r="167" spans="11:11" ht="15.75" customHeight="1" x14ac:dyDescent="0.25">
      <c r="K167" s="168"/>
    </row>
    <row r="168" spans="11:11" ht="15.75" customHeight="1" x14ac:dyDescent="0.25">
      <c r="K168" s="168"/>
    </row>
    <row r="169" spans="11:11" ht="15.75" customHeight="1" x14ac:dyDescent="0.25">
      <c r="K169" s="168"/>
    </row>
    <row r="170" spans="11:11" ht="15.75" customHeight="1" x14ac:dyDescent="0.25">
      <c r="K170" s="168"/>
    </row>
    <row r="171" spans="11:11" ht="15.75" customHeight="1" x14ac:dyDescent="0.25">
      <c r="K171" s="168"/>
    </row>
    <row r="172" spans="11:11" ht="15.75" customHeight="1" x14ac:dyDescent="0.25">
      <c r="K172" s="168"/>
    </row>
    <row r="173" spans="11:11" ht="15.75" customHeight="1" x14ac:dyDescent="0.25">
      <c r="K173" s="168"/>
    </row>
    <row r="174" spans="11:11" ht="15.75" customHeight="1" x14ac:dyDescent="0.25">
      <c r="K174" s="168"/>
    </row>
    <row r="175" spans="11:11" ht="15.75" customHeight="1" x14ac:dyDescent="0.25">
      <c r="K175" s="168"/>
    </row>
    <row r="176" spans="11:11" ht="15.75" customHeight="1" x14ac:dyDescent="0.25">
      <c r="K176" s="168"/>
    </row>
    <row r="177" spans="11:11" ht="15.75" customHeight="1" x14ac:dyDescent="0.25">
      <c r="K177" s="168"/>
    </row>
    <row r="178" spans="11:11" ht="15.75" customHeight="1" x14ac:dyDescent="0.25">
      <c r="K178" s="168"/>
    </row>
    <row r="179" spans="11:11" ht="15.75" customHeight="1" x14ac:dyDescent="0.25">
      <c r="K179" s="168"/>
    </row>
    <row r="180" spans="11:11" ht="15.75" customHeight="1" x14ac:dyDescent="0.25">
      <c r="K180" s="168"/>
    </row>
    <row r="181" spans="11:11" ht="15.75" customHeight="1" x14ac:dyDescent="0.25">
      <c r="K181" s="168"/>
    </row>
    <row r="182" spans="11:11" ht="15.75" customHeight="1" x14ac:dyDescent="0.25">
      <c r="K182" s="168"/>
    </row>
    <row r="183" spans="11:11" ht="15.75" customHeight="1" x14ac:dyDescent="0.25">
      <c r="K183" s="168"/>
    </row>
    <row r="184" spans="11:11" ht="15.75" customHeight="1" x14ac:dyDescent="0.25">
      <c r="K184" s="168"/>
    </row>
    <row r="185" spans="11:11" ht="15.75" customHeight="1" x14ac:dyDescent="0.25">
      <c r="K185" s="168"/>
    </row>
    <row r="186" spans="11:11" ht="15.75" customHeight="1" x14ac:dyDescent="0.25">
      <c r="K186" s="168"/>
    </row>
    <row r="187" spans="11:11" ht="15.75" customHeight="1" x14ac:dyDescent="0.25">
      <c r="K187" s="168"/>
    </row>
    <row r="188" spans="11:11" ht="15.75" customHeight="1" x14ac:dyDescent="0.25">
      <c r="K188" s="168"/>
    </row>
    <row r="189" spans="11:11" ht="15.75" customHeight="1" x14ac:dyDescent="0.25">
      <c r="K189" s="168"/>
    </row>
    <row r="190" spans="11:11" ht="15.75" customHeight="1" x14ac:dyDescent="0.25">
      <c r="K190" s="168"/>
    </row>
    <row r="191" spans="11:11" ht="15.75" customHeight="1" x14ac:dyDescent="0.25">
      <c r="K191" s="168"/>
    </row>
    <row r="192" spans="11:11" ht="15.75" customHeight="1" x14ac:dyDescent="0.25">
      <c r="K192" s="168"/>
    </row>
    <row r="193" spans="11:11" ht="15.75" customHeight="1" x14ac:dyDescent="0.25">
      <c r="K193" s="168"/>
    </row>
    <row r="194" spans="11:11" ht="15.75" customHeight="1" x14ac:dyDescent="0.25">
      <c r="K194" s="168"/>
    </row>
    <row r="195" spans="11:11" ht="15.75" customHeight="1" x14ac:dyDescent="0.25">
      <c r="K195" s="168"/>
    </row>
    <row r="196" spans="11:11" ht="15.75" customHeight="1" x14ac:dyDescent="0.25">
      <c r="K196" s="168"/>
    </row>
    <row r="197" spans="11:11" ht="15.75" customHeight="1" x14ac:dyDescent="0.25">
      <c r="K197" s="168"/>
    </row>
    <row r="198" spans="11:11" ht="15.75" customHeight="1" x14ac:dyDescent="0.25">
      <c r="K198" s="168"/>
    </row>
    <row r="199" spans="11:11" ht="15.75" customHeight="1" x14ac:dyDescent="0.25">
      <c r="K199" s="168"/>
    </row>
    <row r="200" spans="11:11" ht="15.75" customHeight="1" x14ac:dyDescent="0.25">
      <c r="K200" s="168"/>
    </row>
    <row r="201" spans="11:11" ht="15.75" customHeight="1" x14ac:dyDescent="0.25">
      <c r="K201" s="168"/>
    </row>
    <row r="202" spans="11:11" ht="15.75" customHeight="1" x14ac:dyDescent="0.25">
      <c r="K202" s="168"/>
    </row>
    <row r="203" spans="11:11" ht="15.75" customHeight="1" x14ac:dyDescent="0.25">
      <c r="K203" s="168"/>
    </row>
    <row r="204" spans="11:11" ht="15.75" customHeight="1" x14ac:dyDescent="0.25">
      <c r="K204" s="168"/>
    </row>
    <row r="205" spans="11:11" ht="15.75" customHeight="1" x14ac:dyDescent="0.25">
      <c r="K205" s="168"/>
    </row>
    <row r="206" spans="11:11" ht="15.75" customHeight="1" x14ac:dyDescent="0.25">
      <c r="K206" s="168"/>
    </row>
    <row r="207" spans="11:11" ht="15.75" customHeight="1" x14ac:dyDescent="0.25">
      <c r="K207" s="168"/>
    </row>
    <row r="208" spans="11:11" ht="15.75" customHeight="1" x14ac:dyDescent="0.25">
      <c r="K208" s="168"/>
    </row>
    <row r="209" spans="11:11" ht="15.75" customHeight="1" x14ac:dyDescent="0.25">
      <c r="K209" s="168"/>
    </row>
    <row r="210" spans="11:11" ht="15.75" customHeight="1" x14ac:dyDescent="0.25">
      <c r="K210" s="168"/>
    </row>
    <row r="211" spans="11:11" ht="15.75" customHeight="1" x14ac:dyDescent="0.25">
      <c r="K211" s="168"/>
    </row>
    <row r="212" spans="11:11" ht="15.75" customHeight="1" x14ac:dyDescent="0.25">
      <c r="K212" s="168"/>
    </row>
    <row r="213" spans="11:11" ht="15.75" customHeight="1" x14ac:dyDescent="0.25">
      <c r="K213" s="168"/>
    </row>
    <row r="214" spans="11:11" ht="15.75" customHeight="1" x14ac:dyDescent="0.25">
      <c r="K214" s="168"/>
    </row>
    <row r="215" spans="11:11" ht="15.75" customHeight="1" x14ac:dyDescent="0.25">
      <c r="K215" s="168"/>
    </row>
    <row r="216" spans="11:11" ht="15.75" customHeight="1" x14ac:dyDescent="0.25">
      <c r="K216" s="168"/>
    </row>
    <row r="217" spans="11:11" ht="15.75" customHeight="1" x14ac:dyDescent="0.25">
      <c r="K217" s="168"/>
    </row>
    <row r="218" spans="11:11" ht="15.75" customHeight="1" x14ac:dyDescent="0.25">
      <c r="K218" s="168"/>
    </row>
    <row r="219" spans="11:11" ht="15.75" customHeight="1" x14ac:dyDescent="0.25">
      <c r="K219" s="168"/>
    </row>
    <row r="220" spans="11:11" ht="15.75" customHeight="1" x14ac:dyDescent="0.25">
      <c r="K220" s="168"/>
    </row>
    <row r="221" spans="11:11" ht="15.75" customHeight="1" x14ac:dyDescent="0.25">
      <c r="K221" s="168"/>
    </row>
    <row r="222" spans="11:11" ht="15.75" customHeight="1" x14ac:dyDescent="0.25">
      <c r="K222" s="168"/>
    </row>
    <row r="223" spans="11:11" ht="15.75" customHeight="1" x14ac:dyDescent="0.25">
      <c r="K223" s="168"/>
    </row>
    <row r="224" spans="11:11" ht="15.75" customHeight="1" x14ac:dyDescent="0.25">
      <c r="K224" s="168"/>
    </row>
    <row r="225" spans="11:11" ht="15.75" customHeight="1" x14ac:dyDescent="0.25">
      <c r="K225" s="168"/>
    </row>
    <row r="226" spans="11:11" ht="15.75" customHeight="1" x14ac:dyDescent="0.25">
      <c r="K226" s="168"/>
    </row>
    <row r="227" spans="11:11" ht="15.75" customHeight="1" x14ac:dyDescent="0.25">
      <c r="K227" s="168"/>
    </row>
    <row r="228" spans="11:11" ht="15.75" customHeight="1" x14ac:dyDescent="0.25">
      <c r="K228" s="168"/>
    </row>
    <row r="229" spans="11:11" ht="15.75" customHeight="1" x14ac:dyDescent="0.25">
      <c r="K229" s="168"/>
    </row>
    <row r="230" spans="11:11" ht="15.75" customHeight="1" x14ac:dyDescent="0.25">
      <c r="K230" s="168"/>
    </row>
    <row r="231" spans="11:11" ht="15.75" customHeight="1" x14ac:dyDescent="0.25">
      <c r="K231" s="168"/>
    </row>
    <row r="232" spans="11:11" ht="15.75" customHeight="1" x14ac:dyDescent="0.25">
      <c r="K232" s="168"/>
    </row>
    <row r="233" spans="11:11" ht="15.75" customHeight="1" x14ac:dyDescent="0.25">
      <c r="K233" s="168"/>
    </row>
    <row r="234" spans="11:11" ht="15.75" customHeight="1" x14ac:dyDescent="0.25">
      <c r="K234" s="168"/>
    </row>
    <row r="235" spans="11:11" ht="15.75" customHeight="1" x14ac:dyDescent="0.25">
      <c r="K235" s="168"/>
    </row>
    <row r="236" spans="11:11" ht="15.75" customHeight="1" x14ac:dyDescent="0.25">
      <c r="K236" s="168"/>
    </row>
    <row r="237" spans="11:11" ht="15.75" customHeight="1" x14ac:dyDescent="0.25">
      <c r="K237" s="168"/>
    </row>
    <row r="238" spans="11:11" ht="15.75" customHeight="1" x14ac:dyDescent="0.25">
      <c r="K238" s="168"/>
    </row>
    <row r="239" spans="11:11" ht="15.75" customHeight="1" x14ac:dyDescent="0.25">
      <c r="K239" s="168"/>
    </row>
    <row r="240" spans="11:11" ht="15.75" customHeight="1" x14ac:dyDescent="0.25">
      <c r="K240" s="168"/>
    </row>
    <row r="241" spans="11:11" ht="15.75" customHeight="1" x14ac:dyDescent="0.25">
      <c r="K241" s="168"/>
    </row>
    <row r="242" spans="11:11" ht="15.75" customHeight="1" x14ac:dyDescent="0.25">
      <c r="K242" s="168"/>
    </row>
    <row r="243" spans="11:11" ht="15.75" customHeight="1" x14ac:dyDescent="0.25">
      <c r="K243" s="168"/>
    </row>
    <row r="244" spans="11:11" ht="15.75" customHeight="1" x14ac:dyDescent="0.25">
      <c r="K244" s="168"/>
    </row>
    <row r="245" spans="11:11" ht="15.75" customHeight="1" x14ac:dyDescent="0.25">
      <c r="K245" s="168"/>
    </row>
    <row r="246" spans="11:11" ht="15.75" customHeight="1" x14ac:dyDescent="0.25">
      <c r="K246" s="168"/>
    </row>
    <row r="247" spans="11:11" ht="15.75" customHeight="1" x14ac:dyDescent="0.25">
      <c r="K247" s="168"/>
    </row>
    <row r="248" spans="11:11" ht="15.75" customHeight="1" x14ac:dyDescent="0.25">
      <c r="K248" s="168"/>
    </row>
    <row r="249" spans="11:11" ht="15.75" customHeight="1" x14ac:dyDescent="0.25">
      <c r="K249" s="168"/>
    </row>
    <row r="250" spans="11:11" ht="15.75" customHeight="1" x14ac:dyDescent="0.25">
      <c r="K250" s="168"/>
    </row>
    <row r="251" spans="11:11" ht="15.75" customHeight="1" x14ac:dyDescent="0.25">
      <c r="K251" s="168"/>
    </row>
    <row r="252" spans="11:11" ht="15.75" customHeight="1" x14ac:dyDescent="0.25">
      <c r="K252" s="168"/>
    </row>
    <row r="253" spans="11:11" ht="15.75" customHeight="1" x14ac:dyDescent="0.25">
      <c r="K253" s="168"/>
    </row>
    <row r="254" spans="11:11" ht="15.75" customHeight="1" x14ac:dyDescent="0.25">
      <c r="K254" s="168"/>
    </row>
    <row r="255" spans="11:11" ht="15.75" customHeight="1" x14ac:dyDescent="0.25">
      <c r="K255" s="168"/>
    </row>
    <row r="256" spans="11:11" ht="15.75" customHeight="1" x14ac:dyDescent="0.25">
      <c r="K256" s="168"/>
    </row>
    <row r="257" spans="11:11" ht="15.75" customHeight="1" x14ac:dyDescent="0.25">
      <c r="K257" s="168"/>
    </row>
    <row r="258" spans="11:11" ht="15.75" customHeight="1" x14ac:dyDescent="0.25">
      <c r="K258" s="168"/>
    </row>
    <row r="259" spans="11:11" ht="15.75" customHeight="1" x14ac:dyDescent="0.25">
      <c r="K259" s="168"/>
    </row>
    <row r="260" spans="11:11" ht="15.75" customHeight="1" x14ac:dyDescent="0.25">
      <c r="K260" s="168"/>
    </row>
    <row r="261" spans="11:11" ht="15.75" customHeight="1" x14ac:dyDescent="0.25">
      <c r="K261" s="168"/>
    </row>
    <row r="262" spans="11:11" ht="15.75" customHeight="1" x14ac:dyDescent="0.25">
      <c r="K262" s="168"/>
    </row>
    <row r="263" spans="11:11" ht="15.75" customHeight="1" x14ac:dyDescent="0.25">
      <c r="K263" s="168"/>
    </row>
    <row r="264" spans="11:11" ht="15.75" customHeight="1" x14ac:dyDescent="0.25">
      <c r="K264" s="168"/>
    </row>
    <row r="265" spans="11:11" ht="15.75" customHeight="1" x14ac:dyDescent="0.25">
      <c r="K265" s="168"/>
    </row>
    <row r="266" spans="11:11" ht="15.75" customHeight="1" x14ac:dyDescent="0.25">
      <c r="K266" s="168"/>
    </row>
    <row r="267" spans="11:11" ht="15.75" customHeight="1" x14ac:dyDescent="0.25">
      <c r="K267" s="168"/>
    </row>
    <row r="268" spans="11:11" ht="15.75" customHeight="1" x14ac:dyDescent="0.25">
      <c r="K268" s="168"/>
    </row>
    <row r="269" spans="11:11" ht="15.75" customHeight="1" x14ac:dyDescent="0.25">
      <c r="K269" s="168"/>
    </row>
    <row r="270" spans="11:11" ht="15.75" customHeight="1" x14ac:dyDescent="0.25">
      <c r="K270" s="168"/>
    </row>
    <row r="271" spans="11:11" ht="15.75" customHeight="1" x14ac:dyDescent="0.25">
      <c r="K271" s="168"/>
    </row>
    <row r="272" spans="11:11" ht="15.75" customHeight="1" x14ac:dyDescent="0.25">
      <c r="K272" s="168"/>
    </row>
    <row r="273" spans="11:11" ht="15.75" customHeight="1" x14ac:dyDescent="0.25">
      <c r="K273" s="168"/>
    </row>
    <row r="274" spans="11:11" ht="15.75" customHeight="1" x14ac:dyDescent="0.25">
      <c r="K274" s="168"/>
    </row>
    <row r="275" spans="11:11" ht="15.75" customHeight="1" x14ac:dyDescent="0.25">
      <c r="K275" s="168"/>
    </row>
    <row r="276" spans="11:11" ht="15.75" customHeight="1" x14ac:dyDescent="0.25">
      <c r="K276" s="168"/>
    </row>
    <row r="277" spans="11:11" ht="15.75" customHeight="1" x14ac:dyDescent="0.25">
      <c r="K277" s="168"/>
    </row>
    <row r="278" spans="11:11" ht="15.75" customHeight="1" x14ac:dyDescent="0.25">
      <c r="K278" s="168"/>
    </row>
    <row r="279" spans="11:11" ht="15.75" customHeight="1" x14ac:dyDescent="0.25">
      <c r="K279" s="168"/>
    </row>
    <row r="280" spans="11:11" ht="15.75" customHeight="1" x14ac:dyDescent="0.25">
      <c r="K280" s="168"/>
    </row>
    <row r="281" spans="11:11" ht="15.75" customHeight="1" x14ac:dyDescent="0.25">
      <c r="K281" s="168"/>
    </row>
    <row r="282" spans="11:11" ht="15.75" customHeight="1" x14ac:dyDescent="0.25">
      <c r="K282" s="168"/>
    </row>
    <row r="283" spans="11:11" ht="15.75" customHeight="1" x14ac:dyDescent="0.25">
      <c r="K283" s="168"/>
    </row>
    <row r="284" spans="11:11" ht="15.75" customHeight="1" x14ac:dyDescent="0.25">
      <c r="K284" s="168"/>
    </row>
    <row r="285" spans="11:11" ht="15.75" customHeight="1" x14ac:dyDescent="0.25">
      <c r="K285" s="168"/>
    </row>
    <row r="286" spans="11:11" ht="15.75" customHeight="1" x14ac:dyDescent="0.25">
      <c r="K286" s="168"/>
    </row>
    <row r="287" spans="11:11" ht="15.75" customHeight="1" x14ac:dyDescent="0.25">
      <c r="K287" s="168"/>
    </row>
    <row r="288" spans="1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66"/>
  <sheetViews>
    <sheetView view="pageBreakPreview" topLeftCell="A55" zoomScale="115" zoomScaleNormal="100" zoomScaleSheetLayoutView="115" workbookViewId="0">
      <selection activeCell="A14" sqref="A14"/>
    </sheetView>
  </sheetViews>
  <sheetFormatPr defaultColWidth="14.42578125" defaultRowHeight="15" x14ac:dyDescent="0.25"/>
  <cols>
    <col min="1" max="1" width="76.42578125" customWidth="1"/>
    <col min="2" max="2" width="17.28515625" customWidth="1"/>
    <col min="3" max="6" width="17.85546875" hidden="1" customWidth="1"/>
    <col min="7" max="7" width="17.85546875" customWidth="1"/>
    <col min="8" max="9" width="15.28515625" customWidth="1"/>
    <col min="10" max="10" width="10.28515625" customWidth="1"/>
    <col min="11" max="11" width="12.28515625" customWidth="1"/>
    <col min="12" max="26" width="10.28515625" customWidth="1"/>
  </cols>
  <sheetData>
    <row r="1" spans="1:26" ht="15.75"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x14ac:dyDescent="0.25">
      <c r="A6" s="17" t="s">
        <v>790</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x14ac:dyDescent="0.25">
      <c r="A13" s="9" t="s">
        <v>364</v>
      </c>
      <c r="B13" s="38"/>
      <c r="C13" s="42"/>
      <c r="D13" s="42"/>
      <c r="E13" s="42"/>
      <c r="F13" s="42"/>
      <c r="G13" s="37"/>
    </row>
    <row r="14" spans="1:26" ht="15.75" x14ac:dyDescent="0.25">
      <c r="A14" s="17" t="s">
        <v>622</v>
      </c>
      <c r="B14" s="41"/>
      <c r="C14" s="42"/>
      <c r="D14" s="42"/>
      <c r="E14" s="42"/>
      <c r="F14" s="42"/>
      <c r="G14" s="42"/>
    </row>
    <row r="15" spans="1:26" ht="15.75" x14ac:dyDescent="0.25">
      <c r="A15" s="17" t="s">
        <v>366</v>
      </c>
      <c r="B15" s="41"/>
      <c r="C15" s="42"/>
      <c r="D15" s="42"/>
      <c r="E15" s="19"/>
      <c r="F15" s="42"/>
      <c r="G15" s="42"/>
    </row>
    <row r="16" spans="1:26" ht="15.75" x14ac:dyDescent="0.25">
      <c r="A16" s="44" t="s">
        <v>367</v>
      </c>
      <c r="B16" s="41" t="s">
        <v>121</v>
      </c>
      <c r="C16" s="43">
        <v>2398846.4700000002</v>
      </c>
      <c r="D16" s="43">
        <v>1133796</v>
      </c>
      <c r="E16" s="45">
        <f>F16-D16</f>
        <v>1597152</v>
      </c>
      <c r="F16" s="43">
        <v>2730948</v>
      </c>
      <c r="G16" s="43">
        <v>2876772</v>
      </c>
      <c r="H16" s="43"/>
      <c r="I16" s="7"/>
    </row>
    <row r="17" spans="1:9" ht="15.75" x14ac:dyDescent="0.25">
      <c r="A17" s="17" t="s">
        <v>368</v>
      </c>
      <c r="B17" s="41"/>
      <c r="C17" s="46"/>
      <c r="D17" s="46"/>
      <c r="E17" s="45"/>
      <c r="F17" s="43"/>
      <c r="G17" s="43"/>
      <c r="I17" s="7"/>
    </row>
    <row r="18" spans="1:9" ht="15.75" x14ac:dyDescent="0.25">
      <c r="A18" s="44" t="s">
        <v>369</v>
      </c>
      <c r="B18" s="41" t="s">
        <v>125</v>
      </c>
      <c r="C18" s="43">
        <v>113909.09</v>
      </c>
      <c r="D18" s="43">
        <v>48000</v>
      </c>
      <c r="E18" s="45">
        <f t="shared" ref="E18:E21" si="0">F18-D18</f>
        <v>96000</v>
      </c>
      <c r="F18" s="43">
        <v>144000</v>
      </c>
      <c r="G18" s="43">
        <v>144000</v>
      </c>
      <c r="I18" s="7"/>
    </row>
    <row r="19" spans="1:9" ht="15.75" x14ac:dyDescent="0.25">
      <c r="A19" s="44" t="s">
        <v>373</v>
      </c>
      <c r="B19" s="41" t="s">
        <v>131</v>
      </c>
      <c r="C19" s="43">
        <v>35000</v>
      </c>
      <c r="D19" s="43">
        <v>28000</v>
      </c>
      <c r="E19" s="45">
        <f t="shared" si="0"/>
        <v>14000</v>
      </c>
      <c r="F19" s="43">
        <v>42000</v>
      </c>
      <c r="G19" s="43">
        <v>42000</v>
      </c>
      <c r="I19" s="7"/>
    </row>
    <row r="20" spans="1:9" ht="15.75" x14ac:dyDescent="0.25">
      <c r="A20" s="44" t="s">
        <v>374</v>
      </c>
      <c r="B20" s="41" t="s">
        <v>151</v>
      </c>
      <c r="C20" s="43">
        <v>188966</v>
      </c>
      <c r="D20" s="43">
        <v>0</v>
      </c>
      <c r="E20" s="45">
        <f t="shared" si="0"/>
        <v>227579</v>
      </c>
      <c r="F20" s="43">
        <v>227579</v>
      </c>
      <c r="G20" s="43">
        <v>239731</v>
      </c>
      <c r="I20" s="7"/>
    </row>
    <row r="21" spans="1:9" ht="15.75" x14ac:dyDescent="0.25">
      <c r="A21" s="44" t="s">
        <v>375</v>
      </c>
      <c r="B21" s="41" t="s">
        <v>153</v>
      </c>
      <c r="C21" s="43">
        <v>20000</v>
      </c>
      <c r="D21" s="43">
        <v>0</v>
      </c>
      <c r="E21" s="45">
        <f t="shared" si="0"/>
        <v>30000</v>
      </c>
      <c r="F21" s="43">
        <v>30000</v>
      </c>
      <c r="G21" s="43">
        <v>30000</v>
      </c>
      <c r="I21" s="7"/>
    </row>
    <row r="22" spans="1:9" ht="15.75" x14ac:dyDescent="0.25">
      <c r="A22" s="44" t="s">
        <v>376</v>
      </c>
      <c r="B22" s="41" t="s">
        <v>155</v>
      </c>
      <c r="C22" s="46"/>
      <c r="D22" s="46"/>
      <c r="E22" s="45"/>
      <c r="F22" s="43"/>
      <c r="G22" s="43"/>
      <c r="I22" s="7"/>
    </row>
    <row r="23" spans="1:9" ht="15.75" x14ac:dyDescent="0.25">
      <c r="A23" s="44" t="s">
        <v>623</v>
      </c>
      <c r="B23" s="41" t="s">
        <v>157</v>
      </c>
      <c r="C23" s="43"/>
      <c r="D23" s="43">
        <v>5000</v>
      </c>
      <c r="E23" s="45">
        <f t="shared" ref="E23:E25" si="1">F23-D23</f>
        <v>0</v>
      </c>
      <c r="F23" s="43">
        <v>5000</v>
      </c>
      <c r="G23" s="43">
        <v>0</v>
      </c>
      <c r="I23" s="7"/>
    </row>
    <row r="24" spans="1:9" ht="15.75" x14ac:dyDescent="0.25">
      <c r="A24" s="44" t="s">
        <v>378</v>
      </c>
      <c r="B24" s="41" t="s">
        <v>159</v>
      </c>
      <c r="C24" s="43"/>
      <c r="D24" s="43">
        <v>12000</v>
      </c>
      <c r="E24" s="45">
        <f t="shared" si="1"/>
        <v>6000</v>
      </c>
      <c r="F24" s="43">
        <v>18000</v>
      </c>
      <c r="G24" s="43">
        <v>0</v>
      </c>
      <c r="I24" s="7"/>
    </row>
    <row r="25" spans="1:9" ht="15.75" x14ac:dyDescent="0.25">
      <c r="A25" s="44" t="s">
        <v>379</v>
      </c>
      <c r="B25" s="41" t="s">
        <v>161</v>
      </c>
      <c r="C25" s="43">
        <v>201557</v>
      </c>
      <c r="D25" s="43">
        <v>188966</v>
      </c>
      <c r="E25" s="45">
        <f t="shared" si="1"/>
        <v>38613</v>
      </c>
      <c r="F25" s="43">
        <v>227579</v>
      </c>
      <c r="G25" s="43">
        <v>239731</v>
      </c>
      <c r="I25" s="7"/>
    </row>
    <row r="26" spans="1:9" ht="15.75" x14ac:dyDescent="0.25">
      <c r="A26" s="17" t="s">
        <v>380</v>
      </c>
      <c r="B26" s="41"/>
      <c r="C26" s="46"/>
      <c r="D26" s="46"/>
      <c r="E26" s="45"/>
      <c r="F26" s="43"/>
      <c r="G26" s="43"/>
      <c r="I26" s="7"/>
    </row>
    <row r="27" spans="1:9" ht="15.75" x14ac:dyDescent="0.25">
      <c r="A27" s="44" t="s">
        <v>381</v>
      </c>
      <c r="B27" s="191" t="s">
        <v>165</v>
      </c>
      <c r="C27" s="43">
        <v>287982.78000000003</v>
      </c>
      <c r="D27" s="43">
        <v>136055.51999999999</v>
      </c>
      <c r="E27" s="45">
        <f t="shared" ref="E27:E30" si="2">F27-D27</f>
        <v>191658.48</v>
      </c>
      <c r="F27" s="43">
        <v>327714</v>
      </c>
      <c r="G27" s="43">
        <v>345213</v>
      </c>
      <c r="I27" s="7"/>
    </row>
    <row r="28" spans="1:9" ht="15.75" x14ac:dyDescent="0.25">
      <c r="A28" s="44" t="s">
        <v>382</v>
      </c>
      <c r="B28" s="41" t="s">
        <v>167</v>
      </c>
      <c r="C28" s="43">
        <v>47997.13</v>
      </c>
      <c r="D28" s="43">
        <v>22675.919999999998</v>
      </c>
      <c r="E28" s="45">
        <f t="shared" si="2"/>
        <v>31943.08</v>
      </c>
      <c r="F28" s="43">
        <v>54619</v>
      </c>
      <c r="G28" s="43">
        <v>57536</v>
      </c>
      <c r="I28" s="7"/>
    </row>
    <row r="29" spans="1:9" ht="15.75" x14ac:dyDescent="0.25">
      <c r="A29" s="44" t="s">
        <v>383</v>
      </c>
      <c r="B29" s="41" t="s">
        <v>169</v>
      </c>
      <c r="C29" s="43">
        <v>59996.6</v>
      </c>
      <c r="D29" s="43">
        <v>28344.959999999999</v>
      </c>
      <c r="E29" s="45">
        <f t="shared" si="2"/>
        <v>39932.04</v>
      </c>
      <c r="F29" s="43">
        <v>68277</v>
      </c>
      <c r="G29" s="43">
        <v>71922</v>
      </c>
      <c r="I29" s="7"/>
    </row>
    <row r="30" spans="1:9" ht="15.75" x14ac:dyDescent="0.25">
      <c r="A30" s="44" t="s">
        <v>384</v>
      </c>
      <c r="B30" s="41" t="s">
        <v>171</v>
      </c>
      <c r="C30" s="43">
        <v>5700</v>
      </c>
      <c r="D30" s="43">
        <v>2400</v>
      </c>
      <c r="E30" s="45">
        <f t="shared" si="2"/>
        <v>4800</v>
      </c>
      <c r="F30" s="43">
        <v>7200</v>
      </c>
      <c r="G30" s="43">
        <v>7200</v>
      </c>
      <c r="I30" s="7"/>
    </row>
    <row r="31" spans="1:9" ht="15.75" x14ac:dyDescent="0.25">
      <c r="A31" s="17" t="s">
        <v>385</v>
      </c>
      <c r="B31" s="41"/>
      <c r="C31" s="46"/>
      <c r="D31" s="46"/>
      <c r="E31" s="45"/>
      <c r="F31" s="43"/>
      <c r="G31" s="43"/>
      <c r="I31" s="7"/>
    </row>
    <row r="32" spans="1:9" ht="15.75" x14ac:dyDescent="0.25">
      <c r="A32" s="44" t="s">
        <v>791</v>
      </c>
      <c r="B32" s="41" t="s">
        <v>179</v>
      </c>
      <c r="C32" s="43">
        <v>0</v>
      </c>
      <c r="D32" s="43">
        <v>0</v>
      </c>
      <c r="E32" s="45">
        <f t="shared" ref="E32:E34" si="3">F32-D32</f>
        <v>0</v>
      </c>
      <c r="F32" s="43">
        <v>0</v>
      </c>
      <c r="G32" s="43">
        <v>494647</v>
      </c>
      <c r="I32" s="7"/>
    </row>
    <row r="33" spans="1:11" ht="15.75" x14ac:dyDescent="0.25">
      <c r="A33" s="44" t="s">
        <v>387</v>
      </c>
      <c r="B33" s="41" t="s">
        <v>181</v>
      </c>
      <c r="C33" s="43">
        <v>71500.710000000006</v>
      </c>
      <c r="D33" s="43">
        <v>56047.14</v>
      </c>
      <c r="E33" s="45">
        <f t="shared" si="3"/>
        <v>53629.86</v>
      </c>
      <c r="F33" s="43">
        <v>109677</v>
      </c>
      <c r="G33" s="43">
        <v>115533</v>
      </c>
      <c r="I33" s="7"/>
    </row>
    <row r="34" spans="1:11" ht="15.75" x14ac:dyDescent="0.25">
      <c r="A34" s="44" t="s">
        <v>388</v>
      </c>
      <c r="B34" s="41" t="s">
        <v>183</v>
      </c>
      <c r="C34" s="43">
        <v>20000</v>
      </c>
      <c r="D34" s="43">
        <v>0</v>
      </c>
      <c r="E34" s="45">
        <f t="shared" si="3"/>
        <v>30000</v>
      </c>
      <c r="F34" s="43">
        <v>30000</v>
      </c>
      <c r="G34" s="43">
        <v>30000</v>
      </c>
      <c r="I34" s="7"/>
    </row>
    <row r="35" spans="1:11" ht="31.5" x14ac:dyDescent="0.25">
      <c r="A35" s="117" t="s">
        <v>625</v>
      </c>
      <c r="B35" s="41"/>
      <c r="C35" s="45"/>
      <c r="D35" s="43"/>
      <c r="E35" s="45"/>
      <c r="F35" s="43"/>
      <c r="G35" s="43">
        <v>82703</v>
      </c>
      <c r="H35" s="7"/>
      <c r="I35" s="7"/>
    </row>
    <row r="36" spans="1:11" ht="15.75" x14ac:dyDescent="0.25">
      <c r="A36" s="456" t="s">
        <v>632</v>
      </c>
      <c r="B36" s="454"/>
      <c r="C36" s="79">
        <f t="shared" ref="C36:D36" si="4">SUM(C16:C34)</f>
        <v>3451455.78</v>
      </c>
      <c r="D36" s="54">
        <f t="shared" si="4"/>
        <v>1661285.5399999998</v>
      </c>
      <c r="E36" s="54">
        <f>F36-D36</f>
        <v>2361307.46</v>
      </c>
      <c r="F36" s="54">
        <f>SUM(F16:F34)</f>
        <v>4022593</v>
      </c>
      <c r="G36" s="54">
        <f>SUM(G16:G35)</f>
        <v>4776988</v>
      </c>
      <c r="H36" s="7"/>
      <c r="I36" s="7"/>
    </row>
    <row r="37" spans="1:11" ht="15.75" x14ac:dyDescent="0.25">
      <c r="A37" s="456"/>
      <c r="B37" s="517"/>
      <c r="C37" s="81"/>
      <c r="D37" s="55"/>
      <c r="E37" s="45"/>
      <c r="F37" s="163"/>
      <c r="G37" s="55"/>
      <c r="H37" s="7"/>
      <c r="I37" s="7"/>
    </row>
    <row r="38" spans="1:11" ht="15.75" x14ac:dyDescent="0.25">
      <c r="A38" s="17" t="s">
        <v>626</v>
      </c>
      <c r="B38" s="172"/>
      <c r="C38" s="43"/>
      <c r="D38" s="43"/>
      <c r="E38" s="45"/>
      <c r="F38" s="43"/>
      <c r="G38" s="43"/>
      <c r="H38" s="7"/>
    </row>
    <row r="39" spans="1:11" ht="15.75" x14ac:dyDescent="0.25">
      <c r="A39" s="17" t="s">
        <v>642</v>
      </c>
      <c r="B39" s="41"/>
      <c r="C39" s="43"/>
      <c r="D39" s="43"/>
      <c r="E39" s="45"/>
      <c r="F39" s="192"/>
      <c r="G39" s="192"/>
    </row>
    <row r="40" spans="1:11" ht="15.75" x14ac:dyDescent="0.25">
      <c r="A40" s="44" t="s">
        <v>393</v>
      </c>
      <c r="B40" s="41" t="s">
        <v>187</v>
      </c>
      <c r="C40" s="45">
        <v>124901.12</v>
      </c>
      <c r="D40" s="43">
        <v>0</v>
      </c>
      <c r="E40" s="45">
        <f>F40-D40</f>
        <v>125000</v>
      </c>
      <c r="F40" s="43">
        <v>125000</v>
      </c>
      <c r="G40" s="43">
        <v>75000</v>
      </c>
      <c r="H40" s="26"/>
      <c r="I40" s="60"/>
      <c r="J40" s="60"/>
      <c r="K40" s="60"/>
    </row>
    <row r="41" spans="1:11" ht="15.75" x14ac:dyDescent="0.25">
      <c r="A41" s="17" t="s">
        <v>493</v>
      </c>
      <c r="B41" s="41"/>
      <c r="C41" s="45"/>
      <c r="D41" s="43"/>
      <c r="E41" s="45"/>
      <c r="F41" s="43"/>
      <c r="G41" s="43"/>
    </row>
    <row r="42" spans="1:11" ht="15.75" x14ac:dyDescent="0.25">
      <c r="A42" s="48" t="s">
        <v>396</v>
      </c>
      <c r="B42" s="49" t="s">
        <v>191</v>
      </c>
      <c r="C42" s="45">
        <v>360042.41</v>
      </c>
      <c r="D42" s="45">
        <v>60819</v>
      </c>
      <c r="E42" s="45">
        <f>F42-D42</f>
        <v>439181</v>
      </c>
      <c r="F42" s="45">
        <v>500000</v>
      </c>
      <c r="G42" s="45">
        <v>300000</v>
      </c>
      <c r="H42" s="60"/>
      <c r="J42" s="60"/>
      <c r="K42" s="60"/>
    </row>
    <row r="43" spans="1:11" ht="15.75" x14ac:dyDescent="0.25">
      <c r="A43" s="42" t="s">
        <v>792</v>
      </c>
      <c r="B43" s="49"/>
      <c r="C43" s="45"/>
      <c r="D43" s="45"/>
      <c r="E43" s="45"/>
      <c r="F43" s="45"/>
      <c r="G43" s="45"/>
    </row>
    <row r="44" spans="1:11" ht="15.75" x14ac:dyDescent="0.25">
      <c r="A44" s="42" t="s">
        <v>793</v>
      </c>
      <c r="B44" s="49"/>
      <c r="C44" s="45"/>
      <c r="D44" s="45"/>
      <c r="E44" s="45"/>
      <c r="F44" s="45"/>
      <c r="G44" s="45"/>
    </row>
    <row r="45" spans="1:11" ht="15.75" x14ac:dyDescent="0.25">
      <c r="A45" s="42" t="s">
        <v>499</v>
      </c>
      <c r="B45" s="49"/>
      <c r="C45" s="45"/>
      <c r="D45" s="45"/>
      <c r="E45" s="45"/>
      <c r="F45" s="45"/>
      <c r="G45" s="45"/>
    </row>
    <row r="46" spans="1:11" ht="15.75" x14ac:dyDescent="0.25">
      <c r="A46" s="48" t="s">
        <v>398</v>
      </c>
      <c r="B46" s="49" t="s">
        <v>195</v>
      </c>
      <c r="C46" s="43">
        <v>68594.05</v>
      </c>
      <c r="D46" s="43">
        <v>34344.300000000003</v>
      </c>
      <c r="E46" s="45">
        <f t="shared" ref="E46:E47" si="5">F46-D46</f>
        <v>34390.699999999997</v>
      </c>
      <c r="F46" s="43">
        <v>68735</v>
      </c>
      <c r="G46" s="43">
        <v>68735</v>
      </c>
      <c r="H46" s="60"/>
      <c r="I46" s="60"/>
      <c r="J46" s="60"/>
      <c r="K46" s="60"/>
    </row>
    <row r="47" spans="1:11" ht="15.75" x14ac:dyDescent="0.25">
      <c r="A47" s="44" t="s">
        <v>402</v>
      </c>
      <c r="B47" s="41" t="s">
        <v>225</v>
      </c>
      <c r="C47" s="43">
        <v>76235.350000000006</v>
      </c>
      <c r="D47" s="43">
        <v>13230.7</v>
      </c>
      <c r="E47" s="45">
        <f t="shared" si="5"/>
        <v>13301.3</v>
      </c>
      <c r="F47" s="43">
        <v>26532</v>
      </c>
      <c r="G47" s="440">
        <v>26532</v>
      </c>
      <c r="I47" s="60"/>
      <c r="J47" s="60"/>
      <c r="K47" s="60"/>
    </row>
    <row r="48" spans="1:11" ht="15.75" x14ac:dyDescent="0.25">
      <c r="A48" s="17" t="s">
        <v>503</v>
      </c>
      <c r="B48" s="41"/>
      <c r="C48" s="43"/>
      <c r="D48" s="43"/>
      <c r="E48" s="45"/>
      <c r="F48" s="43"/>
      <c r="G48" s="440"/>
    </row>
    <row r="49" spans="1:11" ht="15.75" x14ac:dyDescent="0.25">
      <c r="A49" s="44" t="s">
        <v>504</v>
      </c>
      <c r="B49" s="41" t="s">
        <v>237</v>
      </c>
      <c r="C49" s="43">
        <v>20500.95</v>
      </c>
      <c r="D49" s="43">
        <v>10194.06</v>
      </c>
      <c r="E49" s="45">
        <f>F49-D49</f>
        <v>11552.94</v>
      </c>
      <c r="F49" s="43">
        <v>21747</v>
      </c>
      <c r="G49" s="440">
        <v>21747</v>
      </c>
      <c r="H49" s="60"/>
      <c r="J49" s="60"/>
      <c r="K49" s="60"/>
    </row>
    <row r="50" spans="1:11" ht="15.75" x14ac:dyDescent="0.25">
      <c r="A50" s="17" t="s">
        <v>424</v>
      </c>
      <c r="B50" s="41"/>
      <c r="C50" s="43"/>
      <c r="D50" s="43"/>
      <c r="E50" s="45"/>
      <c r="F50" s="192"/>
      <c r="G50" s="521"/>
    </row>
    <row r="51" spans="1:11" ht="15.75" x14ac:dyDescent="0.25">
      <c r="A51" s="44" t="s">
        <v>415</v>
      </c>
      <c r="B51" s="41" t="s">
        <v>319</v>
      </c>
      <c r="C51" s="43">
        <v>99000</v>
      </c>
      <c r="D51" s="43">
        <v>49900</v>
      </c>
      <c r="E51" s="45">
        <f t="shared" ref="E51:E53" si="6">F51-D51</f>
        <v>50100</v>
      </c>
      <c r="F51" s="43">
        <v>100000</v>
      </c>
      <c r="G51" s="440">
        <v>100000</v>
      </c>
      <c r="H51" s="60"/>
      <c r="J51" s="60"/>
      <c r="K51" s="60"/>
    </row>
    <row r="52" spans="1:11" ht="15.75" x14ac:dyDescent="0.25">
      <c r="A52" s="48" t="s">
        <v>794</v>
      </c>
      <c r="B52" s="49" t="s">
        <v>321</v>
      </c>
      <c r="C52" s="45">
        <v>99843.3</v>
      </c>
      <c r="D52" s="45">
        <v>49807.35</v>
      </c>
      <c r="E52" s="45">
        <f t="shared" si="6"/>
        <v>50192.65</v>
      </c>
      <c r="F52" s="45">
        <v>100000</v>
      </c>
      <c r="G52" s="494">
        <v>100000</v>
      </c>
      <c r="H52" s="60"/>
      <c r="J52" s="60"/>
      <c r="K52" s="60"/>
    </row>
    <row r="53" spans="1:11" ht="15.75" x14ac:dyDescent="0.25">
      <c r="A53" s="96" t="s">
        <v>424</v>
      </c>
      <c r="B53" s="41" t="s">
        <v>335</v>
      </c>
      <c r="C53" s="43">
        <v>1055681.8</v>
      </c>
      <c r="D53" s="43">
        <v>417674.35</v>
      </c>
      <c r="E53" s="45">
        <f t="shared" si="6"/>
        <v>3447525.65</v>
      </c>
      <c r="F53" s="43">
        <v>3865200</v>
      </c>
      <c r="G53" s="494">
        <v>2638592</v>
      </c>
      <c r="H53" s="60"/>
      <c r="J53" s="60"/>
      <c r="K53" s="60">
        <f>SUM(K55:K60)</f>
        <v>2638592</v>
      </c>
    </row>
    <row r="54" spans="1:11" ht="15.75" x14ac:dyDescent="0.25">
      <c r="A54" s="17" t="s">
        <v>795</v>
      </c>
      <c r="B54" s="41"/>
      <c r="C54" s="43"/>
      <c r="D54" s="43"/>
      <c r="E54" s="45"/>
      <c r="F54" s="43"/>
      <c r="G54" s="494"/>
    </row>
    <row r="55" spans="1:11" ht="15.75" x14ac:dyDescent="0.25">
      <c r="A55" s="44" t="s">
        <v>796</v>
      </c>
      <c r="B55" s="41"/>
      <c r="C55" s="43"/>
      <c r="D55" s="43"/>
      <c r="E55" s="45"/>
      <c r="F55" s="43"/>
      <c r="G55" s="494"/>
      <c r="H55" s="184">
        <v>264</v>
      </c>
      <c r="I55" s="60">
        <v>678</v>
      </c>
      <c r="J55" s="40">
        <v>1</v>
      </c>
      <c r="K55" s="40">
        <f>H55*I55*J55</f>
        <v>178992</v>
      </c>
    </row>
    <row r="56" spans="1:11" ht="15.75" x14ac:dyDescent="0.25">
      <c r="A56" s="610" t="s">
        <v>797</v>
      </c>
      <c r="B56" s="483"/>
      <c r="C56" s="457"/>
      <c r="D56" s="457"/>
      <c r="E56" s="452"/>
      <c r="F56" s="457"/>
      <c r="G56" s="452"/>
      <c r="H56" s="184"/>
      <c r="I56" s="60"/>
      <c r="J56" s="40"/>
      <c r="K56" s="40">
        <v>129600</v>
      </c>
    </row>
    <row r="57" spans="1:11" ht="15.75" x14ac:dyDescent="0.25">
      <c r="A57" s="611" t="s">
        <v>798</v>
      </c>
      <c r="B57" s="601"/>
      <c r="C57" s="448"/>
      <c r="D57" s="448"/>
      <c r="E57" s="449"/>
      <c r="F57" s="448"/>
      <c r="G57" s="449"/>
      <c r="H57" s="184"/>
      <c r="I57" s="60"/>
      <c r="J57" s="40"/>
      <c r="K57" s="40">
        <v>30000</v>
      </c>
    </row>
    <row r="58" spans="1:11" ht="15.75" x14ac:dyDescent="0.25">
      <c r="A58" s="44" t="s">
        <v>799</v>
      </c>
      <c r="B58" s="478"/>
      <c r="C58" s="43"/>
      <c r="D58" s="43"/>
      <c r="E58" s="45"/>
      <c r="F58" s="43"/>
      <c r="G58" s="45"/>
      <c r="H58" s="184"/>
      <c r="I58" s="60"/>
      <c r="J58" s="40"/>
      <c r="K58" s="40"/>
    </row>
    <row r="59" spans="1:11" ht="15.75" x14ac:dyDescent="0.25">
      <c r="A59" s="44" t="s">
        <v>800</v>
      </c>
      <c r="B59" s="478"/>
      <c r="C59" s="43"/>
      <c r="D59" s="43"/>
      <c r="E59" s="45"/>
      <c r="F59" s="43"/>
      <c r="G59" s="45"/>
      <c r="H59" s="184"/>
      <c r="I59" s="60"/>
      <c r="J59" s="40"/>
      <c r="K59" s="40">
        <v>300000</v>
      </c>
    </row>
    <row r="60" spans="1:11" ht="15.75" x14ac:dyDescent="0.25">
      <c r="A60" s="522" t="s">
        <v>2764</v>
      </c>
      <c r="B60" s="478"/>
      <c r="C60" s="43"/>
      <c r="D60" s="43"/>
      <c r="E60" s="45"/>
      <c r="F60" s="43"/>
      <c r="G60" s="45"/>
      <c r="H60" s="184"/>
      <c r="I60" s="60"/>
      <c r="J60" s="40"/>
      <c r="K60" s="40">
        <v>2000000</v>
      </c>
    </row>
    <row r="61" spans="1:11" ht="15.75" x14ac:dyDescent="0.25">
      <c r="A61" s="17" t="s">
        <v>466</v>
      </c>
      <c r="B61" s="478"/>
      <c r="C61" s="54">
        <f>SUM(C39:C53)</f>
        <v>1904798.98</v>
      </c>
      <c r="D61" s="54">
        <f>SUM(D39:D53)</f>
        <v>635969.76</v>
      </c>
      <c r="E61" s="54">
        <f>F61-D61</f>
        <v>4171244.24</v>
      </c>
      <c r="F61" s="54">
        <f>SUM(F39:F53)</f>
        <v>4807214</v>
      </c>
      <c r="G61" s="54">
        <f>SUM(G39:G53)</f>
        <v>3330606</v>
      </c>
      <c r="H61" s="99"/>
    </row>
    <row r="62" spans="1:11" ht="15.75" x14ac:dyDescent="0.25">
      <c r="A62" s="17"/>
      <c r="B62" s="478"/>
      <c r="C62" s="55"/>
      <c r="D62" s="55"/>
      <c r="E62" s="45"/>
      <c r="F62" s="55"/>
      <c r="G62" s="55"/>
    </row>
    <row r="63" spans="1:11" ht="15.75" x14ac:dyDescent="0.25">
      <c r="A63" s="17" t="s">
        <v>467</v>
      </c>
      <c r="B63" s="41"/>
      <c r="C63" s="43">
        <f>C61+C36</f>
        <v>5356254.76</v>
      </c>
      <c r="D63" s="43">
        <f>D61+D36</f>
        <v>2297255.2999999998</v>
      </c>
      <c r="E63" s="45">
        <f>F63-D63</f>
        <v>6532551.7000000002</v>
      </c>
      <c r="F63" s="43">
        <f>F61+F36</f>
        <v>8829807</v>
      </c>
      <c r="G63" s="43">
        <f>G61+G36</f>
        <v>8107594</v>
      </c>
    </row>
    <row r="64" spans="1:11" ht="15.75" x14ac:dyDescent="0.25">
      <c r="A64" s="17"/>
      <c r="B64" s="41"/>
      <c r="C64" s="43"/>
      <c r="D64" s="43"/>
      <c r="E64" s="45"/>
      <c r="F64" s="43"/>
      <c r="G64" s="43"/>
    </row>
    <row r="65" spans="1:7" ht="15.75" x14ac:dyDescent="0.25">
      <c r="A65" s="640" t="s">
        <v>487</v>
      </c>
      <c r="B65" s="647" t="s">
        <v>488</v>
      </c>
      <c r="C65" s="634">
        <f t="shared" ref="C65:D65" si="7">C63</f>
        <v>5356254.76</v>
      </c>
      <c r="D65" s="634">
        <f t="shared" si="7"/>
        <v>2297255.2999999998</v>
      </c>
      <c r="E65" s="634">
        <f>F65-D65</f>
        <v>6532551.7000000002</v>
      </c>
      <c r="F65" s="635">
        <f t="shared" ref="F65:G65" si="8">F63</f>
        <v>8829807</v>
      </c>
      <c r="G65" s="635">
        <f t="shared" si="8"/>
        <v>8107594</v>
      </c>
    </row>
    <row r="66" spans="1:7" ht="15.75" x14ac:dyDescent="0.25">
      <c r="A66" s="637"/>
      <c r="B66" s="638"/>
      <c r="C66" s="637"/>
      <c r="D66" s="637"/>
      <c r="E66" s="637"/>
      <c r="F66" s="637"/>
      <c r="G66" s="639"/>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5" fitToHeight="0" orientation="portrait" r:id="rId1"/>
  <rowBreaks count="1" manualBreakCount="1">
    <brk id="56"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88"/>
  <sheetViews>
    <sheetView view="pageBreakPreview" zoomScale="130" zoomScaleNormal="100" zoomScaleSheetLayoutView="130" workbookViewId="0">
      <selection activeCell="A5" sqref="A5"/>
    </sheetView>
  </sheetViews>
  <sheetFormatPr defaultColWidth="14.42578125" defaultRowHeight="15" customHeight="1" x14ac:dyDescent="0.25"/>
  <cols>
    <col min="1" max="1" width="74.7109375" customWidth="1"/>
    <col min="2" max="2" width="15" customWidth="1"/>
    <col min="3" max="6" width="19" hidden="1" customWidth="1"/>
    <col min="7" max="7" width="19" customWidth="1"/>
    <col min="8" max="8" width="13.28515625" customWidth="1"/>
    <col min="9"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1226</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41"/>
      <c r="C13" s="42"/>
      <c r="D13" s="42"/>
      <c r="E13" s="42"/>
      <c r="F13" s="42"/>
      <c r="G13" s="42"/>
      <c r="H13" s="15"/>
      <c r="I13" s="15"/>
      <c r="J13" s="15"/>
      <c r="K13" s="15"/>
      <c r="L13" s="15"/>
      <c r="M13" s="15"/>
      <c r="N13" s="15"/>
      <c r="O13" s="15"/>
      <c r="P13" s="15"/>
      <c r="Q13" s="15"/>
      <c r="R13" s="15"/>
      <c r="S13" s="15"/>
      <c r="T13" s="15"/>
      <c r="U13" s="15"/>
      <c r="V13" s="15"/>
      <c r="W13" s="15"/>
      <c r="X13" s="15"/>
      <c r="Y13" s="15"/>
      <c r="Z13" s="15"/>
    </row>
    <row r="14" spans="1:26" ht="15.75" customHeight="1" x14ac:dyDescent="0.25">
      <c r="A14" s="17" t="s">
        <v>622</v>
      </c>
      <c r="B14" s="41"/>
      <c r="C14" s="42"/>
      <c r="D14" s="42"/>
      <c r="E14" s="42"/>
      <c r="F14" s="42"/>
      <c r="G14" s="42"/>
      <c r="H14" s="15"/>
      <c r="I14" s="15"/>
      <c r="J14" s="15"/>
      <c r="K14" s="15"/>
      <c r="L14" s="15"/>
      <c r="M14" s="15"/>
      <c r="N14" s="15"/>
      <c r="O14" s="15"/>
      <c r="P14" s="15"/>
      <c r="Q14" s="15"/>
      <c r="R14" s="15"/>
      <c r="S14" s="15"/>
      <c r="T14" s="15"/>
      <c r="U14" s="15"/>
      <c r="V14" s="15"/>
      <c r="W14" s="15"/>
      <c r="X14" s="15"/>
      <c r="Y14" s="15"/>
      <c r="Z14" s="15"/>
    </row>
    <row r="15" spans="1:26" ht="15.75" customHeight="1" x14ac:dyDescent="0.25">
      <c r="A15" s="17" t="s">
        <v>366</v>
      </c>
      <c r="B15" s="41"/>
      <c r="C15" s="42"/>
      <c r="D15" s="42"/>
      <c r="E15" s="42"/>
      <c r="F15" s="19"/>
      <c r="G15" s="19"/>
      <c r="H15" s="15"/>
      <c r="I15" s="15"/>
      <c r="J15" s="15"/>
      <c r="K15" s="15"/>
      <c r="L15" s="15"/>
      <c r="M15" s="15"/>
      <c r="N15" s="15"/>
      <c r="O15" s="15"/>
      <c r="P15" s="15"/>
      <c r="Q15" s="15"/>
      <c r="R15" s="15"/>
      <c r="S15" s="15"/>
      <c r="T15" s="15"/>
      <c r="U15" s="15"/>
      <c r="V15" s="15"/>
      <c r="W15" s="15"/>
      <c r="X15" s="15"/>
      <c r="Y15" s="15"/>
      <c r="Z15" s="15"/>
    </row>
    <row r="16" spans="1:26" ht="15.75" customHeight="1" x14ac:dyDescent="0.25">
      <c r="A16" s="44" t="s">
        <v>367</v>
      </c>
      <c r="B16" s="190" t="s">
        <v>121</v>
      </c>
      <c r="C16" s="43">
        <v>7597325.9500000002</v>
      </c>
      <c r="D16" s="43">
        <v>3469600.46</v>
      </c>
      <c r="E16" s="43">
        <f>F16-D16</f>
        <v>4380031.54</v>
      </c>
      <c r="F16" s="45">
        <v>7849632</v>
      </c>
      <c r="G16" s="45">
        <v>8109864</v>
      </c>
      <c r="H16" s="15"/>
      <c r="I16" s="15"/>
      <c r="J16" s="15"/>
      <c r="K16" s="15"/>
      <c r="L16" s="15"/>
      <c r="M16" s="15"/>
      <c r="N16" s="15"/>
      <c r="O16" s="15"/>
      <c r="P16" s="15"/>
      <c r="Q16" s="15"/>
      <c r="R16" s="15"/>
      <c r="S16" s="15"/>
      <c r="T16" s="15"/>
      <c r="U16" s="15"/>
      <c r="V16" s="15"/>
      <c r="W16" s="15"/>
      <c r="X16" s="15"/>
      <c r="Y16" s="15"/>
      <c r="Z16" s="15"/>
    </row>
    <row r="17" spans="1:26" ht="15.75" customHeight="1" x14ac:dyDescent="0.25">
      <c r="A17" s="17" t="s">
        <v>368</v>
      </c>
      <c r="B17" s="41"/>
      <c r="C17" s="43"/>
      <c r="D17" s="43"/>
      <c r="E17" s="43"/>
      <c r="F17" s="45"/>
      <c r="G17" s="48"/>
      <c r="H17" s="15"/>
      <c r="I17" s="15"/>
      <c r="J17" s="15"/>
      <c r="K17" s="15"/>
      <c r="L17" s="15"/>
      <c r="M17" s="15"/>
      <c r="N17" s="15"/>
      <c r="O17" s="15"/>
      <c r="P17" s="15"/>
      <c r="Q17" s="15"/>
      <c r="R17" s="15"/>
      <c r="S17" s="15"/>
      <c r="T17" s="15"/>
      <c r="U17" s="15"/>
      <c r="V17" s="15"/>
      <c r="W17" s="15"/>
      <c r="X17" s="15"/>
      <c r="Y17" s="15"/>
      <c r="Z17" s="15"/>
    </row>
    <row r="18" spans="1:26" ht="15.75" customHeight="1" x14ac:dyDescent="0.25">
      <c r="A18" s="44" t="s">
        <v>369</v>
      </c>
      <c r="B18" s="190" t="s">
        <v>125</v>
      </c>
      <c r="C18" s="43">
        <v>479909.09</v>
      </c>
      <c r="D18" s="43">
        <v>218000</v>
      </c>
      <c r="E18" s="43">
        <f t="shared" ref="E18:E23" si="0">F18-D18</f>
        <v>262000</v>
      </c>
      <c r="F18" s="43">
        <v>480000</v>
      </c>
      <c r="G18" s="45">
        <v>480000</v>
      </c>
      <c r="H18" s="15"/>
      <c r="I18" s="15"/>
      <c r="J18" s="15"/>
      <c r="K18" s="15"/>
      <c r="L18" s="15"/>
      <c r="M18" s="15"/>
      <c r="N18" s="15"/>
      <c r="O18" s="15"/>
      <c r="P18" s="15"/>
      <c r="Q18" s="15"/>
      <c r="R18" s="15"/>
      <c r="S18" s="15"/>
      <c r="T18" s="15"/>
      <c r="U18" s="15"/>
      <c r="V18" s="15"/>
      <c r="W18" s="15"/>
      <c r="X18" s="15"/>
      <c r="Y18" s="15"/>
      <c r="Z18" s="15"/>
    </row>
    <row r="19" spans="1:26" ht="15.75" customHeight="1" x14ac:dyDescent="0.25">
      <c r="A19" s="44" t="s">
        <v>370</v>
      </c>
      <c r="B19" s="190" t="s">
        <v>127</v>
      </c>
      <c r="C19" s="43">
        <v>138000</v>
      </c>
      <c r="D19" s="43">
        <v>34500</v>
      </c>
      <c r="E19" s="43">
        <f t="shared" si="0"/>
        <v>103500</v>
      </c>
      <c r="F19" s="45">
        <v>138000</v>
      </c>
      <c r="G19" s="45">
        <v>138000</v>
      </c>
      <c r="H19" s="15"/>
      <c r="I19" s="15"/>
      <c r="J19" s="15"/>
      <c r="K19" s="15"/>
      <c r="L19" s="15"/>
      <c r="M19" s="15"/>
      <c r="N19" s="15"/>
      <c r="O19" s="15"/>
      <c r="P19" s="15"/>
      <c r="Q19" s="15"/>
      <c r="R19" s="15"/>
      <c r="S19" s="15"/>
      <c r="T19" s="15"/>
      <c r="U19" s="15"/>
      <c r="V19" s="15"/>
      <c r="W19" s="15"/>
      <c r="X19" s="15"/>
      <c r="Y19" s="15"/>
      <c r="Z19" s="15"/>
    </row>
    <row r="20" spans="1:26" ht="15.75" customHeight="1" x14ac:dyDescent="0.25">
      <c r="A20" s="44" t="s">
        <v>371</v>
      </c>
      <c r="B20" s="190" t="s">
        <v>372</v>
      </c>
      <c r="C20" s="43">
        <v>0</v>
      </c>
      <c r="D20" s="43">
        <v>0</v>
      </c>
      <c r="E20" s="43">
        <f t="shared" si="0"/>
        <v>138000</v>
      </c>
      <c r="F20" s="45">
        <v>138000</v>
      </c>
      <c r="G20" s="45">
        <v>138000</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44" t="s">
        <v>373</v>
      </c>
      <c r="B21" s="190" t="s">
        <v>131</v>
      </c>
      <c r="C21" s="43">
        <v>140000</v>
      </c>
      <c r="D21" s="43">
        <v>140000</v>
      </c>
      <c r="E21" s="43">
        <f t="shared" si="0"/>
        <v>0</v>
      </c>
      <c r="F21" s="45">
        <v>140000</v>
      </c>
      <c r="G21" s="45">
        <v>140000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44" t="s">
        <v>374</v>
      </c>
      <c r="B22" s="190" t="s">
        <v>151</v>
      </c>
      <c r="C22" s="43">
        <v>650259</v>
      </c>
      <c r="D22" s="43">
        <v>0</v>
      </c>
      <c r="E22" s="43">
        <f t="shared" si="0"/>
        <v>654136</v>
      </c>
      <c r="F22" s="45">
        <v>654136</v>
      </c>
      <c r="G22" s="45">
        <v>675822</v>
      </c>
      <c r="H22" s="15"/>
      <c r="I22" s="15"/>
      <c r="J22" s="15"/>
      <c r="K22" s="15"/>
      <c r="L22" s="15"/>
      <c r="M22" s="15"/>
      <c r="N22" s="15"/>
      <c r="O22" s="15"/>
      <c r="P22" s="15"/>
      <c r="Q22" s="15"/>
      <c r="R22" s="15"/>
      <c r="S22" s="15"/>
      <c r="T22" s="15"/>
      <c r="U22" s="15"/>
      <c r="V22" s="15"/>
      <c r="W22" s="15"/>
      <c r="X22" s="15"/>
      <c r="Y22" s="15"/>
      <c r="Z22" s="15"/>
    </row>
    <row r="23" spans="1:26" ht="15.75" customHeight="1" x14ac:dyDescent="0.25">
      <c r="A23" s="44" t="s">
        <v>375</v>
      </c>
      <c r="B23" s="190" t="s">
        <v>153</v>
      </c>
      <c r="C23" s="43">
        <v>100000</v>
      </c>
      <c r="D23" s="43">
        <v>0</v>
      </c>
      <c r="E23" s="43">
        <f t="shared" si="0"/>
        <v>100000</v>
      </c>
      <c r="F23" s="45">
        <v>100000</v>
      </c>
      <c r="G23" s="45">
        <v>100000</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44" t="s">
        <v>376</v>
      </c>
      <c r="B24" s="190" t="s">
        <v>155</v>
      </c>
      <c r="C24" s="43"/>
      <c r="D24" s="43"/>
      <c r="E24" s="43"/>
      <c r="F24" s="45"/>
      <c r="G24" s="45"/>
      <c r="H24" s="15"/>
      <c r="I24" s="15"/>
      <c r="J24" s="15"/>
      <c r="K24" s="15"/>
      <c r="L24" s="15"/>
      <c r="M24" s="15"/>
      <c r="N24" s="15"/>
      <c r="O24" s="15"/>
      <c r="P24" s="15"/>
      <c r="Q24" s="15"/>
      <c r="R24" s="15"/>
      <c r="S24" s="15"/>
      <c r="T24" s="15"/>
      <c r="U24" s="15"/>
      <c r="V24" s="15"/>
      <c r="W24" s="15"/>
      <c r="X24" s="15"/>
      <c r="Y24" s="15"/>
      <c r="Z24" s="15"/>
    </row>
    <row r="25" spans="1:26" ht="15.75" customHeight="1" x14ac:dyDescent="0.25">
      <c r="A25" s="44" t="s">
        <v>377</v>
      </c>
      <c r="B25" s="190" t="s">
        <v>157</v>
      </c>
      <c r="C25" s="43">
        <v>0</v>
      </c>
      <c r="D25" s="43">
        <v>5000</v>
      </c>
      <c r="E25" s="43">
        <f t="shared" ref="E25:E27" si="1">F25-D25</f>
        <v>0</v>
      </c>
      <c r="F25" s="45">
        <v>5000</v>
      </c>
      <c r="G25" s="45">
        <v>5000</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44" t="s">
        <v>1227</v>
      </c>
      <c r="B26" s="190" t="s">
        <v>159</v>
      </c>
      <c r="C26" s="43">
        <v>0</v>
      </c>
      <c r="D26" s="43">
        <v>60000</v>
      </c>
      <c r="E26" s="43">
        <f t="shared" si="1"/>
        <v>0</v>
      </c>
      <c r="F26" s="45">
        <v>60000</v>
      </c>
      <c r="G26" s="45">
        <v>0</v>
      </c>
      <c r="H26" s="15"/>
      <c r="I26" s="15"/>
      <c r="J26" s="15"/>
      <c r="K26" s="15"/>
      <c r="L26" s="15"/>
      <c r="M26" s="15"/>
      <c r="N26" s="15"/>
      <c r="O26" s="15"/>
      <c r="P26" s="15"/>
      <c r="Q26" s="15"/>
      <c r="R26" s="15"/>
      <c r="S26" s="15"/>
      <c r="T26" s="15"/>
      <c r="U26" s="15"/>
      <c r="V26" s="15"/>
      <c r="W26" s="15"/>
      <c r="X26" s="15"/>
      <c r="Y26" s="15"/>
      <c r="Z26" s="15"/>
    </row>
    <row r="27" spans="1:26" ht="15.75" customHeight="1" x14ac:dyDescent="0.25">
      <c r="A27" s="44" t="s">
        <v>379</v>
      </c>
      <c r="B27" s="190" t="s">
        <v>161</v>
      </c>
      <c r="C27" s="43">
        <v>621247</v>
      </c>
      <c r="D27" s="43">
        <v>650963</v>
      </c>
      <c r="E27" s="43">
        <f t="shared" si="1"/>
        <v>3173</v>
      </c>
      <c r="F27" s="45">
        <v>654136</v>
      </c>
      <c r="G27" s="45">
        <v>675822</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5"/>
      <c r="G28" s="45"/>
      <c r="H28" s="15"/>
      <c r="I28" s="15"/>
      <c r="J28" s="15"/>
      <c r="K28" s="15"/>
      <c r="L28" s="15"/>
      <c r="M28" s="15"/>
      <c r="N28" s="15"/>
      <c r="O28" s="15"/>
      <c r="P28" s="15"/>
      <c r="Q28" s="15"/>
      <c r="R28" s="15"/>
      <c r="S28" s="15"/>
      <c r="T28" s="15"/>
      <c r="U28" s="15"/>
      <c r="V28" s="15"/>
      <c r="W28" s="15"/>
      <c r="X28" s="15"/>
      <c r="Y28" s="15"/>
      <c r="Z28" s="15"/>
    </row>
    <row r="29" spans="1:26" ht="15.75" customHeight="1" x14ac:dyDescent="0.25">
      <c r="A29" s="44" t="s">
        <v>381</v>
      </c>
      <c r="B29" s="190" t="s">
        <v>165</v>
      </c>
      <c r="C29" s="43">
        <v>911791.12</v>
      </c>
      <c r="D29" s="43">
        <v>416352.06</v>
      </c>
      <c r="E29" s="43">
        <f t="shared" ref="E29:E32" si="2">F29-D29</f>
        <v>525603.93999999994</v>
      </c>
      <c r="F29" s="45">
        <v>941956</v>
      </c>
      <c r="G29" s="45">
        <v>973184</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44" t="s">
        <v>382</v>
      </c>
      <c r="B30" s="190" t="s">
        <v>167</v>
      </c>
      <c r="C30" s="43">
        <v>151965.19</v>
      </c>
      <c r="D30" s="43">
        <v>69392.009999999995</v>
      </c>
      <c r="E30" s="43">
        <f t="shared" si="2"/>
        <v>87600.99</v>
      </c>
      <c r="F30" s="45">
        <v>156993</v>
      </c>
      <c r="G30" s="45">
        <v>162198</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44" t="s">
        <v>383</v>
      </c>
      <c r="B31" s="190" t="s">
        <v>169</v>
      </c>
      <c r="C31" s="43">
        <v>174004.17</v>
      </c>
      <c r="D31" s="43">
        <v>79635.47</v>
      </c>
      <c r="E31" s="43">
        <f t="shared" si="2"/>
        <v>98794.53</v>
      </c>
      <c r="F31" s="45">
        <v>178430</v>
      </c>
      <c r="G31" s="45">
        <v>184616</v>
      </c>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t="s">
        <v>384</v>
      </c>
      <c r="B32" s="190" t="s">
        <v>171</v>
      </c>
      <c r="C32" s="43">
        <v>24000</v>
      </c>
      <c r="D32" s="43">
        <v>10900</v>
      </c>
      <c r="E32" s="43">
        <f t="shared" si="2"/>
        <v>13100</v>
      </c>
      <c r="F32" s="45">
        <v>24000</v>
      </c>
      <c r="G32" s="45">
        <v>24000</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17" t="s">
        <v>624</v>
      </c>
      <c r="B33" s="41"/>
      <c r="C33" s="43"/>
      <c r="D33" s="43"/>
      <c r="E33" s="43"/>
      <c r="F33" s="45"/>
      <c r="G33" s="45"/>
      <c r="H33" s="15"/>
      <c r="I33" s="15"/>
      <c r="J33" s="15"/>
      <c r="K33" s="15"/>
      <c r="L33" s="15"/>
      <c r="M33" s="15"/>
      <c r="N33" s="15"/>
      <c r="O33" s="15"/>
      <c r="P33" s="15"/>
      <c r="Q33" s="15"/>
      <c r="R33" s="15"/>
      <c r="S33" s="15"/>
      <c r="T33" s="15"/>
      <c r="U33" s="15"/>
      <c r="V33" s="15"/>
      <c r="W33" s="15"/>
      <c r="X33" s="15"/>
      <c r="Y33" s="15"/>
      <c r="Z33" s="15"/>
    </row>
    <row r="34" spans="1:26" ht="15.75" customHeight="1" x14ac:dyDescent="0.25">
      <c r="A34" s="44" t="s">
        <v>386</v>
      </c>
      <c r="B34" s="190" t="s">
        <v>179</v>
      </c>
      <c r="C34" s="43">
        <v>23222.02</v>
      </c>
      <c r="D34" s="43">
        <v>0</v>
      </c>
      <c r="E34" s="43">
        <f t="shared" ref="E34:E36" si="3">F34-D34</f>
        <v>3868596</v>
      </c>
      <c r="F34" s="45">
        <v>3868596</v>
      </c>
      <c r="G34" s="45">
        <v>0</v>
      </c>
      <c r="H34" s="15"/>
      <c r="I34" s="15"/>
      <c r="J34" s="15"/>
      <c r="K34" s="15"/>
      <c r="L34" s="15"/>
      <c r="M34" s="15"/>
      <c r="N34" s="15"/>
      <c r="O34" s="15"/>
      <c r="P34" s="15"/>
      <c r="Q34" s="15"/>
      <c r="R34" s="15"/>
      <c r="S34" s="15"/>
      <c r="T34" s="15"/>
      <c r="U34" s="15"/>
      <c r="V34" s="15"/>
      <c r="W34" s="15"/>
      <c r="X34" s="15"/>
      <c r="Y34" s="15"/>
      <c r="Z34" s="15"/>
    </row>
    <row r="35" spans="1:26" ht="15.75" customHeight="1" x14ac:dyDescent="0.25">
      <c r="A35" s="44" t="s">
        <v>387</v>
      </c>
      <c r="B35" s="190" t="s">
        <v>181</v>
      </c>
      <c r="C35" s="43">
        <v>230883.44</v>
      </c>
      <c r="D35" s="43">
        <v>135882.17000000001</v>
      </c>
      <c r="E35" s="43">
        <f t="shared" si="3"/>
        <v>179363.83</v>
      </c>
      <c r="F35" s="45">
        <v>315246</v>
      </c>
      <c r="G35" s="45">
        <v>325697</v>
      </c>
      <c r="H35" s="15"/>
      <c r="I35" s="15"/>
      <c r="J35" s="15"/>
      <c r="K35" s="15"/>
      <c r="L35" s="15"/>
      <c r="M35" s="15"/>
      <c r="N35" s="15"/>
      <c r="O35" s="15"/>
      <c r="P35" s="15"/>
      <c r="Q35" s="15"/>
      <c r="R35" s="15"/>
      <c r="S35" s="15"/>
      <c r="T35" s="15"/>
      <c r="U35" s="15"/>
      <c r="V35" s="15"/>
      <c r="W35" s="15"/>
      <c r="X35" s="15"/>
      <c r="Y35" s="15"/>
      <c r="Z35" s="15"/>
    </row>
    <row r="36" spans="1:26" ht="15.75" customHeight="1" x14ac:dyDescent="0.25">
      <c r="A36" s="44" t="s">
        <v>388</v>
      </c>
      <c r="B36" s="190" t="s">
        <v>183</v>
      </c>
      <c r="C36" s="43">
        <v>100000</v>
      </c>
      <c r="D36" s="43">
        <v>0</v>
      </c>
      <c r="E36" s="43">
        <f t="shared" si="3"/>
        <v>100000</v>
      </c>
      <c r="F36" s="45">
        <v>100000</v>
      </c>
      <c r="G36" s="45">
        <v>100000</v>
      </c>
      <c r="H36" s="15"/>
      <c r="I36" s="15"/>
      <c r="J36" s="15"/>
      <c r="K36" s="15"/>
      <c r="L36" s="15"/>
      <c r="M36" s="15"/>
      <c r="N36" s="15"/>
      <c r="O36" s="15"/>
      <c r="P36" s="15"/>
      <c r="Q36" s="15"/>
      <c r="R36" s="15"/>
      <c r="S36" s="15"/>
      <c r="T36" s="15"/>
      <c r="U36" s="15"/>
      <c r="V36" s="15"/>
      <c r="W36" s="15"/>
      <c r="X36" s="15"/>
      <c r="Y36" s="15"/>
      <c r="Z36" s="15"/>
    </row>
    <row r="37" spans="1:26" ht="31.5" x14ac:dyDescent="0.25">
      <c r="A37" s="117" t="s">
        <v>625</v>
      </c>
      <c r="B37" s="41"/>
      <c r="C37" s="45">
        <v>0</v>
      </c>
      <c r="D37" s="43">
        <v>0</v>
      </c>
      <c r="E37" s="43">
        <v>0</v>
      </c>
      <c r="F37" s="45">
        <v>0</v>
      </c>
      <c r="G37" s="45">
        <v>225041</v>
      </c>
      <c r="H37" s="15"/>
      <c r="I37" s="15"/>
      <c r="J37" s="15"/>
      <c r="K37" s="15"/>
      <c r="L37" s="15"/>
      <c r="M37" s="15"/>
      <c r="N37" s="15"/>
      <c r="O37" s="15"/>
      <c r="P37" s="15"/>
      <c r="Q37" s="15"/>
      <c r="R37" s="15"/>
      <c r="S37" s="15"/>
      <c r="T37" s="15"/>
      <c r="U37" s="15"/>
      <c r="V37" s="15"/>
      <c r="W37" s="15"/>
      <c r="X37" s="15"/>
      <c r="Y37" s="15"/>
      <c r="Z37" s="15"/>
    </row>
    <row r="38" spans="1:26" ht="15.75" customHeight="1" x14ac:dyDescent="0.25">
      <c r="A38" s="42" t="s">
        <v>390</v>
      </c>
      <c r="B38" s="41"/>
      <c r="C38" s="79">
        <f t="shared" ref="C38:D38" si="4">+SUM(C16:C36)</f>
        <v>11342606.979999997</v>
      </c>
      <c r="D38" s="54">
        <f t="shared" si="4"/>
        <v>5290225.169999999</v>
      </c>
      <c r="E38" s="54">
        <f>F38-D38</f>
        <v>10513899.830000002</v>
      </c>
      <c r="F38" s="54">
        <f>+SUM(F16:F36)</f>
        <v>15804125</v>
      </c>
      <c r="G38" s="54">
        <f>+SUM(G16:G37)</f>
        <v>12457244</v>
      </c>
      <c r="H38" s="232"/>
      <c r="I38" s="232"/>
      <c r="J38" s="232"/>
      <c r="K38" s="232"/>
      <c r="L38" s="232"/>
      <c r="M38" s="232"/>
      <c r="N38" s="232"/>
      <c r="O38" s="232"/>
      <c r="P38" s="232"/>
      <c r="Q38" s="232"/>
      <c r="R38" s="232"/>
      <c r="S38" s="232"/>
      <c r="T38" s="232"/>
      <c r="U38" s="232"/>
      <c r="V38" s="232"/>
      <c r="W38" s="232"/>
      <c r="X38" s="232"/>
      <c r="Y38" s="232"/>
      <c r="Z38" s="232"/>
    </row>
    <row r="39" spans="1:26" ht="15.75" customHeight="1" x14ac:dyDescent="0.25">
      <c r="A39" s="446"/>
      <c r="B39" s="437"/>
      <c r="C39" s="449"/>
      <c r="D39" s="497"/>
      <c r="E39" s="438"/>
      <c r="F39" s="448"/>
      <c r="G39" s="449"/>
      <c r="H39" s="515"/>
      <c r="I39" s="515"/>
      <c r="J39" s="515"/>
      <c r="K39" s="515"/>
      <c r="L39" s="515"/>
      <c r="M39" s="515"/>
      <c r="N39" s="515"/>
      <c r="O39" s="515"/>
      <c r="P39" s="515"/>
      <c r="Q39" s="515"/>
      <c r="R39" s="515"/>
      <c r="S39" s="515"/>
      <c r="T39" s="515"/>
      <c r="U39" s="515"/>
      <c r="V39" s="515"/>
      <c r="W39" s="515"/>
      <c r="X39" s="515"/>
      <c r="Y39" s="515"/>
      <c r="Z39" s="515"/>
    </row>
    <row r="40" spans="1:26" ht="15.75" customHeight="1" x14ac:dyDescent="0.25">
      <c r="A40" s="456" t="s">
        <v>613</v>
      </c>
      <c r="B40" s="454"/>
      <c r="C40" s="443"/>
      <c r="D40" s="443"/>
      <c r="E40" s="443"/>
      <c r="F40" s="443"/>
      <c r="G40" s="462"/>
      <c r="H40" s="10"/>
      <c r="I40" s="10"/>
      <c r="J40" s="10"/>
      <c r="K40" s="10"/>
      <c r="L40" s="10"/>
      <c r="M40" s="10"/>
      <c r="N40" s="10"/>
      <c r="O40" s="10"/>
      <c r="P40" s="10"/>
      <c r="Q40" s="10"/>
      <c r="R40" s="10"/>
      <c r="S40" s="10"/>
      <c r="T40" s="10"/>
      <c r="U40" s="10"/>
      <c r="V40" s="10"/>
      <c r="W40" s="10"/>
      <c r="X40" s="10"/>
      <c r="Y40" s="10"/>
      <c r="Z40" s="10"/>
    </row>
    <row r="41" spans="1:26" ht="15.75" customHeight="1" x14ac:dyDescent="0.25">
      <c r="A41" s="456" t="s">
        <v>642</v>
      </c>
      <c r="B41" s="454"/>
      <c r="C41" s="443"/>
      <c r="D41" s="443"/>
      <c r="E41" s="443"/>
      <c r="F41" s="443"/>
      <c r="G41" s="462"/>
      <c r="H41" s="15"/>
      <c r="I41" s="15"/>
      <c r="J41" s="15"/>
      <c r="K41" s="15"/>
      <c r="L41" s="15"/>
      <c r="M41" s="15"/>
      <c r="N41" s="15"/>
      <c r="O41" s="15"/>
      <c r="P41" s="15"/>
      <c r="Q41" s="15"/>
      <c r="R41" s="15"/>
      <c r="S41" s="15"/>
      <c r="T41" s="15"/>
      <c r="U41" s="15"/>
      <c r="V41" s="15"/>
      <c r="W41" s="15"/>
      <c r="X41" s="15"/>
      <c r="Y41" s="15"/>
      <c r="Z41" s="15"/>
    </row>
    <row r="42" spans="1:26" ht="15.75" customHeight="1" x14ac:dyDescent="0.25">
      <c r="A42" s="460" t="s">
        <v>393</v>
      </c>
      <c r="B42" s="523" t="s">
        <v>187</v>
      </c>
      <c r="C42" s="443">
        <v>125626.4</v>
      </c>
      <c r="D42" s="443">
        <v>0</v>
      </c>
      <c r="E42" s="443">
        <v>0</v>
      </c>
      <c r="F42" s="443">
        <v>0</v>
      </c>
      <c r="G42" s="462">
        <v>250000</v>
      </c>
      <c r="H42" s="15"/>
      <c r="I42" s="15"/>
      <c r="J42" s="15"/>
      <c r="K42" s="15"/>
      <c r="L42" s="15"/>
      <c r="M42" s="15"/>
      <c r="N42" s="15"/>
      <c r="O42" s="15"/>
      <c r="P42" s="15"/>
      <c r="Q42" s="15"/>
      <c r="R42" s="15"/>
      <c r="S42" s="15"/>
      <c r="T42" s="15"/>
      <c r="U42" s="15"/>
      <c r="V42" s="15"/>
      <c r="W42" s="15"/>
      <c r="X42" s="15"/>
      <c r="Y42" s="15"/>
      <c r="Z42" s="15"/>
    </row>
    <row r="43" spans="1:26" ht="15.75" customHeight="1" x14ac:dyDescent="0.25">
      <c r="A43" s="42" t="s">
        <v>493</v>
      </c>
      <c r="B43" s="25"/>
      <c r="C43" s="43"/>
      <c r="D43" s="26"/>
      <c r="E43" s="43"/>
      <c r="F43" s="26"/>
      <c r="G43" s="462"/>
      <c r="H43" s="15"/>
      <c r="I43" s="15"/>
      <c r="J43" s="15"/>
      <c r="K43" s="15"/>
      <c r="L43" s="15"/>
      <c r="M43" s="15"/>
      <c r="N43" s="15"/>
      <c r="O43" s="15"/>
      <c r="P43" s="15"/>
      <c r="Q43" s="15"/>
      <c r="R43" s="15"/>
      <c r="S43" s="15"/>
      <c r="T43" s="15"/>
      <c r="U43" s="15"/>
      <c r="V43" s="15"/>
      <c r="W43" s="15"/>
      <c r="X43" s="15"/>
      <c r="Y43" s="15"/>
      <c r="Z43" s="15"/>
    </row>
    <row r="44" spans="1:26" ht="15.75" customHeight="1" x14ac:dyDescent="0.25">
      <c r="A44" s="44" t="s">
        <v>396</v>
      </c>
      <c r="B44" s="190" t="s">
        <v>191</v>
      </c>
      <c r="C44" s="45">
        <v>193890</v>
      </c>
      <c r="D44" s="26">
        <v>0</v>
      </c>
      <c r="E44" s="43">
        <v>0</v>
      </c>
      <c r="F44" s="45">
        <v>0</v>
      </c>
      <c r="G44" s="45">
        <v>120000</v>
      </c>
      <c r="H44" s="15"/>
      <c r="I44" s="15"/>
      <c r="J44" s="15"/>
      <c r="K44" s="15"/>
      <c r="L44" s="15"/>
      <c r="M44" s="15"/>
      <c r="N44" s="15"/>
      <c r="O44" s="15"/>
      <c r="P44" s="15"/>
      <c r="Q44" s="15"/>
      <c r="R44" s="15"/>
      <c r="S44" s="15"/>
      <c r="T44" s="15"/>
      <c r="U44" s="15"/>
      <c r="V44" s="15"/>
      <c r="W44" s="15"/>
      <c r="X44" s="15"/>
      <c r="Y44" s="15"/>
      <c r="Z44" s="15"/>
    </row>
    <row r="45" spans="1:26" ht="15.75" customHeight="1" x14ac:dyDescent="0.25">
      <c r="A45" s="17" t="s">
        <v>499</v>
      </c>
      <c r="B45" s="41"/>
      <c r="C45" s="43"/>
      <c r="D45" s="43"/>
      <c r="E45" s="43"/>
      <c r="F45" s="43"/>
      <c r="G45" s="43"/>
      <c r="H45" s="15"/>
      <c r="I45" s="15"/>
      <c r="J45" s="15"/>
      <c r="K45" s="15"/>
      <c r="L45" s="15"/>
      <c r="M45" s="15"/>
      <c r="N45" s="15"/>
      <c r="O45" s="15"/>
      <c r="P45" s="15"/>
      <c r="Q45" s="15"/>
      <c r="R45" s="15"/>
      <c r="S45" s="15"/>
      <c r="T45" s="15"/>
      <c r="U45" s="15"/>
      <c r="V45" s="15"/>
      <c r="W45" s="15"/>
      <c r="X45" s="15"/>
      <c r="Y45" s="15"/>
      <c r="Z45" s="15"/>
    </row>
    <row r="46" spans="1:26" ht="15.75" customHeight="1" x14ac:dyDescent="0.25">
      <c r="A46" s="44" t="s">
        <v>398</v>
      </c>
      <c r="B46" s="41" t="s">
        <v>195</v>
      </c>
      <c r="C46" s="43">
        <v>49275</v>
      </c>
      <c r="D46" s="43">
        <v>0</v>
      </c>
      <c r="E46" s="43">
        <f t="shared" ref="E46:E48" si="5">F46-D46</f>
        <v>100000</v>
      </c>
      <c r="F46" s="43">
        <v>100000</v>
      </c>
      <c r="G46" s="43">
        <v>195100</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44" t="s">
        <v>399</v>
      </c>
      <c r="B47" s="190" t="s">
        <v>211</v>
      </c>
      <c r="C47" s="43">
        <v>1499969.45</v>
      </c>
      <c r="D47" s="43">
        <v>1247701.3999999999</v>
      </c>
      <c r="E47" s="43">
        <f t="shared" si="5"/>
        <v>452298.60000000009</v>
      </c>
      <c r="F47" s="43">
        <v>1700000</v>
      </c>
      <c r="G47" s="43">
        <v>1000000</v>
      </c>
      <c r="H47" s="15"/>
      <c r="I47" s="15"/>
      <c r="J47" s="15"/>
      <c r="K47" s="15"/>
      <c r="L47" s="15"/>
      <c r="M47" s="15"/>
      <c r="N47" s="15"/>
      <c r="O47" s="15"/>
      <c r="P47" s="15"/>
      <c r="Q47" s="15"/>
      <c r="R47" s="15"/>
      <c r="S47" s="15"/>
      <c r="T47" s="15"/>
      <c r="U47" s="15"/>
      <c r="V47" s="15"/>
      <c r="W47" s="15"/>
      <c r="X47" s="15"/>
      <c r="Y47" s="15"/>
      <c r="Z47" s="15"/>
    </row>
    <row r="48" spans="1:26" ht="15.75" customHeight="1" x14ac:dyDescent="0.25">
      <c r="A48" s="44" t="s">
        <v>633</v>
      </c>
      <c r="B48" s="41" t="s">
        <v>221</v>
      </c>
      <c r="C48" s="43">
        <v>0</v>
      </c>
      <c r="D48" s="43">
        <v>0</v>
      </c>
      <c r="E48" s="43">
        <f t="shared" si="5"/>
        <v>0</v>
      </c>
      <c r="F48" s="43">
        <v>0</v>
      </c>
      <c r="G48" s="43">
        <v>33000</v>
      </c>
      <c r="H48" s="15"/>
      <c r="I48" s="15"/>
      <c r="J48" s="15"/>
      <c r="K48" s="15"/>
      <c r="L48" s="15"/>
      <c r="M48" s="15"/>
      <c r="N48" s="15"/>
      <c r="O48" s="15"/>
      <c r="P48" s="15"/>
      <c r="Q48" s="15"/>
      <c r="R48" s="15"/>
      <c r="S48" s="15"/>
      <c r="T48" s="15"/>
      <c r="U48" s="15"/>
      <c r="V48" s="15"/>
      <c r="W48" s="15"/>
      <c r="X48" s="15"/>
      <c r="Y48" s="15"/>
      <c r="Z48" s="15"/>
    </row>
    <row r="49" spans="1:26" ht="15.75" customHeight="1" x14ac:dyDescent="0.25">
      <c r="A49" s="44" t="s">
        <v>402</v>
      </c>
      <c r="B49" s="190" t="s">
        <v>225</v>
      </c>
      <c r="C49" s="43">
        <v>29450</v>
      </c>
      <c r="D49" s="43"/>
      <c r="E49" s="43"/>
      <c r="F49" s="43"/>
      <c r="G49" s="43">
        <v>20000</v>
      </c>
      <c r="H49" s="15"/>
      <c r="I49" s="15"/>
      <c r="J49" s="15"/>
      <c r="K49" s="15"/>
      <c r="L49" s="15"/>
      <c r="M49" s="15"/>
      <c r="N49" s="15"/>
      <c r="O49" s="15"/>
      <c r="P49" s="15"/>
      <c r="Q49" s="15"/>
      <c r="R49" s="15"/>
      <c r="S49" s="15"/>
      <c r="T49" s="15"/>
      <c r="U49" s="15"/>
      <c r="V49" s="15"/>
      <c r="W49" s="15"/>
      <c r="X49" s="15"/>
      <c r="Y49" s="15"/>
      <c r="Z49" s="15"/>
    </row>
    <row r="50" spans="1:26" ht="15.75" customHeight="1" x14ac:dyDescent="0.25">
      <c r="A50" s="17" t="s">
        <v>503</v>
      </c>
      <c r="B50" s="41"/>
      <c r="C50" s="43"/>
      <c r="D50" s="43"/>
      <c r="E50" s="43"/>
      <c r="F50" s="43"/>
      <c r="G50" s="43"/>
      <c r="H50" s="15"/>
      <c r="I50" s="15"/>
      <c r="J50" s="15"/>
      <c r="K50" s="15"/>
      <c r="L50" s="15"/>
      <c r="M50" s="15"/>
      <c r="N50" s="15"/>
      <c r="O50" s="15"/>
      <c r="P50" s="15"/>
      <c r="Q50" s="15"/>
      <c r="R50" s="15"/>
      <c r="S50" s="15"/>
      <c r="T50" s="15"/>
      <c r="U50" s="15"/>
      <c r="V50" s="15"/>
      <c r="W50" s="15"/>
      <c r="X50" s="15"/>
      <c r="Y50" s="15"/>
      <c r="Z50" s="15"/>
    </row>
    <row r="51" spans="1:26" ht="15.75" customHeight="1" x14ac:dyDescent="0.25">
      <c r="A51" s="44" t="s">
        <v>405</v>
      </c>
      <c r="B51" s="190" t="s">
        <v>235</v>
      </c>
      <c r="C51" s="43">
        <v>36000</v>
      </c>
      <c r="D51" s="43">
        <v>18000</v>
      </c>
      <c r="E51" s="43">
        <f>F51-D51</f>
        <v>18000</v>
      </c>
      <c r="F51" s="43">
        <v>36000</v>
      </c>
      <c r="G51" s="43">
        <v>36000</v>
      </c>
      <c r="H51" s="15"/>
      <c r="I51" s="15"/>
      <c r="J51" s="15"/>
      <c r="K51" s="15"/>
      <c r="L51" s="15"/>
      <c r="M51" s="15"/>
      <c r="N51" s="15"/>
      <c r="O51" s="15"/>
      <c r="P51" s="15"/>
      <c r="Q51" s="15"/>
      <c r="R51" s="15"/>
      <c r="S51" s="15"/>
      <c r="T51" s="15"/>
      <c r="U51" s="15"/>
      <c r="V51" s="15"/>
      <c r="W51" s="15"/>
      <c r="X51" s="15"/>
      <c r="Y51" s="15"/>
      <c r="Z51" s="15"/>
    </row>
    <row r="52" spans="1:26" ht="15.75" customHeight="1" x14ac:dyDescent="0.25">
      <c r="A52" s="17" t="s">
        <v>506</v>
      </c>
      <c r="B52" s="41"/>
      <c r="C52" s="43"/>
      <c r="D52" s="43"/>
      <c r="E52" s="43"/>
      <c r="F52" s="43"/>
      <c r="G52" s="43"/>
      <c r="H52" s="15"/>
      <c r="I52" s="15"/>
      <c r="J52" s="15"/>
      <c r="K52" s="15"/>
      <c r="L52" s="15"/>
      <c r="M52" s="15"/>
      <c r="N52" s="15"/>
      <c r="O52" s="15"/>
      <c r="P52" s="15"/>
      <c r="Q52" s="15"/>
      <c r="R52" s="15"/>
      <c r="S52" s="15"/>
      <c r="T52" s="15"/>
      <c r="U52" s="15"/>
      <c r="V52" s="15"/>
      <c r="W52" s="15"/>
      <c r="X52" s="15"/>
      <c r="Y52" s="15"/>
      <c r="Z52" s="15"/>
    </row>
    <row r="53" spans="1:26" ht="15.75" customHeight="1" x14ac:dyDescent="0.25">
      <c r="A53" s="616" t="s">
        <v>817</v>
      </c>
      <c r="B53" s="648" t="s">
        <v>287</v>
      </c>
      <c r="C53" s="457">
        <v>198000</v>
      </c>
      <c r="D53" s="457">
        <v>0</v>
      </c>
      <c r="E53" s="457">
        <f>F53-D53</f>
        <v>100000</v>
      </c>
      <c r="F53" s="457">
        <v>100000</v>
      </c>
      <c r="G53" s="649">
        <v>200000</v>
      </c>
      <c r="H53" s="15"/>
      <c r="I53" s="15"/>
      <c r="J53" s="15"/>
      <c r="K53" s="15"/>
      <c r="L53" s="15"/>
      <c r="M53" s="15"/>
      <c r="N53" s="15"/>
      <c r="O53" s="15"/>
      <c r="P53" s="15"/>
      <c r="Q53" s="15"/>
      <c r="R53" s="15"/>
      <c r="S53" s="15"/>
      <c r="T53" s="15"/>
      <c r="U53" s="15"/>
      <c r="V53" s="15"/>
      <c r="W53" s="15"/>
      <c r="X53" s="15"/>
      <c r="Y53" s="15"/>
      <c r="Z53" s="15"/>
    </row>
    <row r="54" spans="1:26" ht="15.75" customHeight="1" x14ac:dyDescent="0.25">
      <c r="A54" s="599" t="s">
        <v>511</v>
      </c>
      <c r="B54" s="601"/>
      <c r="C54" s="448"/>
      <c r="D54" s="448"/>
      <c r="E54" s="448"/>
      <c r="F54" s="448"/>
      <c r="G54" s="448"/>
      <c r="H54" s="15"/>
      <c r="I54" s="15"/>
      <c r="J54" s="15"/>
      <c r="K54" s="15"/>
      <c r="L54" s="15"/>
      <c r="M54" s="15"/>
      <c r="N54" s="15"/>
      <c r="O54" s="15"/>
      <c r="P54" s="15"/>
      <c r="Q54" s="15"/>
      <c r="R54" s="15"/>
      <c r="S54" s="15"/>
      <c r="T54" s="15"/>
      <c r="U54" s="15"/>
      <c r="V54" s="15"/>
      <c r="W54" s="15"/>
      <c r="X54" s="15"/>
      <c r="Y54" s="15"/>
      <c r="Z54" s="15"/>
    </row>
    <row r="55" spans="1:26" ht="15.75" customHeight="1" x14ac:dyDescent="0.25">
      <c r="A55" s="44" t="s">
        <v>416</v>
      </c>
      <c r="B55" s="41" t="s">
        <v>323</v>
      </c>
      <c r="C55" s="43">
        <v>999685.96</v>
      </c>
      <c r="D55" s="43">
        <v>0</v>
      </c>
      <c r="E55" s="43">
        <v>0</v>
      </c>
      <c r="F55" s="43">
        <v>0</v>
      </c>
      <c r="G55" s="43">
        <v>1000000</v>
      </c>
      <c r="H55" s="15"/>
      <c r="I55" s="15"/>
      <c r="J55" s="15"/>
      <c r="K55" s="15"/>
      <c r="L55" s="15"/>
      <c r="M55" s="15"/>
      <c r="N55" s="15"/>
      <c r="O55" s="15"/>
      <c r="P55" s="15"/>
      <c r="Q55" s="15"/>
      <c r="R55" s="15"/>
      <c r="S55" s="15"/>
      <c r="T55" s="15"/>
      <c r="U55" s="15"/>
      <c r="V55" s="15"/>
      <c r="W55" s="15"/>
      <c r="X55" s="15"/>
      <c r="Y55" s="15"/>
      <c r="Z55" s="15"/>
    </row>
    <row r="56" spans="1:26" ht="15.75" customHeight="1" x14ac:dyDescent="0.25">
      <c r="A56" s="44" t="s">
        <v>1228</v>
      </c>
      <c r="B56" s="41"/>
      <c r="C56" s="43"/>
      <c r="D56" s="43"/>
      <c r="E56" s="43"/>
      <c r="F56" s="43"/>
      <c r="G56" s="43"/>
      <c r="H56" s="15"/>
      <c r="I56" s="15"/>
      <c r="J56" s="15"/>
      <c r="K56" s="15"/>
      <c r="L56" s="15"/>
      <c r="M56" s="15"/>
      <c r="N56" s="15"/>
      <c r="O56" s="15"/>
      <c r="P56" s="15"/>
      <c r="Q56" s="15"/>
      <c r="R56" s="15"/>
      <c r="S56" s="15"/>
      <c r="T56" s="15"/>
      <c r="U56" s="15"/>
      <c r="V56" s="15"/>
      <c r="W56" s="15"/>
      <c r="X56" s="15"/>
      <c r="Y56" s="15"/>
      <c r="Z56" s="15"/>
    </row>
    <row r="57" spans="1:26" ht="15.75" customHeight="1" x14ac:dyDescent="0.25">
      <c r="A57" s="17" t="s">
        <v>1229</v>
      </c>
      <c r="B57" s="41"/>
      <c r="C57" s="43"/>
      <c r="D57" s="43"/>
      <c r="E57" s="43"/>
      <c r="F57" s="43"/>
      <c r="G57" s="43"/>
      <c r="H57" s="15"/>
      <c r="I57" s="15"/>
      <c r="J57" s="15"/>
      <c r="K57" s="15"/>
      <c r="L57" s="15"/>
      <c r="M57" s="15"/>
      <c r="N57" s="15"/>
      <c r="O57" s="15"/>
      <c r="P57" s="15"/>
      <c r="Q57" s="15"/>
      <c r="R57" s="15"/>
      <c r="S57" s="15"/>
      <c r="T57" s="15"/>
      <c r="U57" s="15"/>
      <c r="V57" s="15"/>
      <c r="W57" s="15"/>
      <c r="X57" s="15"/>
      <c r="Y57" s="15"/>
      <c r="Z57" s="15"/>
    </row>
    <row r="58" spans="1:26" ht="15.75" customHeight="1" x14ac:dyDescent="0.25">
      <c r="A58" s="44" t="s">
        <v>424</v>
      </c>
      <c r="B58" s="41" t="s">
        <v>335</v>
      </c>
      <c r="C58" s="43">
        <v>499842.98</v>
      </c>
      <c r="D58" s="43">
        <v>0</v>
      </c>
      <c r="E58" s="43">
        <v>0</v>
      </c>
      <c r="F58" s="43">
        <v>0</v>
      </c>
      <c r="G58" s="43">
        <v>12000000</v>
      </c>
      <c r="H58" s="15"/>
      <c r="I58" s="15"/>
      <c r="J58" s="15"/>
      <c r="K58" s="15"/>
      <c r="L58" s="15"/>
      <c r="M58" s="15"/>
      <c r="N58" s="15"/>
      <c r="O58" s="15"/>
      <c r="P58" s="15"/>
      <c r="Q58" s="15"/>
      <c r="R58" s="15"/>
      <c r="S58" s="15"/>
      <c r="T58" s="15"/>
      <c r="U58" s="15"/>
      <c r="V58" s="15"/>
      <c r="W58" s="15"/>
      <c r="X58" s="15"/>
      <c r="Y58" s="15"/>
      <c r="Z58" s="15"/>
    </row>
    <row r="59" spans="1:26" ht="15.75" customHeight="1" x14ac:dyDescent="0.25">
      <c r="A59" s="44" t="s">
        <v>1230</v>
      </c>
      <c r="B59" s="41"/>
      <c r="C59" s="43">
        <v>6989578.0099999998</v>
      </c>
      <c r="D59" s="43">
        <v>3927607.56</v>
      </c>
      <c r="E59" s="43">
        <f>F59-D59</f>
        <v>6822392.4399999995</v>
      </c>
      <c r="F59" s="43">
        <v>10750000</v>
      </c>
      <c r="G59" s="43"/>
      <c r="H59" s="233"/>
      <c r="I59" s="15"/>
      <c r="J59" s="15"/>
      <c r="K59" s="15"/>
      <c r="L59" s="15"/>
      <c r="M59" s="15"/>
      <c r="N59" s="15"/>
      <c r="O59" s="15"/>
      <c r="P59" s="15"/>
      <c r="Q59" s="15"/>
      <c r="R59" s="15"/>
      <c r="S59" s="15"/>
      <c r="T59" s="15"/>
      <c r="U59" s="15"/>
      <c r="V59" s="15"/>
      <c r="W59" s="15"/>
      <c r="X59" s="15"/>
      <c r="Y59" s="15"/>
      <c r="Z59" s="15"/>
    </row>
    <row r="60" spans="1:26" ht="15.75" customHeight="1" x14ac:dyDescent="0.25">
      <c r="A60" s="42" t="s">
        <v>466</v>
      </c>
      <c r="B60" s="49"/>
      <c r="C60" s="54">
        <f t="shared" ref="C60:G60" si="6">SUM(C42:C59)</f>
        <v>10621317.800000001</v>
      </c>
      <c r="D60" s="54">
        <f t="shared" si="6"/>
        <v>5193308.96</v>
      </c>
      <c r="E60" s="54">
        <f t="shared" si="6"/>
        <v>7492691.0399999991</v>
      </c>
      <c r="F60" s="54">
        <f t="shared" si="6"/>
        <v>12686000</v>
      </c>
      <c r="G60" s="54">
        <f t="shared" si="6"/>
        <v>14854100</v>
      </c>
      <c r="H60" s="233"/>
      <c r="I60" s="15"/>
      <c r="J60" s="15"/>
      <c r="K60" s="15"/>
      <c r="L60" s="15"/>
      <c r="M60" s="15"/>
      <c r="N60" s="15"/>
      <c r="O60" s="15"/>
      <c r="P60" s="15"/>
      <c r="Q60" s="15"/>
      <c r="R60" s="15"/>
      <c r="S60" s="15"/>
      <c r="T60" s="15"/>
      <c r="U60" s="15"/>
      <c r="V60" s="15"/>
      <c r="W60" s="15"/>
      <c r="X60" s="15"/>
      <c r="Y60" s="15"/>
      <c r="Z60" s="15"/>
    </row>
    <row r="61" spans="1:26" ht="15.75" customHeight="1" x14ac:dyDescent="0.25">
      <c r="A61" s="17"/>
      <c r="B61" s="41"/>
      <c r="C61" s="43"/>
      <c r="D61" s="43"/>
      <c r="E61" s="43"/>
      <c r="F61" s="43"/>
      <c r="G61" s="43"/>
      <c r="H61" s="233"/>
      <c r="I61" s="15"/>
      <c r="J61" s="15"/>
      <c r="K61" s="15"/>
      <c r="L61" s="15"/>
      <c r="M61" s="15"/>
      <c r="N61" s="15"/>
      <c r="O61" s="15"/>
      <c r="P61" s="15"/>
      <c r="Q61" s="15"/>
      <c r="R61" s="15"/>
      <c r="S61" s="15"/>
      <c r="T61" s="15"/>
      <c r="U61" s="15"/>
      <c r="V61" s="15"/>
      <c r="W61" s="15"/>
      <c r="X61" s="15"/>
      <c r="Y61" s="15"/>
      <c r="Z61" s="15"/>
    </row>
    <row r="62" spans="1:26" ht="15.75" customHeight="1" x14ac:dyDescent="0.25">
      <c r="A62" s="17" t="s">
        <v>467</v>
      </c>
      <c r="B62" s="41"/>
      <c r="C62" s="43">
        <f t="shared" ref="C62:D62" si="7">+C60+C38</f>
        <v>21963924.779999997</v>
      </c>
      <c r="D62" s="43">
        <f t="shared" si="7"/>
        <v>10483534.129999999</v>
      </c>
      <c r="E62" s="43">
        <f>F62-D62</f>
        <v>18006590.870000001</v>
      </c>
      <c r="F62" s="43">
        <f t="shared" ref="F62:G62" si="8">+F60+F38</f>
        <v>28490125</v>
      </c>
      <c r="G62" s="43">
        <f t="shared" si="8"/>
        <v>27311344</v>
      </c>
      <c r="H62" s="15"/>
      <c r="I62" s="15"/>
      <c r="J62" s="15"/>
      <c r="K62" s="15"/>
      <c r="L62" s="15"/>
      <c r="M62" s="15"/>
      <c r="N62" s="15"/>
      <c r="O62" s="15"/>
      <c r="P62" s="15"/>
      <c r="Q62" s="15"/>
      <c r="R62" s="15"/>
      <c r="S62" s="15"/>
      <c r="T62" s="15"/>
      <c r="U62" s="15"/>
      <c r="V62" s="15"/>
      <c r="W62" s="15"/>
      <c r="X62" s="15"/>
      <c r="Y62" s="15"/>
      <c r="Z62" s="15"/>
    </row>
    <row r="63" spans="1:26" ht="15.75" customHeight="1" x14ac:dyDescent="0.25">
      <c r="A63" s="17"/>
      <c r="B63" s="20"/>
      <c r="C63" s="43"/>
      <c r="D63" s="43"/>
      <c r="E63" s="43"/>
      <c r="F63" s="43"/>
      <c r="G63" s="43"/>
      <c r="H63" s="15"/>
      <c r="I63" s="15"/>
      <c r="J63" s="15"/>
      <c r="K63" s="15"/>
      <c r="L63" s="15"/>
      <c r="M63" s="15"/>
      <c r="N63" s="15"/>
      <c r="O63" s="15"/>
      <c r="P63" s="15"/>
      <c r="Q63" s="15"/>
      <c r="R63" s="15"/>
      <c r="S63" s="15"/>
      <c r="T63" s="15"/>
      <c r="U63" s="15"/>
      <c r="V63" s="15"/>
      <c r="W63" s="15"/>
      <c r="X63" s="15"/>
      <c r="Y63" s="15"/>
      <c r="Z63" s="15"/>
    </row>
    <row r="64" spans="1:26" ht="15.75" customHeight="1" x14ac:dyDescent="0.25">
      <c r="A64" s="17"/>
      <c r="B64" s="20"/>
      <c r="C64" s="43"/>
      <c r="D64" s="43"/>
      <c r="E64" s="43"/>
      <c r="F64" s="43"/>
      <c r="G64" s="43"/>
      <c r="H64" s="15"/>
      <c r="I64" s="15"/>
      <c r="J64" s="15"/>
      <c r="K64" s="15"/>
      <c r="L64" s="15"/>
      <c r="M64" s="15"/>
      <c r="N64" s="15"/>
      <c r="O64" s="15"/>
      <c r="P64" s="15"/>
      <c r="Q64" s="15"/>
      <c r="R64" s="15"/>
      <c r="S64" s="15"/>
      <c r="T64" s="15"/>
      <c r="U64" s="15"/>
      <c r="V64" s="15"/>
      <c r="W64" s="15"/>
      <c r="X64" s="15"/>
      <c r="Y64" s="15"/>
      <c r="Z64" s="15"/>
    </row>
    <row r="65" spans="1:26" ht="15.75" customHeight="1" x14ac:dyDescent="0.25">
      <c r="A65" s="234" t="s">
        <v>529</v>
      </c>
      <c r="B65" s="235"/>
      <c r="C65" s="121"/>
      <c r="D65" s="43"/>
      <c r="E65" s="43"/>
      <c r="F65" s="43"/>
      <c r="G65" s="43"/>
      <c r="H65" s="15"/>
      <c r="I65" s="15"/>
      <c r="J65" s="15"/>
      <c r="K65" s="15"/>
      <c r="L65" s="15"/>
      <c r="M65" s="15"/>
      <c r="N65" s="15"/>
      <c r="O65" s="15"/>
      <c r="P65" s="15"/>
      <c r="Q65" s="15"/>
      <c r="R65" s="15"/>
      <c r="S65" s="15"/>
      <c r="T65" s="15"/>
      <c r="U65" s="15"/>
      <c r="V65" s="15"/>
      <c r="W65" s="15"/>
      <c r="X65" s="15"/>
      <c r="Y65" s="15"/>
      <c r="Z65" s="15"/>
    </row>
    <row r="66" spans="1:26" ht="15.75" customHeight="1" x14ac:dyDescent="0.25">
      <c r="A66" s="108" t="s">
        <v>1231</v>
      </c>
      <c r="B66" s="235"/>
      <c r="C66" s="121"/>
      <c r="D66" s="43"/>
      <c r="E66" s="43"/>
      <c r="F66" s="43"/>
      <c r="G66" s="43"/>
      <c r="H66" s="15"/>
      <c r="I66" s="15"/>
      <c r="J66" s="15"/>
      <c r="K66" s="15"/>
      <c r="L66" s="15"/>
      <c r="M66" s="15"/>
      <c r="N66" s="15"/>
      <c r="O66" s="15"/>
      <c r="P66" s="15"/>
      <c r="Q66" s="15"/>
      <c r="R66" s="15"/>
      <c r="S66" s="15"/>
      <c r="T66" s="15"/>
      <c r="U66" s="15"/>
      <c r="V66" s="15"/>
      <c r="W66" s="15"/>
      <c r="X66" s="15"/>
      <c r="Y66" s="15"/>
      <c r="Z66" s="15"/>
    </row>
    <row r="67" spans="1:26" ht="15.75" customHeight="1" x14ac:dyDescent="0.25">
      <c r="A67" s="236" t="s">
        <v>639</v>
      </c>
      <c r="B67" s="120" t="s">
        <v>47</v>
      </c>
      <c r="C67" s="121">
        <v>0</v>
      </c>
      <c r="D67" s="43">
        <v>0</v>
      </c>
      <c r="E67" s="43">
        <f>F67-D67</f>
        <v>0</v>
      </c>
      <c r="F67" s="43">
        <v>0</v>
      </c>
      <c r="G67" s="43">
        <v>140000</v>
      </c>
      <c r="H67" s="15"/>
      <c r="I67" s="15"/>
      <c r="J67" s="15"/>
      <c r="K67" s="15"/>
      <c r="L67" s="15"/>
      <c r="M67" s="15"/>
      <c r="N67" s="15"/>
      <c r="O67" s="15"/>
      <c r="P67" s="15"/>
      <c r="Q67" s="15"/>
      <c r="R67" s="15"/>
      <c r="S67" s="15"/>
      <c r="T67" s="15"/>
      <c r="U67" s="15"/>
      <c r="V67" s="15"/>
      <c r="W67" s="15"/>
      <c r="X67" s="15"/>
      <c r="Y67" s="15"/>
      <c r="Z67" s="15"/>
    </row>
    <row r="68" spans="1:26" ht="15.75" customHeight="1" x14ac:dyDescent="0.25">
      <c r="A68" s="236" t="s">
        <v>1232</v>
      </c>
      <c r="B68" s="120"/>
      <c r="C68" s="121"/>
      <c r="D68" s="43"/>
      <c r="E68" s="43"/>
      <c r="F68" s="43"/>
      <c r="G68" s="43"/>
      <c r="H68" s="15"/>
      <c r="I68" s="15"/>
      <c r="J68" s="15"/>
      <c r="K68" s="15"/>
      <c r="L68" s="15"/>
      <c r="M68" s="15"/>
      <c r="N68" s="15"/>
      <c r="O68" s="15"/>
      <c r="P68" s="15"/>
      <c r="Q68" s="15"/>
      <c r="R68" s="15"/>
      <c r="S68" s="15"/>
      <c r="T68" s="15"/>
      <c r="U68" s="15"/>
      <c r="V68" s="15"/>
      <c r="W68" s="15"/>
      <c r="X68" s="15"/>
      <c r="Y68" s="15"/>
      <c r="Z68" s="15"/>
    </row>
    <row r="69" spans="1:26" ht="15.75" customHeight="1" x14ac:dyDescent="0.25">
      <c r="A69" s="236" t="s">
        <v>1233</v>
      </c>
      <c r="B69" s="120"/>
      <c r="C69" s="121"/>
      <c r="D69" s="43"/>
      <c r="E69" s="43"/>
      <c r="F69" s="43"/>
      <c r="G69" s="43"/>
      <c r="H69" s="15"/>
      <c r="I69" s="15"/>
      <c r="J69" s="15"/>
      <c r="K69" s="15"/>
      <c r="L69" s="15"/>
      <c r="M69" s="15"/>
      <c r="N69" s="15"/>
      <c r="O69" s="15"/>
      <c r="P69" s="15"/>
      <c r="Q69" s="15"/>
      <c r="R69" s="15"/>
      <c r="S69" s="15"/>
      <c r="T69" s="15"/>
      <c r="U69" s="15"/>
      <c r="V69" s="15"/>
      <c r="W69" s="15"/>
      <c r="X69" s="15"/>
      <c r="Y69" s="15"/>
      <c r="Z69" s="15"/>
    </row>
    <row r="70" spans="1:26" ht="15.75" customHeight="1" x14ac:dyDescent="0.25">
      <c r="A70" s="237" t="s">
        <v>536</v>
      </c>
      <c r="B70" s="238"/>
      <c r="C70" s="209">
        <f t="shared" ref="C70:G70" si="9">+SUM(C67:C69)</f>
        <v>0</v>
      </c>
      <c r="D70" s="209">
        <f t="shared" si="9"/>
        <v>0</v>
      </c>
      <c r="E70" s="209">
        <f t="shared" si="9"/>
        <v>0</v>
      </c>
      <c r="F70" s="209">
        <f t="shared" si="9"/>
        <v>0</v>
      </c>
      <c r="G70" s="209">
        <f t="shared" si="9"/>
        <v>140000</v>
      </c>
      <c r="H70" s="15"/>
      <c r="I70" s="15"/>
      <c r="J70" s="15"/>
      <c r="K70" s="15"/>
      <c r="L70" s="15"/>
      <c r="M70" s="15"/>
      <c r="N70" s="15"/>
      <c r="O70" s="15"/>
      <c r="P70" s="15"/>
      <c r="Q70" s="15"/>
      <c r="R70" s="15"/>
      <c r="S70" s="15"/>
      <c r="T70" s="15"/>
      <c r="U70" s="15"/>
      <c r="V70" s="15"/>
      <c r="W70" s="15"/>
      <c r="X70" s="15"/>
      <c r="Y70" s="15"/>
      <c r="Z70" s="15"/>
    </row>
    <row r="71" spans="1:26" ht="15.75" customHeight="1" x14ac:dyDescent="0.25">
      <c r="A71" s="17"/>
      <c r="B71" s="20"/>
      <c r="C71" s="43"/>
      <c r="D71" s="43"/>
      <c r="E71" s="43"/>
      <c r="F71" s="43"/>
      <c r="G71" s="43"/>
      <c r="H71" s="15"/>
      <c r="I71" s="15"/>
      <c r="J71" s="15"/>
      <c r="K71" s="15"/>
      <c r="L71" s="15"/>
      <c r="M71" s="15"/>
      <c r="N71" s="15"/>
      <c r="O71" s="15"/>
      <c r="P71" s="15"/>
      <c r="Q71" s="15"/>
      <c r="R71" s="15"/>
      <c r="S71" s="15"/>
      <c r="T71" s="15"/>
      <c r="U71" s="15"/>
      <c r="V71" s="15"/>
      <c r="W71" s="15"/>
      <c r="X71" s="15"/>
      <c r="Y71" s="15"/>
      <c r="Z71" s="15"/>
    </row>
    <row r="72" spans="1:26" ht="15.75" customHeight="1" x14ac:dyDescent="0.25">
      <c r="A72" s="160" t="s">
        <v>487</v>
      </c>
      <c r="B72" s="51" t="s">
        <v>488</v>
      </c>
      <c r="C72" s="54">
        <f t="shared" ref="C72:G72" si="10">C70+C62</f>
        <v>21963924.779999997</v>
      </c>
      <c r="D72" s="54">
        <f t="shared" si="10"/>
        <v>10483534.129999999</v>
      </c>
      <c r="E72" s="54">
        <f t="shared" si="10"/>
        <v>18006590.870000001</v>
      </c>
      <c r="F72" s="54">
        <f t="shared" si="10"/>
        <v>28490125</v>
      </c>
      <c r="G72" s="54">
        <f t="shared" si="10"/>
        <v>27451344</v>
      </c>
      <c r="H72" s="15"/>
      <c r="I72" s="15"/>
      <c r="J72" s="15"/>
      <c r="K72" s="15"/>
      <c r="L72" s="15"/>
      <c r="M72" s="15"/>
      <c r="N72" s="15"/>
      <c r="O72" s="15"/>
      <c r="P72" s="15"/>
      <c r="Q72" s="15"/>
      <c r="R72" s="15"/>
      <c r="S72" s="15"/>
      <c r="T72" s="15"/>
      <c r="U72" s="15"/>
      <c r="V72" s="15"/>
      <c r="W72" s="15"/>
      <c r="X72" s="15"/>
      <c r="Y72" s="15"/>
      <c r="Z72" s="15"/>
    </row>
    <row r="73" spans="1:26" ht="15.75" customHeight="1" x14ac:dyDescent="0.25">
      <c r="A73" s="24"/>
      <c r="B73" s="25"/>
      <c r="C73" s="24"/>
      <c r="D73" s="24"/>
      <c r="E73" s="24"/>
      <c r="F73" s="15"/>
      <c r="G73" s="24"/>
      <c r="H73" s="15"/>
      <c r="I73" s="15"/>
      <c r="J73" s="15"/>
      <c r="K73" s="15"/>
      <c r="L73" s="15"/>
      <c r="M73" s="15"/>
      <c r="N73" s="15"/>
      <c r="O73" s="15"/>
      <c r="P73" s="15"/>
      <c r="Q73" s="15"/>
      <c r="R73" s="15"/>
      <c r="S73" s="15"/>
      <c r="T73" s="15"/>
      <c r="U73" s="15"/>
      <c r="V73" s="15"/>
      <c r="W73" s="15"/>
      <c r="X73" s="15"/>
      <c r="Y73" s="15"/>
      <c r="Z73" s="15"/>
    </row>
    <row r="74" spans="1:26" ht="15.75" customHeight="1" x14ac:dyDescent="0.25"/>
    <row r="75" spans="1:26" ht="15.75" customHeight="1" x14ac:dyDescent="0.25"/>
    <row r="76" spans="1:26" ht="15.75" customHeight="1" x14ac:dyDescent="0.25"/>
    <row r="77" spans="1:26" ht="15.75" customHeight="1" x14ac:dyDescent="0.25"/>
    <row r="78" spans="1:26" ht="15.75" customHeight="1" x14ac:dyDescent="0.25"/>
    <row r="79" spans="1:26" ht="15.75" customHeight="1" x14ac:dyDescent="0.25"/>
    <row r="80" spans="1:26"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7" fitToHeight="0" orientation="portrait" r:id="rId1"/>
  <rowBreaks count="1" manualBreakCount="1">
    <brk id="53"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76"/>
  <sheetViews>
    <sheetView view="pageBreakPreview" topLeftCell="A9" zoomScale="115" zoomScaleNormal="100" zoomScaleSheetLayoutView="115" workbookViewId="0">
      <selection activeCell="A69" sqref="A69"/>
    </sheetView>
  </sheetViews>
  <sheetFormatPr defaultColWidth="14.42578125" defaultRowHeight="15" customHeight="1" x14ac:dyDescent="0.25"/>
  <cols>
    <col min="1" max="1" width="76.42578125" customWidth="1"/>
    <col min="2" max="2" width="14" customWidth="1"/>
    <col min="3" max="6" width="16.7109375" hidden="1" customWidth="1"/>
    <col min="7" max="7" width="16.7109375" customWidth="1"/>
    <col min="8" max="8" width="16.85546875" customWidth="1"/>
    <col min="9" max="9" width="17.7109375" customWidth="1"/>
    <col min="10" max="10" width="13.28515625" customWidth="1"/>
    <col min="11" max="26" width="10.28515625" customWidth="1"/>
  </cols>
  <sheetData>
    <row r="1" spans="1:26" ht="15.75" x14ac:dyDescent="0.25">
      <c r="A1" s="9"/>
      <c r="B1" s="10"/>
      <c r="C1" s="11"/>
      <c r="D1" s="11"/>
      <c r="E1" s="11"/>
      <c r="F1" s="10"/>
      <c r="G1" s="13"/>
      <c r="H1" s="167"/>
      <c r="I1" s="167"/>
      <c r="J1" s="15"/>
      <c r="K1" s="15"/>
      <c r="L1" s="15"/>
      <c r="M1" s="15"/>
      <c r="N1" s="15"/>
      <c r="O1" s="15"/>
      <c r="P1" s="15"/>
      <c r="Q1" s="15"/>
      <c r="R1" s="15"/>
      <c r="S1" s="15"/>
      <c r="T1" s="15"/>
      <c r="U1" s="15"/>
      <c r="V1" s="15"/>
      <c r="W1" s="15"/>
      <c r="X1" s="15"/>
      <c r="Y1" s="15"/>
      <c r="Z1" s="15"/>
    </row>
    <row r="2" spans="1:26" ht="15.75" x14ac:dyDescent="0.25">
      <c r="A2" s="17"/>
      <c r="B2" s="15"/>
      <c r="C2" s="18"/>
      <c r="D2" s="18"/>
      <c r="E2" s="18"/>
      <c r="F2" s="15"/>
      <c r="G2" s="19"/>
      <c r="H2" s="167"/>
      <c r="I2" s="167"/>
      <c r="J2" s="15"/>
      <c r="K2" s="15"/>
      <c r="L2" s="15"/>
      <c r="M2" s="15"/>
      <c r="N2" s="15"/>
      <c r="O2" s="15"/>
      <c r="P2" s="15"/>
      <c r="Q2" s="15"/>
      <c r="R2" s="15"/>
      <c r="S2" s="15"/>
      <c r="T2" s="15"/>
      <c r="U2" s="15"/>
      <c r="V2" s="15"/>
      <c r="W2" s="15"/>
      <c r="X2" s="15"/>
      <c r="Y2" s="15"/>
      <c r="Z2" s="15"/>
    </row>
    <row r="3" spans="1:26" ht="15.75" x14ac:dyDescent="0.25">
      <c r="A3" s="861" t="s">
        <v>349</v>
      </c>
      <c r="B3" s="862"/>
      <c r="C3" s="862"/>
      <c r="D3" s="862"/>
      <c r="E3" s="862"/>
      <c r="F3" s="862"/>
      <c r="G3" s="863"/>
      <c r="H3" s="167"/>
      <c r="I3" s="167"/>
      <c r="J3" s="15"/>
      <c r="K3" s="15"/>
      <c r="L3" s="15"/>
      <c r="M3" s="15"/>
      <c r="N3" s="15"/>
      <c r="O3" s="15"/>
      <c r="P3" s="15"/>
      <c r="Q3" s="15"/>
      <c r="R3" s="15"/>
      <c r="S3" s="15"/>
      <c r="T3" s="15"/>
      <c r="U3" s="15"/>
      <c r="V3" s="15"/>
      <c r="W3" s="15"/>
      <c r="X3" s="15"/>
      <c r="Y3" s="15"/>
      <c r="Z3" s="15"/>
    </row>
    <row r="4" spans="1:26" ht="15.75" x14ac:dyDescent="0.25">
      <c r="A4" s="864" t="s">
        <v>350</v>
      </c>
      <c r="B4" s="862"/>
      <c r="C4" s="862"/>
      <c r="D4" s="862"/>
      <c r="E4" s="862"/>
      <c r="F4" s="862"/>
      <c r="G4" s="863"/>
      <c r="H4" s="167"/>
      <c r="I4" s="167"/>
      <c r="J4" s="15"/>
      <c r="K4" s="15"/>
      <c r="L4" s="15"/>
      <c r="M4" s="15"/>
      <c r="N4" s="15"/>
      <c r="O4" s="15"/>
      <c r="P4" s="15"/>
      <c r="Q4" s="15"/>
      <c r="R4" s="15"/>
      <c r="S4" s="15"/>
      <c r="T4" s="15"/>
      <c r="U4" s="15"/>
      <c r="V4" s="15"/>
      <c r="W4" s="15"/>
      <c r="X4" s="15"/>
      <c r="Y4" s="15"/>
      <c r="Z4" s="15"/>
    </row>
    <row r="5" spans="1:26" ht="15.75" x14ac:dyDescent="0.25">
      <c r="A5" s="21"/>
      <c r="B5" s="18"/>
      <c r="C5" s="18"/>
      <c r="D5" s="18"/>
      <c r="E5" s="18"/>
      <c r="F5" s="18"/>
      <c r="G5" s="23"/>
      <c r="H5" s="167"/>
      <c r="I5" s="167"/>
      <c r="J5" s="15"/>
      <c r="K5" s="15"/>
      <c r="L5" s="15"/>
      <c r="M5" s="15"/>
      <c r="N5" s="15"/>
      <c r="O5" s="15"/>
      <c r="P5" s="15"/>
      <c r="Q5" s="15"/>
      <c r="R5" s="15"/>
      <c r="S5" s="15"/>
      <c r="T5" s="15"/>
      <c r="U5" s="15"/>
      <c r="V5" s="15"/>
      <c r="W5" s="15"/>
      <c r="X5" s="15"/>
      <c r="Y5" s="15"/>
      <c r="Z5" s="15"/>
    </row>
    <row r="6" spans="1:26" ht="15.75" x14ac:dyDescent="0.25">
      <c r="A6" s="17" t="s">
        <v>1234</v>
      </c>
      <c r="B6" s="24"/>
      <c r="C6" s="25"/>
      <c r="D6" s="25"/>
      <c r="E6" s="25"/>
      <c r="F6" s="24"/>
      <c r="G6" s="19"/>
      <c r="H6" s="167"/>
      <c r="I6" s="167"/>
      <c r="J6" s="15"/>
      <c r="K6" s="15"/>
      <c r="L6" s="15"/>
      <c r="M6" s="15"/>
      <c r="N6" s="15"/>
      <c r="O6" s="15"/>
      <c r="P6" s="15"/>
      <c r="Q6" s="15"/>
      <c r="R6" s="15"/>
      <c r="S6" s="15"/>
      <c r="T6" s="15"/>
      <c r="U6" s="15"/>
      <c r="V6" s="15"/>
      <c r="W6" s="15"/>
      <c r="X6" s="15"/>
      <c r="Y6" s="15"/>
      <c r="Z6" s="15"/>
    </row>
    <row r="7" spans="1:26" ht="15.75" x14ac:dyDescent="0.25">
      <c r="A7" s="17"/>
      <c r="B7" s="24"/>
      <c r="C7" s="25"/>
      <c r="D7" s="25"/>
      <c r="E7" s="25"/>
      <c r="F7" s="24"/>
      <c r="G7" s="19"/>
      <c r="H7" s="167"/>
      <c r="I7" s="167"/>
      <c r="J7" s="15"/>
      <c r="K7" s="15"/>
      <c r="L7" s="15"/>
      <c r="M7" s="15"/>
      <c r="N7" s="15"/>
      <c r="O7" s="15"/>
      <c r="P7" s="15"/>
      <c r="Q7" s="15"/>
      <c r="R7" s="15"/>
      <c r="S7" s="15"/>
      <c r="T7" s="15"/>
      <c r="U7" s="15"/>
      <c r="V7" s="15"/>
      <c r="W7" s="15"/>
      <c r="X7" s="15"/>
      <c r="Y7" s="15"/>
      <c r="Z7" s="15"/>
    </row>
    <row r="8" spans="1:26" ht="15.75" x14ac:dyDescent="0.25">
      <c r="A8" s="865" t="s">
        <v>352</v>
      </c>
      <c r="B8" s="866"/>
      <c r="C8" s="866"/>
      <c r="D8" s="866"/>
      <c r="E8" s="866"/>
      <c r="F8" s="866"/>
      <c r="G8" s="867"/>
      <c r="H8" s="167"/>
      <c r="I8" s="167"/>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67"/>
      <c r="I9" s="167"/>
      <c r="J9" s="15"/>
      <c r="K9" s="15"/>
      <c r="L9" s="15"/>
      <c r="M9" s="15"/>
      <c r="N9" s="15"/>
      <c r="O9" s="15"/>
      <c r="P9" s="15"/>
      <c r="Q9" s="15"/>
      <c r="R9" s="15"/>
      <c r="S9" s="15"/>
      <c r="T9" s="15"/>
      <c r="U9" s="15"/>
      <c r="V9" s="15"/>
      <c r="W9" s="15"/>
      <c r="X9" s="15"/>
      <c r="Y9" s="15"/>
      <c r="Z9" s="15"/>
    </row>
    <row r="10" spans="1:26" ht="31.5" x14ac:dyDescent="0.25">
      <c r="A10" s="858"/>
      <c r="B10" s="858"/>
      <c r="C10" s="871"/>
      <c r="D10" s="28" t="s">
        <v>358</v>
      </c>
      <c r="E10" s="29" t="s">
        <v>359</v>
      </c>
      <c r="F10" s="875" t="s">
        <v>360</v>
      </c>
      <c r="G10" s="858"/>
      <c r="H10" s="167"/>
      <c r="I10" s="167"/>
      <c r="J10" s="15"/>
      <c r="K10" s="15"/>
      <c r="L10" s="15"/>
      <c r="M10" s="15"/>
      <c r="N10" s="15"/>
      <c r="O10" s="15"/>
      <c r="P10" s="15"/>
      <c r="Q10" s="15"/>
      <c r="R10" s="15"/>
      <c r="S10" s="15"/>
      <c r="T10" s="15"/>
      <c r="U10" s="15"/>
      <c r="V10" s="15"/>
      <c r="W10" s="15"/>
      <c r="X10" s="15"/>
      <c r="Y10" s="15"/>
      <c r="Z10" s="15"/>
    </row>
    <row r="11" spans="1:26" ht="15.75" x14ac:dyDescent="0.25">
      <c r="A11" s="858"/>
      <c r="B11" s="858"/>
      <c r="C11" s="30" t="s">
        <v>361</v>
      </c>
      <c r="D11" s="31" t="s">
        <v>361</v>
      </c>
      <c r="E11" s="32" t="s">
        <v>362</v>
      </c>
      <c r="F11" s="860"/>
      <c r="G11" s="442" t="s">
        <v>2717</v>
      </c>
      <c r="H11" s="167"/>
      <c r="I11" s="167"/>
      <c r="J11" s="15"/>
      <c r="K11" s="15"/>
      <c r="L11" s="15"/>
      <c r="M11" s="15"/>
      <c r="N11" s="15"/>
      <c r="O11" s="15"/>
      <c r="P11" s="15"/>
      <c r="Q11" s="15"/>
      <c r="R11" s="15"/>
      <c r="S11" s="15"/>
      <c r="T11" s="15"/>
      <c r="U11" s="15"/>
      <c r="V11" s="15"/>
      <c r="W11" s="15"/>
      <c r="X11" s="15"/>
      <c r="Y11" s="15"/>
      <c r="Z11" s="15"/>
    </row>
    <row r="12" spans="1:26" ht="15.75" x14ac:dyDescent="0.25">
      <c r="A12" s="869"/>
      <c r="B12" s="869"/>
      <c r="C12" s="33">
        <v>2024</v>
      </c>
      <c r="D12" s="34">
        <v>2025</v>
      </c>
      <c r="E12" s="35">
        <v>2025</v>
      </c>
      <c r="F12" s="34">
        <v>2025</v>
      </c>
      <c r="G12" s="36" t="s">
        <v>2668</v>
      </c>
      <c r="H12" s="167"/>
      <c r="I12" s="167"/>
      <c r="J12" s="15"/>
      <c r="K12" s="15"/>
      <c r="L12" s="15"/>
      <c r="M12" s="15"/>
      <c r="N12" s="15"/>
      <c r="O12" s="15"/>
      <c r="P12" s="15"/>
      <c r="Q12" s="15"/>
      <c r="R12" s="15"/>
      <c r="S12" s="15"/>
      <c r="T12" s="15"/>
      <c r="U12" s="15"/>
      <c r="V12" s="15"/>
      <c r="W12" s="15"/>
      <c r="X12" s="15"/>
      <c r="Y12" s="15"/>
      <c r="Z12" s="15"/>
    </row>
    <row r="13" spans="1:26" ht="15.75" x14ac:dyDescent="0.25">
      <c r="A13" s="17" t="s">
        <v>364</v>
      </c>
      <c r="B13" s="41"/>
      <c r="C13" s="42"/>
      <c r="D13" s="42"/>
      <c r="E13" s="42"/>
      <c r="F13" s="42"/>
      <c r="G13" s="42"/>
      <c r="H13" s="167"/>
      <c r="I13" s="167"/>
      <c r="J13" s="15"/>
      <c r="K13" s="15"/>
      <c r="L13" s="15"/>
      <c r="M13" s="15"/>
      <c r="N13" s="15"/>
      <c r="O13" s="15"/>
      <c r="P13" s="15"/>
      <c r="Q13" s="15"/>
      <c r="R13" s="15"/>
      <c r="S13" s="15"/>
      <c r="T13" s="15"/>
      <c r="U13" s="15"/>
      <c r="V13" s="15"/>
      <c r="W13" s="15"/>
      <c r="X13" s="15"/>
      <c r="Y13" s="15"/>
      <c r="Z13" s="15"/>
    </row>
    <row r="14" spans="1:26" ht="15.75" x14ac:dyDescent="0.25">
      <c r="A14" s="17" t="s">
        <v>622</v>
      </c>
      <c r="B14" s="41"/>
      <c r="C14" s="42"/>
      <c r="D14" s="42"/>
      <c r="E14" s="42"/>
      <c r="F14" s="42"/>
      <c r="G14" s="42"/>
      <c r="H14" s="167"/>
      <c r="I14" s="167"/>
      <c r="J14" s="15"/>
      <c r="K14" s="15"/>
      <c r="L14" s="15"/>
      <c r="M14" s="15"/>
      <c r="N14" s="15"/>
      <c r="O14" s="15"/>
      <c r="P14" s="15"/>
      <c r="Q14" s="15"/>
      <c r="R14" s="15"/>
      <c r="S14" s="15"/>
      <c r="T14" s="15"/>
      <c r="U14" s="15"/>
      <c r="V14" s="15"/>
      <c r="W14" s="15"/>
      <c r="X14" s="15"/>
      <c r="Y14" s="15"/>
      <c r="Z14" s="15"/>
    </row>
    <row r="15" spans="1:26" ht="15.75" x14ac:dyDescent="0.25">
      <c r="A15" s="17" t="s">
        <v>1235</v>
      </c>
      <c r="B15" s="41"/>
      <c r="C15" s="42"/>
      <c r="D15" s="42"/>
      <c r="E15" s="42"/>
      <c r="F15" s="42"/>
      <c r="G15" s="42"/>
      <c r="H15" s="167"/>
      <c r="I15" s="167"/>
      <c r="J15" s="15"/>
      <c r="K15" s="15"/>
      <c r="L15" s="15"/>
      <c r="M15" s="15"/>
      <c r="N15" s="15"/>
      <c r="O15" s="15"/>
      <c r="P15" s="15"/>
      <c r="Q15" s="15"/>
      <c r="R15" s="15"/>
      <c r="S15" s="15"/>
      <c r="T15" s="15"/>
      <c r="U15" s="15"/>
      <c r="V15" s="15"/>
      <c r="W15" s="15"/>
      <c r="X15" s="15"/>
      <c r="Y15" s="15"/>
      <c r="Z15" s="15"/>
    </row>
    <row r="16" spans="1:26" ht="15.75" x14ac:dyDescent="0.25">
      <c r="A16" s="44" t="s">
        <v>367</v>
      </c>
      <c r="B16" s="41" t="s">
        <v>121</v>
      </c>
      <c r="C16" s="43">
        <v>40666496.380000003</v>
      </c>
      <c r="D16" s="43">
        <v>17860733.969999999</v>
      </c>
      <c r="E16" s="43">
        <f>F16-D16</f>
        <v>24557850.030000001</v>
      </c>
      <c r="F16" s="43">
        <v>42418584</v>
      </c>
      <c r="G16" s="43">
        <v>44206908</v>
      </c>
      <c r="H16" s="167"/>
      <c r="I16" s="167"/>
      <c r="J16" s="15"/>
      <c r="K16" s="15"/>
      <c r="L16" s="15"/>
      <c r="M16" s="15"/>
      <c r="N16" s="15"/>
      <c r="O16" s="15"/>
      <c r="P16" s="15"/>
      <c r="Q16" s="15"/>
      <c r="R16" s="15"/>
      <c r="S16" s="15"/>
      <c r="T16" s="15"/>
      <c r="U16" s="15"/>
      <c r="V16" s="15"/>
      <c r="W16" s="15"/>
      <c r="X16" s="15"/>
      <c r="Y16" s="15"/>
      <c r="Z16" s="15"/>
    </row>
    <row r="17" spans="1:26" ht="15.75" x14ac:dyDescent="0.25">
      <c r="A17" s="17" t="s">
        <v>368</v>
      </c>
      <c r="B17" s="41"/>
      <c r="C17" s="43"/>
      <c r="D17" s="43"/>
      <c r="E17" s="43"/>
      <c r="F17" s="43"/>
      <c r="G17" s="43"/>
      <c r="H17" s="167"/>
      <c r="I17" s="167"/>
      <c r="J17" s="15"/>
      <c r="K17" s="15"/>
      <c r="L17" s="15"/>
      <c r="M17" s="15"/>
      <c r="N17" s="15"/>
      <c r="O17" s="15"/>
      <c r="P17" s="15"/>
      <c r="Q17" s="15"/>
      <c r="R17" s="15"/>
      <c r="S17" s="15"/>
      <c r="T17" s="15"/>
      <c r="U17" s="15"/>
      <c r="V17" s="15"/>
      <c r="W17" s="15"/>
      <c r="X17" s="15"/>
      <c r="Y17" s="15"/>
      <c r="Z17" s="15"/>
    </row>
    <row r="18" spans="1:26" ht="15.75" x14ac:dyDescent="0.25">
      <c r="A18" s="44" t="s">
        <v>369</v>
      </c>
      <c r="B18" s="41" t="s">
        <v>125</v>
      </c>
      <c r="C18" s="43">
        <v>1811598.25</v>
      </c>
      <c r="D18" s="43">
        <v>774441.56</v>
      </c>
      <c r="E18" s="43">
        <f t="shared" ref="E18:E23" si="0">F18-D18</f>
        <v>1097558.44</v>
      </c>
      <c r="F18" s="43">
        <v>1872000</v>
      </c>
      <c r="G18" s="43">
        <v>1872000</v>
      </c>
      <c r="H18" s="167"/>
      <c r="I18" s="167"/>
      <c r="J18" s="15"/>
      <c r="K18" s="15"/>
      <c r="L18" s="15"/>
      <c r="M18" s="15"/>
      <c r="N18" s="15"/>
      <c r="O18" s="15"/>
      <c r="P18" s="15"/>
      <c r="Q18" s="15"/>
      <c r="R18" s="15"/>
      <c r="S18" s="15"/>
      <c r="T18" s="15"/>
      <c r="U18" s="15"/>
      <c r="V18" s="15"/>
      <c r="W18" s="15"/>
      <c r="X18" s="15"/>
      <c r="Y18" s="15"/>
      <c r="Z18" s="15"/>
    </row>
    <row r="19" spans="1:26" ht="15.75" x14ac:dyDescent="0.25">
      <c r="A19" s="44" t="s">
        <v>370</v>
      </c>
      <c r="B19" s="41" t="s">
        <v>127</v>
      </c>
      <c r="C19" s="43">
        <v>1434000</v>
      </c>
      <c r="D19" s="43">
        <v>699500</v>
      </c>
      <c r="E19" s="43">
        <f t="shared" si="0"/>
        <v>782500</v>
      </c>
      <c r="F19" s="43">
        <v>1482000</v>
      </c>
      <c r="G19" s="43">
        <v>1482000</v>
      </c>
      <c r="H19" s="167"/>
      <c r="I19" s="167"/>
      <c r="J19" s="15"/>
      <c r="K19" s="15"/>
      <c r="L19" s="15"/>
      <c r="M19" s="15"/>
      <c r="N19" s="15"/>
      <c r="O19" s="15"/>
      <c r="P19" s="15"/>
      <c r="Q19" s="15"/>
      <c r="R19" s="15"/>
      <c r="S19" s="15"/>
      <c r="T19" s="15"/>
      <c r="U19" s="15"/>
      <c r="V19" s="15"/>
      <c r="W19" s="15"/>
      <c r="X19" s="15"/>
      <c r="Y19" s="15"/>
      <c r="Z19" s="15"/>
    </row>
    <row r="20" spans="1:26" ht="15.75" x14ac:dyDescent="0.25">
      <c r="A20" s="44" t="s">
        <v>371</v>
      </c>
      <c r="B20" s="41" t="s">
        <v>372</v>
      </c>
      <c r="C20" s="43">
        <v>0</v>
      </c>
      <c r="D20" s="43">
        <v>0</v>
      </c>
      <c r="E20" s="43">
        <f t="shared" si="0"/>
        <v>1482000</v>
      </c>
      <c r="F20" s="43">
        <v>1482000</v>
      </c>
      <c r="G20" s="43">
        <v>1482000</v>
      </c>
      <c r="H20" s="167"/>
      <c r="I20" s="167"/>
      <c r="J20" s="15"/>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497000</v>
      </c>
      <c r="D21" s="43">
        <v>525000</v>
      </c>
      <c r="E21" s="43">
        <f t="shared" si="0"/>
        <v>21000</v>
      </c>
      <c r="F21" s="43">
        <v>546000</v>
      </c>
      <c r="G21" s="43">
        <v>546000</v>
      </c>
      <c r="H21" s="167"/>
      <c r="I21" s="167"/>
      <c r="J21" s="15"/>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3462679.1</v>
      </c>
      <c r="D22" s="43">
        <v>0</v>
      </c>
      <c r="E22" s="43">
        <f t="shared" si="0"/>
        <v>3534882</v>
      </c>
      <c r="F22" s="43">
        <v>3534882</v>
      </c>
      <c r="G22" s="43">
        <f>G16/12</f>
        <v>3683909</v>
      </c>
      <c r="H22" s="167"/>
      <c r="I22" s="167"/>
      <c r="J22" s="15"/>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384500</v>
      </c>
      <c r="D23" s="43">
        <v>0</v>
      </c>
      <c r="E23" s="43">
        <f t="shared" si="0"/>
        <v>390000</v>
      </c>
      <c r="F23" s="43">
        <v>390000</v>
      </c>
      <c r="G23" s="43">
        <v>390000</v>
      </c>
      <c r="H23" s="167"/>
      <c r="I23" s="167"/>
      <c r="J23" s="15"/>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67"/>
      <c r="I24" s="167"/>
      <c r="J24" s="15"/>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20000</v>
      </c>
      <c r="D25" s="43">
        <v>0</v>
      </c>
      <c r="E25" s="43">
        <f t="shared" ref="E25:E27" si="1">F25-D25</f>
        <v>5000</v>
      </c>
      <c r="F25" s="43">
        <v>5000</v>
      </c>
      <c r="G25" s="43">
        <v>10000</v>
      </c>
      <c r="H25" s="167"/>
      <c r="I25" s="167"/>
      <c r="J25" s="15"/>
      <c r="K25" s="15"/>
      <c r="L25" s="15"/>
      <c r="M25" s="15"/>
      <c r="N25" s="15"/>
      <c r="O25" s="15"/>
      <c r="P25" s="15"/>
      <c r="Q25" s="15"/>
      <c r="R25" s="15"/>
      <c r="S25" s="15"/>
      <c r="T25" s="15"/>
      <c r="U25" s="15"/>
      <c r="V25" s="15"/>
      <c r="W25" s="15"/>
      <c r="X25" s="15"/>
      <c r="Y25" s="15"/>
      <c r="Z25" s="15"/>
    </row>
    <row r="26" spans="1:26" ht="15.75" customHeight="1" x14ac:dyDescent="0.25">
      <c r="A26" s="44" t="s">
        <v>1227</v>
      </c>
      <c r="B26" s="190" t="s">
        <v>159</v>
      </c>
      <c r="C26" s="43">
        <v>0</v>
      </c>
      <c r="D26" s="43">
        <v>207000</v>
      </c>
      <c r="E26" s="43">
        <f t="shared" si="1"/>
        <v>27000</v>
      </c>
      <c r="F26" s="43">
        <v>234000</v>
      </c>
      <c r="G26" s="43">
        <v>0</v>
      </c>
      <c r="H26" s="167"/>
      <c r="I26" s="167"/>
      <c r="J26" s="15"/>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3141701</v>
      </c>
      <c r="D27" s="43">
        <v>3437639</v>
      </c>
      <c r="E27" s="43">
        <f t="shared" si="1"/>
        <v>97243</v>
      </c>
      <c r="F27" s="43">
        <v>3534882</v>
      </c>
      <c r="G27" s="43">
        <v>3683909</v>
      </c>
      <c r="H27" s="167"/>
      <c r="I27" s="167"/>
      <c r="J27" s="15"/>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67"/>
      <c r="I28" s="167"/>
      <c r="J28" s="15"/>
      <c r="K28" s="15"/>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4646596.25</v>
      </c>
      <c r="D29" s="43">
        <v>2049539.47</v>
      </c>
      <c r="E29" s="43">
        <f t="shared" ref="E29:E32" si="2">F29-D29</f>
        <v>3040691.5300000003</v>
      </c>
      <c r="F29" s="43">
        <v>5090231</v>
      </c>
      <c r="G29" s="43">
        <v>5304829</v>
      </c>
      <c r="H29" s="167"/>
      <c r="I29" s="167"/>
      <c r="J29" s="15"/>
      <c r="K29" s="15"/>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777667.71</v>
      </c>
      <c r="D30" s="43">
        <v>327450.01</v>
      </c>
      <c r="E30" s="43">
        <f t="shared" si="2"/>
        <v>520921.99</v>
      </c>
      <c r="F30" s="43">
        <v>848372</v>
      </c>
      <c r="G30" s="43">
        <v>884139</v>
      </c>
      <c r="H30" s="167"/>
      <c r="I30" s="167"/>
      <c r="J30" s="15"/>
      <c r="K30" s="15"/>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880039.67</v>
      </c>
      <c r="D31" s="43">
        <v>381324.94</v>
      </c>
      <c r="E31" s="43">
        <f t="shared" si="2"/>
        <v>525161.06000000006</v>
      </c>
      <c r="F31" s="43">
        <v>906486</v>
      </c>
      <c r="G31" s="43">
        <v>930749</v>
      </c>
      <c r="H31" s="167"/>
      <c r="I31" s="167"/>
      <c r="J31" s="15"/>
      <c r="K31" s="15"/>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90621.75</v>
      </c>
      <c r="D32" s="43">
        <v>37900</v>
      </c>
      <c r="E32" s="43">
        <f t="shared" si="2"/>
        <v>55700</v>
      </c>
      <c r="F32" s="43">
        <v>93600</v>
      </c>
      <c r="G32" s="43">
        <v>93600</v>
      </c>
      <c r="H32" s="167"/>
      <c r="I32" s="167"/>
      <c r="J32" s="15"/>
      <c r="K32" s="15"/>
      <c r="L32" s="15"/>
      <c r="M32" s="15"/>
      <c r="N32" s="15"/>
      <c r="O32" s="15"/>
      <c r="P32" s="15"/>
      <c r="Q32" s="15"/>
      <c r="R32" s="15"/>
      <c r="S32" s="15"/>
      <c r="T32" s="15"/>
      <c r="U32" s="15"/>
      <c r="V32" s="15"/>
      <c r="W32" s="15"/>
      <c r="X32" s="15"/>
      <c r="Y32" s="15"/>
      <c r="Z32" s="15"/>
    </row>
    <row r="33" spans="1:26" ht="15.75" customHeight="1" x14ac:dyDescent="0.25">
      <c r="A33" s="17" t="s">
        <v>385</v>
      </c>
      <c r="B33" s="41"/>
      <c r="C33" s="43"/>
      <c r="D33" s="43"/>
      <c r="E33" s="43"/>
      <c r="F33" s="43"/>
      <c r="G33" s="43"/>
      <c r="H33" s="167"/>
      <c r="I33" s="167"/>
      <c r="J33" s="15"/>
      <c r="K33" s="15"/>
      <c r="L33" s="15"/>
      <c r="M33" s="15"/>
      <c r="N33" s="15"/>
      <c r="O33" s="15"/>
      <c r="P33" s="15"/>
      <c r="Q33" s="15"/>
      <c r="R33" s="15"/>
      <c r="S33" s="15"/>
      <c r="T33" s="15"/>
      <c r="U33" s="15"/>
      <c r="V33" s="15"/>
      <c r="W33" s="15"/>
      <c r="X33" s="15"/>
      <c r="Y33" s="15"/>
      <c r="Z33" s="15"/>
    </row>
    <row r="34" spans="1:26" ht="15.75" customHeight="1" x14ac:dyDescent="0.25">
      <c r="A34" s="44" t="s">
        <v>386</v>
      </c>
      <c r="B34" s="41" t="s">
        <v>179</v>
      </c>
      <c r="C34" s="43">
        <v>537742.19999999995</v>
      </c>
      <c r="D34" s="43">
        <v>147429.72</v>
      </c>
      <c r="E34" s="43">
        <f t="shared" ref="E34:E36" si="3">F34-D34</f>
        <v>18535131.280000001</v>
      </c>
      <c r="F34" s="43">
        <v>18682561</v>
      </c>
      <c r="G34" s="43">
        <v>1381198</v>
      </c>
      <c r="H34" s="167"/>
      <c r="I34" s="167"/>
      <c r="J34" s="15"/>
      <c r="K34" s="15"/>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485720.47</v>
      </c>
      <c r="D35" s="43">
        <v>575631.44999999995</v>
      </c>
      <c r="E35" s="43">
        <f t="shared" si="3"/>
        <v>1127924.55</v>
      </c>
      <c r="F35" s="43">
        <v>1703556</v>
      </c>
      <c r="G35" s="43">
        <v>1775376</v>
      </c>
      <c r="H35" s="167"/>
      <c r="I35" s="167"/>
      <c r="J35" s="15"/>
      <c r="K35" s="15"/>
      <c r="L35" s="15"/>
      <c r="M35" s="15"/>
      <c r="N35" s="15"/>
      <c r="O35" s="15"/>
      <c r="P35" s="15"/>
      <c r="Q35" s="15"/>
      <c r="R35" s="15"/>
      <c r="S35" s="15"/>
      <c r="T35" s="15"/>
      <c r="U35" s="15"/>
      <c r="V35" s="15"/>
      <c r="W35" s="15"/>
      <c r="X35" s="15"/>
      <c r="Y35" s="15"/>
      <c r="Z35" s="15"/>
    </row>
    <row r="36" spans="1:26" ht="15.75" customHeight="1" x14ac:dyDescent="0.25">
      <c r="A36" s="460" t="s">
        <v>388</v>
      </c>
      <c r="B36" s="454" t="s">
        <v>183</v>
      </c>
      <c r="C36" s="443">
        <v>390000</v>
      </c>
      <c r="D36" s="443">
        <v>0</v>
      </c>
      <c r="E36" s="443">
        <f t="shared" si="3"/>
        <v>390000</v>
      </c>
      <c r="F36" s="443">
        <v>390000</v>
      </c>
      <c r="G36" s="462">
        <v>390000</v>
      </c>
      <c r="H36" s="167"/>
      <c r="I36" s="167"/>
      <c r="J36" s="15"/>
      <c r="K36" s="15"/>
      <c r="L36" s="15"/>
      <c r="M36" s="15"/>
      <c r="N36" s="15"/>
      <c r="O36" s="15"/>
      <c r="P36" s="15"/>
      <c r="Q36" s="15"/>
      <c r="R36" s="15"/>
      <c r="S36" s="15"/>
      <c r="T36" s="15"/>
      <c r="U36" s="15"/>
      <c r="V36" s="15"/>
      <c r="W36" s="15"/>
      <c r="X36" s="15"/>
      <c r="Y36" s="15"/>
      <c r="Z36" s="15"/>
    </row>
    <row r="37" spans="1:26" ht="31.5" x14ac:dyDescent="0.25">
      <c r="A37" s="510" t="s">
        <v>625</v>
      </c>
      <c r="B37" s="437"/>
      <c r="C37" s="473"/>
      <c r="D37" s="438"/>
      <c r="E37" s="438"/>
      <c r="F37" s="438"/>
      <c r="G37" s="438">
        <v>1238057</v>
      </c>
      <c r="H37" s="95"/>
      <c r="I37" s="167"/>
      <c r="J37" s="15"/>
      <c r="K37" s="15"/>
      <c r="L37" s="15"/>
      <c r="M37" s="15"/>
      <c r="N37" s="15"/>
      <c r="O37" s="15"/>
      <c r="P37" s="15"/>
      <c r="Q37" s="15"/>
      <c r="R37" s="15"/>
      <c r="S37" s="15"/>
      <c r="T37" s="15"/>
      <c r="U37" s="15"/>
      <c r="V37" s="15"/>
      <c r="W37" s="15"/>
      <c r="X37" s="15"/>
      <c r="Y37" s="15"/>
      <c r="Z37" s="15"/>
    </row>
    <row r="38" spans="1:26" ht="15.75" customHeight="1" x14ac:dyDescent="0.25">
      <c r="A38" s="42" t="s">
        <v>632</v>
      </c>
      <c r="B38" s="41"/>
      <c r="C38" s="79">
        <f>+SUM(C16:C36)</f>
        <v>59226362.780000009</v>
      </c>
      <c r="D38" s="54">
        <f t="shared" ref="D38:E38" si="4">SUM(D16:D36)</f>
        <v>27023590.119999997</v>
      </c>
      <c r="E38" s="54">
        <f t="shared" si="4"/>
        <v>56190563.880000003</v>
      </c>
      <c r="F38" s="54">
        <f t="shared" ref="F38:G38" si="5">+SUM(F16:F37)</f>
        <v>83214154</v>
      </c>
      <c r="G38" s="54">
        <f t="shared" si="5"/>
        <v>69354674</v>
      </c>
      <c r="H38" s="95"/>
      <c r="I38" s="167"/>
      <c r="J38" s="15"/>
      <c r="K38" s="15"/>
      <c r="L38" s="15"/>
      <c r="M38" s="15"/>
      <c r="N38" s="15"/>
      <c r="O38" s="15"/>
      <c r="P38" s="15"/>
      <c r="Q38" s="15"/>
      <c r="R38" s="15"/>
      <c r="S38" s="15"/>
      <c r="T38" s="15"/>
      <c r="U38" s="15"/>
      <c r="V38" s="15"/>
      <c r="W38" s="15"/>
      <c r="X38" s="15"/>
      <c r="Y38" s="15"/>
      <c r="Z38" s="15"/>
    </row>
    <row r="39" spans="1:26" ht="15.75" customHeight="1" x14ac:dyDescent="0.25">
      <c r="A39" s="486"/>
      <c r="B39" s="437"/>
      <c r="C39" s="497"/>
      <c r="D39" s="513"/>
      <c r="E39" s="448"/>
      <c r="F39" s="513"/>
      <c r="G39" s="448"/>
      <c r="H39" s="95"/>
      <c r="I39" s="167"/>
      <c r="J39" s="15"/>
      <c r="K39" s="15"/>
      <c r="L39" s="15"/>
      <c r="M39" s="15"/>
      <c r="N39" s="15"/>
      <c r="O39" s="15"/>
      <c r="P39" s="15"/>
      <c r="Q39" s="15"/>
      <c r="R39" s="15"/>
      <c r="S39" s="15"/>
      <c r="T39" s="15"/>
      <c r="U39" s="15"/>
      <c r="V39" s="15"/>
      <c r="W39" s="15"/>
      <c r="X39" s="15"/>
      <c r="Y39" s="15"/>
      <c r="Z39" s="15"/>
    </row>
    <row r="40" spans="1:26" ht="15.75" customHeight="1" x14ac:dyDescent="0.25">
      <c r="A40" s="456" t="s">
        <v>1236</v>
      </c>
      <c r="B40" s="454"/>
      <c r="C40" s="443"/>
      <c r="D40" s="443"/>
      <c r="E40" s="443"/>
      <c r="F40" s="443"/>
      <c r="G40" s="462"/>
      <c r="H40" s="167"/>
      <c r="I40" s="167"/>
      <c r="J40" s="15"/>
      <c r="K40" s="15"/>
      <c r="L40" s="15"/>
      <c r="M40" s="15"/>
      <c r="N40" s="15"/>
      <c r="O40" s="15"/>
      <c r="P40" s="15"/>
      <c r="Q40" s="15"/>
      <c r="R40" s="15"/>
      <c r="S40" s="15"/>
      <c r="T40" s="15"/>
      <c r="U40" s="15"/>
      <c r="V40" s="15"/>
      <c r="W40" s="15"/>
      <c r="X40" s="15"/>
      <c r="Y40" s="15"/>
      <c r="Z40" s="15"/>
    </row>
    <row r="41" spans="1:26" ht="15.75" customHeight="1" x14ac:dyDescent="0.25">
      <c r="A41" s="446" t="s">
        <v>392</v>
      </c>
      <c r="B41" s="437"/>
      <c r="C41" s="438"/>
      <c r="D41" s="438"/>
      <c r="E41" s="438"/>
      <c r="F41" s="438"/>
      <c r="G41" s="438"/>
      <c r="H41" s="167"/>
      <c r="I41" s="167"/>
      <c r="J41" s="15"/>
      <c r="K41" s="15"/>
      <c r="L41" s="15"/>
      <c r="M41" s="15"/>
      <c r="N41" s="15"/>
      <c r="O41" s="15"/>
      <c r="P41" s="15"/>
      <c r="Q41" s="15"/>
      <c r="R41" s="15"/>
      <c r="S41" s="15"/>
      <c r="T41" s="15"/>
      <c r="U41" s="15"/>
      <c r="V41" s="15"/>
      <c r="W41" s="15"/>
      <c r="X41" s="15"/>
      <c r="Y41" s="15"/>
      <c r="Z41" s="15"/>
    </row>
    <row r="42" spans="1:26" ht="15.75" customHeight="1" x14ac:dyDescent="0.25">
      <c r="A42" s="44" t="s">
        <v>393</v>
      </c>
      <c r="B42" s="41" t="s">
        <v>187</v>
      </c>
      <c r="C42" s="43">
        <f>36400.87+45088+48801.47</f>
        <v>130290.34</v>
      </c>
      <c r="D42" s="43">
        <v>18383.400000000001</v>
      </c>
      <c r="E42" s="43">
        <f>F42-D42</f>
        <v>171616.6</v>
      </c>
      <c r="F42" s="43">
        <v>190000</v>
      </c>
      <c r="G42" s="43">
        <v>453800</v>
      </c>
      <c r="H42" s="167">
        <f>SUM(I43:I47)</f>
        <v>453800</v>
      </c>
      <c r="I42" s="167"/>
      <c r="J42" s="15"/>
      <c r="K42" s="15"/>
      <c r="L42" s="15"/>
      <c r="M42" s="15"/>
      <c r="N42" s="15"/>
      <c r="O42" s="15"/>
      <c r="P42" s="15"/>
      <c r="Q42" s="15"/>
      <c r="R42" s="15"/>
      <c r="S42" s="15"/>
      <c r="T42" s="15"/>
      <c r="U42" s="15"/>
      <c r="V42" s="15"/>
      <c r="W42" s="15"/>
      <c r="X42" s="15"/>
      <c r="Y42" s="15"/>
      <c r="Z42" s="15"/>
    </row>
    <row r="43" spans="1:26" ht="15.75" customHeight="1" x14ac:dyDescent="0.25">
      <c r="A43" s="44" t="s">
        <v>1237</v>
      </c>
      <c r="B43" s="41"/>
      <c r="C43" s="43"/>
      <c r="D43" s="43"/>
      <c r="E43" s="43"/>
      <c r="F43" s="43"/>
      <c r="G43" s="43"/>
      <c r="H43" s="167"/>
      <c r="I43" s="167">
        <v>60000</v>
      </c>
      <c r="J43" s="15"/>
      <c r="K43" s="15"/>
      <c r="L43" s="15"/>
      <c r="M43" s="15"/>
      <c r="N43" s="15"/>
      <c r="O43" s="15"/>
      <c r="P43" s="15"/>
      <c r="Q43" s="15"/>
      <c r="R43" s="15"/>
      <c r="S43" s="15"/>
      <c r="T43" s="15"/>
      <c r="U43" s="15"/>
      <c r="V43" s="15"/>
      <c r="W43" s="15"/>
      <c r="X43" s="15"/>
      <c r="Y43" s="15"/>
      <c r="Z43" s="15"/>
    </row>
    <row r="44" spans="1:26" ht="15.75" customHeight="1" x14ac:dyDescent="0.25">
      <c r="A44" s="44" t="s">
        <v>1238</v>
      </c>
      <c r="B44" s="41"/>
      <c r="C44" s="43"/>
      <c r="D44" s="43"/>
      <c r="E44" s="43"/>
      <c r="F44" s="43"/>
      <c r="G44" s="43"/>
      <c r="H44" s="167"/>
      <c r="I44" s="167">
        <v>130000</v>
      </c>
      <c r="J44" s="15"/>
      <c r="K44" s="15"/>
      <c r="L44" s="15"/>
      <c r="M44" s="15"/>
      <c r="N44" s="15"/>
      <c r="O44" s="15"/>
      <c r="P44" s="15"/>
      <c r="Q44" s="15"/>
      <c r="R44" s="15"/>
      <c r="S44" s="15"/>
      <c r="T44" s="15"/>
      <c r="U44" s="15"/>
      <c r="V44" s="15"/>
      <c r="W44" s="15"/>
      <c r="X44" s="15"/>
      <c r="Y44" s="15"/>
      <c r="Z44" s="15"/>
    </row>
    <row r="45" spans="1:26" ht="15.75" customHeight="1" x14ac:dyDescent="0.25">
      <c r="A45" s="44" t="s">
        <v>1239</v>
      </c>
      <c r="B45" s="41"/>
      <c r="C45" s="43"/>
      <c r="D45" s="43"/>
      <c r="E45" s="43"/>
      <c r="F45" s="43"/>
      <c r="G45" s="43"/>
      <c r="H45" s="167"/>
      <c r="I45" s="167">
        <v>133800</v>
      </c>
      <c r="J45" s="15"/>
      <c r="K45" s="15"/>
      <c r="L45" s="15"/>
      <c r="M45" s="15"/>
      <c r="N45" s="15"/>
      <c r="O45" s="15"/>
      <c r="P45" s="15"/>
      <c r="Q45" s="15"/>
      <c r="R45" s="15"/>
      <c r="S45" s="15"/>
      <c r="T45" s="15"/>
      <c r="U45" s="15"/>
      <c r="V45" s="15"/>
      <c r="W45" s="15"/>
      <c r="X45" s="15"/>
      <c r="Y45" s="15"/>
      <c r="Z45" s="15"/>
    </row>
    <row r="46" spans="1:26" ht="15.75" customHeight="1" x14ac:dyDescent="0.25">
      <c r="A46" s="44" t="s">
        <v>1240</v>
      </c>
      <c r="B46" s="41"/>
      <c r="C46" s="43"/>
      <c r="D46" s="43"/>
      <c r="E46" s="43"/>
      <c r="F46" s="43"/>
      <c r="G46" s="440"/>
      <c r="H46" s="167"/>
      <c r="I46" s="167">
        <v>70000</v>
      </c>
      <c r="J46" s="15"/>
      <c r="K46" s="15"/>
      <c r="L46" s="15"/>
      <c r="M46" s="15"/>
      <c r="N46" s="15"/>
      <c r="O46" s="15"/>
      <c r="P46" s="15"/>
      <c r="Q46" s="15"/>
      <c r="R46" s="15"/>
      <c r="S46" s="15"/>
      <c r="T46" s="15"/>
      <c r="U46" s="15"/>
      <c r="V46" s="15"/>
      <c r="W46" s="15"/>
      <c r="X46" s="15"/>
      <c r="Y46" s="15"/>
      <c r="Z46" s="15"/>
    </row>
    <row r="47" spans="1:26" ht="15.75" customHeight="1" x14ac:dyDescent="0.25">
      <c r="A47" s="44" t="s">
        <v>1241</v>
      </c>
      <c r="B47" s="41"/>
      <c r="C47" s="43"/>
      <c r="D47" s="43"/>
      <c r="E47" s="43"/>
      <c r="F47" s="43"/>
      <c r="G47" s="440"/>
      <c r="H47" s="167"/>
      <c r="I47" s="167">
        <v>60000</v>
      </c>
      <c r="J47" s="15"/>
      <c r="K47" s="15"/>
      <c r="L47" s="15"/>
      <c r="M47" s="15"/>
      <c r="N47" s="15"/>
      <c r="O47" s="15"/>
      <c r="P47" s="15"/>
      <c r="Q47" s="15"/>
      <c r="R47" s="15"/>
      <c r="S47" s="15"/>
      <c r="T47" s="15"/>
      <c r="U47" s="15"/>
      <c r="V47" s="15"/>
      <c r="W47" s="15"/>
      <c r="X47" s="15"/>
      <c r="Y47" s="15"/>
      <c r="Z47" s="15"/>
    </row>
    <row r="48" spans="1:26" ht="15.75" customHeight="1" x14ac:dyDescent="0.25">
      <c r="A48" s="17" t="s">
        <v>395</v>
      </c>
      <c r="B48" s="41"/>
      <c r="C48" s="43"/>
      <c r="D48" s="43"/>
      <c r="E48" s="43"/>
      <c r="F48" s="43"/>
      <c r="G48" s="440"/>
      <c r="H48" s="167"/>
      <c r="I48" s="167"/>
      <c r="J48" s="15"/>
      <c r="K48" s="15"/>
      <c r="L48" s="15"/>
      <c r="M48" s="15"/>
      <c r="N48" s="15"/>
      <c r="O48" s="15"/>
      <c r="P48" s="15"/>
      <c r="Q48" s="15"/>
      <c r="R48" s="15"/>
      <c r="S48" s="15"/>
      <c r="T48" s="15"/>
      <c r="U48" s="15"/>
      <c r="V48" s="15"/>
      <c r="W48" s="15"/>
      <c r="X48" s="15"/>
      <c r="Y48" s="15"/>
      <c r="Z48" s="15"/>
    </row>
    <row r="49" spans="1:26" ht="15.75" customHeight="1" x14ac:dyDescent="0.25">
      <c r="A49" s="44" t="s">
        <v>396</v>
      </c>
      <c r="B49" s="41" t="s">
        <v>191</v>
      </c>
      <c r="C49" s="43">
        <f>100000+99474.75</f>
        <v>199474.75</v>
      </c>
      <c r="D49" s="43">
        <v>63736</v>
      </c>
      <c r="E49" s="43">
        <f>F49-D49</f>
        <v>136264</v>
      </c>
      <c r="F49" s="43">
        <v>200000</v>
      </c>
      <c r="G49" s="440">
        <v>100000</v>
      </c>
      <c r="H49" s="167">
        <v>100000</v>
      </c>
      <c r="I49" s="167"/>
      <c r="J49" s="15"/>
      <c r="K49" s="15"/>
      <c r="L49" s="15"/>
      <c r="M49" s="15"/>
      <c r="N49" s="15"/>
      <c r="O49" s="15"/>
      <c r="P49" s="15"/>
      <c r="Q49" s="15"/>
      <c r="R49" s="15"/>
      <c r="S49" s="15"/>
      <c r="T49" s="15"/>
      <c r="U49" s="15"/>
      <c r="V49" s="15"/>
      <c r="W49" s="15"/>
      <c r="X49" s="15"/>
      <c r="Y49" s="15"/>
      <c r="Z49" s="15"/>
    </row>
    <row r="50" spans="1:26" ht="15.75" customHeight="1" x14ac:dyDescent="0.25">
      <c r="A50" s="44" t="s">
        <v>1242</v>
      </c>
      <c r="B50" s="41"/>
      <c r="C50" s="43"/>
      <c r="D50" s="43"/>
      <c r="E50" s="43"/>
      <c r="F50" s="43"/>
      <c r="G50" s="440"/>
      <c r="H50" s="167"/>
      <c r="I50" s="167"/>
      <c r="J50" s="15"/>
      <c r="K50" s="15"/>
      <c r="L50" s="15"/>
      <c r="M50" s="15"/>
      <c r="N50" s="15"/>
      <c r="O50" s="15"/>
      <c r="P50" s="15"/>
      <c r="Q50" s="15"/>
      <c r="R50" s="15"/>
      <c r="S50" s="15"/>
      <c r="T50" s="15"/>
      <c r="U50" s="15"/>
      <c r="V50" s="15"/>
      <c r="W50" s="15"/>
      <c r="X50" s="15"/>
      <c r="Y50" s="15"/>
      <c r="Z50" s="15"/>
    </row>
    <row r="51" spans="1:26" ht="15.75" customHeight="1" x14ac:dyDescent="0.25">
      <c r="A51" s="17" t="s">
        <v>397</v>
      </c>
      <c r="B51" s="41"/>
      <c r="C51" s="43"/>
      <c r="D51" s="43"/>
      <c r="E51" s="43"/>
      <c r="F51" s="43"/>
      <c r="G51" s="440"/>
      <c r="H51" s="167"/>
      <c r="I51" s="167"/>
      <c r="J51" s="15"/>
      <c r="K51" s="15"/>
      <c r="L51" s="15"/>
      <c r="M51" s="15"/>
      <c r="N51" s="15"/>
      <c r="O51" s="15"/>
      <c r="P51" s="15"/>
      <c r="Q51" s="15"/>
      <c r="R51" s="15"/>
      <c r="S51" s="15"/>
      <c r="T51" s="15"/>
      <c r="U51" s="15"/>
      <c r="V51" s="15"/>
      <c r="W51" s="15"/>
      <c r="X51" s="15"/>
      <c r="Y51" s="15"/>
      <c r="Z51" s="15"/>
    </row>
    <row r="52" spans="1:26" ht="15.75" customHeight="1" x14ac:dyDescent="0.25">
      <c r="A52" s="44" t="s">
        <v>398</v>
      </c>
      <c r="B52" s="41" t="s">
        <v>195</v>
      </c>
      <c r="C52" s="43">
        <f>47830+49437.5+49500</f>
        <v>146767.5</v>
      </c>
      <c r="D52" s="43">
        <v>46414</v>
      </c>
      <c r="E52" s="43">
        <f>F52-D52</f>
        <v>83586</v>
      </c>
      <c r="F52" s="43">
        <v>130000</v>
      </c>
      <c r="G52" s="440">
        <v>58000</v>
      </c>
      <c r="H52" s="167">
        <v>58000</v>
      </c>
      <c r="I52" s="167"/>
      <c r="J52" s="15"/>
      <c r="K52" s="15"/>
      <c r="L52" s="15"/>
      <c r="M52" s="15"/>
      <c r="N52" s="15"/>
      <c r="O52" s="15"/>
      <c r="P52" s="15"/>
      <c r="Q52" s="15"/>
      <c r="R52" s="15"/>
      <c r="S52" s="15"/>
      <c r="T52" s="15"/>
      <c r="U52" s="15"/>
      <c r="V52" s="15"/>
      <c r="W52" s="15"/>
      <c r="X52" s="15"/>
      <c r="Y52" s="15"/>
      <c r="Z52" s="15"/>
    </row>
    <row r="53" spans="1:26" ht="15.75" customHeight="1" x14ac:dyDescent="0.25">
      <c r="A53" s="610" t="s">
        <v>1243</v>
      </c>
      <c r="B53" s="483"/>
      <c r="C53" s="457"/>
      <c r="D53" s="457"/>
      <c r="E53" s="457"/>
      <c r="F53" s="457"/>
      <c r="G53" s="623"/>
      <c r="H53" s="167"/>
      <c r="I53" s="167"/>
      <c r="J53" s="15"/>
      <c r="K53" s="15"/>
      <c r="L53" s="15"/>
      <c r="M53" s="15"/>
      <c r="N53" s="15"/>
      <c r="O53" s="15"/>
      <c r="P53" s="15"/>
      <c r="Q53" s="15"/>
      <c r="R53" s="15"/>
      <c r="S53" s="15"/>
      <c r="T53" s="15"/>
      <c r="U53" s="15"/>
      <c r="V53" s="15"/>
      <c r="W53" s="15"/>
      <c r="X53" s="15"/>
      <c r="Y53" s="15"/>
      <c r="Z53" s="15"/>
    </row>
    <row r="54" spans="1:26" ht="15.75" customHeight="1" x14ac:dyDescent="0.25">
      <c r="A54" s="611" t="s">
        <v>1244</v>
      </c>
      <c r="B54" s="601"/>
      <c r="C54" s="448"/>
      <c r="D54" s="448"/>
      <c r="E54" s="448"/>
      <c r="F54" s="448"/>
      <c r="G54" s="508"/>
      <c r="H54" s="167"/>
      <c r="I54" s="167"/>
      <c r="J54" s="15"/>
      <c r="K54" s="15"/>
      <c r="L54" s="15"/>
      <c r="M54" s="15"/>
      <c r="N54" s="15"/>
      <c r="O54" s="15"/>
      <c r="P54" s="15"/>
      <c r="Q54" s="15"/>
      <c r="R54" s="15"/>
      <c r="S54" s="15"/>
      <c r="T54" s="15"/>
      <c r="U54" s="15"/>
      <c r="V54" s="15"/>
      <c r="W54" s="15"/>
      <c r="X54" s="15"/>
      <c r="Y54" s="15"/>
      <c r="Z54" s="15"/>
    </row>
    <row r="55" spans="1:26" ht="15.75" customHeight="1" x14ac:dyDescent="0.25">
      <c r="A55" s="44" t="s">
        <v>399</v>
      </c>
      <c r="B55" s="41" t="s">
        <v>211</v>
      </c>
      <c r="C55" s="43">
        <f>100000+248042.33+231040+150000+250000+200000+400000+200000+400000+180000</f>
        <v>2359082.33</v>
      </c>
      <c r="D55" s="43">
        <f>36145+36240+43295+32417+36200+32397+7149.5+36335+36145+57832+62943.2+18100+32512</f>
        <v>467710.7</v>
      </c>
      <c r="E55" s="43">
        <f>F55-D55</f>
        <v>2417487.2999999998</v>
      </c>
      <c r="F55" s="43">
        <v>2885198</v>
      </c>
      <c r="G55" s="440">
        <v>2715799</v>
      </c>
      <c r="H55" s="167">
        <f>SUM(I56:I68)</f>
        <v>2715799</v>
      </c>
      <c r="I55" s="167"/>
      <c r="J55" s="15"/>
      <c r="K55" s="15"/>
      <c r="L55" s="15"/>
      <c r="M55" s="15"/>
      <c r="N55" s="15"/>
      <c r="O55" s="15"/>
      <c r="P55" s="15"/>
      <c r="Q55" s="15"/>
      <c r="R55" s="15"/>
      <c r="S55" s="15"/>
      <c r="T55" s="15"/>
      <c r="U55" s="15"/>
      <c r="V55" s="15"/>
      <c r="W55" s="15"/>
      <c r="X55" s="15"/>
      <c r="Y55" s="15"/>
      <c r="Z55" s="15"/>
    </row>
    <row r="56" spans="1:26" ht="15.75" customHeight="1" x14ac:dyDescent="0.25">
      <c r="A56" s="44" t="s">
        <v>1245</v>
      </c>
      <c r="B56" s="41"/>
      <c r="C56" s="43"/>
      <c r="D56" s="43"/>
      <c r="E56" s="43"/>
      <c r="F56" s="43"/>
      <c r="G56" s="440"/>
      <c r="H56" s="167"/>
      <c r="I56" s="167">
        <v>174680</v>
      </c>
      <c r="J56" s="15"/>
      <c r="K56" s="15"/>
      <c r="L56" s="15"/>
      <c r="M56" s="15"/>
      <c r="N56" s="15"/>
      <c r="O56" s="15"/>
      <c r="P56" s="15"/>
      <c r="Q56" s="15"/>
      <c r="R56" s="15"/>
      <c r="S56" s="15"/>
      <c r="T56" s="15"/>
      <c r="U56" s="15"/>
      <c r="V56" s="15"/>
      <c r="W56" s="15"/>
      <c r="X56" s="15"/>
      <c r="Y56" s="15"/>
      <c r="Z56" s="15"/>
    </row>
    <row r="57" spans="1:26" ht="15.75" customHeight="1" x14ac:dyDescent="0.25">
      <c r="A57" s="48" t="s">
        <v>1246</v>
      </c>
      <c r="B57" s="49"/>
      <c r="C57" s="43"/>
      <c r="D57" s="43"/>
      <c r="E57" s="43"/>
      <c r="F57" s="43"/>
      <c r="G57" s="440"/>
      <c r="H57" s="167"/>
      <c r="I57" s="167">
        <v>150000</v>
      </c>
      <c r="J57" s="15"/>
      <c r="K57" s="15"/>
      <c r="L57" s="15"/>
      <c r="M57" s="15"/>
      <c r="N57" s="15"/>
      <c r="O57" s="15"/>
      <c r="P57" s="15"/>
      <c r="Q57" s="15"/>
      <c r="R57" s="15"/>
      <c r="S57" s="15"/>
      <c r="T57" s="15"/>
      <c r="U57" s="15"/>
      <c r="V57" s="15"/>
      <c r="W57" s="15"/>
      <c r="X57" s="15"/>
      <c r="Y57" s="15"/>
      <c r="Z57" s="15"/>
    </row>
    <row r="58" spans="1:26" ht="15.75" customHeight="1" x14ac:dyDescent="0.25">
      <c r="A58" s="48" t="s">
        <v>1247</v>
      </c>
      <c r="B58" s="49"/>
      <c r="C58" s="43"/>
      <c r="D58" s="43"/>
      <c r="E58" s="43"/>
      <c r="F58" s="43"/>
      <c r="G58" s="43"/>
      <c r="H58" s="167"/>
      <c r="I58" s="167">
        <v>150000</v>
      </c>
      <c r="J58" s="15"/>
      <c r="K58" s="15"/>
      <c r="L58" s="15"/>
      <c r="M58" s="15"/>
      <c r="N58" s="15"/>
      <c r="O58" s="15"/>
      <c r="P58" s="15"/>
      <c r="Q58" s="15"/>
      <c r="R58" s="15"/>
      <c r="S58" s="15"/>
      <c r="T58" s="15"/>
      <c r="U58" s="15"/>
      <c r="V58" s="15"/>
      <c r="W58" s="15"/>
      <c r="X58" s="15"/>
      <c r="Y58" s="15"/>
      <c r="Z58" s="15"/>
    </row>
    <row r="59" spans="1:26" ht="15.75" customHeight="1" x14ac:dyDescent="0.25">
      <c r="A59" s="44" t="s">
        <v>1248</v>
      </c>
      <c r="B59" s="41"/>
      <c r="C59" s="43"/>
      <c r="D59" s="43"/>
      <c r="E59" s="43"/>
      <c r="F59" s="43"/>
      <c r="G59" s="43"/>
      <c r="H59" s="167"/>
      <c r="I59" s="167">
        <v>282079</v>
      </c>
      <c r="J59" s="15"/>
      <c r="K59" s="15"/>
      <c r="L59" s="15"/>
      <c r="M59" s="15"/>
      <c r="N59" s="15"/>
      <c r="O59" s="15"/>
      <c r="P59" s="15"/>
      <c r="Q59" s="15"/>
      <c r="R59" s="15"/>
      <c r="S59" s="15"/>
      <c r="T59" s="15"/>
      <c r="U59" s="15"/>
      <c r="V59" s="15"/>
      <c r="W59" s="15"/>
      <c r="X59" s="15"/>
      <c r="Y59" s="15"/>
      <c r="Z59" s="15"/>
    </row>
    <row r="60" spans="1:26" ht="15.75" customHeight="1" x14ac:dyDescent="0.25">
      <c r="A60" s="44" t="s">
        <v>1249</v>
      </c>
      <c r="B60" s="41"/>
      <c r="C60" s="43"/>
      <c r="D60" s="43"/>
      <c r="E60" s="43"/>
      <c r="F60" s="43"/>
      <c r="G60" s="43"/>
      <c r="H60" s="167"/>
      <c r="I60" s="167">
        <v>200000</v>
      </c>
      <c r="J60" s="15"/>
      <c r="K60" s="15"/>
      <c r="L60" s="15"/>
      <c r="M60" s="15"/>
      <c r="N60" s="15"/>
      <c r="O60" s="15"/>
      <c r="P60" s="15"/>
      <c r="Q60" s="15"/>
      <c r="R60" s="15"/>
      <c r="S60" s="15"/>
      <c r="T60" s="15"/>
      <c r="U60" s="15"/>
      <c r="V60" s="15"/>
      <c r="W60" s="15"/>
      <c r="X60" s="15"/>
      <c r="Y60" s="15"/>
      <c r="Z60" s="15"/>
    </row>
    <row r="61" spans="1:26" ht="15.75" customHeight="1" x14ac:dyDescent="0.25">
      <c r="A61" s="44" t="s">
        <v>1250</v>
      </c>
      <c r="B61" s="41"/>
      <c r="C61" s="43"/>
      <c r="D61" s="43"/>
      <c r="E61" s="43"/>
      <c r="F61" s="43"/>
      <c r="G61" s="43"/>
      <c r="H61" s="167"/>
      <c r="I61" s="167">
        <v>250000</v>
      </c>
      <c r="J61" s="15"/>
      <c r="K61" s="15"/>
      <c r="L61" s="15"/>
      <c r="M61" s="15"/>
      <c r="N61" s="15"/>
      <c r="O61" s="15"/>
      <c r="P61" s="15"/>
      <c r="Q61" s="15"/>
      <c r="R61" s="15"/>
      <c r="S61" s="15"/>
      <c r="T61" s="15"/>
      <c r="U61" s="15"/>
      <c r="V61" s="15"/>
      <c r="W61" s="15"/>
      <c r="X61" s="15"/>
      <c r="Y61" s="15"/>
      <c r="Z61" s="15"/>
    </row>
    <row r="62" spans="1:26" ht="15.75" customHeight="1" x14ac:dyDescent="0.25">
      <c r="A62" s="44" t="s">
        <v>1251</v>
      </c>
      <c r="B62" s="41"/>
      <c r="C62" s="43"/>
      <c r="D62" s="43"/>
      <c r="E62" s="43"/>
      <c r="F62" s="43"/>
      <c r="G62" s="43"/>
      <c r="H62" s="167"/>
      <c r="I62" s="167">
        <v>260000</v>
      </c>
      <c r="J62" s="15"/>
      <c r="K62" s="15"/>
      <c r="L62" s="15"/>
      <c r="M62" s="15"/>
      <c r="N62" s="15"/>
      <c r="O62" s="15"/>
      <c r="P62" s="15"/>
      <c r="Q62" s="15"/>
      <c r="R62" s="15"/>
      <c r="S62" s="15"/>
      <c r="T62" s="15"/>
      <c r="U62" s="15"/>
      <c r="V62" s="15"/>
      <c r="W62" s="15"/>
      <c r="X62" s="15"/>
      <c r="Y62" s="15"/>
      <c r="Z62" s="15"/>
    </row>
    <row r="63" spans="1:26" ht="15.75" customHeight="1" x14ac:dyDescent="0.25">
      <c r="A63" s="44" t="s">
        <v>1252</v>
      </c>
      <c r="B63" s="41"/>
      <c r="C63" s="43"/>
      <c r="D63" s="43"/>
      <c r="E63" s="43"/>
      <c r="F63" s="43"/>
      <c r="G63" s="43"/>
      <c r="H63" s="167"/>
      <c r="I63" s="167">
        <v>231040</v>
      </c>
      <c r="J63" s="15"/>
      <c r="K63" s="15"/>
      <c r="L63" s="15"/>
      <c r="M63" s="15"/>
      <c r="N63" s="15"/>
      <c r="O63" s="15"/>
      <c r="P63" s="15"/>
      <c r="Q63" s="15"/>
      <c r="R63" s="15"/>
      <c r="S63" s="15"/>
      <c r="T63" s="15"/>
      <c r="U63" s="15"/>
      <c r="V63" s="15"/>
      <c r="W63" s="15"/>
      <c r="X63" s="15"/>
      <c r="Y63" s="15"/>
      <c r="Z63" s="15"/>
    </row>
    <row r="64" spans="1:26" ht="15.75" customHeight="1" x14ac:dyDescent="0.25">
      <c r="A64" s="44" t="s">
        <v>1253</v>
      </c>
      <c r="B64" s="41"/>
      <c r="C64" s="43"/>
      <c r="D64" s="43"/>
      <c r="E64" s="43"/>
      <c r="F64" s="43"/>
      <c r="G64" s="43"/>
      <c r="H64" s="167"/>
      <c r="I64" s="167">
        <v>238000</v>
      </c>
      <c r="J64" s="15"/>
      <c r="K64" s="15"/>
      <c r="L64" s="15"/>
      <c r="M64" s="15"/>
      <c r="N64" s="15"/>
      <c r="O64" s="15"/>
      <c r="P64" s="15"/>
      <c r="Q64" s="15"/>
      <c r="R64" s="15"/>
      <c r="S64" s="15"/>
      <c r="T64" s="15"/>
      <c r="U64" s="15"/>
      <c r="V64" s="15"/>
      <c r="W64" s="15"/>
      <c r="X64" s="15"/>
      <c r="Y64" s="15"/>
      <c r="Z64" s="15"/>
    </row>
    <row r="65" spans="1:26" ht="15.75" customHeight="1" x14ac:dyDescent="0.25">
      <c r="A65" s="44" t="s">
        <v>1254</v>
      </c>
      <c r="B65" s="41"/>
      <c r="C65" s="43"/>
      <c r="D65" s="43"/>
      <c r="E65" s="43"/>
      <c r="F65" s="43"/>
      <c r="G65" s="43"/>
      <c r="H65" s="167"/>
      <c r="I65" s="167">
        <v>200000</v>
      </c>
      <c r="J65" s="15"/>
      <c r="K65" s="15"/>
      <c r="L65" s="15"/>
      <c r="M65" s="15"/>
      <c r="N65" s="15"/>
      <c r="O65" s="15"/>
      <c r="P65" s="15"/>
      <c r="Q65" s="15"/>
      <c r="R65" s="15"/>
      <c r="S65" s="15"/>
      <c r="T65" s="15"/>
      <c r="U65" s="15"/>
      <c r="V65" s="15"/>
      <c r="W65" s="15"/>
      <c r="X65" s="15"/>
      <c r="Y65" s="15"/>
      <c r="Z65" s="15"/>
    </row>
    <row r="66" spans="1:26" ht="15.75" customHeight="1" x14ac:dyDescent="0.25">
      <c r="A66" s="44" t="s">
        <v>1255</v>
      </c>
      <c r="B66" s="41"/>
      <c r="C66" s="43"/>
      <c r="D66" s="43"/>
      <c r="E66" s="43"/>
      <c r="F66" s="43"/>
      <c r="G66" s="43"/>
      <c r="H66" s="167"/>
      <c r="I66" s="167">
        <v>200000</v>
      </c>
      <c r="J66" s="15"/>
      <c r="K66" s="15"/>
      <c r="L66" s="15"/>
      <c r="M66" s="15"/>
      <c r="N66" s="15"/>
      <c r="O66" s="15"/>
      <c r="P66" s="15"/>
      <c r="Q66" s="15"/>
      <c r="R66" s="15"/>
      <c r="S66" s="15"/>
      <c r="T66" s="15"/>
      <c r="U66" s="15"/>
      <c r="V66" s="15"/>
      <c r="W66" s="15"/>
      <c r="X66" s="15"/>
      <c r="Y66" s="15"/>
      <c r="Z66" s="15"/>
    </row>
    <row r="67" spans="1:26" ht="15.75" customHeight="1" x14ac:dyDescent="0.25">
      <c r="A67" s="44" t="s">
        <v>1256</v>
      </c>
      <c r="B67" s="41"/>
      <c r="C67" s="43"/>
      <c r="D67" s="43"/>
      <c r="E67" s="43"/>
      <c r="F67" s="43"/>
      <c r="G67" s="43"/>
      <c r="H67" s="167"/>
      <c r="I67" s="167">
        <v>180000</v>
      </c>
      <c r="J67" s="15"/>
      <c r="K67" s="15"/>
      <c r="L67" s="15"/>
      <c r="M67" s="15"/>
      <c r="N67" s="15"/>
      <c r="O67" s="15"/>
      <c r="P67" s="15"/>
      <c r="Q67" s="15"/>
      <c r="R67" s="15"/>
      <c r="S67" s="15"/>
      <c r="T67" s="15"/>
      <c r="U67" s="15"/>
      <c r="V67" s="15"/>
      <c r="W67" s="15"/>
      <c r="X67" s="15"/>
      <c r="Y67" s="15"/>
      <c r="Z67" s="15"/>
    </row>
    <row r="68" spans="1:26" ht="15.75" customHeight="1" x14ac:dyDescent="0.25">
      <c r="A68" s="44" t="s">
        <v>1257</v>
      </c>
      <c r="B68" s="41"/>
      <c r="C68" s="43"/>
      <c r="D68" s="43"/>
      <c r="E68" s="43"/>
      <c r="F68" s="43"/>
      <c r="G68" s="43"/>
      <c r="H68" s="167"/>
      <c r="I68" s="167">
        <v>200000</v>
      </c>
      <c r="J68" s="15"/>
      <c r="K68" s="15"/>
      <c r="L68" s="15"/>
      <c r="M68" s="15"/>
      <c r="N68" s="15"/>
      <c r="O68" s="15"/>
      <c r="P68" s="15"/>
      <c r="Q68" s="15"/>
      <c r="R68" s="15"/>
      <c r="S68" s="15"/>
      <c r="T68" s="15"/>
      <c r="U68" s="15"/>
      <c r="V68" s="15"/>
      <c r="W68" s="15"/>
      <c r="X68" s="15"/>
      <c r="Y68" s="15"/>
      <c r="Z68" s="15"/>
    </row>
    <row r="69" spans="1:26" ht="15.75" customHeight="1" x14ac:dyDescent="0.25">
      <c r="A69" s="17" t="s">
        <v>403</v>
      </c>
      <c r="B69" s="41"/>
      <c r="C69" s="43"/>
      <c r="D69" s="43"/>
      <c r="E69" s="43"/>
      <c r="F69" s="43"/>
      <c r="G69" s="43"/>
      <c r="H69" s="167"/>
      <c r="I69" s="167"/>
      <c r="J69" s="15"/>
      <c r="K69" s="15"/>
      <c r="L69" s="15"/>
      <c r="M69" s="15"/>
      <c r="N69" s="15"/>
      <c r="O69" s="15"/>
      <c r="P69" s="15"/>
      <c r="Q69" s="15"/>
      <c r="R69" s="15"/>
      <c r="S69" s="15"/>
      <c r="T69" s="15"/>
      <c r="U69" s="15"/>
      <c r="V69" s="15"/>
      <c r="W69" s="15"/>
      <c r="X69" s="15"/>
      <c r="Y69" s="15"/>
      <c r="Z69" s="15"/>
    </row>
    <row r="70" spans="1:26" ht="15.75" customHeight="1" x14ac:dyDescent="0.25">
      <c r="A70" s="44" t="s">
        <v>405</v>
      </c>
      <c r="B70" s="41" t="s">
        <v>235</v>
      </c>
      <c r="C70" s="43">
        <f>27000+30000+11906+30000+30000+(30000*8)</f>
        <v>368906</v>
      </c>
      <c r="D70" s="43">
        <v>120000</v>
      </c>
      <c r="E70" s="43">
        <f>F70-D70</f>
        <v>270000</v>
      </c>
      <c r="F70" s="43">
        <v>390000</v>
      </c>
      <c r="G70" s="43">
        <v>390000</v>
      </c>
      <c r="H70" s="167">
        <v>390000</v>
      </c>
      <c r="I70" s="167"/>
      <c r="J70" s="15"/>
      <c r="K70" s="15"/>
      <c r="L70" s="15"/>
      <c r="M70" s="15"/>
      <c r="N70" s="15"/>
      <c r="O70" s="15"/>
      <c r="P70" s="15"/>
      <c r="Q70" s="15"/>
      <c r="R70" s="15"/>
      <c r="S70" s="15"/>
      <c r="T70" s="15"/>
      <c r="U70" s="15"/>
      <c r="V70" s="15"/>
      <c r="W70" s="15"/>
      <c r="X70" s="15"/>
      <c r="Y70" s="15"/>
      <c r="Z70" s="15"/>
    </row>
    <row r="71" spans="1:26" ht="15.75" customHeight="1" x14ac:dyDescent="0.25">
      <c r="A71" s="44" t="s">
        <v>1258</v>
      </c>
      <c r="B71" s="41"/>
      <c r="C71" s="43"/>
      <c r="D71" s="43"/>
      <c r="E71" s="43"/>
      <c r="F71" s="43"/>
      <c r="G71" s="43"/>
      <c r="H71" s="167"/>
      <c r="I71" s="167">
        <v>30000</v>
      </c>
      <c r="J71" s="15"/>
      <c r="K71" s="15"/>
      <c r="L71" s="15"/>
      <c r="M71" s="15"/>
      <c r="N71" s="15"/>
      <c r="O71" s="15"/>
      <c r="P71" s="15"/>
      <c r="Q71" s="15"/>
      <c r="R71" s="15"/>
      <c r="S71" s="15"/>
      <c r="T71" s="15"/>
      <c r="U71" s="15"/>
      <c r="V71" s="15"/>
      <c r="W71" s="15"/>
      <c r="X71" s="15"/>
      <c r="Y71" s="15"/>
      <c r="Z71" s="15"/>
    </row>
    <row r="72" spans="1:26" ht="15.75" customHeight="1" x14ac:dyDescent="0.25">
      <c r="A72" s="460" t="s">
        <v>1259</v>
      </c>
      <c r="B72" s="454"/>
      <c r="C72" s="443"/>
      <c r="D72" s="443"/>
      <c r="E72" s="443"/>
      <c r="F72" s="443"/>
      <c r="G72" s="462"/>
      <c r="H72" s="524"/>
      <c r="I72" s="167">
        <v>30000</v>
      </c>
      <c r="J72" s="15"/>
      <c r="K72" s="15"/>
      <c r="L72" s="15"/>
      <c r="M72" s="15"/>
      <c r="N72" s="15"/>
      <c r="O72" s="15"/>
      <c r="P72" s="15"/>
      <c r="Q72" s="15"/>
      <c r="R72" s="15"/>
      <c r="S72" s="15"/>
      <c r="T72" s="15"/>
      <c r="U72" s="15"/>
      <c r="V72" s="15"/>
      <c r="W72" s="15"/>
      <c r="X72" s="15"/>
      <c r="Y72" s="15"/>
      <c r="Z72" s="15"/>
    </row>
    <row r="73" spans="1:26" ht="15.75" customHeight="1" x14ac:dyDescent="0.25">
      <c r="A73" s="460" t="s">
        <v>1260</v>
      </c>
      <c r="B73" s="454"/>
      <c r="C73" s="443"/>
      <c r="D73" s="443"/>
      <c r="E73" s="443"/>
      <c r="F73" s="443"/>
      <c r="G73" s="462"/>
      <c r="H73" s="524"/>
      <c r="I73" s="167">
        <v>30000</v>
      </c>
      <c r="J73" s="15"/>
      <c r="K73" s="15"/>
      <c r="L73" s="15"/>
      <c r="M73" s="15"/>
      <c r="N73" s="15"/>
      <c r="O73" s="15"/>
      <c r="P73" s="15"/>
      <c r="Q73" s="15"/>
      <c r="R73" s="15"/>
      <c r="S73" s="15"/>
      <c r="T73" s="15"/>
      <c r="U73" s="15"/>
      <c r="V73" s="15"/>
      <c r="W73" s="15"/>
      <c r="X73" s="15"/>
      <c r="Y73" s="15"/>
      <c r="Z73" s="15"/>
    </row>
    <row r="74" spans="1:26" ht="15.75" customHeight="1" x14ac:dyDescent="0.25">
      <c r="A74" s="460" t="s">
        <v>1261</v>
      </c>
      <c r="B74" s="487"/>
      <c r="C74" s="43"/>
      <c r="D74" s="43"/>
      <c r="E74" s="43"/>
      <c r="F74" s="43"/>
      <c r="G74" s="462"/>
      <c r="H74" s="524"/>
      <c r="I74" s="167">
        <v>30000</v>
      </c>
      <c r="J74" s="15"/>
      <c r="K74" s="15"/>
      <c r="L74" s="15"/>
      <c r="M74" s="15"/>
      <c r="N74" s="15"/>
      <c r="O74" s="15"/>
      <c r="P74" s="15"/>
      <c r="Q74" s="15"/>
      <c r="R74" s="15"/>
      <c r="S74" s="15"/>
      <c r="T74" s="15"/>
      <c r="U74" s="15"/>
      <c r="V74" s="15"/>
      <c r="W74" s="15"/>
      <c r="X74" s="15"/>
      <c r="Y74" s="15"/>
      <c r="Z74" s="15"/>
    </row>
    <row r="75" spans="1:26" ht="15.75" customHeight="1" x14ac:dyDescent="0.25">
      <c r="A75" s="44" t="s">
        <v>1262</v>
      </c>
      <c r="B75" s="41"/>
      <c r="C75" s="43"/>
      <c r="D75" s="43"/>
      <c r="E75" s="43"/>
      <c r="F75" s="43"/>
      <c r="G75" s="43"/>
      <c r="H75" s="167"/>
      <c r="I75" s="167">
        <v>30000</v>
      </c>
      <c r="J75" s="15"/>
      <c r="K75" s="15"/>
      <c r="L75" s="15"/>
      <c r="M75" s="15"/>
      <c r="N75" s="15"/>
      <c r="O75" s="15"/>
      <c r="P75" s="15"/>
      <c r="Q75" s="15"/>
      <c r="R75" s="15"/>
      <c r="S75" s="15"/>
      <c r="T75" s="15"/>
      <c r="U75" s="15"/>
      <c r="V75" s="15"/>
      <c r="W75" s="15"/>
      <c r="X75" s="15"/>
      <c r="Y75" s="15"/>
      <c r="Z75" s="15"/>
    </row>
    <row r="76" spans="1:26" ht="15.75" customHeight="1" x14ac:dyDescent="0.25">
      <c r="A76" s="44" t="s">
        <v>1263</v>
      </c>
      <c r="B76" s="41"/>
      <c r="C76" s="43"/>
      <c r="D76" s="43"/>
      <c r="E76" s="43"/>
      <c r="F76" s="43"/>
      <c r="G76" s="43"/>
      <c r="H76" s="167"/>
      <c r="I76" s="167">
        <v>30000</v>
      </c>
      <c r="J76" s="15"/>
      <c r="K76" s="15"/>
      <c r="L76" s="15"/>
      <c r="M76" s="15"/>
      <c r="N76" s="15"/>
      <c r="O76" s="15"/>
      <c r="P76" s="15"/>
      <c r="Q76" s="15"/>
      <c r="R76" s="15"/>
      <c r="S76" s="15"/>
      <c r="T76" s="15"/>
      <c r="U76" s="15"/>
      <c r="V76" s="15"/>
      <c r="W76" s="15"/>
      <c r="X76" s="15"/>
      <c r="Y76" s="15"/>
      <c r="Z76" s="15"/>
    </row>
    <row r="77" spans="1:26" ht="15.75" customHeight="1" x14ac:dyDescent="0.25">
      <c r="A77" s="44" t="s">
        <v>1264</v>
      </c>
      <c r="B77" s="41"/>
      <c r="C77" s="43"/>
      <c r="D77" s="43"/>
      <c r="E77" s="43"/>
      <c r="F77" s="43"/>
      <c r="G77" s="43"/>
      <c r="H77" s="167"/>
      <c r="I77" s="167">
        <v>30000</v>
      </c>
      <c r="J77" s="15"/>
      <c r="K77" s="15"/>
      <c r="L77" s="15"/>
      <c r="M77" s="15"/>
      <c r="N77" s="15"/>
      <c r="O77" s="15"/>
      <c r="P77" s="15"/>
      <c r="Q77" s="15"/>
      <c r="R77" s="15"/>
      <c r="S77" s="15"/>
      <c r="T77" s="15"/>
      <c r="U77" s="15"/>
      <c r="V77" s="15"/>
      <c r="W77" s="15"/>
      <c r="X77" s="15"/>
      <c r="Y77" s="15"/>
      <c r="Z77" s="15"/>
    </row>
    <row r="78" spans="1:26" ht="15.75" customHeight="1" x14ac:dyDescent="0.25">
      <c r="A78" s="44" t="s">
        <v>1265</v>
      </c>
      <c r="B78" s="41"/>
      <c r="C78" s="43"/>
      <c r="D78" s="43"/>
      <c r="E78" s="43"/>
      <c r="F78" s="43"/>
      <c r="G78" s="43"/>
      <c r="H78" s="167"/>
      <c r="I78" s="167">
        <v>30000</v>
      </c>
      <c r="J78" s="15"/>
      <c r="K78" s="15"/>
      <c r="L78" s="15"/>
      <c r="M78" s="15"/>
      <c r="N78" s="15"/>
      <c r="O78" s="15"/>
      <c r="P78" s="15"/>
      <c r="Q78" s="15"/>
      <c r="R78" s="15"/>
      <c r="S78" s="15"/>
      <c r="T78" s="15"/>
      <c r="U78" s="15"/>
      <c r="V78" s="15"/>
      <c r="W78" s="15"/>
      <c r="X78" s="15"/>
      <c r="Y78" s="15"/>
      <c r="Z78" s="15"/>
    </row>
    <row r="79" spans="1:26" ht="15.75" customHeight="1" x14ac:dyDescent="0.25">
      <c r="A79" s="44" t="s">
        <v>1266</v>
      </c>
      <c r="B79" s="41"/>
      <c r="C79" s="43"/>
      <c r="D79" s="43"/>
      <c r="E79" s="43"/>
      <c r="F79" s="43"/>
      <c r="G79" s="43"/>
      <c r="H79" s="167"/>
      <c r="I79" s="167">
        <v>30000</v>
      </c>
      <c r="J79" s="15"/>
      <c r="K79" s="15"/>
      <c r="L79" s="15"/>
      <c r="M79" s="15"/>
      <c r="N79" s="15"/>
      <c r="O79" s="15"/>
      <c r="P79" s="15"/>
      <c r="Q79" s="15"/>
      <c r="R79" s="15"/>
      <c r="S79" s="15"/>
      <c r="T79" s="15"/>
      <c r="U79" s="15"/>
      <c r="V79" s="15"/>
      <c r="W79" s="15"/>
      <c r="X79" s="15"/>
      <c r="Y79" s="15"/>
      <c r="Z79" s="15"/>
    </row>
    <row r="80" spans="1:26" ht="15.75" customHeight="1" x14ac:dyDescent="0.25">
      <c r="A80" s="44" t="s">
        <v>1267</v>
      </c>
      <c r="B80" s="41"/>
      <c r="C80" s="43"/>
      <c r="D80" s="43"/>
      <c r="E80" s="43"/>
      <c r="F80" s="43"/>
      <c r="G80" s="43"/>
      <c r="H80" s="167"/>
      <c r="I80" s="167">
        <v>30000</v>
      </c>
      <c r="J80" s="15"/>
      <c r="K80" s="15"/>
      <c r="L80" s="15"/>
      <c r="M80" s="15"/>
      <c r="N80" s="15"/>
      <c r="O80" s="15"/>
      <c r="P80" s="15"/>
      <c r="Q80" s="15"/>
      <c r="R80" s="15"/>
      <c r="S80" s="15"/>
      <c r="T80" s="15"/>
      <c r="U80" s="15"/>
      <c r="V80" s="15"/>
      <c r="W80" s="15"/>
      <c r="X80" s="15"/>
      <c r="Y80" s="15"/>
      <c r="Z80" s="15"/>
    </row>
    <row r="81" spans="1:26" ht="15.75" customHeight="1" x14ac:dyDescent="0.25">
      <c r="A81" s="44" t="s">
        <v>1268</v>
      </c>
      <c r="B81" s="41"/>
      <c r="C81" s="43"/>
      <c r="D81" s="43"/>
      <c r="E81" s="43"/>
      <c r="F81" s="43"/>
      <c r="G81" s="43"/>
      <c r="H81" s="167"/>
      <c r="I81" s="167">
        <v>30000</v>
      </c>
      <c r="J81" s="15"/>
      <c r="K81" s="15"/>
      <c r="L81" s="15"/>
      <c r="M81" s="15"/>
      <c r="N81" s="15"/>
      <c r="O81" s="15"/>
      <c r="P81" s="15"/>
      <c r="Q81" s="15"/>
      <c r="R81" s="15"/>
      <c r="S81" s="15"/>
      <c r="T81" s="15"/>
      <c r="U81" s="15"/>
      <c r="V81" s="15"/>
      <c r="W81" s="15"/>
      <c r="X81" s="15"/>
      <c r="Y81" s="15"/>
      <c r="Z81" s="15"/>
    </row>
    <row r="82" spans="1:26" ht="15.75" customHeight="1" x14ac:dyDescent="0.25">
      <c r="A82" s="44" t="s">
        <v>1244</v>
      </c>
      <c r="B82" s="41"/>
      <c r="C82" s="43"/>
      <c r="D82" s="43"/>
      <c r="E82" s="43"/>
      <c r="F82" s="43"/>
      <c r="G82" s="43"/>
      <c r="H82" s="167"/>
      <c r="I82" s="167">
        <v>30000</v>
      </c>
      <c r="J82" s="15"/>
      <c r="K82" s="15"/>
      <c r="L82" s="15"/>
      <c r="M82" s="15"/>
      <c r="N82" s="15"/>
      <c r="O82" s="15"/>
      <c r="P82" s="15"/>
      <c r="Q82" s="15"/>
      <c r="R82" s="15"/>
      <c r="S82" s="15"/>
      <c r="T82" s="15"/>
      <c r="U82" s="15"/>
      <c r="V82" s="15"/>
      <c r="W82" s="15"/>
      <c r="X82" s="15"/>
      <c r="Y82" s="15"/>
      <c r="Z82" s="15"/>
    </row>
    <row r="83" spans="1:26" ht="15.75" customHeight="1" x14ac:dyDescent="0.25">
      <c r="A83" s="44" t="s">
        <v>1269</v>
      </c>
      <c r="B83" s="41"/>
      <c r="C83" s="43"/>
      <c r="D83" s="43"/>
      <c r="E83" s="43"/>
      <c r="F83" s="43"/>
      <c r="G83" s="43"/>
      <c r="H83" s="167"/>
      <c r="I83" s="167">
        <v>30000</v>
      </c>
      <c r="J83" s="15"/>
      <c r="K83" s="15"/>
      <c r="L83" s="15"/>
      <c r="M83" s="15"/>
      <c r="N83" s="15"/>
      <c r="O83" s="15"/>
      <c r="P83" s="15"/>
      <c r="Q83" s="15"/>
      <c r="R83" s="15"/>
      <c r="S83" s="15"/>
      <c r="T83" s="15"/>
      <c r="U83" s="15"/>
      <c r="V83" s="15"/>
      <c r="W83" s="15"/>
      <c r="X83" s="15"/>
      <c r="Y83" s="15"/>
      <c r="Z83" s="15"/>
    </row>
    <row r="84" spans="1:26" ht="15.75" customHeight="1" x14ac:dyDescent="0.25">
      <c r="A84" s="17" t="s">
        <v>1270</v>
      </c>
      <c r="B84" s="41"/>
      <c r="C84" s="43"/>
      <c r="D84" s="43"/>
      <c r="E84" s="43"/>
      <c r="F84" s="43"/>
      <c r="G84" s="43"/>
      <c r="H84" s="167"/>
      <c r="I84" s="167"/>
      <c r="J84" s="15"/>
      <c r="K84" s="15"/>
      <c r="L84" s="15"/>
      <c r="M84" s="15"/>
      <c r="N84" s="15"/>
      <c r="O84" s="15"/>
      <c r="P84" s="15"/>
      <c r="Q84" s="15"/>
      <c r="R84" s="15"/>
      <c r="S84" s="15"/>
      <c r="T84" s="15"/>
      <c r="U84" s="15"/>
      <c r="V84" s="15"/>
      <c r="W84" s="15"/>
      <c r="X84" s="15"/>
      <c r="Y84" s="15"/>
      <c r="Z84" s="15"/>
    </row>
    <row r="85" spans="1:26" ht="15.75" customHeight="1" x14ac:dyDescent="0.25">
      <c r="A85" s="44" t="s">
        <v>817</v>
      </c>
      <c r="B85" s="41" t="s">
        <v>287</v>
      </c>
      <c r="C85" s="43">
        <f>66000+66141</f>
        <v>132141</v>
      </c>
      <c r="D85" s="43">
        <v>0</v>
      </c>
      <c r="E85" s="43">
        <f>F85-D85</f>
        <v>177000</v>
      </c>
      <c r="F85" s="43">
        <v>177000</v>
      </c>
      <c r="G85" s="239">
        <v>177350</v>
      </c>
      <c r="H85" s="167">
        <f>SUM(I86:I90)</f>
        <v>177350</v>
      </c>
      <c r="I85" s="167"/>
      <c r="J85" s="15"/>
      <c r="K85" s="15"/>
      <c r="L85" s="15"/>
      <c r="M85" s="15"/>
      <c r="N85" s="15"/>
      <c r="O85" s="15"/>
      <c r="P85" s="15"/>
      <c r="Q85" s="15"/>
      <c r="R85" s="15"/>
      <c r="S85" s="15"/>
      <c r="T85" s="15"/>
      <c r="U85" s="15"/>
      <c r="V85" s="15"/>
      <c r="W85" s="15"/>
      <c r="X85" s="15"/>
      <c r="Y85" s="15"/>
      <c r="Z85" s="15"/>
    </row>
    <row r="86" spans="1:26" ht="15.75" customHeight="1" x14ac:dyDescent="0.25">
      <c r="A86" s="44" t="s">
        <v>1271</v>
      </c>
      <c r="B86" s="41"/>
      <c r="C86" s="43"/>
      <c r="D86" s="43"/>
      <c r="E86" s="43"/>
      <c r="F86" s="43"/>
      <c r="G86" s="43"/>
      <c r="H86" s="167"/>
      <c r="I86" s="167">
        <v>40000</v>
      </c>
      <c r="J86" s="15"/>
      <c r="K86" s="15"/>
      <c r="L86" s="15"/>
      <c r="M86" s="15"/>
      <c r="N86" s="15"/>
      <c r="O86" s="15"/>
      <c r="P86" s="15"/>
      <c r="Q86" s="15"/>
      <c r="R86" s="15"/>
      <c r="S86" s="15"/>
      <c r="T86" s="15"/>
      <c r="U86" s="15"/>
      <c r="V86" s="15"/>
      <c r="W86" s="15"/>
      <c r="X86" s="15"/>
      <c r="Y86" s="15"/>
      <c r="Z86" s="15"/>
    </row>
    <row r="87" spans="1:26" ht="15.75" customHeight="1" x14ac:dyDescent="0.25">
      <c r="A87" s="44" t="s">
        <v>1272</v>
      </c>
      <c r="B87" s="41"/>
      <c r="C87" s="43"/>
      <c r="D87" s="43"/>
      <c r="E87" s="43"/>
      <c r="F87" s="43"/>
      <c r="G87" s="43"/>
      <c r="H87" s="167"/>
      <c r="I87" s="167">
        <v>67000</v>
      </c>
      <c r="J87" s="15"/>
      <c r="K87" s="15"/>
      <c r="L87" s="15"/>
      <c r="M87" s="15"/>
      <c r="N87" s="15"/>
      <c r="O87" s="15"/>
      <c r="P87" s="15"/>
      <c r="Q87" s="15"/>
      <c r="R87" s="15"/>
      <c r="S87" s="15"/>
      <c r="T87" s="15"/>
      <c r="U87" s="15"/>
      <c r="V87" s="15"/>
      <c r="W87" s="15"/>
      <c r="X87" s="15"/>
      <c r="Y87" s="15"/>
      <c r="Z87" s="15"/>
    </row>
    <row r="88" spans="1:26" ht="15.75" customHeight="1" x14ac:dyDescent="0.25">
      <c r="A88" s="44" t="s">
        <v>1273</v>
      </c>
      <c r="B88" s="41"/>
      <c r="C88" s="43"/>
      <c r="D88" s="43"/>
      <c r="E88" s="43"/>
      <c r="F88" s="43"/>
      <c r="G88" s="43"/>
      <c r="H88" s="167"/>
      <c r="I88" s="167">
        <v>70350</v>
      </c>
      <c r="J88" s="15"/>
      <c r="K88" s="15"/>
      <c r="L88" s="15"/>
      <c r="M88" s="15"/>
      <c r="N88" s="15"/>
      <c r="O88" s="15"/>
      <c r="P88" s="15"/>
      <c r="Q88" s="15"/>
      <c r="R88" s="15"/>
      <c r="S88" s="15"/>
      <c r="T88" s="15"/>
      <c r="U88" s="15"/>
      <c r="V88" s="15"/>
      <c r="W88" s="15"/>
      <c r="X88" s="15"/>
      <c r="Y88" s="15"/>
      <c r="Z88" s="15"/>
    </row>
    <row r="89" spans="1:26" ht="15.75" customHeight="1" x14ac:dyDescent="0.25">
      <c r="A89" s="17" t="s">
        <v>414</v>
      </c>
      <c r="B89" s="41"/>
      <c r="C89" s="43"/>
      <c r="D89" s="43"/>
      <c r="E89" s="43"/>
      <c r="F89" s="43"/>
      <c r="G89" s="43"/>
      <c r="H89" s="167"/>
      <c r="I89" s="167"/>
      <c r="J89" s="15"/>
      <c r="K89" s="15"/>
      <c r="L89" s="15"/>
      <c r="M89" s="15"/>
      <c r="N89" s="15"/>
      <c r="O89" s="15"/>
      <c r="P89" s="15"/>
      <c r="Q89" s="15"/>
      <c r="R89" s="15"/>
      <c r="S89" s="15"/>
      <c r="T89" s="15"/>
      <c r="U89" s="15"/>
      <c r="V89" s="15"/>
      <c r="W89" s="15"/>
      <c r="X89" s="15"/>
      <c r="Y89" s="15"/>
      <c r="Z89" s="15"/>
    </row>
    <row r="90" spans="1:26" ht="15.75" customHeight="1" x14ac:dyDescent="0.25">
      <c r="A90" s="44" t="s">
        <v>424</v>
      </c>
      <c r="B90" s="20" t="s">
        <v>335</v>
      </c>
      <c r="C90" s="56">
        <f>7386024+7534800+7497136+7624072+7845678+7362288+7822800+7512960+7534800+3056464.44+3704880+3855654+49680+99894.6+7489224</f>
        <v>86376355.039999992</v>
      </c>
      <c r="D90" s="56">
        <v>35931219.119999997</v>
      </c>
      <c r="E90" s="43">
        <f>F90-D90</f>
        <v>54075982.880000003</v>
      </c>
      <c r="F90" s="43">
        <v>90007202</v>
      </c>
      <c r="G90" s="43">
        <v>90114451</v>
      </c>
      <c r="H90" s="167">
        <f>SUM(I91:I104)</f>
        <v>90114451</v>
      </c>
      <c r="I90" s="167"/>
      <c r="J90" s="15">
        <f>G90/22/12/639</f>
        <v>534.1824998814435</v>
      </c>
      <c r="K90" s="15"/>
      <c r="L90" s="15"/>
      <c r="M90" s="15"/>
      <c r="N90" s="15"/>
      <c r="O90" s="15"/>
      <c r="P90" s="15"/>
      <c r="Q90" s="15"/>
      <c r="R90" s="15"/>
      <c r="S90" s="15"/>
      <c r="T90" s="15"/>
      <c r="U90" s="15"/>
      <c r="V90" s="15"/>
      <c r="W90" s="15"/>
      <c r="X90" s="15"/>
      <c r="Y90" s="15"/>
      <c r="Z90" s="15"/>
    </row>
    <row r="91" spans="1:26" ht="15.75" customHeight="1" x14ac:dyDescent="0.25">
      <c r="A91" s="44" t="s">
        <v>1274</v>
      </c>
      <c r="B91" s="20"/>
      <c r="C91" s="56"/>
      <c r="D91" s="56"/>
      <c r="E91" s="43"/>
      <c r="F91" s="43"/>
      <c r="G91" s="43"/>
      <c r="H91" s="167"/>
      <c r="I91" s="167">
        <v>7926120</v>
      </c>
      <c r="J91" s="15">
        <f t="shared" ref="J91:J103" si="6">ROUNDDOWN(I91/639/22/12,0)</f>
        <v>46</v>
      </c>
      <c r="K91" s="15"/>
      <c r="L91" s="15"/>
      <c r="M91" s="15"/>
      <c r="N91" s="15"/>
      <c r="O91" s="15"/>
      <c r="P91" s="15"/>
      <c r="Q91" s="15"/>
      <c r="R91" s="15"/>
      <c r="S91" s="15"/>
      <c r="T91" s="15"/>
      <c r="U91" s="15"/>
      <c r="V91" s="15"/>
      <c r="W91" s="15"/>
      <c r="X91" s="15"/>
      <c r="Y91" s="15"/>
      <c r="Z91" s="15"/>
    </row>
    <row r="92" spans="1:26" ht="15.75" customHeight="1" x14ac:dyDescent="0.25">
      <c r="A92" s="44" t="s">
        <v>1275</v>
      </c>
      <c r="B92" s="20"/>
      <c r="C92" s="56"/>
      <c r="D92" s="56"/>
      <c r="E92" s="43"/>
      <c r="F92" s="43"/>
      <c r="G92" s="43"/>
      <c r="H92" s="167"/>
      <c r="I92" s="167">
        <v>7950800</v>
      </c>
      <c r="J92" s="15">
        <f t="shared" si="6"/>
        <v>47</v>
      </c>
      <c r="K92" s="15"/>
      <c r="L92" s="15"/>
      <c r="M92" s="15"/>
      <c r="N92" s="15"/>
      <c r="O92" s="15"/>
      <c r="P92" s="15"/>
      <c r="Q92" s="15"/>
      <c r="R92" s="15"/>
      <c r="S92" s="15"/>
      <c r="T92" s="15"/>
      <c r="U92" s="15"/>
      <c r="V92" s="15"/>
      <c r="W92" s="15"/>
      <c r="X92" s="15"/>
      <c r="Y92" s="15"/>
      <c r="Z92" s="15"/>
    </row>
    <row r="93" spans="1:26" ht="15.75" customHeight="1" x14ac:dyDescent="0.25">
      <c r="A93" s="44" t="s">
        <v>1276</v>
      </c>
      <c r="B93" s="20"/>
      <c r="C93" s="56"/>
      <c r="D93" s="56"/>
      <c r="E93" s="43"/>
      <c r="F93" s="43"/>
      <c r="G93" s="43"/>
      <c r="H93" s="167"/>
      <c r="I93" s="167">
        <v>7862800</v>
      </c>
      <c r="J93" s="15">
        <f t="shared" si="6"/>
        <v>46</v>
      </c>
      <c r="K93" s="15"/>
      <c r="L93" s="15"/>
      <c r="M93" s="15"/>
      <c r="N93" s="15"/>
      <c r="O93" s="15"/>
      <c r="P93" s="15"/>
      <c r="Q93" s="15"/>
      <c r="R93" s="15"/>
      <c r="S93" s="15"/>
      <c r="T93" s="15"/>
      <c r="U93" s="15"/>
      <c r="V93" s="15"/>
      <c r="W93" s="15"/>
      <c r="X93" s="15"/>
      <c r="Y93" s="15"/>
      <c r="Z93" s="15"/>
    </row>
    <row r="94" spans="1:26" ht="15.75" customHeight="1" x14ac:dyDescent="0.25">
      <c r="A94" s="44" t="s">
        <v>1277</v>
      </c>
      <c r="B94" s="20"/>
      <c r="C94" s="56"/>
      <c r="D94" s="56"/>
      <c r="E94" s="43"/>
      <c r="F94" s="43"/>
      <c r="G94" s="43"/>
      <c r="H94" s="167"/>
      <c r="I94" s="167">
        <v>7818721</v>
      </c>
      <c r="J94" s="15">
        <f t="shared" si="6"/>
        <v>46</v>
      </c>
      <c r="K94" s="15"/>
      <c r="L94" s="15"/>
      <c r="M94" s="15"/>
      <c r="N94" s="15"/>
      <c r="O94" s="15"/>
      <c r="P94" s="15"/>
      <c r="Q94" s="15"/>
      <c r="R94" s="15"/>
      <c r="S94" s="15"/>
      <c r="T94" s="15"/>
      <c r="U94" s="15"/>
      <c r="V94" s="15"/>
      <c r="W94" s="15"/>
      <c r="X94" s="15"/>
      <c r="Y94" s="15"/>
      <c r="Z94" s="15"/>
    </row>
    <row r="95" spans="1:26" ht="15.75" customHeight="1" x14ac:dyDescent="0.25">
      <c r="A95" s="44" t="s">
        <v>1278</v>
      </c>
      <c r="B95" s="20"/>
      <c r="C95" s="56"/>
      <c r="D95" s="56"/>
      <c r="E95" s="43"/>
      <c r="F95" s="43"/>
      <c r="G95" s="43"/>
      <c r="H95" s="167"/>
      <c r="I95" s="167">
        <v>7900800</v>
      </c>
      <c r="J95" s="15">
        <f t="shared" si="6"/>
        <v>46</v>
      </c>
      <c r="K95" s="15"/>
      <c r="L95" s="15"/>
      <c r="M95" s="15"/>
      <c r="N95" s="15"/>
      <c r="O95" s="15"/>
      <c r="P95" s="15"/>
      <c r="Q95" s="15"/>
      <c r="R95" s="15"/>
      <c r="S95" s="15"/>
      <c r="T95" s="15"/>
      <c r="U95" s="15"/>
      <c r="V95" s="15"/>
      <c r="W95" s="15"/>
      <c r="X95" s="15"/>
      <c r="Y95" s="15"/>
      <c r="Z95" s="15"/>
    </row>
    <row r="96" spans="1:26" ht="15.75" customHeight="1" x14ac:dyDescent="0.25">
      <c r="A96" s="44" t="s">
        <v>1279</v>
      </c>
      <c r="B96" s="20"/>
      <c r="C96" s="56"/>
      <c r="D96" s="56"/>
      <c r="E96" s="43"/>
      <c r="F96" s="43"/>
      <c r="G96" s="43"/>
      <c r="H96" s="167"/>
      <c r="I96" s="167">
        <v>7850800</v>
      </c>
      <c r="J96" s="15">
        <f t="shared" si="6"/>
        <v>46</v>
      </c>
      <c r="K96" s="15"/>
      <c r="L96" s="15"/>
      <c r="M96" s="15"/>
      <c r="N96" s="15"/>
      <c r="O96" s="15"/>
      <c r="P96" s="15"/>
      <c r="Q96" s="15"/>
      <c r="R96" s="15"/>
      <c r="S96" s="15"/>
      <c r="T96" s="15"/>
      <c r="U96" s="15"/>
      <c r="V96" s="15"/>
      <c r="W96" s="15"/>
      <c r="X96" s="15"/>
      <c r="Y96" s="15"/>
      <c r="Z96" s="15"/>
    </row>
    <row r="97" spans="1:26" ht="15.75" customHeight="1" x14ac:dyDescent="0.25">
      <c r="A97" s="44" t="s">
        <v>1280</v>
      </c>
      <c r="B97" s="20"/>
      <c r="C97" s="56"/>
      <c r="D97" s="56"/>
      <c r="E97" s="43"/>
      <c r="F97" s="43"/>
      <c r="G97" s="43"/>
      <c r="H97" s="167"/>
      <c r="I97" s="167">
        <v>7840800</v>
      </c>
      <c r="J97" s="15">
        <f t="shared" si="6"/>
        <v>46</v>
      </c>
      <c r="K97" s="15"/>
      <c r="L97" s="15"/>
      <c r="M97" s="15"/>
      <c r="N97" s="15"/>
      <c r="O97" s="15"/>
      <c r="P97" s="15"/>
      <c r="Q97" s="15"/>
      <c r="R97" s="15"/>
      <c r="S97" s="15"/>
      <c r="T97" s="15"/>
      <c r="U97" s="15"/>
      <c r="V97" s="15"/>
      <c r="W97" s="15"/>
      <c r="X97" s="15"/>
      <c r="Y97" s="15"/>
      <c r="Z97" s="15"/>
    </row>
    <row r="98" spans="1:26" ht="15.75" customHeight="1" x14ac:dyDescent="0.25">
      <c r="A98" s="44" t="s">
        <v>1281</v>
      </c>
      <c r="B98" s="20"/>
      <c r="C98" s="56"/>
      <c r="D98" s="56"/>
      <c r="E98" s="43"/>
      <c r="F98" s="43"/>
      <c r="G98" s="43"/>
      <c r="H98" s="167"/>
      <c r="I98" s="167">
        <v>7829760</v>
      </c>
      <c r="J98" s="15">
        <f t="shared" si="6"/>
        <v>46</v>
      </c>
      <c r="K98" s="15"/>
      <c r="L98" s="15"/>
      <c r="M98" s="15"/>
      <c r="N98" s="15"/>
      <c r="O98" s="15"/>
      <c r="P98" s="15"/>
      <c r="Q98" s="15"/>
      <c r="R98" s="15"/>
      <c r="S98" s="15"/>
      <c r="T98" s="15"/>
      <c r="U98" s="15"/>
      <c r="V98" s="15"/>
      <c r="W98" s="15"/>
      <c r="X98" s="15"/>
      <c r="Y98" s="15"/>
      <c r="Z98" s="15"/>
    </row>
    <row r="99" spans="1:26" ht="15.75" customHeight="1" x14ac:dyDescent="0.25">
      <c r="A99" s="44" t="s">
        <v>1282</v>
      </c>
      <c r="B99" s="20"/>
      <c r="C99" s="56"/>
      <c r="D99" s="56"/>
      <c r="E99" s="43"/>
      <c r="F99" s="43"/>
      <c r="G99" s="43"/>
      <c r="H99" s="167"/>
      <c r="I99" s="167">
        <v>7862800</v>
      </c>
      <c r="J99" s="15">
        <f t="shared" si="6"/>
        <v>46</v>
      </c>
      <c r="K99" s="15"/>
      <c r="L99" s="15"/>
      <c r="M99" s="15"/>
      <c r="N99" s="15"/>
      <c r="O99" s="15"/>
      <c r="P99" s="15"/>
      <c r="Q99" s="15"/>
      <c r="R99" s="15"/>
      <c r="S99" s="15"/>
      <c r="T99" s="15"/>
      <c r="U99" s="15"/>
      <c r="V99" s="15"/>
      <c r="W99" s="15"/>
      <c r="X99" s="15"/>
      <c r="Y99" s="15"/>
      <c r="Z99" s="15"/>
    </row>
    <row r="100" spans="1:26" ht="15.75" customHeight="1" x14ac:dyDescent="0.25">
      <c r="A100" s="44" t="s">
        <v>1283</v>
      </c>
      <c r="B100" s="20"/>
      <c r="C100" s="56"/>
      <c r="D100" s="56"/>
      <c r="E100" s="43"/>
      <c r="F100" s="43"/>
      <c r="G100" s="43"/>
      <c r="H100" s="167"/>
      <c r="I100" s="167">
        <v>7770800</v>
      </c>
      <c r="J100" s="15">
        <f t="shared" si="6"/>
        <v>46</v>
      </c>
      <c r="K100" s="15"/>
      <c r="L100" s="15"/>
      <c r="M100" s="15"/>
      <c r="N100" s="15"/>
      <c r="O100" s="15"/>
      <c r="P100" s="15"/>
      <c r="Q100" s="15"/>
      <c r="R100" s="15"/>
      <c r="S100" s="15"/>
      <c r="T100" s="15"/>
      <c r="U100" s="15"/>
      <c r="V100" s="15"/>
      <c r="W100" s="15"/>
      <c r="X100" s="15"/>
      <c r="Y100" s="15"/>
      <c r="Z100" s="15"/>
    </row>
    <row r="101" spans="1:26" ht="15.75" customHeight="1" x14ac:dyDescent="0.25">
      <c r="A101" s="44" t="s">
        <v>1284</v>
      </c>
      <c r="B101" s="20"/>
      <c r="C101" s="56"/>
      <c r="D101" s="56"/>
      <c r="E101" s="43"/>
      <c r="F101" s="43"/>
      <c r="G101" s="43"/>
      <c r="H101" s="167"/>
      <c r="I101" s="167">
        <v>4143000</v>
      </c>
      <c r="J101" s="15">
        <f t="shared" si="6"/>
        <v>24</v>
      </c>
      <c r="K101" s="15"/>
      <c r="L101" s="15"/>
      <c r="M101" s="15"/>
      <c r="N101" s="15"/>
      <c r="O101" s="15"/>
      <c r="P101" s="15"/>
      <c r="Q101" s="15"/>
      <c r="R101" s="15"/>
      <c r="S101" s="15"/>
      <c r="T101" s="15"/>
      <c r="U101" s="15"/>
      <c r="V101" s="15"/>
      <c r="W101" s="15"/>
      <c r="X101" s="15"/>
      <c r="Y101" s="15"/>
      <c r="Z101" s="15"/>
    </row>
    <row r="102" spans="1:26" ht="15.75" customHeight="1" x14ac:dyDescent="0.25">
      <c r="A102" s="44" t="s">
        <v>1285</v>
      </c>
      <c r="B102" s="20"/>
      <c r="C102" s="56"/>
      <c r="D102" s="56"/>
      <c r="E102" s="43"/>
      <c r="F102" s="43"/>
      <c r="G102" s="43"/>
      <c r="H102" s="167"/>
      <c r="I102" s="167">
        <v>4163800</v>
      </c>
      <c r="J102" s="15">
        <f t="shared" si="6"/>
        <v>24</v>
      </c>
      <c r="K102" s="15"/>
      <c r="L102" s="15"/>
      <c r="M102" s="15"/>
      <c r="N102" s="15"/>
      <c r="O102" s="15"/>
      <c r="P102" s="15"/>
      <c r="Q102" s="15"/>
      <c r="R102" s="15"/>
      <c r="S102" s="15"/>
      <c r="T102" s="15"/>
      <c r="U102" s="15"/>
      <c r="V102" s="15"/>
      <c r="W102" s="15"/>
      <c r="X102" s="15"/>
      <c r="Y102" s="15"/>
      <c r="Z102" s="15"/>
    </row>
    <row r="103" spans="1:26" ht="15.75" customHeight="1" x14ac:dyDescent="0.25">
      <c r="A103" s="44" t="s">
        <v>1286</v>
      </c>
      <c r="B103" s="20"/>
      <c r="C103" s="56"/>
      <c r="D103" s="56"/>
      <c r="E103" s="43"/>
      <c r="F103" s="43"/>
      <c r="G103" s="43"/>
      <c r="H103" s="167"/>
      <c r="I103" s="167">
        <v>3193450</v>
      </c>
      <c r="J103" s="15">
        <f t="shared" si="6"/>
        <v>18</v>
      </c>
      <c r="K103" s="15"/>
      <c r="L103" s="15"/>
      <c r="M103" s="15"/>
      <c r="N103" s="15"/>
      <c r="O103" s="15"/>
      <c r="P103" s="15"/>
      <c r="Q103" s="15"/>
      <c r="R103" s="15"/>
      <c r="S103" s="15"/>
      <c r="T103" s="15"/>
      <c r="U103" s="15"/>
      <c r="V103" s="15"/>
      <c r="W103" s="15"/>
      <c r="X103" s="15"/>
      <c r="Y103" s="15"/>
      <c r="Z103" s="15"/>
    </row>
    <row r="104" spans="1:26" ht="15.75" customHeight="1" x14ac:dyDescent="0.25">
      <c r="A104" s="42" t="s">
        <v>466</v>
      </c>
      <c r="B104" s="49"/>
      <c r="C104" s="79">
        <f>SUM(C42:C90)</f>
        <v>89713016.959999993</v>
      </c>
      <c r="D104" s="54">
        <f>SUM(D42:D90)</f>
        <v>36647463.219999999</v>
      </c>
      <c r="E104" s="54">
        <f>SUM(E42:E90)</f>
        <v>57331936.780000001</v>
      </c>
      <c r="F104" s="54">
        <f>+SUM(F42:F90)</f>
        <v>93979400</v>
      </c>
      <c r="G104" s="54">
        <f>+SUM(G42:G90)</f>
        <v>94009400</v>
      </c>
      <c r="H104" s="167"/>
      <c r="I104" s="167"/>
      <c r="J104" s="15">
        <f>SUM(J91:J103)</f>
        <v>527</v>
      </c>
      <c r="K104" s="15"/>
      <c r="L104" s="15"/>
      <c r="M104" s="15"/>
      <c r="N104" s="15"/>
      <c r="O104" s="15"/>
      <c r="P104" s="15"/>
      <c r="Q104" s="15"/>
      <c r="R104" s="15"/>
      <c r="S104" s="15"/>
      <c r="T104" s="15"/>
      <c r="U104" s="15"/>
      <c r="V104" s="15"/>
      <c r="W104" s="15"/>
      <c r="X104" s="15"/>
      <c r="Y104" s="15"/>
      <c r="Z104" s="15"/>
    </row>
    <row r="105" spans="1:26" ht="15.75" customHeight="1" x14ac:dyDescent="0.25">
      <c r="A105" s="42"/>
      <c r="B105" s="49"/>
      <c r="C105" s="39"/>
      <c r="D105" s="55"/>
      <c r="E105" s="55"/>
      <c r="F105" s="55"/>
      <c r="G105" s="55"/>
      <c r="H105" s="167"/>
      <c r="I105" s="167"/>
      <c r="J105" s="15"/>
      <c r="K105" s="15"/>
      <c r="L105" s="15"/>
      <c r="M105" s="15"/>
      <c r="N105" s="15"/>
      <c r="O105" s="15"/>
      <c r="P105" s="15"/>
      <c r="Q105" s="15"/>
      <c r="R105" s="15"/>
      <c r="S105" s="15"/>
      <c r="T105" s="15"/>
      <c r="U105" s="15"/>
      <c r="V105" s="15"/>
      <c r="W105" s="15"/>
      <c r="X105" s="15"/>
      <c r="Y105" s="15"/>
      <c r="Z105" s="15"/>
    </row>
    <row r="106" spans="1:26" ht="15.75" customHeight="1" x14ac:dyDescent="0.25">
      <c r="A106" s="17" t="s">
        <v>467</v>
      </c>
      <c r="B106" s="41"/>
      <c r="C106" s="43">
        <f>+C104+C38</f>
        <v>148939379.74000001</v>
      </c>
      <c r="D106" s="43">
        <f>+D104+D38</f>
        <v>63671053.339999996</v>
      </c>
      <c r="E106" s="43">
        <f>+E104+E38</f>
        <v>113522500.66</v>
      </c>
      <c r="F106" s="43">
        <f>+F104+F38</f>
        <v>177193554</v>
      </c>
      <c r="G106" s="43">
        <f>+G104+G38</f>
        <v>163364074</v>
      </c>
      <c r="H106" s="167"/>
      <c r="I106" s="167"/>
      <c r="J106" s="15"/>
      <c r="K106" s="15"/>
      <c r="L106" s="15"/>
      <c r="M106" s="15"/>
      <c r="N106" s="15"/>
      <c r="O106" s="15"/>
      <c r="P106" s="15"/>
      <c r="Q106" s="15"/>
      <c r="R106" s="15"/>
      <c r="S106" s="15"/>
      <c r="T106" s="15"/>
      <c r="U106" s="15"/>
      <c r="V106" s="15"/>
      <c r="W106" s="15"/>
      <c r="X106" s="15"/>
      <c r="Y106" s="15"/>
      <c r="Z106" s="15"/>
    </row>
    <row r="107" spans="1:26" ht="15.75" customHeight="1" x14ac:dyDescent="0.25">
      <c r="A107" s="42"/>
      <c r="B107" s="41"/>
      <c r="C107" s="43"/>
      <c r="D107" s="43"/>
      <c r="E107" s="43"/>
      <c r="F107" s="43"/>
      <c r="G107" s="43"/>
      <c r="H107" s="167"/>
      <c r="I107" s="167"/>
      <c r="J107" s="15"/>
      <c r="K107" s="15"/>
      <c r="L107" s="15"/>
      <c r="M107" s="15"/>
      <c r="N107" s="15"/>
      <c r="O107" s="15"/>
      <c r="P107" s="15"/>
      <c r="Q107" s="15"/>
      <c r="R107" s="15"/>
      <c r="S107" s="15"/>
      <c r="T107" s="15"/>
      <c r="U107" s="15"/>
      <c r="V107" s="15"/>
      <c r="W107" s="15"/>
      <c r="X107" s="15"/>
      <c r="Y107" s="15"/>
      <c r="Z107" s="15"/>
    </row>
    <row r="108" spans="1:26" ht="15.75" customHeight="1" x14ac:dyDescent="0.25">
      <c r="A108" s="160" t="s">
        <v>487</v>
      </c>
      <c r="B108" s="51" t="s">
        <v>488</v>
      </c>
      <c r="C108" s="53" t="e">
        <f>+C106+#REF!</f>
        <v>#REF!</v>
      </c>
      <c r="D108" s="53" t="e">
        <f>+D106+#REF!</f>
        <v>#REF!</v>
      </c>
      <c r="E108" s="53" t="e">
        <f>+E106+#REF!</f>
        <v>#REF!</v>
      </c>
      <c r="F108" s="53" t="e">
        <f>+F106+#REF!</f>
        <v>#REF!</v>
      </c>
      <c r="G108" s="53">
        <f>+G106</f>
        <v>163364074</v>
      </c>
      <c r="H108" s="167"/>
      <c r="I108" s="167"/>
      <c r="J108" s="15"/>
      <c r="K108" s="15"/>
      <c r="L108" s="15"/>
      <c r="M108" s="15"/>
      <c r="N108" s="15"/>
      <c r="O108" s="15"/>
      <c r="P108" s="15"/>
      <c r="Q108" s="15"/>
      <c r="R108" s="15"/>
      <c r="S108" s="15"/>
      <c r="T108" s="15"/>
      <c r="U108" s="15"/>
      <c r="V108" s="15"/>
      <c r="W108" s="15"/>
      <c r="X108" s="15"/>
      <c r="Y108" s="15"/>
      <c r="Z108" s="15"/>
    </row>
    <row r="109" spans="1:26" ht="15.75" customHeight="1" x14ac:dyDescent="0.25">
      <c r="A109" s="24"/>
      <c r="B109" s="25"/>
      <c r="C109" s="24"/>
      <c r="D109" s="24"/>
      <c r="E109" s="24"/>
      <c r="F109" s="24"/>
      <c r="G109" s="15"/>
      <c r="H109" s="167"/>
      <c r="I109" s="167"/>
      <c r="J109" s="15"/>
      <c r="K109" s="15"/>
      <c r="L109" s="15"/>
      <c r="M109" s="15"/>
      <c r="N109" s="15"/>
      <c r="O109" s="15"/>
      <c r="P109" s="15"/>
      <c r="Q109" s="15"/>
      <c r="R109" s="15"/>
      <c r="S109" s="15"/>
      <c r="T109" s="15"/>
      <c r="U109" s="15"/>
      <c r="V109" s="15"/>
      <c r="W109" s="15"/>
      <c r="X109" s="15"/>
      <c r="Y109" s="15"/>
      <c r="Z109" s="15"/>
    </row>
    <row r="110" spans="1:26" ht="18.75" customHeight="1" x14ac:dyDescent="0.25">
      <c r="A110" s="24"/>
      <c r="B110" s="25"/>
      <c r="C110" s="24"/>
      <c r="D110" s="24"/>
      <c r="E110" s="24"/>
      <c r="F110" s="15"/>
      <c r="G110" s="15"/>
      <c r="H110" s="167"/>
      <c r="I110" s="167"/>
      <c r="J110" s="15"/>
      <c r="K110" s="15"/>
      <c r="L110" s="15"/>
      <c r="M110" s="15"/>
      <c r="N110" s="15"/>
      <c r="O110" s="15"/>
      <c r="P110" s="15"/>
      <c r="Q110" s="15"/>
      <c r="R110" s="15"/>
      <c r="S110" s="15"/>
      <c r="T110" s="15"/>
      <c r="U110" s="15"/>
      <c r="V110" s="15"/>
      <c r="W110" s="15"/>
      <c r="X110" s="15"/>
      <c r="Y110" s="15"/>
      <c r="Z110" s="15"/>
    </row>
    <row r="111" spans="1:26" ht="18.75" customHeight="1" x14ac:dyDescent="0.25">
      <c r="A111" s="24"/>
      <c r="B111" s="15"/>
      <c r="C111" s="15"/>
      <c r="D111" s="15"/>
      <c r="E111" s="15"/>
      <c r="F111" s="15"/>
      <c r="G111" s="15"/>
      <c r="H111" s="167"/>
      <c r="I111" s="167"/>
      <c r="J111" s="15"/>
      <c r="K111" s="15"/>
      <c r="L111" s="15"/>
      <c r="M111" s="15"/>
      <c r="N111" s="15"/>
      <c r="O111" s="15"/>
      <c r="P111" s="15"/>
      <c r="Q111" s="15"/>
      <c r="R111" s="15"/>
      <c r="S111" s="15"/>
      <c r="T111" s="15"/>
      <c r="U111" s="15"/>
      <c r="V111" s="15"/>
      <c r="W111" s="15"/>
      <c r="X111" s="15"/>
      <c r="Y111" s="15"/>
      <c r="Z111" s="15"/>
    </row>
    <row r="112" spans="1:26" ht="18.75" customHeight="1" x14ac:dyDescent="0.25">
      <c r="A112" s="24"/>
      <c r="B112" s="15"/>
      <c r="C112" s="15"/>
      <c r="D112" s="15"/>
      <c r="E112" s="15"/>
      <c r="F112" s="15"/>
      <c r="G112" s="15"/>
      <c r="H112" s="167"/>
      <c r="I112" s="167"/>
      <c r="J112" s="15"/>
      <c r="K112" s="15"/>
      <c r="L112" s="15"/>
      <c r="M112" s="15"/>
      <c r="N112" s="15"/>
      <c r="O112" s="15"/>
      <c r="P112" s="15"/>
      <c r="Q112" s="15"/>
      <c r="R112" s="15"/>
      <c r="S112" s="15"/>
      <c r="T112" s="15"/>
      <c r="U112" s="15"/>
      <c r="V112" s="15"/>
      <c r="W112" s="15"/>
      <c r="X112" s="15"/>
      <c r="Y112" s="15"/>
      <c r="Z112" s="15"/>
    </row>
    <row r="113" spans="1:26" ht="18.75" customHeight="1" x14ac:dyDescent="0.25">
      <c r="A113" s="24"/>
      <c r="B113" s="15"/>
      <c r="C113" s="15"/>
      <c r="D113" s="15"/>
      <c r="E113" s="15"/>
      <c r="F113" s="15"/>
      <c r="G113" s="15"/>
      <c r="H113" s="167"/>
      <c r="I113" s="167"/>
      <c r="J113" s="15"/>
      <c r="K113" s="15"/>
      <c r="L113" s="15"/>
      <c r="M113" s="15"/>
      <c r="N113" s="15"/>
      <c r="O113" s="15"/>
      <c r="P113" s="15"/>
      <c r="Q113" s="15"/>
      <c r="R113" s="15"/>
      <c r="S113" s="15"/>
      <c r="T113" s="15"/>
      <c r="U113" s="15"/>
      <c r="V113" s="15"/>
      <c r="W113" s="15"/>
      <c r="X113" s="15"/>
      <c r="Y113" s="15"/>
      <c r="Z113" s="15"/>
    </row>
    <row r="114" spans="1:26" ht="18.75" customHeight="1" x14ac:dyDescent="0.25">
      <c r="A114" s="17"/>
      <c r="B114" s="25"/>
      <c r="C114" s="24"/>
      <c r="D114" s="24"/>
      <c r="E114" s="24"/>
      <c r="F114" s="15"/>
      <c r="G114" s="15"/>
      <c r="H114" s="167"/>
      <c r="I114" s="167"/>
      <c r="J114" s="15"/>
      <c r="K114" s="15"/>
      <c r="L114" s="15"/>
      <c r="M114" s="15"/>
      <c r="N114" s="15"/>
      <c r="O114" s="15"/>
      <c r="P114" s="15"/>
      <c r="Q114" s="15"/>
      <c r="R114" s="15"/>
      <c r="S114" s="15"/>
      <c r="T114" s="15"/>
      <c r="U114" s="15"/>
      <c r="V114" s="15"/>
      <c r="W114" s="15"/>
      <c r="X114" s="15"/>
      <c r="Y114" s="15"/>
      <c r="Z114" s="15"/>
    </row>
    <row r="115" spans="1:26" ht="18.75" customHeight="1" x14ac:dyDescent="0.25">
      <c r="A115" s="17"/>
      <c r="B115" s="25"/>
      <c r="C115" s="24"/>
      <c r="D115" s="24"/>
      <c r="E115" s="24"/>
      <c r="F115" s="15"/>
      <c r="G115" s="15"/>
      <c r="H115" s="167"/>
      <c r="I115" s="167"/>
      <c r="J115" s="15"/>
      <c r="K115" s="15"/>
      <c r="L115" s="15"/>
      <c r="M115" s="15"/>
      <c r="N115" s="15"/>
      <c r="O115" s="15"/>
      <c r="P115" s="15"/>
      <c r="Q115" s="15"/>
      <c r="R115" s="15"/>
      <c r="S115" s="15"/>
      <c r="T115" s="15"/>
      <c r="U115" s="15"/>
      <c r="V115" s="15"/>
      <c r="W115" s="15"/>
      <c r="X115" s="15"/>
      <c r="Y115" s="15"/>
      <c r="Z115" s="15"/>
    </row>
    <row r="116" spans="1:26" ht="18.75" customHeight="1" x14ac:dyDescent="0.25">
      <c r="A116" s="17"/>
      <c r="B116" s="25"/>
      <c r="C116" s="24"/>
      <c r="D116" s="24"/>
      <c r="E116" s="24"/>
      <c r="F116" s="15"/>
      <c r="G116" s="15"/>
      <c r="H116" s="167"/>
      <c r="I116" s="167"/>
      <c r="J116" s="15"/>
      <c r="K116" s="15"/>
      <c r="L116" s="15"/>
      <c r="M116" s="15"/>
      <c r="N116" s="15"/>
      <c r="O116" s="15"/>
      <c r="P116" s="15"/>
      <c r="Q116" s="15"/>
      <c r="R116" s="15"/>
      <c r="S116" s="15"/>
      <c r="T116" s="15"/>
      <c r="U116" s="15"/>
      <c r="V116" s="15"/>
      <c r="W116" s="15"/>
      <c r="X116" s="15"/>
      <c r="Y116" s="15"/>
      <c r="Z116" s="15"/>
    </row>
    <row r="117" spans="1:26" ht="18.75" customHeight="1" x14ac:dyDescent="0.25">
      <c r="A117" s="17"/>
      <c r="B117" s="25"/>
      <c r="C117" s="24"/>
      <c r="D117" s="24"/>
      <c r="E117" s="24"/>
      <c r="F117" s="15"/>
      <c r="G117" s="15"/>
      <c r="H117" s="167"/>
      <c r="I117" s="167"/>
      <c r="J117" s="15"/>
      <c r="K117" s="15"/>
      <c r="L117" s="15"/>
      <c r="M117" s="15"/>
      <c r="N117" s="15"/>
      <c r="O117" s="15"/>
      <c r="P117" s="15"/>
      <c r="Q117" s="15"/>
      <c r="R117" s="15"/>
      <c r="S117" s="15"/>
      <c r="T117" s="15"/>
      <c r="U117" s="15"/>
      <c r="V117" s="15"/>
      <c r="W117" s="15"/>
      <c r="X117" s="15"/>
      <c r="Y117" s="15"/>
      <c r="Z117" s="15"/>
    </row>
    <row r="118" spans="1:26" ht="18.75" customHeight="1" x14ac:dyDescent="0.25">
      <c r="A118" s="17"/>
      <c r="B118" s="25"/>
      <c r="C118" s="24"/>
      <c r="D118" s="24"/>
      <c r="E118" s="24"/>
      <c r="F118" s="15"/>
      <c r="G118" s="15"/>
      <c r="H118" s="167"/>
      <c r="I118" s="167"/>
      <c r="J118" s="15"/>
      <c r="K118" s="15"/>
      <c r="L118" s="15"/>
      <c r="M118" s="15"/>
      <c r="N118" s="15"/>
      <c r="O118" s="15"/>
      <c r="P118" s="15"/>
      <c r="Q118" s="15"/>
      <c r="R118" s="15"/>
      <c r="S118" s="15"/>
      <c r="T118" s="15"/>
      <c r="U118" s="15"/>
      <c r="V118" s="15"/>
      <c r="W118" s="15"/>
      <c r="X118" s="15"/>
      <c r="Y118" s="15"/>
      <c r="Z118" s="15"/>
    </row>
    <row r="119" spans="1:26" ht="18.75" customHeight="1" x14ac:dyDescent="0.25">
      <c r="A119" s="17"/>
      <c r="B119" s="25"/>
      <c r="C119" s="24"/>
      <c r="D119" s="24"/>
      <c r="E119" s="24"/>
      <c r="F119" s="15"/>
      <c r="G119" s="15"/>
      <c r="H119" s="167"/>
      <c r="I119" s="167"/>
      <c r="J119" s="15"/>
      <c r="K119" s="15"/>
      <c r="L119" s="15"/>
      <c r="M119" s="15"/>
      <c r="N119" s="15"/>
      <c r="O119" s="15"/>
      <c r="P119" s="15"/>
      <c r="Q119" s="15"/>
      <c r="R119" s="15"/>
      <c r="S119" s="15"/>
      <c r="T119" s="15"/>
      <c r="U119" s="15"/>
      <c r="V119" s="15"/>
      <c r="W119" s="15"/>
      <c r="X119" s="15"/>
      <c r="Y119" s="15"/>
      <c r="Z119" s="15"/>
    </row>
    <row r="120" spans="1:26" ht="18.75" customHeight="1" x14ac:dyDescent="0.25">
      <c r="A120" s="17"/>
      <c r="B120" s="25"/>
      <c r="C120" s="24"/>
      <c r="D120" s="24"/>
      <c r="E120" s="24"/>
      <c r="F120" s="15"/>
      <c r="G120" s="15"/>
      <c r="H120" s="167"/>
      <c r="I120" s="167"/>
      <c r="J120" s="15"/>
      <c r="K120" s="15"/>
      <c r="L120" s="15"/>
      <c r="M120" s="15"/>
      <c r="N120" s="15"/>
      <c r="O120" s="15"/>
      <c r="P120" s="15"/>
      <c r="Q120" s="15"/>
      <c r="R120" s="15"/>
      <c r="S120" s="15"/>
      <c r="T120" s="15"/>
      <c r="U120" s="15"/>
      <c r="V120" s="15"/>
      <c r="W120" s="15"/>
      <c r="X120" s="15"/>
      <c r="Y120" s="15"/>
      <c r="Z120" s="15"/>
    </row>
    <row r="121" spans="1:26" ht="18.75" customHeight="1" x14ac:dyDescent="0.25">
      <c r="A121" s="17"/>
      <c r="B121" s="25"/>
      <c r="C121" s="24"/>
      <c r="D121" s="24"/>
      <c r="E121" s="24"/>
      <c r="F121" s="15"/>
      <c r="G121" s="15"/>
      <c r="H121" s="167"/>
      <c r="I121" s="167"/>
      <c r="J121" s="15"/>
      <c r="K121" s="15"/>
      <c r="L121" s="15"/>
      <c r="M121" s="15"/>
      <c r="N121" s="15"/>
      <c r="O121" s="15"/>
      <c r="P121" s="15"/>
      <c r="Q121" s="15"/>
      <c r="R121" s="15"/>
      <c r="S121" s="15"/>
      <c r="T121" s="15"/>
      <c r="U121" s="15"/>
      <c r="V121" s="15"/>
      <c r="W121" s="15"/>
      <c r="X121" s="15"/>
      <c r="Y121" s="15"/>
      <c r="Z121" s="15"/>
    </row>
    <row r="122" spans="1:26" ht="18.75" customHeight="1" x14ac:dyDescent="0.25">
      <c r="A122" s="17"/>
      <c r="B122" s="25"/>
      <c r="C122" s="24"/>
      <c r="D122" s="24"/>
      <c r="E122" s="24"/>
      <c r="F122" s="15"/>
      <c r="G122" s="15"/>
      <c r="H122" s="167"/>
      <c r="I122" s="167"/>
      <c r="J122" s="15"/>
      <c r="K122" s="15"/>
      <c r="L122" s="15"/>
      <c r="M122" s="15"/>
      <c r="N122" s="15"/>
      <c r="O122" s="15"/>
      <c r="P122" s="15"/>
      <c r="Q122" s="15"/>
      <c r="R122" s="15"/>
      <c r="S122" s="15"/>
      <c r="T122" s="15"/>
      <c r="U122" s="15"/>
      <c r="V122" s="15"/>
      <c r="W122" s="15"/>
      <c r="X122" s="15"/>
      <c r="Y122" s="15"/>
      <c r="Z122" s="15"/>
    </row>
    <row r="123" spans="1:26" ht="18.75" customHeight="1" x14ac:dyDescent="0.25">
      <c r="A123" s="17"/>
      <c r="B123" s="25"/>
      <c r="C123" s="24"/>
      <c r="D123" s="24"/>
      <c r="E123" s="24"/>
      <c r="F123" s="15"/>
      <c r="G123" s="15"/>
      <c r="H123" s="167"/>
      <c r="I123" s="167"/>
      <c r="J123" s="15"/>
      <c r="K123" s="15"/>
      <c r="L123" s="15"/>
      <c r="M123" s="15"/>
      <c r="N123" s="15"/>
      <c r="O123" s="15"/>
      <c r="P123" s="15"/>
      <c r="Q123" s="15"/>
      <c r="R123" s="15"/>
      <c r="S123" s="15"/>
      <c r="T123" s="15"/>
      <c r="U123" s="15"/>
      <c r="V123" s="15"/>
      <c r="W123" s="15"/>
      <c r="X123" s="15"/>
      <c r="Y123" s="15"/>
      <c r="Z123" s="15"/>
    </row>
    <row r="124" spans="1:26" ht="18.75" customHeight="1" x14ac:dyDescent="0.25">
      <c r="A124" s="17"/>
      <c r="B124" s="25"/>
      <c r="C124" s="24"/>
      <c r="D124" s="24"/>
      <c r="E124" s="24"/>
      <c r="F124" s="15"/>
      <c r="G124" s="15"/>
      <c r="H124" s="167"/>
      <c r="I124" s="167"/>
      <c r="J124" s="15"/>
      <c r="K124" s="15"/>
      <c r="L124" s="15"/>
      <c r="M124" s="15"/>
      <c r="N124" s="15"/>
      <c r="O124" s="15"/>
      <c r="P124" s="15"/>
      <c r="Q124" s="15"/>
      <c r="R124" s="15"/>
      <c r="S124" s="15"/>
      <c r="T124" s="15"/>
      <c r="U124" s="15"/>
      <c r="V124" s="15"/>
      <c r="W124" s="15"/>
      <c r="X124" s="15"/>
      <c r="Y124" s="15"/>
      <c r="Z124" s="15"/>
    </row>
    <row r="125" spans="1:26" ht="18.75" customHeight="1" x14ac:dyDescent="0.25">
      <c r="A125" s="17"/>
      <c r="B125" s="25"/>
      <c r="C125" s="24"/>
      <c r="D125" s="24"/>
      <c r="E125" s="24"/>
      <c r="F125" s="15"/>
      <c r="G125" s="15"/>
      <c r="H125" s="167"/>
      <c r="I125" s="167"/>
      <c r="J125" s="15"/>
      <c r="K125" s="15"/>
      <c r="L125" s="15"/>
      <c r="M125" s="15"/>
      <c r="N125" s="15"/>
      <c r="O125" s="15"/>
      <c r="P125" s="15"/>
      <c r="Q125" s="15"/>
      <c r="R125" s="15"/>
      <c r="S125" s="15"/>
      <c r="T125" s="15"/>
      <c r="U125" s="15"/>
      <c r="V125" s="15"/>
      <c r="W125" s="15"/>
      <c r="X125" s="15"/>
      <c r="Y125" s="15"/>
      <c r="Z125" s="15"/>
    </row>
    <row r="126" spans="1:26" ht="18.75" customHeight="1" x14ac:dyDescent="0.25">
      <c r="A126" s="17"/>
      <c r="B126" s="25"/>
      <c r="C126" s="24"/>
      <c r="D126" s="24"/>
      <c r="E126" s="24"/>
      <c r="F126" s="15"/>
      <c r="G126" s="15"/>
      <c r="H126" s="167"/>
      <c r="I126" s="167"/>
      <c r="J126" s="15"/>
      <c r="K126" s="15"/>
      <c r="L126" s="15"/>
      <c r="M126" s="15"/>
      <c r="N126" s="15"/>
      <c r="O126" s="15"/>
      <c r="P126" s="15"/>
      <c r="Q126" s="15"/>
      <c r="R126" s="15"/>
      <c r="S126" s="15"/>
      <c r="T126" s="15"/>
      <c r="U126" s="15"/>
      <c r="V126" s="15"/>
      <c r="W126" s="15"/>
      <c r="X126" s="15"/>
      <c r="Y126" s="15"/>
      <c r="Z126" s="15"/>
    </row>
    <row r="127" spans="1:26" ht="18.75" customHeight="1" x14ac:dyDescent="0.25">
      <c r="A127" s="17"/>
      <c r="B127" s="25"/>
      <c r="C127" s="24"/>
      <c r="D127" s="24"/>
      <c r="E127" s="24"/>
      <c r="F127" s="15"/>
      <c r="G127" s="15"/>
      <c r="H127" s="167"/>
      <c r="I127" s="167"/>
      <c r="J127" s="15"/>
      <c r="K127" s="15"/>
      <c r="L127" s="15"/>
      <c r="M127" s="15"/>
      <c r="N127" s="15"/>
      <c r="O127" s="15"/>
      <c r="P127" s="15"/>
      <c r="Q127" s="15"/>
      <c r="R127" s="15"/>
      <c r="S127" s="15"/>
      <c r="T127" s="15"/>
      <c r="U127" s="15"/>
      <c r="V127" s="15"/>
      <c r="W127" s="15"/>
      <c r="X127" s="15"/>
      <c r="Y127" s="15"/>
      <c r="Z127" s="15"/>
    </row>
    <row r="128" spans="1:26" ht="18.75" customHeight="1" x14ac:dyDescent="0.25">
      <c r="A128" s="17"/>
      <c r="B128" s="25"/>
      <c r="C128" s="24"/>
      <c r="D128" s="24"/>
      <c r="E128" s="24"/>
      <c r="F128" s="15"/>
      <c r="G128" s="15"/>
      <c r="H128" s="167"/>
      <c r="I128" s="167"/>
      <c r="J128" s="15"/>
      <c r="K128" s="15"/>
      <c r="L128" s="15"/>
      <c r="M128" s="15"/>
      <c r="N128" s="15"/>
      <c r="O128" s="15"/>
      <c r="P128" s="15"/>
      <c r="Q128" s="15"/>
      <c r="R128" s="15"/>
      <c r="S128" s="15"/>
      <c r="T128" s="15"/>
      <c r="U128" s="15"/>
      <c r="V128" s="15"/>
      <c r="W128" s="15"/>
      <c r="X128" s="15"/>
      <c r="Y128" s="15"/>
      <c r="Z128" s="15"/>
    </row>
    <row r="129" spans="1:26" ht="18.75" customHeight="1" x14ac:dyDescent="0.25">
      <c r="A129" s="17"/>
      <c r="B129" s="25"/>
      <c r="C129" s="24"/>
      <c r="D129" s="24"/>
      <c r="E129" s="24"/>
      <c r="F129" s="15"/>
      <c r="G129" s="15"/>
      <c r="H129" s="167"/>
      <c r="I129" s="167"/>
      <c r="J129" s="15"/>
      <c r="K129" s="15"/>
      <c r="L129" s="15"/>
      <c r="M129" s="15"/>
      <c r="N129" s="15"/>
      <c r="O129" s="15"/>
      <c r="P129" s="15"/>
      <c r="Q129" s="15"/>
      <c r="R129" s="15"/>
      <c r="S129" s="15"/>
      <c r="T129" s="15"/>
      <c r="U129" s="15"/>
      <c r="V129" s="15"/>
      <c r="W129" s="15"/>
      <c r="X129" s="15"/>
      <c r="Y129" s="15"/>
      <c r="Z129" s="15"/>
    </row>
    <row r="130" spans="1:26" ht="18.75" customHeight="1" x14ac:dyDescent="0.25">
      <c r="A130" s="17"/>
      <c r="B130" s="25"/>
      <c r="C130" s="24"/>
      <c r="D130" s="24"/>
      <c r="E130" s="24"/>
      <c r="F130" s="15"/>
      <c r="G130" s="15"/>
      <c r="H130" s="167"/>
      <c r="I130" s="167"/>
      <c r="J130" s="15"/>
      <c r="K130" s="15"/>
      <c r="L130" s="15"/>
      <c r="M130" s="15"/>
      <c r="N130" s="15"/>
      <c r="O130" s="15"/>
      <c r="P130" s="15"/>
      <c r="Q130" s="15"/>
      <c r="R130" s="15"/>
      <c r="S130" s="15"/>
      <c r="T130" s="15"/>
      <c r="U130" s="15"/>
      <c r="V130" s="15"/>
      <c r="W130" s="15"/>
      <c r="X130" s="15"/>
      <c r="Y130" s="15"/>
      <c r="Z130" s="15"/>
    </row>
    <row r="131" spans="1:26" ht="18.75" customHeight="1" x14ac:dyDescent="0.25">
      <c r="A131" s="17"/>
      <c r="B131" s="25"/>
      <c r="C131" s="24"/>
      <c r="D131" s="24"/>
      <c r="E131" s="24"/>
      <c r="F131" s="15"/>
      <c r="G131" s="15"/>
      <c r="H131" s="167"/>
      <c r="I131" s="167"/>
      <c r="J131" s="15"/>
      <c r="K131" s="15"/>
      <c r="L131" s="15"/>
      <c r="M131" s="15"/>
      <c r="N131" s="15"/>
      <c r="O131" s="15"/>
      <c r="P131" s="15"/>
      <c r="Q131" s="15"/>
      <c r="R131" s="15"/>
      <c r="S131" s="15"/>
      <c r="T131" s="15"/>
      <c r="U131" s="15"/>
      <c r="V131" s="15"/>
      <c r="W131" s="15"/>
      <c r="X131" s="15"/>
      <c r="Y131" s="15"/>
      <c r="Z131" s="15"/>
    </row>
    <row r="132" spans="1:26" ht="18.75" customHeight="1" x14ac:dyDescent="0.25">
      <c r="A132" s="17"/>
      <c r="B132" s="25"/>
      <c r="C132" s="24"/>
      <c r="D132" s="24"/>
      <c r="E132" s="24"/>
      <c r="F132" s="15"/>
      <c r="G132" s="15"/>
      <c r="H132" s="167"/>
      <c r="I132" s="167"/>
      <c r="J132" s="15"/>
      <c r="K132" s="15"/>
      <c r="L132" s="15"/>
      <c r="M132" s="15"/>
      <c r="N132" s="15"/>
      <c r="O132" s="15"/>
      <c r="P132" s="15"/>
      <c r="Q132" s="15"/>
      <c r="R132" s="15"/>
      <c r="S132" s="15"/>
      <c r="T132" s="15"/>
      <c r="U132" s="15"/>
      <c r="V132" s="15"/>
      <c r="W132" s="15"/>
      <c r="X132" s="15"/>
      <c r="Y132" s="15"/>
      <c r="Z132" s="15"/>
    </row>
    <row r="133" spans="1:26" ht="18.75" customHeight="1" x14ac:dyDescent="0.25">
      <c r="A133" s="17"/>
      <c r="B133" s="25"/>
      <c r="C133" s="24"/>
      <c r="D133" s="24"/>
      <c r="E133" s="24"/>
      <c r="F133" s="15"/>
      <c r="G133" s="15"/>
      <c r="H133" s="167"/>
      <c r="I133" s="167"/>
      <c r="J133" s="15"/>
      <c r="K133" s="15"/>
      <c r="L133" s="15"/>
      <c r="M133" s="15"/>
      <c r="N133" s="15"/>
      <c r="O133" s="15"/>
      <c r="P133" s="15"/>
      <c r="Q133" s="15"/>
      <c r="R133" s="15"/>
      <c r="S133" s="15"/>
      <c r="T133" s="15"/>
      <c r="U133" s="15"/>
      <c r="V133" s="15"/>
      <c r="W133" s="15"/>
      <c r="X133" s="15"/>
      <c r="Y133" s="15"/>
      <c r="Z133" s="15"/>
    </row>
    <row r="134" spans="1:26" ht="18.75" customHeight="1" x14ac:dyDescent="0.25">
      <c r="A134" s="17"/>
      <c r="B134" s="25"/>
      <c r="C134" s="24"/>
      <c r="D134" s="24"/>
      <c r="E134" s="24"/>
      <c r="F134" s="15"/>
      <c r="G134" s="15"/>
      <c r="H134" s="167"/>
      <c r="I134" s="167"/>
      <c r="J134" s="15"/>
      <c r="K134" s="15"/>
      <c r="L134" s="15"/>
      <c r="M134" s="15"/>
      <c r="N134" s="15"/>
      <c r="O134" s="15"/>
      <c r="P134" s="15"/>
      <c r="Q134" s="15"/>
      <c r="R134" s="15"/>
      <c r="S134" s="15"/>
      <c r="T134" s="15"/>
      <c r="U134" s="15"/>
      <c r="V134" s="15"/>
      <c r="W134" s="15"/>
      <c r="X134" s="15"/>
      <c r="Y134" s="15"/>
      <c r="Z134" s="15"/>
    </row>
    <row r="135" spans="1:26" ht="18.75" customHeight="1" x14ac:dyDescent="0.25">
      <c r="A135" s="17"/>
      <c r="B135" s="25"/>
      <c r="C135" s="24"/>
      <c r="D135" s="24"/>
      <c r="E135" s="24"/>
      <c r="F135" s="15"/>
      <c r="G135" s="15"/>
      <c r="H135" s="167"/>
      <c r="I135" s="167"/>
      <c r="J135" s="15"/>
      <c r="K135" s="15"/>
      <c r="L135" s="15"/>
      <c r="M135" s="15"/>
      <c r="N135" s="15"/>
      <c r="O135" s="15"/>
      <c r="P135" s="15"/>
      <c r="Q135" s="15"/>
      <c r="R135" s="15"/>
      <c r="S135" s="15"/>
      <c r="T135" s="15"/>
      <c r="U135" s="15"/>
      <c r="V135" s="15"/>
      <c r="W135" s="15"/>
      <c r="X135" s="15"/>
      <c r="Y135" s="15"/>
      <c r="Z135" s="15"/>
    </row>
    <row r="136" spans="1:26" ht="18.75" customHeight="1" x14ac:dyDescent="0.25">
      <c r="A136" s="17"/>
      <c r="B136" s="25"/>
      <c r="C136" s="24"/>
      <c r="D136" s="24"/>
      <c r="E136" s="24"/>
      <c r="F136" s="15"/>
      <c r="G136" s="15"/>
      <c r="H136" s="167"/>
      <c r="I136" s="167"/>
      <c r="J136" s="15"/>
      <c r="K136" s="15"/>
      <c r="L136" s="15"/>
      <c r="M136" s="15"/>
      <c r="N136" s="15"/>
      <c r="O136" s="15"/>
      <c r="P136" s="15"/>
      <c r="Q136" s="15"/>
      <c r="R136" s="15"/>
      <c r="S136" s="15"/>
      <c r="T136" s="15"/>
      <c r="U136" s="15"/>
      <c r="V136" s="15"/>
      <c r="W136" s="15"/>
      <c r="X136" s="15"/>
      <c r="Y136" s="15"/>
      <c r="Z136" s="15"/>
    </row>
    <row r="137" spans="1:26" ht="18.75" customHeight="1" x14ac:dyDescent="0.25">
      <c r="A137" s="17"/>
      <c r="B137" s="25"/>
      <c r="C137" s="24"/>
      <c r="D137" s="24"/>
      <c r="E137" s="24"/>
      <c r="F137" s="15"/>
      <c r="G137" s="15"/>
      <c r="H137" s="167"/>
      <c r="I137" s="167"/>
      <c r="J137" s="15"/>
      <c r="K137" s="15"/>
      <c r="L137" s="15"/>
      <c r="M137" s="15"/>
      <c r="N137" s="15"/>
      <c r="O137" s="15"/>
      <c r="P137" s="15"/>
      <c r="Q137" s="15"/>
      <c r="R137" s="15"/>
      <c r="S137" s="15"/>
      <c r="T137" s="15"/>
      <c r="U137" s="15"/>
      <c r="V137" s="15"/>
      <c r="W137" s="15"/>
      <c r="X137" s="15"/>
      <c r="Y137" s="15"/>
      <c r="Z137" s="15"/>
    </row>
    <row r="138" spans="1:26" ht="18.75" customHeight="1" x14ac:dyDescent="0.25">
      <c r="A138" s="17"/>
      <c r="B138" s="25"/>
      <c r="C138" s="24"/>
      <c r="D138" s="24"/>
      <c r="E138" s="24"/>
      <c r="F138" s="15"/>
      <c r="G138" s="15"/>
      <c r="H138" s="167"/>
      <c r="I138" s="167"/>
      <c r="J138" s="15"/>
      <c r="K138" s="15"/>
      <c r="L138" s="15"/>
      <c r="M138" s="15"/>
      <c r="N138" s="15"/>
      <c r="O138" s="15"/>
      <c r="P138" s="15"/>
      <c r="Q138" s="15"/>
      <c r="R138" s="15"/>
      <c r="S138" s="15"/>
      <c r="T138" s="15"/>
      <c r="U138" s="15"/>
      <c r="V138" s="15"/>
      <c r="W138" s="15"/>
      <c r="X138" s="15"/>
      <c r="Y138" s="15"/>
      <c r="Z138" s="15"/>
    </row>
    <row r="139" spans="1:26" ht="18.75" customHeight="1" x14ac:dyDescent="0.25">
      <c r="A139" s="17"/>
      <c r="B139" s="25"/>
      <c r="C139" s="24"/>
      <c r="D139" s="24"/>
      <c r="E139" s="24"/>
      <c r="F139" s="15"/>
      <c r="G139" s="15"/>
      <c r="H139" s="167"/>
      <c r="I139" s="167"/>
      <c r="J139" s="15"/>
      <c r="K139" s="15"/>
      <c r="L139" s="15"/>
      <c r="M139" s="15"/>
      <c r="N139" s="15"/>
      <c r="O139" s="15"/>
      <c r="P139" s="15"/>
      <c r="Q139" s="15"/>
      <c r="R139" s="15"/>
      <c r="S139" s="15"/>
      <c r="T139" s="15"/>
      <c r="U139" s="15"/>
      <c r="V139" s="15"/>
      <c r="W139" s="15"/>
      <c r="X139" s="15"/>
      <c r="Y139" s="15"/>
      <c r="Z139" s="15"/>
    </row>
    <row r="140" spans="1:26" ht="18.75" customHeight="1" x14ac:dyDescent="0.25">
      <c r="A140" s="17"/>
      <c r="B140" s="25"/>
      <c r="C140" s="24"/>
      <c r="D140" s="24"/>
      <c r="E140" s="24"/>
      <c r="F140" s="15"/>
      <c r="G140" s="15"/>
      <c r="H140" s="167"/>
      <c r="I140" s="167"/>
      <c r="J140" s="15"/>
      <c r="K140" s="15"/>
      <c r="L140" s="15"/>
      <c r="M140" s="15"/>
      <c r="N140" s="15"/>
      <c r="O140" s="15"/>
      <c r="P140" s="15"/>
      <c r="Q140" s="15"/>
      <c r="R140" s="15"/>
      <c r="S140" s="15"/>
      <c r="T140" s="15"/>
      <c r="U140" s="15"/>
      <c r="V140" s="15"/>
      <c r="W140" s="15"/>
      <c r="X140" s="15"/>
      <c r="Y140" s="15"/>
      <c r="Z140" s="15"/>
    </row>
    <row r="141" spans="1:26" ht="18.75" customHeight="1" x14ac:dyDescent="0.25">
      <c r="A141" s="17"/>
      <c r="B141" s="25"/>
      <c r="C141" s="24"/>
      <c r="D141" s="24"/>
      <c r="E141" s="24"/>
      <c r="F141" s="15"/>
      <c r="G141" s="15"/>
      <c r="H141" s="167"/>
      <c r="I141" s="167"/>
      <c r="J141" s="15"/>
      <c r="K141" s="15"/>
      <c r="L141" s="15"/>
      <c r="M141" s="15"/>
      <c r="N141" s="15"/>
      <c r="O141" s="15"/>
      <c r="P141" s="15"/>
      <c r="Q141" s="15"/>
      <c r="R141" s="15"/>
      <c r="S141" s="15"/>
      <c r="T141" s="15"/>
      <c r="U141" s="15"/>
      <c r="V141" s="15"/>
      <c r="W141" s="15"/>
      <c r="X141" s="15"/>
      <c r="Y141" s="15"/>
      <c r="Z141" s="15"/>
    </row>
    <row r="142" spans="1:26" ht="18.75" customHeight="1" x14ac:dyDescent="0.25">
      <c r="A142" s="17"/>
      <c r="B142" s="25"/>
      <c r="C142" s="24"/>
      <c r="D142" s="24"/>
      <c r="E142" s="24"/>
      <c r="F142" s="15"/>
      <c r="G142" s="15"/>
      <c r="H142" s="167"/>
      <c r="I142" s="167"/>
      <c r="J142" s="15"/>
      <c r="K142" s="15"/>
      <c r="L142" s="15"/>
      <c r="M142" s="15"/>
      <c r="N142" s="15"/>
      <c r="O142" s="15"/>
      <c r="P142" s="15"/>
      <c r="Q142" s="15"/>
      <c r="R142" s="15"/>
      <c r="S142" s="15"/>
      <c r="T142" s="15"/>
      <c r="U142" s="15"/>
      <c r="V142" s="15"/>
      <c r="W142" s="15"/>
      <c r="X142" s="15"/>
      <c r="Y142" s="15"/>
      <c r="Z142" s="15"/>
    </row>
    <row r="143" spans="1:26" ht="18.75" customHeight="1" x14ac:dyDescent="0.25">
      <c r="A143" s="17"/>
      <c r="B143" s="25"/>
      <c r="C143" s="24"/>
      <c r="D143" s="24"/>
      <c r="E143" s="24"/>
      <c r="F143" s="15"/>
      <c r="G143" s="15"/>
      <c r="H143" s="167"/>
      <c r="I143" s="167"/>
      <c r="J143" s="15"/>
      <c r="K143" s="15"/>
      <c r="L143" s="15"/>
      <c r="M143" s="15"/>
      <c r="N143" s="15"/>
      <c r="O143" s="15"/>
      <c r="P143" s="15"/>
      <c r="Q143" s="15"/>
      <c r="R143" s="15"/>
      <c r="S143" s="15"/>
      <c r="T143" s="15"/>
      <c r="U143" s="15"/>
      <c r="V143" s="15"/>
      <c r="W143" s="15"/>
      <c r="X143" s="15"/>
      <c r="Y143" s="15"/>
      <c r="Z143" s="15"/>
    </row>
    <row r="144" spans="1:26" ht="18.75" customHeight="1" x14ac:dyDescent="0.25">
      <c r="A144" s="17"/>
      <c r="B144" s="25"/>
      <c r="C144" s="24"/>
      <c r="D144" s="24"/>
      <c r="E144" s="24"/>
      <c r="F144" s="15"/>
      <c r="G144" s="15"/>
      <c r="H144" s="167"/>
      <c r="I144" s="167"/>
      <c r="J144" s="15"/>
      <c r="K144" s="15"/>
      <c r="L144" s="15"/>
      <c r="M144" s="15"/>
      <c r="N144" s="15"/>
      <c r="O144" s="15"/>
      <c r="P144" s="15"/>
      <c r="Q144" s="15"/>
      <c r="R144" s="15"/>
      <c r="S144" s="15"/>
      <c r="T144" s="15"/>
      <c r="U144" s="15"/>
      <c r="V144" s="15"/>
      <c r="W144" s="15"/>
      <c r="X144" s="15"/>
      <c r="Y144" s="15"/>
      <c r="Z144" s="15"/>
    </row>
    <row r="145" spans="1:26" ht="18.75" customHeight="1" x14ac:dyDescent="0.25">
      <c r="A145" s="17"/>
      <c r="B145" s="25"/>
      <c r="C145" s="24"/>
      <c r="D145" s="24"/>
      <c r="E145" s="24"/>
      <c r="F145" s="15"/>
      <c r="G145" s="15"/>
      <c r="H145" s="167"/>
      <c r="I145" s="167"/>
      <c r="J145" s="15"/>
      <c r="K145" s="15"/>
      <c r="L145" s="15"/>
      <c r="M145" s="15"/>
      <c r="N145" s="15"/>
      <c r="O145" s="15"/>
      <c r="P145" s="15"/>
      <c r="Q145" s="15"/>
      <c r="R145" s="15"/>
      <c r="S145" s="15"/>
      <c r="T145" s="15"/>
      <c r="U145" s="15"/>
      <c r="V145" s="15"/>
      <c r="W145" s="15"/>
      <c r="X145" s="15"/>
      <c r="Y145" s="15"/>
      <c r="Z145" s="15"/>
    </row>
    <row r="146" spans="1:26" ht="18.75" customHeight="1" x14ac:dyDescent="0.25">
      <c r="A146" s="17"/>
      <c r="B146" s="25"/>
      <c r="C146" s="24"/>
      <c r="D146" s="24"/>
      <c r="E146" s="24"/>
      <c r="F146" s="15"/>
      <c r="G146" s="15"/>
      <c r="H146" s="167"/>
      <c r="I146" s="167"/>
      <c r="J146" s="15"/>
      <c r="K146" s="15"/>
      <c r="L146" s="15"/>
      <c r="M146" s="15"/>
      <c r="N146" s="15"/>
      <c r="O146" s="15"/>
      <c r="P146" s="15"/>
      <c r="Q146" s="15"/>
      <c r="R146" s="15"/>
      <c r="S146" s="15"/>
      <c r="T146" s="15"/>
      <c r="U146" s="15"/>
      <c r="V146" s="15"/>
      <c r="W146" s="15"/>
      <c r="X146" s="15"/>
      <c r="Y146" s="15"/>
      <c r="Z146" s="15"/>
    </row>
    <row r="147" spans="1:26" ht="18.75" customHeight="1" x14ac:dyDescent="0.25">
      <c r="A147" s="17"/>
      <c r="B147" s="25"/>
      <c r="C147" s="24"/>
      <c r="D147" s="24"/>
      <c r="E147" s="24"/>
      <c r="F147" s="15"/>
      <c r="G147" s="15"/>
      <c r="H147" s="167"/>
      <c r="I147" s="167"/>
      <c r="J147" s="15"/>
      <c r="K147" s="15"/>
      <c r="L147" s="15"/>
      <c r="M147" s="15"/>
      <c r="N147" s="15"/>
      <c r="O147" s="15"/>
      <c r="P147" s="15"/>
      <c r="Q147" s="15"/>
      <c r="R147" s="15"/>
      <c r="S147" s="15"/>
      <c r="T147" s="15"/>
      <c r="U147" s="15"/>
      <c r="V147" s="15"/>
      <c r="W147" s="15"/>
      <c r="X147" s="15"/>
      <c r="Y147" s="15"/>
      <c r="Z147" s="15"/>
    </row>
    <row r="148" spans="1:26" ht="18.75" customHeight="1" x14ac:dyDescent="0.25">
      <c r="A148" s="17"/>
      <c r="B148" s="25"/>
      <c r="C148" s="24"/>
      <c r="D148" s="24"/>
      <c r="E148" s="24"/>
      <c r="F148" s="15"/>
      <c r="G148" s="15"/>
      <c r="H148" s="167"/>
      <c r="I148" s="167"/>
      <c r="J148" s="15"/>
      <c r="K148" s="15"/>
      <c r="L148" s="15"/>
      <c r="M148" s="15"/>
      <c r="N148" s="15"/>
      <c r="O148" s="15"/>
      <c r="P148" s="15"/>
      <c r="Q148" s="15"/>
      <c r="R148" s="15"/>
      <c r="S148" s="15"/>
      <c r="T148" s="15"/>
      <c r="U148" s="15"/>
      <c r="V148" s="15"/>
      <c r="W148" s="15"/>
      <c r="X148" s="15"/>
      <c r="Y148" s="15"/>
      <c r="Z148" s="15"/>
    </row>
    <row r="149" spans="1:26" ht="18.75" customHeight="1" x14ac:dyDescent="0.25">
      <c r="A149" s="17"/>
      <c r="B149" s="25"/>
      <c r="C149" s="24"/>
      <c r="D149" s="24"/>
      <c r="E149" s="24"/>
      <c r="F149" s="15"/>
      <c r="G149" s="15"/>
      <c r="H149" s="167"/>
      <c r="I149" s="167"/>
      <c r="J149" s="15"/>
      <c r="K149" s="15"/>
      <c r="L149" s="15"/>
      <c r="M149" s="15"/>
      <c r="N149" s="15"/>
      <c r="O149" s="15"/>
      <c r="P149" s="15"/>
      <c r="Q149" s="15"/>
      <c r="R149" s="15"/>
      <c r="S149" s="15"/>
      <c r="T149" s="15"/>
      <c r="U149" s="15"/>
      <c r="V149" s="15"/>
      <c r="W149" s="15"/>
      <c r="X149" s="15"/>
      <c r="Y149" s="15"/>
      <c r="Z149" s="15"/>
    </row>
    <row r="150" spans="1:26" ht="18.75" customHeight="1" x14ac:dyDescent="0.25">
      <c r="A150" s="17"/>
      <c r="B150" s="25"/>
      <c r="C150" s="24"/>
      <c r="D150" s="24"/>
      <c r="E150" s="24"/>
      <c r="F150" s="15"/>
      <c r="G150" s="15"/>
      <c r="H150" s="167"/>
      <c r="I150" s="167"/>
      <c r="J150" s="15"/>
      <c r="K150" s="15"/>
      <c r="L150" s="15"/>
      <c r="M150" s="15"/>
      <c r="N150" s="15"/>
      <c r="O150" s="15"/>
      <c r="P150" s="15"/>
      <c r="Q150" s="15"/>
      <c r="R150" s="15"/>
      <c r="S150" s="15"/>
      <c r="T150" s="15"/>
      <c r="U150" s="15"/>
      <c r="V150" s="15"/>
      <c r="W150" s="15"/>
      <c r="X150" s="15"/>
      <c r="Y150" s="15"/>
      <c r="Z150" s="15"/>
    </row>
    <row r="151" spans="1:26" ht="18.75" customHeight="1" x14ac:dyDescent="0.25">
      <c r="A151" s="17"/>
      <c r="B151" s="25"/>
      <c r="C151" s="24"/>
      <c r="D151" s="24"/>
      <c r="E151" s="24"/>
      <c r="F151" s="15"/>
      <c r="G151" s="15"/>
      <c r="H151" s="167"/>
      <c r="I151" s="167"/>
      <c r="J151" s="15"/>
      <c r="K151" s="15"/>
      <c r="L151" s="15"/>
      <c r="M151" s="15"/>
      <c r="N151" s="15"/>
      <c r="O151" s="15"/>
      <c r="P151" s="15"/>
      <c r="Q151" s="15"/>
      <c r="R151" s="15"/>
      <c r="S151" s="15"/>
      <c r="T151" s="15"/>
      <c r="U151" s="15"/>
      <c r="V151" s="15"/>
      <c r="W151" s="15"/>
      <c r="X151" s="15"/>
      <c r="Y151" s="15"/>
      <c r="Z151" s="15"/>
    </row>
    <row r="152" spans="1:26" ht="18.75" customHeight="1" x14ac:dyDescent="0.25">
      <c r="A152" s="17"/>
      <c r="B152" s="25"/>
      <c r="C152" s="24"/>
      <c r="D152" s="24"/>
      <c r="E152" s="24"/>
      <c r="F152" s="15"/>
      <c r="G152" s="15"/>
      <c r="H152" s="167"/>
      <c r="I152" s="167"/>
      <c r="J152" s="15"/>
      <c r="K152" s="15"/>
      <c r="L152" s="15"/>
      <c r="M152" s="15"/>
      <c r="N152" s="15"/>
      <c r="O152" s="15"/>
      <c r="P152" s="15"/>
      <c r="Q152" s="15"/>
      <c r="R152" s="15"/>
      <c r="S152" s="15"/>
      <c r="T152" s="15"/>
      <c r="U152" s="15"/>
      <c r="V152" s="15"/>
      <c r="W152" s="15"/>
      <c r="X152" s="15"/>
      <c r="Y152" s="15"/>
      <c r="Z152" s="15"/>
    </row>
    <row r="153" spans="1:26" ht="18.75" customHeight="1" x14ac:dyDescent="0.25">
      <c r="A153" s="17"/>
      <c r="B153" s="25"/>
      <c r="C153" s="24"/>
      <c r="D153" s="24"/>
      <c r="E153" s="24"/>
      <c r="F153" s="15"/>
      <c r="G153" s="15"/>
      <c r="H153" s="167"/>
      <c r="I153" s="167"/>
      <c r="J153" s="15"/>
      <c r="K153" s="15"/>
      <c r="L153" s="15"/>
      <c r="M153" s="15"/>
      <c r="N153" s="15"/>
      <c r="O153" s="15"/>
      <c r="P153" s="15"/>
      <c r="Q153" s="15"/>
      <c r="R153" s="15"/>
      <c r="S153" s="15"/>
      <c r="T153" s="15"/>
      <c r="U153" s="15"/>
      <c r="V153" s="15"/>
      <c r="W153" s="15"/>
      <c r="X153" s="15"/>
      <c r="Y153" s="15"/>
      <c r="Z153" s="15"/>
    </row>
    <row r="154" spans="1:26" ht="18.75" customHeight="1" x14ac:dyDescent="0.25">
      <c r="A154" s="17"/>
      <c r="B154" s="25"/>
      <c r="C154" s="24"/>
      <c r="D154" s="24"/>
      <c r="E154" s="24"/>
      <c r="F154" s="15"/>
      <c r="G154" s="15"/>
      <c r="H154" s="167"/>
      <c r="I154" s="167"/>
      <c r="J154" s="15"/>
      <c r="K154" s="15"/>
      <c r="L154" s="15"/>
      <c r="M154" s="15"/>
      <c r="N154" s="15"/>
      <c r="O154" s="15"/>
      <c r="P154" s="15"/>
      <c r="Q154" s="15"/>
      <c r="R154" s="15"/>
      <c r="S154" s="15"/>
      <c r="T154" s="15"/>
      <c r="U154" s="15"/>
      <c r="V154" s="15"/>
      <c r="W154" s="15"/>
      <c r="X154" s="15"/>
      <c r="Y154" s="15"/>
      <c r="Z154" s="15"/>
    </row>
    <row r="155" spans="1:26" ht="18.75" customHeight="1" x14ac:dyDescent="0.25">
      <c r="A155" s="17"/>
      <c r="B155" s="25"/>
      <c r="C155" s="24"/>
      <c r="D155" s="24"/>
      <c r="E155" s="24"/>
      <c r="F155" s="15"/>
      <c r="G155" s="15"/>
      <c r="H155" s="167"/>
      <c r="I155" s="167"/>
      <c r="J155" s="15"/>
      <c r="K155" s="15"/>
      <c r="L155" s="15"/>
      <c r="M155" s="15"/>
      <c r="N155" s="15"/>
      <c r="O155" s="15"/>
      <c r="P155" s="15"/>
      <c r="Q155" s="15"/>
      <c r="R155" s="15"/>
      <c r="S155" s="15"/>
      <c r="T155" s="15"/>
      <c r="U155" s="15"/>
      <c r="V155" s="15"/>
      <c r="W155" s="15"/>
      <c r="X155" s="15"/>
      <c r="Y155" s="15"/>
      <c r="Z155" s="15"/>
    </row>
    <row r="156" spans="1:26" ht="18.75" customHeight="1" x14ac:dyDescent="0.25">
      <c r="A156" s="17"/>
      <c r="B156" s="25"/>
      <c r="C156" s="24"/>
      <c r="D156" s="24"/>
      <c r="E156" s="24"/>
      <c r="F156" s="15"/>
      <c r="G156" s="15"/>
      <c r="H156" s="167"/>
      <c r="I156" s="167"/>
      <c r="J156" s="15"/>
      <c r="K156" s="15"/>
      <c r="L156" s="15"/>
      <c r="M156" s="15"/>
      <c r="N156" s="15"/>
      <c r="O156" s="15"/>
      <c r="P156" s="15"/>
      <c r="Q156" s="15"/>
      <c r="R156" s="15"/>
      <c r="S156" s="15"/>
      <c r="T156" s="15"/>
      <c r="U156" s="15"/>
      <c r="V156" s="15"/>
      <c r="W156" s="15"/>
      <c r="X156" s="15"/>
      <c r="Y156" s="15"/>
      <c r="Z156" s="15"/>
    </row>
    <row r="157" spans="1:26" ht="18.75" customHeight="1" x14ac:dyDescent="0.25">
      <c r="A157" s="17"/>
      <c r="B157" s="25"/>
      <c r="C157" s="24"/>
      <c r="D157" s="24"/>
      <c r="E157" s="24"/>
      <c r="F157" s="15"/>
      <c r="G157" s="15"/>
      <c r="H157" s="167"/>
      <c r="I157" s="167"/>
      <c r="J157" s="15"/>
      <c r="K157" s="15"/>
      <c r="L157" s="15"/>
      <c r="M157" s="15"/>
      <c r="N157" s="15"/>
      <c r="O157" s="15"/>
      <c r="P157" s="15"/>
      <c r="Q157" s="15"/>
      <c r="R157" s="15"/>
      <c r="S157" s="15"/>
      <c r="T157" s="15"/>
      <c r="U157" s="15"/>
      <c r="V157" s="15"/>
      <c r="W157" s="15"/>
      <c r="X157" s="15"/>
      <c r="Y157" s="15"/>
      <c r="Z157" s="15"/>
    </row>
    <row r="158" spans="1:26" ht="18.75" customHeight="1" x14ac:dyDescent="0.25">
      <c r="A158" s="17"/>
      <c r="B158" s="25"/>
      <c r="C158" s="24"/>
      <c r="D158" s="24"/>
      <c r="E158" s="24"/>
      <c r="F158" s="15"/>
      <c r="G158" s="15"/>
      <c r="H158" s="167"/>
      <c r="I158" s="167"/>
      <c r="J158" s="15"/>
      <c r="K158" s="15"/>
      <c r="L158" s="15"/>
      <c r="M158" s="15"/>
      <c r="N158" s="15"/>
      <c r="O158" s="15"/>
      <c r="P158" s="15"/>
      <c r="Q158" s="15"/>
      <c r="R158" s="15"/>
      <c r="S158" s="15"/>
      <c r="T158" s="15"/>
      <c r="U158" s="15"/>
      <c r="V158" s="15"/>
      <c r="W158" s="15"/>
      <c r="X158" s="15"/>
      <c r="Y158" s="15"/>
      <c r="Z158" s="15"/>
    </row>
    <row r="159" spans="1:26" ht="18.75" customHeight="1" x14ac:dyDescent="0.25">
      <c r="A159" s="17"/>
      <c r="B159" s="25"/>
      <c r="C159" s="24"/>
      <c r="D159" s="24"/>
      <c r="E159" s="24"/>
      <c r="F159" s="15"/>
      <c r="G159" s="15"/>
      <c r="H159" s="167"/>
      <c r="I159" s="167"/>
      <c r="J159" s="15"/>
      <c r="K159" s="15"/>
      <c r="L159" s="15"/>
      <c r="M159" s="15"/>
      <c r="N159" s="15"/>
      <c r="O159" s="15"/>
      <c r="P159" s="15"/>
      <c r="Q159" s="15"/>
      <c r="R159" s="15"/>
      <c r="S159" s="15"/>
      <c r="T159" s="15"/>
      <c r="U159" s="15"/>
      <c r="V159" s="15"/>
      <c r="W159" s="15"/>
      <c r="X159" s="15"/>
      <c r="Y159" s="15"/>
      <c r="Z159" s="15"/>
    </row>
    <row r="160" spans="1:26" ht="18.75" customHeight="1" x14ac:dyDescent="0.25">
      <c r="A160" s="17"/>
      <c r="B160" s="25"/>
      <c r="C160" s="24"/>
      <c r="D160" s="24"/>
      <c r="E160" s="24"/>
      <c r="F160" s="15"/>
      <c r="G160" s="15"/>
      <c r="H160" s="167"/>
      <c r="I160" s="167"/>
      <c r="J160" s="15"/>
      <c r="K160" s="15"/>
      <c r="L160" s="15"/>
      <c r="M160" s="15"/>
      <c r="N160" s="15"/>
      <c r="O160" s="15"/>
      <c r="P160" s="15"/>
      <c r="Q160" s="15"/>
      <c r="R160" s="15"/>
      <c r="S160" s="15"/>
      <c r="T160" s="15"/>
      <c r="U160" s="15"/>
      <c r="V160" s="15"/>
      <c r="W160" s="15"/>
      <c r="X160" s="15"/>
      <c r="Y160" s="15"/>
      <c r="Z160" s="15"/>
    </row>
    <row r="161" spans="1:26" ht="18.75" customHeight="1" x14ac:dyDescent="0.25">
      <c r="A161" s="17"/>
      <c r="B161" s="25"/>
      <c r="C161" s="24"/>
      <c r="D161" s="24"/>
      <c r="E161" s="24"/>
      <c r="F161" s="15"/>
      <c r="G161" s="15"/>
      <c r="H161" s="167"/>
      <c r="I161" s="167"/>
      <c r="J161" s="15"/>
      <c r="K161" s="15"/>
      <c r="L161" s="15"/>
      <c r="M161" s="15"/>
      <c r="N161" s="15"/>
      <c r="O161" s="15"/>
      <c r="P161" s="15"/>
      <c r="Q161" s="15"/>
      <c r="R161" s="15"/>
      <c r="S161" s="15"/>
      <c r="T161" s="15"/>
      <c r="U161" s="15"/>
      <c r="V161" s="15"/>
      <c r="W161" s="15"/>
      <c r="X161" s="15"/>
      <c r="Y161" s="15"/>
      <c r="Z161" s="15"/>
    </row>
    <row r="162" spans="1:26" ht="18.75" customHeight="1" x14ac:dyDescent="0.25">
      <c r="A162" s="17"/>
      <c r="B162" s="25"/>
      <c r="C162" s="24"/>
      <c r="D162" s="24"/>
      <c r="E162" s="24"/>
      <c r="F162" s="15"/>
      <c r="G162" s="15"/>
      <c r="H162" s="167"/>
      <c r="I162" s="167"/>
      <c r="J162" s="15"/>
      <c r="K162" s="15"/>
      <c r="L162" s="15"/>
      <c r="M162" s="15"/>
      <c r="N162" s="15"/>
      <c r="O162" s="15"/>
      <c r="P162" s="15"/>
      <c r="Q162" s="15"/>
      <c r="R162" s="15"/>
      <c r="S162" s="15"/>
      <c r="T162" s="15"/>
      <c r="U162" s="15"/>
      <c r="V162" s="15"/>
      <c r="W162" s="15"/>
      <c r="X162" s="15"/>
      <c r="Y162" s="15"/>
      <c r="Z162" s="15"/>
    </row>
    <row r="163" spans="1:26" ht="18.75" customHeight="1" x14ac:dyDescent="0.25">
      <c r="A163" s="17"/>
      <c r="B163" s="25"/>
      <c r="C163" s="24"/>
      <c r="D163" s="24"/>
      <c r="E163" s="24"/>
      <c r="F163" s="15"/>
      <c r="G163" s="15"/>
      <c r="H163" s="167"/>
      <c r="I163" s="167"/>
      <c r="J163" s="15"/>
      <c r="K163" s="15"/>
      <c r="L163" s="15"/>
      <c r="M163" s="15"/>
      <c r="N163" s="15"/>
      <c r="O163" s="15"/>
      <c r="P163" s="15"/>
      <c r="Q163" s="15"/>
      <c r="R163" s="15"/>
      <c r="S163" s="15"/>
      <c r="T163" s="15"/>
      <c r="U163" s="15"/>
      <c r="V163" s="15"/>
      <c r="W163" s="15"/>
      <c r="X163" s="15"/>
      <c r="Y163" s="15"/>
      <c r="Z163" s="15"/>
    </row>
    <row r="164" spans="1:26" ht="18.75" customHeight="1" x14ac:dyDescent="0.25">
      <c r="A164" s="17"/>
      <c r="B164" s="25"/>
      <c r="C164" s="24"/>
      <c r="D164" s="24"/>
      <c r="E164" s="24"/>
      <c r="F164" s="15"/>
      <c r="G164" s="15"/>
      <c r="H164" s="167"/>
      <c r="I164" s="167"/>
      <c r="J164" s="15"/>
      <c r="K164" s="15"/>
      <c r="L164" s="15"/>
      <c r="M164" s="15"/>
      <c r="N164" s="15"/>
      <c r="O164" s="15"/>
      <c r="P164" s="15"/>
      <c r="Q164" s="15"/>
      <c r="R164" s="15"/>
      <c r="S164" s="15"/>
      <c r="T164" s="15"/>
      <c r="U164" s="15"/>
      <c r="V164" s="15"/>
      <c r="W164" s="15"/>
      <c r="X164" s="15"/>
      <c r="Y164" s="15"/>
      <c r="Z164" s="15"/>
    </row>
    <row r="165" spans="1:26" ht="18.75" customHeight="1" x14ac:dyDescent="0.25">
      <c r="A165" s="17"/>
      <c r="B165" s="25"/>
      <c r="C165" s="24"/>
      <c r="D165" s="24"/>
      <c r="E165" s="24"/>
      <c r="F165" s="15"/>
      <c r="G165" s="15"/>
      <c r="H165" s="167"/>
      <c r="I165" s="167"/>
      <c r="J165" s="15"/>
      <c r="K165" s="15"/>
      <c r="L165" s="15"/>
      <c r="M165" s="15"/>
      <c r="N165" s="15"/>
      <c r="O165" s="15"/>
      <c r="P165" s="15"/>
      <c r="Q165" s="15"/>
      <c r="R165" s="15"/>
      <c r="S165" s="15"/>
      <c r="T165" s="15"/>
      <c r="U165" s="15"/>
      <c r="V165" s="15"/>
      <c r="W165" s="15"/>
      <c r="X165" s="15"/>
      <c r="Y165" s="15"/>
      <c r="Z165" s="15"/>
    </row>
    <row r="166" spans="1:26" ht="18.75" customHeight="1" x14ac:dyDescent="0.25">
      <c r="A166" s="17"/>
      <c r="B166" s="25"/>
      <c r="C166" s="24"/>
      <c r="D166" s="24"/>
      <c r="E166" s="24"/>
      <c r="F166" s="15"/>
      <c r="G166" s="15"/>
      <c r="H166" s="167"/>
      <c r="I166" s="167"/>
      <c r="J166" s="15"/>
      <c r="K166" s="15"/>
      <c r="L166" s="15"/>
      <c r="M166" s="15"/>
      <c r="N166" s="15"/>
      <c r="O166" s="15"/>
      <c r="P166" s="15"/>
      <c r="Q166" s="15"/>
      <c r="R166" s="15"/>
      <c r="S166" s="15"/>
      <c r="T166" s="15"/>
      <c r="U166" s="15"/>
      <c r="V166" s="15"/>
      <c r="W166" s="15"/>
      <c r="X166" s="15"/>
      <c r="Y166" s="15"/>
      <c r="Z166" s="15"/>
    </row>
    <row r="167" spans="1:26" ht="18.75" customHeight="1" x14ac:dyDescent="0.25">
      <c r="A167" s="17"/>
      <c r="B167" s="25"/>
      <c r="C167" s="24"/>
      <c r="D167" s="24"/>
      <c r="E167" s="24"/>
      <c r="F167" s="15"/>
      <c r="G167" s="15"/>
      <c r="H167" s="167"/>
      <c r="I167" s="167"/>
      <c r="J167" s="15"/>
      <c r="K167" s="15"/>
      <c r="L167" s="15"/>
      <c r="M167" s="15"/>
      <c r="N167" s="15"/>
      <c r="O167" s="15"/>
      <c r="P167" s="15"/>
      <c r="Q167" s="15"/>
      <c r="R167" s="15"/>
      <c r="S167" s="15"/>
      <c r="T167" s="15"/>
      <c r="U167" s="15"/>
      <c r="V167" s="15"/>
      <c r="W167" s="15"/>
      <c r="X167" s="15"/>
      <c r="Y167" s="15"/>
      <c r="Z167" s="15"/>
    </row>
    <row r="168" spans="1:26" ht="18.75" customHeight="1" x14ac:dyDescent="0.25">
      <c r="A168" s="17"/>
      <c r="B168" s="25"/>
      <c r="C168" s="24"/>
      <c r="D168" s="24"/>
      <c r="E168" s="24"/>
      <c r="F168" s="15"/>
      <c r="G168" s="15"/>
      <c r="H168" s="167"/>
      <c r="I168" s="167"/>
      <c r="J168" s="15"/>
      <c r="K168" s="15"/>
      <c r="L168" s="15"/>
      <c r="M168" s="15"/>
      <c r="N168" s="15"/>
      <c r="O168" s="15"/>
      <c r="P168" s="15"/>
      <c r="Q168" s="15"/>
      <c r="R168" s="15"/>
      <c r="S168" s="15"/>
      <c r="T168" s="15"/>
      <c r="U168" s="15"/>
      <c r="V168" s="15"/>
      <c r="W168" s="15"/>
      <c r="X168" s="15"/>
      <c r="Y168" s="15"/>
      <c r="Z168" s="15"/>
    </row>
    <row r="169" spans="1:26" ht="18.75" customHeight="1" x14ac:dyDescent="0.25">
      <c r="A169" s="17"/>
      <c r="B169" s="25"/>
      <c r="C169" s="24"/>
      <c r="D169" s="24"/>
      <c r="E169" s="24"/>
      <c r="F169" s="15"/>
      <c r="G169" s="15"/>
      <c r="H169" s="167"/>
      <c r="I169" s="167"/>
      <c r="J169" s="15"/>
      <c r="K169" s="15"/>
      <c r="L169" s="15"/>
      <c r="M169" s="15"/>
      <c r="N169" s="15"/>
      <c r="O169" s="15"/>
      <c r="P169" s="15"/>
      <c r="Q169" s="15"/>
      <c r="R169" s="15"/>
      <c r="S169" s="15"/>
      <c r="T169" s="15"/>
      <c r="U169" s="15"/>
      <c r="V169" s="15"/>
      <c r="W169" s="15"/>
      <c r="X169" s="15"/>
      <c r="Y169" s="15"/>
      <c r="Z169" s="15"/>
    </row>
    <row r="170" spans="1:26" ht="18.75" customHeight="1" x14ac:dyDescent="0.25">
      <c r="A170" s="17"/>
      <c r="B170" s="25"/>
      <c r="C170" s="24"/>
      <c r="D170" s="24"/>
      <c r="E170" s="24"/>
      <c r="F170" s="15"/>
      <c r="G170" s="15"/>
      <c r="H170" s="167"/>
      <c r="I170" s="167"/>
      <c r="J170" s="15"/>
      <c r="K170" s="15"/>
      <c r="L170" s="15"/>
      <c r="M170" s="15"/>
      <c r="N170" s="15"/>
      <c r="O170" s="15"/>
      <c r="P170" s="15"/>
      <c r="Q170" s="15"/>
      <c r="R170" s="15"/>
      <c r="S170" s="15"/>
      <c r="T170" s="15"/>
      <c r="U170" s="15"/>
      <c r="V170" s="15"/>
      <c r="W170" s="15"/>
      <c r="X170" s="15"/>
      <c r="Y170" s="15"/>
      <c r="Z170" s="15"/>
    </row>
    <row r="171" spans="1:26" ht="18.75" customHeight="1" x14ac:dyDescent="0.25">
      <c r="A171" s="17"/>
      <c r="B171" s="25"/>
      <c r="C171" s="24"/>
      <c r="D171" s="24"/>
      <c r="E171" s="24"/>
      <c r="F171" s="15"/>
      <c r="G171" s="15"/>
      <c r="H171" s="167"/>
      <c r="I171" s="167"/>
      <c r="J171" s="15"/>
      <c r="K171" s="15"/>
      <c r="L171" s="15"/>
      <c r="M171" s="15"/>
      <c r="N171" s="15"/>
      <c r="O171" s="15"/>
      <c r="P171" s="15"/>
      <c r="Q171" s="15"/>
      <c r="R171" s="15"/>
      <c r="S171" s="15"/>
      <c r="T171" s="15"/>
      <c r="U171" s="15"/>
      <c r="V171" s="15"/>
      <c r="W171" s="15"/>
      <c r="X171" s="15"/>
      <c r="Y171" s="15"/>
      <c r="Z171" s="15"/>
    </row>
    <row r="172" spans="1:26" ht="18.75" customHeight="1" x14ac:dyDescent="0.25">
      <c r="A172" s="17"/>
      <c r="B172" s="25"/>
      <c r="C172" s="24"/>
      <c r="D172" s="24"/>
      <c r="E172" s="24"/>
      <c r="F172" s="15"/>
      <c r="G172" s="15"/>
      <c r="H172" s="167"/>
      <c r="I172" s="167"/>
      <c r="J172" s="15"/>
      <c r="K172" s="15"/>
      <c r="L172" s="15"/>
      <c r="M172" s="15"/>
      <c r="N172" s="15"/>
      <c r="O172" s="15"/>
      <c r="P172" s="15"/>
      <c r="Q172" s="15"/>
      <c r="R172" s="15"/>
      <c r="S172" s="15"/>
      <c r="T172" s="15"/>
      <c r="U172" s="15"/>
      <c r="V172" s="15"/>
      <c r="W172" s="15"/>
      <c r="X172" s="15"/>
      <c r="Y172" s="15"/>
      <c r="Z172" s="15"/>
    </row>
    <row r="173" spans="1:26" ht="18.75" customHeight="1" x14ac:dyDescent="0.25">
      <c r="A173" s="17"/>
      <c r="B173" s="25"/>
      <c r="C173" s="24"/>
      <c r="D173" s="24"/>
      <c r="E173" s="24"/>
      <c r="F173" s="15"/>
      <c r="G173" s="15"/>
      <c r="H173" s="167"/>
      <c r="I173" s="167"/>
      <c r="J173" s="15"/>
      <c r="K173" s="15"/>
      <c r="L173" s="15"/>
      <c r="M173" s="15"/>
      <c r="N173" s="15"/>
      <c r="O173" s="15"/>
      <c r="P173" s="15"/>
      <c r="Q173" s="15"/>
      <c r="R173" s="15"/>
      <c r="S173" s="15"/>
      <c r="T173" s="15"/>
      <c r="U173" s="15"/>
      <c r="V173" s="15"/>
      <c r="W173" s="15"/>
      <c r="X173" s="15"/>
      <c r="Y173" s="15"/>
      <c r="Z173" s="15"/>
    </row>
    <row r="174" spans="1:26" ht="18.75" customHeight="1" x14ac:dyDescent="0.25">
      <c r="A174" s="17"/>
      <c r="B174" s="25"/>
      <c r="C174" s="24"/>
      <c r="D174" s="24"/>
      <c r="E174" s="24"/>
      <c r="F174" s="15"/>
      <c r="G174" s="15"/>
      <c r="H174" s="167"/>
      <c r="I174" s="167"/>
      <c r="J174" s="15"/>
      <c r="K174" s="15"/>
      <c r="L174" s="15"/>
      <c r="M174" s="15"/>
      <c r="N174" s="15"/>
      <c r="O174" s="15"/>
      <c r="P174" s="15"/>
      <c r="Q174" s="15"/>
      <c r="R174" s="15"/>
      <c r="S174" s="15"/>
      <c r="T174" s="15"/>
      <c r="U174" s="15"/>
      <c r="V174" s="15"/>
      <c r="W174" s="15"/>
      <c r="X174" s="15"/>
      <c r="Y174" s="15"/>
      <c r="Z174" s="15"/>
    </row>
    <row r="175" spans="1:26" ht="18.75" customHeight="1" x14ac:dyDescent="0.25">
      <c r="A175" s="17"/>
      <c r="B175" s="25"/>
      <c r="C175" s="24"/>
      <c r="D175" s="24"/>
      <c r="E175" s="24"/>
      <c r="F175" s="15"/>
      <c r="G175" s="15"/>
      <c r="H175" s="167"/>
      <c r="I175" s="167"/>
      <c r="J175" s="15"/>
      <c r="K175" s="15"/>
      <c r="L175" s="15"/>
      <c r="M175" s="15"/>
      <c r="N175" s="15"/>
      <c r="O175" s="15"/>
      <c r="P175" s="15"/>
      <c r="Q175" s="15"/>
      <c r="R175" s="15"/>
      <c r="S175" s="15"/>
      <c r="T175" s="15"/>
      <c r="U175" s="15"/>
      <c r="V175" s="15"/>
      <c r="W175" s="15"/>
      <c r="X175" s="15"/>
      <c r="Y175" s="15"/>
      <c r="Z175" s="15"/>
    </row>
    <row r="176" spans="1:26" ht="18.75" customHeight="1" x14ac:dyDescent="0.25">
      <c r="A176" s="17"/>
      <c r="B176" s="25"/>
      <c r="C176" s="24"/>
      <c r="D176" s="24"/>
      <c r="E176" s="24"/>
      <c r="F176" s="15"/>
      <c r="G176" s="15"/>
      <c r="H176" s="167"/>
      <c r="I176" s="167"/>
      <c r="J176" s="15"/>
      <c r="K176" s="15"/>
      <c r="L176" s="15"/>
      <c r="M176" s="15"/>
      <c r="N176" s="15"/>
      <c r="O176" s="15"/>
      <c r="P176" s="15"/>
      <c r="Q176" s="15"/>
      <c r="R176" s="15"/>
      <c r="S176" s="15"/>
      <c r="T176" s="15"/>
      <c r="U176" s="15"/>
      <c r="V176" s="15"/>
      <c r="W176" s="15"/>
      <c r="X176" s="15"/>
      <c r="Y176" s="15"/>
      <c r="Z176" s="15"/>
    </row>
    <row r="177" spans="1:26" ht="18.75" customHeight="1" x14ac:dyDescent="0.25">
      <c r="A177" s="17"/>
      <c r="B177" s="25"/>
      <c r="C177" s="24"/>
      <c r="D177" s="24"/>
      <c r="E177" s="24"/>
      <c r="F177" s="15"/>
      <c r="G177" s="15"/>
      <c r="H177" s="167"/>
      <c r="I177" s="167"/>
      <c r="J177" s="15"/>
      <c r="K177" s="15"/>
      <c r="L177" s="15"/>
      <c r="M177" s="15"/>
      <c r="N177" s="15"/>
      <c r="O177" s="15"/>
      <c r="P177" s="15"/>
      <c r="Q177" s="15"/>
      <c r="R177" s="15"/>
      <c r="S177" s="15"/>
      <c r="T177" s="15"/>
      <c r="U177" s="15"/>
      <c r="V177" s="15"/>
      <c r="W177" s="15"/>
      <c r="X177" s="15"/>
      <c r="Y177" s="15"/>
      <c r="Z177" s="15"/>
    </row>
    <row r="178" spans="1:26" ht="18.75" customHeight="1" x14ac:dyDescent="0.25">
      <c r="A178" s="17"/>
      <c r="B178" s="25"/>
      <c r="C178" s="24"/>
      <c r="D178" s="24"/>
      <c r="E178" s="24"/>
      <c r="F178" s="15"/>
      <c r="G178" s="15"/>
      <c r="H178" s="167"/>
      <c r="I178" s="167"/>
      <c r="J178" s="15"/>
      <c r="K178" s="15"/>
      <c r="L178" s="15"/>
      <c r="M178" s="15"/>
      <c r="N178" s="15"/>
      <c r="O178" s="15"/>
      <c r="P178" s="15"/>
      <c r="Q178" s="15"/>
      <c r="R178" s="15"/>
      <c r="S178" s="15"/>
      <c r="T178" s="15"/>
      <c r="U178" s="15"/>
      <c r="V178" s="15"/>
      <c r="W178" s="15"/>
      <c r="X178" s="15"/>
      <c r="Y178" s="15"/>
      <c r="Z178" s="15"/>
    </row>
    <row r="179" spans="1:26" ht="18.75" customHeight="1" x14ac:dyDescent="0.25">
      <c r="A179" s="17"/>
      <c r="B179" s="25"/>
      <c r="C179" s="24"/>
      <c r="D179" s="24"/>
      <c r="E179" s="24"/>
      <c r="F179" s="15"/>
      <c r="G179" s="15"/>
      <c r="H179" s="167"/>
      <c r="I179" s="167"/>
      <c r="J179" s="15"/>
      <c r="K179" s="15"/>
      <c r="L179" s="15"/>
      <c r="M179" s="15"/>
      <c r="N179" s="15"/>
      <c r="O179" s="15"/>
      <c r="P179" s="15"/>
      <c r="Q179" s="15"/>
      <c r="R179" s="15"/>
      <c r="S179" s="15"/>
      <c r="T179" s="15"/>
      <c r="U179" s="15"/>
      <c r="V179" s="15"/>
      <c r="W179" s="15"/>
      <c r="X179" s="15"/>
      <c r="Y179" s="15"/>
      <c r="Z179" s="15"/>
    </row>
    <row r="180" spans="1:26" ht="18.75" customHeight="1" x14ac:dyDescent="0.25">
      <c r="A180" s="17"/>
      <c r="B180" s="25"/>
      <c r="C180" s="24"/>
      <c r="D180" s="24"/>
      <c r="E180" s="24"/>
      <c r="F180" s="15"/>
      <c r="G180" s="15"/>
      <c r="H180" s="167"/>
      <c r="I180" s="167"/>
      <c r="J180" s="15"/>
      <c r="K180" s="15"/>
      <c r="L180" s="15"/>
      <c r="M180" s="15"/>
      <c r="N180" s="15"/>
      <c r="O180" s="15"/>
      <c r="P180" s="15"/>
      <c r="Q180" s="15"/>
      <c r="R180" s="15"/>
      <c r="S180" s="15"/>
      <c r="T180" s="15"/>
      <c r="U180" s="15"/>
      <c r="V180" s="15"/>
      <c r="W180" s="15"/>
      <c r="X180" s="15"/>
      <c r="Y180" s="15"/>
      <c r="Z180" s="15"/>
    </row>
    <row r="181" spans="1:26" ht="18.75" customHeight="1" x14ac:dyDescent="0.25">
      <c r="A181" s="17"/>
      <c r="B181" s="25"/>
      <c r="C181" s="24"/>
      <c r="D181" s="24"/>
      <c r="E181" s="24"/>
      <c r="F181" s="15"/>
      <c r="G181" s="15"/>
      <c r="H181" s="167"/>
      <c r="I181" s="167"/>
      <c r="J181" s="15"/>
      <c r="K181" s="15"/>
      <c r="L181" s="15"/>
      <c r="M181" s="15"/>
      <c r="N181" s="15"/>
      <c r="O181" s="15"/>
      <c r="P181" s="15"/>
      <c r="Q181" s="15"/>
      <c r="R181" s="15"/>
      <c r="S181" s="15"/>
      <c r="T181" s="15"/>
      <c r="U181" s="15"/>
      <c r="V181" s="15"/>
      <c r="W181" s="15"/>
      <c r="X181" s="15"/>
      <c r="Y181" s="15"/>
      <c r="Z181" s="15"/>
    </row>
    <row r="182" spans="1:26" ht="18.75" customHeight="1" x14ac:dyDescent="0.25">
      <c r="A182" s="17"/>
      <c r="B182" s="25"/>
      <c r="C182" s="24"/>
      <c r="D182" s="24"/>
      <c r="E182" s="24"/>
      <c r="F182" s="15"/>
      <c r="G182" s="15"/>
      <c r="H182" s="167"/>
      <c r="I182" s="167"/>
      <c r="J182" s="15"/>
      <c r="K182" s="15"/>
      <c r="L182" s="15"/>
      <c r="M182" s="15"/>
      <c r="N182" s="15"/>
      <c r="O182" s="15"/>
      <c r="P182" s="15"/>
      <c r="Q182" s="15"/>
      <c r="R182" s="15"/>
      <c r="S182" s="15"/>
      <c r="T182" s="15"/>
      <c r="U182" s="15"/>
      <c r="V182" s="15"/>
      <c r="W182" s="15"/>
      <c r="X182" s="15"/>
      <c r="Y182" s="15"/>
      <c r="Z182" s="15"/>
    </row>
    <row r="183" spans="1:26" ht="18.75" customHeight="1" x14ac:dyDescent="0.25">
      <c r="A183" s="17"/>
      <c r="B183" s="25"/>
      <c r="C183" s="24"/>
      <c r="D183" s="24"/>
      <c r="E183" s="24"/>
      <c r="F183" s="15"/>
      <c r="G183" s="15"/>
      <c r="H183" s="167"/>
      <c r="I183" s="167"/>
      <c r="J183" s="15"/>
      <c r="K183" s="15"/>
      <c r="L183" s="15"/>
      <c r="M183" s="15"/>
      <c r="N183" s="15"/>
      <c r="O183" s="15"/>
      <c r="P183" s="15"/>
      <c r="Q183" s="15"/>
      <c r="R183" s="15"/>
      <c r="S183" s="15"/>
      <c r="T183" s="15"/>
      <c r="U183" s="15"/>
      <c r="V183" s="15"/>
      <c r="W183" s="15"/>
      <c r="X183" s="15"/>
      <c r="Y183" s="15"/>
      <c r="Z183" s="15"/>
    </row>
    <row r="184" spans="1:26" ht="18.75" customHeight="1" x14ac:dyDescent="0.25">
      <c r="A184" s="17"/>
      <c r="B184" s="25"/>
      <c r="C184" s="24"/>
      <c r="D184" s="24"/>
      <c r="E184" s="24"/>
      <c r="F184" s="15"/>
      <c r="G184" s="15"/>
      <c r="H184" s="167"/>
      <c r="I184" s="167"/>
      <c r="J184" s="15"/>
      <c r="K184" s="15"/>
      <c r="L184" s="15"/>
      <c r="M184" s="15"/>
      <c r="N184" s="15"/>
      <c r="O184" s="15"/>
      <c r="P184" s="15"/>
      <c r="Q184" s="15"/>
      <c r="R184" s="15"/>
      <c r="S184" s="15"/>
      <c r="T184" s="15"/>
      <c r="U184" s="15"/>
      <c r="V184" s="15"/>
      <c r="W184" s="15"/>
      <c r="X184" s="15"/>
      <c r="Y184" s="15"/>
      <c r="Z184" s="15"/>
    </row>
    <row r="185" spans="1:26" ht="18.75" customHeight="1" x14ac:dyDescent="0.25">
      <c r="A185" s="17"/>
      <c r="B185" s="25"/>
      <c r="C185" s="24"/>
      <c r="D185" s="24"/>
      <c r="E185" s="24"/>
      <c r="F185" s="15"/>
      <c r="G185" s="15"/>
      <c r="H185" s="167"/>
      <c r="I185" s="167"/>
      <c r="J185" s="15"/>
      <c r="K185" s="15"/>
      <c r="L185" s="15"/>
      <c r="M185" s="15"/>
      <c r="N185" s="15"/>
      <c r="O185" s="15"/>
      <c r="P185" s="15"/>
      <c r="Q185" s="15"/>
      <c r="R185" s="15"/>
      <c r="S185" s="15"/>
      <c r="T185" s="15"/>
      <c r="U185" s="15"/>
      <c r="V185" s="15"/>
      <c r="W185" s="15"/>
      <c r="X185" s="15"/>
      <c r="Y185" s="15"/>
      <c r="Z185" s="15"/>
    </row>
    <row r="186" spans="1:26" ht="18.75" customHeight="1" x14ac:dyDescent="0.25">
      <c r="A186" s="17"/>
      <c r="B186" s="25"/>
      <c r="C186" s="24"/>
      <c r="D186" s="24"/>
      <c r="E186" s="24"/>
      <c r="F186" s="15"/>
      <c r="G186" s="15"/>
      <c r="H186" s="167"/>
      <c r="I186" s="167"/>
      <c r="J186" s="15"/>
      <c r="K186" s="15"/>
      <c r="L186" s="15"/>
      <c r="M186" s="15"/>
      <c r="N186" s="15"/>
      <c r="O186" s="15"/>
      <c r="P186" s="15"/>
      <c r="Q186" s="15"/>
      <c r="R186" s="15"/>
      <c r="S186" s="15"/>
      <c r="T186" s="15"/>
      <c r="U186" s="15"/>
      <c r="V186" s="15"/>
      <c r="W186" s="15"/>
      <c r="X186" s="15"/>
      <c r="Y186" s="15"/>
      <c r="Z186" s="15"/>
    </row>
    <row r="187" spans="1:26" ht="18.75" customHeight="1" x14ac:dyDescent="0.25">
      <c r="A187" s="17"/>
      <c r="B187" s="25"/>
      <c r="C187" s="24"/>
      <c r="D187" s="24"/>
      <c r="E187" s="24"/>
      <c r="F187" s="15"/>
      <c r="G187" s="15"/>
      <c r="H187" s="167"/>
      <c r="I187" s="167"/>
      <c r="J187" s="15"/>
      <c r="K187" s="15"/>
      <c r="L187" s="15"/>
      <c r="M187" s="15"/>
      <c r="N187" s="15"/>
      <c r="O187" s="15"/>
      <c r="P187" s="15"/>
      <c r="Q187" s="15"/>
      <c r="R187" s="15"/>
      <c r="S187" s="15"/>
      <c r="T187" s="15"/>
      <c r="U187" s="15"/>
      <c r="V187" s="15"/>
      <c r="W187" s="15"/>
      <c r="X187" s="15"/>
      <c r="Y187" s="15"/>
      <c r="Z187" s="15"/>
    </row>
    <row r="188" spans="1:26" ht="18.75" customHeight="1" x14ac:dyDescent="0.25">
      <c r="A188" s="17"/>
      <c r="B188" s="25"/>
      <c r="C188" s="24"/>
      <c r="D188" s="24"/>
      <c r="E188" s="24"/>
      <c r="F188" s="15"/>
      <c r="G188" s="15"/>
      <c r="H188" s="167"/>
      <c r="I188" s="167"/>
      <c r="J188" s="15"/>
      <c r="K188" s="15"/>
      <c r="L188" s="15"/>
      <c r="M188" s="15"/>
      <c r="N188" s="15"/>
      <c r="O188" s="15"/>
      <c r="P188" s="15"/>
      <c r="Q188" s="15"/>
      <c r="R188" s="15"/>
      <c r="S188" s="15"/>
      <c r="T188" s="15"/>
      <c r="U188" s="15"/>
      <c r="V188" s="15"/>
      <c r="W188" s="15"/>
      <c r="X188" s="15"/>
      <c r="Y188" s="15"/>
      <c r="Z188" s="15"/>
    </row>
    <row r="189" spans="1:26" ht="18.75" customHeight="1" x14ac:dyDescent="0.25">
      <c r="A189" s="17"/>
      <c r="B189" s="25"/>
      <c r="C189" s="24"/>
      <c r="D189" s="24"/>
      <c r="E189" s="24"/>
      <c r="F189" s="15"/>
      <c r="G189" s="15"/>
      <c r="H189" s="167"/>
      <c r="I189" s="167"/>
      <c r="J189" s="15"/>
      <c r="K189" s="15"/>
      <c r="L189" s="15"/>
      <c r="M189" s="15"/>
      <c r="N189" s="15"/>
      <c r="O189" s="15"/>
      <c r="P189" s="15"/>
      <c r="Q189" s="15"/>
      <c r="R189" s="15"/>
      <c r="S189" s="15"/>
      <c r="T189" s="15"/>
      <c r="U189" s="15"/>
      <c r="V189" s="15"/>
      <c r="W189" s="15"/>
      <c r="X189" s="15"/>
      <c r="Y189" s="15"/>
      <c r="Z189" s="15"/>
    </row>
    <row r="190" spans="1:26" ht="18.75" customHeight="1" x14ac:dyDescent="0.25">
      <c r="A190" s="17"/>
      <c r="B190" s="25"/>
      <c r="C190" s="24"/>
      <c r="D190" s="24"/>
      <c r="E190" s="24"/>
      <c r="F190" s="15"/>
      <c r="G190" s="15"/>
      <c r="H190" s="167"/>
      <c r="I190" s="167"/>
      <c r="J190" s="15"/>
      <c r="K190" s="15"/>
      <c r="L190" s="15"/>
      <c r="M190" s="15"/>
      <c r="N190" s="15"/>
      <c r="O190" s="15"/>
      <c r="P190" s="15"/>
      <c r="Q190" s="15"/>
      <c r="R190" s="15"/>
      <c r="S190" s="15"/>
      <c r="T190" s="15"/>
      <c r="U190" s="15"/>
      <c r="V190" s="15"/>
      <c r="W190" s="15"/>
      <c r="X190" s="15"/>
      <c r="Y190" s="15"/>
      <c r="Z190" s="15"/>
    </row>
    <row r="191" spans="1:26" ht="18.75" customHeight="1" x14ac:dyDescent="0.25">
      <c r="A191" s="17"/>
      <c r="B191" s="25"/>
      <c r="C191" s="24"/>
      <c r="D191" s="24"/>
      <c r="E191" s="24"/>
      <c r="F191" s="15"/>
      <c r="G191" s="15"/>
      <c r="H191" s="167"/>
      <c r="I191" s="167"/>
      <c r="J191" s="15"/>
      <c r="K191" s="15"/>
      <c r="L191" s="15"/>
      <c r="M191" s="15"/>
      <c r="N191" s="15"/>
      <c r="O191" s="15"/>
      <c r="P191" s="15"/>
      <c r="Q191" s="15"/>
      <c r="R191" s="15"/>
      <c r="S191" s="15"/>
      <c r="T191" s="15"/>
      <c r="U191" s="15"/>
      <c r="V191" s="15"/>
      <c r="W191" s="15"/>
      <c r="X191" s="15"/>
      <c r="Y191" s="15"/>
      <c r="Z191" s="15"/>
    </row>
    <row r="192" spans="1:26" ht="18.75" customHeight="1" x14ac:dyDescent="0.25">
      <c r="A192" s="17"/>
      <c r="B192" s="25"/>
      <c r="C192" s="24"/>
      <c r="D192" s="24"/>
      <c r="E192" s="24"/>
      <c r="F192" s="15"/>
      <c r="G192" s="15"/>
      <c r="H192" s="167"/>
      <c r="I192" s="167"/>
      <c r="J192" s="15"/>
      <c r="K192" s="15"/>
      <c r="L192" s="15"/>
      <c r="M192" s="15"/>
      <c r="N192" s="15"/>
      <c r="O192" s="15"/>
      <c r="P192" s="15"/>
      <c r="Q192" s="15"/>
      <c r="R192" s="15"/>
      <c r="S192" s="15"/>
      <c r="T192" s="15"/>
      <c r="U192" s="15"/>
      <c r="V192" s="15"/>
      <c r="W192" s="15"/>
      <c r="X192" s="15"/>
      <c r="Y192" s="15"/>
      <c r="Z192" s="15"/>
    </row>
    <row r="193" spans="1:26" ht="18.75" customHeight="1" x14ac:dyDescent="0.25">
      <c r="A193" s="17"/>
      <c r="B193" s="25"/>
      <c r="C193" s="24"/>
      <c r="D193" s="24"/>
      <c r="E193" s="24"/>
      <c r="F193" s="15"/>
      <c r="G193" s="15"/>
      <c r="H193" s="167"/>
      <c r="I193" s="167"/>
      <c r="J193" s="15"/>
      <c r="K193" s="15"/>
      <c r="L193" s="15"/>
      <c r="M193" s="15"/>
      <c r="N193" s="15"/>
      <c r="O193" s="15"/>
      <c r="P193" s="15"/>
      <c r="Q193" s="15"/>
      <c r="R193" s="15"/>
      <c r="S193" s="15"/>
      <c r="T193" s="15"/>
      <c r="U193" s="15"/>
      <c r="V193" s="15"/>
      <c r="W193" s="15"/>
      <c r="X193" s="15"/>
      <c r="Y193" s="15"/>
      <c r="Z193" s="15"/>
    </row>
    <row r="194" spans="1:26" ht="18.75" customHeight="1" x14ac:dyDescent="0.25">
      <c r="A194" s="17"/>
      <c r="B194" s="25"/>
      <c r="C194" s="24"/>
      <c r="D194" s="24"/>
      <c r="E194" s="24"/>
      <c r="F194" s="15"/>
      <c r="G194" s="15"/>
      <c r="H194" s="167"/>
      <c r="I194" s="167"/>
      <c r="J194" s="15"/>
      <c r="K194" s="15"/>
      <c r="L194" s="15"/>
      <c r="M194" s="15"/>
      <c r="N194" s="15"/>
      <c r="O194" s="15"/>
      <c r="P194" s="15"/>
      <c r="Q194" s="15"/>
      <c r="R194" s="15"/>
      <c r="S194" s="15"/>
      <c r="T194" s="15"/>
      <c r="U194" s="15"/>
      <c r="V194" s="15"/>
      <c r="W194" s="15"/>
      <c r="X194" s="15"/>
      <c r="Y194" s="15"/>
      <c r="Z194" s="15"/>
    </row>
    <row r="195" spans="1:26" ht="18.75" customHeight="1" x14ac:dyDescent="0.25">
      <c r="A195" s="17"/>
      <c r="B195" s="25"/>
      <c r="C195" s="24"/>
      <c r="D195" s="24"/>
      <c r="E195" s="24"/>
      <c r="F195" s="15"/>
      <c r="G195" s="15"/>
      <c r="H195" s="167"/>
      <c r="I195" s="167"/>
      <c r="J195" s="15"/>
      <c r="K195" s="15"/>
      <c r="L195" s="15"/>
      <c r="M195" s="15"/>
      <c r="N195" s="15"/>
      <c r="O195" s="15"/>
      <c r="P195" s="15"/>
      <c r="Q195" s="15"/>
      <c r="R195" s="15"/>
      <c r="S195" s="15"/>
      <c r="T195" s="15"/>
      <c r="U195" s="15"/>
      <c r="V195" s="15"/>
      <c r="W195" s="15"/>
      <c r="X195" s="15"/>
      <c r="Y195" s="15"/>
      <c r="Z195" s="15"/>
    </row>
    <row r="196" spans="1:26" ht="18.75" customHeight="1" x14ac:dyDescent="0.25">
      <c r="A196" s="17"/>
      <c r="B196" s="25"/>
      <c r="C196" s="24"/>
      <c r="D196" s="24"/>
      <c r="E196" s="24"/>
      <c r="F196" s="15"/>
      <c r="G196" s="15"/>
      <c r="H196" s="167"/>
      <c r="I196" s="167"/>
      <c r="J196" s="15"/>
      <c r="K196" s="15"/>
      <c r="L196" s="15"/>
      <c r="M196" s="15"/>
      <c r="N196" s="15"/>
      <c r="O196" s="15"/>
      <c r="P196" s="15"/>
      <c r="Q196" s="15"/>
      <c r="R196" s="15"/>
      <c r="S196" s="15"/>
      <c r="T196" s="15"/>
      <c r="U196" s="15"/>
      <c r="V196" s="15"/>
      <c r="W196" s="15"/>
      <c r="X196" s="15"/>
      <c r="Y196" s="15"/>
      <c r="Z196" s="15"/>
    </row>
    <row r="197" spans="1:26" ht="18.75" customHeight="1" x14ac:dyDescent="0.25">
      <c r="A197" s="17"/>
      <c r="B197" s="25"/>
      <c r="C197" s="24"/>
      <c r="D197" s="24"/>
      <c r="E197" s="24"/>
      <c r="F197" s="15"/>
      <c r="G197" s="15"/>
      <c r="H197" s="167"/>
      <c r="I197" s="167"/>
      <c r="J197" s="15"/>
      <c r="K197" s="15"/>
      <c r="L197" s="15"/>
      <c r="M197" s="15"/>
      <c r="N197" s="15"/>
      <c r="O197" s="15"/>
      <c r="P197" s="15"/>
      <c r="Q197" s="15"/>
      <c r="R197" s="15"/>
      <c r="S197" s="15"/>
      <c r="T197" s="15"/>
      <c r="U197" s="15"/>
      <c r="V197" s="15"/>
      <c r="W197" s="15"/>
      <c r="X197" s="15"/>
      <c r="Y197" s="15"/>
      <c r="Z197" s="15"/>
    </row>
    <row r="198" spans="1:26" ht="18.75" customHeight="1" x14ac:dyDescent="0.25">
      <c r="A198" s="17"/>
      <c r="B198" s="25"/>
      <c r="C198" s="24"/>
      <c r="D198" s="24"/>
      <c r="E198" s="24"/>
      <c r="F198" s="15"/>
      <c r="G198" s="15"/>
      <c r="H198" s="167"/>
      <c r="I198" s="167"/>
      <c r="J198" s="15"/>
      <c r="K198" s="15"/>
      <c r="L198" s="15"/>
      <c r="M198" s="15"/>
      <c r="N198" s="15"/>
      <c r="O198" s="15"/>
      <c r="P198" s="15"/>
      <c r="Q198" s="15"/>
      <c r="R198" s="15"/>
      <c r="S198" s="15"/>
      <c r="T198" s="15"/>
      <c r="U198" s="15"/>
      <c r="V198" s="15"/>
      <c r="W198" s="15"/>
      <c r="X198" s="15"/>
      <c r="Y198" s="15"/>
      <c r="Z198" s="15"/>
    </row>
    <row r="199" spans="1:26" ht="18.75" customHeight="1" x14ac:dyDescent="0.25">
      <c r="A199" s="17"/>
      <c r="B199" s="25"/>
      <c r="C199" s="24"/>
      <c r="D199" s="24"/>
      <c r="E199" s="24"/>
      <c r="F199" s="15"/>
      <c r="G199" s="15"/>
      <c r="H199" s="167"/>
      <c r="I199" s="167"/>
      <c r="J199" s="15"/>
      <c r="K199" s="15"/>
      <c r="L199" s="15"/>
      <c r="M199" s="15"/>
      <c r="N199" s="15"/>
      <c r="O199" s="15"/>
      <c r="P199" s="15"/>
      <c r="Q199" s="15"/>
      <c r="R199" s="15"/>
      <c r="S199" s="15"/>
      <c r="T199" s="15"/>
      <c r="U199" s="15"/>
      <c r="V199" s="15"/>
      <c r="W199" s="15"/>
      <c r="X199" s="15"/>
      <c r="Y199" s="15"/>
      <c r="Z199" s="15"/>
    </row>
    <row r="200" spans="1:26" ht="18.75" customHeight="1" x14ac:dyDescent="0.25">
      <c r="A200" s="17"/>
      <c r="B200" s="25"/>
      <c r="C200" s="24"/>
      <c r="D200" s="24"/>
      <c r="E200" s="24"/>
      <c r="F200" s="15"/>
      <c r="G200" s="15"/>
      <c r="H200" s="167"/>
      <c r="I200" s="167"/>
      <c r="J200" s="15"/>
      <c r="K200" s="15"/>
      <c r="L200" s="15"/>
      <c r="M200" s="15"/>
      <c r="N200" s="15"/>
      <c r="O200" s="15"/>
      <c r="P200" s="15"/>
      <c r="Q200" s="15"/>
      <c r="R200" s="15"/>
      <c r="S200" s="15"/>
      <c r="T200" s="15"/>
      <c r="U200" s="15"/>
      <c r="V200" s="15"/>
      <c r="W200" s="15"/>
      <c r="X200" s="15"/>
      <c r="Y200" s="15"/>
      <c r="Z200" s="15"/>
    </row>
    <row r="201" spans="1:26" ht="18.75" customHeight="1" x14ac:dyDescent="0.25">
      <c r="A201" s="17"/>
      <c r="B201" s="25"/>
      <c r="C201" s="24"/>
      <c r="D201" s="24"/>
      <c r="E201" s="24"/>
      <c r="F201" s="15"/>
      <c r="G201" s="15"/>
      <c r="H201" s="167"/>
      <c r="I201" s="167"/>
      <c r="J201" s="15"/>
      <c r="K201" s="15"/>
      <c r="L201" s="15"/>
      <c r="M201" s="15"/>
      <c r="N201" s="15"/>
      <c r="O201" s="15"/>
      <c r="P201" s="15"/>
      <c r="Q201" s="15"/>
      <c r="R201" s="15"/>
      <c r="S201" s="15"/>
      <c r="T201" s="15"/>
      <c r="U201" s="15"/>
      <c r="V201" s="15"/>
      <c r="W201" s="15"/>
      <c r="X201" s="15"/>
      <c r="Y201" s="15"/>
      <c r="Z201" s="15"/>
    </row>
    <row r="202" spans="1:26" ht="18.75" customHeight="1" x14ac:dyDescent="0.25">
      <c r="A202" s="17"/>
      <c r="B202" s="25"/>
      <c r="C202" s="24"/>
      <c r="D202" s="24"/>
      <c r="E202" s="24"/>
      <c r="F202" s="15"/>
      <c r="G202" s="15"/>
      <c r="H202" s="167"/>
      <c r="I202" s="167"/>
      <c r="J202" s="15"/>
      <c r="K202" s="15"/>
      <c r="L202" s="15"/>
      <c r="M202" s="15"/>
      <c r="N202" s="15"/>
      <c r="O202" s="15"/>
      <c r="P202" s="15"/>
      <c r="Q202" s="15"/>
      <c r="R202" s="15"/>
      <c r="S202" s="15"/>
      <c r="T202" s="15"/>
      <c r="U202" s="15"/>
      <c r="V202" s="15"/>
      <c r="W202" s="15"/>
      <c r="X202" s="15"/>
      <c r="Y202" s="15"/>
      <c r="Z202" s="15"/>
    </row>
    <row r="203" spans="1:26" ht="18.75" customHeight="1" x14ac:dyDescent="0.25">
      <c r="A203" s="17"/>
      <c r="B203" s="25"/>
      <c r="C203" s="24"/>
      <c r="D203" s="24"/>
      <c r="E203" s="24"/>
      <c r="F203" s="15"/>
      <c r="G203" s="15"/>
      <c r="H203" s="167"/>
      <c r="I203" s="167"/>
      <c r="J203" s="15"/>
      <c r="K203" s="15"/>
      <c r="L203" s="15"/>
      <c r="M203" s="15"/>
      <c r="N203" s="15"/>
      <c r="O203" s="15"/>
      <c r="P203" s="15"/>
      <c r="Q203" s="15"/>
      <c r="R203" s="15"/>
      <c r="S203" s="15"/>
      <c r="T203" s="15"/>
      <c r="U203" s="15"/>
      <c r="V203" s="15"/>
      <c r="W203" s="15"/>
      <c r="X203" s="15"/>
      <c r="Y203" s="15"/>
      <c r="Z203" s="15"/>
    </row>
    <row r="204" spans="1:26" ht="18.75" customHeight="1" x14ac:dyDescent="0.25">
      <c r="A204" s="17"/>
      <c r="B204" s="25"/>
      <c r="C204" s="24"/>
      <c r="D204" s="24"/>
      <c r="E204" s="24"/>
      <c r="F204" s="15"/>
      <c r="G204" s="15"/>
      <c r="H204" s="167"/>
      <c r="I204" s="167"/>
      <c r="J204" s="15"/>
      <c r="K204" s="15"/>
      <c r="L204" s="15"/>
      <c r="M204" s="15"/>
      <c r="N204" s="15"/>
      <c r="O204" s="15"/>
      <c r="P204" s="15"/>
      <c r="Q204" s="15"/>
      <c r="R204" s="15"/>
      <c r="S204" s="15"/>
      <c r="T204" s="15"/>
      <c r="U204" s="15"/>
      <c r="V204" s="15"/>
      <c r="W204" s="15"/>
      <c r="X204" s="15"/>
      <c r="Y204" s="15"/>
      <c r="Z204" s="15"/>
    </row>
    <row r="205" spans="1:26" ht="18.75" customHeight="1" x14ac:dyDescent="0.25">
      <c r="A205" s="17"/>
      <c r="B205" s="25"/>
      <c r="C205" s="24"/>
      <c r="D205" s="24"/>
      <c r="E205" s="24"/>
      <c r="F205" s="15"/>
      <c r="G205" s="15"/>
      <c r="H205" s="167"/>
      <c r="I205" s="167"/>
      <c r="J205" s="15"/>
      <c r="K205" s="15"/>
      <c r="L205" s="15"/>
      <c r="M205" s="15"/>
      <c r="N205" s="15"/>
      <c r="O205" s="15"/>
      <c r="P205" s="15"/>
      <c r="Q205" s="15"/>
      <c r="R205" s="15"/>
      <c r="S205" s="15"/>
      <c r="T205" s="15"/>
      <c r="U205" s="15"/>
      <c r="V205" s="15"/>
      <c r="W205" s="15"/>
      <c r="X205" s="15"/>
      <c r="Y205" s="15"/>
      <c r="Z205" s="15"/>
    </row>
    <row r="206" spans="1:26" ht="18.75" customHeight="1" x14ac:dyDescent="0.25">
      <c r="A206" s="17"/>
      <c r="B206" s="25"/>
      <c r="C206" s="24"/>
      <c r="D206" s="24"/>
      <c r="E206" s="24"/>
      <c r="F206" s="15"/>
      <c r="G206" s="15"/>
      <c r="H206" s="167"/>
      <c r="I206" s="167"/>
      <c r="J206" s="15"/>
      <c r="K206" s="15"/>
      <c r="L206" s="15"/>
      <c r="M206" s="15"/>
      <c r="N206" s="15"/>
      <c r="O206" s="15"/>
      <c r="P206" s="15"/>
      <c r="Q206" s="15"/>
      <c r="R206" s="15"/>
      <c r="S206" s="15"/>
      <c r="T206" s="15"/>
      <c r="U206" s="15"/>
      <c r="V206" s="15"/>
      <c r="W206" s="15"/>
      <c r="X206" s="15"/>
      <c r="Y206" s="15"/>
      <c r="Z206" s="15"/>
    </row>
    <row r="207" spans="1:26" ht="18.75" customHeight="1" x14ac:dyDescent="0.25">
      <c r="A207" s="17"/>
      <c r="B207" s="25"/>
      <c r="C207" s="24"/>
      <c r="D207" s="24"/>
      <c r="E207" s="24"/>
      <c r="F207" s="15"/>
      <c r="G207" s="15"/>
      <c r="H207" s="167"/>
      <c r="I207" s="167"/>
      <c r="J207" s="15"/>
      <c r="K207" s="15"/>
      <c r="L207" s="15"/>
      <c r="M207" s="15"/>
      <c r="N207" s="15"/>
      <c r="O207" s="15"/>
      <c r="P207" s="15"/>
      <c r="Q207" s="15"/>
      <c r="R207" s="15"/>
      <c r="S207" s="15"/>
      <c r="T207" s="15"/>
      <c r="U207" s="15"/>
      <c r="V207" s="15"/>
      <c r="W207" s="15"/>
      <c r="X207" s="15"/>
      <c r="Y207" s="15"/>
      <c r="Z207" s="15"/>
    </row>
    <row r="208" spans="1:26" ht="18.75" customHeight="1" x14ac:dyDescent="0.25">
      <c r="A208" s="17"/>
      <c r="B208" s="25"/>
      <c r="C208" s="24"/>
      <c r="D208" s="24"/>
      <c r="E208" s="24"/>
      <c r="F208" s="15"/>
      <c r="G208" s="15"/>
      <c r="H208" s="167"/>
      <c r="I208" s="167"/>
      <c r="J208" s="15"/>
      <c r="K208" s="15"/>
      <c r="L208" s="15"/>
      <c r="M208" s="15"/>
      <c r="N208" s="15"/>
      <c r="O208" s="15"/>
      <c r="P208" s="15"/>
      <c r="Q208" s="15"/>
      <c r="R208" s="15"/>
      <c r="S208" s="15"/>
      <c r="T208" s="15"/>
      <c r="U208" s="15"/>
      <c r="V208" s="15"/>
      <c r="W208" s="15"/>
      <c r="X208" s="15"/>
      <c r="Y208" s="15"/>
      <c r="Z208" s="15"/>
    </row>
    <row r="209" spans="1:26" ht="18.75" customHeight="1" x14ac:dyDescent="0.25">
      <c r="A209" s="17"/>
      <c r="B209" s="25"/>
      <c r="C209" s="24"/>
      <c r="D209" s="24"/>
      <c r="E209" s="24"/>
      <c r="F209" s="15"/>
      <c r="G209" s="15"/>
      <c r="H209" s="167"/>
      <c r="I209" s="167"/>
      <c r="J209" s="15"/>
      <c r="K209" s="15"/>
      <c r="L209" s="15"/>
      <c r="M209" s="15"/>
      <c r="N209" s="15"/>
      <c r="O209" s="15"/>
      <c r="P209" s="15"/>
      <c r="Q209" s="15"/>
      <c r="R209" s="15"/>
      <c r="S209" s="15"/>
      <c r="T209" s="15"/>
      <c r="U209" s="15"/>
      <c r="V209" s="15"/>
      <c r="W209" s="15"/>
      <c r="X209" s="15"/>
      <c r="Y209" s="15"/>
      <c r="Z209" s="15"/>
    </row>
    <row r="210" spans="1:26" ht="18.75" customHeight="1" x14ac:dyDescent="0.25">
      <c r="A210" s="17"/>
      <c r="B210" s="25"/>
      <c r="C210" s="24"/>
      <c r="D210" s="24"/>
      <c r="E210" s="24"/>
      <c r="F210" s="15"/>
      <c r="G210" s="15"/>
      <c r="H210" s="167"/>
      <c r="I210" s="167"/>
      <c r="J210" s="15"/>
      <c r="K210" s="15"/>
      <c r="L210" s="15"/>
      <c r="M210" s="15"/>
      <c r="N210" s="15"/>
      <c r="O210" s="15"/>
      <c r="P210" s="15"/>
      <c r="Q210" s="15"/>
      <c r="R210" s="15"/>
      <c r="S210" s="15"/>
      <c r="T210" s="15"/>
      <c r="U210" s="15"/>
      <c r="V210" s="15"/>
      <c r="W210" s="15"/>
      <c r="X210" s="15"/>
      <c r="Y210" s="15"/>
      <c r="Z210" s="15"/>
    </row>
    <row r="211" spans="1:26" ht="18.75" customHeight="1" x14ac:dyDescent="0.25">
      <c r="A211" s="17"/>
      <c r="B211" s="25"/>
      <c r="C211" s="24"/>
      <c r="D211" s="24"/>
      <c r="E211" s="24"/>
      <c r="F211" s="15"/>
      <c r="G211" s="15"/>
      <c r="H211" s="167"/>
      <c r="I211" s="167"/>
      <c r="J211" s="15"/>
      <c r="K211" s="15"/>
      <c r="L211" s="15"/>
      <c r="M211" s="15"/>
      <c r="N211" s="15"/>
      <c r="O211" s="15"/>
      <c r="P211" s="15"/>
      <c r="Q211" s="15"/>
      <c r="R211" s="15"/>
      <c r="S211" s="15"/>
      <c r="T211" s="15"/>
      <c r="U211" s="15"/>
      <c r="V211" s="15"/>
      <c r="W211" s="15"/>
      <c r="X211" s="15"/>
      <c r="Y211" s="15"/>
      <c r="Z211" s="15"/>
    </row>
    <row r="212" spans="1:26" ht="18.75" customHeight="1" x14ac:dyDescent="0.25">
      <c r="A212" s="17"/>
      <c r="B212" s="25"/>
      <c r="C212" s="24"/>
      <c r="D212" s="24"/>
      <c r="E212" s="24"/>
      <c r="F212" s="15"/>
      <c r="G212" s="15"/>
      <c r="H212" s="167"/>
      <c r="I212" s="167"/>
      <c r="J212" s="15"/>
      <c r="K212" s="15"/>
      <c r="L212" s="15"/>
      <c r="M212" s="15"/>
      <c r="N212" s="15"/>
      <c r="O212" s="15"/>
      <c r="P212" s="15"/>
      <c r="Q212" s="15"/>
      <c r="R212" s="15"/>
      <c r="S212" s="15"/>
      <c r="T212" s="15"/>
      <c r="U212" s="15"/>
      <c r="V212" s="15"/>
      <c r="W212" s="15"/>
      <c r="X212" s="15"/>
      <c r="Y212" s="15"/>
      <c r="Z212" s="15"/>
    </row>
    <row r="213" spans="1:26" ht="18.75" customHeight="1" x14ac:dyDescent="0.25">
      <c r="A213" s="17"/>
      <c r="B213" s="25"/>
      <c r="C213" s="24"/>
      <c r="D213" s="24"/>
      <c r="E213" s="24"/>
      <c r="F213" s="15"/>
      <c r="G213" s="15"/>
      <c r="H213" s="167"/>
      <c r="I213" s="167"/>
      <c r="J213" s="15"/>
      <c r="K213" s="15"/>
      <c r="L213" s="15"/>
      <c r="M213" s="15"/>
      <c r="N213" s="15"/>
      <c r="O213" s="15"/>
      <c r="P213" s="15"/>
      <c r="Q213" s="15"/>
      <c r="R213" s="15"/>
      <c r="S213" s="15"/>
      <c r="T213" s="15"/>
      <c r="U213" s="15"/>
      <c r="V213" s="15"/>
      <c r="W213" s="15"/>
      <c r="X213" s="15"/>
      <c r="Y213" s="15"/>
      <c r="Z213" s="15"/>
    </row>
    <row r="214" spans="1:26" ht="18.75" customHeight="1" x14ac:dyDescent="0.25">
      <c r="A214" s="17"/>
      <c r="B214" s="25"/>
      <c r="C214" s="24"/>
      <c r="D214" s="24"/>
      <c r="E214" s="24"/>
      <c r="F214" s="15"/>
      <c r="G214" s="15"/>
      <c r="H214" s="167"/>
      <c r="I214" s="167"/>
      <c r="J214" s="15"/>
      <c r="K214" s="15"/>
      <c r="L214" s="15"/>
      <c r="M214" s="15"/>
      <c r="N214" s="15"/>
      <c r="O214" s="15"/>
      <c r="P214" s="15"/>
      <c r="Q214" s="15"/>
      <c r="R214" s="15"/>
      <c r="S214" s="15"/>
      <c r="T214" s="15"/>
      <c r="U214" s="15"/>
      <c r="V214" s="15"/>
      <c r="W214" s="15"/>
      <c r="X214" s="15"/>
      <c r="Y214" s="15"/>
      <c r="Z214" s="15"/>
    </row>
    <row r="215" spans="1:26" ht="18.75" customHeight="1" x14ac:dyDescent="0.25">
      <c r="A215" s="17"/>
      <c r="B215" s="25"/>
      <c r="C215" s="24"/>
      <c r="D215" s="24"/>
      <c r="E215" s="24"/>
      <c r="F215" s="15"/>
      <c r="G215" s="15"/>
      <c r="H215" s="167"/>
      <c r="I215" s="167"/>
      <c r="J215" s="15"/>
      <c r="K215" s="15"/>
      <c r="L215" s="15"/>
      <c r="M215" s="15"/>
      <c r="N215" s="15"/>
      <c r="O215" s="15"/>
      <c r="P215" s="15"/>
      <c r="Q215" s="15"/>
      <c r="R215" s="15"/>
      <c r="S215" s="15"/>
      <c r="T215" s="15"/>
      <c r="U215" s="15"/>
      <c r="V215" s="15"/>
      <c r="W215" s="15"/>
      <c r="X215" s="15"/>
      <c r="Y215" s="15"/>
      <c r="Z215" s="15"/>
    </row>
    <row r="216" spans="1:26" ht="18.75" customHeight="1" x14ac:dyDescent="0.25">
      <c r="A216" s="17"/>
      <c r="B216" s="25"/>
      <c r="C216" s="24"/>
      <c r="D216" s="24"/>
      <c r="E216" s="24"/>
      <c r="F216" s="15"/>
      <c r="G216" s="15"/>
      <c r="H216" s="167"/>
      <c r="I216" s="167"/>
      <c r="J216" s="15"/>
      <c r="K216" s="15"/>
      <c r="L216" s="15"/>
      <c r="M216" s="15"/>
      <c r="N216" s="15"/>
      <c r="O216" s="15"/>
      <c r="P216" s="15"/>
      <c r="Q216" s="15"/>
      <c r="R216" s="15"/>
      <c r="S216" s="15"/>
      <c r="T216" s="15"/>
      <c r="U216" s="15"/>
      <c r="V216" s="15"/>
      <c r="W216" s="15"/>
      <c r="X216" s="15"/>
      <c r="Y216" s="15"/>
      <c r="Z216" s="15"/>
    </row>
    <row r="217" spans="1:26" ht="18.75" customHeight="1" x14ac:dyDescent="0.25">
      <c r="A217" s="17"/>
      <c r="B217" s="25"/>
      <c r="C217" s="24"/>
      <c r="D217" s="24"/>
      <c r="E217" s="24"/>
      <c r="F217" s="15"/>
      <c r="G217" s="15"/>
      <c r="H217" s="167"/>
      <c r="I217" s="167"/>
      <c r="J217" s="15"/>
      <c r="K217" s="15"/>
      <c r="L217" s="15"/>
      <c r="M217" s="15"/>
      <c r="N217" s="15"/>
      <c r="O217" s="15"/>
      <c r="P217" s="15"/>
      <c r="Q217" s="15"/>
      <c r="R217" s="15"/>
      <c r="S217" s="15"/>
      <c r="T217" s="15"/>
      <c r="U217" s="15"/>
      <c r="V217" s="15"/>
      <c r="W217" s="15"/>
      <c r="X217" s="15"/>
      <c r="Y217" s="15"/>
      <c r="Z217" s="15"/>
    </row>
    <row r="218" spans="1:26" ht="18.75" customHeight="1" x14ac:dyDescent="0.25">
      <c r="A218" s="17"/>
      <c r="B218" s="25"/>
      <c r="C218" s="24"/>
      <c r="D218" s="24"/>
      <c r="E218" s="24"/>
      <c r="F218" s="15"/>
      <c r="G218" s="15"/>
      <c r="H218" s="167"/>
      <c r="I218" s="167"/>
      <c r="J218" s="15"/>
      <c r="K218" s="15"/>
      <c r="L218" s="15"/>
      <c r="M218" s="15"/>
      <c r="N218" s="15"/>
      <c r="O218" s="15"/>
      <c r="P218" s="15"/>
      <c r="Q218" s="15"/>
      <c r="R218" s="15"/>
      <c r="S218" s="15"/>
      <c r="T218" s="15"/>
      <c r="U218" s="15"/>
      <c r="V218" s="15"/>
      <c r="W218" s="15"/>
      <c r="X218" s="15"/>
      <c r="Y218" s="15"/>
      <c r="Z218" s="15"/>
    </row>
    <row r="219" spans="1:26" ht="18.75" customHeight="1" x14ac:dyDescent="0.25">
      <c r="A219" s="17"/>
      <c r="B219" s="25"/>
      <c r="C219" s="24"/>
      <c r="D219" s="24"/>
      <c r="E219" s="24"/>
      <c r="F219" s="15"/>
      <c r="G219" s="15"/>
      <c r="H219" s="167"/>
      <c r="I219" s="167"/>
      <c r="J219" s="15"/>
      <c r="K219" s="15"/>
      <c r="L219" s="15"/>
      <c r="M219" s="15"/>
      <c r="N219" s="15"/>
      <c r="O219" s="15"/>
      <c r="P219" s="15"/>
      <c r="Q219" s="15"/>
      <c r="R219" s="15"/>
      <c r="S219" s="15"/>
      <c r="T219" s="15"/>
      <c r="U219" s="15"/>
      <c r="V219" s="15"/>
      <c r="W219" s="15"/>
      <c r="X219" s="15"/>
      <c r="Y219" s="15"/>
      <c r="Z219" s="15"/>
    </row>
    <row r="220" spans="1:26" ht="18.75" customHeight="1" x14ac:dyDescent="0.25">
      <c r="A220" s="17"/>
      <c r="B220" s="25"/>
      <c r="C220" s="24"/>
      <c r="D220" s="24"/>
      <c r="E220" s="24"/>
      <c r="F220" s="15"/>
      <c r="G220" s="15"/>
      <c r="H220" s="167"/>
      <c r="I220" s="167"/>
      <c r="J220" s="15"/>
      <c r="K220" s="15"/>
      <c r="L220" s="15"/>
      <c r="M220" s="15"/>
      <c r="N220" s="15"/>
      <c r="O220" s="15"/>
      <c r="P220" s="15"/>
      <c r="Q220" s="15"/>
      <c r="R220" s="15"/>
      <c r="S220" s="15"/>
      <c r="T220" s="15"/>
      <c r="U220" s="15"/>
      <c r="V220" s="15"/>
      <c r="W220" s="15"/>
      <c r="X220" s="15"/>
      <c r="Y220" s="15"/>
      <c r="Z220" s="15"/>
    </row>
    <row r="221" spans="1:26" ht="18.75" customHeight="1" x14ac:dyDescent="0.25">
      <c r="A221" s="17"/>
      <c r="B221" s="25"/>
      <c r="C221" s="24"/>
      <c r="D221" s="24"/>
      <c r="E221" s="24"/>
      <c r="F221" s="15"/>
      <c r="G221" s="15"/>
      <c r="H221" s="167"/>
      <c r="I221" s="167"/>
      <c r="J221" s="15"/>
      <c r="K221" s="15"/>
      <c r="L221" s="15"/>
      <c r="M221" s="15"/>
      <c r="N221" s="15"/>
      <c r="O221" s="15"/>
      <c r="P221" s="15"/>
      <c r="Q221" s="15"/>
      <c r="R221" s="15"/>
      <c r="S221" s="15"/>
      <c r="T221" s="15"/>
      <c r="U221" s="15"/>
      <c r="V221" s="15"/>
      <c r="W221" s="15"/>
      <c r="X221" s="15"/>
      <c r="Y221" s="15"/>
      <c r="Z221" s="15"/>
    </row>
    <row r="222" spans="1:26" ht="18.75" customHeight="1" x14ac:dyDescent="0.25">
      <c r="A222" s="17"/>
      <c r="B222" s="25"/>
      <c r="C222" s="24"/>
      <c r="D222" s="24"/>
      <c r="E222" s="24"/>
      <c r="F222" s="15"/>
      <c r="G222" s="15"/>
      <c r="H222" s="167"/>
      <c r="I222" s="167"/>
      <c r="J222" s="15"/>
      <c r="K222" s="15"/>
      <c r="L222" s="15"/>
      <c r="M222" s="15"/>
      <c r="N222" s="15"/>
      <c r="O222" s="15"/>
      <c r="P222" s="15"/>
      <c r="Q222" s="15"/>
      <c r="R222" s="15"/>
      <c r="S222" s="15"/>
      <c r="T222" s="15"/>
      <c r="U222" s="15"/>
      <c r="V222" s="15"/>
      <c r="W222" s="15"/>
      <c r="X222" s="15"/>
      <c r="Y222" s="15"/>
      <c r="Z222" s="15"/>
    </row>
    <row r="223" spans="1:26" ht="18.75" customHeight="1" x14ac:dyDescent="0.25">
      <c r="A223" s="17"/>
      <c r="B223" s="25"/>
      <c r="C223" s="24"/>
      <c r="D223" s="24"/>
      <c r="E223" s="24"/>
      <c r="F223" s="15"/>
      <c r="G223" s="15"/>
      <c r="H223" s="167"/>
      <c r="I223" s="167"/>
      <c r="J223" s="15"/>
      <c r="K223" s="15"/>
      <c r="L223" s="15"/>
      <c r="M223" s="15"/>
      <c r="N223" s="15"/>
      <c r="O223" s="15"/>
      <c r="P223" s="15"/>
      <c r="Q223" s="15"/>
      <c r="R223" s="15"/>
      <c r="S223" s="15"/>
      <c r="T223" s="15"/>
      <c r="U223" s="15"/>
      <c r="V223" s="15"/>
      <c r="W223" s="15"/>
      <c r="X223" s="15"/>
      <c r="Y223" s="15"/>
      <c r="Z223" s="15"/>
    </row>
    <row r="224" spans="1:26" ht="18.75" customHeight="1" x14ac:dyDescent="0.25">
      <c r="A224" s="17"/>
      <c r="B224" s="25"/>
      <c r="C224" s="24"/>
      <c r="D224" s="24"/>
      <c r="E224" s="24"/>
      <c r="F224" s="15"/>
      <c r="G224" s="15"/>
      <c r="H224" s="167"/>
      <c r="I224" s="167"/>
      <c r="J224" s="15"/>
      <c r="K224" s="15"/>
      <c r="L224" s="15"/>
      <c r="M224" s="15"/>
      <c r="N224" s="15"/>
      <c r="O224" s="15"/>
      <c r="P224" s="15"/>
      <c r="Q224" s="15"/>
      <c r="R224" s="15"/>
      <c r="S224" s="15"/>
      <c r="T224" s="15"/>
      <c r="U224" s="15"/>
      <c r="V224" s="15"/>
      <c r="W224" s="15"/>
      <c r="X224" s="15"/>
      <c r="Y224" s="15"/>
      <c r="Z224" s="15"/>
    </row>
    <row r="225" spans="1:26" ht="18.75" customHeight="1" x14ac:dyDescent="0.25">
      <c r="A225" s="17"/>
      <c r="B225" s="25"/>
      <c r="C225" s="24"/>
      <c r="D225" s="24"/>
      <c r="E225" s="24"/>
      <c r="F225" s="15"/>
      <c r="G225" s="15"/>
      <c r="H225" s="167"/>
      <c r="I225" s="167"/>
      <c r="J225" s="15"/>
      <c r="K225" s="15"/>
      <c r="L225" s="15"/>
      <c r="M225" s="15"/>
      <c r="N225" s="15"/>
      <c r="O225" s="15"/>
      <c r="P225" s="15"/>
      <c r="Q225" s="15"/>
      <c r="R225" s="15"/>
      <c r="S225" s="15"/>
      <c r="T225" s="15"/>
      <c r="U225" s="15"/>
      <c r="V225" s="15"/>
      <c r="W225" s="15"/>
      <c r="X225" s="15"/>
      <c r="Y225" s="15"/>
      <c r="Z225" s="15"/>
    </row>
    <row r="226" spans="1:26" ht="18.75" customHeight="1" x14ac:dyDescent="0.25">
      <c r="A226" s="17"/>
      <c r="B226" s="25"/>
      <c r="C226" s="24"/>
      <c r="D226" s="24"/>
      <c r="E226" s="24"/>
      <c r="F226" s="15"/>
      <c r="G226" s="15"/>
      <c r="H226" s="167"/>
      <c r="I226" s="167"/>
      <c r="J226" s="15"/>
      <c r="K226" s="15"/>
      <c r="L226" s="15"/>
      <c r="M226" s="15"/>
      <c r="N226" s="15"/>
      <c r="O226" s="15"/>
      <c r="P226" s="15"/>
      <c r="Q226" s="15"/>
      <c r="R226" s="15"/>
      <c r="S226" s="15"/>
      <c r="T226" s="15"/>
      <c r="U226" s="15"/>
      <c r="V226" s="15"/>
      <c r="W226" s="15"/>
      <c r="X226" s="15"/>
      <c r="Y226" s="15"/>
      <c r="Z226" s="15"/>
    </row>
    <row r="227" spans="1:26" ht="18.75" customHeight="1" x14ac:dyDescent="0.25">
      <c r="A227" s="17"/>
      <c r="B227" s="25"/>
      <c r="C227" s="24"/>
      <c r="D227" s="24"/>
      <c r="E227" s="24"/>
      <c r="F227" s="15"/>
      <c r="G227" s="15"/>
      <c r="H227" s="167"/>
      <c r="I227" s="167"/>
      <c r="J227" s="15"/>
      <c r="K227" s="15"/>
      <c r="L227" s="15"/>
      <c r="M227" s="15"/>
      <c r="N227" s="15"/>
      <c r="O227" s="15"/>
      <c r="P227" s="15"/>
      <c r="Q227" s="15"/>
      <c r="R227" s="15"/>
      <c r="S227" s="15"/>
      <c r="T227" s="15"/>
      <c r="U227" s="15"/>
      <c r="V227" s="15"/>
      <c r="W227" s="15"/>
      <c r="X227" s="15"/>
      <c r="Y227" s="15"/>
      <c r="Z227" s="15"/>
    </row>
    <row r="228" spans="1:26" ht="18.75" customHeight="1" x14ac:dyDescent="0.25">
      <c r="A228" s="17"/>
      <c r="B228" s="25"/>
      <c r="C228" s="24"/>
      <c r="D228" s="24"/>
      <c r="E228" s="24"/>
      <c r="F228" s="15"/>
      <c r="G228" s="15"/>
      <c r="H228" s="167"/>
      <c r="I228" s="167"/>
      <c r="J228" s="15"/>
      <c r="K228" s="15"/>
      <c r="L228" s="15"/>
      <c r="M228" s="15"/>
      <c r="N228" s="15"/>
      <c r="O228" s="15"/>
      <c r="P228" s="15"/>
      <c r="Q228" s="15"/>
      <c r="R228" s="15"/>
      <c r="S228" s="15"/>
      <c r="T228" s="15"/>
      <c r="U228" s="15"/>
      <c r="V228" s="15"/>
      <c r="W228" s="15"/>
      <c r="X228" s="15"/>
      <c r="Y228" s="15"/>
      <c r="Z228" s="15"/>
    </row>
    <row r="229" spans="1:26" ht="18.75" customHeight="1" x14ac:dyDescent="0.25">
      <c r="A229" s="17"/>
      <c r="B229" s="25"/>
      <c r="C229" s="24"/>
      <c r="D229" s="24"/>
      <c r="E229" s="24"/>
      <c r="F229" s="15"/>
      <c r="G229" s="15"/>
      <c r="H229" s="167"/>
      <c r="I229" s="167"/>
      <c r="J229" s="15"/>
      <c r="K229" s="15"/>
      <c r="L229" s="15"/>
      <c r="M229" s="15"/>
      <c r="N229" s="15"/>
      <c r="O229" s="15"/>
      <c r="P229" s="15"/>
      <c r="Q229" s="15"/>
      <c r="R229" s="15"/>
      <c r="S229" s="15"/>
      <c r="T229" s="15"/>
      <c r="U229" s="15"/>
      <c r="V229" s="15"/>
      <c r="W229" s="15"/>
      <c r="X229" s="15"/>
      <c r="Y229" s="15"/>
      <c r="Z229" s="15"/>
    </row>
    <row r="230" spans="1:26" ht="18.75" customHeight="1" x14ac:dyDescent="0.25">
      <c r="A230" s="17"/>
      <c r="B230" s="25"/>
      <c r="C230" s="24"/>
      <c r="D230" s="24"/>
      <c r="E230" s="24"/>
      <c r="F230" s="15"/>
      <c r="G230" s="15"/>
      <c r="H230" s="167"/>
      <c r="I230" s="167"/>
      <c r="J230" s="15"/>
      <c r="K230" s="15"/>
      <c r="L230" s="15"/>
      <c r="M230" s="15"/>
      <c r="N230" s="15"/>
      <c r="O230" s="15"/>
      <c r="P230" s="15"/>
      <c r="Q230" s="15"/>
      <c r="R230" s="15"/>
      <c r="S230" s="15"/>
      <c r="T230" s="15"/>
      <c r="U230" s="15"/>
      <c r="V230" s="15"/>
      <c r="W230" s="15"/>
      <c r="X230" s="15"/>
      <c r="Y230" s="15"/>
      <c r="Z230" s="15"/>
    </row>
    <row r="231" spans="1:26" ht="18.75" customHeight="1" x14ac:dyDescent="0.25">
      <c r="A231" s="17"/>
      <c r="B231" s="25"/>
      <c r="C231" s="24"/>
      <c r="D231" s="24"/>
      <c r="E231" s="24"/>
      <c r="F231" s="15"/>
      <c r="G231" s="15"/>
      <c r="H231" s="167"/>
      <c r="I231" s="167"/>
      <c r="J231" s="15"/>
      <c r="K231" s="15"/>
      <c r="L231" s="15"/>
      <c r="M231" s="15"/>
      <c r="N231" s="15"/>
      <c r="O231" s="15"/>
      <c r="P231" s="15"/>
      <c r="Q231" s="15"/>
      <c r="R231" s="15"/>
      <c r="S231" s="15"/>
      <c r="T231" s="15"/>
      <c r="U231" s="15"/>
      <c r="V231" s="15"/>
      <c r="W231" s="15"/>
      <c r="X231" s="15"/>
      <c r="Y231" s="15"/>
      <c r="Z231" s="15"/>
    </row>
    <row r="232" spans="1:26" ht="18.75" customHeight="1" x14ac:dyDescent="0.25">
      <c r="A232" s="17"/>
      <c r="B232" s="25"/>
      <c r="C232" s="24"/>
      <c r="D232" s="24"/>
      <c r="E232" s="24"/>
      <c r="F232" s="15"/>
      <c r="G232" s="15"/>
      <c r="H232" s="167"/>
      <c r="I232" s="167"/>
      <c r="J232" s="15"/>
      <c r="K232" s="15"/>
      <c r="L232" s="15"/>
      <c r="M232" s="15"/>
      <c r="N232" s="15"/>
      <c r="O232" s="15"/>
      <c r="P232" s="15"/>
      <c r="Q232" s="15"/>
      <c r="R232" s="15"/>
      <c r="S232" s="15"/>
      <c r="T232" s="15"/>
      <c r="U232" s="15"/>
      <c r="V232" s="15"/>
      <c r="W232" s="15"/>
      <c r="X232" s="15"/>
      <c r="Y232" s="15"/>
      <c r="Z232" s="15"/>
    </row>
    <row r="233" spans="1:26" ht="18.75" customHeight="1" x14ac:dyDescent="0.25">
      <c r="A233" s="17"/>
      <c r="B233" s="25"/>
      <c r="C233" s="24"/>
      <c r="D233" s="24"/>
      <c r="E233" s="24"/>
      <c r="F233" s="15"/>
      <c r="G233" s="15"/>
      <c r="H233" s="167"/>
      <c r="I233" s="167"/>
      <c r="J233" s="15"/>
      <c r="K233" s="15"/>
      <c r="L233" s="15"/>
      <c r="M233" s="15"/>
      <c r="N233" s="15"/>
      <c r="O233" s="15"/>
      <c r="P233" s="15"/>
      <c r="Q233" s="15"/>
      <c r="R233" s="15"/>
      <c r="S233" s="15"/>
      <c r="T233" s="15"/>
      <c r="U233" s="15"/>
      <c r="V233" s="15"/>
      <c r="W233" s="15"/>
      <c r="X233" s="15"/>
      <c r="Y233" s="15"/>
      <c r="Z233" s="15"/>
    </row>
    <row r="234" spans="1:26" ht="18.75" customHeight="1" x14ac:dyDescent="0.25">
      <c r="A234" s="17"/>
      <c r="B234" s="25"/>
      <c r="C234" s="24"/>
      <c r="D234" s="24"/>
      <c r="E234" s="24"/>
      <c r="F234" s="15"/>
      <c r="G234" s="15"/>
      <c r="H234" s="167"/>
      <c r="I234" s="167"/>
      <c r="J234" s="15"/>
      <c r="K234" s="15"/>
      <c r="L234" s="15"/>
      <c r="M234" s="15"/>
      <c r="N234" s="15"/>
      <c r="O234" s="15"/>
      <c r="P234" s="15"/>
      <c r="Q234" s="15"/>
      <c r="R234" s="15"/>
      <c r="S234" s="15"/>
      <c r="T234" s="15"/>
      <c r="U234" s="15"/>
      <c r="V234" s="15"/>
      <c r="W234" s="15"/>
      <c r="X234" s="15"/>
      <c r="Y234" s="15"/>
      <c r="Z234" s="15"/>
    </row>
    <row r="235" spans="1:26" ht="18.75" customHeight="1" x14ac:dyDescent="0.25">
      <c r="A235" s="17"/>
      <c r="B235" s="25"/>
      <c r="C235" s="24"/>
      <c r="D235" s="24"/>
      <c r="E235" s="24"/>
      <c r="F235" s="15"/>
      <c r="G235" s="15"/>
      <c r="H235" s="167"/>
      <c r="I235" s="167"/>
      <c r="J235" s="15"/>
      <c r="K235" s="15"/>
      <c r="L235" s="15"/>
      <c r="M235" s="15"/>
      <c r="N235" s="15"/>
      <c r="O235" s="15"/>
      <c r="P235" s="15"/>
      <c r="Q235" s="15"/>
      <c r="R235" s="15"/>
      <c r="S235" s="15"/>
      <c r="T235" s="15"/>
      <c r="U235" s="15"/>
      <c r="V235" s="15"/>
      <c r="W235" s="15"/>
      <c r="X235" s="15"/>
      <c r="Y235" s="15"/>
      <c r="Z235" s="15"/>
    </row>
    <row r="236" spans="1:26" ht="18.75" customHeight="1" x14ac:dyDescent="0.25">
      <c r="A236" s="17"/>
      <c r="B236" s="25"/>
      <c r="C236" s="24"/>
      <c r="D236" s="24"/>
      <c r="E236" s="24"/>
      <c r="F236" s="15"/>
      <c r="G236" s="15"/>
      <c r="H236" s="167"/>
      <c r="I236" s="167"/>
      <c r="J236" s="15"/>
      <c r="K236" s="15"/>
      <c r="L236" s="15"/>
      <c r="M236" s="15"/>
      <c r="N236" s="15"/>
      <c r="O236" s="15"/>
      <c r="P236" s="15"/>
      <c r="Q236" s="15"/>
      <c r="R236" s="15"/>
      <c r="S236" s="15"/>
      <c r="T236" s="15"/>
      <c r="U236" s="15"/>
      <c r="V236" s="15"/>
      <c r="W236" s="15"/>
      <c r="X236" s="15"/>
      <c r="Y236" s="15"/>
      <c r="Z236" s="15"/>
    </row>
    <row r="237" spans="1:26" ht="18.75" customHeight="1" x14ac:dyDescent="0.25">
      <c r="A237" s="17"/>
      <c r="B237" s="25"/>
      <c r="C237" s="24"/>
      <c r="D237" s="24"/>
      <c r="E237" s="24"/>
      <c r="F237" s="15"/>
      <c r="G237" s="15"/>
      <c r="H237" s="167"/>
      <c r="I237" s="167"/>
      <c r="J237" s="15"/>
      <c r="K237" s="15"/>
      <c r="L237" s="15"/>
      <c r="M237" s="15"/>
      <c r="N237" s="15"/>
      <c r="O237" s="15"/>
      <c r="P237" s="15"/>
      <c r="Q237" s="15"/>
      <c r="R237" s="15"/>
      <c r="S237" s="15"/>
      <c r="T237" s="15"/>
      <c r="U237" s="15"/>
      <c r="V237" s="15"/>
      <c r="W237" s="15"/>
      <c r="X237" s="15"/>
      <c r="Y237" s="15"/>
      <c r="Z237" s="15"/>
    </row>
    <row r="238" spans="1:26" ht="18.75" customHeight="1" x14ac:dyDescent="0.25">
      <c r="A238" s="17"/>
      <c r="B238" s="25"/>
      <c r="C238" s="24"/>
      <c r="D238" s="24"/>
      <c r="E238" s="24"/>
      <c r="F238" s="15"/>
      <c r="G238" s="15"/>
      <c r="H238" s="167"/>
      <c r="I238" s="167"/>
      <c r="J238" s="15"/>
      <c r="K238" s="15"/>
      <c r="L238" s="15"/>
      <c r="M238" s="15"/>
      <c r="N238" s="15"/>
      <c r="O238" s="15"/>
      <c r="P238" s="15"/>
      <c r="Q238" s="15"/>
      <c r="R238" s="15"/>
      <c r="S238" s="15"/>
      <c r="T238" s="15"/>
      <c r="U238" s="15"/>
      <c r="V238" s="15"/>
      <c r="W238" s="15"/>
      <c r="X238" s="15"/>
      <c r="Y238" s="15"/>
      <c r="Z238" s="15"/>
    </row>
    <row r="239" spans="1:26" ht="18.75" customHeight="1" x14ac:dyDescent="0.25">
      <c r="A239" s="17"/>
      <c r="B239" s="25"/>
      <c r="C239" s="24"/>
      <c r="D239" s="24"/>
      <c r="E239" s="24"/>
      <c r="F239" s="15"/>
      <c r="G239" s="15"/>
      <c r="H239" s="167"/>
      <c r="I239" s="167"/>
      <c r="J239" s="15"/>
      <c r="K239" s="15"/>
      <c r="L239" s="15"/>
      <c r="M239" s="15"/>
      <c r="N239" s="15"/>
      <c r="O239" s="15"/>
      <c r="P239" s="15"/>
      <c r="Q239" s="15"/>
      <c r="R239" s="15"/>
      <c r="S239" s="15"/>
      <c r="T239" s="15"/>
      <c r="U239" s="15"/>
      <c r="V239" s="15"/>
      <c r="W239" s="15"/>
      <c r="X239" s="15"/>
      <c r="Y239" s="15"/>
      <c r="Z239" s="15"/>
    </row>
    <row r="240" spans="1:26" ht="18.75" customHeight="1" x14ac:dyDescent="0.25">
      <c r="A240" s="17"/>
      <c r="B240" s="25"/>
      <c r="C240" s="24"/>
      <c r="D240" s="24"/>
      <c r="E240" s="24"/>
      <c r="F240" s="15"/>
      <c r="G240" s="15"/>
      <c r="H240" s="167"/>
      <c r="I240" s="167"/>
      <c r="J240" s="15"/>
      <c r="K240" s="15"/>
      <c r="L240" s="15"/>
      <c r="M240" s="15"/>
      <c r="N240" s="15"/>
      <c r="O240" s="15"/>
      <c r="P240" s="15"/>
      <c r="Q240" s="15"/>
      <c r="R240" s="15"/>
      <c r="S240" s="15"/>
      <c r="T240" s="15"/>
      <c r="U240" s="15"/>
      <c r="V240" s="15"/>
      <c r="W240" s="15"/>
      <c r="X240" s="15"/>
      <c r="Y240" s="15"/>
      <c r="Z240" s="15"/>
    </row>
    <row r="241" spans="1:26" ht="18.75" customHeight="1" x14ac:dyDescent="0.25">
      <c r="A241" s="17"/>
      <c r="B241" s="25"/>
      <c r="C241" s="24"/>
      <c r="D241" s="24"/>
      <c r="E241" s="24"/>
      <c r="F241" s="15"/>
      <c r="G241" s="15"/>
      <c r="H241" s="167"/>
      <c r="I241" s="167"/>
      <c r="J241" s="15"/>
      <c r="K241" s="15"/>
      <c r="L241" s="15"/>
      <c r="M241" s="15"/>
      <c r="N241" s="15"/>
      <c r="O241" s="15"/>
      <c r="P241" s="15"/>
      <c r="Q241" s="15"/>
      <c r="R241" s="15"/>
      <c r="S241" s="15"/>
      <c r="T241" s="15"/>
      <c r="U241" s="15"/>
      <c r="V241" s="15"/>
      <c r="W241" s="15"/>
      <c r="X241" s="15"/>
      <c r="Y241" s="15"/>
      <c r="Z241" s="15"/>
    </row>
    <row r="242" spans="1:26" ht="18.75" customHeight="1" x14ac:dyDescent="0.25">
      <c r="A242" s="17"/>
      <c r="B242" s="25"/>
      <c r="C242" s="24"/>
      <c r="D242" s="24"/>
      <c r="E242" s="24"/>
      <c r="F242" s="15"/>
      <c r="G242" s="15"/>
      <c r="H242" s="167"/>
      <c r="I242" s="167"/>
      <c r="J242" s="15"/>
      <c r="K242" s="15"/>
      <c r="L242" s="15"/>
      <c r="M242" s="15"/>
      <c r="N242" s="15"/>
      <c r="O242" s="15"/>
      <c r="P242" s="15"/>
      <c r="Q242" s="15"/>
      <c r="R242" s="15"/>
      <c r="S242" s="15"/>
      <c r="T242" s="15"/>
      <c r="U242" s="15"/>
      <c r="V242" s="15"/>
      <c r="W242" s="15"/>
      <c r="X242" s="15"/>
      <c r="Y242" s="15"/>
      <c r="Z242" s="15"/>
    </row>
    <row r="243" spans="1:26" ht="18.75" customHeight="1" x14ac:dyDescent="0.25">
      <c r="A243" s="17"/>
      <c r="B243" s="25"/>
      <c r="C243" s="24"/>
      <c r="D243" s="24"/>
      <c r="E243" s="24"/>
      <c r="F243" s="15"/>
      <c r="G243" s="15"/>
      <c r="H243" s="167"/>
      <c r="I243" s="167"/>
      <c r="J243" s="15"/>
      <c r="K243" s="15"/>
      <c r="L243" s="15"/>
      <c r="M243" s="15"/>
      <c r="N243" s="15"/>
      <c r="O243" s="15"/>
      <c r="P243" s="15"/>
      <c r="Q243" s="15"/>
      <c r="R243" s="15"/>
      <c r="S243" s="15"/>
      <c r="T243" s="15"/>
      <c r="U243" s="15"/>
      <c r="V243" s="15"/>
      <c r="W243" s="15"/>
      <c r="X243" s="15"/>
      <c r="Y243" s="15"/>
      <c r="Z243" s="15"/>
    </row>
    <row r="244" spans="1:26" ht="18.75" customHeight="1" x14ac:dyDescent="0.25">
      <c r="A244" s="17"/>
      <c r="B244" s="25"/>
      <c r="C244" s="24"/>
      <c r="D244" s="24"/>
      <c r="E244" s="24"/>
      <c r="F244" s="15"/>
      <c r="G244" s="15"/>
      <c r="H244" s="167"/>
      <c r="I244" s="167"/>
      <c r="J244" s="15"/>
      <c r="K244" s="15"/>
      <c r="L244" s="15"/>
      <c r="M244" s="15"/>
      <c r="N244" s="15"/>
      <c r="O244" s="15"/>
      <c r="P244" s="15"/>
      <c r="Q244" s="15"/>
      <c r="R244" s="15"/>
      <c r="S244" s="15"/>
      <c r="T244" s="15"/>
      <c r="U244" s="15"/>
      <c r="V244" s="15"/>
      <c r="W244" s="15"/>
      <c r="X244" s="15"/>
      <c r="Y244" s="15"/>
      <c r="Z244" s="15"/>
    </row>
    <row r="245" spans="1:26" ht="18.75" customHeight="1" x14ac:dyDescent="0.25">
      <c r="A245" s="17"/>
      <c r="B245" s="25"/>
      <c r="C245" s="24"/>
      <c r="D245" s="24"/>
      <c r="E245" s="24"/>
      <c r="F245" s="15"/>
      <c r="G245" s="15"/>
      <c r="H245" s="167"/>
      <c r="I245" s="167"/>
      <c r="J245" s="15"/>
      <c r="K245" s="15"/>
      <c r="L245" s="15"/>
      <c r="M245" s="15"/>
      <c r="N245" s="15"/>
      <c r="O245" s="15"/>
      <c r="P245" s="15"/>
      <c r="Q245" s="15"/>
      <c r="R245" s="15"/>
      <c r="S245" s="15"/>
      <c r="T245" s="15"/>
      <c r="U245" s="15"/>
      <c r="V245" s="15"/>
      <c r="W245" s="15"/>
      <c r="X245" s="15"/>
      <c r="Y245" s="15"/>
      <c r="Z245" s="15"/>
    </row>
    <row r="246" spans="1:26" ht="18.75" customHeight="1" x14ac:dyDescent="0.25">
      <c r="A246" s="17"/>
      <c r="B246" s="25"/>
      <c r="C246" s="24"/>
      <c r="D246" s="24"/>
      <c r="E246" s="24"/>
      <c r="F246" s="15"/>
      <c r="G246" s="15"/>
      <c r="H246" s="167"/>
      <c r="I246" s="167"/>
      <c r="J246" s="15"/>
      <c r="K246" s="15"/>
      <c r="L246" s="15"/>
      <c r="M246" s="15"/>
      <c r="N246" s="15"/>
      <c r="O246" s="15"/>
      <c r="P246" s="15"/>
      <c r="Q246" s="15"/>
      <c r="R246" s="15"/>
      <c r="S246" s="15"/>
      <c r="T246" s="15"/>
      <c r="U246" s="15"/>
      <c r="V246" s="15"/>
      <c r="W246" s="15"/>
      <c r="X246" s="15"/>
      <c r="Y246" s="15"/>
      <c r="Z246" s="15"/>
    </row>
    <row r="247" spans="1:26" ht="18.75" customHeight="1" x14ac:dyDescent="0.25">
      <c r="A247" s="17"/>
      <c r="B247" s="25"/>
      <c r="C247" s="24"/>
      <c r="D247" s="24"/>
      <c r="E247" s="24"/>
      <c r="F247" s="15"/>
      <c r="G247" s="15"/>
      <c r="H247" s="167"/>
      <c r="I247" s="167"/>
      <c r="J247" s="15"/>
      <c r="K247" s="15"/>
      <c r="L247" s="15"/>
      <c r="M247" s="15"/>
      <c r="N247" s="15"/>
      <c r="O247" s="15"/>
      <c r="P247" s="15"/>
      <c r="Q247" s="15"/>
      <c r="R247" s="15"/>
      <c r="S247" s="15"/>
      <c r="T247" s="15"/>
      <c r="U247" s="15"/>
      <c r="V247" s="15"/>
      <c r="W247" s="15"/>
      <c r="X247" s="15"/>
      <c r="Y247" s="15"/>
      <c r="Z247" s="15"/>
    </row>
    <row r="248" spans="1:26" ht="18.75" customHeight="1" x14ac:dyDescent="0.25">
      <c r="A248" s="17"/>
      <c r="B248" s="25"/>
      <c r="C248" s="24"/>
      <c r="D248" s="24"/>
      <c r="E248" s="24"/>
      <c r="F248" s="15"/>
      <c r="G248" s="15"/>
      <c r="H248" s="167"/>
      <c r="I248" s="167"/>
      <c r="J248" s="15"/>
      <c r="K248" s="15"/>
      <c r="L248" s="15"/>
      <c r="M248" s="15"/>
      <c r="N248" s="15"/>
      <c r="O248" s="15"/>
      <c r="P248" s="15"/>
      <c r="Q248" s="15"/>
      <c r="R248" s="15"/>
      <c r="S248" s="15"/>
      <c r="T248" s="15"/>
      <c r="U248" s="15"/>
      <c r="V248" s="15"/>
      <c r="W248" s="15"/>
      <c r="X248" s="15"/>
      <c r="Y248" s="15"/>
      <c r="Z248" s="15"/>
    </row>
    <row r="249" spans="1:26" ht="18.75" customHeight="1" x14ac:dyDescent="0.25">
      <c r="A249" s="17"/>
      <c r="B249" s="25"/>
      <c r="C249" s="24"/>
      <c r="D249" s="24"/>
      <c r="E249" s="24"/>
      <c r="F249" s="15"/>
      <c r="G249" s="15"/>
      <c r="H249" s="167"/>
      <c r="I249" s="167"/>
      <c r="J249" s="15"/>
      <c r="K249" s="15"/>
      <c r="L249" s="15"/>
      <c r="M249" s="15"/>
      <c r="N249" s="15"/>
      <c r="O249" s="15"/>
      <c r="P249" s="15"/>
      <c r="Q249" s="15"/>
      <c r="R249" s="15"/>
      <c r="S249" s="15"/>
      <c r="T249" s="15"/>
      <c r="U249" s="15"/>
      <c r="V249" s="15"/>
      <c r="W249" s="15"/>
      <c r="X249" s="15"/>
      <c r="Y249" s="15"/>
      <c r="Z249" s="15"/>
    </row>
    <row r="250" spans="1:26" ht="18.75" customHeight="1" x14ac:dyDescent="0.25">
      <c r="A250" s="17"/>
      <c r="B250" s="25"/>
      <c r="C250" s="24"/>
      <c r="D250" s="24"/>
      <c r="E250" s="24"/>
      <c r="F250" s="15"/>
      <c r="G250" s="15"/>
      <c r="H250" s="167"/>
      <c r="I250" s="167"/>
      <c r="J250" s="15"/>
      <c r="K250" s="15"/>
      <c r="L250" s="15"/>
      <c r="M250" s="15"/>
      <c r="N250" s="15"/>
      <c r="O250" s="15"/>
      <c r="P250" s="15"/>
      <c r="Q250" s="15"/>
      <c r="R250" s="15"/>
      <c r="S250" s="15"/>
      <c r="T250" s="15"/>
      <c r="U250" s="15"/>
      <c r="V250" s="15"/>
      <c r="W250" s="15"/>
      <c r="X250" s="15"/>
      <c r="Y250" s="15"/>
      <c r="Z250" s="15"/>
    </row>
    <row r="251" spans="1:26" ht="18.75" customHeight="1" x14ac:dyDescent="0.25">
      <c r="A251" s="17"/>
      <c r="B251" s="25"/>
      <c r="C251" s="24"/>
      <c r="D251" s="24"/>
      <c r="E251" s="24"/>
      <c r="F251" s="15"/>
      <c r="G251" s="15"/>
      <c r="H251" s="167"/>
      <c r="I251" s="167"/>
      <c r="J251" s="15"/>
      <c r="K251" s="15"/>
      <c r="L251" s="15"/>
      <c r="M251" s="15"/>
      <c r="N251" s="15"/>
      <c r="O251" s="15"/>
      <c r="P251" s="15"/>
      <c r="Q251" s="15"/>
      <c r="R251" s="15"/>
      <c r="S251" s="15"/>
      <c r="T251" s="15"/>
      <c r="U251" s="15"/>
      <c r="V251" s="15"/>
      <c r="W251" s="15"/>
      <c r="X251" s="15"/>
      <c r="Y251" s="15"/>
      <c r="Z251" s="15"/>
    </row>
    <row r="252" spans="1:26" ht="18.75" customHeight="1" x14ac:dyDescent="0.25">
      <c r="A252" s="17"/>
      <c r="B252" s="25"/>
      <c r="C252" s="24"/>
      <c r="D252" s="24"/>
      <c r="E252" s="24"/>
      <c r="F252" s="15"/>
      <c r="G252" s="15"/>
      <c r="H252" s="167"/>
      <c r="I252" s="167"/>
      <c r="J252" s="15"/>
      <c r="K252" s="15"/>
      <c r="L252" s="15"/>
      <c r="M252" s="15"/>
      <c r="N252" s="15"/>
      <c r="O252" s="15"/>
      <c r="P252" s="15"/>
      <c r="Q252" s="15"/>
      <c r="R252" s="15"/>
      <c r="S252" s="15"/>
      <c r="T252" s="15"/>
      <c r="U252" s="15"/>
      <c r="V252" s="15"/>
      <c r="W252" s="15"/>
      <c r="X252" s="15"/>
      <c r="Y252" s="15"/>
      <c r="Z252" s="15"/>
    </row>
    <row r="253" spans="1:26" ht="18.75" customHeight="1" x14ac:dyDescent="0.25">
      <c r="A253" s="17"/>
      <c r="B253" s="25"/>
      <c r="C253" s="24"/>
      <c r="D253" s="24"/>
      <c r="E253" s="24"/>
      <c r="F253" s="15"/>
      <c r="G253" s="15"/>
      <c r="H253" s="167"/>
      <c r="I253" s="167"/>
      <c r="J253" s="15"/>
      <c r="K253" s="15"/>
      <c r="L253" s="15"/>
      <c r="M253" s="15"/>
      <c r="N253" s="15"/>
      <c r="O253" s="15"/>
      <c r="P253" s="15"/>
      <c r="Q253" s="15"/>
      <c r="R253" s="15"/>
      <c r="S253" s="15"/>
      <c r="T253" s="15"/>
      <c r="U253" s="15"/>
      <c r="V253" s="15"/>
      <c r="W253" s="15"/>
      <c r="X253" s="15"/>
      <c r="Y253" s="15"/>
      <c r="Z253" s="15"/>
    </row>
    <row r="254" spans="1:26" ht="18.75" customHeight="1" x14ac:dyDescent="0.25">
      <c r="A254" s="17"/>
      <c r="B254" s="25"/>
      <c r="C254" s="24"/>
      <c r="D254" s="24"/>
      <c r="E254" s="24"/>
      <c r="F254" s="15"/>
      <c r="G254" s="15"/>
      <c r="H254" s="167"/>
      <c r="I254" s="167"/>
      <c r="J254" s="15"/>
      <c r="K254" s="15"/>
      <c r="L254" s="15"/>
      <c r="M254" s="15"/>
      <c r="N254" s="15"/>
      <c r="O254" s="15"/>
      <c r="P254" s="15"/>
      <c r="Q254" s="15"/>
      <c r="R254" s="15"/>
      <c r="S254" s="15"/>
      <c r="T254" s="15"/>
      <c r="U254" s="15"/>
      <c r="V254" s="15"/>
      <c r="W254" s="15"/>
      <c r="X254" s="15"/>
      <c r="Y254" s="15"/>
      <c r="Z254" s="15"/>
    </row>
    <row r="255" spans="1:26" ht="18.75" customHeight="1" x14ac:dyDescent="0.25">
      <c r="A255" s="17"/>
      <c r="B255" s="25"/>
      <c r="C255" s="24"/>
      <c r="D255" s="24"/>
      <c r="E255" s="24"/>
      <c r="F255" s="15"/>
      <c r="G255" s="15"/>
      <c r="H255" s="167"/>
      <c r="I255" s="167"/>
      <c r="J255" s="15"/>
      <c r="K255" s="15"/>
      <c r="L255" s="15"/>
      <c r="M255" s="15"/>
      <c r="N255" s="15"/>
      <c r="O255" s="15"/>
      <c r="P255" s="15"/>
      <c r="Q255" s="15"/>
      <c r="R255" s="15"/>
      <c r="S255" s="15"/>
      <c r="T255" s="15"/>
      <c r="U255" s="15"/>
      <c r="V255" s="15"/>
      <c r="W255" s="15"/>
      <c r="X255" s="15"/>
      <c r="Y255" s="15"/>
      <c r="Z255" s="15"/>
    </row>
    <row r="256" spans="1:26" ht="18.75" customHeight="1" x14ac:dyDescent="0.25">
      <c r="A256" s="17"/>
      <c r="B256" s="25"/>
      <c r="C256" s="24"/>
      <c r="D256" s="24"/>
      <c r="E256" s="24"/>
      <c r="F256" s="15"/>
      <c r="G256" s="15"/>
      <c r="H256" s="167"/>
      <c r="I256" s="167"/>
      <c r="J256" s="15"/>
      <c r="K256" s="15"/>
      <c r="L256" s="15"/>
      <c r="M256" s="15"/>
      <c r="N256" s="15"/>
      <c r="O256" s="15"/>
      <c r="P256" s="15"/>
      <c r="Q256" s="15"/>
      <c r="R256" s="15"/>
      <c r="S256" s="15"/>
      <c r="T256" s="15"/>
      <c r="U256" s="15"/>
      <c r="V256" s="15"/>
      <c r="W256" s="15"/>
      <c r="X256" s="15"/>
      <c r="Y256" s="15"/>
      <c r="Z256" s="15"/>
    </row>
    <row r="257" spans="1:26" ht="18.75" customHeight="1" x14ac:dyDescent="0.25">
      <c r="A257" s="17"/>
      <c r="B257" s="25"/>
      <c r="C257" s="24"/>
      <c r="D257" s="24"/>
      <c r="E257" s="24"/>
      <c r="F257" s="15"/>
      <c r="G257" s="15"/>
      <c r="H257" s="167"/>
      <c r="I257" s="167"/>
      <c r="J257" s="15"/>
      <c r="K257" s="15"/>
      <c r="L257" s="15"/>
      <c r="M257" s="15"/>
      <c r="N257" s="15"/>
      <c r="O257" s="15"/>
      <c r="P257" s="15"/>
      <c r="Q257" s="15"/>
      <c r="R257" s="15"/>
      <c r="S257" s="15"/>
      <c r="T257" s="15"/>
      <c r="U257" s="15"/>
      <c r="V257" s="15"/>
      <c r="W257" s="15"/>
      <c r="X257" s="15"/>
      <c r="Y257" s="15"/>
      <c r="Z257" s="15"/>
    </row>
    <row r="258" spans="1:26" ht="18.75" customHeight="1" x14ac:dyDescent="0.25">
      <c r="A258" s="17"/>
      <c r="B258" s="25"/>
      <c r="C258" s="24"/>
      <c r="D258" s="24"/>
      <c r="E258" s="24"/>
      <c r="F258" s="15"/>
      <c r="G258" s="15"/>
      <c r="H258" s="167"/>
      <c r="I258" s="167"/>
      <c r="J258" s="15"/>
      <c r="K258" s="15"/>
      <c r="L258" s="15"/>
      <c r="M258" s="15"/>
      <c r="N258" s="15"/>
      <c r="O258" s="15"/>
      <c r="P258" s="15"/>
      <c r="Q258" s="15"/>
      <c r="R258" s="15"/>
      <c r="S258" s="15"/>
      <c r="T258" s="15"/>
      <c r="U258" s="15"/>
      <c r="V258" s="15"/>
      <c r="W258" s="15"/>
      <c r="X258" s="15"/>
      <c r="Y258" s="15"/>
      <c r="Z258" s="15"/>
    </row>
    <row r="259" spans="1:26" ht="18.75" customHeight="1" x14ac:dyDescent="0.25">
      <c r="A259" s="17"/>
      <c r="B259" s="25"/>
      <c r="C259" s="24"/>
      <c r="D259" s="24"/>
      <c r="E259" s="24"/>
      <c r="F259" s="15"/>
      <c r="G259" s="15"/>
      <c r="H259" s="167"/>
      <c r="I259" s="167"/>
      <c r="J259" s="15"/>
      <c r="K259" s="15"/>
      <c r="L259" s="15"/>
      <c r="M259" s="15"/>
      <c r="N259" s="15"/>
      <c r="O259" s="15"/>
      <c r="P259" s="15"/>
      <c r="Q259" s="15"/>
      <c r="R259" s="15"/>
      <c r="S259" s="15"/>
      <c r="T259" s="15"/>
      <c r="U259" s="15"/>
      <c r="V259" s="15"/>
      <c r="W259" s="15"/>
      <c r="X259" s="15"/>
      <c r="Y259" s="15"/>
      <c r="Z259" s="15"/>
    </row>
    <row r="260" spans="1:26" ht="18.75" customHeight="1" x14ac:dyDescent="0.25">
      <c r="A260" s="17"/>
      <c r="B260" s="25"/>
      <c r="C260" s="24"/>
      <c r="D260" s="24"/>
      <c r="E260" s="24"/>
      <c r="F260" s="15"/>
      <c r="G260" s="15"/>
      <c r="H260" s="167"/>
      <c r="I260" s="167"/>
      <c r="J260" s="15"/>
      <c r="K260" s="15"/>
      <c r="L260" s="15"/>
      <c r="M260" s="15"/>
      <c r="N260" s="15"/>
      <c r="O260" s="15"/>
      <c r="P260" s="15"/>
      <c r="Q260" s="15"/>
      <c r="R260" s="15"/>
      <c r="S260" s="15"/>
      <c r="T260" s="15"/>
      <c r="U260" s="15"/>
      <c r="V260" s="15"/>
      <c r="W260" s="15"/>
      <c r="X260" s="15"/>
      <c r="Y260" s="15"/>
      <c r="Z260" s="15"/>
    </row>
    <row r="261" spans="1:26" ht="18.75" customHeight="1" x14ac:dyDescent="0.25">
      <c r="A261" s="17"/>
      <c r="B261" s="25"/>
      <c r="C261" s="24"/>
      <c r="D261" s="24"/>
      <c r="E261" s="24"/>
      <c r="F261" s="15"/>
      <c r="G261" s="15"/>
      <c r="H261" s="167"/>
      <c r="I261" s="167"/>
      <c r="J261" s="15"/>
      <c r="K261" s="15"/>
      <c r="L261" s="15"/>
      <c r="M261" s="15"/>
      <c r="N261" s="15"/>
      <c r="O261" s="15"/>
      <c r="P261" s="15"/>
      <c r="Q261" s="15"/>
      <c r="R261" s="15"/>
      <c r="S261" s="15"/>
      <c r="T261" s="15"/>
      <c r="U261" s="15"/>
      <c r="V261" s="15"/>
      <c r="W261" s="15"/>
      <c r="X261" s="15"/>
      <c r="Y261" s="15"/>
      <c r="Z261" s="15"/>
    </row>
    <row r="262" spans="1:26" ht="18.75" customHeight="1" x14ac:dyDescent="0.25">
      <c r="A262" s="17"/>
      <c r="B262" s="25"/>
      <c r="C262" s="24"/>
      <c r="D262" s="24"/>
      <c r="E262" s="24"/>
      <c r="F262" s="15"/>
      <c r="G262" s="15"/>
      <c r="H262" s="167"/>
      <c r="I262" s="167"/>
      <c r="J262" s="15"/>
      <c r="K262" s="15"/>
      <c r="L262" s="15"/>
      <c r="M262" s="15"/>
      <c r="N262" s="15"/>
      <c r="O262" s="15"/>
      <c r="P262" s="15"/>
      <c r="Q262" s="15"/>
      <c r="R262" s="15"/>
      <c r="S262" s="15"/>
      <c r="T262" s="15"/>
      <c r="U262" s="15"/>
      <c r="V262" s="15"/>
      <c r="W262" s="15"/>
      <c r="X262" s="15"/>
      <c r="Y262" s="15"/>
      <c r="Z262" s="15"/>
    </row>
    <row r="263" spans="1:26" ht="18.75" customHeight="1" x14ac:dyDescent="0.25">
      <c r="A263" s="17"/>
      <c r="B263" s="25"/>
      <c r="C263" s="24"/>
      <c r="D263" s="24"/>
      <c r="E263" s="24"/>
      <c r="F263" s="15"/>
      <c r="G263" s="15"/>
      <c r="H263" s="167"/>
      <c r="I263" s="167"/>
      <c r="J263" s="15"/>
      <c r="K263" s="15"/>
      <c r="L263" s="15"/>
      <c r="M263" s="15"/>
      <c r="N263" s="15"/>
      <c r="O263" s="15"/>
      <c r="P263" s="15"/>
      <c r="Q263" s="15"/>
      <c r="R263" s="15"/>
      <c r="S263" s="15"/>
      <c r="T263" s="15"/>
      <c r="U263" s="15"/>
      <c r="V263" s="15"/>
      <c r="W263" s="15"/>
      <c r="X263" s="15"/>
      <c r="Y263" s="15"/>
      <c r="Z263" s="15"/>
    </row>
    <row r="264" spans="1:26" ht="18.75" customHeight="1" x14ac:dyDescent="0.25">
      <c r="A264" s="17"/>
      <c r="B264" s="25"/>
      <c r="C264" s="24"/>
      <c r="D264" s="24"/>
      <c r="E264" s="24"/>
      <c r="F264" s="15"/>
      <c r="G264" s="15"/>
      <c r="H264" s="167"/>
      <c r="I264" s="167"/>
      <c r="J264" s="15"/>
      <c r="K264" s="15"/>
      <c r="L264" s="15"/>
      <c r="M264" s="15"/>
      <c r="N264" s="15"/>
      <c r="O264" s="15"/>
      <c r="P264" s="15"/>
      <c r="Q264" s="15"/>
      <c r="R264" s="15"/>
      <c r="S264" s="15"/>
      <c r="T264" s="15"/>
      <c r="U264" s="15"/>
      <c r="V264" s="15"/>
      <c r="W264" s="15"/>
      <c r="X264" s="15"/>
      <c r="Y264" s="15"/>
      <c r="Z264" s="15"/>
    </row>
    <row r="265" spans="1:26" ht="18.75" customHeight="1" x14ac:dyDescent="0.25">
      <c r="A265" s="17"/>
      <c r="B265" s="25"/>
      <c r="C265" s="24"/>
      <c r="D265" s="24"/>
      <c r="E265" s="24"/>
      <c r="F265" s="15"/>
      <c r="G265" s="15"/>
      <c r="H265" s="167"/>
      <c r="I265" s="167"/>
      <c r="J265" s="15"/>
      <c r="K265" s="15"/>
      <c r="L265" s="15"/>
      <c r="M265" s="15"/>
      <c r="N265" s="15"/>
      <c r="O265" s="15"/>
      <c r="P265" s="15"/>
      <c r="Q265" s="15"/>
      <c r="R265" s="15"/>
      <c r="S265" s="15"/>
      <c r="T265" s="15"/>
      <c r="U265" s="15"/>
      <c r="V265" s="15"/>
      <c r="W265" s="15"/>
      <c r="X265" s="15"/>
      <c r="Y265" s="15"/>
      <c r="Z265" s="15"/>
    </row>
    <row r="266" spans="1:26" ht="18.75" customHeight="1" x14ac:dyDescent="0.25">
      <c r="A266" s="17"/>
      <c r="B266" s="25"/>
      <c r="C266" s="24"/>
      <c r="D266" s="24"/>
      <c r="E266" s="24"/>
      <c r="F266" s="15"/>
      <c r="G266" s="15"/>
      <c r="H266" s="167"/>
      <c r="I266" s="167"/>
      <c r="J266" s="15"/>
      <c r="K266" s="15"/>
      <c r="L266" s="15"/>
      <c r="M266" s="15"/>
      <c r="N266" s="15"/>
      <c r="O266" s="15"/>
      <c r="P266" s="15"/>
      <c r="Q266" s="15"/>
      <c r="R266" s="15"/>
      <c r="S266" s="15"/>
      <c r="T266" s="15"/>
      <c r="U266" s="15"/>
      <c r="V266" s="15"/>
      <c r="W266" s="15"/>
      <c r="X266" s="15"/>
      <c r="Y266" s="15"/>
      <c r="Z266" s="15"/>
    </row>
    <row r="267" spans="1:26" ht="18.75" customHeight="1" x14ac:dyDescent="0.25">
      <c r="A267" s="17"/>
      <c r="B267" s="25"/>
      <c r="C267" s="24"/>
      <c r="D267" s="24"/>
      <c r="E267" s="24"/>
      <c r="F267" s="15"/>
      <c r="G267" s="15"/>
      <c r="H267" s="167"/>
      <c r="I267" s="167"/>
      <c r="J267" s="15"/>
      <c r="K267" s="15"/>
      <c r="L267" s="15"/>
      <c r="M267" s="15"/>
      <c r="N267" s="15"/>
      <c r="O267" s="15"/>
      <c r="P267" s="15"/>
      <c r="Q267" s="15"/>
      <c r="R267" s="15"/>
      <c r="S267" s="15"/>
      <c r="T267" s="15"/>
      <c r="U267" s="15"/>
      <c r="V267" s="15"/>
      <c r="W267" s="15"/>
      <c r="X267" s="15"/>
      <c r="Y267" s="15"/>
      <c r="Z267" s="15"/>
    </row>
    <row r="268" spans="1:26" ht="18.75" customHeight="1" x14ac:dyDescent="0.25">
      <c r="A268" s="17"/>
      <c r="B268" s="25"/>
      <c r="C268" s="24"/>
      <c r="D268" s="24"/>
      <c r="E268" s="24"/>
      <c r="F268" s="15"/>
      <c r="G268" s="15"/>
      <c r="H268" s="167"/>
      <c r="I268" s="167"/>
      <c r="J268" s="15"/>
      <c r="K268" s="15"/>
      <c r="L268" s="15"/>
      <c r="M268" s="15"/>
      <c r="N268" s="15"/>
      <c r="O268" s="15"/>
      <c r="P268" s="15"/>
      <c r="Q268" s="15"/>
      <c r="R268" s="15"/>
      <c r="S268" s="15"/>
      <c r="T268" s="15"/>
      <c r="U268" s="15"/>
      <c r="V268" s="15"/>
      <c r="W268" s="15"/>
      <c r="X268" s="15"/>
      <c r="Y268" s="15"/>
      <c r="Z268" s="15"/>
    </row>
    <row r="269" spans="1:26" ht="18.75" customHeight="1" x14ac:dyDescent="0.25">
      <c r="A269" s="17"/>
      <c r="B269" s="25"/>
      <c r="C269" s="24"/>
      <c r="D269" s="24"/>
      <c r="E269" s="24"/>
      <c r="F269" s="15"/>
      <c r="G269" s="15"/>
      <c r="H269" s="167"/>
      <c r="I269" s="167"/>
      <c r="J269" s="15"/>
      <c r="K269" s="15"/>
      <c r="L269" s="15"/>
      <c r="M269" s="15"/>
      <c r="N269" s="15"/>
      <c r="O269" s="15"/>
      <c r="P269" s="15"/>
      <c r="Q269" s="15"/>
      <c r="R269" s="15"/>
      <c r="S269" s="15"/>
      <c r="T269" s="15"/>
      <c r="U269" s="15"/>
      <c r="V269" s="15"/>
      <c r="W269" s="15"/>
      <c r="X269" s="15"/>
      <c r="Y269" s="15"/>
      <c r="Z269" s="15"/>
    </row>
    <row r="270" spans="1:26" ht="18.75" customHeight="1" x14ac:dyDescent="0.25">
      <c r="A270" s="17"/>
      <c r="B270" s="25"/>
      <c r="C270" s="24"/>
      <c r="D270" s="24"/>
      <c r="E270" s="24"/>
      <c r="F270" s="15"/>
      <c r="G270" s="15"/>
      <c r="H270" s="167"/>
      <c r="I270" s="167"/>
      <c r="J270" s="15"/>
      <c r="K270" s="15"/>
      <c r="L270" s="15"/>
      <c r="M270" s="15"/>
      <c r="N270" s="15"/>
      <c r="O270" s="15"/>
      <c r="P270" s="15"/>
      <c r="Q270" s="15"/>
      <c r="R270" s="15"/>
      <c r="S270" s="15"/>
      <c r="T270" s="15"/>
      <c r="U270" s="15"/>
      <c r="V270" s="15"/>
      <c r="W270" s="15"/>
      <c r="X270" s="15"/>
      <c r="Y270" s="15"/>
      <c r="Z270" s="15"/>
    </row>
    <row r="271" spans="1:26" ht="18.75" customHeight="1" x14ac:dyDescent="0.25">
      <c r="A271" s="17"/>
      <c r="B271" s="25"/>
      <c r="C271" s="24"/>
      <c r="D271" s="24"/>
      <c r="E271" s="24"/>
      <c r="F271" s="15"/>
      <c r="G271" s="15"/>
      <c r="H271" s="167"/>
      <c r="I271" s="167"/>
      <c r="J271" s="15"/>
      <c r="K271" s="15"/>
      <c r="L271" s="15"/>
      <c r="M271" s="15"/>
      <c r="N271" s="15"/>
      <c r="O271" s="15"/>
      <c r="P271" s="15"/>
      <c r="Q271" s="15"/>
      <c r="R271" s="15"/>
      <c r="S271" s="15"/>
      <c r="T271" s="15"/>
      <c r="U271" s="15"/>
      <c r="V271" s="15"/>
      <c r="W271" s="15"/>
      <c r="X271" s="15"/>
      <c r="Y271" s="15"/>
      <c r="Z271" s="15"/>
    </row>
    <row r="272" spans="1:26" ht="18.75" customHeight="1" x14ac:dyDescent="0.25">
      <c r="A272" s="17"/>
      <c r="B272" s="25"/>
      <c r="C272" s="24"/>
      <c r="D272" s="24"/>
      <c r="E272" s="24"/>
      <c r="F272" s="15"/>
      <c r="G272" s="15"/>
      <c r="H272" s="167"/>
      <c r="I272" s="167"/>
      <c r="J272" s="15"/>
      <c r="K272" s="15"/>
      <c r="L272" s="15"/>
      <c r="M272" s="15"/>
      <c r="N272" s="15"/>
      <c r="O272" s="15"/>
      <c r="P272" s="15"/>
      <c r="Q272" s="15"/>
      <c r="R272" s="15"/>
      <c r="S272" s="15"/>
      <c r="T272" s="15"/>
      <c r="U272" s="15"/>
      <c r="V272" s="15"/>
      <c r="W272" s="15"/>
      <c r="X272" s="15"/>
      <c r="Y272" s="15"/>
      <c r="Z272" s="15"/>
    </row>
    <row r="273" spans="1:26" ht="18.75" customHeight="1" x14ac:dyDescent="0.25">
      <c r="A273" s="17"/>
      <c r="B273" s="25"/>
      <c r="C273" s="24"/>
      <c r="D273" s="24"/>
      <c r="E273" s="24"/>
      <c r="F273" s="15"/>
      <c r="G273" s="15"/>
      <c r="H273" s="167"/>
      <c r="I273" s="167"/>
      <c r="J273" s="15"/>
      <c r="K273" s="15"/>
      <c r="L273" s="15"/>
      <c r="M273" s="15"/>
      <c r="N273" s="15"/>
      <c r="O273" s="15"/>
      <c r="P273" s="15"/>
      <c r="Q273" s="15"/>
      <c r="R273" s="15"/>
      <c r="S273" s="15"/>
      <c r="T273" s="15"/>
      <c r="U273" s="15"/>
      <c r="V273" s="15"/>
      <c r="W273" s="15"/>
      <c r="X273" s="15"/>
      <c r="Y273" s="15"/>
      <c r="Z273" s="15"/>
    </row>
    <row r="274" spans="1:26" ht="18.75" customHeight="1" x14ac:dyDescent="0.25">
      <c r="A274" s="17"/>
      <c r="B274" s="25"/>
      <c r="C274" s="24"/>
      <c r="D274" s="24"/>
      <c r="E274" s="24"/>
      <c r="F274" s="15"/>
      <c r="G274" s="15"/>
      <c r="H274" s="167"/>
      <c r="I274" s="167"/>
      <c r="J274" s="15"/>
      <c r="K274" s="15"/>
      <c r="L274" s="15"/>
      <c r="M274" s="15"/>
      <c r="N274" s="15"/>
      <c r="O274" s="15"/>
      <c r="P274" s="15"/>
      <c r="Q274" s="15"/>
      <c r="R274" s="15"/>
      <c r="S274" s="15"/>
      <c r="T274" s="15"/>
      <c r="U274" s="15"/>
      <c r="V274" s="15"/>
      <c r="W274" s="15"/>
      <c r="X274" s="15"/>
      <c r="Y274" s="15"/>
      <c r="Z274" s="15"/>
    </row>
    <row r="275" spans="1:26" ht="18.75" customHeight="1" x14ac:dyDescent="0.25">
      <c r="A275" s="17"/>
      <c r="B275" s="25"/>
      <c r="C275" s="24"/>
      <c r="D275" s="24"/>
      <c r="E275" s="24"/>
      <c r="F275" s="15"/>
      <c r="G275" s="15"/>
      <c r="H275" s="167"/>
      <c r="I275" s="167"/>
      <c r="J275" s="15"/>
      <c r="K275" s="15"/>
      <c r="L275" s="15"/>
      <c r="M275" s="15"/>
      <c r="N275" s="15"/>
      <c r="O275" s="15"/>
      <c r="P275" s="15"/>
      <c r="Q275" s="15"/>
      <c r="R275" s="15"/>
      <c r="S275" s="15"/>
      <c r="T275" s="15"/>
      <c r="U275" s="15"/>
      <c r="V275" s="15"/>
      <c r="W275" s="15"/>
      <c r="X275" s="15"/>
      <c r="Y275" s="15"/>
      <c r="Z275" s="15"/>
    </row>
    <row r="276" spans="1:26" ht="18.75" customHeight="1" x14ac:dyDescent="0.25">
      <c r="A276" s="17"/>
      <c r="B276" s="25"/>
      <c r="C276" s="24"/>
      <c r="D276" s="24"/>
      <c r="E276" s="24"/>
      <c r="F276" s="15"/>
      <c r="G276" s="15"/>
      <c r="H276" s="167"/>
      <c r="I276" s="167"/>
      <c r="J276" s="15"/>
      <c r="K276" s="15"/>
      <c r="L276" s="15"/>
      <c r="M276" s="15"/>
      <c r="N276" s="15"/>
      <c r="O276" s="15"/>
      <c r="P276" s="15"/>
      <c r="Q276" s="15"/>
      <c r="R276" s="15"/>
      <c r="S276" s="15"/>
      <c r="T276" s="15"/>
      <c r="U276" s="15"/>
      <c r="V276" s="15"/>
      <c r="W276" s="15"/>
      <c r="X276" s="15"/>
      <c r="Y276" s="15"/>
      <c r="Z276" s="15"/>
    </row>
    <row r="277" spans="1:26" ht="18.75" customHeight="1" x14ac:dyDescent="0.25">
      <c r="A277" s="17"/>
      <c r="B277" s="25"/>
      <c r="C277" s="24"/>
      <c r="D277" s="24"/>
      <c r="E277" s="24"/>
      <c r="F277" s="15"/>
      <c r="G277" s="15"/>
      <c r="H277" s="167"/>
      <c r="I277" s="167"/>
      <c r="J277" s="15"/>
      <c r="K277" s="15"/>
      <c r="L277" s="15"/>
      <c r="M277" s="15"/>
      <c r="N277" s="15"/>
      <c r="O277" s="15"/>
      <c r="P277" s="15"/>
      <c r="Q277" s="15"/>
      <c r="R277" s="15"/>
      <c r="S277" s="15"/>
      <c r="T277" s="15"/>
      <c r="U277" s="15"/>
      <c r="V277" s="15"/>
      <c r="W277" s="15"/>
      <c r="X277" s="15"/>
      <c r="Y277" s="15"/>
      <c r="Z277" s="15"/>
    </row>
    <row r="278" spans="1:26" ht="18.75" customHeight="1" x14ac:dyDescent="0.25">
      <c r="A278" s="17"/>
      <c r="B278" s="25"/>
      <c r="C278" s="24"/>
      <c r="D278" s="24"/>
      <c r="E278" s="24"/>
      <c r="F278" s="15"/>
      <c r="G278" s="15"/>
      <c r="H278" s="167"/>
      <c r="I278" s="167"/>
      <c r="J278" s="15"/>
      <c r="K278" s="15"/>
      <c r="L278" s="15"/>
      <c r="M278" s="15"/>
      <c r="N278" s="15"/>
      <c r="O278" s="15"/>
      <c r="P278" s="15"/>
      <c r="Q278" s="15"/>
      <c r="R278" s="15"/>
      <c r="S278" s="15"/>
      <c r="T278" s="15"/>
      <c r="U278" s="15"/>
      <c r="V278" s="15"/>
      <c r="W278" s="15"/>
      <c r="X278" s="15"/>
      <c r="Y278" s="15"/>
      <c r="Z278" s="15"/>
    </row>
    <row r="279" spans="1:26" ht="18.75" customHeight="1" x14ac:dyDescent="0.25">
      <c r="A279" s="17"/>
      <c r="B279" s="25"/>
      <c r="C279" s="24"/>
      <c r="D279" s="24"/>
      <c r="E279" s="24"/>
      <c r="F279" s="15"/>
      <c r="G279" s="15"/>
      <c r="H279" s="167"/>
      <c r="I279" s="167"/>
      <c r="J279" s="15"/>
      <c r="K279" s="15"/>
      <c r="L279" s="15"/>
      <c r="M279" s="15"/>
      <c r="N279" s="15"/>
      <c r="O279" s="15"/>
      <c r="P279" s="15"/>
      <c r="Q279" s="15"/>
      <c r="R279" s="15"/>
      <c r="S279" s="15"/>
      <c r="T279" s="15"/>
      <c r="U279" s="15"/>
      <c r="V279" s="15"/>
      <c r="W279" s="15"/>
      <c r="X279" s="15"/>
      <c r="Y279" s="15"/>
      <c r="Z279" s="15"/>
    </row>
    <row r="280" spans="1:26" ht="18.75" customHeight="1" x14ac:dyDescent="0.25">
      <c r="A280" s="17"/>
      <c r="B280" s="25"/>
      <c r="C280" s="24"/>
      <c r="D280" s="24"/>
      <c r="E280" s="24"/>
      <c r="F280" s="15"/>
      <c r="G280" s="15"/>
      <c r="H280" s="167"/>
      <c r="I280" s="167"/>
      <c r="J280" s="15"/>
      <c r="K280" s="15"/>
      <c r="L280" s="15"/>
      <c r="M280" s="15"/>
      <c r="N280" s="15"/>
      <c r="O280" s="15"/>
      <c r="P280" s="15"/>
      <c r="Q280" s="15"/>
      <c r="R280" s="15"/>
      <c r="S280" s="15"/>
      <c r="T280" s="15"/>
      <c r="U280" s="15"/>
      <c r="V280" s="15"/>
      <c r="W280" s="15"/>
      <c r="X280" s="15"/>
      <c r="Y280" s="15"/>
      <c r="Z280" s="15"/>
    </row>
    <row r="281" spans="1:26" ht="18.75" customHeight="1" x14ac:dyDescent="0.25">
      <c r="A281" s="17"/>
      <c r="B281" s="25"/>
      <c r="C281" s="24"/>
      <c r="D281" s="24"/>
      <c r="E281" s="24"/>
      <c r="F281" s="15"/>
      <c r="G281" s="15"/>
      <c r="H281" s="167"/>
      <c r="I281" s="167"/>
      <c r="J281" s="15"/>
      <c r="K281" s="15"/>
      <c r="L281" s="15"/>
      <c r="M281" s="15"/>
      <c r="N281" s="15"/>
      <c r="O281" s="15"/>
      <c r="P281" s="15"/>
      <c r="Q281" s="15"/>
      <c r="R281" s="15"/>
      <c r="S281" s="15"/>
      <c r="T281" s="15"/>
      <c r="U281" s="15"/>
      <c r="V281" s="15"/>
      <c r="W281" s="15"/>
      <c r="X281" s="15"/>
      <c r="Y281" s="15"/>
      <c r="Z281" s="15"/>
    </row>
    <row r="282" spans="1:26" ht="18.75" customHeight="1" x14ac:dyDescent="0.25">
      <c r="A282" s="17"/>
      <c r="B282" s="25"/>
      <c r="C282" s="24"/>
      <c r="D282" s="24"/>
      <c r="E282" s="24"/>
      <c r="F282" s="15"/>
      <c r="G282" s="15"/>
      <c r="H282" s="167"/>
      <c r="I282" s="167"/>
      <c r="J282" s="15"/>
      <c r="K282" s="15"/>
      <c r="L282" s="15"/>
      <c r="M282" s="15"/>
      <c r="N282" s="15"/>
      <c r="O282" s="15"/>
      <c r="P282" s="15"/>
      <c r="Q282" s="15"/>
      <c r="R282" s="15"/>
      <c r="S282" s="15"/>
      <c r="T282" s="15"/>
      <c r="U282" s="15"/>
      <c r="V282" s="15"/>
      <c r="W282" s="15"/>
      <c r="X282" s="15"/>
      <c r="Y282" s="15"/>
      <c r="Z282" s="15"/>
    </row>
    <row r="283" spans="1:26" ht="18.75" customHeight="1" x14ac:dyDescent="0.25">
      <c r="A283" s="17"/>
      <c r="B283" s="25"/>
      <c r="C283" s="24"/>
      <c r="D283" s="24"/>
      <c r="E283" s="24"/>
      <c r="F283" s="15"/>
      <c r="G283" s="15"/>
      <c r="H283" s="167"/>
      <c r="I283" s="167"/>
      <c r="J283" s="15"/>
      <c r="K283" s="15"/>
      <c r="L283" s="15"/>
      <c r="M283" s="15"/>
      <c r="N283" s="15"/>
      <c r="O283" s="15"/>
      <c r="P283" s="15"/>
      <c r="Q283" s="15"/>
      <c r="R283" s="15"/>
      <c r="S283" s="15"/>
      <c r="T283" s="15"/>
      <c r="U283" s="15"/>
      <c r="V283" s="15"/>
      <c r="W283" s="15"/>
      <c r="X283" s="15"/>
      <c r="Y283" s="15"/>
      <c r="Z283" s="15"/>
    </row>
    <row r="284" spans="1:26" ht="18.75" customHeight="1" x14ac:dyDescent="0.25">
      <c r="A284" s="17"/>
      <c r="B284" s="25"/>
      <c r="C284" s="24"/>
      <c r="D284" s="24"/>
      <c r="E284" s="24"/>
      <c r="F284" s="15"/>
      <c r="G284" s="15"/>
      <c r="H284" s="167"/>
      <c r="I284" s="167"/>
      <c r="J284" s="15"/>
      <c r="K284" s="15"/>
      <c r="L284" s="15"/>
      <c r="M284" s="15"/>
      <c r="N284" s="15"/>
      <c r="O284" s="15"/>
      <c r="P284" s="15"/>
      <c r="Q284" s="15"/>
      <c r="R284" s="15"/>
      <c r="S284" s="15"/>
      <c r="T284" s="15"/>
      <c r="U284" s="15"/>
      <c r="V284" s="15"/>
      <c r="W284" s="15"/>
      <c r="X284" s="15"/>
      <c r="Y284" s="15"/>
      <c r="Z284" s="15"/>
    </row>
    <row r="285" spans="1:26" ht="18.75" customHeight="1" x14ac:dyDescent="0.25">
      <c r="A285" s="17"/>
      <c r="B285" s="25"/>
      <c r="C285" s="24"/>
      <c r="D285" s="24"/>
      <c r="E285" s="24"/>
      <c r="F285" s="15"/>
      <c r="G285" s="15"/>
      <c r="H285" s="167"/>
      <c r="I285" s="167"/>
      <c r="J285" s="15"/>
      <c r="K285" s="15"/>
      <c r="L285" s="15"/>
      <c r="M285" s="15"/>
      <c r="N285" s="15"/>
      <c r="O285" s="15"/>
      <c r="P285" s="15"/>
      <c r="Q285" s="15"/>
      <c r="R285" s="15"/>
      <c r="S285" s="15"/>
      <c r="T285" s="15"/>
      <c r="U285" s="15"/>
      <c r="V285" s="15"/>
      <c r="W285" s="15"/>
      <c r="X285" s="15"/>
      <c r="Y285" s="15"/>
      <c r="Z285" s="15"/>
    </row>
    <row r="286" spans="1:26" ht="18.75" customHeight="1" x14ac:dyDescent="0.25">
      <c r="A286" s="17"/>
      <c r="B286" s="25"/>
      <c r="C286" s="24"/>
      <c r="D286" s="24"/>
      <c r="E286" s="24"/>
      <c r="F286" s="15"/>
      <c r="G286" s="15"/>
      <c r="H286" s="167"/>
      <c r="I286" s="167"/>
      <c r="J286" s="15"/>
      <c r="K286" s="15"/>
      <c r="L286" s="15"/>
      <c r="M286" s="15"/>
      <c r="N286" s="15"/>
      <c r="O286" s="15"/>
      <c r="P286" s="15"/>
      <c r="Q286" s="15"/>
      <c r="R286" s="15"/>
      <c r="S286" s="15"/>
      <c r="T286" s="15"/>
      <c r="U286" s="15"/>
      <c r="V286" s="15"/>
      <c r="W286" s="15"/>
      <c r="X286" s="15"/>
      <c r="Y286" s="15"/>
      <c r="Z286" s="15"/>
    </row>
    <row r="287" spans="1:26" ht="18.75" customHeight="1" x14ac:dyDescent="0.25">
      <c r="A287" s="17"/>
      <c r="B287" s="25"/>
      <c r="C287" s="24"/>
      <c r="D287" s="24"/>
      <c r="E287" s="24"/>
      <c r="F287" s="15"/>
      <c r="G287" s="15"/>
      <c r="H287" s="167"/>
      <c r="I287" s="167"/>
      <c r="J287" s="15"/>
      <c r="K287" s="15"/>
      <c r="L287" s="15"/>
      <c r="M287" s="15"/>
      <c r="N287" s="15"/>
      <c r="O287" s="15"/>
      <c r="P287" s="15"/>
      <c r="Q287" s="15"/>
      <c r="R287" s="15"/>
      <c r="S287" s="15"/>
      <c r="T287" s="15"/>
      <c r="U287" s="15"/>
      <c r="V287" s="15"/>
      <c r="W287" s="15"/>
      <c r="X287" s="15"/>
      <c r="Y287" s="15"/>
      <c r="Z287" s="15"/>
    </row>
    <row r="288" spans="1:26" ht="18.75" customHeight="1" x14ac:dyDescent="0.25">
      <c r="A288" s="17"/>
      <c r="B288" s="25"/>
      <c r="C288" s="24"/>
      <c r="D288" s="24"/>
      <c r="E288" s="24"/>
      <c r="F288" s="15"/>
      <c r="G288" s="15"/>
      <c r="H288" s="167"/>
      <c r="I288" s="167"/>
      <c r="J288" s="15"/>
      <c r="K288" s="15"/>
      <c r="L288" s="15"/>
      <c r="M288" s="15"/>
      <c r="N288" s="15"/>
      <c r="O288" s="15"/>
      <c r="P288" s="15"/>
      <c r="Q288" s="15"/>
      <c r="R288" s="15"/>
      <c r="S288" s="15"/>
      <c r="T288" s="15"/>
      <c r="U288" s="15"/>
      <c r="V288" s="15"/>
      <c r="W288" s="15"/>
      <c r="X288" s="15"/>
      <c r="Y288" s="15"/>
      <c r="Z288" s="15"/>
    </row>
    <row r="289" spans="1:26" ht="18.75" customHeight="1" x14ac:dyDescent="0.25">
      <c r="A289" s="17"/>
      <c r="B289" s="25"/>
      <c r="C289" s="24"/>
      <c r="D289" s="24"/>
      <c r="E289" s="24"/>
      <c r="F289" s="15"/>
      <c r="G289" s="15"/>
      <c r="H289" s="167"/>
      <c r="I289" s="167"/>
      <c r="J289" s="15"/>
      <c r="K289" s="15"/>
      <c r="L289" s="15"/>
      <c r="M289" s="15"/>
      <c r="N289" s="15"/>
      <c r="O289" s="15"/>
      <c r="P289" s="15"/>
      <c r="Q289" s="15"/>
      <c r="R289" s="15"/>
      <c r="S289" s="15"/>
      <c r="T289" s="15"/>
      <c r="U289" s="15"/>
      <c r="V289" s="15"/>
      <c r="W289" s="15"/>
      <c r="X289" s="15"/>
      <c r="Y289" s="15"/>
      <c r="Z289" s="15"/>
    </row>
    <row r="290" spans="1:26" ht="18.75" customHeight="1" x14ac:dyDescent="0.25">
      <c r="A290" s="17"/>
      <c r="B290" s="25"/>
      <c r="C290" s="24"/>
      <c r="D290" s="24"/>
      <c r="E290" s="24"/>
      <c r="F290" s="15"/>
      <c r="G290" s="15"/>
      <c r="H290" s="167"/>
      <c r="I290" s="167"/>
      <c r="J290" s="15"/>
      <c r="K290" s="15"/>
      <c r="L290" s="15"/>
      <c r="M290" s="15"/>
      <c r="N290" s="15"/>
      <c r="O290" s="15"/>
      <c r="P290" s="15"/>
      <c r="Q290" s="15"/>
      <c r="R290" s="15"/>
      <c r="S290" s="15"/>
      <c r="T290" s="15"/>
      <c r="U290" s="15"/>
      <c r="V290" s="15"/>
      <c r="W290" s="15"/>
      <c r="X290" s="15"/>
      <c r="Y290" s="15"/>
      <c r="Z290" s="15"/>
    </row>
    <row r="291" spans="1:26" ht="18.75" customHeight="1" x14ac:dyDescent="0.25">
      <c r="A291" s="17"/>
      <c r="B291" s="25"/>
      <c r="C291" s="24"/>
      <c r="D291" s="24"/>
      <c r="E291" s="24"/>
      <c r="F291" s="15"/>
      <c r="G291" s="15"/>
      <c r="H291" s="167"/>
      <c r="I291" s="167"/>
      <c r="J291" s="15"/>
      <c r="K291" s="15"/>
      <c r="L291" s="15"/>
      <c r="M291" s="15"/>
      <c r="N291" s="15"/>
      <c r="O291" s="15"/>
      <c r="P291" s="15"/>
      <c r="Q291" s="15"/>
      <c r="R291" s="15"/>
      <c r="S291" s="15"/>
      <c r="T291" s="15"/>
      <c r="U291" s="15"/>
      <c r="V291" s="15"/>
      <c r="W291" s="15"/>
      <c r="X291" s="15"/>
      <c r="Y291" s="15"/>
      <c r="Z291" s="15"/>
    </row>
    <row r="292" spans="1:26" ht="18.75" customHeight="1" x14ac:dyDescent="0.25">
      <c r="A292" s="17"/>
      <c r="B292" s="25"/>
      <c r="C292" s="24"/>
      <c r="D292" s="24"/>
      <c r="E292" s="24"/>
      <c r="F292" s="15"/>
      <c r="G292" s="15"/>
      <c r="H292" s="167"/>
      <c r="I292" s="167"/>
      <c r="J292" s="15"/>
      <c r="K292" s="15"/>
      <c r="L292" s="15"/>
      <c r="M292" s="15"/>
      <c r="N292" s="15"/>
      <c r="O292" s="15"/>
      <c r="P292" s="15"/>
      <c r="Q292" s="15"/>
      <c r="R292" s="15"/>
      <c r="S292" s="15"/>
      <c r="T292" s="15"/>
      <c r="U292" s="15"/>
      <c r="V292" s="15"/>
      <c r="W292" s="15"/>
      <c r="X292" s="15"/>
      <c r="Y292" s="15"/>
      <c r="Z292" s="15"/>
    </row>
    <row r="293" spans="1:26" ht="18.75" customHeight="1" x14ac:dyDescent="0.25">
      <c r="A293" s="17"/>
      <c r="B293" s="25"/>
      <c r="C293" s="24"/>
      <c r="D293" s="24"/>
      <c r="E293" s="24"/>
      <c r="F293" s="15"/>
      <c r="G293" s="15"/>
      <c r="H293" s="167"/>
      <c r="I293" s="167"/>
      <c r="J293" s="15"/>
      <c r="K293" s="15"/>
      <c r="L293" s="15"/>
      <c r="M293" s="15"/>
      <c r="N293" s="15"/>
      <c r="O293" s="15"/>
      <c r="P293" s="15"/>
      <c r="Q293" s="15"/>
      <c r="R293" s="15"/>
      <c r="S293" s="15"/>
      <c r="T293" s="15"/>
      <c r="U293" s="15"/>
      <c r="V293" s="15"/>
      <c r="W293" s="15"/>
      <c r="X293" s="15"/>
      <c r="Y293" s="15"/>
      <c r="Z293" s="15"/>
    </row>
    <row r="294" spans="1:26" ht="18.75" customHeight="1" x14ac:dyDescent="0.25">
      <c r="A294" s="17"/>
      <c r="B294" s="25"/>
      <c r="C294" s="24"/>
      <c r="D294" s="24"/>
      <c r="E294" s="24"/>
      <c r="F294" s="15"/>
      <c r="G294" s="15"/>
      <c r="H294" s="167"/>
      <c r="I294" s="167"/>
      <c r="J294" s="15"/>
      <c r="K294" s="15"/>
      <c r="L294" s="15"/>
      <c r="M294" s="15"/>
      <c r="N294" s="15"/>
      <c r="O294" s="15"/>
      <c r="P294" s="15"/>
      <c r="Q294" s="15"/>
      <c r="R294" s="15"/>
      <c r="S294" s="15"/>
      <c r="T294" s="15"/>
      <c r="U294" s="15"/>
      <c r="V294" s="15"/>
      <c r="W294" s="15"/>
      <c r="X294" s="15"/>
      <c r="Y294" s="15"/>
      <c r="Z294" s="15"/>
    </row>
    <row r="295" spans="1:26" ht="18.75" customHeight="1" x14ac:dyDescent="0.25">
      <c r="A295" s="17"/>
      <c r="B295" s="25"/>
      <c r="C295" s="24"/>
      <c r="D295" s="24"/>
      <c r="E295" s="24"/>
      <c r="F295" s="15"/>
      <c r="G295" s="15"/>
      <c r="H295" s="167"/>
      <c r="I295" s="167"/>
      <c r="J295" s="15"/>
      <c r="K295" s="15"/>
      <c r="L295" s="15"/>
      <c r="M295" s="15"/>
      <c r="N295" s="15"/>
      <c r="O295" s="15"/>
      <c r="P295" s="15"/>
      <c r="Q295" s="15"/>
      <c r="R295" s="15"/>
      <c r="S295" s="15"/>
      <c r="T295" s="15"/>
      <c r="U295" s="15"/>
      <c r="V295" s="15"/>
      <c r="W295" s="15"/>
      <c r="X295" s="15"/>
      <c r="Y295" s="15"/>
      <c r="Z295" s="15"/>
    </row>
    <row r="296" spans="1:26" ht="18.75" customHeight="1" x14ac:dyDescent="0.25">
      <c r="A296" s="17"/>
      <c r="B296" s="25"/>
      <c r="C296" s="24"/>
      <c r="D296" s="24"/>
      <c r="E296" s="24"/>
      <c r="F296" s="15"/>
      <c r="G296" s="15"/>
      <c r="H296" s="167"/>
      <c r="I296" s="167"/>
      <c r="J296" s="15"/>
      <c r="K296" s="15"/>
      <c r="L296" s="15"/>
      <c r="M296" s="15"/>
      <c r="N296" s="15"/>
      <c r="O296" s="15"/>
      <c r="P296" s="15"/>
      <c r="Q296" s="15"/>
      <c r="R296" s="15"/>
      <c r="S296" s="15"/>
      <c r="T296" s="15"/>
      <c r="U296" s="15"/>
      <c r="V296" s="15"/>
      <c r="W296" s="15"/>
      <c r="X296" s="15"/>
      <c r="Y296" s="15"/>
      <c r="Z296" s="15"/>
    </row>
    <row r="297" spans="1:26" ht="18.75" customHeight="1" x14ac:dyDescent="0.25">
      <c r="A297" s="17"/>
      <c r="B297" s="25"/>
      <c r="C297" s="24"/>
      <c r="D297" s="24"/>
      <c r="E297" s="24"/>
      <c r="F297" s="15"/>
      <c r="G297" s="15"/>
      <c r="H297" s="167"/>
      <c r="I297" s="167"/>
      <c r="J297" s="15"/>
      <c r="K297" s="15"/>
      <c r="L297" s="15"/>
      <c r="M297" s="15"/>
      <c r="N297" s="15"/>
      <c r="O297" s="15"/>
      <c r="P297" s="15"/>
      <c r="Q297" s="15"/>
      <c r="R297" s="15"/>
      <c r="S297" s="15"/>
      <c r="T297" s="15"/>
      <c r="U297" s="15"/>
      <c r="V297" s="15"/>
      <c r="W297" s="15"/>
      <c r="X297" s="15"/>
      <c r="Y297" s="15"/>
      <c r="Z297" s="15"/>
    </row>
    <row r="298" spans="1:26" ht="18.75" customHeight="1" x14ac:dyDescent="0.25">
      <c r="A298" s="17"/>
      <c r="B298" s="25"/>
      <c r="C298" s="24"/>
      <c r="D298" s="24"/>
      <c r="E298" s="24"/>
      <c r="F298" s="15"/>
      <c r="G298" s="15"/>
      <c r="H298" s="167"/>
      <c r="I298" s="167"/>
      <c r="J298" s="15"/>
      <c r="K298" s="15"/>
      <c r="L298" s="15"/>
      <c r="M298" s="15"/>
      <c r="N298" s="15"/>
      <c r="O298" s="15"/>
      <c r="P298" s="15"/>
      <c r="Q298" s="15"/>
      <c r="R298" s="15"/>
      <c r="S298" s="15"/>
      <c r="T298" s="15"/>
      <c r="U298" s="15"/>
      <c r="V298" s="15"/>
      <c r="W298" s="15"/>
      <c r="X298" s="15"/>
      <c r="Y298" s="15"/>
      <c r="Z298" s="15"/>
    </row>
    <row r="299" spans="1:26" ht="18.75" customHeight="1" x14ac:dyDescent="0.25">
      <c r="A299" s="17"/>
      <c r="B299" s="25"/>
      <c r="C299" s="24"/>
      <c r="D299" s="24"/>
      <c r="E299" s="24"/>
      <c r="F299" s="15"/>
      <c r="G299" s="15"/>
      <c r="H299" s="167"/>
      <c r="I299" s="167"/>
      <c r="J299" s="15"/>
      <c r="K299" s="15"/>
      <c r="L299" s="15"/>
      <c r="M299" s="15"/>
      <c r="N299" s="15"/>
      <c r="O299" s="15"/>
      <c r="P299" s="15"/>
      <c r="Q299" s="15"/>
      <c r="R299" s="15"/>
      <c r="S299" s="15"/>
      <c r="T299" s="15"/>
      <c r="U299" s="15"/>
      <c r="V299" s="15"/>
      <c r="W299" s="15"/>
      <c r="X299" s="15"/>
      <c r="Y299" s="15"/>
      <c r="Z299" s="15"/>
    </row>
    <row r="300" spans="1:26" ht="18.75" customHeight="1" x14ac:dyDescent="0.25">
      <c r="A300" s="17"/>
      <c r="B300" s="25"/>
      <c r="C300" s="24"/>
      <c r="D300" s="24"/>
      <c r="E300" s="24"/>
      <c r="F300" s="15"/>
      <c r="G300" s="15"/>
      <c r="H300" s="167"/>
      <c r="I300" s="167"/>
      <c r="J300" s="15"/>
      <c r="K300" s="15"/>
      <c r="L300" s="15"/>
      <c r="M300" s="15"/>
      <c r="N300" s="15"/>
      <c r="O300" s="15"/>
      <c r="P300" s="15"/>
      <c r="Q300" s="15"/>
      <c r="R300" s="15"/>
      <c r="S300" s="15"/>
      <c r="T300" s="15"/>
      <c r="U300" s="15"/>
      <c r="V300" s="15"/>
      <c r="W300" s="15"/>
      <c r="X300" s="15"/>
      <c r="Y300" s="15"/>
      <c r="Z300" s="15"/>
    </row>
    <row r="301" spans="1:26" ht="18.75" customHeight="1" x14ac:dyDescent="0.25">
      <c r="A301" s="17"/>
      <c r="B301" s="25"/>
      <c r="C301" s="24"/>
      <c r="D301" s="24"/>
      <c r="E301" s="24"/>
      <c r="F301" s="15"/>
      <c r="G301" s="15"/>
      <c r="H301" s="167"/>
      <c r="I301" s="167"/>
      <c r="J301" s="15"/>
      <c r="K301" s="15"/>
      <c r="L301" s="15"/>
      <c r="M301" s="15"/>
      <c r="N301" s="15"/>
      <c r="O301" s="15"/>
      <c r="P301" s="15"/>
      <c r="Q301" s="15"/>
      <c r="R301" s="15"/>
      <c r="S301" s="15"/>
      <c r="T301" s="15"/>
      <c r="U301" s="15"/>
      <c r="V301" s="15"/>
      <c r="W301" s="15"/>
      <c r="X301" s="15"/>
      <c r="Y301" s="15"/>
      <c r="Z301" s="15"/>
    </row>
    <row r="302" spans="1:26" ht="18.75" customHeight="1" x14ac:dyDescent="0.25">
      <c r="A302" s="17"/>
      <c r="B302" s="25"/>
      <c r="C302" s="24"/>
      <c r="D302" s="24"/>
      <c r="E302" s="24"/>
      <c r="F302" s="15"/>
      <c r="G302" s="15"/>
      <c r="H302" s="167"/>
      <c r="I302" s="167"/>
      <c r="J302" s="15"/>
      <c r="K302" s="15"/>
      <c r="L302" s="15"/>
      <c r="M302" s="15"/>
      <c r="N302" s="15"/>
      <c r="O302" s="15"/>
      <c r="P302" s="15"/>
      <c r="Q302" s="15"/>
      <c r="R302" s="15"/>
      <c r="S302" s="15"/>
      <c r="T302" s="15"/>
      <c r="U302" s="15"/>
      <c r="V302" s="15"/>
      <c r="W302" s="15"/>
      <c r="X302" s="15"/>
      <c r="Y302" s="15"/>
      <c r="Z302" s="15"/>
    </row>
    <row r="303" spans="1:26" ht="18.75" customHeight="1" x14ac:dyDescent="0.25">
      <c r="A303" s="17"/>
      <c r="B303" s="25"/>
      <c r="C303" s="24"/>
      <c r="D303" s="24"/>
      <c r="E303" s="24"/>
      <c r="F303" s="15"/>
      <c r="G303" s="15"/>
      <c r="H303" s="167"/>
      <c r="I303" s="167"/>
      <c r="J303" s="15"/>
      <c r="K303" s="15"/>
      <c r="L303" s="15"/>
      <c r="M303" s="15"/>
      <c r="N303" s="15"/>
      <c r="O303" s="15"/>
      <c r="P303" s="15"/>
      <c r="Q303" s="15"/>
      <c r="R303" s="15"/>
      <c r="S303" s="15"/>
      <c r="T303" s="15"/>
      <c r="U303" s="15"/>
      <c r="V303" s="15"/>
      <c r="W303" s="15"/>
      <c r="X303" s="15"/>
      <c r="Y303" s="15"/>
      <c r="Z303" s="15"/>
    </row>
    <row r="304" spans="1:26" ht="18.75" customHeight="1" x14ac:dyDescent="0.25">
      <c r="A304" s="17"/>
      <c r="B304" s="25"/>
      <c r="C304" s="24"/>
      <c r="D304" s="24"/>
      <c r="E304" s="24"/>
      <c r="F304" s="15"/>
      <c r="G304" s="15"/>
      <c r="H304" s="167"/>
      <c r="I304" s="167"/>
      <c r="J304" s="15"/>
      <c r="K304" s="15"/>
      <c r="L304" s="15"/>
      <c r="M304" s="15"/>
      <c r="N304" s="15"/>
      <c r="O304" s="15"/>
      <c r="P304" s="15"/>
      <c r="Q304" s="15"/>
      <c r="R304" s="15"/>
      <c r="S304" s="15"/>
      <c r="T304" s="15"/>
      <c r="U304" s="15"/>
      <c r="V304" s="15"/>
      <c r="W304" s="15"/>
      <c r="X304" s="15"/>
      <c r="Y304" s="15"/>
      <c r="Z304" s="15"/>
    </row>
    <row r="305" spans="1:26" ht="18.75" customHeight="1" x14ac:dyDescent="0.25">
      <c r="A305" s="17"/>
      <c r="B305" s="25"/>
      <c r="C305" s="24"/>
      <c r="D305" s="24"/>
      <c r="E305" s="24"/>
      <c r="F305" s="15"/>
      <c r="G305" s="15"/>
      <c r="H305" s="167"/>
      <c r="I305" s="167"/>
      <c r="J305" s="15"/>
      <c r="K305" s="15"/>
      <c r="L305" s="15"/>
      <c r="M305" s="15"/>
      <c r="N305" s="15"/>
      <c r="O305" s="15"/>
      <c r="P305" s="15"/>
      <c r="Q305" s="15"/>
      <c r="R305" s="15"/>
      <c r="S305" s="15"/>
      <c r="T305" s="15"/>
      <c r="U305" s="15"/>
      <c r="V305" s="15"/>
      <c r="W305" s="15"/>
      <c r="X305" s="15"/>
      <c r="Y305" s="15"/>
      <c r="Z305" s="15"/>
    </row>
    <row r="306" spans="1:26" ht="15.75" customHeight="1" x14ac:dyDescent="0.25">
      <c r="H306" s="168"/>
      <c r="I306" s="168"/>
    </row>
    <row r="307" spans="1:26" ht="15.75" customHeight="1" x14ac:dyDescent="0.25">
      <c r="H307" s="168"/>
      <c r="I307" s="168"/>
    </row>
    <row r="308" spans="1:26" ht="15.75" customHeight="1" x14ac:dyDescent="0.25">
      <c r="H308" s="168"/>
      <c r="I308" s="168"/>
    </row>
    <row r="309" spans="1:26" ht="15.75" customHeight="1" x14ac:dyDescent="0.25">
      <c r="H309" s="168"/>
      <c r="I309" s="168"/>
    </row>
    <row r="310" spans="1:26" ht="15.75" customHeight="1" x14ac:dyDescent="0.25">
      <c r="H310" s="168"/>
      <c r="I310" s="168"/>
    </row>
    <row r="311" spans="1:26" ht="15.75" customHeight="1" x14ac:dyDescent="0.25">
      <c r="H311" s="168"/>
      <c r="I311" s="168"/>
    </row>
    <row r="312" spans="1:26" ht="15.75" customHeight="1" x14ac:dyDescent="0.25">
      <c r="H312" s="168"/>
      <c r="I312" s="168"/>
    </row>
    <row r="313" spans="1:26" ht="15.75" customHeight="1" x14ac:dyDescent="0.25">
      <c r="H313" s="168"/>
      <c r="I313" s="168"/>
    </row>
    <row r="314" spans="1:26" ht="15.75" customHeight="1" x14ac:dyDescent="0.25">
      <c r="H314" s="168"/>
      <c r="I314" s="168"/>
    </row>
    <row r="315" spans="1:26" ht="15.75" customHeight="1" x14ac:dyDescent="0.25">
      <c r="H315" s="168"/>
      <c r="I315" s="168"/>
    </row>
    <row r="316" spans="1:26" ht="15.75" customHeight="1" x14ac:dyDescent="0.25">
      <c r="H316" s="168"/>
      <c r="I316" s="168"/>
    </row>
    <row r="317" spans="1:26" ht="15.75" customHeight="1" x14ac:dyDescent="0.25">
      <c r="H317" s="168"/>
      <c r="I317" s="168"/>
    </row>
    <row r="318" spans="1:26" ht="15.75" customHeight="1" x14ac:dyDescent="0.25">
      <c r="H318" s="168"/>
      <c r="I318" s="168"/>
    </row>
    <row r="319" spans="1:26" ht="15.75" customHeight="1" x14ac:dyDescent="0.25">
      <c r="H319" s="168"/>
      <c r="I319" s="168"/>
    </row>
    <row r="320" spans="1:26" ht="15.75" customHeight="1" x14ac:dyDescent="0.25">
      <c r="H320" s="168"/>
      <c r="I320" s="168"/>
    </row>
    <row r="321" spans="8:9" ht="15.75" customHeight="1" x14ac:dyDescent="0.25">
      <c r="H321" s="168"/>
      <c r="I321" s="168"/>
    </row>
    <row r="322" spans="8:9" ht="15.75" customHeight="1" x14ac:dyDescent="0.25">
      <c r="H322" s="168"/>
      <c r="I322" s="168"/>
    </row>
    <row r="323" spans="8:9" ht="15.75" customHeight="1" x14ac:dyDescent="0.25">
      <c r="H323" s="168"/>
      <c r="I323" s="168"/>
    </row>
    <row r="324" spans="8:9" ht="15.75" customHeight="1" x14ac:dyDescent="0.25">
      <c r="H324" s="168"/>
      <c r="I324" s="168"/>
    </row>
    <row r="325" spans="8:9" ht="15.75" customHeight="1" x14ac:dyDescent="0.25">
      <c r="H325" s="168"/>
      <c r="I325" s="168"/>
    </row>
    <row r="326" spans="8:9" ht="15.75" customHeight="1" x14ac:dyDescent="0.25">
      <c r="H326" s="168"/>
      <c r="I326" s="168"/>
    </row>
    <row r="327" spans="8:9" ht="15.75" customHeight="1" x14ac:dyDescent="0.25">
      <c r="H327" s="168"/>
      <c r="I327" s="168"/>
    </row>
    <row r="328" spans="8:9" ht="15.75" customHeight="1" x14ac:dyDescent="0.25">
      <c r="H328" s="168"/>
      <c r="I328" s="168"/>
    </row>
    <row r="329" spans="8:9" ht="15.75" customHeight="1" x14ac:dyDescent="0.25">
      <c r="H329" s="168"/>
      <c r="I329" s="168"/>
    </row>
    <row r="330" spans="8:9" ht="15.75" customHeight="1" x14ac:dyDescent="0.25">
      <c r="H330" s="168"/>
      <c r="I330" s="168"/>
    </row>
    <row r="331" spans="8:9" ht="15.75" customHeight="1" x14ac:dyDescent="0.25">
      <c r="H331" s="168"/>
      <c r="I331" s="168"/>
    </row>
    <row r="332" spans="8:9" ht="15.75" customHeight="1" x14ac:dyDescent="0.25">
      <c r="H332" s="168"/>
      <c r="I332" s="168"/>
    </row>
    <row r="333" spans="8:9" ht="15.75" customHeight="1" x14ac:dyDescent="0.25">
      <c r="H333" s="168"/>
      <c r="I333" s="168"/>
    </row>
    <row r="334" spans="8:9" ht="15.75" customHeight="1" x14ac:dyDescent="0.25">
      <c r="H334" s="168"/>
      <c r="I334" s="168"/>
    </row>
    <row r="335" spans="8:9" ht="15.75" customHeight="1" x14ac:dyDescent="0.25">
      <c r="H335" s="168"/>
      <c r="I335" s="168"/>
    </row>
    <row r="336" spans="8:9" ht="15.75" customHeight="1" x14ac:dyDescent="0.25">
      <c r="H336" s="168"/>
      <c r="I336" s="168"/>
    </row>
    <row r="337" spans="8:9" ht="15.75" customHeight="1" x14ac:dyDescent="0.25">
      <c r="H337" s="168"/>
      <c r="I337" s="168"/>
    </row>
    <row r="338" spans="8:9" ht="15.75" customHeight="1" x14ac:dyDescent="0.25">
      <c r="H338" s="168"/>
      <c r="I338" s="168"/>
    </row>
    <row r="339" spans="8:9" ht="15.75" customHeight="1" x14ac:dyDescent="0.25">
      <c r="H339" s="168"/>
      <c r="I339" s="168"/>
    </row>
    <row r="340" spans="8:9" ht="15.75" customHeight="1" x14ac:dyDescent="0.25">
      <c r="H340" s="168"/>
      <c r="I340" s="168"/>
    </row>
    <row r="341" spans="8:9" ht="15.75" customHeight="1" x14ac:dyDescent="0.25">
      <c r="H341" s="168"/>
      <c r="I341" s="168"/>
    </row>
    <row r="342" spans="8:9" ht="15.75" customHeight="1" x14ac:dyDescent="0.25">
      <c r="H342" s="168"/>
      <c r="I342" s="168"/>
    </row>
    <row r="343" spans="8:9" ht="15.75" customHeight="1" x14ac:dyDescent="0.25">
      <c r="H343" s="168"/>
      <c r="I343" s="168"/>
    </row>
    <row r="344" spans="8:9" ht="15.75" customHeight="1" x14ac:dyDescent="0.25">
      <c r="H344" s="168"/>
      <c r="I344" s="168"/>
    </row>
    <row r="345" spans="8:9" ht="15.75" customHeight="1" x14ac:dyDescent="0.25">
      <c r="H345" s="168"/>
      <c r="I345" s="168"/>
    </row>
    <row r="346" spans="8:9" ht="15.75" customHeight="1" x14ac:dyDescent="0.25">
      <c r="H346" s="168"/>
      <c r="I346" s="168"/>
    </row>
    <row r="347" spans="8:9" ht="15.75" customHeight="1" x14ac:dyDescent="0.25">
      <c r="H347" s="168"/>
      <c r="I347" s="168"/>
    </row>
    <row r="348" spans="8:9" ht="15.75" customHeight="1" x14ac:dyDescent="0.25">
      <c r="H348" s="168"/>
      <c r="I348" s="168"/>
    </row>
    <row r="349" spans="8:9" ht="15.75" customHeight="1" x14ac:dyDescent="0.25">
      <c r="H349" s="168"/>
      <c r="I349" s="168"/>
    </row>
    <row r="350" spans="8:9" ht="15.75" customHeight="1" x14ac:dyDescent="0.25">
      <c r="H350" s="168"/>
      <c r="I350" s="168"/>
    </row>
    <row r="351" spans="8:9" ht="15.75" customHeight="1" x14ac:dyDescent="0.25">
      <c r="H351" s="168"/>
      <c r="I351" s="168"/>
    </row>
    <row r="352" spans="8:9" ht="15.75" customHeight="1" x14ac:dyDescent="0.25">
      <c r="H352" s="168"/>
      <c r="I352" s="168"/>
    </row>
    <row r="353" spans="8:9" ht="15.75" customHeight="1" x14ac:dyDescent="0.25">
      <c r="H353" s="168"/>
      <c r="I353" s="168"/>
    </row>
    <row r="354" spans="8:9" ht="15.75" customHeight="1" x14ac:dyDescent="0.25">
      <c r="H354" s="168"/>
      <c r="I354" s="168"/>
    </row>
    <row r="355" spans="8:9" ht="15.75" customHeight="1" x14ac:dyDescent="0.25">
      <c r="H355" s="168"/>
      <c r="I355" s="168"/>
    </row>
    <row r="356" spans="8:9" ht="15.75" customHeight="1" x14ac:dyDescent="0.25">
      <c r="H356" s="168"/>
      <c r="I356" s="168"/>
    </row>
    <row r="357" spans="8:9" ht="15.75" customHeight="1" x14ac:dyDescent="0.25">
      <c r="H357" s="168"/>
      <c r="I357" s="168"/>
    </row>
    <row r="358" spans="8:9" ht="15.75" customHeight="1" x14ac:dyDescent="0.25">
      <c r="H358" s="168"/>
      <c r="I358" s="168"/>
    </row>
    <row r="359" spans="8:9" ht="15.75" customHeight="1" x14ac:dyDescent="0.25">
      <c r="H359" s="168"/>
      <c r="I359" s="168"/>
    </row>
    <row r="360" spans="8:9" ht="15.75" customHeight="1" x14ac:dyDescent="0.25">
      <c r="H360" s="168"/>
      <c r="I360" s="168"/>
    </row>
    <row r="361" spans="8:9" ht="15.75" customHeight="1" x14ac:dyDescent="0.25">
      <c r="H361" s="168"/>
      <c r="I361" s="168"/>
    </row>
    <row r="362" spans="8:9" ht="15.75" customHeight="1" x14ac:dyDescent="0.25">
      <c r="H362" s="168"/>
      <c r="I362" s="168"/>
    </row>
    <row r="363" spans="8:9" ht="15.75" customHeight="1" x14ac:dyDescent="0.25">
      <c r="H363" s="168"/>
      <c r="I363" s="168"/>
    </row>
    <row r="364" spans="8:9" ht="15.75" customHeight="1" x14ac:dyDescent="0.25">
      <c r="H364" s="168"/>
      <c r="I364" s="168"/>
    </row>
    <row r="365" spans="8:9" ht="15.75" customHeight="1" x14ac:dyDescent="0.25">
      <c r="H365" s="168"/>
      <c r="I365" s="168"/>
    </row>
    <row r="366" spans="8:9" ht="15.75" customHeight="1" x14ac:dyDescent="0.25">
      <c r="H366" s="168"/>
      <c r="I366" s="168"/>
    </row>
    <row r="367" spans="8:9" ht="15.75" customHeight="1" x14ac:dyDescent="0.25">
      <c r="H367" s="168"/>
      <c r="I367" s="168"/>
    </row>
    <row r="368" spans="8:9" ht="15.75" customHeight="1" x14ac:dyDescent="0.25">
      <c r="H368" s="168"/>
      <c r="I368" s="168"/>
    </row>
    <row r="369" spans="8:9" ht="15.75" customHeight="1" x14ac:dyDescent="0.25">
      <c r="H369" s="168"/>
      <c r="I369" s="168"/>
    </row>
    <row r="370" spans="8:9" ht="15.75" customHeight="1" x14ac:dyDescent="0.25">
      <c r="H370" s="168"/>
      <c r="I370" s="168"/>
    </row>
    <row r="371" spans="8:9" ht="15.75" customHeight="1" x14ac:dyDescent="0.25">
      <c r="H371" s="168"/>
      <c r="I371" s="168"/>
    </row>
    <row r="372" spans="8:9" ht="15.75" customHeight="1" x14ac:dyDescent="0.25">
      <c r="H372" s="168"/>
      <c r="I372" s="168"/>
    </row>
    <row r="373" spans="8:9" ht="15.75" customHeight="1" x14ac:dyDescent="0.25">
      <c r="H373" s="168"/>
      <c r="I373" s="168"/>
    </row>
    <row r="374" spans="8:9" ht="15.75" customHeight="1" x14ac:dyDescent="0.25">
      <c r="H374" s="168"/>
      <c r="I374" s="168"/>
    </row>
    <row r="375" spans="8:9" ht="15.75" customHeight="1" x14ac:dyDescent="0.25">
      <c r="H375" s="168"/>
      <c r="I375" s="168"/>
    </row>
    <row r="376" spans="8:9" ht="15.75" customHeight="1" x14ac:dyDescent="0.25">
      <c r="H376" s="168"/>
      <c r="I376" s="168"/>
    </row>
    <row r="377" spans="8:9" ht="15.75" customHeight="1" x14ac:dyDescent="0.25">
      <c r="H377" s="168"/>
      <c r="I377" s="168"/>
    </row>
    <row r="378" spans="8:9" ht="15.75" customHeight="1" x14ac:dyDescent="0.25">
      <c r="H378" s="168"/>
      <c r="I378" s="168"/>
    </row>
    <row r="379" spans="8:9" ht="15.75" customHeight="1" x14ac:dyDescent="0.25">
      <c r="H379" s="168"/>
      <c r="I379" s="168"/>
    </row>
    <row r="380" spans="8:9" ht="15.75" customHeight="1" x14ac:dyDescent="0.25">
      <c r="H380" s="168"/>
      <c r="I380" s="168"/>
    </row>
    <row r="381" spans="8:9" ht="15.75" customHeight="1" x14ac:dyDescent="0.25">
      <c r="H381" s="168"/>
      <c r="I381" s="168"/>
    </row>
    <row r="382" spans="8:9" ht="15.75" customHeight="1" x14ac:dyDescent="0.25">
      <c r="H382" s="168"/>
      <c r="I382" s="168"/>
    </row>
    <row r="383" spans="8:9" ht="15.75" customHeight="1" x14ac:dyDescent="0.25">
      <c r="H383" s="168"/>
      <c r="I383" s="168"/>
    </row>
    <row r="384" spans="8:9" ht="15.75" customHeight="1" x14ac:dyDescent="0.25">
      <c r="H384" s="168"/>
      <c r="I384" s="168"/>
    </row>
    <row r="385" spans="8:9" ht="15.75" customHeight="1" x14ac:dyDescent="0.25">
      <c r="H385" s="168"/>
      <c r="I385" s="168"/>
    </row>
    <row r="386" spans="8:9" ht="15.75" customHeight="1" x14ac:dyDescent="0.25">
      <c r="H386" s="168"/>
      <c r="I386" s="168"/>
    </row>
    <row r="387" spans="8:9" ht="15.75" customHeight="1" x14ac:dyDescent="0.25">
      <c r="H387" s="168"/>
      <c r="I387" s="168"/>
    </row>
    <row r="388" spans="8:9" ht="15.75" customHeight="1" x14ac:dyDescent="0.25">
      <c r="H388" s="168"/>
      <c r="I388" s="168"/>
    </row>
    <row r="389" spans="8:9" ht="15.75" customHeight="1" x14ac:dyDescent="0.25">
      <c r="H389" s="168"/>
      <c r="I389" s="168"/>
    </row>
    <row r="390" spans="8:9" ht="15.75" customHeight="1" x14ac:dyDescent="0.25">
      <c r="H390" s="168"/>
      <c r="I390" s="168"/>
    </row>
    <row r="391" spans="8:9" ht="15.75" customHeight="1" x14ac:dyDescent="0.25">
      <c r="H391" s="168"/>
      <c r="I391" s="168"/>
    </row>
    <row r="392" spans="8:9" ht="15.75" customHeight="1" x14ac:dyDescent="0.25">
      <c r="H392" s="168"/>
      <c r="I392" s="168"/>
    </row>
    <row r="393" spans="8:9" ht="15.75" customHeight="1" x14ac:dyDescent="0.25">
      <c r="H393" s="168"/>
      <c r="I393" s="168"/>
    </row>
    <row r="394" spans="8:9" ht="15.75" customHeight="1" x14ac:dyDescent="0.25">
      <c r="H394" s="168"/>
      <c r="I394" s="168"/>
    </row>
    <row r="395" spans="8:9" ht="15.75" customHeight="1" x14ac:dyDescent="0.25">
      <c r="H395" s="168"/>
      <c r="I395" s="168"/>
    </row>
    <row r="396" spans="8:9" ht="15.75" customHeight="1" x14ac:dyDescent="0.25">
      <c r="H396" s="168"/>
      <c r="I396" s="168"/>
    </row>
    <row r="397" spans="8:9" ht="15.75" customHeight="1" x14ac:dyDescent="0.25">
      <c r="H397" s="168"/>
      <c r="I397" s="168"/>
    </row>
    <row r="398" spans="8:9" ht="15.75" customHeight="1" x14ac:dyDescent="0.25">
      <c r="H398" s="168"/>
      <c r="I398" s="168"/>
    </row>
    <row r="399" spans="8:9" ht="15.75" customHeight="1" x14ac:dyDescent="0.25">
      <c r="H399" s="168"/>
      <c r="I399" s="168"/>
    </row>
    <row r="400" spans="8:9" ht="15.75" customHeight="1" x14ac:dyDescent="0.25">
      <c r="H400" s="168"/>
      <c r="I400" s="168"/>
    </row>
    <row r="401" spans="8:9" ht="15.75" customHeight="1" x14ac:dyDescent="0.25">
      <c r="H401" s="168"/>
      <c r="I401" s="168"/>
    </row>
    <row r="402" spans="8:9" ht="15.75" customHeight="1" x14ac:dyDescent="0.25">
      <c r="H402" s="168"/>
      <c r="I402" s="168"/>
    </row>
    <row r="403" spans="8:9" ht="15.75" customHeight="1" x14ac:dyDescent="0.25">
      <c r="H403" s="168"/>
      <c r="I403" s="168"/>
    </row>
    <row r="404" spans="8:9" ht="15.75" customHeight="1" x14ac:dyDescent="0.25">
      <c r="H404" s="168"/>
      <c r="I404" s="168"/>
    </row>
    <row r="405" spans="8:9" ht="15.75" customHeight="1" x14ac:dyDescent="0.25">
      <c r="H405" s="168"/>
      <c r="I405" s="168"/>
    </row>
    <row r="406" spans="8:9" ht="15.75" customHeight="1" x14ac:dyDescent="0.25">
      <c r="H406" s="168"/>
      <c r="I406" s="168"/>
    </row>
    <row r="407" spans="8:9" ht="15.75" customHeight="1" x14ac:dyDescent="0.25">
      <c r="H407" s="168"/>
      <c r="I407" s="168"/>
    </row>
    <row r="408" spans="8:9" ht="15.75" customHeight="1" x14ac:dyDescent="0.25">
      <c r="H408" s="168"/>
      <c r="I408" s="168"/>
    </row>
    <row r="409" spans="8:9" ht="15.75" customHeight="1" x14ac:dyDescent="0.25">
      <c r="H409" s="168"/>
      <c r="I409" s="168"/>
    </row>
    <row r="410" spans="8:9" ht="15.75" customHeight="1" x14ac:dyDescent="0.25">
      <c r="H410" s="168"/>
      <c r="I410" s="168"/>
    </row>
    <row r="411" spans="8:9" ht="15.75" customHeight="1" x14ac:dyDescent="0.25">
      <c r="H411" s="168"/>
      <c r="I411" s="168"/>
    </row>
    <row r="412" spans="8:9" ht="15.75" customHeight="1" x14ac:dyDescent="0.25">
      <c r="H412" s="168"/>
      <c r="I412" s="168"/>
    </row>
    <row r="413" spans="8:9" ht="15.75" customHeight="1" x14ac:dyDescent="0.25">
      <c r="H413" s="168"/>
      <c r="I413" s="168"/>
    </row>
    <row r="414" spans="8:9" ht="15.75" customHeight="1" x14ac:dyDescent="0.25">
      <c r="H414" s="168"/>
      <c r="I414" s="168"/>
    </row>
    <row r="415" spans="8:9" ht="15.75" customHeight="1" x14ac:dyDescent="0.25">
      <c r="H415" s="168"/>
      <c r="I415" s="168"/>
    </row>
    <row r="416" spans="8:9" ht="15.75" customHeight="1" x14ac:dyDescent="0.25">
      <c r="H416" s="168"/>
      <c r="I416" s="168"/>
    </row>
    <row r="417" spans="8:9" ht="15.75" customHeight="1" x14ac:dyDescent="0.25">
      <c r="H417" s="168"/>
      <c r="I417" s="168"/>
    </row>
    <row r="418" spans="8:9" ht="15.75" customHeight="1" x14ac:dyDescent="0.25">
      <c r="H418" s="168"/>
      <c r="I418" s="168"/>
    </row>
    <row r="419" spans="8:9" ht="15.75" customHeight="1" x14ac:dyDescent="0.25">
      <c r="H419" s="168"/>
      <c r="I419" s="168"/>
    </row>
    <row r="420" spans="8:9" ht="15.75" customHeight="1" x14ac:dyDescent="0.25">
      <c r="H420" s="168"/>
      <c r="I420" s="168"/>
    </row>
    <row r="421" spans="8:9" ht="15.75" customHeight="1" x14ac:dyDescent="0.25">
      <c r="H421" s="168"/>
      <c r="I421" s="168"/>
    </row>
    <row r="422" spans="8:9" ht="15.75" customHeight="1" x14ac:dyDescent="0.25">
      <c r="H422" s="168"/>
      <c r="I422" s="168"/>
    </row>
    <row r="423" spans="8:9" ht="15.75" customHeight="1" x14ac:dyDescent="0.25">
      <c r="H423" s="168"/>
      <c r="I423" s="168"/>
    </row>
    <row r="424" spans="8:9" ht="15.75" customHeight="1" x14ac:dyDescent="0.25">
      <c r="H424" s="168"/>
      <c r="I424" s="168"/>
    </row>
    <row r="425" spans="8:9" ht="15.75" customHeight="1" x14ac:dyDescent="0.25">
      <c r="H425" s="168"/>
      <c r="I425" s="168"/>
    </row>
    <row r="426" spans="8:9" ht="15.75" customHeight="1" x14ac:dyDescent="0.25">
      <c r="H426" s="168"/>
      <c r="I426" s="168"/>
    </row>
    <row r="427" spans="8:9" ht="15.75" customHeight="1" x14ac:dyDescent="0.25">
      <c r="H427" s="168"/>
      <c r="I427" s="168"/>
    </row>
    <row r="428" spans="8:9" ht="15.75" customHeight="1" x14ac:dyDescent="0.25">
      <c r="H428" s="168"/>
      <c r="I428" s="168"/>
    </row>
    <row r="429" spans="8:9" ht="15.75" customHeight="1" x14ac:dyDescent="0.25">
      <c r="H429" s="168"/>
      <c r="I429" s="168"/>
    </row>
    <row r="430" spans="8:9" ht="15.75" customHeight="1" x14ac:dyDescent="0.25">
      <c r="H430" s="168"/>
      <c r="I430" s="168"/>
    </row>
    <row r="431" spans="8:9" ht="15.75" customHeight="1" x14ac:dyDescent="0.25">
      <c r="H431" s="168"/>
      <c r="I431" s="168"/>
    </row>
    <row r="432" spans="8:9" ht="15.75" customHeight="1" x14ac:dyDescent="0.25">
      <c r="H432" s="168"/>
      <c r="I432" s="168"/>
    </row>
    <row r="433" spans="8:9" ht="15.75" customHeight="1" x14ac:dyDescent="0.25">
      <c r="H433" s="168"/>
      <c r="I433" s="168"/>
    </row>
    <row r="434" spans="8:9" ht="15.75" customHeight="1" x14ac:dyDescent="0.25">
      <c r="H434" s="168"/>
      <c r="I434" s="168"/>
    </row>
    <row r="435" spans="8:9" ht="15.75" customHeight="1" x14ac:dyDescent="0.25">
      <c r="H435" s="168"/>
      <c r="I435" s="168"/>
    </row>
    <row r="436" spans="8:9" ht="15.75" customHeight="1" x14ac:dyDescent="0.25">
      <c r="H436" s="168"/>
      <c r="I436" s="168"/>
    </row>
    <row r="437" spans="8:9" ht="15.75" customHeight="1" x14ac:dyDescent="0.25">
      <c r="H437" s="168"/>
      <c r="I437" s="168"/>
    </row>
    <row r="438" spans="8:9" ht="15.75" customHeight="1" x14ac:dyDescent="0.25">
      <c r="H438" s="168"/>
      <c r="I438" s="168"/>
    </row>
    <row r="439" spans="8:9" ht="15.75" customHeight="1" x14ac:dyDescent="0.25">
      <c r="H439" s="168"/>
      <c r="I439" s="168"/>
    </row>
    <row r="440" spans="8:9" ht="15.75" customHeight="1" x14ac:dyDescent="0.25">
      <c r="H440" s="168"/>
      <c r="I440" s="168"/>
    </row>
    <row r="441" spans="8:9" ht="15.75" customHeight="1" x14ac:dyDescent="0.25">
      <c r="H441" s="168"/>
      <c r="I441" s="168"/>
    </row>
    <row r="442" spans="8:9" ht="15.75" customHeight="1" x14ac:dyDescent="0.25">
      <c r="H442" s="168"/>
      <c r="I442" s="168"/>
    </row>
    <row r="443" spans="8:9" ht="15.75" customHeight="1" x14ac:dyDescent="0.25">
      <c r="H443" s="168"/>
      <c r="I443" s="168"/>
    </row>
    <row r="444" spans="8:9" ht="15.75" customHeight="1" x14ac:dyDescent="0.25">
      <c r="H444" s="168"/>
      <c r="I444" s="168"/>
    </row>
    <row r="445" spans="8:9" ht="15.75" customHeight="1" x14ac:dyDescent="0.25">
      <c r="H445" s="168"/>
      <c r="I445" s="168"/>
    </row>
    <row r="446" spans="8:9" ht="15.75" customHeight="1" x14ac:dyDescent="0.25">
      <c r="H446" s="168"/>
      <c r="I446" s="168"/>
    </row>
    <row r="447" spans="8:9" ht="15.75" customHeight="1" x14ac:dyDescent="0.25">
      <c r="H447" s="168"/>
      <c r="I447" s="168"/>
    </row>
    <row r="448" spans="8:9" ht="15.75" customHeight="1" x14ac:dyDescent="0.25">
      <c r="H448" s="168"/>
      <c r="I448" s="168"/>
    </row>
    <row r="449" spans="8:9" ht="15.75" customHeight="1" x14ac:dyDescent="0.25">
      <c r="H449" s="168"/>
      <c r="I449" s="168"/>
    </row>
    <row r="450" spans="8:9" ht="15.75" customHeight="1" x14ac:dyDescent="0.25">
      <c r="H450" s="168"/>
      <c r="I450" s="168"/>
    </row>
    <row r="451" spans="8:9" ht="15.75" customHeight="1" x14ac:dyDescent="0.25">
      <c r="H451" s="168"/>
      <c r="I451" s="168"/>
    </row>
    <row r="452" spans="8:9" ht="15.75" customHeight="1" x14ac:dyDescent="0.25">
      <c r="H452" s="168"/>
      <c r="I452" s="168"/>
    </row>
    <row r="453" spans="8:9" ht="15.75" customHeight="1" x14ac:dyDescent="0.25">
      <c r="H453" s="168"/>
      <c r="I453" s="168"/>
    </row>
    <row r="454" spans="8:9" ht="15.75" customHeight="1" x14ac:dyDescent="0.25">
      <c r="H454" s="168"/>
      <c r="I454" s="168"/>
    </row>
    <row r="455" spans="8:9" ht="15.75" customHeight="1" x14ac:dyDescent="0.25">
      <c r="H455" s="168"/>
      <c r="I455" s="168"/>
    </row>
    <row r="456" spans="8:9" ht="15.75" customHeight="1" x14ac:dyDescent="0.25">
      <c r="H456" s="168"/>
      <c r="I456" s="168"/>
    </row>
    <row r="457" spans="8:9" ht="15.75" customHeight="1" x14ac:dyDescent="0.25">
      <c r="H457" s="168"/>
      <c r="I457" s="168"/>
    </row>
    <row r="458" spans="8:9" ht="15.75" customHeight="1" x14ac:dyDescent="0.25">
      <c r="H458" s="168"/>
      <c r="I458" s="168"/>
    </row>
    <row r="459" spans="8:9" ht="15.75" customHeight="1" x14ac:dyDescent="0.25">
      <c r="H459" s="168"/>
      <c r="I459" s="168"/>
    </row>
    <row r="460" spans="8:9" ht="15.75" customHeight="1" x14ac:dyDescent="0.25">
      <c r="H460" s="168"/>
      <c r="I460" s="168"/>
    </row>
    <row r="461" spans="8:9" ht="15.75" customHeight="1" x14ac:dyDescent="0.25">
      <c r="H461" s="168"/>
      <c r="I461" s="168"/>
    </row>
    <row r="462" spans="8:9" ht="15.75" customHeight="1" x14ac:dyDescent="0.25">
      <c r="H462" s="168"/>
      <c r="I462" s="168"/>
    </row>
    <row r="463" spans="8:9" ht="15.75" customHeight="1" x14ac:dyDescent="0.25">
      <c r="H463" s="168"/>
      <c r="I463" s="168"/>
    </row>
    <row r="464" spans="8:9" ht="15.75" customHeight="1" x14ac:dyDescent="0.25">
      <c r="H464" s="168"/>
      <c r="I464" s="168"/>
    </row>
    <row r="465" spans="8:9" ht="15.75" customHeight="1" x14ac:dyDescent="0.25">
      <c r="H465" s="168"/>
      <c r="I465" s="168"/>
    </row>
    <row r="466" spans="8:9" ht="15.75" customHeight="1" x14ac:dyDescent="0.25">
      <c r="H466" s="168"/>
      <c r="I466" s="168"/>
    </row>
    <row r="467" spans="8:9" ht="15.75" customHeight="1" x14ac:dyDescent="0.25">
      <c r="H467" s="168"/>
      <c r="I467" s="168"/>
    </row>
    <row r="468" spans="8:9" ht="15.75" customHeight="1" x14ac:dyDescent="0.25">
      <c r="H468" s="168"/>
      <c r="I468" s="168"/>
    </row>
    <row r="469" spans="8:9" ht="15.75" customHeight="1" x14ac:dyDescent="0.25">
      <c r="H469" s="168"/>
      <c r="I469" s="168"/>
    </row>
    <row r="470" spans="8:9" ht="15.75" customHeight="1" x14ac:dyDescent="0.25">
      <c r="H470" s="168"/>
      <c r="I470" s="168"/>
    </row>
    <row r="471" spans="8:9" ht="15.75" customHeight="1" x14ac:dyDescent="0.25">
      <c r="H471" s="168"/>
      <c r="I471" s="168"/>
    </row>
    <row r="472" spans="8:9" ht="15.75" customHeight="1" x14ac:dyDescent="0.25">
      <c r="H472" s="168"/>
      <c r="I472" s="168"/>
    </row>
    <row r="473" spans="8:9" ht="15.75" customHeight="1" x14ac:dyDescent="0.25">
      <c r="H473" s="168"/>
      <c r="I473" s="168"/>
    </row>
    <row r="474" spans="8:9" ht="15.75" customHeight="1" x14ac:dyDescent="0.25">
      <c r="H474" s="168"/>
      <c r="I474" s="168"/>
    </row>
    <row r="475" spans="8:9" ht="15.75" customHeight="1" x14ac:dyDescent="0.25">
      <c r="H475" s="168"/>
      <c r="I475" s="168"/>
    </row>
    <row r="476" spans="8:9" ht="15.75" customHeight="1" x14ac:dyDescent="0.25">
      <c r="H476" s="168"/>
      <c r="I476" s="168"/>
    </row>
    <row r="477" spans="8:9" ht="15.75" customHeight="1" x14ac:dyDescent="0.25">
      <c r="H477" s="168"/>
      <c r="I477" s="168"/>
    </row>
    <row r="478" spans="8:9" ht="15.75" customHeight="1" x14ac:dyDescent="0.25">
      <c r="H478" s="168"/>
      <c r="I478" s="168"/>
    </row>
    <row r="479" spans="8:9" ht="15.75" customHeight="1" x14ac:dyDescent="0.25">
      <c r="H479" s="168"/>
      <c r="I479" s="168"/>
    </row>
    <row r="480" spans="8:9" ht="15.75" customHeight="1" x14ac:dyDescent="0.25">
      <c r="H480" s="168"/>
      <c r="I480" s="168"/>
    </row>
    <row r="481" spans="8:9" ht="15.75" customHeight="1" x14ac:dyDescent="0.25">
      <c r="H481" s="168"/>
      <c r="I481" s="168"/>
    </row>
    <row r="482" spans="8:9" ht="15.75" customHeight="1" x14ac:dyDescent="0.25">
      <c r="H482" s="168"/>
      <c r="I482" s="168"/>
    </row>
    <row r="483" spans="8:9" ht="15.75" customHeight="1" x14ac:dyDescent="0.25">
      <c r="H483" s="168"/>
      <c r="I483" s="168"/>
    </row>
    <row r="484" spans="8:9" ht="15.75" customHeight="1" x14ac:dyDescent="0.25">
      <c r="H484" s="168"/>
      <c r="I484" s="168"/>
    </row>
    <row r="485" spans="8:9" ht="15.75" customHeight="1" x14ac:dyDescent="0.25">
      <c r="H485" s="168"/>
      <c r="I485" s="168"/>
    </row>
    <row r="486" spans="8:9" ht="15.75" customHeight="1" x14ac:dyDescent="0.25">
      <c r="H486" s="168"/>
      <c r="I486" s="168"/>
    </row>
    <row r="487" spans="8:9" ht="15.75" customHeight="1" x14ac:dyDescent="0.25">
      <c r="H487" s="168"/>
      <c r="I487" s="168"/>
    </row>
    <row r="488" spans="8:9" ht="15.75" customHeight="1" x14ac:dyDescent="0.25">
      <c r="H488" s="168"/>
      <c r="I488" s="168"/>
    </row>
    <row r="489" spans="8:9" ht="15.75" customHeight="1" x14ac:dyDescent="0.25">
      <c r="H489" s="168"/>
      <c r="I489" s="168"/>
    </row>
    <row r="490" spans="8:9" ht="15.75" customHeight="1" x14ac:dyDescent="0.25">
      <c r="H490" s="168"/>
      <c r="I490" s="168"/>
    </row>
    <row r="491" spans="8:9" ht="15.75" customHeight="1" x14ac:dyDescent="0.25">
      <c r="H491" s="168"/>
      <c r="I491" s="168"/>
    </row>
    <row r="492" spans="8:9" ht="15.75" customHeight="1" x14ac:dyDescent="0.25">
      <c r="H492" s="168"/>
      <c r="I492" s="168"/>
    </row>
    <row r="493" spans="8:9" ht="15.75" customHeight="1" x14ac:dyDescent="0.25">
      <c r="H493" s="168"/>
      <c r="I493" s="168"/>
    </row>
    <row r="494" spans="8:9" ht="15.75" customHeight="1" x14ac:dyDescent="0.25">
      <c r="H494" s="168"/>
      <c r="I494" s="168"/>
    </row>
    <row r="495" spans="8:9" ht="15.75" customHeight="1" x14ac:dyDescent="0.25">
      <c r="H495" s="168"/>
      <c r="I495" s="168"/>
    </row>
    <row r="496" spans="8:9" ht="15.75" customHeight="1" x14ac:dyDescent="0.25">
      <c r="H496" s="168"/>
      <c r="I496" s="168"/>
    </row>
    <row r="497" spans="8:9" ht="15.75" customHeight="1" x14ac:dyDescent="0.25">
      <c r="H497" s="168"/>
      <c r="I497" s="168"/>
    </row>
    <row r="498" spans="8:9" ht="15.75" customHeight="1" x14ac:dyDescent="0.25">
      <c r="H498" s="168"/>
      <c r="I498" s="168"/>
    </row>
    <row r="499" spans="8:9" ht="15.75" customHeight="1" x14ac:dyDescent="0.25">
      <c r="H499" s="168"/>
      <c r="I499" s="168"/>
    </row>
    <row r="500" spans="8:9" ht="15.75" customHeight="1" x14ac:dyDescent="0.25">
      <c r="H500" s="168"/>
      <c r="I500" s="168"/>
    </row>
    <row r="501" spans="8:9" ht="15.75" customHeight="1" x14ac:dyDescent="0.25">
      <c r="H501" s="168"/>
      <c r="I501" s="168"/>
    </row>
    <row r="502" spans="8:9" ht="15.75" customHeight="1" x14ac:dyDescent="0.25">
      <c r="H502" s="168"/>
      <c r="I502" s="168"/>
    </row>
    <row r="503" spans="8:9" ht="15.75" customHeight="1" x14ac:dyDescent="0.25">
      <c r="H503" s="168"/>
      <c r="I503" s="168"/>
    </row>
    <row r="504" spans="8:9" ht="15.75" customHeight="1" x14ac:dyDescent="0.25">
      <c r="H504" s="168"/>
      <c r="I504" s="168"/>
    </row>
    <row r="505" spans="8:9" ht="15.75" customHeight="1" x14ac:dyDescent="0.25">
      <c r="H505" s="168"/>
      <c r="I505" s="168"/>
    </row>
    <row r="506" spans="8:9" ht="15.75" customHeight="1" x14ac:dyDescent="0.25">
      <c r="H506" s="168"/>
      <c r="I506" s="168"/>
    </row>
    <row r="507" spans="8:9" ht="15.75" customHeight="1" x14ac:dyDescent="0.25">
      <c r="H507" s="168"/>
      <c r="I507" s="168"/>
    </row>
    <row r="508" spans="8:9" ht="15.75" customHeight="1" x14ac:dyDescent="0.25">
      <c r="H508" s="168"/>
      <c r="I508" s="168"/>
    </row>
    <row r="509" spans="8:9" ht="15.75" customHeight="1" x14ac:dyDescent="0.25">
      <c r="H509" s="168"/>
      <c r="I509" s="168"/>
    </row>
    <row r="510" spans="8:9" ht="15.75" customHeight="1" x14ac:dyDescent="0.25">
      <c r="H510" s="168"/>
      <c r="I510" s="168"/>
    </row>
    <row r="511" spans="8:9" ht="15.75" customHeight="1" x14ac:dyDescent="0.25">
      <c r="H511" s="168"/>
      <c r="I511" s="168"/>
    </row>
    <row r="512" spans="8:9" ht="15.75" customHeight="1" x14ac:dyDescent="0.25">
      <c r="H512" s="168"/>
      <c r="I512" s="168"/>
    </row>
    <row r="513" spans="8:9" ht="15.75" customHeight="1" x14ac:dyDescent="0.25">
      <c r="H513" s="168"/>
      <c r="I513" s="168"/>
    </row>
    <row r="514" spans="8:9" ht="15.75" customHeight="1" x14ac:dyDescent="0.25">
      <c r="H514" s="168"/>
      <c r="I514" s="168"/>
    </row>
    <row r="515" spans="8:9" ht="15.75" customHeight="1" x14ac:dyDescent="0.25">
      <c r="H515" s="168"/>
      <c r="I515" s="168"/>
    </row>
    <row r="516" spans="8:9" ht="15.75" customHeight="1" x14ac:dyDescent="0.25">
      <c r="H516" s="168"/>
      <c r="I516" s="168"/>
    </row>
    <row r="517" spans="8:9" ht="15.75" customHeight="1" x14ac:dyDescent="0.25">
      <c r="H517" s="168"/>
      <c r="I517" s="168"/>
    </row>
    <row r="518" spans="8:9" ht="15.75" customHeight="1" x14ac:dyDescent="0.25">
      <c r="H518" s="168"/>
      <c r="I518" s="168"/>
    </row>
    <row r="519" spans="8:9" ht="15.75" customHeight="1" x14ac:dyDescent="0.25">
      <c r="H519" s="168"/>
      <c r="I519" s="168"/>
    </row>
    <row r="520" spans="8:9" ht="15.75" customHeight="1" x14ac:dyDescent="0.25">
      <c r="H520" s="168"/>
      <c r="I520" s="168"/>
    </row>
    <row r="521" spans="8:9" ht="15.75" customHeight="1" x14ac:dyDescent="0.25">
      <c r="H521" s="168"/>
      <c r="I521" s="168"/>
    </row>
    <row r="522" spans="8:9" ht="15.75" customHeight="1" x14ac:dyDescent="0.25">
      <c r="H522" s="168"/>
      <c r="I522" s="168"/>
    </row>
    <row r="523" spans="8:9" ht="15.75" customHeight="1" x14ac:dyDescent="0.25">
      <c r="H523" s="168"/>
      <c r="I523" s="168"/>
    </row>
    <row r="524" spans="8:9" ht="15.75" customHeight="1" x14ac:dyDescent="0.25">
      <c r="H524" s="168"/>
      <c r="I524" s="168"/>
    </row>
    <row r="525" spans="8:9" ht="15.75" customHeight="1" x14ac:dyDescent="0.25">
      <c r="H525" s="168"/>
      <c r="I525" s="168"/>
    </row>
    <row r="526" spans="8:9" ht="15.75" customHeight="1" x14ac:dyDescent="0.25">
      <c r="H526" s="168"/>
      <c r="I526" s="168"/>
    </row>
    <row r="527" spans="8:9" ht="15.75" customHeight="1" x14ac:dyDescent="0.25">
      <c r="H527" s="168"/>
      <c r="I527" s="168"/>
    </row>
    <row r="528" spans="8:9" ht="15.75" customHeight="1" x14ac:dyDescent="0.25">
      <c r="H528" s="168"/>
      <c r="I528" s="168"/>
    </row>
    <row r="529" spans="8:9" ht="15.75" customHeight="1" x14ac:dyDescent="0.25">
      <c r="H529" s="168"/>
      <c r="I529" s="168"/>
    </row>
    <row r="530" spans="8:9" ht="15.75" customHeight="1" x14ac:dyDescent="0.25">
      <c r="H530" s="168"/>
      <c r="I530" s="168"/>
    </row>
    <row r="531" spans="8:9" ht="15.75" customHeight="1" x14ac:dyDescent="0.25">
      <c r="H531" s="168"/>
      <c r="I531" s="168"/>
    </row>
    <row r="532" spans="8:9" ht="15.75" customHeight="1" x14ac:dyDescent="0.25">
      <c r="H532" s="168"/>
      <c r="I532" s="168"/>
    </row>
    <row r="533" spans="8:9" ht="15.75" customHeight="1" x14ac:dyDescent="0.25">
      <c r="H533" s="168"/>
      <c r="I533" s="168"/>
    </row>
    <row r="534" spans="8:9" ht="15.75" customHeight="1" x14ac:dyDescent="0.25">
      <c r="H534" s="168"/>
      <c r="I534" s="168"/>
    </row>
    <row r="535" spans="8:9" ht="15.75" customHeight="1" x14ac:dyDescent="0.25">
      <c r="H535" s="168"/>
      <c r="I535" s="168"/>
    </row>
    <row r="536" spans="8:9" ht="15.75" customHeight="1" x14ac:dyDescent="0.25">
      <c r="H536" s="168"/>
      <c r="I536" s="168"/>
    </row>
    <row r="537" spans="8:9" ht="15.75" customHeight="1" x14ac:dyDescent="0.25">
      <c r="H537" s="168"/>
      <c r="I537" s="168"/>
    </row>
    <row r="538" spans="8:9" ht="15.75" customHeight="1" x14ac:dyDescent="0.25">
      <c r="H538" s="168"/>
      <c r="I538" s="168"/>
    </row>
    <row r="539" spans="8:9" ht="15.75" customHeight="1" x14ac:dyDescent="0.25">
      <c r="H539" s="168"/>
      <c r="I539" s="168"/>
    </row>
    <row r="540" spans="8:9" ht="15.75" customHeight="1" x14ac:dyDescent="0.25">
      <c r="H540" s="168"/>
      <c r="I540" s="168"/>
    </row>
    <row r="541" spans="8:9" ht="15.75" customHeight="1" x14ac:dyDescent="0.25">
      <c r="H541" s="168"/>
      <c r="I541" s="168"/>
    </row>
    <row r="542" spans="8:9" ht="15.75" customHeight="1" x14ac:dyDescent="0.25">
      <c r="H542" s="168"/>
      <c r="I542" s="168"/>
    </row>
    <row r="543" spans="8:9" ht="15.75" customHeight="1" x14ac:dyDescent="0.25">
      <c r="H543" s="168"/>
      <c r="I543" s="168"/>
    </row>
    <row r="544" spans="8:9" ht="15.75" customHeight="1" x14ac:dyDescent="0.25">
      <c r="H544" s="168"/>
      <c r="I544" s="168"/>
    </row>
    <row r="545" spans="8:9" ht="15.75" customHeight="1" x14ac:dyDescent="0.25">
      <c r="H545" s="168"/>
      <c r="I545" s="168"/>
    </row>
    <row r="546" spans="8:9" ht="15.75" customHeight="1" x14ac:dyDescent="0.25">
      <c r="H546" s="168"/>
      <c r="I546" s="168"/>
    </row>
    <row r="547" spans="8:9" ht="15.75" customHeight="1" x14ac:dyDescent="0.25">
      <c r="H547" s="168"/>
      <c r="I547" s="168"/>
    </row>
    <row r="548" spans="8:9" ht="15.75" customHeight="1" x14ac:dyDescent="0.25">
      <c r="H548" s="168"/>
      <c r="I548" s="168"/>
    </row>
    <row r="549" spans="8:9" ht="15.75" customHeight="1" x14ac:dyDescent="0.25">
      <c r="H549" s="168"/>
      <c r="I549" s="168"/>
    </row>
    <row r="550" spans="8:9" ht="15.75" customHeight="1" x14ac:dyDescent="0.25">
      <c r="H550" s="168"/>
      <c r="I550" s="168"/>
    </row>
    <row r="551" spans="8:9" ht="15.75" customHeight="1" x14ac:dyDescent="0.25">
      <c r="H551" s="168"/>
      <c r="I551" s="168"/>
    </row>
    <row r="552" spans="8:9" ht="15.75" customHeight="1" x14ac:dyDescent="0.25">
      <c r="H552" s="168"/>
      <c r="I552" s="168"/>
    </row>
    <row r="553" spans="8:9" ht="15.75" customHeight="1" x14ac:dyDescent="0.25">
      <c r="H553" s="168"/>
      <c r="I553" s="168"/>
    </row>
    <row r="554" spans="8:9" ht="15.75" customHeight="1" x14ac:dyDescent="0.25">
      <c r="H554" s="168"/>
      <c r="I554" s="168"/>
    </row>
    <row r="555" spans="8:9" ht="15.75" customHeight="1" x14ac:dyDescent="0.25">
      <c r="H555" s="168"/>
      <c r="I555" s="168"/>
    </row>
    <row r="556" spans="8:9" ht="15.75" customHeight="1" x14ac:dyDescent="0.25">
      <c r="H556" s="168"/>
      <c r="I556" s="168"/>
    </row>
    <row r="557" spans="8:9" ht="15.75" customHeight="1" x14ac:dyDescent="0.25">
      <c r="H557" s="168"/>
      <c r="I557" s="168"/>
    </row>
    <row r="558" spans="8:9" ht="15.75" customHeight="1" x14ac:dyDescent="0.25">
      <c r="H558" s="168"/>
      <c r="I558" s="168"/>
    </row>
    <row r="559" spans="8:9" ht="15.75" customHeight="1" x14ac:dyDescent="0.25">
      <c r="H559" s="168"/>
      <c r="I559" s="168"/>
    </row>
    <row r="560" spans="8:9" ht="15.75" customHeight="1" x14ac:dyDescent="0.25">
      <c r="H560" s="168"/>
      <c r="I560" s="168"/>
    </row>
    <row r="561" spans="8:9" ht="15.75" customHeight="1" x14ac:dyDescent="0.25">
      <c r="H561" s="168"/>
      <c r="I561" s="168"/>
    </row>
    <row r="562" spans="8:9" ht="15.75" customHeight="1" x14ac:dyDescent="0.25">
      <c r="H562" s="168"/>
      <c r="I562" s="168"/>
    </row>
    <row r="563" spans="8:9" ht="15.75" customHeight="1" x14ac:dyDescent="0.25">
      <c r="H563" s="168"/>
      <c r="I563" s="168"/>
    </row>
    <row r="564" spans="8:9" ht="15.75" customHeight="1" x14ac:dyDescent="0.25">
      <c r="H564" s="168"/>
      <c r="I564" s="168"/>
    </row>
    <row r="565" spans="8:9" ht="15.75" customHeight="1" x14ac:dyDescent="0.25">
      <c r="H565" s="168"/>
      <c r="I565" s="168"/>
    </row>
    <row r="566" spans="8:9" ht="15.75" customHeight="1" x14ac:dyDescent="0.25">
      <c r="H566" s="168"/>
      <c r="I566" s="168"/>
    </row>
    <row r="567" spans="8:9" ht="15.75" customHeight="1" x14ac:dyDescent="0.25">
      <c r="H567" s="168"/>
      <c r="I567" s="168"/>
    </row>
    <row r="568" spans="8:9" ht="15.75" customHeight="1" x14ac:dyDescent="0.25">
      <c r="H568" s="168"/>
      <c r="I568" s="168"/>
    </row>
    <row r="569" spans="8:9" ht="15.75" customHeight="1" x14ac:dyDescent="0.25">
      <c r="H569" s="168"/>
      <c r="I569" s="168"/>
    </row>
    <row r="570" spans="8:9" ht="15.75" customHeight="1" x14ac:dyDescent="0.25">
      <c r="H570" s="168"/>
      <c r="I570" s="168"/>
    </row>
    <row r="571" spans="8:9" ht="15.75" customHeight="1" x14ac:dyDescent="0.25">
      <c r="H571" s="168"/>
      <c r="I571" s="168"/>
    </row>
    <row r="572" spans="8:9" ht="15.75" customHeight="1" x14ac:dyDescent="0.25">
      <c r="H572" s="168"/>
      <c r="I572" s="168"/>
    </row>
    <row r="573" spans="8:9" ht="15.75" customHeight="1" x14ac:dyDescent="0.25">
      <c r="H573" s="168"/>
      <c r="I573" s="168"/>
    </row>
    <row r="574" spans="8:9" ht="15.75" customHeight="1" x14ac:dyDescent="0.25">
      <c r="H574" s="168"/>
      <c r="I574" s="168"/>
    </row>
    <row r="575" spans="8:9" ht="15.75" customHeight="1" x14ac:dyDescent="0.25">
      <c r="H575" s="168"/>
      <c r="I575" s="168"/>
    </row>
    <row r="576" spans="8:9" ht="15.75" customHeight="1" x14ac:dyDescent="0.25">
      <c r="H576" s="168"/>
      <c r="I576" s="168"/>
    </row>
    <row r="577" spans="8:9" ht="15.75" customHeight="1" x14ac:dyDescent="0.25">
      <c r="H577" s="168"/>
      <c r="I577" s="168"/>
    </row>
    <row r="578" spans="8:9" ht="15.75" customHeight="1" x14ac:dyDescent="0.25">
      <c r="H578" s="168"/>
      <c r="I578" s="168"/>
    </row>
    <row r="579" spans="8:9" ht="15.75" customHeight="1" x14ac:dyDescent="0.25">
      <c r="H579" s="168"/>
      <c r="I579" s="168"/>
    </row>
    <row r="580" spans="8:9" ht="15.75" customHeight="1" x14ac:dyDescent="0.25">
      <c r="H580" s="168"/>
      <c r="I580" s="168"/>
    </row>
    <row r="581" spans="8:9" ht="15.75" customHeight="1" x14ac:dyDescent="0.25">
      <c r="H581" s="168"/>
      <c r="I581" s="168"/>
    </row>
    <row r="582" spans="8:9" ht="15.75" customHeight="1" x14ac:dyDescent="0.25">
      <c r="H582" s="168"/>
      <c r="I582" s="168"/>
    </row>
    <row r="583" spans="8:9" ht="15.75" customHeight="1" x14ac:dyDescent="0.25">
      <c r="H583" s="168"/>
      <c r="I583" s="168"/>
    </row>
    <row r="584" spans="8:9" ht="15.75" customHeight="1" x14ac:dyDescent="0.25">
      <c r="H584" s="168"/>
      <c r="I584" s="168"/>
    </row>
    <row r="585" spans="8:9" ht="15.75" customHeight="1" x14ac:dyDescent="0.25">
      <c r="H585" s="168"/>
      <c r="I585" s="168"/>
    </row>
    <row r="586" spans="8:9" ht="15.75" customHeight="1" x14ac:dyDescent="0.25">
      <c r="H586" s="168"/>
      <c r="I586" s="168"/>
    </row>
    <row r="587" spans="8:9" ht="15.75" customHeight="1" x14ac:dyDescent="0.25">
      <c r="H587" s="168"/>
      <c r="I587" s="168"/>
    </row>
    <row r="588" spans="8:9" ht="15.75" customHeight="1" x14ac:dyDescent="0.25">
      <c r="H588" s="168"/>
      <c r="I588" s="168"/>
    </row>
    <row r="589" spans="8:9" ht="15.75" customHeight="1" x14ac:dyDescent="0.25">
      <c r="H589" s="168"/>
      <c r="I589" s="168"/>
    </row>
    <row r="590" spans="8:9" ht="15.75" customHeight="1" x14ac:dyDescent="0.25">
      <c r="H590" s="168"/>
      <c r="I590" s="168"/>
    </row>
    <row r="591" spans="8:9" ht="15.75" customHeight="1" x14ac:dyDescent="0.25">
      <c r="H591" s="168"/>
      <c r="I591" s="168"/>
    </row>
    <row r="592" spans="8:9" ht="15.75" customHeight="1" x14ac:dyDescent="0.25">
      <c r="H592" s="168"/>
      <c r="I592" s="168"/>
    </row>
    <row r="593" spans="8:9" ht="15.75" customHeight="1" x14ac:dyDescent="0.25">
      <c r="H593" s="168"/>
      <c r="I593" s="168"/>
    </row>
    <row r="594" spans="8:9" ht="15.75" customHeight="1" x14ac:dyDescent="0.25">
      <c r="H594" s="168"/>
      <c r="I594" s="168"/>
    </row>
    <row r="595" spans="8:9" ht="15.75" customHeight="1" x14ac:dyDescent="0.25">
      <c r="H595" s="168"/>
      <c r="I595" s="168"/>
    </row>
    <row r="596" spans="8:9" ht="15.75" customHeight="1" x14ac:dyDescent="0.25">
      <c r="H596" s="168"/>
      <c r="I596" s="168"/>
    </row>
    <row r="597" spans="8:9" ht="15.75" customHeight="1" x14ac:dyDescent="0.25">
      <c r="H597" s="168"/>
      <c r="I597" s="168"/>
    </row>
    <row r="598" spans="8:9" ht="15.75" customHeight="1" x14ac:dyDescent="0.25">
      <c r="H598" s="168"/>
      <c r="I598" s="168"/>
    </row>
    <row r="599" spans="8:9" ht="15.75" customHeight="1" x14ac:dyDescent="0.25">
      <c r="H599" s="168"/>
      <c r="I599" s="168"/>
    </row>
    <row r="600" spans="8:9" ht="15.75" customHeight="1" x14ac:dyDescent="0.25">
      <c r="H600" s="168"/>
      <c r="I600" s="168"/>
    </row>
    <row r="601" spans="8:9" ht="15.75" customHeight="1" x14ac:dyDescent="0.25">
      <c r="H601" s="168"/>
      <c r="I601" s="168"/>
    </row>
    <row r="602" spans="8:9" ht="15.75" customHeight="1" x14ac:dyDescent="0.25">
      <c r="H602" s="168"/>
      <c r="I602" s="168"/>
    </row>
    <row r="603" spans="8:9" ht="15.75" customHeight="1" x14ac:dyDescent="0.25">
      <c r="H603" s="168"/>
      <c r="I603" s="168"/>
    </row>
    <row r="604" spans="8:9" ht="15.75" customHeight="1" x14ac:dyDescent="0.25">
      <c r="H604" s="168"/>
      <c r="I604" s="168"/>
    </row>
    <row r="605" spans="8:9" ht="15.75" customHeight="1" x14ac:dyDescent="0.25">
      <c r="H605" s="168"/>
      <c r="I605" s="168"/>
    </row>
    <row r="606" spans="8:9" ht="15.75" customHeight="1" x14ac:dyDescent="0.25">
      <c r="H606" s="168"/>
      <c r="I606" s="168"/>
    </row>
    <row r="607" spans="8:9" ht="15.75" customHeight="1" x14ac:dyDescent="0.25">
      <c r="H607" s="168"/>
      <c r="I607" s="168"/>
    </row>
    <row r="608" spans="8:9" ht="15.75" customHeight="1" x14ac:dyDescent="0.25">
      <c r="H608" s="168"/>
      <c r="I608" s="168"/>
    </row>
    <row r="609" spans="8:9" ht="15.75" customHeight="1" x14ac:dyDescent="0.25">
      <c r="H609" s="168"/>
      <c r="I609" s="168"/>
    </row>
    <row r="610" spans="8:9" ht="15.75" customHeight="1" x14ac:dyDescent="0.25">
      <c r="H610" s="168"/>
      <c r="I610" s="168"/>
    </row>
    <row r="611" spans="8:9" ht="15.75" customHeight="1" x14ac:dyDescent="0.25">
      <c r="H611" s="168"/>
      <c r="I611" s="168"/>
    </row>
    <row r="612" spans="8:9" ht="15.75" customHeight="1" x14ac:dyDescent="0.25">
      <c r="H612" s="168"/>
      <c r="I612" s="168"/>
    </row>
    <row r="613" spans="8:9" ht="15.75" customHeight="1" x14ac:dyDescent="0.25">
      <c r="H613" s="168"/>
      <c r="I613" s="168"/>
    </row>
    <row r="614" spans="8:9" ht="15.75" customHeight="1" x14ac:dyDescent="0.25">
      <c r="H614" s="168"/>
      <c r="I614" s="168"/>
    </row>
    <row r="615" spans="8:9" ht="15.75" customHeight="1" x14ac:dyDescent="0.25">
      <c r="H615" s="168"/>
      <c r="I615" s="168"/>
    </row>
    <row r="616" spans="8:9" ht="15.75" customHeight="1" x14ac:dyDescent="0.25">
      <c r="H616" s="168"/>
      <c r="I616" s="168"/>
    </row>
    <row r="617" spans="8:9" ht="15.75" customHeight="1" x14ac:dyDescent="0.25">
      <c r="H617" s="168"/>
      <c r="I617" s="168"/>
    </row>
    <row r="618" spans="8:9" ht="15.75" customHeight="1" x14ac:dyDescent="0.25">
      <c r="H618" s="168"/>
      <c r="I618" s="168"/>
    </row>
    <row r="619" spans="8:9" ht="15.75" customHeight="1" x14ac:dyDescent="0.25">
      <c r="H619" s="168"/>
      <c r="I619" s="168"/>
    </row>
    <row r="620" spans="8:9" ht="15.75" customHeight="1" x14ac:dyDescent="0.25">
      <c r="H620" s="168"/>
      <c r="I620" s="168"/>
    </row>
    <row r="621" spans="8:9" ht="15.75" customHeight="1" x14ac:dyDescent="0.25">
      <c r="H621" s="168"/>
      <c r="I621" s="168"/>
    </row>
    <row r="622" spans="8:9" ht="15.75" customHeight="1" x14ac:dyDescent="0.25">
      <c r="H622" s="168"/>
      <c r="I622" s="168"/>
    </row>
    <row r="623" spans="8:9" ht="15.75" customHeight="1" x14ac:dyDescent="0.25">
      <c r="H623" s="168"/>
      <c r="I623" s="168"/>
    </row>
    <row r="624" spans="8:9" ht="15.75" customHeight="1" x14ac:dyDescent="0.25">
      <c r="H624" s="168"/>
      <c r="I624" s="168"/>
    </row>
    <row r="625" spans="8:9" ht="15.75" customHeight="1" x14ac:dyDescent="0.25">
      <c r="H625" s="168"/>
      <c r="I625" s="168"/>
    </row>
    <row r="626" spans="8:9" ht="15.75" customHeight="1" x14ac:dyDescent="0.25">
      <c r="H626" s="168"/>
      <c r="I626" s="168"/>
    </row>
    <row r="627" spans="8:9" ht="15.75" customHeight="1" x14ac:dyDescent="0.25">
      <c r="H627" s="168"/>
      <c r="I627" s="168"/>
    </row>
    <row r="628" spans="8:9" ht="15.75" customHeight="1" x14ac:dyDescent="0.25">
      <c r="H628" s="168"/>
      <c r="I628" s="168"/>
    </row>
    <row r="629" spans="8:9" ht="15.75" customHeight="1" x14ac:dyDescent="0.25">
      <c r="H629" s="168"/>
      <c r="I629" s="168"/>
    </row>
    <row r="630" spans="8:9" ht="15.75" customHeight="1" x14ac:dyDescent="0.25">
      <c r="H630" s="168"/>
      <c r="I630" s="168"/>
    </row>
    <row r="631" spans="8:9" ht="15.75" customHeight="1" x14ac:dyDescent="0.25">
      <c r="H631" s="168"/>
      <c r="I631" s="168"/>
    </row>
    <row r="632" spans="8:9" ht="15.75" customHeight="1" x14ac:dyDescent="0.25">
      <c r="H632" s="168"/>
      <c r="I632" s="168"/>
    </row>
    <row r="633" spans="8:9" ht="15.75" customHeight="1" x14ac:dyDescent="0.25">
      <c r="H633" s="168"/>
      <c r="I633" s="168"/>
    </row>
    <row r="634" spans="8:9" ht="15.75" customHeight="1" x14ac:dyDescent="0.25">
      <c r="H634" s="168"/>
      <c r="I634" s="168"/>
    </row>
    <row r="635" spans="8:9" ht="15.75" customHeight="1" x14ac:dyDescent="0.25">
      <c r="H635" s="168"/>
      <c r="I635" s="168"/>
    </row>
    <row r="636" spans="8:9" ht="15.75" customHeight="1" x14ac:dyDescent="0.25">
      <c r="H636" s="168"/>
      <c r="I636" s="168"/>
    </row>
    <row r="637" spans="8:9" ht="15.75" customHeight="1" x14ac:dyDescent="0.25">
      <c r="H637" s="168"/>
      <c r="I637" s="168"/>
    </row>
    <row r="638" spans="8:9" ht="15.75" customHeight="1" x14ac:dyDescent="0.25">
      <c r="H638" s="168"/>
      <c r="I638" s="168"/>
    </row>
    <row r="639" spans="8:9" ht="15.75" customHeight="1" x14ac:dyDescent="0.25">
      <c r="H639" s="168"/>
      <c r="I639" s="168"/>
    </row>
    <row r="640" spans="8:9" ht="15.75" customHeight="1" x14ac:dyDescent="0.25">
      <c r="H640" s="168"/>
      <c r="I640" s="168"/>
    </row>
    <row r="641" spans="8:9" ht="15.75" customHeight="1" x14ac:dyDescent="0.25">
      <c r="H641" s="168"/>
      <c r="I641" s="168"/>
    </row>
    <row r="642" spans="8:9" ht="15.75" customHeight="1" x14ac:dyDescent="0.25">
      <c r="H642" s="168"/>
      <c r="I642" s="168"/>
    </row>
    <row r="643" spans="8:9" ht="15.75" customHeight="1" x14ac:dyDescent="0.25">
      <c r="H643" s="168"/>
      <c r="I643" s="168"/>
    </row>
    <row r="644" spans="8:9" ht="15.75" customHeight="1" x14ac:dyDescent="0.25">
      <c r="H644" s="168"/>
      <c r="I644" s="168"/>
    </row>
    <row r="645" spans="8:9" ht="15.75" customHeight="1" x14ac:dyDescent="0.25">
      <c r="H645" s="168"/>
      <c r="I645" s="168"/>
    </row>
    <row r="646" spans="8:9" ht="15.75" customHeight="1" x14ac:dyDescent="0.25">
      <c r="H646" s="168"/>
      <c r="I646" s="168"/>
    </row>
    <row r="647" spans="8:9" ht="15.75" customHeight="1" x14ac:dyDescent="0.25">
      <c r="H647" s="168"/>
      <c r="I647" s="168"/>
    </row>
    <row r="648" spans="8:9" ht="15.75" customHeight="1" x14ac:dyDescent="0.25">
      <c r="H648" s="168"/>
      <c r="I648" s="168"/>
    </row>
    <row r="649" spans="8:9" ht="15.75" customHeight="1" x14ac:dyDescent="0.25">
      <c r="H649" s="168"/>
      <c r="I649" s="168"/>
    </row>
    <row r="650" spans="8:9" ht="15.75" customHeight="1" x14ac:dyDescent="0.25">
      <c r="H650" s="168"/>
      <c r="I650" s="168"/>
    </row>
    <row r="651" spans="8:9" ht="15.75" customHeight="1" x14ac:dyDescent="0.25">
      <c r="H651" s="168"/>
      <c r="I651" s="168"/>
    </row>
    <row r="652" spans="8:9" ht="15.75" customHeight="1" x14ac:dyDescent="0.25">
      <c r="H652" s="168"/>
      <c r="I652" s="168"/>
    </row>
    <row r="653" spans="8:9" ht="15.75" customHeight="1" x14ac:dyDescent="0.25">
      <c r="H653" s="168"/>
      <c r="I653" s="168"/>
    </row>
    <row r="654" spans="8:9" ht="15.75" customHeight="1" x14ac:dyDescent="0.25">
      <c r="H654" s="168"/>
      <c r="I654" s="168"/>
    </row>
    <row r="655" spans="8:9" ht="15.75" customHeight="1" x14ac:dyDescent="0.25">
      <c r="H655" s="168"/>
      <c r="I655" s="168"/>
    </row>
    <row r="656" spans="8:9" ht="15.75" customHeight="1" x14ac:dyDescent="0.25">
      <c r="H656" s="168"/>
      <c r="I656" s="168"/>
    </row>
    <row r="657" spans="8:9" ht="15.75" customHeight="1" x14ac:dyDescent="0.25">
      <c r="H657" s="168"/>
      <c r="I657" s="168"/>
    </row>
    <row r="658" spans="8:9" ht="15.75" customHeight="1" x14ac:dyDescent="0.25">
      <c r="H658" s="168"/>
      <c r="I658" s="168"/>
    </row>
    <row r="659" spans="8:9" ht="15.75" customHeight="1" x14ac:dyDescent="0.25">
      <c r="H659" s="168"/>
      <c r="I659" s="168"/>
    </row>
    <row r="660" spans="8:9" ht="15.75" customHeight="1" x14ac:dyDescent="0.25">
      <c r="H660" s="168"/>
      <c r="I660" s="168"/>
    </row>
    <row r="661" spans="8:9" ht="15.75" customHeight="1" x14ac:dyDescent="0.25">
      <c r="H661" s="168"/>
      <c r="I661" s="168"/>
    </row>
    <row r="662" spans="8:9" ht="15.75" customHeight="1" x14ac:dyDescent="0.25">
      <c r="H662" s="168"/>
      <c r="I662" s="168"/>
    </row>
    <row r="663" spans="8:9" ht="15.75" customHeight="1" x14ac:dyDescent="0.25">
      <c r="H663" s="168"/>
      <c r="I663" s="168"/>
    </row>
    <row r="664" spans="8:9" ht="15.75" customHeight="1" x14ac:dyDescent="0.25">
      <c r="H664" s="168"/>
      <c r="I664" s="168"/>
    </row>
    <row r="665" spans="8:9" ht="15.75" customHeight="1" x14ac:dyDescent="0.25">
      <c r="H665" s="168"/>
      <c r="I665" s="168"/>
    </row>
    <row r="666" spans="8:9" ht="15.75" customHeight="1" x14ac:dyDescent="0.25">
      <c r="H666" s="168"/>
      <c r="I666" s="168"/>
    </row>
    <row r="667" spans="8:9" ht="15.75" customHeight="1" x14ac:dyDescent="0.25">
      <c r="H667" s="168"/>
      <c r="I667" s="168"/>
    </row>
    <row r="668" spans="8:9" ht="15.75" customHeight="1" x14ac:dyDescent="0.25">
      <c r="H668" s="168"/>
      <c r="I668" s="168"/>
    </row>
    <row r="669" spans="8:9" ht="15.75" customHeight="1" x14ac:dyDescent="0.25">
      <c r="H669" s="168"/>
      <c r="I669" s="168"/>
    </row>
    <row r="670" spans="8:9" ht="15.75" customHeight="1" x14ac:dyDescent="0.25">
      <c r="H670" s="168"/>
      <c r="I670" s="168"/>
    </row>
    <row r="671" spans="8:9" ht="15.75" customHeight="1" x14ac:dyDescent="0.25">
      <c r="H671" s="168"/>
      <c r="I671" s="168"/>
    </row>
    <row r="672" spans="8:9" ht="15.75" customHeight="1" x14ac:dyDescent="0.25">
      <c r="H672" s="168"/>
      <c r="I672" s="168"/>
    </row>
    <row r="673" spans="8:9" ht="15.75" customHeight="1" x14ac:dyDescent="0.25">
      <c r="H673" s="168"/>
      <c r="I673" s="168"/>
    </row>
    <row r="674" spans="8:9" ht="15.75" customHeight="1" x14ac:dyDescent="0.25">
      <c r="H674" s="168"/>
      <c r="I674" s="168"/>
    </row>
    <row r="675" spans="8:9" ht="15.75" customHeight="1" x14ac:dyDescent="0.25">
      <c r="H675" s="168"/>
      <c r="I675" s="168"/>
    </row>
    <row r="676" spans="8:9" ht="15.75" customHeight="1" x14ac:dyDescent="0.25">
      <c r="H676" s="168"/>
      <c r="I676" s="168"/>
    </row>
    <row r="677" spans="8:9" ht="15.75" customHeight="1" x14ac:dyDescent="0.25">
      <c r="H677" s="168"/>
      <c r="I677" s="168"/>
    </row>
    <row r="678" spans="8:9" ht="15.75" customHeight="1" x14ac:dyDescent="0.25">
      <c r="H678" s="168"/>
      <c r="I678" s="168"/>
    </row>
    <row r="679" spans="8:9" ht="15.75" customHeight="1" x14ac:dyDescent="0.25">
      <c r="H679" s="168"/>
      <c r="I679" s="168"/>
    </row>
    <row r="680" spans="8:9" ht="15.75" customHeight="1" x14ac:dyDescent="0.25">
      <c r="H680" s="168"/>
      <c r="I680" s="168"/>
    </row>
    <row r="681" spans="8:9" ht="15.75" customHeight="1" x14ac:dyDescent="0.25">
      <c r="H681" s="168"/>
      <c r="I681" s="168"/>
    </row>
    <row r="682" spans="8:9" ht="15.75" customHeight="1" x14ac:dyDescent="0.25">
      <c r="H682" s="168"/>
      <c r="I682" s="168"/>
    </row>
    <row r="683" spans="8:9" ht="15.75" customHeight="1" x14ac:dyDescent="0.25">
      <c r="H683" s="168"/>
      <c r="I683" s="168"/>
    </row>
    <row r="684" spans="8:9" ht="15.75" customHeight="1" x14ac:dyDescent="0.25">
      <c r="H684" s="168"/>
      <c r="I684" s="168"/>
    </row>
    <row r="685" spans="8:9" ht="15.75" customHeight="1" x14ac:dyDescent="0.25">
      <c r="H685" s="168"/>
      <c r="I685" s="168"/>
    </row>
    <row r="686" spans="8:9" ht="15.75" customHeight="1" x14ac:dyDescent="0.25">
      <c r="H686" s="168"/>
      <c r="I686" s="168"/>
    </row>
    <row r="687" spans="8:9" ht="15.75" customHeight="1" x14ac:dyDescent="0.25">
      <c r="H687" s="168"/>
      <c r="I687" s="168"/>
    </row>
    <row r="688" spans="8:9" ht="15.75" customHeight="1" x14ac:dyDescent="0.25">
      <c r="H688" s="168"/>
      <c r="I688" s="168"/>
    </row>
    <row r="689" spans="8:9" ht="15.75" customHeight="1" x14ac:dyDescent="0.25">
      <c r="H689" s="168"/>
      <c r="I689" s="168"/>
    </row>
    <row r="690" spans="8:9" ht="15.75" customHeight="1" x14ac:dyDescent="0.25">
      <c r="H690" s="168"/>
      <c r="I690" s="168"/>
    </row>
    <row r="691" spans="8:9" ht="15.75" customHeight="1" x14ac:dyDescent="0.25">
      <c r="H691" s="168"/>
      <c r="I691" s="168"/>
    </row>
    <row r="692" spans="8:9" ht="15.75" customHeight="1" x14ac:dyDescent="0.25">
      <c r="H692" s="168"/>
      <c r="I692" s="168"/>
    </row>
    <row r="693" spans="8:9" ht="15.75" customHeight="1" x14ac:dyDescent="0.25">
      <c r="H693" s="168"/>
      <c r="I693" s="168"/>
    </row>
    <row r="694" spans="8:9" ht="15.75" customHeight="1" x14ac:dyDescent="0.25">
      <c r="H694" s="168"/>
      <c r="I694" s="168"/>
    </row>
    <row r="695" spans="8:9" ht="15.75" customHeight="1" x14ac:dyDescent="0.25">
      <c r="H695" s="168"/>
      <c r="I695" s="168"/>
    </row>
    <row r="696" spans="8:9" ht="15.75" customHeight="1" x14ac:dyDescent="0.25">
      <c r="H696" s="168"/>
      <c r="I696" s="168"/>
    </row>
    <row r="697" spans="8:9" ht="15.75" customHeight="1" x14ac:dyDescent="0.25">
      <c r="H697" s="168"/>
      <c r="I697" s="168"/>
    </row>
    <row r="698" spans="8:9" ht="15.75" customHeight="1" x14ac:dyDescent="0.25">
      <c r="H698" s="168"/>
      <c r="I698" s="168"/>
    </row>
    <row r="699" spans="8:9" ht="15.75" customHeight="1" x14ac:dyDescent="0.25">
      <c r="H699" s="168"/>
      <c r="I699" s="168"/>
    </row>
    <row r="700" spans="8:9" ht="15.75" customHeight="1" x14ac:dyDescent="0.25">
      <c r="H700" s="168"/>
      <c r="I700" s="168"/>
    </row>
    <row r="701" spans="8:9" ht="15.75" customHeight="1" x14ac:dyDescent="0.25">
      <c r="H701" s="168"/>
      <c r="I701" s="168"/>
    </row>
    <row r="702" spans="8:9" ht="15.75" customHeight="1" x14ac:dyDescent="0.25">
      <c r="H702" s="168"/>
      <c r="I702" s="168"/>
    </row>
    <row r="703" spans="8:9" ht="15.75" customHeight="1" x14ac:dyDescent="0.25">
      <c r="H703" s="168"/>
      <c r="I703" s="168"/>
    </row>
    <row r="704" spans="8:9" ht="15.75" customHeight="1" x14ac:dyDescent="0.25">
      <c r="H704" s="168"/>
      <c r="I704" s="168"/>
    </row>
    <row r="705" spans="8:9" ht="15.75" customHeight="1" x14ac:dyDescent="0.25">
      <c r="H705" s="168"/>
      <c r="I705" s="168"/>
    </row>
    <row r="706" spans="8:9" ht="15.75" customHeight="1" x14ac:dyDescent="0.25">
      <c r="H706" s="168"/>
      <c r="I706" s="168"/>
    </row>
    <row r="707" spans="8:9" ht="15.75" customHeight="1" x14ac:dyDescent="0.25">
      <c r="H707" s="168"/>
      <c r="I707" s="168"/>
    </row>
    <row r="708" spans="8:9" ht="15.75" customHeight="1" x14ac:dyDescent="0.25">
      <c r="H708" s="168"/>
      <c r="I708" s="168"/>
    </row>
    <row r="709" spans="8:9" ht="15.75" customHeight="1" x14ac:dyDescent="0.25">
      <c r="H709" s="168"/>
      <c r="I709" s="168"/>
    </row>
    <row r="710" spans="8:9" ht="15.75" customHeight="1" x14ac:dyDescent="0.25">
      <c r="H710" s="168"/>
      <c r="I710" s="168"/>
    </row>
    <row r="711" spans="8:9" ht="15.75" customHeight="1" x14ac:dyDescent="0.25">
      <c r="H711" s="168"/>
      <c r="I711" s="168"/>
    </row>
    <row r="712" spans="8:9" ht="15.75" customHeight="1" x14ac:dyDescent="0.25">
      <c r="H712" s="168"/>
      <c r="I712" s="168"/>
    </row>
    <row r="713" spans="8:9" ht="15.75" customHeight="1" x14ac:dyDescent="0.25">
      <c r="H713" s="168"/>
      <c r="I713" s="168"/>
    </row>
    <row r="714" spans="8:9" ht="15.75" customHeight="1" x14ac:dyDescent="0.25">
      <c r="H714" s="168"/>
      <c r="I714" s="168"/>
    </row>
    <row r="715" spans="8:9" ht="15.75" customHeight="1" x14ac:dyDescent="0.25">
      <c r="H715" s="168"/>
      <c r="I715" s="168"/>
    </row>
    <row r="716" spans="8:9" ht="15.75" customHeight="1" x14ac:dyDescent="0.25">
      <c r="H716" s="168"/>
      <c r="I716" s="168"/>
    </row>
    <row r="717" spans="8:9" ht="15.75" customHeight="1" x14ac:dyDescent="0.25">
      <c r="H717" s="168"/>
      <c r="I717" s="168"/>
    </row>
    <row r="718" spans="8:9" ht="15.75" customHeight="1" x14ac:dyDescent="0.25">
      <c r="H718" s="168"/>
      <c r="I718" s="168"/>
    </row>
    <row r="719" spans="8:9" ht="15.75" customHeight="1" x14ac:dyDescent="0.25">
      <c r="H719" s="168"/>
      <c r="I719" s="168"/>
    </row>
    <row r="720" spans="8:9" ht="15.75" customHeight="1" x14ac:dyDescent="0.25">
      <c r="H720" s="168"/>
      <c r="I720" s="168"/>
    </row>
    <row r="721" spans="8:9" ht="15.75" customHeight="1" x14ac:dyDescent="0.25">
      <c r="H721" s="168"/>
      <c r="I721" s="168"/>
    </row>
    <row r="722" spans="8:9" ht="15.75" customHeight="1" x14ac:dyDescent="0.25">
      <c r="H722" s="168"/>
      <c r="I722" s="168"/>
    </row>
    <row r="723" spans="8:9" ht="15.75" customHeight="1" x14ac:dyDescent="0.25">
      <c r="H723" s="168"/>
      <c r="I723" s="168"/>
    </row>
    <row r="724" spans="8:9" ht="15.75" customHeight="1" x14ac:dyDescent="0.25">
      <c r="H724" s="168"/>
      <c r="I724" s="168"/>
    </row>
    <row r="725" spans="8:9" ht="15.75" customHeight="1" x14ac:dyDescent="0.25">
      <c r="H725" s="168"/>
      <c r="I725" s="168"/>
    </row>
    <row r="726" spans="8:9" ht="15.75" customHeight="1" x14ac:dyDescent="0.25">
      <c r="H726" s="168"/>
      <c r="I726" s="168"/>
    </row>
    <row r="727" spans="8:9" ht="15.75" customHeight="1" x14ac:dyDescent="0.25">
      <c r="H727" s="168"/>
      <c r="I727" s="168"/>
    </row>
    <row r="728" spans="8:9" ht="15.75" customHeight="1" x14ac:dyDescent="0.25">
      <c r="H728" s="168"/>
      <c r="I728" s="168"/>
    </row>
    <row r="729" spans="8:9" ht="15.75" customHeight="1" x14ac:dyDescent="0.25">
      <c r="H729" s="168"/>
      <c r="I729" s="168"/>
    </row>
    <row r="730" spans="8:9" ht="15.75" customHeight="1" x14ac:dyDescent="0.25">
      <c r="H730" s="168"/>
      <c r="I730" s="168"/>
    </row>
    <row r="731" spans="8:9" ht="15.75" customHeight="1" x14ac:dyDescent="0.25">
      <c r="H731" s="168"/>
      <c r="I731" s="168"/>
    </row>
    <row r="732" spans="8:9" ht="15.75" customHeight="1" x14ac:dyDescent="0.25">
      <c r="H732" s="168"/>
      <c r="I732" s="168"/>
    </row>
    <row r="733" spans="8:9" ht="15.75" customHeight="1" x14ac:dyDescent="0.25">
      <c r="H733" s="168"/>
      <c r="I733" s="168"/>
    </row>
    <row r="734" spans="8:9" ht="15.75" customHeight="1" x14ac:dyDescent="0.25">
      <c r="H734" s="168"/>
      <c r="I734" s="168"/>
    </row>
    <row r="735" spans="8:9" ht="15.75" customHeight="1" x14ac:dyDescent="0.25">
      <c r="H735" s="168"/>
      <c r="I735" s="168"/>
    </row>
    <row r="736" spans="8:9" ht="15.75" customHeight="1" x14ac:dyDescent="0.25">
      <c r="H736" s="168"/>
      <c r="I736" s="168"/>
    </row>
    <row r="737" spans="8:9" ht="15.75" customHeight="1" x14ac:dyDescent="0.25">
      <c r="H737" s="168"/>
      <c r="I737" s="168"/>
    </row>
    <row r="738" spans="8:9" ht="15.75" customHeight="1" x14ac:dyDescent="0.25">
      <c r="H738" s="168"/>
      <c r="I738" s="168"/>
    </row>
    <row r="739" spans="8:9" ht="15.75" customHeight="1" x14ac:dyDescent="0.25">
      <c r="H739" s="168"/>
      <c r="I739" s="168"/>
    </row>
    <row r="740" spans="8:9" ht="15.75" customHeight="1" x14ac:dyDescent="0.25">
      <c r="H740" s="168"/>
      <c r="I740" s="168"/>
    </row>
    <row r="741" spans="8:9" ht="15.75" customHeight="1" x14ac:dyDescent="0.25">
      <c r="H741" s="168"/>
      <c r="I741" s="168"/>
    </row>
    <row r="742" spans="8:9" ht="15.75" customHeight="1" x14ac:dyDescent="0.25">
      <c r="H742" s="168"/>
      <c r="I742" s="168"/>
    </row>
    <row r="743" spans="8:9" ht="15.75" customHeight="1" x14ac:dyDescent="0.25">
      <c r="H743" s="168"/>
      <c r="I743" s="168"/>
    </row>
    <row r="744" spans="8:9" ht="15.75" customHeight="1" x14ac:dyDescent="0.25">
      <c r="H744" s="168"/>
      <c r="I744" s="168"/>
    </row>
    <row r="745" spans="8:9" ht="15.75" customHeight="1" x14ac:dyDescent="0.25">
      <c r="H745" s="168"/>
      <c r="I745" s="168"/>
    </row>
    <row r="746" spans="8:9" ht="15.75" customHeight="1" x14ac:dyDescent="0.25">
      <c r="H746" s="168"/>
      <c r="I746" s="168"/>
    </row>
    <row r="747" spans="8:9" ht="15.75" customHeight="1" x14ac:dyDescent="0.25">
      <c r="H747" s="168"/>
      <c r="I747" s="168"/>
    </row>
    <row r="748" spans="8:9" ht="15.75" customHeight="1" x14ac:dyDescent="0.25">
      <c r="H748" s="168"/>
      <c r="I748" s="168"/>
    </row>
    <row r="749" spans="8:9" ht="15.75" customHeight="1" x14ac:dyDescent="0.25">
      <c r="H749" s="168"/>
      <c r="I749" s="168"/>
    </row>
    <row r="750" spans="8:9" ht="15.75" customHeight="1" x14ac:dyDescent="0.25">
      <c r="H750" s="168"/>
      <c r="I750" s="168"/>
    </row>
    <row r="751" spans="8:9" ht="15.75" customHeight="1" x14ac:dyDescent="0.25">
      <c r="H751" s="168"/>
      <c r="I751" s="168"/>
    </row>
    <row r="752" spans="8:9" ht="15.75" customHeight="1" x14ac:dyDescent="0.25">
      <c r="H752" s="168"/>
      <c r="I752" s="168"/>
    </row>
    <row r="753" spans="8:9" ht="15.75" customHeight="1" x14ac:dyDescent="0.25">
      <c r="H753" s="168"/>
      <c r="I753" s="168"/>
    </row>
    <row r="754" spans="8:9" ht="15.75" customHeight="1" x14ac:dyDescent="0.25">
      <c r="H754" s="168"/>
      <c r="I754" s="168"/>
    </row>
    <row r="755" spans="8:9" ht="15.75" customHeight="1" x14ac:dyDescent="0.25">
      <c r="H755" s="168"/>
      <c r="I755" s="168"/>
    </row>
    <row r="756" spans="8:9" ht="15.75" customHeight="1" x14ac:dyDescent="0.25">
      <c r="H756" s="168"/>
      <c r="I756" s="168"/>
    </row>
    <row r="757" spans="8:9" ht="15.75" customHeight="1" x14ac:dyDescent="0.25">
      <c r="H757" s="168"/>
      <c r="I757" s="168"/>
    </row>
    <row r="758" spans="8:9" ht="15.75" customHeight="1" x14ac:dyDescent="0.25">
      <c r="H758" s="168"/>
      <c r="I758" s="168"/>
    </row>
    <row r="759" spans="8:9" ht="15.75" customHeight="1" x14ac:dyDescent="0.25">
      <c r="H759" s="168"/>
      <c r="I759" s="168"/>
    </row>
    <row r="760" spans="8:9" ht="15.75" customHeight="1" x14ac:dyDescent="0.25">
      <c r="H760" s="168"/>
      <c r="I760" s="168"/>
    </row>
    <row r="761" spans="8:9" ht="15.75" customHeight="1" x14ac:dyDescent="0.25">
      <c r="H761" s="168"/>
      <c r="I761" s="168"/>
    </row>
    <row r="762" spans="8:9" ht="15.75" customHeight="1" x14ac:dyDescent="0.25">
      <c r="H762" s="168"/>
      <c r="I762" s="168"/>
    </row>
    <row r="763" spans="8:9" ht="15.75" customHeight="1" x14ac:dyDescent="0.25">
      <c r="H763" s="168"/>
      <c r="I763" s="168"/>
    </row>
    <row r="764" spans="8:9" ht="15.75" customHeight="1" x14ac:dyDescent="0.25">
      <c r="H764" s="168"/>
      <c r="I764" s="168"/>
    </row>
    <row r="765" spans="8:9" ht="15.75" customHeight="1" x14ac:dyDescent="0.25">
      <c r="H765" s="168"/>
      <c r="I765" s="168"/>
    </row>
    <row r="766" spans="8:9" ht="15.75" customHeight="1" x14ac:dyDescent="0.25">
      <c r="H766" s="168"/>
      <c r="I766" s="168"/>
    </row>
    <row r="767" spans="8:9" ht="15.75" customHeight="1" x14ac:dyDescent="0.25">
      <c r="H767" s="168"/>
      <c r="I767" s="168"/>
    </row>
    <row r="768" spans="8:9" ht="15.75" customHeight="1" x14ac:dyDescent="0.25">
      <c r="H768" s="168"/>
      <c r="I768" s="168"/>
    </row>
    <row r="769" spans="8:9" ht="15.75" customHeight="1" x14ac:dyDescent="0.25">
      <c r="H769" s="168"/>
      <c r="I769" s="168"/>
    </row>
    <row r="770" spans="8:9" ht="15.75" customHeight="1" x14ac:dyDescent="0.25">
      <c r="H770" s="168"/>
      <c r="I770" s="168"/>
    </row>
    <row r="771" spans="8:9" ht="15.75" customHeight="1" x14ac:dyDescent="0.25">
      <c r="H771" s="168"/>
      <c r="I771" s="168"/>
    </row>
    <row r="772" spans="8:9" ht="15.75" customHeight="1" x14ac:dyDescent="0.25">
      <c r="H772" s="168"/>
      <c r="I772" s="168"/>
    </row>
    <row r="773" spans="8:9" ht="15.75" customHeight="1" x14ac:dyDescent="0.25">
      <c r="H773" s="168"/>
      <c r="I773" s="168"/>
    </row>
    <row r="774" spans="8:9" ht="15.75" customHeight="1" x14ac:dyDescent="0.25">
      <c r="H774" s="168"/>
      <c r="I774" s="168"/>
    </row>
    <row r="775" spans="8:9" ht="15.75" customHeight="1" x14ac:dyDescent="0.25">
      <c r="H775" s="168"/>
      <c r="I775" s="168"/>
    </row>
    <row r="776" spans="8:9" ht="15.75" customHeight="1" x14ac:dyDescent="0.25">
      <c r="H776" s="168"/>
      <c r="I776" s="168"/>
    </row>
    <row r="777" spans="8:9" ht="15.75" customHeight="1" x14ac:dyDescent="0.25">
      <c r="H777" s="168"/>
      <c r="I777" s="168"/>
    </row>
    <row r="778" spans="8:9" ht="15.75" customHeight="1" x14ac:dyDescent="0.25">
      <c r="H778" s="168"/>
      <c r="I778" s="168"/>
    </row>
    <row r="779" spans="8:9" ht="15.75" customHeight="1" x14ac:dyDescent="0.25">
      <c r="H779" s="168"/>
      <c r="I779" s="168"/>
    </row>
    <row r="780" spans="8:9" ht="15.75" customHeight="1" x14ac:dyDescent="0.25">
      <c r="H780" s="168"/>
      <c r="I780" s="168"/>
    </row>
    <row r="781" spans="8:9" ht="15.75" customHeight="1" x14ac:dyDescent="0.25">
      <c r="H781" s="168"/>
      <c r="I781" s="168"/>
    </row>
    <row r="782" spans="8:9" ht="15.75" customHeight="1" x14ac:dyDescent="0.25">
      <c r="H782" s="168"/>
      <c r="I782" s="168"/>
    </row>
    <row r="783" spans="8:9" ht="15.75" customHeight="1" x14ac:dyDescent="0.25">
      <c r="H783" s="168"/>
      <c r="I783" s="168"/>
    </row>
    <row r="784" spans="8:9" ht="15.75" customHeight="1" x14ac:dyDescent="0.25">
      <c r="H784" s="168"/>
      <c r="I784" s="168"/>
    </row>
    <row r="785" spans="8:9" ht="15.75" customHeight="1" x14ac:dyDescent="0.25">
      <c r="H785" s="168"/>
      <c r="I785" s="168"/>
    </row>
    <row r="786" spans="8:9" ht="15.75" customHeight="1" x14ac:dyDescent="0.25">
      <c r="H786" s="168"/>
      <c r="I786" s="168"/>
    </row>
    <row r="787" spans="8:9" ht="15.75" customHeight="1" x14ac:dyDescent="0.25">
      <c r="H787" s="168"/>
      <c r="I787" s="168"/>
    </row>
    <row r="788" spans="8:9" ht="15.75" customHeight="1" x14ac:dyDescent="0.25">
      <c r="H788" s="168"/>
      <c r="I788" s="168"/>
    </row>
    <row r="789" spans="8:9" ht="15.75" customHeight="1" x14ac:dyDescent="0.25">
      <c r="H789" s="168"/>
      <c r="I789" s="168"/>
    </row>
    <row r="790" spans="8:9" ht="15.75" customHeight="1" x14ac:dyDescent="0.25">
      <c r="H790" s="168"/>
      <c r="I790" s="168"/>
    </row>
    <row r="791" spans="8:9" ht="15.75" customHeight="1" x14ac:dyDescent="0.25">
      <c r="H791" s="168"/>
      <c r="I791" s="168"/>
    </row>
    <row r="792" spans="8:9" ht="15.75" customHeight="1" x14ac:dyDescent="0.25">
      <c r="H792" s="168"/>
      <c r="I792" s="168"/>
    </row>
    <row r="793" spans="8:9" ht="15.75" customHeight="1" x14ac:dyDescent="0.25">
      <c r="H793" s="168"/>
      <c r="I793" s="168"/>
    </row>
    <row r="794" spans="8:9" ht="15.75" customHeight="1" x14ac:dyDescent="0.25">
      <c r="H794" s="168"/>
      <c r="I794" s="168"/>
    </row>
    <row r="795" spans="8:9" ht="15.75" customHeight="1" x14ac:dyDescent="0.25">
      <c r="H795" s="168"/>
      <c r="I795" s="168"/>
    </row>
    <row r="796" spans="8:9" ht="15.75" customHeight="1" x14ac:dyDescent="0.25">
      <c r="H796" s="168"/>
      <c r="I796" s="168"/>
    </row>
    <row r="797" spans="8:9" ht="15.75" customHeight="1" x14ac:dyDescent="0.25">
      <c r="H797" s="168"/>
      <c r="I797" s="168"/>
    </row>
    <row r="798" spans="8:9" ht="15.75" customHeight="1" x14ac:dyDescent="0.25">
      <c r="H798" s="168"/>
      <c r="I798" s="168"/>
    </row>
    <row r="799" spans="8:9" ht="15.75" customHeight="1" x14ac:dyDescent="0.25">
      <c r="H799" s="168"/>
      <c r="I799" s="168"/>
    </row>
    <row r="800" spans="8:9" ht="15.75" customHeight="1" x14ac:dyDescent="0.25">
      <c r="H800" s="168"/>
      <c r="I800" s="168"/>
    </row>
    <row r="801" spans="8:9" ht="15.75" customHeight="1" x14ac:dyDescent="0.25">
      <c r="H801" s="168"/>
      <c r="I801" s="168"/>
    </row>
    <row r="802" spans="8:9" ht="15.75" customHeight="1" x14ac:dyDescent="0.25">
      <c r="H802" s="168"/>
      <c r="I802" s="168"/>
    </row>
    <row r="803" spans="8:9" ht="15.75" customHeight="1" x14ac:dyDescent="0.25">
      <c r="H803" s="168"/>
      <c r="I803" s="168"/>
    </row>
    <row r="804" spans="8:9" ht="15.75" customHeight="1" x14ac:dyDescent="0.25">
      <c r="H804" s="168"/>
      <c r="I804" s="168"/>
    </row>
    <row r="805" spans="8:9" ht="15.75" customHeight="1" x14ac:dyDescent="0.25">
      <c r="H805" s="168"/>
      <c r="I805" s="168"/>
    </row>
    <row r="806" spans="8:9" ht="15.75" customHeight="1" x14ac:dyDescent="0.25">
      <c r="H806" s="168"/>
      <c r="I806" s="168"/>
    </row>
    <row r="807" spans="8:9" ht="15.75" customHeight="1" x14ac:dyDescent="0.25">
      <c r="H807" s="168"/>
      <c r="I807" s="168"/>
    </row>
    <row r="808" spans="8:9" ht="15.75" customHeight="1" x14ac:dyDescent="0.25">
      <c r="H808" s="168"/>
      <c r="I808" s="168"/>
    </row>
    <row r="809" spans="8:9" ht="15.75" customHeight="1" x14ac:dyDescent="0.25">
      <c r="H809" s="168"/>
      <c r="I809" s="168"/>
    </row>
    <row r="810" spans="8:9" ht="15.75" customHeight="1" x14ac:dyDescent="0.25">
      <c r="H810" s="168"/>
      <c r="I810" s="168"/>
    </row>
    <row r="811" spans="8:9" ht="15.75" customHeight="1" x14ac:dyDescent="0.25">
      <c r="H811" s="168"/>
      <c r="I811" s="168"/>
    </row>
    <row r="812" spans="8:9" ht="15.75" customHeight="1" x14ac:dyDescent="0.25">
      <c r="H812" s="168"/>
      <c r="I812" s="168"/>
    </row>
    <row r="813" spans="8:9" ht="15.75" customHeight="1" x14ac:dyDescent="0.25">
      <c r="H813" s="168"/>
      <c r="I813" s="168"/>
    </row>
    <row r="814" spans="8:9" ht="15.75" customHeight="1" x14ac:dyDescent="0.25">
      <c r="H814" s="168"/>
      <c r="I814" s="168"/>
    </row>
    <row r="815" spans="8:9" ht="15.75" customHeight="1" x14ac:dyDescent="0.25">
      <c r="H815" s="168"/>
      <c r="I815" s="168"/>
    </row>
    <row r="816" spans="8:9" ht="15.75" customHeight="1" x14ac:dyDescent="0.25">
      <c r="H816" s="168"/>
      <c r="I816" s="168"/>
    </row>
    <row r="817" spans="8:9" ht="15.75" customHeight="1" x14ac:dyDescent="0.25">
      <c r="H817" s="168"/>
      <c r="I817" s="168"/>
    </row>
    <row r="818" spans="8:9" ht="15.75" customHeight="1" x14ac:dyDescent="0.25">
      <c r="H818" s="168"/>
      <c r="I818" s="168"/>
    </row>
    <row r="819" spans="8:9" ht="15.75" customHeight="1" x14ac:dyDescent="0.25">
      <c r="H819" s="168"/>
      <c r="I819" s="168"/>
    </row>
    <row r="820" spans="8:9" ht="15.75" customHeight="1" x14ac:dyDescent="0.25">
      <c r="H820" s="168"/>
      <c r="I820" s="168"/>
    </row>
    <row r="821" spans="8:9" ht="15.75" customHeight="1" x14ac:dyDescent="0.25">
      <c r="H821" s="168"/>
      <c r="I821" s="168"/>
    </row>
    <row r="822" spans="8:9" ht="15.75" customHeight="1" x14ac:dyDescent="0.25">
      <c r="H822" s="168"/>
      <c r="I822" s="168"/>
    </row>
    <row r="823" spans="8:9" ht="15.75" customHeight="1" x14ac:dyDescent="0.25">
      <c r="H823" s="168"/>
      <c r="I823" s="168"/>
    </row>
    <row r="824" spans="8:9" ht="15.75" customHeight="1" x14ac:dyDescent="0.25">
      <c r="H824" s="168"/>
      <c r="I824" s="168"/>
    </row>
    <row r="825" spans="8:9" ht="15.75" customHeight="1" x14ac:dyDescent="0.25">
      <c r="H825" s="168"/>
      <c r="I825" s="168"/>
    </row>
    <row r="826" spans="8:9" ht="15.75" customHeight="1" x14ac:dyDescent="0.25">
      <c r="H826" s="168"/>
      <c r="I826" s="168"/>
    </row>
    <row r="827" spans="8:9" ht="15.75" customHeight="1" x14ac:dyDescent="0.25">
      <c r="H827" s="168"/>
      <c r="I827" s="168"/>
    </row>
    <row r="828" spans="8:9" ht="15.75" customHeight="1" x14ac:dyDescent="0.25">
      <c r="H828" s="168"/>
      <c r="I828" s="168"/>
    </row>
    <row r="829" spans="8:9" ht="15.75" customHeight="1" x14ac:dyDescent="0.25">
      <c r="H829" s="168"/>
      <c r="I829" s="168"/>
    </row>
    <row r="830" spans="8:9" ht="15.75" customHeight="1" x14ac:dyDescent="0.25">
      <c r="H830" s="168"/>
      <c r="I830" s="168"/>
    </row>
    <row r="831" spans="8:9" ht="15.75" customHeight="1" x14ac:dyDescent="0.25">
      <c r="H831" s="168"/>
      <c r="I831" s="168"/>
    </row>
    <row r="832" spans="8:9" ht="15.75" customHeight="1" x14ac:dyDescent="0.25">
      <c r="H832" s="168"/>
      <c r="I832" s="168"/>
    </row>
    <row r="833" spans="8:9" ht="15.75" customHeight="1" x14ac:dyDescent="0.25">
      <c r="H833" s="168"/>
      <c r="I833" s="168"/>
    </row>
    <row r="834" spans="8:9" ht="15.75" customHeight="1" x14ac:dyDescent="0.25">
      <c r="H834" s="168"/>
      <c r="I834" s="168"/>
    </row>
    <row r="835" spans="8:9" ht="15.75" customHeight="1" x14ac:dyDescent="0.25">
      <c r="H835" s="168"/>
      <c r="I835" s="168"/>
    </row>
    <row r="836" spans="8:9" ht="15.75" customHeight="1" x14ac:dyDescent="0.25">
      <c r="H836" s="168"/>
      <c r="I836" s="168"/>
    </row>
    <row r="837" spans="8:9" ht="15.75" customHeight="1" x14ac:dyDescent="0.25">
      <c r="H837" s="168"/>
      <c r="I837" s="168"/>
    </row>
    <row r="838" spans="8:9" ht="15.75" customHeight="1" x14ac:dyDescent="0.25">
      <c r="H838" s="168"/>
      <c r="I838" s="168"/>
    </row>
    <row r="839" spans="8:9" ht="15.75" customHeight="1" x14ac:dyDescent="0.25">
      <c r="H839" s="168"/>
      <c r="I839" s="168"/>
    </row>
    <row r="840" spans="8:9" ht="15.75" customHeight="1" x14ac:dyDescent="0.25">
      <c r="H840" s="168"/>
      <c r="I840" s="168"/>
    </row>
    <row r="841" spans="8:9" ht="15.75" customHeight="1" x14ac:dyDescent="0.25">
      <c r="H841" s="168"/>
      <c r="I841" s="168"/>
    </row>
    <row r="842" spans="8:9" ht="15.75" customHeight="1" x14ac:dyDescent="0.25">
      <c r="H842" s="168"/>
      <c r="I842" s="168"/>
    </row>
    <row r="843" spans="8:9" ht="15.75" customHeight="1" x14ac:dyDescent="0.25">
      <c r="H843" s="168"/>
      <c r="I843" s="168"/>
    </row>
    <row r="844" spans="8:9" ht="15.75" customHeight="1" x14ac:dyDescent="0.25">
      <c r="H844" s="168"/>
      <c r="I844" s="168"/>
    </row>
    <row r="845" spans="8:9" ht="15.75" customHeight="1" x14ac:dyDescent="0.25">
      <c r="H845" s="168"/>
      <c r="I845" s="168"/>
    </row>
    <row r="846" spans="8:9" ht="15.75" customHeight="1" x14ac:dyDescent="0.25">
      <c r="H846" s="168"/>
      <c r="I846" s="168"/>
    </row>
    <row r="847" spans="8:9" ht="15.75" customHeight="1" x14ac:dyDescent="0.25">
      <c r="H847" s="168"/>
      <c r="I847" s="168"/>
    </row>
    <row r="848" spans="8:9" ht="15.75" customHeight="1" x14ac:dyDescent="0.25">
      <c r="H848" s="168"/>
      <c r="I848" s="168"/>
    </row>
    <row r="849" spans="8:9" ht="15.75" customHeight="1" x14ac:dyDescent="0.25">
      <c r="H849" s="168"/>
      <c r="I849" s="168"/>
    </row>
    <row r="850" spans="8:9" ht="15.75" customHeight="1" x14ac:dyDescent="0.25">
      <c r="H850" s="168"/>
      <c r="I850" s="168"/>
    </row>
    <row r="851" spans="8:9" ht="15.75" customHeight="1" x14ac:dyDescent="0.25">
      <c r="H851" s="168"/>
      <c r="I851" s="168"/>
    </row>
    <row r="852" spans="8:9" ht="15.75" customHeight="1" x14ac:dyDescent="0.25">
      <c r="H852" s="168"/>
      <c r="I852" s="168"/>
    </row>
    <row r="853" spans="8:9" ht="15.75" customHeight="1" x14ac:dyDescent="0.25">
      <c r="H853" s="168"/>
      <c r="I853" s="168"/>
    </row>
    <row r="854" spans="8:9" ht="15.75" customHeight="1" x14ac:dyDescent="0.25">
      <c r="H854" s="168"/>
      <c r="I854" s="168"/>
    </row>
    <row r="855" spans="8:9" ht="15.75" customHeight="1" x14ac:dyDescent="0.25">
      <c r="H855" s="168"/>
      <c r="I855" s="168"/>
    </row>
    <row r="856" spans="8:9" ht="15.75" customHeight="1" x14ac:dyDescent="0.25">
      <c r="H856" s="168"/>
      <c r="I856" s="168"/>
    </row>
    <row r="857" spans="8:9" ht="15.75" customHeight="1" x14ac:dyDescent="0.25">
      <c r="H857" s="168"/>
      <c r="I857" s="168"/>
    </row>
    <row r="858" spans="8:9" ht="15.75" customHeight="1" x14ac:dyDescent="0.25">
      <c r="H858" s="168"/>
      <c r="I858" s="168"/>
    </row>
    <row r="859" spans="8:9" ht="15.75" customHeight="1" x14ac:dyDescent="0.25">
      <c r="H859" s="168"/>
      <c r="I859" s="168"/>
    </row>
    <row r="860" spans="8:9" ht="15.75" customHeight="1" x14ac:dyDescent="0.25">
      <c r="H860" s="168"/>
      <c r="I860" s="168"/>
    </row>
    <row r="861" spans="8:9" ht="15.75" customHeight="1" x14ac:dyDescent="0.25">
      <c r="H861" s="168"/>
      <c r="I861" s="168"/>
    </row>
    <row r="862" spans="8:9" ht="15.75" customHeight="1" x14ac:dyDescent="0.25">
      <c r="H862" s="168"/>
      <c r="I862" s="168"/>
    </row>
    <row r="863" spans="8:9" ht="15.75" customHeight="1" x14ac:dyDescent="0.25">
      <c r="H863" s="168"/>
      <c r="I863" s="168"/>
    </row>
    <row r="864" spans="8:9" ht="15.75" customHeight="1" x14ac:dyDescent="0.25">
      <c r="H864" s="168"/>
      <c r="I864" s="168"/>
    </row>
    <row r="865" spans="8:9" ht="15.75" customHeight="1" x14ac:dyDescent="0.25">
      <c r="H865" s="168"/>
      <c r="I865" s="168"/>
    </row>
    <row r="866" spans="8:9" ht="15.75" customHeight="1" x14ac:dyDescent="0.25">
      <c r="H866" s="168"/>
      <c r="I866" s="168"/>
    </row>
    <row r="867" spans="8:9" ht="15.75" customHeight="1" x14ac:dyDescent="0.25">
      <c r="H867" s="168"/>
      <c r="I867" s="168"/>
    </row>
    <row r="868" spans="8:9" ht="15.75" customHeight="1" x14ac:dyDescent="0.25">
      <c r="H868" s="168"/>
      <c r="I868" s="168"/>
    </row>
    <row r="869" spans="8:9" ht="15.75" customHeight="1" x14ac:dyDescent="0.25">
      <c r="H869" s="168"/>
      <c r="I869" s="168"/>
    </row>
    <row r="870" spans="8:9" ht="15.75" customHeight="1" x14ac:dyDescent="0.25">
      <c r="H870" s="168"/>
      <c r="I870" s="168"/>
    </row>
    <row r="871" spans="8:9" ht="15.75" customHeight="1" x14ac:dyDescent="0.25">
      <c r="H871" s="168"/>
      <c r="I871" s="168"/>
    </row>
    <row r="872" spans="8:9" ht="15.75" customHeight="1" x14ac:dyDescent="0.25">
      <c r="H872" s="168"/>
      <c r="I872" s="168"/>
    </row>
    <row r="873" spans="8:9" ht="15.75" customHeight="1" x14ac:dyDescent="0.25">
      <c r="H873" s="168"/>
      <c r="I873" s="168"/>
    </row>
    <row r="874" spans="8:9" ht="15.75" customHeight="1" x14ac:dyDescent="0.25">
      <c r="H874" s="168"/>
      <c r="I874" s="168"/>
    </row>
    <row r="875" spans="8:9" ht="15.75" customHeight="1" x14ac:dyDescent="0.25">
      <c r="H875" s="168"/>
      <c r="I875" s="168"/>
    </row>
    <row r="876" spans="8:9" ht="15.75" customHeight="1" x14ac:dyDescent="0.25">
      <c r="H876" s="168"/>
      <c r="I876" s="168"/>
    </row>
    <row r="877" spans="8:9" ht="15.75" customHeight="1" x14ac:dyDescent="0.25">
      <c r="H877" s="168"/>
      <c r="I877" s="168"/>
    </row>
    <row r="878" spans="8:9" ht="15.75" customHeight="1" x14ac:dyDescent="0.25">
      <c r="H878" s="168"/>
      <c r="I878" s="168"/>
    </row>
    <row r="879" spans="8:9" ht="15.75" customHeight="1" x14ac:dyDescent="0.25">
      <c r="H879" s="168"/>
      <c r="I879" s="168"/>
    </row>
    <row r="880" spans="8:9" ht="15.75" customHeight="1" x14ac:dyDescent="0.25">
      <c r="H880" s="168"/>
      <c r="I880" s="168"/>
    </row>
    <row r="881" spans="8:9" ht="15.75" customHeight="1" x14ac:dyDescent="0.25">
      <c r="H881" s="168"/>
      <c r="I881" s="168"/>
    </row>
    <row r="882" spans="8:9" ht="15.75" customHeight="1" x14ac:dyDescent="0.25">
      <c r="H882" s="168"/>
      <c r="I882" s="168"/>
    </row>
    <row r="883" spans="8:9" ht="15.75" customHeight="1" x14ac:dyDescent="0.25">
      <c r="H883" s="168"/>
      <c r="I883" s="168"/>
    </row>
    <row r="884" spans="8:9" ht="15.75" customHeight="1" x14ac:dyDescent="0.25">
      <c r="H884" s="168"/>
      <c r="I884" s="168"/>
    </row>
    <row r="885" spans="8:9" ht="15.75" customHeight="1" x14ac:dyDescent="0.25">
      <c r="H885" s="168"/>
      <c r="I885" s="168"/>
    </row>
    <row r="886" spans="8:9" ht="15.75" customHeight="1" x14ac:dyDescent="0.25">
      <c r="H886" s="168"/>
      <c r="I886" s="168"/>
    </row>
    <row r="887" spans="8:9" ht="15.75" customHeight="1" x14ac:dyDescent="0.25">
      <c r="H887" s="168"/>
      <c r="I887" s="168"/>
    </row>
    <row r="888" spans="8:9" ht="15.75" customHeight="1" x14ac:dyDescent="0.25">
      <c r="H888" s="168"/>
      <c r="I888" s="168"/>
    </row>
    <row r="889" spans="8:9" ht="15.75" customHeight="1" x14ac:dyDescent="0.25">
      <c r="H889" s="168"/>
      <c r="I889" s="168"/>
    </row>
    <row r="890" spans="8:9" ht="15.75" customHeight="1" x14ac:dyDescent="0.25">
      <c r="H890" s="168"/>
      <c r="I890" s="168"/>
    </row>
    <row r="891" spans="8:9" ht="15.75" customHeight="1" x14ac:dyDescent="0.25">
      <c r="H891" s="168"/>
      <c r="I891" s="168"/>
    </row>
    <row r="892" spans="8:9" ht="15.75" customHeight="1" x14ac:dyDescent="0.25">
      <c r="H892" s="168"/>
      <c r="I892" s="168"/>
    </row>
    <row r="893" spans="8:9" ht="15.75" customHeight="1" x14ac:dyDescent="0.25">
      <c r="H893" s="168"/>
      <c r="I893" s="168"/>
    </row>
    <row r="894" spans="8:9" ht="15.75" customHeight="1" x14ac:dyDescent="0.25">
      <c r="H894" s="168"/>
      <c r="I894" s="168"/>
    </row>
    <row r="895" spans="8:9" ht="15.75" customHeight="1" x14ac:dyDescent="0.25">
      <c r="H895" s="168"/>
      <c r="I895" s="168"/>
    </row>
    <row r="896" spans="8:9" ht="15.75" customHeight="1" x14ac:dyDescent="0.25">
      <c r="H896" s="168"/>
      <c r="I896" s="168"/>
    </row>
    <row r="897" spans="8:9" ht="15.75" customHeight="1" x14ac:dyDescent="0.25">
      <c r="H897" s="168"/>
      <c r="I897" s="168"/>
    </row>
    <row r="898" spans="8:9" ht="15.75" customHeight="1" x14ac:dyDescent="0.25">
      <c r="H898" s="168"/>
      <c r="I898" s="168"/>
    </row>
    <row r="899" spans="8:9" ht="15.75" customHeight="1" x14ac:dyDescent="0.25">
      <c r="H899" s="168"/>
      <c r="I899" s="168"/>
    </row>
    <row r="900" spans="8:9" ht="15.75" customHeight="1" x14ac:dyDescent="0.25">
      <c r="H900" s="168"/>
      <c r="I900" s="168"/>
    </row>
    <row r="901" spans="8:9" ht="15.75" customHeight="1" x14ac:dyDescent="0.25">
      <c r="H901" s="168"/>
      <c r="I901" s="168"/>
    </row>
    <row r="902" spans="8:9" ht="15.75" customHeight="1" x14ac:dyDescent="0.25">
      <c r="H902" s="168"/>
      <c r="I902" s="168"/>
    </row>
    <row r="903" spans="8:9" ht="15.75" customHeight="1" x14ac:dyDescent="0.25">
      <c r="H903" s="168"/>
      <c r="I903" s="168"/>
    </row>
    <row r="904" spans="8:9" ht="15.75" customHeight="1" x14ac:dyDescent="0.25">
      <c r="H904" s="168"/>
      <c r="I904" s="168"/>
    </row>
    <row r="905" spans="8:9" ht="15.75" customHeight="1" x14ac:dyDescent="0.25">
      <c r="H905" s="168"/>
      <c r="I905" s="168"/>
    </row>
    <row r="906" spans="8:9" ht="15.75" customHeight="1" x14ac:dyDescent="0.25">
      <c r="H906" s="168"/>
      <c r="I906" s="168"/>
    </row>
    <row r="907" spans="8:9" ht="15.75" customHeight="1" x14ac:dyDescent="0.25">
      <c r="H907" s="168"/>
      <c r="I907" s="168"/>
    </row>
    <row r="908" spans="8:9" ht="15.75" customHeight="1" x14ac:dyDescent="0.25">
      <c r="H908" s="168"/>
      <c r="I908" s="168"/>
    </row>
    <row r="909" spans="8:9" ht="15.75" customHeight="1" x14ac:dyDescent="0.25">
      <c r="H909" s="168"/>
      <c r="I909" s="168"/>
    </row>
    <row r="910" spans="8:9" ht="15.75" customHeight="1" x14ac:dyDescent="0.25">
      <c r="H910" s="168"/>
      <c r="I910" s="168"/>
    </row>
    <row r="911" spans="8:9" ht="15.75" customHeight="1" x14ac:dyDescent="0.25">
      <c r="H911" s="168"/>
      <c r="I911" s="168"/>
    </row>
    <row r="912" spans="8:9" ht="15.75" customHeight="1" x14ac:dyDescent="0.25">
      <c r="H912" s="168"/>
      <c r="I912" s="168"/>
    </row>
    <row r="913" spans="8:9" ht="15.75" customHeight="1" x14ac:dyDescent="0.25">
      <c r="H913" s="168"/>
      <c r="I913" s="168"/>
    </row>
    <row r="914" spans="8:9" ht="15.75" customHeight="1" x14ac:dyDescent="0.25">
      <c r="H914" s="168"/>
      <c r="I914" s="168"/>
    </row>
    <row r="915" spans="8:9" ht="15.75" customHeight="1" x14ac:dyDescent="0.25">
      <c r="H915" s="168"/>
      <c r="I915" s="168"/>
    </row>
    <row r="916" spans="8:9" ht="15.75" customHeight="1" x14ac:dyDescent="0.25">
      <c r="H916" s="168"/>
      <c r="I916" s="168"/>
    </row>
    <row r="917" spans="8:9" ht="15.75" customHeight="1" x14ac:dyDescent="0.25">
      <c r="H917" s="168"/>
      <c r="I917" s="168"/>
    </row>
    <row r="918" spans="8:9" ht="15.75" customHeight="1" x14ac:dyDescent="0.25">
      <c r="H918" s="168"/>
      <c r="I918" s="168"/>
    </row>
    <row r="919" spans="8:9" ht="15.75" customHeight="1" x14ac:dyDescent="0.25">
      <c r="H919" s="168"/>
      <c r="I919" s="168"/>
    </row>
    <row r="920" spans="8:9" ht="15.75" customHeight="1" x14ac:dyDescent="0.25">
      <c r="H920" s="168"/>
      <c r="I920" s="168"/>
    </row>
    <row r="921" spans="8:9" ht="15.75" customHeight="1" x14ac:dyDescent="0.25">
      <c r="H921" s="168"/>
      <c r="I921" s="168"/>
    </row>
    <row r="922" spans="8:9" ht="15.75" customHeight="1" x14ac:dyDescent="0.25">
      <c r="H922" s="168"/>
      <c r="I922" s="168"/>
    </row>
    <row r="923" spans="8:9" ht="15.75" customHeight="1" x14ac:dyDescent="0.25">
      <c r="H923" s="168"/>
      <c r="I923" s="168"/>
    </row>
    <row r="924" spans="8:9" ht="15.75" customHeight="1" x14ac:dyDescent="0.25">
      <c r="H924" s="168"/>
      <c r="I924" s="168"/>
    </row>
    <row r="925" spans="8:9" ht="15.75" customHeight="1" x14ac:dyDescent="0.25">
      <c r="H925" s="168"/>
      <c r="I925" s="168"/>
    </row>
    <row r="926" spans="8:9" ht="15.75" customHeight="1" x14ac:dyDescent="0.25">
      <c r="H926" s="168"/>
      <c r="I926" s="168"/>
    </row>
    <row r="927" spans="8:9" ht="15.75" customHeight="1" x14ac:dyDescent="0.25">
      <c r="H927" s="168"/>
      <c r="I927" s="168"/>
    </row>
    <row r="928" spans="8:9" ht="15.75" customHeight="1" x14ac:dyDescent="0.25">
      <c r="H928" s="168"/>
      <c r="I928" s="168"/>
    </row>
    <row r="929" spans="8:9" ht="15.75" customHeight="1" x14ac:dyDescent="0.25">
      <c r="H929" s="168"/>
      <c r="I929" s="168"/>
    </row>
    <row r="930" spans="8:9" ht="15.75" customHeight="1" x14ac:dyDescent="0.25">
      <c r="H930" s="168"/>
      <c r="I930" s="168"/>
    </row>
    <row r="931" spans="8:9" ht="15.75" customHeight="1" x14ac:dyDescent="0.25">
      <c r="H931" s="168"/>
      <c r="I931" s="168"/>
    </row>
    <row r="932" spans="8:9" ht="15.75" customHeight="1" x14ac:dyDescent="0.25">
      <c r="H932" s="168"/>
      <c r="I932" s="168"/>
    </row>
    <row r="933" spans="8:9" ht="15.75" customHeight="1" x14ac:dyDescent="0.25">
      <c r="H933" s="168"/>
      <c r="I933" s="168"/>
    </row>
    <row r="934" spans="8:9" ht="15.75" customHeight="1" x14ac:dyDescent="0.25">
      <c r="H934" s="168"/>
      <c r="I934" s="168"/>
    </row>
    <row r="935" spans="8:9" ht="15.75" customHeight="1" x14ac:dyDescent="0.25">
      <c r="H935" s="168"/>
      <c r="I935" s="168"/>
    </row>
    <row r="936" spans="8:9" ht="15.75" customHeight="1" x14ac:dyDescent="0.25">
      <c r="H936" s="168"/>
      <c r="I936" s="168"/>
    </row>
    <row r="937" spans="8:9" ht="15.75" customHeight="1" x14ac:dyDescent="0.25">
      <c r="H937" s="168"/>
      <c r="I937" s="168"/>
    </row>
    <row r="938" spans="8:9" ht="15.75" customHeight="1" x14ac:dyDescent="0.25">
      <c r="H938" s="168"/>
      <c r="I938" s="168"/>
    </row>
    <row r="939" spans="8:9" ht="15.75" customHeight="1" x14ac:dyDescent="0.25">
      <c r="H939" s="168"/>
      <c r="I939" s="168"/>
    </row>
    <row r="940" spans="8:9" ht="15.75" customHeight="1" x14ac:dyDescent="0.25">
      <c r="H940" s="168"/>
      <c r="I940" s="168"/>
    </row>
    <row r="941" spans="8:9" ht="15.75" customHeight="1" x14ac:dyDescent="0.25">
      <c r="H941" s="168"/>
      <c r="I941" s="168"/>
    </row>
    <row r="942" spans="8:9" ht="15.75" customHeight="1" x14ac:dyDescent="0.25">
      <c r="H942" s="168"/>
      <c r="I942" s="168"/>
    </row>
    <row r="943" spans="8:9" ht="15.75" customHeight="1" x14ac:dyDescent="0.25">
      <c r="H943" s="168"/>
      <c r="I943" s="168"/>
    </row>
    <row r="944" spans="8:9" ht="15.75" customHeight="1" x14ac:dyDescent="0.25">
      <c r="H944" s="168"/>
      <c r="I944" s="168"/>
    </row>
    <row r="945" spans="8:9" ht="15.75" customHeight="1" x14ac:dyDescent="0.25">
      <c r="H945" s="168"/>
      <c r="I945" s="168"/>
    </row>
    <row r="946" spans="8:9" ht="15.75" customHeight="1" x14ac:dyDescent="0.25">
      <c r="H946" s="168"/>
      <c r="I946" s="168"/>
    </row>
    <row r="947" spans="8:9" ht="15.75" customHeight="1" x14ac:dyDescent="0.25">
      <c r="H947" s="168"/>
      <c r="I947" s="168"/>
    </row>
    <row r="948" spans="8:9" ht="15.75" customHeight="1" x14ac:dyDescent="0.25">
      <c r="H948" s="168"/>
      <c r="I948" s="168"/>
    </row>
    <row r="949" spans="8:9" ht="15.75" customHeight="1" x14ac:dyDescent="0.25">
      <c r="H949" s="168"/>
      <c r="I949" s="168"/>
    </row>
    <row r="950" spans="8:9" ht="15.75" customHeight="1" x14ac:dyDescent="0.25">
      <c r="H950" s="168"/>
      <c r="I950" s="168"/>
    </row>
    <row r="951" spans="8:9" ht="15.75" customHeight="1" x14ac:dyDescent="0.25">
      <c r="H951" s="168"/>
      <c r="I951" s="168"/>
    </row>
    <row r="952" spans="8:9" ht="15.75" customHeight="1" x14ac:dyDescent="0.25">
      <c r="H952" s="168"/>
      <c r="I952" s="168"/>
    </row>
    <row r="953" spans="8:9" ht="15.75" customHeight="1" x14ac:dyDescent="0.25">
      <c r="H953" s="168"/>
      <c r="I953" s="168"/>
    </row>
    <row r="954" spans="8:9" ht="15.75" customHeight="1" x14ac:dyDescent="0.25">
      <c r="H954" s="168"/>
      <c r="I954" s="168"/>
    </row>
    <row r="955" spans="8:9" ht="15.75" customHeight="1" x14ac:dyDescent="0.25">
      <c r="H955" s="168"/>
      <c r="I955" s="168"/>
    </row>
    <row r="956" spans="8:9" ht="15.75" customHeight="1" x14ac:dyDescent="0.25">
      <c r="H956" s="168"/>
      <c r="I956" s="168"/>
    </row>
    <row r="957" spans="8:9" ht="15.75" customHeight="1" x14ac:dyDescent="0.25">
      <c r="H957" s="168"/>
      <c r="I957" s="168"/>
    </row>
    <row r="958" spans="8:9" ht="15.75" customHeight="1" x14ac:dyDescent="0.25">
      <c r="H958" s="168"/>
      <c r="I958" s="168"/>
    </row>
    <row r="959" spans="8:9" ht="15.75" customHeight="1" x14ac:dyDescent="0.25">
      <c r="H959" s="168"/>
      <c r="I959" s="168"/>
    </row>
    <row r="960" spans="8:9" ht="15.75" customHeight="1" x14ac:dyDescent="0.25">
      <c r="H960" s="168"/>
      <c r="I960" s="168"/>
    </row>
    <row r="961" spans="8:9" ht="15.75" customHeight="1" x14ac:dyDescent="0.25">
      <c r="H961" s="168"/>
      <c r="I961" s="168"/>
    </row>
    <row r="962" spans="8:9" ht="15.75" customHeight="1" x14ac:dyDescent="0.25">
      <c r="H962" s="168"/>
      <c r="I962" s="168"/>
    </row>
    <row r="963" spans="8:9" ht="15.75" customHeight="1" x14ac:dyDescent="0.25">
      <c r="H963" s="168"/>
      <c r="I963" s="168"/>
    </row>
    <row r="964" spans="8:9" ht="15.75" customHeight="1" x14ac:dyDescent="0.25">
      <c r="H964" s="168"/>
      <c r="I964" s="168"/>
    </row>
    <row r="965" spans="8:9" ht="15.75" customHeight="1" x14ac:dyDescent="0.25">
      <c r="H965" s="168"/>
      <c r="I965" s="168"/>
    </row>
    <row r="966" spans="8:9" ht="15.75" customHeight="1" x14ac:dyDescent="0.25">
      <c r="H966" s="168"/>
      <c r="I966" s="168"/>
    </row>
    <row r="967" spans="8:9" ht="15.75" customHeight="1" x14ac:dyDescent="0.25">
      <c r="H967" s="168"/>
      <c r="I967" s="168"/>
    </row>
    <row r="968" spans="8:9" ht="15.75" customHeight="1" x14ac:dyDescent="0.25">
      <c r="H968" s="168"/>
      <c r="I968" s="168"/>
    </row>
    <row r="969" spans="8:9" ht="15.75" customHeight="1" x14ac:dyDescent="0.25">
      <c r="H969" s="168"/>
      <c r="I969" s="168"/>
    </row>
    <row r="970" spans="8:9" ht="15.75" customHeight="1" x14ac:dyDescent="0.25">
      <c r="H970" s="168"/>
      <c r="I970" s="168"/>
    </row>
    <row r="971" spans="8:9" ht="15.75" customHeight="1" x14ac:dyDescent="0.25">
      <c r="H971" s="168"/>
      <c r="I971" s="168"/>
    </row>
    <row r="972" spans="8:9" ht="15.75" customHeight="1" x14ac:dyDescent="0.25">
      <c r="H972" s="168"/>
      <c r="I972" s="168"/>
    </row>
    <row r="973" spans="8:9" ht="15.75" customHeight="1" x14ac:dyDescent="0.25">
      <c r="H973" s="168"/>
      <c r="I973" s="168"/>
    </row>
    <row r="974" spans="8:9" ht="15.75" customHeight="1" x14ac:dyDescent="0.25">
      <c r="H974" s="168"/>
      <c r="I974" s="168"/>
    </row>
    <row r="975" spans="8:9" ht="15.75" customHeight="1" x14ac:dyDescent="0.25">
      <c r="H975" s="168"/>
      <c r="I975" s="168"/>
    </row>
    <row r="976" spans="8:9" ht="15.75" customHeight="1" x14ac:dyDescent="0.25">
      <c r="H976" s="168"/>
      <c r="I976"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133"/>
  <sheetViews>
    <sheetView tabSelected="1" view="pageBreakPreview" zoomScale="145" zoomScaleNormal="100" zoomScaleSheetLayoutView="145" workbookViewId="0">
      <selection activeCell="A3" sqref="A3:E3"/>
    </sheetView>
  </sheetViews>
  <sheetFormatPr defaultColWidth="9" defaultRowHeight="15.75" x14ac:dyDescent="0.25"/>
  <cols>
    <col min="1" max="1" width="2.5703125" style="907" customWidth="1"/>
    <col min="2" max="2" width="4.7109375" style="907" customWidth="1"/>
    <col min="3" max="3" width="85.7109375" style="907" customWidth="1"/>
    <col min="4" max="4" width="17.85546875" style="908" customWidth="1"/>
    <col min="5" max="5" width="21.140625" style="908" customWidth="1"/>
    <col min="6" max="6" width="10.42578125" style="907" bestFit="1" customWidth="1"/>
    <col min="7" max="16384" width="9" style="907"/>
  </cols>
  <sheetData>
    <row r="1" spans="1:5" ht="15" customHeight="1" x14ac:dyDescent="0.25"/>
    <row r="2" spans="1:5" ht="15" customHeight="1" x14ac:dyDescent="0.3">
      <c r="A2" s="957" t="s">
        <v>2994</v>
      </c>
      <c r="B2" s="957"/>
      <c r="C2" s="957"/>
      <c r="D2" s="957"/>
      <c r="E2" s="957"/>
    </row>
    <row r="3" spans="1:5" ht="15" customHeight="1" x14ac:dyDescent="0.3">
      <c r="A3" s="957"/>
      <c r="B3" s="957"/>
      <c r="C3" s="957"/>
      <c r="D3" s="957"/>
      <c r="E3" s="957"/>
    </row>
    <row r="4" spans="1:5" s="951" customFormat="1" ht="15" customHeight="1" x14ac:dyDescent="0.25">
      <c r="A4" s="956" t="s">
        <v>2993</v>
      </c>
      <c r="B4" s="955"/>
      <c r="C4" s="954"/>
      <c r="D4" s="953"/>
      <c r="E4" s="952" t="s">
        <v>2992</v>
      </c>
    </row>
    <row r="5" spans="1:5" ht="15" customHeight="1" x14ac:dyDescent="0.25">
      <c r="A5" s="928" t="s">
        <v>2991</v>
      </c>
      <c r="B5" s="950"/>
      <c r="C5" s="949"/>
      <c r="D5" s="948"/>
      <c r="E5" s="946"/>
    </row>
    <row r="6" spans="1:5" ht="15" customHeight="1" x14ac:dyDescent="0.25">
      <c r="A6" s="934"/>
      <c r="B6" s="907">
        <v>1.1000000000000001</v>
      </c>
      <c r="C6" s="944" t="s">
        <v>2990</v>
      </c>
      <c r="D6" s="947"/>
      <c r="E6" s="946">
        <v>0</v>
      </c>
    </row>
    <row r="7" spans="1:5" ht="15" customHeight="1" x14ac:dyDescent="0.25">
      <c r="A7" s="934"/>
      <c r="B7" s="907">
        <v>1.2</v>
      </c>
      <c r="C7" s="944" t="s">
        <v>2989</v>
      </c>
      <c r="D7" s="943"/>
      <c r="E7" s="942">
        <v>13787290</v>
      </c>
    </row>
    <row r="8" spans="1:5" ht="15" customHeight="1" x14ac:dyDescent="0.25">
      <c r="A8" s="934"/>
      <c r="B8" s="907">
        <v>1.3</v>
      </c>
      <c r="C8" s="944" t="s">
        <v>2988</v>
      </c>
      <c r="D8" s="943"/>
      <c r="E8" s="942">
        <v>246990964.62</v>
      </c>
    </row>
    <row r="9" spans="1:5" ht="15" customHeight="1" x14ac:dyDescent="0.25">
      <c r="A9" s="934"/>
      <c r="B9" s="907">
        <v>1.4</v>
      </c>
      <c r="C9" s="944" t="s">
        <v>2987</v>
      </c>
      <c r="D9" s="943"/>
      <c r="E9" s="942">
        <v>1850400</v>
      </c>
    </row>
    <row r="10" spans="1:5" ht="15" customHeight="1" x14ac:dyDescent="0.25">
      <c r="A10" s="934"/>
      <c r="B10" s="907">
        <v>1.5</v>
      </c>
      <c r="C10" s="944" t="s">
        <v>2986</v>
      </c>
      <c r="D10" s="943"/>
      <c r="E10" s="942">
        <v>16063036</v>
      </c>
    </row>
    <row r="11" spans="1:5" ht="15" customHeight="1" x14ac:dyDescent="0.25">
      <c r="A11" s="934"/>
      <c r="B11" s="907">
        <v>1.6</v>
      </c>
      <c r="C11" s="944" t="s">
        <v>2985</v>
      </c>
      <c r="D11" s="943"/>
      <c r="E11" s="942">
        <v>13196472</v>
      </c>
    </row>
    <row r="12" spans="1:5" ht="15" customHeight="1" x14ac:dyDescent="0.25">
      <c r="A12" s="934"/>
      <c r="B12" s="907">
        <v>1.7</v>
      </c>
      <c r="C12" s="944" t="s">
        <v>2984</v>
      </c>
      <c r="D12" s="943"/>
      <c r="E12" s="942">
        <v>79178734</v>
      </c>
    </row>
    <row r="13" spans="1:5" ht="15" customHeight="1" x14ac:dyDescent="0.25">
      <c r="A13" s="934"/>
      <c r="D13" s="941"/>
      <c r="E13" s="941"/>
    </row>
    <row r="14" spans="1:5" ht="15" customHeight="1" x14ac:dyDescent="0.25">
      <c r="A14" s="931" t="s">
        <v>2983</v>
      </c>
      <c r="D14" s="941"/>
      <c r="E14" s="941"/>
    </row>
    <row r="15" spans="1:5" ht="15" customHeight="1" x14ac:dyDescent="0.25">
      <c r="A15" s="934"/>
      <c r="B15" s="907">
        <v>2.1</v>
      </c>
      <c r="C15" s="944" t="s">
        <v>2982</v>
      </c>
      <c r="D15" s="943"/>
      <c r="E15" s="930">
        <v>1105569228</v>
      </c>
    </row>
    <row r="16" spans="1:5" ht="15" customHeight="1" x14ac:dyDescent="0.25">
      <c r="A16" s="934"/>
      <c r="B16" s="907">
        <v>2.2000000000000002</v>
      </c>
      <c r="C16" s="907" t="s">
        <v>2981</v>
      </c>
      <c r="D16" s="932"/>
      <c r="E16" s="930">
        <v>326347757</v>
      </c>
    </row>
    <row r="17" spans="1:5" ht="15" customHeight="1" x14ac:dyDescent="0.25">
      <c r="A17" s="934"/>
      <c r="C17" s="907" t="s">
        <v>2980</v>
      </c>
      <c r="D17" s="932">
        <f>+E16*0.3</f>
        <v>97904327.099999994</v>
      </c>
      <c r="E17" s="932"/>
    </row>
    <row r="18" spans="1:5" ht="15" customHeight="1" x14ac:dyDescent="0.25">
      <c r="A18" s="934"/>
      <c r="C18" s="907" t="s">
        <v>2979</v>
      </c>
      <c r="D18" s="926"/>
      <c r="E18" s="926"/>
    </row>
    <row r="19" spans="1:5" ht="15" customHeight="1" x14ac:dyDescent="0.25">
      <c r="A19" s="934"/>
      <c r="C19" s="907" t="s">
        <v>2978</v>
      </c>
      <c r="D19" s="926"/>
      <c r="E19" s="926"/>
    </row>
    <row r="20" spans="1:5" ht="15" customHeight="1" x14ac:dyDescent="0.25">
      <c r="A20" s="934"/>
      <c r="C20" s="907" t="s">
        <v>2977</v>
      </c>
      <c r="D20" s="932">
        <v>7307796</v>
      </c>
      <c r="E20" s="926"/>
    </row>
    <row r="21" spans="1:5" ht="15" customHeight="1" x14ac:dyDescent="0.25">
      <c r="A21" s="934"/>
      <c r="C21" s="907" t="s">
        <v>2976</v>
      </c>
      <c r="D21" s="926"/>
      <c r="E21" s="926"/>
    </row>
    <row r="22" spans="1:5" ht="15" customHeight="1" x14ac:dyDescent="0.25">
      <c r="A22" s="934"/>
      <c r="C22" s="907" t="s">
        <v>2975</v>
      </c>
      <c r="D22" s="932">
        <v>63119520</v>
      </c>
      <c r="E22" s="926"/>
    </row>
    <row r="23" spans="1:5" ht="15" customHeight="1" x14ac:dyDescent="0.25">
      <c r="A23" s="934"/>
      <c r="C23" s="907" t="s">
        <v>2974</v>
      </c>
      <c r="D23" s="932">
        <v>29500000</v>
      </c>
      <c r="E23" s="926"/>
    </row>
    <row r="24" spans="1:5" ht="15" customHeight="1" x14ac:dyDescent="0.25">
      <c r="A24" s="934"/>
      <c r="C24" s="907" t="s">
        <v>2973</v>
      </c>
      <c r="D24" s="932">
        <v>11127000</v>
      </c>
      <c r="E24" s="926"/>
    </row>
    <row r="25" spans="1:5" ht="15" customHeight="1" x14ac:dyDescent="0.25">
      <c r="A25" s="934"/>
      <c r="C25" s="907" t="s">
        <v>2972</v>
      </c>
      <c r="D25" s="932">
        <v>3792100</v>
      </c>
      <c r="E25" s="926"/>
    </row>
    <row r="26" spans="1:5" s="924" customFormat="1" ht="15" customHeight="1" x14ac:dyDescent="0.25">
      <c r="A26" s="934"/>
      <c r="B26" s="907"/>
      <c r="C26" s="907" t="s">
        <v>2971</v>
      </c>
      <c r="D26" s="932">
        <f>161952579.1-D17</f>
        <v>64048252</v>
      </c>
      <c r="E26" s="926"/>
    </row>
    <row r="27" spans="1:5" s="915" customFormat="1" ht="15" customHeight="1" x14ac:dyDescent="0.25">
      <c r="A27" s="934"/>
      <c r="B27" s="907"/>
      <c r="C27" s="907" t="s">
        <v>2970</v>
      </c>
      <c r="D27" s="926"/>
      <c r="E27" s="926"/>
    </row>
    <row r="28" spans="1:5" ht="15" customHeight="1" x14ac:dyDescent="0.25">
      <c r="A28" s="934"/>
      <c r="C28" s="907" t="s">
        <v>2969</v>
      </c>
      <c r="D28" s="945">
        <v>26048761.899999999</v>
      </c>
      <c r="E28" s="926"/>
    </row>
    <row r="29" spans="1:5" s="924" customFormat="1" ht="15" customHeight="1" x14ac:dyDescent="0.25">
      <c r="A29" s="934"/>
      <c r="B29" s="907"/>
      <c r="C29" s="907" t="s">
        <v>2968</v>
      </c>
      <c r="D29" s="932">
        <v>13500000</v>
      </c>
      <c r="E29" s="926"/>
    </row>
    <row r="30" spans="1:5" s="915" customFormat="1" ht="15" customHeight="1" x14ac:dyDescent="0.25">
      <c r="A30" s="934"/>
      <c r="B30" s="907"/>
      <c r="C30" s="907" t="s">
        <v>2967</v>
      </c>
      <c r="D30" s="926"/>
      <c r="E30" s="926"/>
    </row>
    <row r="31" spans="1:5" ht="15" customHeight="1" x14ac:dyDescent="0.25">
      <c r="A31" s="934"/>
      <c r="C31" s="907" t="s">
        <v>2966</v>
      </c>
      <c r="D31" s="932">
        <v>10000000</v>
      </c>
      <c r="E31" s="926"/>
    </row>
    <row r="32" spans="1:5" ht="15" customHeight="1" x14ac:dyDescent="0.25">
      <c r="A32" s="934"/>
      <c r="B32" s="907">
        <v>2.2999999999999998</v>
      </c>
      <c r="C32" s="944" t="s">
        <v>2965</v>
      </c>
      <c r="D32" s="943"/>
      <c r="E32" s="942">
        <f>300000*66</f>
        <v>19800000</v>
      </c>
    </row>
    <row r="33" spans="1:6" ht="15" customHeight="1" x14ac:dyDescent="0.25">
      <c r="A33" s="934"/>
      <c r="D33" s="932"/>
      <c r="E33" s="926"/>
    </row>
    <row r="34" spans="1:6" ht="15" customHeight="1" x14ac:dyDescent="0.25">
      <c r="A34" s="931" t="s">
        <v>2964</v>
      </c>
      <c r="D34" s="941"/>
      <c r="E34" s="941"/>
    </row>
    <row r="35" spans="1:6" ht="15" customHeight="1" x14ac:dyDescent="0.25">
      <c r="A35" s="934"/>
      <c r="B35" s="907">
        <v>3.1</v>
      </c>
      <c r="C35" s="907" t="s">
        <v>2963</v>
      </c>
      <c r="D35" s="932"/>
      <c r="E35" s="930">
        <f>+SUM(D36:D69)</f>
        <v>1146097999.9000001</v>
      </c>
    </row>
    <row r="36" spans="1:6" ht="15" customHeight="1" x14ac:dyDescent="0.25">
      <c r="A36" s="934"/>
      <c r="C36" s="907" t="s">
        <v>2932</v>
      </c>
      <c r="D36" s="932">
        <v>216000000</v>
      </c>
      <c r="E36" s="929"/>
    </row>
    <row r="37" spans="1:6" ht="15" customHeight="1" x14ac:dyDescent="0.25">
      <c r="A37" s="934"/>
      <c r="C37" s="907" t="s">
        <v>2962</v>
      </c>
      <c r="D37" s="932">
        <v>112430728</v>
      </c>
      <c r="E37" s="929"/>
    </row>
    <row r="38" spans="1:6" ht="15" customHeight="1" x14ac:dyDescent="0.25">
      <c r="A38" s="934"/>
      <c r="C38" s="907" t="s">
        <v>2961</v>
      </c>
      <c r="D38" s="932">
        <v>14983552</v>
      </c>
      <c r="E38" s="929"/>
    </row>
    <row r="39" spans="1:6" ht="15" customHeight="1" x14ac:dyDescent="0.25">
      <c r="A39" s="934"/>
      <c r="C39" s="907" t="s">
        <v>2929</v>
      </c>
      <c r="D39" s="932">
        <v>364322586</v>
      </c>
      <c r="E39" s="929"/>
    </row>
    <row r="40" spans="1:6" ht="15" customHeight="1" x14ac:dyDescent="0.25">
      <c r="A40" s="934"/>
      <c r="C40" s="907" t="s">
        <v>2960</v>
      </c>
      <c r="D40" s="932">
        <v>19014516</v>
      </c>
      <c r="E40" s="929"/>
    </row>
    <row r="41" spans="1:6" ht="15" customHeight="1" x14ac:dyDescent="0.25">
      <c r="A41" s="934"/>
      <c r="C41" s="907" t="s">
        <v>2896</v>
      </c>
      <c r="D41" s="932">
        <v>3263193</v>
      </c>
      <c r="E41" s="929"/>
    </row>
    <row r="42" spans="1:6" ht="15" customHeight="1" x14ac:dyDescent="0.25">
      <c r="A42" s="934"/>
      <c r="C42" s="907" t="s">
        <v>2959</v>
      </c>
      <c r="D42" s="932">
        <v>914680</v>
      </c>
      <c r="E42" s="929"/>
    </row>
    <row r="43" spans="1:6" ht="15" customHeight="1" x14ac:dyDescent="0.25">
      <c r="A43" s="934"/>
      <c r="C43" s="907" t="s">
        <v>2958</v>
      </c>
      <c r="D43" s="932">
        <v>1200000</v>
      </c>
      <c r="E43" s="929"/>
    </row>
    <row r="44" spans="1:6" ht="15" customHeight="1" x14ac:dyDescent="0.25">
      <c r="A44" s="934"/>
      <c r="C44" s="907" t="s">
        <v>2957</v>
      </c>
      <c r="D44" s="932">
        <v>18878774</v>
      </c>
      <c r="E44" s="929"/>
    </row>
    <row r="45" spans="1:6" ht="15" customHeight="1" x14ac:dyDescent="0.25">
      <c r="A45" s="934"/>
      <c r="C45" s="907" t="s">
        <v>2956</v>
      </c>
      <c r="D45" s="932">
        <v>29931200</v>
      </c>
      <c r="E45" s="929"/>
    </row>
    <row r="46" spans="1:6" ht="15" customHeight="1" x14ac:dyDescent="0.25">
      <c r="A46" s="934"/>
      <c r="C46" s="907" t="s">
        <v>2955</v>
      </c>
      <c r="D46" s="932">
        <v>200000</v>
      </c>
      <c r="E46" s="929"/>
    </row>
    <row r="47" spans="1:6" ht="15" customHeight="1" x14ac:dyDescent="0.25">
      <c r="A47" s="934"/>
      <c r="C47" s="907" t="s">
        <v>2954</v>
      </c>
      <c r="D47" s="932">
        <v>10249839</v>
      </c>
      <c r="E47" s="929"/>
      <c r="F47" s="907">
        <v>10197960</v>
      </c>
    </row>
    <row r="48" spans="1:6" ht="15" customHeight="1" x14ac:dyDescent="0.25">
      <c r="A48" s="934"/>
      <c r="C48" s="907" t="s">
        <v>2953</v>
      </c>
      <c r="D48" s="932">
        <v>17058756</v>
      </c>
      <c r="E48" s="929"/>
    </row>
    <row r="49" spans="1:5" ht="15" customHeight="1" x14ac:dyDescent="0.25">
      <c r="A49" s="934"/>
      <c r="C49" s="933" t="s">
        <v>2952</v>
      </c>
      <c r="D49" s="932">
        <v>26048761.899999999</v>
      </c>
      <c r="E49" s="929"/>
    </row>
    <row r="50" spans="1:5" ht="15" customHeight="1" x14ac:dyDescent="0.25">
      <c r="A50" s="934"/>
      <c r="C50" s="907" t="s">
        <v>2939</v>
      </c>
      <c r="D50" s="932">
        <v>5320853</v>
      </c>
      <c r="E50" s="929"/>
    </row>
    <row r="51" spans="1:5" ht="15" customHeight="1" x14ac:dyDescent="0.25">
      <c r="A51" s="934"/>
      <c r="C51" s="907" t="s">
        <v>2951</v>
      </c>
      <c r="D51" s="932">
        <v>5687507</v>
      </c>
      <c r="E51" s="929"/>
    </row>
    <row r="52" spans="1:5" ht="15" customHeight="1" x14ac:dyDescent="0.25">
      <c r="A52" s="934"/>
      <c r="C52" s="907" t="s">
        <v>2950</v>
      </c>
      <c r="D52" s="932">
        <v>7307796</v>
      </c>
      <c r="E52" s="929"/>
    </row>
    <row r="53" spans="1:5" ht="15" customHeight="1" x14ac:dyDescent="0.25">
      <c r="A53" s="934"/>
      <c r="C53" s="933" t="s">
        <v>2949</v>
      </c>
      <c r="D53" s="932">
        <v>62190</v>
      </c>
      <c r="E53" s="929"/>
    </row>
    <row r="54" spans="1:5" ht="15" customHeight="1" x14ac:dyDescent="0.25">
      <c r="A54" s="934"/>
      <c r="C54" s="907" t="s">
        <v>2948</v>
      </c>
      <c r="D54" s="932">
        <v>51700738</v>
      </c>
      <c r="E54" s="929"/>
    </row>
    <row r="55" spans="1:5" ht="15" customHeight="1" x14ac:dyDescent="0.25">
      <c r="A55" s="934"/>
      <c r="C55" s="907" t="s">
        <v>2947</v>
      </c>
      <c r="D55" s="932">
        <v>3000000</v>
      </c>
      <c r="E55" s="929"/>
    </row>
    <row r="56" spans="1:5" ht="15" customHeight="1" x14ac:dyDescent="0.25">
      <c r="A56" s="934"/>
      <c r="C56" s="907" t="s">
        <v>2935</v>
      </c>
      <c r="D56" s="932">
        <v>1148224</v>
      </c>
      <c r="E56" s="929"/>
    </row>
    <row r="57" spans="1:5" ht="15" customHeight="1" x14ac:dyDescent="0.25">
      <c r="A57" s="934"/>
      <c r="C57" s="907" t="s">
        <v>2946</v>
      </c>
      <c r="D57" s="932">
        <v>27582487</v>
      </c>
      <c r="E57" s="929"/>
    </row>
    <row r="58" spans="1:5" ht="15" customHeight="1" x14ac:dyDescent="0.25">
      <c r="A58" s="934"/>
      <c r="C58" s="907" t="s">
        <v>2945</v>
      </c>
      <c r="D58" s="932">
        <v>2547206</v>
      </c>
      <c r="E58" s="929"/>
    </row>
    <row r="59" spans="1:5" ht="15" customHeight="1" x14ac:dyDescent="0.25">
      <c r="A59" s="934"/>
      <c r="C59" s="907" t="s">
        <v>2944</v>
      </c>
      <c r="D59" s="932">
        <v>50000000</v>
      </c>
      <c r="E59" s="929"/>
    </row>
    <row r="60" spans="1:5" ht="15" customHeight="1" x14ac:dyDescent="0.25">
      <c r="A60" s="934"/>
      <c r="C60" s="907" t="s">
        <v>2943</v>
      </c>
      <c r="D60" s="932">
        <v>39102772</v>
      </c>
      <c r="E60" s="929"/>
    </row>
    <row r="61" spans="1:5" ht="15" customHeight="1" x14ac:dyDescent="0.25">
      <c r="A61" s="934"/>
      <c r="C61" s="907" t="s">
        <v>2942</v>
      </c>
      <c r="D61" s="932">
        <v>22088145</v>
      </c>
      <c r="E61" s="929"/>
    </row>
    <row r="62" spans="1:5" ht="15" customHeight="1" x14ac:dyDescent="0.25">
      <c r="A62" s="934"/>
      <c r="C62" s="907" t="s">
        <v>2933</v>
      </c>
      <c r="D62" s="932">
        <v>6550622</v>
      </c>
      <c r="E62" s="929"/>
    </row>
    <row r="63" spans="1:5" ht="15" customHeight="1" x14ac:dyDescent="0.25">
      <c r="A63" s="934"/>
      <c r="C63" s="907" t="s">
        <v>2941</v>
      </c>
      <c r="D63" s="932">
        <v>3792100</v>
      </c>
      <c r="E63" s="929"/>
    </row>
    <row r="64" spans="1:5" ht="15" customHeight="1" x14ac:dyDescent="0.25">
      <c r="A64" s="934"/>
      <c r="C64" s="907" t="s">
        <v>2926</v>
      </c>
      <c r="D64" s="932">
        <v>2411272</v>
      </c>
      <c r="E64" s="929"/>
    </row>
    <row r="65" spans="1:5" ht="15" customHeight="1" x14ac:dyDescent="0.25">
      <c r="A65" s="934"/>
      <c r="C65" s="907" t="s">
        <v>2899</v>
      </c>
      <c r="D65" s="932">
        <v>13415405</v>
      </c>
      <c r="E65" s="929"/>
    </row>
    <row r="66" spans="1:5" ht="15" customHeight="1" x14ac:dyDescent="0.25">
      <c r="A66" s="934"/>
      <c r="C66" s="907" t="s">
        <v>2940</v>
      </c>
      <c r="D66" s="932">
        <v>1653732</v>
      </c>
      <c r="E66" s="929"/>
    </row>
    <row r="67" spans="1:5" ht="15" customHeight="1" x14ac:dyDescent="0.25">
      <c r="A67" s="934"/>
      <c r="C67" s="907" t="s">
        <v>2936</v>
      </c>
      <c r="D67" s="932">
        <v>18000000</v>
      </c>
      <c r="E67" s="929"/>
    </row>
    <row r="68" spans="1:5" ht="15" customHeight="1" x14ac:dyDescent="0.25">
      <c r="A68" s="934"/>
      <c r="C68" s="907" t="s">
        <v>2939</v>
      </c>
      <c r="D68" s="932">
        <v>5320853</v>
      </c>
      <c r="E68" s="929"/>
    </row>
    <row r="69" spans="1:5" ht="15" customHeight="1" x14ac:dyDescent="0.25">
      <c r="A69" s="934"/>
      <c r="C69" s="907" t="s">
        <v>2937</v>
      </c>
      <c r="D69" s="932">
        <v>44909512</v>
      </c>
      <c r="E69" s="929"/>
    </row>
    <row r="70" spans="1:5" ht="15" customHeight="1" x14ac:dyDescent="0.25">
      <c r="A70" s="934"/>
      <c r="B70" s="907">
        <v>3.2</v>
      </c>
      <c r="C70" s="907" t="s">
        <v>2938</v>
      </c>
      <c r="D70" s="932"/>
      <c r="E70" s="930">
        <f>+SUM(D71:D78)</f>
        <v>302165193</v>
      </c>
    </row>
    <row r="71" spans="1:5" ht="15" customHeight="1" x14ac:dyDescent="0.25">
      <c r="A71" s="940"/>
      <c r="B71" s="924"/>
      <c r="C71" s="924" t="s">
        <v>2937</v>
      </c>
      <c r="D71" s="939">
        <v>44909512</v>
      </c>
      <c r="E71" s="938"/>
    </row>
    <row r="72" spans="1:5" ht="15" customHeight="1" x14ac:dyDescent="0.25">
      <c r="A72" s="937"/>
      <c r="B72" s="915"/>
      <c r="C72" s="915" t="s">
        <v>2936</v>
      </c>
      <c r="D72" s="936">
        <v>18000000</v>
      </c>
      <c r="E72" s="935"/>
    </row>
    <row r="73" spans="1:5" ht="15" customHeight="1" x14ac:dyDescent="0.25">
      <c r="A73" s="934"/>
      <c r="C73" s="907" t="s">
        <v>2935</v>
      </c>
      <c r="D73" s="932">
        <v>1148224</v>
      </c>
      <c r="E73" s="926"/>
    </row>
    <row r="74" spans="1:5" ht="15" customHeight="1" x14ac:dyDescent="0.25">
      <c r="A74" s="934"/>
      <c r="C74" s="907" t="s">
        <v>2899</v>
      </c>
      <c r="D74" s="932">
        <v>13415405</v>
      </c>
      <c r="E74" s="926"/>
    </row>
    <row r="75" spans="1:5" ht="15" customHeight="1" x14ac:dyDescent="0.25">
      <c r="A75" s="934"/>
      <c r="C75" s="907" t="s">
        <v>2934</v>
      </c>
      <c r="D75" s="932">
        <v>1544160</v>
      </c>
      <c r="E75" s="926"/>
    </row>
    <row r="76" spans="1:5" ht="15" customHeight="1" x14ac:dyDescent="0.25">
      <c r="A76" s="934"/>
      <c r="C76" s="907" t="s">
        <v>2933</v>
      </c>
      <c r="D76" s="932">
        <v>6550622</v>
      </c>
      <c r="E76" s="926"/>
    </row>
    <row r="77" spans="1:5" ht="15" customHeight="1" x14ac:dyDescent="0.25">
      <c r="A77" s="934"/>
      <c r="C77" s="907" t="s">
        <v>2932</v>
      </c>
      <c r="D77" s="932">
        <v>216000000</v>
      </c>
      <c r="E77" s="926"/>
    </row>
    <row r="78" spans="1:5" s="924" customFormat="1" ht="15" customHeight="1" x14ac:dyDescent="0.25">
      <c r="A78" s="934"/>
      <c r="B78" s="907"/>
      <c r="C78" s="907" t="s">
        <v>2931</v>
      </c>
      <c r="D78" s="932">
        <v>597270</v>
      </c>
      <c r="E78" s="929"/>
    </row>
    <row r="79" spans="1:5" s="915" customFormat="1" ht="15" customHeight="1" x14ac:dyDescent="0.25">
      <c r="A79" s="934"/>
      <c r="B79" s="907">
        <v>3.3</v>
      </c>
      <c r="C79" s="907" t="s">
        <v>2930</v>
      </c>
      <c r="D79" s="932"/>
      <c r="E79" s="926"/>
    </row>
    <row r="80" spans="1:5" ht="15" customHeight="1" x14ac:dyDescent="0.25">
      <c r="A80" s="934"/>
      <c r="C80" s="907" t="s">
        <v>2929</v>
      </c>
      <c r="D80" s="932"/>
      <c r="E80" s="929">
        <v>364322586</v>
      </c>
    </row>
    <row r="81" spans="1:5" ht="15" customHeight="1" x14ac:dyDescent="0.25">
      <c r="A81" s="934"/>
      <c r="B81" s="907">
        <v>3.4</v>
      </c>
      <c r="C81" s="907" t="s">
        <v>2928</v>
      </c>
      <c r="D81" s="932"/>
      <c r="E81" s="930">
        <f>+SUM(D81:D84)</f>
        <v>152722667</v>
      </c>
    </row>
    <row r="82" spans="1:5" ht="15" customHeight="1" x14ac:dyDescent="0.25">
      <c r="A82" s="934"/>
      <c r="C82" s="907" t="s">
        <v>2927</v>
      </c>
      <c r="D82" s="932">
        <v>150144895</v>
      </c>
      <c r="E82" s="926"/>
    </row>
    <row r="83" spans="1:5" ht="15" customHeight="1" x14ac:dyDescent="0.25">
      <c r="A83" s="934"/>
      <c r="C83" s="907" t="s">
        <v>2926</v>
      </c>
      <c r="D83" s="932">
        <v>2411272</v>
      </c>
      <c r="E83" s="926"/>
    </row>
    <row r="84" spans="1:5" ht="15" customHeight="1" x14ac:dyDescent="0.25">
      <c r="A84" s="934"/>
      <c r="C84" s="907" t="s">
        <v>2925</v>
      </c>
      <c r="D84" s="932">
        <v>166500</v>
      </c>
      <c r="E84" s="929"/>
    </row>
    <row r="85" spans="1:5" ht="15" customHeight="1" x14ac:dyDescent="0.25">
      <c r="A85" s="934"/>
      <c r="B85" s="907">
        <v>3.5</v>
      </c>
      <c r="C85" s="907" t="s">
        <v>2924</v>
      </c>
      <c r="D85" s="932"/>
      <c r="E85" s="930">
        <f>+SUM(D86:D88)</f>
        <v>7617549</v>
      </c>
    </row>
    <row r="86" spans="1:5" ht="15" customHeight="1" x14ac:dyDescent="0.25">
      <c r="A86" s="934"/>
      <c r="C86" s="907" t="s">
        <v>2923</v>
      </c>
      <c r="D86" s="927">
        <v>7432549</v>
      </c>
      <c r="E86" s="929"/>
    </row>
    <row r="87" spans="1:5" ht="29.45" customHeight="1" x14ac:dyDescent="0.25">
      <c r="A87" s="934"/>
      <c r="C87" s="933" t="s">
        <v>2922</v>
      </c>
      <c r="D87" s="932">
        <v>185000</v>
      </c>
      <c r="E87" s="929"/>
    </row>
    <row r="88" spans="1:5" ht="15" customHeight="1" x14ac:dyDescent="0.25">
      <c r="A88" s="934"/>
      <c r="B88" s="907">
        <v>3.6</v>
      </c>
      <c r="C88" s="907" t="s">
        <v>2921</v>
      </c>
      <c r="D88" s="932"/>
      <c r="E88" s="930">
        <f>+SUM(D88:D93)</f>
        <v>9093579</v>
      </c>
    </row>
    <row r="89" spans="1:5" ht="15" customHeight="1" x14ac:dyDescent="0.25">
      <c r="A89" s="934"/>
      <c r="C89" s="907" t="s">
        <v>2920</v>
      </c>
      <c r="D89" s="932">
        <v>4349055</v>
      </c>
      <c r="E89" s="926"/>
    </row>
    <row r="90" spans="1:5" ht="15" customHeight="1" x14ac:dyDescent="0.25">
      <c r="A90" s="934"/>
      <c r="C90" s="907" t="s">
        <v>2919</v>
      </c>
      <c r="D90" s="932">
        <v>577518</v>
      </c>
      <c r="E90" s="926"/>
    </row>
    <row r="91" spans="1:5" s="924" customFormat="1" ht="15" customHeight="1" x14ac:dyDescent="0.25">
      <c r="A91" s="934"/>
      <c r="B91" s="907"/>
      <c r="C91" s="907" t="s">
        <v>2906</v>
      </c>
      <c r="D91" s="932">
        <v>3244006</v>
      </c>
      <c r="E91" s="926"/>
    </row>
    <row r="92" spans="1:5" s="915" customFormat="1" ht="15" customHeight="1" x14ac:dyDescent="0.25">
      <c r="A92" s="934"/>
      <c r="B92" s="907"/>
      <c r="C92" s="907" t="s">
        <v>2918</v>
      </c>
      <c r="D92" s="932">
        <v>738000</v>
      </c>
      <c r="E92" s="926"/>
    </row>
    <row r="93" spans="1:5" ht="15" customHeight="1" x14ac:dyDescent="0.25">
      <c r="A93" s="934"/>
      <c r="C93" s="933" t="s">
        <v>2917</v>
      </c>
      <c r="D93" s="932">
        <v>185000</v>
      </c>
      <c r="E93" s="929"/>
    </row>
    <row r="94" spans="1:5" ht="15" customHeight="1" x14ac:dyDescent="0.25">
      <c r="A94" s="931" t="s">
        <v>2916</v>
      </c>
      <c r="D94" s="927"/>
      <c r="E94" s="926"/>
    </row>
    <row r="95" spans="1:5" ht="15" customHeight="1" x14ac:dyDescent="0.25">
      <c r="A95" s="928"/>
      <c r="B95" s="907">
        <v>4.0999999999999996</v>
      </c>
      <c r="C95" s="907" t="s">
        <v>2915</v>
      </c>
      <c r="D95" s="927"/>
      <c r="E95" s="930">
        <f>+SUM(D95:D114)</f>
        <v>462385914</v>
      </c>
    </row>
    <row r="96" spans="1:5" ht="15" customHeight="1" x14ac:dyDescent="0.25">
      <c r="A96" s="928"/>
      <c r="C96" s="907" t="s">
        <v>2914</v>
      </c>
      <c r="D96" s="927">
        <v>7307796</v>
      </c>
      <c r="E96" s="926"/>
    </row>
    <row r="97" spans="1:5" ht="15" customHeight="1" x14ac:dyDescent="0.25">
      <c r="A97" s="928"/>
      <c r="C97" s="907" t="s">
        <v>2913</v>
      </c>
      <c r="D97" s="927">
        <v>62389929.899999999</v>
      </c>
      <c r="E97" s="926"/>
    </row>
    <row r="98" spans="1:5" ht="15" customHeight="1" x14ac:dyDescent="0.25">
      <c r="A98" s="928"/>
      <c r="C98" s="907" t="s">
        <v>2912</v>
      </c>
      <c r="D98" s="927">
        <v>13500000</v>
      </c>
      <c r="E98" s="926"/>
    </row>
    <row r="99" spans="1:5" ht="15" customHeight="1" x14ac:dyDescent="0.25">
      <c r="A99" s="928"/>
      <c r="C99" s="907" t="s">
        <v>2911</v>
      </c>
      <c r="D99" s="927">
        <v>10000000</v>
      </c>
      <c r="E99" s="926"/>
    </row>
    <row r="100" spans="1:5" ht="15" customHeight="1" x14ac:dyDescent="0.25">
      <c r="A100" s="928"/>
      <c r="C100" s="907" t="s">
        <v>2910</v>
      </c>
      <c r="D100" s="927">
        <v>161952579.09999999</v>
      </c>
      <c r="E100" s="926"/>
    </row>
    <row r="101" spans="1:5" ht="15" customHeight="1" x14ac:dyDescent="0.25">
      <c r="A101" s="928"/>
      <c r="C101" s="907" t="s">
        <v>2909</v>
      </c>
      <c r="D101" s="927">
        <v>63119520</v>
      </c>
      <c r="E101" s="926"/>
    </row>
    <row r="102" spans="1:5" ht="15" customHeight="1" x14ac:dyDescent="0.25">
      <c r="A102" s="928"/>
      <c r="C102" s="907" t="s">
        <v>2908</v>
      </c>
      <c r="D102" s="927">
        <v>29500000</v>
      </c>
      <c r="E102" s="926"/>
    </row>
    <row r="103" spans="1:5" ht="15" customHeight="1" x14ac:dyDescent="0.25">
      <c r="A103" s="928"/>
      <c r="C103" s="907" t="s">
        <v>2907</v>
      </c>
      <c r="D103" s="927">
        <v>11127000</v>
      </c>
      <c r="E103" s="926"/>
    </row>
    <row r="104" spans="1:5" ht="15" customHeight="1" x14ac:dyDescent="0.25">
      <c r="A104" s="928"/>
      <c r="C104" s="907" t="s">
        <v>2906</v>
      </c>
      <c r="D104" s="927">
        <v>3244006</v>
      </c>
      <c r="E104" s="926"/>
    </row>
    <row r="105" spans="1:5" ht="15" customHeight="1" x14ac:dyDescent="0.25">
      <c r="A105" s="928"/>
      <c r="C105" s="907" t="s">
        <v>2905</v>
      </c>
      <c r="D105" s="927">
        <v>69500</v>
      </c>
      <c r="E105" s="926"/>
    </row>
    <row r="106" spans="1:5" ht="15" customHeight="1" x14ac:dyDescent="0.25">
      <c r="A106" s="928"/>
      <c r="C106" s="907" t="s">
        <v>2904</v>
      </c>
      <c r="D106" s="927">
        <v>41542484</v>
      </c>
      <c r="E106" s="926"/>
    </row>
    <row r="107" spans="1:5" ht="15" customHeight="1" x14ac:dyDescent="0.25">
      <c r="A107" s="928"/>
      <c r="C107" s="907" t="s">
        <v>2903</v>
      </c>
      <c r="D107" s="927">
        <v>483984</v>
      </c>
      <c r="E107" s="926"/>
    </row>
    <row r="108" spans="1:5" ht="15" customHeight="1" x14ac:dyDescent="0.25">
      <c r="A108" s="928"/>
      <c r="C108" s="907" t="s">
        <v>2902</v>
      </c>
      <c r="D108" s="927">
        <v>738000</v>
      </c>
      <c r="E108" s="926"/>
    </row>
    <row r="109" spans="1:5" ht="15" customHeight="1" x14ac:dyDescent="0.25">
      <c r="A109" s="928"/>
      <c r="C109" s="907" t="s">
        <v>2901</v>
      </c>
      <c r="D109" s="927">
        <v>37683216</v>
      </c>
      <c r="E109" s="926"/>
    </row>
    <row r="110" spans="1:5" ht="15" customHeight="1" x14ac:dyDescent="0.25">
      <c r="A110" s="928"/>
      <c r="C110" s="907" t="s">
        <v>2900</v>
      </c>
      <c r="D110" s="927">
        <v>411868</v>
      </c>
      <c r="E110" s="926"/>
    </row>
    <row r="111" spans="1:5" ht="15" customHeight="1" x14ac:dyDescent="0.25">
      <c r="A111" s="928"/>
      <c r="C111" s="907" t="s">
        <v>2899</v>
      </c>
      <c r="D111" s="927">
        <v>13415405</v>
      </c>
      <c r="E111" s="926"/>
    </row>
    <row r="112" spans="1:5" ht="15" customHeight="1" x14ac:dyDescent="0.25">
      <c r="A112" s="928"/>
      <c r="C112" s="907" t="s">
        <v>2898</v>
      </c>
      <c r="D112" s="927">
        <v>684438</v>
      </c>
      <c r="E112" s="926"/>
    </row>
    <row r="113" spans="1:5" ht="15" customHeight="1" x14ac:dyDescent="0.25">
      <c r="A113" s="928"/>
      <c r="C113" s="907" t="s">
        <v>2897</v>
      </c>
      <c r="D113" s="927">
        <v>1952995</v>
      </c>
      <c r="E113" s="926"/>
    </row>
    <row r="114" spans="1:5" ht="15" customHeight="1" x14ac:dyDescent="0.25">
      <c r="A114" s="928"/>
      <c r="C114" s="907" t="s">
        <v>2896</v>
      </c>
      <c r="D114" s="927">
        <v>3263193</v>
      </c>
      <c r="E114" s="929"/>
    </row>
    <row r="115" spans="1:5" ht="15" customHeight="1" x14ac:dyDescent="0.25">
      <c r="A115" s="928"/>
      <c r="D115" s="927"/>
      <c r="E115" s="926"/>
    </row>
    <row r="116" spans="1:5" ht="15" customHeight="1" x14ac:dyDescent="0.25">
      <c r="A116" s="925"/>
      <c r="B116" s="924">
        <v>4.2</v>
      </c>
      <c r="C116" s="923" t="s">
        <v>2895</v>
      </c>
      <c r="D116" s="922"/>
      <c r="E116" s="921">
        <v>28800000</v>
      </c>
    </row>
    <row r="117" spans="1:5" ht="15" customHeight="1" x14ac:dyDescent="0.25">
      <c r="A117" s="920"/>
      <c r="B117" s="919"/>
      <c r="C117" s="918" t="s">
        <v>2894</v>
      </c>
      <c r="D117" s="917"/>
      <c r="E117" s="916">
        <f>+SUM(E6:E116)</f>
        <v>4295989369.5200005</v>
      </c>
    </row>
    <row r="118" spans="1:5" ht="15" customHeight="1" x14ac:dyDescent="0.25">
      <c r="A118" s="915"/>
      <c r="B118" s="915"/>
      <c r="C118" s="915"/>
      <c r="D118" s="914"/>
      <c r="E118" s="914"/>
    </row>
    <row r="119" spans="1:5" x14ac:dyDescent="0.25">
      <c r="B119" s="907" t="s">
        <v>2893</v>
      </c>
      <c r="C119" s="913"/>
    </row>
    <row r="122" spans="1:5" s="911" customFormat="1" x14ac:dyDescent="0.25">
      <c r="B122" s="912" t="s">
        <v>2892</v>
      </c>
      <c r="D122" s="912"/>
      <c r="E122" s="912"/>
    </row>
    <row r="123" spans="1:5" s="911" customFormat="1" x14ac:dyDescent="0.25">
      <c r="B123" s="911" t="s">
        <v>2891</v>
      </c>
    </row>
    <row r="126" spans="1:5" x14ac:dyDescent="0.25">
      <c r="C126" s="907" t="s">
        <v>2890</v>
      </c>
    </row>
    <row r="132" spans="1:5" x14ac:dyDescent="0.25">
      <c r="A132" s="910" t="s">
        <v>2887</v>
      </c>
      <c r="B132" s="910"/>
      <c r="C132" s="910"/>
      <c r="D132" s="910"/>
      <c r="E132" s="910"/>
    </row>
    <row r="133" spans="1:5" x14ac:dyDescent="0.25">
      <c r="A133" s="909" t="s">
        <v>2889</v>
      </c>
      <c r="B133" s="909"/>
      <c r="C133" s="909"/>
      <c r="D133" s="909"/>
      <c r="E133" s="909"/>
    </row>
  </sheetData>
  <mergeCells count="5">
    <mergeCell ref="A2:E2"/>
    <mergeCell ref="A4:C4"/>
    <mergeCell ref="A3:E3"/>
    <mergeCell ref="A132:E132"/>
    <mergeCell ref="A133:E133"/>
  </mergeCells>
  <pageMargins left="0.39370078740157483" right="0.39370078740157483" top="0.39370078740157483" bottom="0.39370078740157483" header="0" footer="0"/>
  <pageSetup paperSize="9" scale="72"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260"/>
  <sheetViews>
    <sheetView view="pageBreakPreview" zoomScale="130" zoomScaleNormal="100" zoomScaleSheetLayoutView="130" workbookViewId="0">
      <selection activeCell="A15" sqref="A15"/>
    </sheetView>
  </sheetViews>
  <sheetFormatPr defaultColWidth="14.42578125" defaultRowHeight="15" customHeight="1" x14ac:dyDescent="0.25"/>
  <cols>
    <col min="1" max="1" width="73.7109375" customWidth="1"/>
    <col min="2" max="2" width="15" customWidth="1"/>
    <col min="3" max="3" width="16.85546875" hidden="1" customWidth="1"/>
    <col min="4" max="4" width="16" hidden="1" customWidth="1"/>
    <col min="5" max="5" width="19.28515625" hidden="1" customWidth="1"/>
    <col min="6" max="6" width="15.7109375" hidden="1" customWidth="1"/>
    <col min="7" max="7" width="17.7109375" customWidth="1"/>
    <col min="8" max="8" width="13.28515625" customWidth="1"/>
    <col min="9" max="26" width="10.28515625" customWidth="1"/>
  </cols>
  <sheetData>
    <row r="1" spans="1:26" ht="15.75" customHeight="1" x14ac:dyDescent="0.25">
      <c r="A1" s="243"/>
      <c r="B1" s="244"/>
      <c r="C1" s="245"/>
      <c r="D1" s="245"/>
      <c r="E1" s="245"/>
      <c r="F1" s="244"/>
      <c r="G1" s="246"/>
      <c r="H1" s="247"/>
      <c r="I1" s="242"/>
      <c r="J1" s="242"/>
      <c r="K1" s="242"/>
      <c r="L1" s="242"/>
      <c r="M1" s="242"/>
      <c r="N1" s="242"/>
      <c r="O1" s="242"/>
      <c r="P1" s="242"/>
      <c r="Q1" s="242"/>
      <c r="R1" s="242"/>
      <c r="S1" s="242"/>
      <c r="T1" s="242"/>
      <c r="U1" s="242"/>
      <c r="V1" s="242"/>
      <c r="W1" s="242"/>
      <c r="X1" s="242"/>
      <c r="Y1" s="242"/>
      <c r="Z1" s="242"/>
    </row>
    <row r="2" spans="1:26" ht="15.75" customHeight="1" x14ac:dyDescent="0.25">
      <c r="A2" s="108"/>
      <c r="B2" s="242"/>
      <c r="C2" s="248"/>
      <c r="D2" s="248"/>
      <c r="E2" s="248"/>
      <c r="F2" s="242"/>
      <c r="G2" s="249"/>
      <c r="H2" s="247"/>
      <c r="I2" s="242"/>
      <c r="J2" s="242"/>
      <c r="K2" s="242"/>
      <c r="L2" s="242"/>
      <c r="M2" s="242"/>
      <c r="N2" s="242"/>
      <c r="O2" s="242"/>
      <c r="P2" s="242"/>
      <c r="Q2" s="242"/>
      <c r="R2" s="242"/>
      <c r="S2" s="242"/>
      <c r="T2" s="242"/>
      <c r="U2" s="242"/>
      <c r="V2" s="242"/>
      <c r="W2" s="242"/>
      <c r="X2" s="242"/>
      <c r="Y2" s="242"/>
      <c r="Z2" s="242"/>
    </row>
    <row r="3" spans="1:26" ht="15.75" customHeight="1" x14ac:dyDescent="0.25">
      <c r="A3" s="881" t="s">
        <v>349</v>
      </c>
      <c r="B3" s="862"/>
      <c r="C3" s="862"/>
      <c r="D3" s="862"/>
      <c r="E3" s="862"/>
      <c r="F3" s="862"/>
      <c r="G3" s="863"/>
      <c r="H3" s="247"/>
      <c r="I3" s="242"/>
      <c r="J3" s="242"/>
      <c r="K3" s="242"/>
      <c r="L3" s="242"/>
      <c r="M3" s="242"/>
      <c r="N3" s="242"/>
      <c r="O3" s="242"/>
      <c r="P3" s="242"/>
      <c r="Q3" s="242"/>
      <c r="R3" s="242"/>
      <c r="S3" s="242"/>
      <c r="T3" s="242"/>
      <c r="U3" s="242"/>
      <c r="V3" s="242"/>
      <c r="W3" s="242"/>
      <c r="X3" s="242"/>
      <c r="Y3" s="242"/>
      <c r="Z3" s="242"/>
    </row>
    <row r="4" spans="1:26" ht="15.75" customHeight="1" x14ac:dyDescent="0.25">
      <c r="A4" s="882" t="s">
        <v>350</v>
      </c>
      <c r="B4" s="862"/>
      <c r="C4" s="862"/>
      <c r="D4" s="862"/>
      <c r="E4" s="862"/>
      <c r="F4" s="862"/>
      <c r="G4" s="863"/>
      <c r="H4" s="247"/>
      <c r="I4" s="242"/>
      <c r="J4" s="242"/>
      <c r="K4" s="242"/>
      <c r="L4" s="242"/>
      <c r="M4" s="242"/>
      <c r="N4" s="242"/>
      <c r="O4" s="242"/>
      <c r="P4" s="242"/>
      <c r="Q4" s="242"/>
      <c r="R4" s="242"/>
      <c r="S4" s="242"/>
      <c r="T4" s="242"/>
      <c r="U4" s="242"/>
      <c r="V4" s="242"/>
      <c r="W4" s="242"/>
      <c r="X4" s="242"/>
      <c r="Y4" s="242"/>
      <c r="Z4" s="242"/>
    </row>
    <row r="5" spans="1:26" ht="15.75" customHeight="1" x14ac:dyDescent="0.25">
      <c r="A5" s="250"/>
      <c r="B5" s="248"/>
      <c r="C5" s="248"/>
      <c r="D5" s="248"/>
      <c r="E5" s="248"/>
      <c r="F5" s="248"/>
      <c r="G5" s="251"/>
      <c r="H5" s="247"/>
      <c r="I5" s="242"/>
      <c r="J5" s="242"/>
      <c r="K5" s="242"/>
      <c r="L5" s="242"/>
      <c r="M5" s="242"/>
      <c r="N5" s="242"/>
      <c r="O5" s="242"/>
      <c r="P5" s="242"/>
      <c r="Q5" s="242"/>
      <c r="R5" s="242"/>
      <c r="S5" s="242"/>
      <c r="T5" s="242"/>
      <c r="U5" s="242"/>
      <c r="V5" s="242"/>
      <c r="W5" s="242"/>
      <c r="X5" s="242"/>
      <c r="Y5" s="242"/>
      <c r="Z5" s="242"/>
    </row>
    <row r="6" spans="1:26" ht="15.75" customHeight="1" x14ac:dyDescent="0.25">
      <c r="A6" s="108" t="s">
        <v>1287</v>
      </c>
      <c r="B6" s="240"/>
      <c r="C6" s="241"/>
      <c r="D6" s="241"/>
      <c r="E6" s="241"/>
      <c r="F6" s="240"/>
      <c r="G6" s="249"/>
      <c r="H6" s="247"/>
      <c r="I6" s="242"/>
      <c r="J6" s="242"/>
      <c r="K6" s="242"/>
      <c r="L6" s="242"/>
      <c r="M6" s="242"/>
      <c r="N6" s="242"/>
      <c r="O6" s="242"/>
      <c r="P6" s="242"/>
      <c r="Q6" s="242"/>
      <c r="R6" s="242"/>
      <c r="S6" s="242"/>
      <c r="T6" s="242"/>
      <c r="U6" s="242"/>
      <c r="V6" s="242"/>
      <c r="W6" s="242"/>
      <c r="X6" s="242"/>
      <c r="Y6" s="242"/>
      <c r="Z6" s="242"/>
    </row>
    <row r="7" spans="1:26" ht="15.75" customHeight="1" x14ac:dyDescent="0.25">
      <c r="A7" s="108"/>
      <c r="B7" s="240"/>
      <c r="C7" s="241"/>
      <c r="D7" s="241"/>
      <c r="E7" s="241"/>
      <c r="F7" s="240"/>
      <c r="G7" s="249"/>
      <c r="H7" s="247"/>
      <c r="I7" s="242"/>
      <c r="J7" s="242"/>
      <c r="K7" s="242"/>
      <c r="L7" s="242"/>
      <c r="M7" s="242"/>
      <c r="N7" s="242"/>
      <c r="O7" s="242"/>
      <c r="P7" s="242"/>
      <c r="Q7" s="242"/>
      <c r="R7" s="242"/>
      <c r="S7" s="242"/>
      <c r="T7" s="242"/>
      <c r="U7" s="242"/>
      <c r="V7" s="242"/>
      <c r="W7" s="242"/>
      <c r="X7" s="242"/>
      <c r="Y7" s="242"/>
      <c r="Z7" s="242"/>
    </row>
    <row r="8" spans="1:26" ht="15.75" customHeight="1" x14ac:dyDescent="0.25">
      <c r="A8" s="883" t="s">
        <v>352</v>
      </c>
      <c r="B8" s="866"/>
      <c r="C8" s="866"/>
      <c r="D8" s="866"/>
      <c r="E8" s="866"/>
      <c r="F8" s="866"/>
      <c r="G8" s="867"/>
      <c r="H8" s="247"/>
      <c r="I8" s="242"/>
      <c r="J8" s="242"/>
      <c r="K8" s="242"/>
      <c r="L8" s="242"/>
      <c r="M8" s="242"/>
      <c r="N8" s="242"/>
      <c r="O8" s="242"/>
      <c r="P8" s="242"/>
      <c r="Q8" s="242"/>
      <c r="R8" s="242"/>
      <c r="S8" s="242"/>
      <c r="T8" s="242"/>
      <c r="U8" s="242"/>
      <c r="V8" s="242"/>
      <c r="W8" s="242"/>
      <c r="X8" s="242"/>
      <c r="Y8" s="242"/>
      <c r="Z8" s="242"/>
    </row>
    <row r="9" spans="1:26" ht="15.75" customHeight="1" x14ac:dyDescent="0.25">
      <c r="A9" s="868" t="s">
        <v>353</v>
      </c>
      <c r="B9" s="857" t="s">
        <v>354</v>
      </c>
      <c r="C9" s="870" t="s">
        <v>355</v>
      </c>
      <c r="D9" s="872" t="s">
        <v>356</v>
      </c>
      <c r="E9" s="873"/>
      <c r="F9" s="874"/>
      <c r="G9" s="857" t="s">
        <v>357</v>
      </c>
      <c r="H9" s="247"/>
      <c r="I9" s="242"/>
      <c r="J9" s="242"/>
      <c r="K9" s="242"/>
      <c r="L9" s="242"/>
      <c r="M9" s="242"/>
      <c r="N9" s="242"/>
      <c r="O9" s="242"/>
      <c r="P9" s="242"/>
      <c r="Q9" s="242"/>
      <c r="R9" s="242"/>
      <c r="S9" s="242"/>
      <c r="T9" s="242"/>
      <c r="U9" s="242"/>
      <c r="V9" s="242"/>
      <c r="W9" s="242"/>
      <c r="X9" s="242"/>
      <c r="Y9" s="242"/>
      <c r="Z9" s="242"/>
    </row>
    <row r="10" spans="1:26" ht="15.75" customHeight="1" x14ac:dyDescent="0.25">
      <c r="A10" s="858"/>
      <c r="B10" s="858"/>
      <c r="C10" s="871"/>
      <c r="D10" s="28" t="s">
        <v>358</v>
      </c>
      <c r="E10" s="29" t="s">
        <v>359</v>
      </c>
      <c r="F10" s="875" t="s">
        <v>360</v>
      </c>
      <c r="G10" s="858"/>
      <c r="H10" s="247"/>
      <c r="I10" s="242"/>
      <c r="J10" s="242"/>
      <c r="K10" s="242"/>
      <c r="L10" s="242"/>
      <c r="M10" s="242"/>
      <c r="N10" s="242"/>
      <c r="O10" s="242"/>
      <c r="P10" s="242"/>
      <c r="Q10" s="242"/>
      <c r="R10" s="242"/>
      <c r="S10" s="242"/>
      <c r="T10" s="242"/>
      <c r="U10" s="242"/>
      <c r="V10" s="242"/>
      <c r="W10" s="242"/>
      <c r="X10" s="242"/>
      <c r="Y10" s="242"/>
      <c r="Z10" s="242"/>
    </row>
    <row r="11" spans="1:26" ht="15.75" customHeight="1" x14ac:dyDescent="0.25">
      <c r="A11" s="858"/>
      <c r="B11" s="858"/>
      <c r="C11" s="30" t="s">
        <v>361</v>
      </c>
      <c r="D11" s="31" t="s">
        <v>361</v>
      </c>
      <c r="E11" s="32" t="s">
        <v>362</v>
      </c>
      <c r="F11" s="860"/>
      <c r="G11" s="442" t="s">
        <v>2717</v>
      </c>
      <c r="H11" s="247"/>
      <c r="I11" s="242"/>
      <c r="J11" s="242"/>
      <c r="K11" s="242"/>
      <c r="L11" s="242"/>
      <c r="M11" s="242"/>
      <c r="N11" s="242"/>
      <c r="O11" s="242"/>
      <c r="P11" s="242"/>
      <c r="Q11" s="242"/>
      <c r="R11" s="242"/>
      <c r="S11" s="242"/>
      <c r="T11" s="242"/>
      <c r="U11" s="242"/>
      <c r="V11" s="242"/>
      <c r="W11" s="242"/>
      <c r="X11" s="242"/>
      <c r="Y11" s="242"/>
      <c r="Z11" s="242"/>
    </row>
    <row r="12" spans="1:26" ht="15.75" customHeight="1" x14ac:dyDescent="0.25">
      <c r="A12" s="869"/>
      <c r="B12" s="869"/>
      <c r="C12" s="252">
        <v>2024</v>
      </c>
      <c r="D12" s="253">
        <v>2025</v>
      </c>
      <c r="E12" s="254">
        <v>2025</v>
      </c>
      <c r="F12" s="253">
        <v>2025</v>
      </c>
      <c r="G12" s="36" t="s">
        <v>2668</v>
      </c>
      <c r="H12" s="247"/>
      <c r="I12" s="242"/>
      <c r="J12" s="242"/>
      <c r="K12" s="242"/>
      <c r="L12" s="242"/>
      <c r="M12" s="242"/>
      <c r="N12" s="242"/>
      <c r="O12" s="242"/>
      <c r="P12" s="242"/>
      <c r="Q12" s="242"/>
      <c r="R12" s="242"/>
      <c r="S12" s="242"/>
      <c r="T12" s="242"/>
      <c r="U12" s="242"/>
      <c r="V12" s="242"/>
      <c r="W12" s="242"/>
      <c r="X12" s="242"/>
      <c r="Y12" s="242"/>
      <c r="Z12" s="242"/>
    </row>
    <row r="13" spans="1:26" ht="15.75" customHeight="1" x14ac:dyDescent="0.25">
      <c r="A13" s="108" t="s">
        <v>364</v>
      </c>
      <c r="B13" s="120"/>
      <c r="C13" s="234"/>
      <c r="D13" s="234"/>
      <c r="E13" s="234"/>
      <c r="F13" s="234"/>
      <c r="G13" s="234"/>
      <c r="H13" s="247"/>
      <c r="I13" s="242"/>
      <c r="J13" s="242"/>
      <c r="K13" s="242"/>
      <c r="L13" s="242"/>
      <c r="M13" s="242"/>
      <c r="N13" s="242"/>
      <c r="O13" s="242"/>
      <c r="P13" s="242"/>
      <c r="Q13" s="242"/>
      <c r="R13" s="242"/>
      <c r="S13" s="242"/>
      <c r="T13" s="242"/>
      <c r="U13" s="242"/>
      <c r="V13" s="242"/>
      <c r="W13" s="242"/>
      <c r="X13" s="242"/>
      <c r="Y13" s="242"/>
      <c r="Z13" s="242"/>
    </row>
    <row r="14" spans="1:26" ht="15.75" customHeight="1" x14ac:dyDescent="0.25">
      <c r="A14" s="108" t="s">
        <v>365</v>
      </c>
      <c r="B14" s="120"/>
      <c r="C14" s="234"/>
      <c r="D14" s="234"/>
      <c r="E14" s="234"/>
      <c r="F14" s="234"/>
      <c r="G14" s="234"/>
      <c r="H14" s="247"/>
      <c r="I14" s="242"/>
      <c r="J14" s="242"/>
      <c r="K14" s="242"/>
      <c r="L14" s="242"/>
      <c r="M14" s="242"/>
      <c r="N14" s="242"/>
      <c r="O14" s="242"/>
      <c r="P14" s="242"/>
      <c r="Q14" s="242"/>
      <c r="R14" s="242"/>
      <c r="S14" s="242"/>
      <c r="T14" s="242"/>
      <c r="U14" s="242"/>
      <c r="V14" s="242"/>
      <c r="W14" s="242"/>
      <c r="X14" s="242"/>
      <c r="Y14" s="242"/>
      <c r="Z14" s="242"/>
    </row>
    <row r="15" spans="1:26" ht="15.75" customHeight="1" x14ac:dyDescent="0.25">
      <c r="A15" s="108" t="s">
        <v>1235</v>
      </c>
      <c r="B15" s="120"/>
      <c r="C15" s="234"/>
      <c r="D15" s="234"/>
      <c r="E15" s="234"/>
      <c r="F15" s="234"/>
      <c r="G15" s="234"/>
      <c r="H15" s="247"/>
      <c r="I15" s="242"/>
      <c r="J15" s="242"/>
      <c r="K15" s="242"/>
      <c r="L15" s="242"/>
      <c r="M15" s="242"/>
      <c r="N15" s="242"/>
      <c r="O15" s="242"/>
      <c r="P15" s="242"/>
      <c r="Q15" s="242"/>
      <c r="R15" s="242"/>
      <c r="S15" s="242"/>
      <c r="T15" s="242"/>
      <c r="U15" s="242"/>
      <c r="V15" s="242"/>
      <c r="W15" s="242"/>
      <c r="X15" s="242"/>
      <c r="Y15" s="242"/>
      <c r="Z15" s="242"/>
    </row>
    <row r="16" spans="1:26" ht="15.75" customHeight="1" x14ac:dyDescent="0.25">
      <c r="A16" s="236" t="s">
        <v>367</v>
      </c>
      <c r="B16" s="120" t="s">
        <v>121</v>
      </c>
      <c r="C16" s="121">
        <v>21901076.239999998</v>
      </c>
      <c r="D16" s="121">
        <v>11826854.640000001</v>
      </c>
      <c r="E16" s="121">
        <f>F16-D16</f>
        <v>12895137.359999999</v>
      </c>
      <c r="F16" s="121">
        <v>24721992</v>
      </c>
      <c r="G16" s="121">
        <v>25900500</v>
      </c>
      <c r="H16" s="247"/>
      <c r="I16" s="242"/>
      <c r="J16" s="242"/>
      <c r="K16" s="242"/>
      <c r="L16" s="242"/>
      <c r="M16" s="242"/>
      <c r="N16" s="242"/>
      <c r="O16" s="242"/>
      <c r="P16" s="242"/>
      <c r="Q16" s="242"/>
      <c r="R16" s="242"/>
      <c r="S16" s="242"/>
      <c r="T16" s="242"/>
      <c r="U16" s="242"/>
      <c r="V16" s="242"/>
      <c r="W16" s="242"/>
      <c r="X16" s="242"/>
      <c r="Y16" s="242"/>
      <c r="Z16" s="242"/>
    </row>
    <row r="17" spans="1:26" ht="15.75" customHeight="1" x14ac:dyDescent="0.25">
      <c r="A17" s="108" t="s">
        <v>368</v>
      </c>
      <c r="B17" s="120"/>
      <c r="C17" s="121"/>
      <c r="D17" s="121"/>
      <c r="E17" s="121"/>
      <c r="F17" s="121"/>
      <c r="G17" s="121"/>
      <c r="H17" s="247"/>
      <c r="I17" s="242"/>
      <c r="J17" s="242"/>
      <c r="K17" s="242"/>
      <c r="L17" s="242"/>
      <c r="M17" s="242"/>
      <c r="N17" s="242"/>
      <c r="O17" s="242"/>
      <c r="P17" s="242"/>
      <c r="Q17" s="242"/>
      <c r="R17" s="242"/>
      <c r="S17" s="242"/>
      <c r="T17" s="242"/>
      <c r="U17" s="242"/>
      <c r="V17" s="242"/>
      <c r="W17" s="242"/>
      <c r="X17" s="242"/>
      <c r="Y17" s="242"/>
      <c r="Z17" s="242"/>
    </row>
    <row r="18" spans="1:26" ht="15.75" customHeight="1" x14ac:dyDescent="0.25">
      <c r="A18" s="236" t="s">
        <v>369</v>
      </c>
      <c r="B18" s="120" t="s">
        <v>125</v>
      </c>
      <c r="C18" s="121">
        <v>1395527.05</v>
      </c>
      <c r="D18" s="121">
        <v>731081.91</v>
      </c>
      <c r="E18" s="121">
        <f t="shared" ref="E18:E26" si="0">F18-D18</f>
        <v>804918.09</v>
      </c>
      <c r="F18" s="121">
        <v>1536000</v>
      </c>
      <c r="G18" s="121">
        <v>1536000</v>
      </c>
      <c r="H18" s="247"/>
      <c r="I18" s="242"/>
      <c r="J18" s="242"/>
      <c r="K18" s="242"/>
      <c r="L18" s="242"/>
      <c r="M18" s="242"/>
      <c r="N18" s="242"/>
      <c r="O18" s="242"/>
      <c r="P18" s="242"/>
      <c r="Q18" s="242"/>
      <c r="R18" s="242"/>
      <c r="S18" s="242"/>
      <c r="T18" s="242"/>
      <c r="U18" s="242"/>
      <c r="V18" s="242"/>
      <c r="W18" s="242"/>
      <c r="X18" s="242"/>
      <c r="Y18" s="242"/>
      <c r="Z18" s="242"/>
    </row>
    <row r="19" spans="1:26" ht="15.75" customHeight="1" x14ac:dyDescent="0.25">
      <c r="A19" s="236" t="s">
        <v>370</v>
      </c>
      <c r="B19" s="120" t="s">
        <v>127</v>
      </c>
      <c r="C19" s="121">
        <v>114000</v>
      </c>
      <c r="D19" s="121">
        <v>47500</v>
      </c>
      <c r="E19" s="121">
        <f t="shared" si="0"/>
        <v>66500</v>
      </c>
      <c r="F19" s="121">
        <v>114000</v>
      </c>
      <c r="G19" s="121">
        <v>114000</v>
      </c>
      <c r="H19" s="247"/>
      <c r="I19" s="242"/>
      <c r="J19" s="242"/>
      <c r="K19" s="242"/>
      <c r="L19" s="242"/>
      <c r="M19" s="242"/>
      <c r="N19" s="242"/>
      <c r="O19" s="242"/>
      <c r="P19" s="242"/>
      <c r="Q19" s="242"/>
      <c r="R19" s="242"/>
      <c r="S19" s="242"/>
      <c r="T19" s="242"/>
      <c r="U19" s="242"/>
      <c r="V19" s="242"/>
      <c r="W19" s="242"/>
      <c r="X19" s="242"/>
      <c r="Y19" s="242"/>
      <c r="Z19" s="242"/>
    </row>
    <row r="20" spans="1:26" ht="15.75" customHeight="1" x14ac:dyDescent="0.25">
      <c r="A20" s="236" t="s">
        <v>371</v>
      </c>
      <c r="B20" s="120" t="s">
        <v>372</v>
      </c>
      <c r="C20" s="121">
        <v>114000</v>
      </c>
      <c r="D20" s="121">
        <v>47500</v>
      </c>
      <c r="E20" s="121">
        <f t="shared" si="0"/>
        <v>66500</v>
      </c>
      <c r="F20" s="121">
        <v>114000</v>
      </c>
      <c r="G20" s="121">
        <v>114000</v>
      </c>
      <c r="H20" s="247"/>
      <c r="I20" s="242"/>
      <c r="J20" s="242"/>
      <c r="K20" s="242"/>
      <c r="L20" s="242"/>
      <c r="M20" s="242"/>
      <c r="N20" s="242"/>
      <c r="O20" s="242"/>
      <c r="P20" s="242"/>
      <c r="Q20" s="242"/>
      <c r="R20" s="242"/>
      <c r="S20" s="242"/>
      <c r="T20" s="242"/>
      <c r="U20" s="242"/>
      <c r="V20" s="242"/>
      <c r="W20" s="242"/>
      <c r="X20" s="242"/>
      <c r="Y20" s="242"/>
      <c r="Z20" s="242"/>
    </row>
    <row r="21" spans="1:26" ht="15.75" customHeight="1" x14ac:dyDescent="0.25">
      <c r="A21" s="236" t="s">
        <v>373</v>
      </c>
      <c r="B21" s="120" t="s">
        <v>131</v>
      </c>
      <c r="C21" s="121">
        <v>406000</v>
      </c>
      <c r="D21" s="121">
        <v>427000</v>
      </c>
      <c r="E21" s="121">
        <f t="shared" si="0"/>
        <v>21000</v>
      </c>
      <c r="F21" s="121">
        <v>448000</v>
      </c>
      <c r="G21" s="121">
        <v>448000</v>
      </c>
      <c r="H21" s="247"/>
      <c r="I21" s="242"/>
      <c r="J21" s="242"/>
      <c r="K21" s="242"/>
      <c r="L21" s="242"/>
      <c r="M21" s="242"/>
      <c r="N21" s="242"/>
      <c r="O21" s="242"/>
      <c r="P21" s="242"/>
      <c r="Q21" s="242"/>
      <c r="R21" s="242"/>
      <c r="S21" s="242"/>
      <c r="T21" s="242"/>
      <c r="U21" s="242"/>
      <c r="V21" s="242"/>
      <c r="W21" s="242"/>
      <c r="X21" s="242"/>
      <c r="Y21" s="242"/>
      <c r="Z21" s="242"/>
    </row>
    <row r="22" spans="1:26" ht="15.75" customHeight="1" x14ac:dyDescent="0.25">
      <c r="A22" s="236" t="s">
        <v>374</v>
      </c>
      <c r="B22" s="120" t="s">
        <v>151</v>
      </c>
      <c r="C22" s="121">
        <v>1851104</v>
      </c>
      <c r="D22" s="121">
        <v>0</v>
      </c>
      <c r="E22" s="121">
        <f t="shared" si="0"/>
        <v>2060166</v>
      </c>
      <c r="F22" s="121">
        <v>2060166</v>
      </c>
      <c r="G22" s="121">
        <v>2158375</v>
      </c>
      <c r="H22" s="247"/>
      <c r="I22" s="242"/>
      <c r="J22" s="242"/>
      <c r="K22" s="242"/>
      <c r="L22" s="242"/>
      <c r="M22" s="242"/>
      <c r="N22" s="242"/>
      <c r="O22" s="242"/>
      <c r="P22" s="242"/>
      <c r="Q22" s="242"/>
      <c r="R22" s="242"/>
      <c r="S22" s="242"/>
      <c r="T22" s="242"/>
      <c r="U22" s="242"/>
      <c r="V22" s="242"/>
      <c r="W22" s="242"/>
      <c r="X22" s="242"/>
      <c r="Y22" s="242"/>
      <c r="Z22" s="242"/>
    </row>
    <row r="23" spans="1:26" ht="15.75" customHeight="1" x14ac:dyDescent="0.25">
      <c r="A23" s="236" t="s">
        <v>375</v>
      </c>
      <c r="B23" s="120" t="s">
        <v>153</v>
      </c>
      <c r="C23" s="121">
        <v>286500</v>
      </c>
      <c r="D23" s="121">
        <v>0</v>
      </c>
      <c r="E23" s="121">
        <f t="shared" si="0"/>
        <v>320000</v>
      </c>
      <c r="F23" s="121">
        <v>320000</v>
      </c>
      <c r="G23" s="121">
        <v>320000</v>
      </c>
      <c r="H23" s="247"/>
      <c r="I23" s="242"/>
      <c r="J23" s="242"/>
      <c r="K23" s="242"/>
      <c r="L23" s="242"/>
      <c r="M23" s="242"/>
      <c r="N23" s="242"/>
      <c r="O23" s="242"/>
      <c r="P23" s="242"/>
      <c r="Q23" s="242"/>
      <c r="R23" s="242"/>
      <c r="S23" s="242"/>
      <c r="T23" s="242"/>
      <c r="U23" s="242"/>
      <c r="V23" s="242"/>
      <c r="W23" s="242"/>
      <c r="X23" s="242"/>
      <c r="Y23" s="242"/>
      <c r="Z23" s="242"/>
    </row>
    <row r="24" spans="1:26" ht="15.75" customHeight="1" x14ac:dyDescent="0.25">
      <c r="A24" s="236" t="s">
        <v>377</v>
      </c>
      <c r="B24" s="120" t="s">
        <v>157</v>
      </c>
      <c r="C24" s="121">
        <v>30000</v>
      </c>
      <c r="D24" s="121">
        <v>30000</v>
      </c>
      <c r="E24" s="121">
        <f t="shared" si="0"/>
        <v>5000</v>
      </c>
      <c r="F24" s="121">
        <v>35000</v>
      </c>
      <c r="G24" s="121">
        <v>20000</v>
      </c>
      <c r="H24" s="247"/>
      <c r="I24" s="242"/>
      <c r="J24" s="242"/>
      <c r="K24" s="242"/>
      <c r="L24" s="242"/>
      <c r="M24" s="242"/>
      <c r="N24" s="242"/>
      <c r="O24" s="242"/>
      <c r="P24" s="242"/>
      <c r="Q24" s="242"/>
      <c r="R24" s="242"/>
      <c r="S24" s="242"/>
      <c r="T24" s="242"/>
      <c r="U24" s="242"/>
      <c r="V24" s="242"/>
      <c r="W24" s="242"/>
      <c r="X24" s="242"/>
      <c r="Y24" s="242"/>
      <c r="Z24" s="242"/>
    </row>
    <row r="25" spans="1:26" ht="15.75" customHeight="1" x14ac:dyDescent="0.25">
      <c r="A25" s="236" t="s">
        <v>1227</v>
      </c>
      <c r="B25" s="120" t="s">
        <v>159</v>
      </c>
      <c r="C25" s="121">
        <v>0</v>
      </c>
      <c r="D25" s="121">
        <v>171000</v>
      </c>
      <c r="E25" s="121">
        <f t="shared" si="0"/>
        <v>21000</v>
      </c>
      <c r="F25" s="121">
        <v>192000</v>
      </c>
      <c r="G25" s="121">
        <v>0</v>
      </c>
      <c r="H25" s="247"/>
      <c r="I25" s="242"/>
      <c r="J25" s="242"/>
      <c r="K25" s="242"/>
      <c r="L25" s="242"/>
      <c r="M25" s="242"/>
      <c r="N25" s="242"/>
      <c r="O25" s="242"/>
      <c r="P25" s="242"/>
      <c r="Q25" s="242"/>
      <c r="R25" s="242"/>
      <c r="S25" s="242"/>
      <c r="T25" s="242"/>
      <c r="U25" s="242"/>
      <c r="V25" s="242"/>
      <c r="W25" s="242"/>
      <c r="X25" s="242"/>
      <c r="Y25" s="242"/>
      <c r="Z25" s="242"/>
    </row>
    <row r="26" spans="1:26" ht="15.75" customHeight="1" x14ac:dyDescent="0.25">
      <c r="A26" s="236" t="s">
        <v>379</v>
      </c>
      <c r="B26" s="120" t="s">
        <v>161</v>
      </c>
      <c r="C26" s="121">
        <v>1786219</v>
      </c>
      <c r="D26" s="121">
        <v>1974660</v>
      </c>
      <c r="E26" s="121">
        <f t="shared" si="0"/>
        <v>85506</v>
      </c>
      <c r="F26" s="121">
        <v>2060166</v>
      </c>
      <c r="G26" s="121">
        <v>2158375</v>
      </c>
      <c r="H26" s="247"/>
      <c r="I26" s="242"/>
      <c r="J26" s="242"/>
      <c r="K26" s="242"/>
      <c r="L26" s="242"/>
      <c r="M26" s="242"/>
      <c r="N26" s="242"/>
      <c r="O26" s="242"/>
      <c r="P26" s="242"/>
      <c r="Q26" s="242"/>
      <c r="R26" s="242"/>
      <c r="S26" s="242"/>
      <c r="T26" s="242"/>
      <c r="U26" s="242"/>
      <c r="V26" s="242"/>
      <c r="W26" s="242"/>
      <c r="X26" s="242"/>
      <c r="Y26" s="242"/>
      <c r="Z26" s="242"/>
    </row>
    <row r="27" spans="1:26" ht="15.75" customHeight="1" x14ac:dyDescent="0.25">
      <c r="A27" s="108" t="s">
        <v>380</v>
      </c>
      <c r="B27" s="120"/>
      <c r="C27" s="121"/>
      <c r="D27" s="121"/>
      <c r="E27" s="121"/>
      <c r="F27" s="121"/>
      <c r="G27" s="121"/>
      <c r="H27" s="247"/>
      <c r="I27" s="242"/>
      <c r="J27" s="242"/>
      <c r="K27" s="242"/>
      <c r="L27" s="242"/>
      <c r="M27" s="242"/>
      <c r="N27" s="242"/>
      <c r="O27" s="242"/>
      <c r="P27" s="242"/>
      <c r="Q27" s="242"/>
      <c r="R27" s="242"/>
      <c r="S27" s="242"/>
      <c r="T27" s="242"/>
      <c r="U27" s="242"/>
      <c r="V27" s="242"/>
      <c r="W27" s="242"/>
      <c r="X27" s="242"/>
      <c r="Y27" s="242"/>
      <c r="Z27" s="242"/>
    </row>
    <row r="28" spans="1:26" ht="15.75" customHeight="1" x14ac:dyDescent="0.25">
      <c r="A28" s="236" t="s">
        <v>381</v>
      </c>
      <c r="B28" s="120" t="s">
        <v>165</v>
      </c>
      <c r="C28" s="121">
        <v>2635909.44</v>
      </c>
      <c r="D28" s="121">
        <v>1421298.87</v>
      </c>
      <c r="E28" s="121">
        <f t="shared" ref="E28:E31" si="1">F28-D28</f>
        <v>1545341.13</v>
      </c>
      <c r="F28" s="121">
        <v>2966640</v>
      </c>
      <c r="G28" s="121">
        <v>3108060</v>
      </c>
      <c r="H28" s="247"/>
      <c r="I28" s="242"/>
      <c r="J28" s="242"/>
      <c r="K28" s="242"/>
      <c r="L28" s="242"/>
      <c r="M28" s="242"/>
      <c r="N28" s="242"/>
      <c r="O28" s="242"/>
      <c r="P28" s="242"/>
      <c r="Q28" s="242"/>
      <c r="R28" s="242"/>
      <c r="S28" s="242"/>
      <c r="T28" s="242"/>
      <c r="U28" s="242"/>
      <c r="V28" s="242"/>
      <c r="W28" s="242"/>
      <c r="X28" s="242"/>
      <c r="Y28" s="242"/>
      <c r="Z28" s="242"/>
    </row>
    <row r="29" spans="1:26" ht="15.75" customHeight="1" x14ac:dyDescent="0.25">
      <c r="A29" s="236" t="s">
        <v>382</v>
      </c>
      <c r="B29" s="120" t="s">
        <v>167</v>
      </c>
      <c r="C29" s="121">
        <v>439318.2</v>
      </c>
      <c r="D29" s="121">
        <v>236883.16</v>
      </c>
      <c r="E29" s="121">
        <f t="shared" si="1"/>
        <v>257556.84</v>
      </c>
      <c r="F29" s="121">
        <v>494440</v>
      </c>
      <c r="G29" s="121">
        <v>518010</v>
      </c>
      <c r="H29" s="247"/>
      <c r="I29" s="242"/>
      <c r="J29" s="242"/>
      <c r="K29" s="242"/>
      <c r="L29" s="242"/>
      <c r="M29" s="242"/>
      <c r="N29" s="242"/>
      <c r="O29" s="242"/>
      <c r="P29" s="242"/>
      <c r="Q29" s="242"/>
      <c r="R29" s="242"/>
      <c r="S29" s="242"/>
      <c r="T29" s="242"/>
      <c r="U29" s="242"/>
      <c r="V29" s="242"/>
      <c r="W29" s="242"/>
      <c r="X29" s="242"/>
      <c r="Y29" s="242"/>
      <c r="Z29" s="242"/>
    </row>
    <row r="30" spans="1:26" ht="15.75" customHeight="1" x14ac:dyDescent="0.25">
      <c r="A30" s="236" t="s">
        <v>383</v>
      </c>
      <c r="B30" s="120" t="s">
        <v>169</v>
      </c>
      <c r="C30" s="121">
        <v>542506.29</v>
      </c>
      <c r="D30" s="121">
        <v>292334.96000000002</v>
      </c>
      <c r="E30" s="121">
        <f t="shared" si="1"/>
        <v>318204.03999999998</v>
      </c>
      <c r="F30" s="121">
        <v>610539</v>
      </c>
      <c r="G30" s="121">
        <v>637855</v>
      </c>
      <c r="H30" s="247"/>
      <c r="I30" s="242"/>
      <c r="J30" s="242"/>
      <c r="K30" s="242"/>
      <c r="L30" s="242"/>
      <c r="M30" s="242"/>
      <c r="N30" s="242"/>
      <c r="O30" s="242"/>
      <c r="P30" s="242"/>
      <c r="Q30" s="242"/>
      <c r="R30" s="242"/>
      <c r="S30" s="242"/>
      <c r="T30" s="242"/>
      <c r="U30" s="242"/>
      <c r="V30" s="242"/>
      <c r="W30" s="242"/>
      <c r="X30" s="242"/>
      <c r="Y30" s="242"/>
      <c r="Z30" s="242"/>
    </row>
    <row r="31" spans="1:26" ht="15.75" customHeight="1" x14ac:dyDescent="0.25">
      <c r="A31" s="236" t="s">
        <v>384</v>
      </c>
      <c r="B31" s="120" t="s">
        <v>171</v>
      </c>
      <c r="C31" s="121">
        <v>70331.02</v>
      </c>
      <c r="D31" s="121">
        <v>36600</v>
      </c>
      <c r="E31" s="121">
        <f t="shared" si="1"/>
        <v>40200</v>
      </c>
      <c r="F31" s="121">
        <v>76800</v>
      </c>
      <c r="G31" s="121">
        <v>76800</v>
      </c>
      <c r="H31" s="247"/>
      <c r="I31" s="242"/>
      <c r="J31" s="242"/>
      <c r="K31" s="242"/>
      <c r="L31" s="242"/>
      <c r="M31" s="242"/>
      <c r="N31" s="242"/>
      <c r="O31" s="242"/>
      <c r="P31" s="242"/>
      <c r="Q31" s="242"/>
      <c r="R31" s="242"/>
      <c r="S31" s="242"/>
      <c r="T31" s="242"/>
      <c r="U31" s="242"/>
      <c r="V31" s="242"/>
      <c r="W31" s="242"/>
      <c r="X31" s="242"/>
      <c r="Y31" s="242"/>
      <c r="Z31" s="242"/>
    </row>
    <row r="32" spans="1:26" ht="15.75" customHeight="1" x14ac:dyDescent="0.25">
      <c r="A32" s="108" t="s">
        <v>385</v>
      </c>
      <c r="B32" s="120"/>
      <c r="C32" s="121"/>
      <c r="D32" s="121"/>
      <c r="E32" s="121"/>
      <c r="F32" s="121"/>
      <c r="G32" s="121"/>
      <c r="H32" s="247"/>
      <c r="I32" s="242"/>
      <c r="J32" s="242"/>
      <c r="K32" s="242"/>
      <c r="L32" s="242"/>
      <c r="M32" s="242"/>
      <c r="N32" s="242"/>
      <c r="O32" s="242"/>
      <c r="P32" s="242"/>
      <c r="Q32" s="242"/>
      <c r="R32" s="242"/>
      <c r="S32" s="242"/>
      <c r="T32" s="242"/>
      <c r="U32" s="242"/>
      <c r="V32" s="242"/>
      <c r="W32" s="242"/>
      <c r="X32" s="242"/>
      <c r="Y32" s="242"/>
      <c r="Z32" s="242"/>
    </row>
    <row r="33" spans="1:26" ht="15.75" customHeight="1" x14ac:dyDescent="0.25">
      <c r="A33" s="236" t="s">
        <v>386</v>
      </c>
      <c r="B33" s="120" t="s">
        <v>179</v>
      </c>
      <c r="C33" s="121">
        <v>90836.07</v>
      </c>
      <c r="D33" s="121">
        <v>0</v>
      </c>
      <c r="E33" s="121">
        <f t="shared" ref="E33:E35" si="2">F33-D33</f>
        <v>0</v>
      </c>
      <c r="F33" s="121">
        <v>0</v>
      </c>
      <c r="G33" s="121">
        <v>120948</v>
      </c>
      <c r="H33" s="247"/>
      <c r="I33" s="242"/>
      <c r="J33" s="242"/>
      <c r="K33" s="242"/>
      <c r="L33" s="242"/>
      <c r="M33" s="242"/>
      <c r="N33" s="242"/>
      <c r="O33" s="242"/>
      <c r="P33" s="242"/>
      <c r="Q33" s="242"/>
      <c r="R33" s="242"/>
      <c r="S33" s="242"/>
      <c r="T33" s="242"/>
      <c r="U33" s="242"/>
      <c r="V33" s="242"/>
      <c r="W33" s="242"/>
      <c r="X33" s="242"/>
      <c r="Y33" s="242"/>
      <c r="Z33" s="242"/>
    </row>
    <row r="34" spans="1:26" ht="15.75" customHeight="1" x14ac:dyDescent="0.25">
      <c r="A34" s="236" t="s">
        <v>387</v>
      </c>
      <c r="B34" s="120" t="s">
        <v>181</v>
      </c>
      <c r="C34" s="121">
        <v>939144.94</v>
      </c>
      <c r="D34" s="121">
        <v>584539.30000000005</v>
      </c>
      <c r="E34" s="121">
        <f t="shared" si="2"/>
        <v>408310.69999999995</v>
      </c>
      <c r="F34" s="121">
        <v>992850</v>
      </c>
      <c r="G34" s="121">
        <v>1040180</v>
      </c>
      <c r="H34" s="247"/>
      <c r="I34" s="242"/>
      <c r="J34" s="242"/>
      <c r="K34" s="242"/>
      <c r="L34" s="242"/>
      <c r="M34" s="242"/>
      <c r="N34" s="242"/>
      <c r="O34" s="242"/>
      <c r="P34" s="242"/>
      <c r="Q34" s="242"/>
      <c r="R34" s="242"/>
      <c r="S34" s="242"/>
      <c r="T34" s="242"/>
      <c r="U34" s="242"/>
      <c r="V34" s="242"/>
      <c r="W34" s="242"/>
      <c r="X34" s="242"/>
      <c r="Y34" s="242"/>
      <c r="Z34" s="242"/>
    </row>
    <row r="35" spans="1:26" ht="15.75" customHeight="1" x14ac:dyDescent="0.25">
      <c r="A35" s="236" t="s">
        <v>388</v>
      </c>
      <c r="B35" s="120" t="s">
        <v>183</v>
      </c>
      <c r="C35" s="121">
        <v>285500</v>
      </c>
      <c r="D35" s="121"/>
      <c r="E35" s="121">
        <f t="shared" si="2"/>
        <v>320000</v>
      </c>
      <c r="F35" s="121">
        <v>320000</v>
      </c>
      <c r="G35" s="121">
        <v>320000</v>
      </c>
      <c r="H35" s="247"/>
      <c r="I35" s="242"/>
      <c r="J35" s="242"/>
      <c r="K35" s="242"/>
      <c r="L35" s="242"/>
      <c r="M35" s="242"/>
      <c r="N35" s="242"/>
      <c r="O35" s="242"/>
      <c r="P35" s="242"/>
      <c r="Q35" s="242"/>
      <c r="R35" s="242"/>
      <c r="S35" s="242"/>
      <c r="T35" s="242"/>
      <c r="U35" s="242"/>
      <c r="V35" s="242"/>
      <c r="W35" s="242"/>
      <c r="X35" s="242"/>
      <c r="Y35" s="242"/>
      <c r="Z35" s="242"/>
    </row>
    <row r="36" spans="1:26" ht="31.5" x14ac:dyDescent="0.25">
      <c r="A36" s="455" t="s">
        <v>625</v>
      </c>
      <c r="B36" s="531"/>
      <c r="C36" s="121"/>
      <c r="D36" s="121"/>
      <c r="E36" s="121"/>
      <c r="F36" s="121"/>
      <c r="G36" s="121">
        <v>728206</v>
      </c>
      <c r="H36" s="247"/>
      <c r="I36" s="242"/>
      <c r="J36" s="242"/>
      <c r="K36" s="242"/>
      <c r="L36" s="242"/>
      <c r="M36" s="242"/>
      <c r="N36" s="242"/>
      <c r="O36" s="242"/>
      <c r="P36" s="242"/>
      <c r="Q36" s="242"/>
      <c r="R36" s="242"/>
      <c r="S36" s="242"/>
      <c r="T36" s="242"/>
      <c r="U36" s="242"/>
      <c r="V36" s="242"/>
      <c r="W36" s="242"/>
      <c r="X36" s="242"/>
      <c r="Y36" s="242"/>
      <c r="Z36" s="242"/>
    </row>
    <row r="37" spans="1:26" ht="15.75" customHeight="1" x14ac:dyDescent="0.25">
      <c r="A37" s="534" t="s">
        <v>632</v>
      </c>
      <c r="B37" s="535"/>
      <c r="C37" s="529">
        <f>SUM(C14:C35)</f>
        <v>32887972.25</v>
      </c>
      <c r="D37" s="209">
        <f>SUM(D16:D35)</f>
        <v>17827252.840000004</v>
      </c>
      <c r="E37" s="209">
        <f>F37-D37</f>
        <v>19235340.159999996</v>
      </c>
      <c r="F37" s="209">
        <f>+SUM(F16:F35)</f>
        <v>37062593</v>
      </c>
      <c r="G37" s="209">
        <f>+SUM(G16:G36)</f>
        <v>39319309</v>
      </c>
      <c r="H37" s="255"/>
      <c r="I37" s="256"/>
      <c r="J37" s="256"/>
      <c r="K37" s="256"/>
      <c r="L37" s="256"/>
      <c r="M37" s="256"/>
      <c r="N37" s="256"/>
      <c r="O37" s="256"/>
      <c r="P37" s="256"/>
      <c r="Q37" s="256"/>
      <c r="R37" s="256"/>
      <c r="S37" s="256"/>
      <c r="T37" s="256"/>
      <c r="U37" s="256"/>
      <c r="V37" s="256"/>
      <c r="W37" s="256"/>
      <c r="X37" s="256"/>
      <c r="Y37" s="256"/>
      <c r="Z37" s="256"/>
    </row>
    <row r="38" spans="1:26" ht="15.75" customHeight="1" x14ac:dyDescent="0.25">
      <c r="A38" s="534"/>
      <c r="B38" s="535"/>
      <c r="C38" s="530"/>
      <c r="D38" s="525"/>
      <c r="E38" s="526"/>
      <c r="F38" s="525"/>
      <c r="G38" s="536"/>
      <c r="H38" s="527"/>
      <c r="I38" s="528"/>
      <c r="J38" s="528"/>
      <c r="K38" s="528"/>
      <c r="L38" s="528"/>
      <c r="M38" s="528"/>
      <c r="N38" s="528"/>
      <c r="O38" s="528"/>
      <c r="P38" s="528"/>
      <c r="Q38" s="528"/>
      <c r="R38" s="528"/>
      <c r="S38" s="528"/>
      <c r="T38" s="528"/>
      <c r="U38" s="528"/>
      <c r="V38" s="528"/>
      <c r="W38" s="528"/>
      <c r="X38" s="528"/>
      <c r="Y38" s="528"/>
      <c r="Z38" s="528"/>
    </row>
    <row r="39" spans="1:26" ht="15.75" customHeight="1" x14ac:dyDescent="0.25">
      <c r="A39" s="534" t="s">
        <v>391</v>
      </c>
      <c r="B39" s="535"/>
      <c r="C39" s="470"/>
      <c r="D39" s="470"/>
      <c r="E39" s="470"/>
      <c r="F39" s="470"/>
      <c r="G39" s="472"/>
      <c r="H39" s="533"/>
      <c r="I39" s="244"/>
      <c r="J39" s="244"/>
      <c r="K39" s="244"/>
      <c r="L39" s="244"/>
      <c r="M39" s="244"/>
      <c r="N39" s="244"/>
      <c r="O39" s="244"/>
      <c r="P39" s="244"/>
      <c r="Q39" s="244"/>
      <c r="R39" s="244"/>
      <c r="S39" s="244"/>
      <c r="T39" s="244"/>
      <c r="U39" s="244"/>
      <c r="V39" s="244"/>
      <c r="W39" s="244"/>
      <c r="X39" s="244"/>
      <c r="Y39" s="244"/>
      <c r="Z39" s="244"/>
    </row>
    <row r="40" spans="1:26" ht="15.75" customHeight="1" x14ac:dyDescent="0.25">
      <c r="A40" s="534" t="s">
        <v>392</v>
      </c>
      <c r="B40" s="535"/>
      <c r="C40" s="532"/>
      <c r="D40" s="121"/>
      <c r="E40" s="121"/>
      <c r="F40" s="121"/>
      <c r="G40" s="537"/>
      <c r="H40" s="247"/>
      <c r="I40" s="242"/>
      <c r="J40" s="242"/>
      <c r="K40" s="242"/>
      <c r="L40" s="242"/>
      <c r="M40" s="242"/>
      <c r="N40" s="242"/>
      <c r="O40" s="242"/>
      <c r="P40" s="242"/>
      <c r="Q40" s="242"/>
      <c r="R40" s="242"/>
      <c r="S40" s="242"/>
      <c r="T40" s="242"/>
      <c r="U40" s="242"/>
      <c r="V40" s="242"/>
      <c r="W40" s="242"/>
      <c r="X40" s="242"/>
      <c r="Y40" s="242"/>
      <c r="Z40" s="242"/>
    </row>
    <row r="41" spans="1:26" ht="15.75" customHeight="1" x14ac:dyDescent="0.25">
      <c r="A41" s="236" t="s">
        <v>393</v>
      </c>
      <c r="B41" s="120" t="s">
        <v>187</v>
      </c>
      <c r="C41" s="121">
        <v>67654.28</v>
      </c>
      <c r="D41" s="121">
        <v>116002.47</v>
      </c>
      <c r="E41" s="121">
        <f>F41-D41</f>
        <v>143497.53</v>
      </c>
      <c r="F41" s="121">
        <v>259500</v>
      </c>
      <c r="G41" s="537">
        <v>330000</v>
      </c>
      <c r="H41" s="247"/>
      <c r="I41" s="242"/>
      <c r="J41" s="242"/>
      <c r="K41" s="242"/>
      <c r="L41" s="242"/>
      <c r="M41" s="242"/>
      <c r="N41" s="242"/>
      <c r="O41" s="242"/>
      <c r="P41" s="242"/>
      <c r="Q41" s="242"/>
      <c r="R41" s="242"/>
      <c r="S41" s="242"/>
      <c r="T41" s="242"/>
      <c r="U41" s="242"/>
      <c r="V41" s="242"/>
      <c r="W41" s="242"/>
      <c r="X41" s="242"/>
      <c r="Y41" s="242"/>
      <c r="Z41" s="242"/>
    </row>
    <row r="42" spans="1:26" ht="15.75" customHeight="1" x14ac:dyDescent="0.25">
      <c r="A42" s="236" t="s">
        <v>1288</v>
      </c>
      <c r="B42" s="120"/>
      <c r="C42" s="121"/>
      <c r="D42" s="121"/>
      <c r="E42" s="121"/>
      <c r="F42" s="121"/>
      <c r="G42" s="537"/>
      <c r="H42" s="247"/>
      <c r="I42" s="242"/>
      <c r="J42" s="242"/>
      <c r="K42" s="242"/>
      <c r="L42" s="242"/>
      <c r="M42" s="242"/>
      <c r="N42" s="242"/>
      <c r="O42" s="242"/>
      <c r="P42" s="242"/>
      <c r="Q42" s="242"/>
      <c r="R42" s="242"/>
      <c r="S42" s="242"/>
      <c r="T42" s="242"/>
      <c r="U42" s="242"/>
      <c r="V42" s="242"/>
      <c r="W42" s="242"/>
      <c r="X42" s="242"/>
      <c r="Y42" s="242"/>
      <c r="Z42" s="242"/>
    </row>
    <row r="43" spans="1:26" ht="15.75" customHeight="1" x14ac:dyDescent="0.25">
      <c r="A43" s="236" t="s">
        <v>1289</v>
      </c>
      <c r="B43" s="120"/>
      <c r="C43" s="121"/>
      <c r="D43" s="121"/>
      <c r="E43" s="121"/>
      <c r="F43" s="121"/>
      <c r="G43" s="537"/>
      <c r="H43" s="247"/>
      <c r="I43" s="242"/>
      <c r="J43" s="242"/>
      <c r="K43" s="242"/>
      <c r="L43" s="242"/>
      <c r="M43" s="242"/>
      <c r="N43" s="242"/>
      <c r="O43" s="242"/>
      <c r="P43" s="242"/>
      <c r="Q43" s="242"/>
      <c r="R43" s="242"/>
      <c r="S43" s="242"/>
      <c r="T43" s="242"/>
      <c r="U43" s="242"/>
      <c r="V43" s="242"/>
      <c r="W43" s="242"/>
      <c r="X43" s="242"/>
      <c r="Y43" s="242"/>
      <c r="Z43" s="242"/>
    </row>
    <row r="44" spans="1:26" ht="15.75" customHeight="1" x14ac:dyDescent="0.25">
      <c r="A44" s="258" t="s">
        <v>1290</v>
      </c>
      <c r="B44" s="120"/>
      <c r="C44" s="121"/>
      <c r="D44" s="121"/>
      <c r="E44" s="121"/>
      <c r="F44" s="121"/>
      <c r="G44" s="537"/>
      <c r="H44" s="247"/>
      <c r="I44" s="242"/>
      <c r="J44" s="242"/>
      <c r="K44" s="242"/>
      <c r="L44" s="242"/>
      <c r="M44" s="242"/>
      <c r="N44" s="242"/>
      <c r="O44" s="242"/>
      <c r="P44" s="242"/>
      <c r="Q44" s="242"/>
      <c r="R44" s="242"/>
      <c r="S44" s="242"/>
      <c r="T44" s="242"/>
      <c r="U44" s="242"/>
      <c r="V44" s="242"/>
      <c r="W44" s="242"/>
      <c r="X44" s="242"/>
      <c r="Y44" s="242"/>
      <c r="Z44" s="242"/>
    </row>
    <row r="45" spans="1:26" ht="15.75" customHeight="1" x14ac:dyDescent="0.25">
      <c r="A45" s="236" t="s">
        <v>1291</v>
      </c>
      <c r="B45" s="120"/>
      <c r="C45" s="121"/>
      <c r="D45" s="121"/>
      <c r="E45" s="121"/>
      <c r="F45" s="121"/>
      <c r="G45" s="537"/>
      <c r="H45" s="247"/>
      <c r="I45" s="242"/>
      <c r="J45" s="242"/>
      <c r="K45" s="242"/>
      <c r="L45" s="242"/>
      <c r="M45" s="242"/>
      <c r="N45" s="242"/>
      <c r="O45" s="242"/>
      <c r="P45" s="242"/>
      <c r="Q45" s="242"/>
      <c r="R45" s="242"/>
      <c r="S45" s="242"/>
      <c r="T45" s="242"/>
      <c r="U45" s="242"/>
      <c r="V45" s="242"/>
      <c r="W45" s="242"/>
      <c r="X45" s="242"/>
      <c r="Y45" s="242"/>
      <c r="Z45" s="242"/>
    </row>
    <row r="46" spans="1:26" ht="15.75" customHeight="1" x14ac:dyDescent="0.25">
      <c r="A46" s="236" t="s">
        <v>1292</v>
      </c>
      <c r="B46" s="120"/>
      <c r="C46" s="121"/>
      <c r="D46" s="121"/>
      <c r="E46" s="121"/>
      <c r="F46" s="121"/>
      <c r="G46" s="537"/>
      <c r="H46" s="247"/>
      <c r="I46" s="242"/>
      <c r="J46" s="242"/>
      <c r="K46" s="242"/>
      <c r="L46" s="242"/>
      <c r="M46" s="242"/>
      <c r="N46" s="242"/>
      <c r="O46" s="242"/>
      <c r="P46" s="242"/>
      <c r="Q46" s="242"/>
      <c r="R46" s="242"/>
      <c r="S46" s="242"/>
      <c r="T46" s="242"/>
      <c r="U46" s="242"/>
      <c r="V46" s="242"/>
      <c r="W46" s="242"/>
      <c r="X46" s="242"/>
      <c r="Y46" s="242"/>
      <c r="Z46" s="242"/>
    </row>
    <row r="47" spans="1:26" ht="15.75" customHeight="1" x14ac:dyDescent="0.25">
      <c r="A47" s="236" t="s">
        <v>1293</v>
      </c>
      <c r="B47" s="120"/>
      <c r="C47" s="121"/>
      <c r="D47" s="121"/>
      <c r="E47" s="121"/>
      <c r="F47" s="121"/>
      <c r="G47" s="537"/>
      <c r="H47" s="247"/>
      <c r="I47" s="242"/>
      <c r="J47" s="242"/>
      <c r="K47" s="242"/>
      <c r="L47" s="242"/>
      <c r="M47" s="242"/>
      <c r="N47" s="242"/>
      <c r="O47" s="242"/>
      <c r="P47" s="242"/>
      <c r="Q47" s="242"/>
      <c r="R47" s="242"/>
      <c r="S47" s="242"/>
      <c r="T47" s="242"/>
      <c r="U47" s="242"/>
      <c r="V47" s="242"/>
      <c r="W47" s="242"/>
      <c r="X47" s="242"/>
      <c r="Y47" s="242"/>
      <c r="Z47" s="242"/>
    </row>
    <row r="48" spans="1:26" ht="15.75" customHeight="1" x14ac:dyDescent="0.25">
      <c r="A48" s="108" t="s">
        <v>395</v>
      </c>
      <c r="B48" s="120"/>
      <c r="C48" s="121"/>
      <c r="D48" s="121"/>
      <c r="E48" s="121"/>
      <c r="F48" s="121"/>
      <c r="G48" s="537"/>
      <c r="H48" s="247"/>
      <c r="I48" s="242"/>
      <c r="J48" s="242"/>
      <c r="K48" s="242"/>
      <c r="L48" s="242"/>
      <c r="M48" s="242"/>
      <c r="N48" s="242"/>
      <c r="O48" s="242"/>
      <c r="P48" s="242"/>
      <c r="Q48" s="242"/>
      <c r="R48" s="242"/>
      <c r="S48" s="242"/>
      <c r="T48" s="242"/>
      <c r="U48" s="242"/>
      <c r="V48" s="242"/>
      <c r="W48" s="242"/>
      <c r="X48" s="242"/>
      <c r="Y48" s="242"/>
      <c r="Z48" s="242"/>
    </row>
    <row r="49" spans="1:26" ht="15.75" customHeight="1" x14ac:dyDescent="0.25">
      <c r="A49" s="236" t="s">
        <v>396</v>
      </c>
      <c r="B49" s="120" t="s">
        <v>191</v>
      </c>
      <c r="C49" s="121">
        <v>193361.37</v>
      </c>
      <c r="D49" s="121">
        <v>100315</v>
      </c>
      <c r="E49" s="121">
        <f>F49-D49</f>
        <v>108185</v>
      </c>
      <c r="F49" s="121">
        <v>208500</v>
      </c>
      <c r="G49" s="537">
        <v>544500</v>
      </c>
      <c r="H49" s="247">
        <f>SUM(H50:H58)</f>
        <v>544500</v>
      </c>
      <c r="I49" s="242"/>
      <c r="J49" s="242"/>
      <c r="K49" s="242"/>
      <c r="L49" s="242"/>
      <c r="M49" s="242"/>
      <c r="N49" s="242"/>
      <c r="O49" s="242"/>
      <c r="P49" s="242"/>
      <c r="Q49" s="242"/>
      <c r="R49" s="242"/>
      <c r="S49" s="242"/>
      <c r="T49" s="242"/>
      <c r="U49" s="242"/>
      <c r="V49" s="242"/>
      <c r="W49" s="242"/>
      <c r="X49" s="242"/>
      <c r="Y49" s="242"/>
      <c r="Z49" s="242"/>
    </row>
    <row r="50" spans="1:26" ht="15.75" customHeight="1" x14ac:dyDescent="0.25">
      <c r="A50" s="236" t="s">
        <v>1294</v>
      </c>
      <c r="B50" s="198"/>
      <c r="C50" s="122"/>
      <c r="D50" s="122"/>
      <c r="E50" s="121"/>
      <c r="F50" s="121"/>
      <c r="G50" s="537"/>
      <c r="H50" s="247">
        <v>70000</v>
      </c>
      <c r="I50" s="242"/>
      <c r="J50" s="242"/>
      <c r="K50" s="242"/>
      <c r="L50" s="242"/>
      <c r="M50" s="242"/>
      <c r="N50" s="242"/>
      <c r="O50" s="242"/>
      <c r="P50" s="242"/>
      <c r="Q50" s="242"/>
      <c r="R50" s="242"/>
      <c r="S50" s="242"/>
      <c r="T50" s="242"/>
      <c r="U50" s="242"/>
      <c r="V50" s="242"/>
      <c r="W50" s="242"/>
      <c r="X50" s="242"/>
      <c r="Y50" s="242"/>
      <c r="Z50" s="242"/>
    </row>
    <row r="51" spans="1:26" ht="15.75" customHeight="1" x14ac:dyDescent="0.25">
      <c r="A51" s="236" t="s">
        <v>1295</v>
      </c>
      <c r="B51" s="198"/>
      <c r="C51" s="122"/>
      <c r="D51" s="122"/>
      <c r="E51" s="121"/>
      <c r="F51" s="121"/>
      <c r="G51" s="537"/>
      <c r="H51" s="247"/>
      <c r="I51" s="242"/>
      <c r="J51" s="242"/>
      <c r="K51" s="242"/>
      <c r="L51" s="242"/>
      <c r="M51" s="242"/>
      <c r="N51" s="242"/>
      <c r="O51" s="242"/>
      <c r="P51" s="242"/>
      <c r="Q51" s="242"/>
      <c r="R51" s="242"/>
      <c r="S51" s="242"/>
      <c r="T51" s="242"/>
      <c r="U51" s="242"/>
      <c r="V51" s="242"/>
      <c r="W51" s="242"/>
      <c r="X51" s="242"/>
      <c r="Y51" s="242"/>
      <c r="Z51" s="242"/>
    </row>
    <row r="52" spans="1:26" ht="15.75" customHeight="1" x14ac:dyDescent="0.25">
      <c r="A52" s="236" t="s">
        <v>1296</v>
      </c>
      <c r="B52" s="198"/>
      <c r="C52" s="122"/>
      <c r="D52" s="122"/>
      <c r="E52" s="121"/>
      <c r="F52" s="121"/>
      <c r="G52" s="537"/>
      <c r="H52" s="247">
        <v>219000</v>
      </c>
      <c r="I52" s="242"/>
      <c r="J52" s="242"/>
      <c r="K52" s="242"/>
      <c r="L52" s="242"/>
      <c r="M52" s="242"/>
      <c r="N52" s="242"/>
      <c r="O52" s="242"/>
      <c r="P52" s="242"/>
      <c r="Q52" s="242"/>
      <c r="R52" s="242"/>
      <c r="S52" s="242"/>
      <c r="T52" s="242"/>
      <c r="U52" s="242"/>
      <c r="V52" s="242"/>
      <c r="W52" s="242"/>
      <c r="X52" s="242"/>
      <c r="Y52" s="242"/>
      <c r="Z52" s="242"/>
    </row>
    <row r="53" spans="1:26" ht="15.75" customHeight="1" x14ac:dyDescent="0.25">
      <c r="A53" s="236" t="s">
        <v>1297</v>
      </c>
      <c r="B53" s="198"/>
      <c r="C53" s="122"/>
      <c r="D53" s="122"/>
      <c r="E53" s="121"/>
      <c r="F53" s="121"/>
      <c r="G53" s="537"/>
      <c r="H53" s="247"/>
      <c r="I53" s="242"/>
      <c r="J53" s="242"/>
      <c r="K53" s="242"/>
      <c r="L53" s="242"/>
      <c r="M53" s="242"/>
      <c r="N53" s="242"/>
      <c r="O53" s="242"/>
      <c r="P53" s="242"/>
      <c r="Q53" s="242"/>
      <c r="R53" s="242"/>
      <c r="S53" s="242"/>
      <c r="T53" s="242"/>
      <c r="U53" s="242"/>
      <c r="V53" s="242"/>
      <c r="W53" s="242"/>
      <c r="X53" s="242"/>
      <c r="Y53" s="242"/>
      <c r="Z53" s="242"/>
    </row>
    <row r="54" spans="1:26" ht="15.75" customHeight="1" x14ac:dyDescent="0.25">
      <c r="A54" s="653" t="s">
        <v>1298</v>
      </c>
      <c r="B54" s="654"/>
      <c r="C54" s="655"/>
      <c r="D54" s="655"/>
      <c r="E54" s="656"/>
      <c r="F54" s="656"/>
      <c r="G54" s="657"/>
      <c r="H54" s="247">
        <v>117000</v>
      </c>
      <c r="I54" s="242"/>
      <c r="J54" s="242"/>
      <c r="K54" s="242"/>
      <c r="L54" s="242"/>
      <c r="M54" s="242"/>
      <c r="N54" s="242"/>
      <c r="O54" s="242"/>
      <c r="P54" s="242"/>
      <c r="Q54" s="242"/>
      <c r="R54" s="242"/>
      <c r="S54" s="242"/>
      <c r="T54" s="242"/>
      <c r="U54" s="242"/>
      <c r="V54" s="242"/>
      <c r="W54" s="242"/>
      <c r="X54" s="242"/>
      <c r="Y54" s="242"/>
      <c r="Z54" s="242"/>
    </row>
    <row r="55" spans="1:26" ht="15.75" customHeight="1" x14ac:dyDescent="0.25">
      <c r="A55" s="658" t="s">
        <v>1299</v>
      </c>
      <c r="B55" s="659"/>
      <c r="C55" s="660"/>
      <c r="D55" s="660"/>
      <c r="E55" s="525"/>
      <c r="F55" s="525"/>
      <c r="G55" s="661"/>
      <c r="H55" s="247"/>
      <c r="I55" s="242"/>
      <c r="J55" s="242"/>
      <c r="K55" s="242"/>
      <c r="L55" s="242"/>
      <c r="M55" s="242"/>
      <c r="N55" s="242"/>
      <c r="O55" s="242"/>
      <c r="P55" s="242"/>
      <c r="Q55" s="242"/>
      <c r="R55" s="242"/>
      <c r="S55" s="242"/>
      <c r="T55" s="242"/>
      <c r="U55" s="242"/>
      <c r="V55" s="242"/>
      <c r="W55" s="242"/>
      <c r="X55" s="242"/>
      <c r="Y55" s="242"/>
      <c r="Z55" s="242"/>
    </row>
    <row r="56" spans="1:26" ht="15.75" customHeight="1" x14ac:dyDescent="0.25">
      <c r="A56" s="236" t="s">
        <v>1300</v>
      </c>
      <c r="B56" s="198"/>
      <c r="C56" s="122"/>
      <c r="D56" s="122"/>
      <c r="E56" s="121"/>
      <c r="F56" s="121"/>
      <c r="G56" s="537"/>
      <c r="H56" s="247">
        <v>97500</v>
      </c>
      <c r="I56" s="242"/>
      <c r="J56" s="242"/>
      <c r="K56" s="242"/>
      <c r="L56" s="242"/>
      <c r="M56" s="242"/>
      <c r="N56" s="242"/>
      <c r="O56" s="242"/>
      <c r="P56" s="242"/>
      <c r="Q56" s="242"/>
      <c r="R56" s="242"/>
      <c r="S56" s="242"/>
      <c r="T56" s="242"/>
      <c r="U56" s="242"/>
      <c r="V56" s="242"/>
      <c r="W56" s="242"/>
      <c r="X56" s="242"/>
      <c r="Y56" s="242"/>
      <c r="Z56" s="242"/>
    </row>
    <row r="57" spans="1:26" ht="15.75" customHeight="1" x14ac:dyDescent="0.25">
      <c r="A57" s="236" t="s">
        <v>1301</v>
      </c>
      <c r="B57" s="198"/>
      <c r="C57" s="122"/>
      <c r="D57" s="122"/>
      <c r="E57" s="121"/>
      <c r="F57" s="121"/>
      <c r="G57" s="537"/>
      <c r="H57" s="247"/>
      <c r="I57" s="242"/>
      <c r="J57" s="242"/>
      <c r="K57" s="242"/>
      <c r="L57" s="242"/>
      <c r="M57" s="242"/>
      <c r="N57" s="242"/>
      <c r="O57" s="242"/>
      <c r="P57" s="242"/>
      <c r="Q57" s="242"/>
      <c r="R57" s="242"/>
      <c r="S57" s="242"/>
      <c r="T57" s="242"/>
      <c r="U57" s="242"/>
      <c r="V57" s="242"/>
      <c r="W57" s="242"/>
      <c r="X57" s="242"/>
      <c r="Y57" s="242"/>
      <c r="Z57" s="242"/>
    </row>
    <row r="58" spans="1:26" ht="15.75" customHeight="1" x14ac:dyDescent="0.25">
      <c r="A58" s="236" t="s">
        <v>1302</v>
      </c>
      <c r="B58" s="198"/>
      <c r="C58" s="122"/>
      <c r="D58" s="122"/>
      <c r="E58" s="121"/>
      <c r="F58" s="121"/>
      <c r="G58" s="537"/>
      <c r="H58" s="247">
        <v>41000</v>
      </c>
      <c r="I58" s="242"/>
      <c r="J58" s="242"/>
      <c r="K58" s="242"/>
      <c r="L58" s="242"/>
      <c r="M58" s="242"/>
      <c r="N58" s="242"/>
      <c r="O58" s="242"/>
      <c r="P58" s="242"/>
      <c r="Q58" s="242"/>
      <c r="R58" s="242"/>
      <c r="S58" s="242"/>
      <c r="T58" s="242"/>
      <c r="U58" s="242"/>
      <c r="V58" s="242"/>
      <c r="W58" s="242"/>
      <c r="X58" s="242"/>
      <c r="Y58" s="242"/>
      <c r="Z58" s="242"/>
    </row>
    <row r="59" spans="1:26" ht="15.75" customHeight="1" x14ac:dyDescent="0.25">
      <c r="A59" s="108" t="s">
        <v>397</v>
      </c>
      <c r="B59" s="198"/>
      <c r="C59" s="122"/>
      <c r="D59" s="122"/>
      <c r="E59" s="121"/>
      <c r="F59" s="121"/>
      <c r="G59" s="537"/>
      <c r="H59" s="247"/>
      <c r="I59" s="242"/>
      <c r="J59" s="242"/>
      <c r="K59" s="242"/>
      <c r="L59" s="242"/>
      <c r="M59" s="242"/>
      <c r="N59" s="242"/>
      <c r="O59" s="242"/>
      <c r="P59" s="242"/>
      <c r="Q59" s="242"/>
      <c r="R59" s="242"/>
      <c r="S59" s="242"/>
      <c r="T59" s="242"/>
      <c r="U59" s="242"/>
      <c r="V59" s="242"/>
      <c r="W59" s="242"/>
      <c r="X59" s="242"/>
      <c r="Y59" s="242"/>
      <c r="Z59" s="242"/>
    </row>
    <row r="60" spans="1:26" ht="15.75" customHeight="1" x14ac:dyDescent="0.25">
      <c r="A60" s="236" t="s">
        <v>398</v>
      </c>
      <c r="B60" s="120" t="s">
        <v>195</v>
      </c>
      <c r="C60" s="122">
        <v>510602.44</v>
      </c>
      <c r="D60" s="121">
        <v>547879.04</v>
      </c>
      <c r="E60" s="121">
        <f t="shared" ref="E60:E64" si="3">F60-D60</f>
        <v>765.95999999996275</v>
      </c>
      <c r="F60" s="121">
        <v>548645</v>
      </c>
      <c r="G60" s="121">
        <v>672593</v>
      </c>
      <c r="H60" s="247"/>
      <c r="I60" s="242"/>
      <c r="J60" s="242"/>
      <c r="K60" s="242"/>
      <c r="L60" s="242"/>
      <c r="M60" s="242"/>
      <c r="N60" s="242"/>
      <c r="O60" s="242"/>
      <c r="P60" s="242"/>
      <c r="Q60" s="242"/>
      <c r="R60" s="242"/>
      <c r="S60" s="242"/>
      <c r="T60" s="242"/>
      <c r="U60" s="242"/>
      <c r="V60" s="242"/>
      <c r="W60" s="242"/>
      <c r="X60" s="242"/>
      <c r="Y60" s="242"/>
      <c r="Z60" s="242"/>
    </row>
    <row r="61" spans="1:26" ht="15.75" customHeight="1" x14ac:dyDescent="0.25">
      <c r="A61" s="236" t="s">
        <v>399</v>
      </c>
      <c r="B61" s="120" t="s">
        <v>211</v>
      </c>
      <c r="C61" s="121">
        <v>344415.17</v>
      </c>
      <c r="D61" s="121">
        <v>174985.92</v>
      </c>
      <c r="E61" s="121">
        <f t="shared" si="3"/>
        <v>175014.08</v>
      </c>
      <c r="F61" s="121">
        <v>350000</v>
      </c>
      <c r="G61" s="121">
        <v>450000</v>
      </c>
      <c r="H61" s="247"/>
      <c r="I61" s="242"/>
      <c r="J61" s="242"/>
      <c r="K61" s="242"/>
      <c r="L61" s="242"/>
      <c r="M61" s="242"/>
      <c r="N61" s="242"/>
      <c r="O61" s="242"/>
      <c r="P61" s="242"/>
      <c r="Q61" s="242"/>
      <c r="R61" s="242"/>
      <c r="S61" s="242"/>
      <c r="T61" s="242"/>
      <c r="U61" s="242"/>
      <c r="V61" s="242"/>
      <c r="W61" s="242"/>
      <c r="X61" s="242"/>
      <c r="Y61" s="242"/>
      <c r="Z61" s="242"/>
    </row>
    <row r="62" spans="1:26" ht="15.75" customHeight="1" x14ac:dyDescent="0.25">
      <c r="A62" s="259" t="s">
        <v>402</v>
      </c>
      <c r="B62" s="120" t="s">
        <v>225</v>
      </c>
      <c r="C62" s="121">
        <v>791415.6</v>
      </c>
      <c r="D62" s="121">
        <v>258170.4</v>
      </c>
      <c r="E62" s="121">
        <f t="shared" si="3"/>
        <v>1134.6000000000058</v>
      </c>
      <c r="F62" s="121">
        <v>259305</v>
      </c>
      <c r="G62" s="121">
        <v>217837</v>
      </c>
      <c r="H62" s="247"/>
      <c r="I62" s="242"/>
      <c r="J62" s="242"/>
      <c r="K62" s="242"/>
      <c r="L62" s="242"/>
      <c r="M62" s="242"/>
      <c r="N62" s="242"/>
      <c r="O62" s="242"/>
      <c r="P62" s="242"/>
      <c r="Q62" s="242"/>
      <c r="R62" s="242"/>
      <c r="S62" s="242"/>
      <c r="T62" s="242"/>
      <c r="U62" s="242"/>
      <c r="V62" s="242"/>
      <c r="W62" s="242"/>
      <c r="X62" s="242"/>
      <c r="Y62" s="242"/>
      <c r="Z62" s="242"/>
    </row>
    <row r="63" spans="1:26" ht="15.75" customHeight="1" x14ac:dyDescent="0.25">
      <c r="A63" s="230" t="s">
        <v>400</v>
      </c>
      <c r="B63" s="120" t="s">
        <v>221</v>
      </c>
      <c r="C63" s="121"/>
      <c r="D63" s="121">
        <v>1053095</v>
      </c>
      <c r="E63" s="121">
        <f t="shared" si="3"/>
        <v>405</v>
      </c>
      <c r="F63" s="121">
        <v>1053500</v>
      </c>
      <c r="G63" s="121">
        <v>630175</v>
      </c>
      <c r="H63" s="247"/>
      <c r="I63" s="242"/>
      <c r="J63" s="242"/>
      <c r="K63" s="242"/>
      <c r="L63" s="242"/>
      <c r="M63" s="242"/>
      <c r="N63" s="242"/>
      <c r="O63" s="242"/>
      <c r="P63" s="242"/>
      <c r="Q63" s="242"/>
      <c r="R63" s="242"/>
      <c r="S63" s="242"/>
      <c r="T63" s="242"/>
      <c r="U63" s="242"/>
      <c r="V63" s="242"/>
      <c r="W63" s="242"/>
      <c r="X63" s="242"/>
      <c r="Y63" s="242"/>
      <c r="Z63" s="242"/>
    </row>
    <row r="64" spans="1:26" ht="15.75" customHeight="1" x14ac:dyDescent="0.25">
      <c r="A64" s="230" t="s">
        <v>538</v>
      </c>
      <c r="B64" s="120" t="s">
        <v>223</v>
      </c>
      <c r="C64" s="121"/>
      <c r="D64" s="121">
        <v>101300</v>
      </c>
      <c r="E64" s="121">
        <f t="shared" si="3"/>
        <v>200</v>
      </c>
      <c r="F64" s="260">
        <v>101500</v>
      </c>
      <c r="G64" s="261">
        <v>650000</v>
      </c>
      <c r="H64" s="247"/>
      <c r="I64" s="242"/>
      <c r="J64" s="242"/>
      <c r="K64" s="242"/>
      <c r="L64" s="242"/>
      <c r="M64" s="242"/>
      <c r="N64" s="242"/>
      <c r="O64" s="242"/>
      <c r="P64" s="242"/>
      <c r="Q64" s="242"/>
      <c r="R64" s="242"/>
      <c r="S64" s="242"/>
      <c r="T64" s="242"/>
      <c r="U64" s="242"/>
      <c r="V64" s="242"/>
      <c r="W64" s="242"/>
      <c r="X64" s="242"/>
      <c r="Y64" s="242"/>
      <c r="Z64" s="242"/>
    </row>
    <row r="65" spans="1:26" ht="15.75" customHeight="1" x14ac:dyDescent="0.25">
      <c r="A65" s="108" t="s">
        <v>403</v>
      </c>
      <c r="B65" s="120"/>
      <c r="C65" s="121"/>
      <c r="D65" s="121"/>
      <c r="E65" s="121"/>
      <c r="F65" s="121"/>
      <c r="G65" s="261"/>
      <c r="H65" s="247"/>
      <c r="I65" s="242"/>
      <c r="J65" s="242"/>
      <c r="K65" s="242"/>
      <c r="L65" s="242"/>
      <c r="M65" s="242"/>
      <c r="N65" s="242"/>
      <c r="O65" s="242"/>
      <c r="P65" s="242"/>
      <c r="Q65" s="242"/>
      <c r="R65" s="242"/>
      <c r="S65" s="242"/>
      <c r="T65" s="242"/>
      <c r="U65" s="242"/>
      <c r="V65" s="242"/>
      <c r="W65" s="242"/>
      <c r="X65" s="242"/>
      <c r="Y65" s="242"/>
      <c r="Z65" s="242"/>
    </row>
    <row r="66" spans="1:26" ht="15.75" customHeight="1" x14ac:dyDescent="0.25">
      <c r="A66" s="236" t="s">
        <v>1303</v>
      </c>
      <c r="B66" s="120" t="s">
        <v>231</v>
      </c>
      <c r="C66" s="121">
        <v>14490</v>
      </c>
      <c r="D66" s="121">
        <v>7500</v>
      </c>
      <c r="E66" s="121">
        <f t="shared" ref="E66:E68" si="4">F66-D66</f>
        <v>7500</v>
      </c>
      <c r="F66" s="121">
        <v>15000</v>
      </c>
      <c r="G66" s="261">
        <v>11500</v>
      </c>
      <c r="H66" s="247"/>
      <c r="I66" s="242"/>
      <c r="J66" s="242"/>
      <c r="K66" s="242"/>
      <c r="L66" s="242"/>
      <c r="M66" s="242"/>
      <c r="N66" s="242"/>
      <c r="O66" s="242"/>
      <c r="P66" s="242"/>
      <c r="Q66" s="242"/>
      <c r="R66" s="242"/>
      <c r="S66" s="242"/>
      <c r="T66" s="242"/>
      <c r="U66" s="242"/>
      <c r="V66" s="242"/>
      <c r="W66" s="242"/>
      <c r="X66" s="242"/>
      <c r="Y66" s="242"/>
      <c r="Z66" s="242"/>
    </row>
    <row r="67" spans="1:26" ht="15.75" customHeight="1" x14ac:dyDescent="0.25">
      <c r="A67" s="236" t="s">
        <v>405</v>
      </c>
      <c r="B67" s="120" t="s">
        <v>235</v>
      </c>
      <c r="C67" s="121">
        <v>24000</v>
      </c>
      <c r="D67" s="121">
        <v>9375</v>
      </c>
      <c r="E67" s="121">
        <f t="shared" si="4"/>
        <v>20625</v>
      </c>
      <c r="F67" s="121">
        <v>30000</v>
      </c>
      <c r="G67" s="261">
        <v>30000</v>
      </c>
      <c r="H67" s="247"/>
      <c r="I67" s="242"/>
      <c r="J67" s="242"/>
      <c r="K67" s="242"/>
      <c r="L67" s="242"/>
      <c r="M67" s="242"/>
      <c r="N67" s="242"/>
      <c r="O67" s="242"/>
      <c r="P67" s="242"/>
      <c r="Q67" s="242"/>
      <c r="R67" s="242"/>
      <c r="S67" s="242"/>
      <c r="T67" s="242"/>
      <c r="U67" s="242"/>
      <c r="V67" s="242"/>
      <c r="W67" s="242"/>
      <c r="X67" s="242"/>
      <c r="Y67" s="242"/>
      <c r="Z67" s="242"/>
    </row>
    <row r="68" spans="1:26" ht="15.75" customHeight="1" x14ac:dyDescent="0.25">
      <c r="A68" s="44" t="s">
        <v>504</v>
      </c>
      <c r="B68" s="41" t="s">
        <v>237</v>
      </c>
      <c r="C68" s="121">
        <v>0</v>
      </c>
      <c r="D68" s="121">
        <v>0</v>
      </c>
      <c r="E68" s="121">
        <f t="shared" si="4"/>
        <v>0</v>
      </c>
      <c r="F68" s="121">
        <v>0</v>
      </c>
      <c r="G68" s="261">
        <v>50400</v>
      </c>
      <c r="H68" s="247"/>
      <c r="I68" s="242"/>
      <c r="J68" s="242"/>
      <c r="K68" s="242"/>
      <c r="L68" s="242"/>
      <c r="M68" s="242"/>
      <c r="N68" s="242"/>
      <c r="O68" s="242"/>
      <c r="P68" s="242"/>
      <c r="Q68" s="242"/>
      <c r="R68" s="242"/>
      <c r="S68" s="242"/>
      <c r="T68" s="242"/>
      <c r="U68" s="242"/>
      <c r="V68" s="242"/>
      <c r="W68" s="242"/>
      <c r="X68" s="242"/>
      <c r="Y68" s="242"/>
      <c r="Z68" s="242"/>
    </row>
    <row r="69" spans="1:26" ht="15.75" customHeight="1" x14ac:dyDescent="0.25">
      <c r="A69" s="108" t="s">
        <v>1270</v>
      </c>
      <c r="B69" s="120"/>
      <c r="C69" s="121"/>
      <c r="D69" s="121"/>
      <c r="E69" s="121"/>
      <c r="F69" s="121"/>
      <c r="G69" s="261"/>
      <c r="H69" s="247"/>
      <c r="I69" s="242"/>
      <c r="J69" s="242"/>
      <c r="K69" s="242"/>
      <c r="L69" s="242"/>
      <c r="M69" s="242"/>
      <c r="N69" s="242"/>
      <c r="O69" s="242"/>
      <c r="P69" s="242"/>
      <c r="Q69" s="242"/>
      <c r="R69" s="242"/>
      <c r="S69" s="242"/>
      <c r="T69" s="242"/>
      <c r="U69" s="242"/>
      <c r="V69" s="242"/>
      <c r="W69" s="242"/>
      <c r="X69" s="242"/>
      <c r="Y69" s="242"/>
      <c r="Z69" s="242"/>
    </row>
    <row r="70" spans="1:26" ht="15.75" customHeight="1" x14ac:dyDescent="0.25">
      <c r="A70" s="236" t="s">
        <v>817</v>
      </c>
      <c r="B70" s="120" t="s">
        <v>287</v>
      </c>
      <c r="C70" s="121">
        <v>33038</v>
      </c>
      <c r="D70" s="121">
        <v>99744</v>
      </c>
      <c r="E70" s="121">
        <f t="shared" ref="E70:E75" si="5">F70-D70</f>
        <v>256</v>
      </c>
      <c r="F70" s="121">
        <v>100000</v>
      </c>
      <c r="G70" s="261">
        <v>150000</v>
      </c>
      <c r="H70" s="247"/>
      <c r="I70" s="242"/>
      <c r="J70" s="242"/>
      <c r="K70" s="242"/>
      <c r="L70" s="242"/>
      <c r="M70" s="242"/>
      <c r="N70" s="242"/>
      <c r="O70" s="242"/>
      <c r="P70" s="242"/>
      <c r="Q70" s="242"/>
      <c r="R70" s="242"/>
      <c r="S70" s="242"/>
      <c r="T70" s="242"/>
      <c r="U70" s="242"/>
      <c r="V70" s="242"/>
      <c r="W70" s="242"/>
      <c r="X70" s="242"/>
      <c r="Y70" s="242"/>
      <c r="Z70" s="242"/>
    </row>
    <row r="71" spans="1:26" ht="15.75" customHeight="1" x14ac:dyDescent="0.25">
      <c r="A71" s="108" t="s">
        <v>662</v>
      </c>
      <c r="B71" s="120"/>
      <c r="C71" s="121"/>
      <c r="D71" s="121"/>
      <c r="E71" s="121">
        <f t="shared" si="5"/>
        <v>0</v>
      </c>
      <c r="F71" s="121"/>
      <c r="G71" s="121"/>
      <c r="H71" s="247"/>
      <c r="I71" s="242"/>
      <c r="J71" s="242"/>
      <c r="K71" s="242"/>
      <c r="L71" s="242"/>
      <c r="M71" s="242"/>
      <c r="N71" s="242"/>
      <c r="O71" s="242"/>
      <c r="P71" s="242"/>
      <c r="Q71" s="242"/>
      <c r="R71" s="242"/>
      <c r="S71" s="242"/>
      <c r="T71" s="242"/>
      <c r="U71" s="242"/>
      <c r="V71" s="242"/>
      <c r="W71" s="242"/>
      <c r="X71" s="242"/>
      <c r="Y71" s="242"/>
      <c r="Z71" s="242"/>
    </row>
    <row r="72" spans="1:26" ht="15.75" customHeight="1" x14ac:dyDescent="0.25">
      <c r="A72" s="236" t="s">
        <v>415</v>
      </c>
      <c r="B72" s="120" t="s">
        <v>319</v>
      </c>
      <c r="C72" s="121">
        <v>972200</v>
      </c>
      <c r="D72" s="121">
        <v>687300</v>
      </c>
      <c r="E72" s="121">
        <f t="shared" si="5"/>
        <v>712700</v>
      </c>
      <c r="F72" s="121">
        <v>1400000</v>
      </c>
      <c r="G72" s="121">
        <v>1400000</v>
      </c>
      <c r="H72" s="247"/>
      <c r="I72" s="242"/>
      <c r="J72" s="242"/>
      <c r="K72" s="242"/>
      <c r="L72" s="242"/>
      <c r="M72" s="242"/>
      <c r="N72" s="242"/>
      <c r="O72" s="242"/>
      <c r="P72" s="242"/>
      <c r="Q72" s="242"/>
      <c r="R72" s="242"/>
      <c r="S72" s="242"/>
      <c r="T72" s="242"/>
      <c r="U72" s="242"/>
      <c r="V72" s="242"/>
      <c r="W72" s="242"/>
      <c r="X72" s="242"/>
      <c r="Y72" s="242"/>
      <c r="Z72" s="242"/>
    </row>
    <row r="73" spans="1:26" ht="15.75" customHeight="1" x14ac:dyDescent="0.25">
      <c r="A73" s="236" t="s">
        <v>418</v>
      </c>
      <c r="B73" s="120" t="s">
        <v>331</v>
      </c>
      <c r="C73" s="121">
        <v>15000</v>
      </c>
      <c r="D73" s="121">
        <v>18255.78</v>
      </c>
      <c r="E73" s="121">
        <f t="shared" si="5"/>
        <v>31744.22</v>
      </c>
      <c r="F73" s="121">
        <v>50000</v>
      </c>
      <c r="G73" s="121">
        <v>49600</v>
      </c>
      <c r="H73" s="247"/>
      <c r="I73" s="242"/>
      <c r="J73" s="242"/>
      <c r="K73" s="242"/>
      <c r="L73" s="242"/>
      <c r="M73" s="242"/>
      <c r="N73" s="242"/>
      <c r="O73" s="242"/>
      <c r="P73" s="242"/>
      <c r="Q73" s="242"/>
      <c r="R73" s="242"/>
      <c r="S73" s="242"/>
      <c r="T73" s="242"/>
      <c r="U73" s="242"/>
      <c r="V73" s="242"/>
      <c r="W73" s="242"/>
      <c r="X73" s="242"/>
      <c r="Y73" s="242"/>
      <c r="Z73" s="242"/>
    </row>
    <row r="74" spans="1:26" ht="15.75" customHeight="1" x14ac:dyDescent="0.25">
      <c r="A74" s="236" t="s">
        <v>424</v>
      </c>
      <c r="B74" s="120" t="s">
        <v>335</v>
      </c>
      <c r="C74" s="121">
        <v>1999371.92</v>
      </c>
      <c r="D74" s="121">
        <v>2649910.66</v>
      </c>
      <c r="E74" s="121">
        <f t="shared" si="5"/>
        <v>850089.33999999985</v>
      </c>
      <c r="F74" s="121">
        <v>3500000</v>
      </c>
      <c r="G74" s="121">
        <v>3000270</v>
      </c>
      <c r="H74" s="247"/>
      <c r="I74" s="242"/>
      <c r="J74" s="242"/>
      <c r="K74" s="242"/>
      <c r="L74" s="242"/>
      <c r="M74" s="242"/>
      <c r="N74" s="242"/>
      <c r="O74" s="242"/>
      <c r="P74" s="242"/>
      <c r="Q74" s="242"/>
      <c r="R74" s="242"/>
      <c r="S74" s="242"/>
      <c r="T74" s="242"/>
      <c r="U74" s="242"/>
      <c r="V74" s="242"/>
      <c r="W74" s="242"/>
      <c r="X74" s="242"/>
      <c r="Y74" s="242"/>
      <c r="Z74" s="242"/>
    </row>
    <row r="75" spans="1:26" ht="15.75" customHeight="1" x14ac:dyDescent="0.25">
      <c r="A75" s="534" t="s">
        <v>466</v>
      </c>
      <c r="B75" s="469"/>
      <c r="C75" s="529">
        <f>+SUM(C41:C74)</f>
        <v>4965548.7799999993</v>
      </c>
      <c r="D75" s="209">
        <f>SUM(D41:D74)</f>
        <v>5823833.2699999996</v>
      </c>
      <c r="E75" s="209">
        <f t="shared" si="5"/>
        <v>2052116.7300000004</v>
      </c>
      <c r="F75" s="209">
        <f t="shared" ref="F75:G75" si="6">+SUM(F41:F74)</f>
        <v>7875950</v>
      </c>
      <c r="G75" s="209">
        <f t="shared" si="6"/>
        <v>8186875</v>
      </c>
      <c r="H75" s="247"/>
      <c r="I75" s="242"/>
      <c r="J75" s="242"/>
      <c r="K75" s="242"/>
      <c r="L75" s="242"/>
      <c r="M75" s="242"/>
      <c r="N75" s="242"/>
      <c r="O75" s="242"/>
      <c r="P75" s="242"/>
      <c r="Q75" s="242"/>
      <c r="R75" s="242"/>
      <c r="S75" s="242"/>
      <c r="T75" s="242"/>
      <c r="U75" s="242"/>
      <c r="V75" s="242"/>
      <c r="W75" s="242"/>
      <c r="X75" s="242"/>
      <c r="Y75" s="242"/>
      <c r="Z75" s="242"/>
    </row>
    <row r="76" spans="1:26" ht="15.75" customHeight="1" x14ac:dyDescent="0.25">
      <c r="A76" s="534"/>
      <c r="B76" s="469"/>
      <c r="C76" s="530"/>
      <c r="D76" s="257"/>
      <c r="E76" s="121"/>
      <c r="F76" s="257"/>
      <c r="G76" s="257"/>
      <c r="H76" s="247"/>
      <c r="I76" s="242"/>
      <c r="J76" s="242"/>
      <c r="K76" s="242"/>
      <c r="L76" s="242"/>
      <c r="M76" s="242"/>
      <c r="N76" s="242"/>
      <c r="O76" s="242"/>
      <c r="P76" s="242"/>
      <c r="Q76" s="242"/>
      <c r="R76" s="242"/>
      <c r="S76" s="242"/>
      <c r="T76" s="242"/>
      <c r="U76" s="242"/>
      <c r="V76" s="242"/>
      <c r="W76" s="242"/>
      <c r="X76" s="242"/>
      <c r="Y76" s="242"/>
      <c r="Z76" s="242"/>
    </row>
    <row r="77" spans="1:26" ht="15.75" customHeight="1" x14ac:dyDescent="0.25">
      <c r="A77" s="108" t="s">
        <v>467</v>
      </c>
      <c r="B77" s="120"/>
      <c r="C77" s="121">
        <f t="shared" ref="C77:D77" si="7">+C75+C37</f>
        <v>37853521.030000001</v>
      </c>
      <c r="D77" s="121">
        <f t="shared" si="7"/>
        <v>23651086.110000003</v>
      </c>
      <c r="E77" s="121">
        <f>F77-D77</f>
        <v>21287456.889999997</v>
      </c>
      <c r="F77" s="121">
        <f t="shared" ref="F77:G77" si="8">+F75+F37</f>
        <v>44938543</v>
      </c>
      <c r="G77" s="121">
        <f t="shared" si="8"/>
        <v>47506184</v>
      </c>
      <c r="H77" s="247"/>
      <c r="I77" s="242"/>
      <c r="J77" s="242"/>
      <c r="K77" s="242"/>
      <c r="L77" s="242"/>
      <c r="M77" s="242"/>
      <c r="N77" s="242"/>
      <c r="O77" s="242"/>
      <c r="P77" s="242"/>
      <c r="Q77" s="242"/>
      <c r="R77" s="242"/>
      <c r="S77" s="242"/>
      <c r="T77" s="242"/>
      <c r="U77" s="242"/>
      <c r="V77" s="242"/>
      <c r="W77" s="242"/>
      <c r="X77" s="242"/>
      <c r="Y77" s="242"/>
      <c r="Z77" s="242"/>
    </row>
    <row r="78" spans="1:26" ht="15.75" customHeight="1" x14ac:dyDescent="0.25">
      <c r="A78" s="108"/>
      <c r="B78" s="198"/>
      <c r="C78" s="122"/>
      <c r="D78" s="122"/>
      <c r="E78" s="121"/>
      <c r="F78" s="122"/>
      <c r="G78" s="121"/>
      <c r="H78" s="247"/>
      <c r="I78" s="242"/>
      <c r="J78" s="242"/>
      <c r="K78" s="242"/>
      <c r="L78" s="242"/>
      <c r="M78" s="242"/>
      <c r="N78" s="242"/>
      <c r="O78" s="242"/>
      <c r="P78" s="242"/>
      <c r="Q78" s="242"/>
      <c r="R78" s="242"/>
      <c r="S78" s="242"/>
      <c r="T78" s="242"/>
      <c r="U78" s="242"/>
      <c r="V78" s="242"/>
      <c r="W78" s="242"/>
      <c r="X78" s="242"/>
      <c r="Y78" s="242"/>
      <c r="Z78" s="242"/>
    </row>
    <row r="79" spans="1:26" ht="15.75" customHeight="1" x14ac:dyDescent="0.25">
      <c r="A79" s="234" t="s">
        <v>529</v>
      </c>
      <c r="B79" s="235"/>
      <c r="C79" s="121"/>
      <c r="D79" s="121"/>
      <c r="E79" s="121"/>
      <c r="F79" s="121"/>
      <c r="G79" s="121"/>
      <c r="H79" s="247"/>
      <c r="I79" s="242"/>
      <c r="J79" s="242"/>
      <c r="K79" s="242"/>
      <c r="L79" s="242"/>
      <c r="M79" s="242"/>
      <c r="N79" s="242"/>
      <c r="O79" s="242"/>
      <c r="P79" s="242"/>
      <c r="Q79" s="242"/>
      <c r="R79" s="242"/>
      <c r="S79" s="242"/>
      <c r="T79" s="242"/>
      <c r="U79" s="242"/>
      <c r="V79" s="242"/>
      <c r="W79" s="242"/>
      <c r="X79" s="242"/>
      <c r="Y79" s="242"/>
      <c r="Z79" s="242"/>
    </row>
    <row r="80" spans="1:26" ht="15.75" customHeight="1" x14ac:dyDescent="0.25">
      <c r="A80" s="108" t="s">
        <v>1231</v>
      </c>
      <c r="B80" s="235"/>
      <c r="C80" s="121"/>
      <c r="D80" s="121"/>
      <c r="E80" s="121"/>
      <c r="F80" s="121"/>
      <c r="G80" s="121"/>
      <c r="H80" s="247"/>
      <c r="I80" s="242"/>
      <c r="J80" s="242"/>
      <c r="K80" s="242"/>
      <c r="L80" s="242"/>
      <c r="M80" s="242"/>
      <c r="N80" s="242"/>
      <c r="O80" s="242"/>
      <c r="P80" s="242"/>
      <c r="Q80" s="242"/>
      <c r="R80" s="242"/>
      <c r="S80" s="242"/>
      <c r="T80" s="242"/>
      <c r="U80" s="242"/>
      <c r="V80" s="242"/>
      <c r="W80" s="242"/>
      <c r="X80" s="242"/>
      <c r="Y80" s="242"/>
      <c r="Z80" s="242"/>
    </row>
    <row r="81" spans="1:26" ht="15.75" customHeight="1" x14ac:dyDescent="0.25">
      <c r="A81" s="236" t="s">
        <v>477</v>
      </c>
      <c r="B81" s="120" t="s">
        <v>45</v>
      </c>
      <c r="C81" s="121">
        <v>0</v>
      </c>
      <c r="D81" s="121">
        <v>0</v>
      </c>
      <c r="E81" s="121">
        <f>F81-D81</f>
        <v>0</v>
      </c>
      <c r="F81" s="121">
        <v>0</v>
      </c>
      <c r="G81" s="121">
        <v>54000</v>
      </c>
      <c r="H81" s="247"/>
      <c r="I81" s="242"/>
      <c r="J81" s="242"/>
      <c r="K81" s="242"/>
      <c r="L81" s="242"/>
      <c r="M81" s="242"/>
      <c r="N81" s="242"/>
      <c r="O81" s="242"/>
      <c r="P81" s="242"/>
      <c r="Q81" s="242"/>
      <c r="R81" s="242"/>
      <c r="S81" s="242"/>
      <c r="T81" s="242"/>
      <c r="U81" s="242"/>
      <c r="V81" s="242"/>
      <c r="W81" s="242"/>
      <c r="X81" s="242"/>
      <c r="Y81" s="242"/>
      <c r="Z81" s="242"/>
    </row>
    <row r="82" spans="1:26" ht="15.75" customHeight="1" x14ac:dyDescent="0.25">
      <c r="A82" s="236" t="s">
        <v>1304</v>
      </c>
      <c r="B82" s="120"/>
      <c r="C82" s="121"/>
      <c r="D82" s="121"/>
      <c r="E82" s="121"/>
      <c r="F82" s="121"/>
      <c r="G82" s="121"/>
      <c r="H82" s="247"/>
      <c r="I82" s="242"/>
      <c r="J82" s="242"/>
      <c r="K82" s="242"/>
      <c r="L82" s="242"/>
      <c r="M82" s="242"/>
      <c r="N82" s="242"/>
      <c r="O82" s="242"/>
      <c r="P82" s="242"/>
      <c r="Q82" s="242"/>
      <c r="R82" s="242"/>
      <c r="S82" s="242"/>
      <c r="T82" s="242"/>
      <c r="U82" s="242"/>
      <c r="V82" s="242"/>
      <c r="W82" s="242"/>
      <c r="X82" s="242"/>
      <c r="Y82" s="242"/>
      <c r="Z82" s="242"/>
    </row>
    <row r="83" spans="1:26" ht="15.75" customHeight="1" x14ac:dyDescent="0.25">
      <c r="A83" s="237" t="s">
        <v>536</v>
      </c>
      <c r="B83" s="238"/>
      <c r="C83" s="209" t="e">
        <f>+SUM(#REF!)</f>
        <v>#REF!</v>
      </c>
      <c r="D83" s="209" t="e">
        <f>+SUM(#REF!)</f>
        <v>#REF!</v>
      </c>
      <c r="E83" s="209" t="e">
        <f t="shared" ref="E83" si="9">F83-D83</f>
        <v>#REF!</v>
      </c>
      <c r="F83" s="209" t="e">
        <f>+SUM(#REF!)</f>
        <v>#REF!</v>
      </c>
      <c r="G83" s="209">
        <f>+SUM(G80:G82)</f>
        <v>54000</v>
      </c>
      <c r="H83" s="247"/>
      <c r="I83" s="242"/>
      <c r="J83" s="242"/>
      <c r="K83" s="242"/>
      <c r="L83" s="242"/>
      <c r="M83" s="242"/>
      <c r="N83" s="242"/>
      <c r="O83" s="242"/>
      <c r="P83" s="242"/>
      <c r="Q83" s="242"/>
      <c r="R83" s="242"/>
      <c r="S83" s="242"/>
      <c r="T83" s="242"/>
      <c r="U83" s="242"/>
      <c r="V83" s="242"/>
      <c r="W83" s="242"/>
      <c r="X83" s="242"/>
      <c r="Y83" s="242"/>
      <c r="Z83" s="242"/>
    </row>
    <row r="84" spans="1:26" ht="15.75" customHeight="1" x14ac:dyDescent="0.25">
      <c r="A84" s="108"/>
      <c r="B84" s="120"/>
      <c r="C84" s="121"/>
      <c r="D84" s="121"/>
      <c r="E84" s="121"/>
      <c r="F84" s="121"/>
      <c r="G84" s="121"/>
      <c r="H84" s="247"/>
      <c r="I84" s="242"/>
      <c r="J84" s="242"/>
      <c r="K84" s="242"/>
      <c r="L84" s="242"/>
      <c r="M84" s="242"/>
      <c r="N84" s="242"/>
      <c r="O84" s="242"/>
      <c r="P84" s="242"/>
      <c r="Q84" s="242"/>
      <c r="R84" s="242"/>
      <c r="S84" s="242"/>
      <c r="T84" s="242"/>
      <c r="U84" s="242"/>
      <c r="V84" s="242"/>
      <c r="W84" s="242"/>
      <c r="X84" s="242"/>
      <c r="Y84" s="242"/>
      <c r="Z84" s="242"/>
    </row>
    <row r="85" spans="1:26" ht="15.75" customHeight="1" x14ac:dyDescent="0.25">
      <c r="A85" s="650" t="s">
        <v>487</v>
      </c>
      <c r="B85" s="651" t="s">
        <v>488</v>
      </c>
      <c r="C85" s="652" t="e">
        <f>+C83+C77</f>
        <v>#REF!</v>
      </c>
      <c r="D85" s="652" t="e">
        <f>+D83+D77</f>
        <v>#REF!</v>
      </c>
      <c r="E85" s="652" t="e">
        <f>F85-D85</f>
        <v>#REF!</v>
      </c>
      <c r="F85" s="652" t="e">
        <f>+F83+F77</f>
        <v>#REF!</v>
      </c>
      <c r="G85" s="652">
        <f>+G83+G77</f>
        <v>47560184</v>
      </c>
      <c r="H85" s="255"/>
      <c r="I85" s="256"/>
      <c r="J85" s="256"/>
      <c r="K85" s="256"/>
      <c r="L85" s="256"/>
      <c r="M85" s="256"/>
      <c r="N85" s="256"/>
      <c r="O85" s="256"/>
      <c r="P85" s="256"/>
      <c r="Q85" s="256"/>
      <c r="R85" s="256"/>
      <c r="S85" s="256"/>
      <c r="T85" s="256"/>
      <c r="U85" s="256"/>
      <c r="V85" s="256"/>
      <c r="W85" s="256"/>
      <c r="X85" s="256"/>
      <c r="Y85" s="256"/>
      <c r="Z85" s="256"/>
    </row>
    <row r="86" spans="1:26" ht="15.75" customHeight="1" x14ac:dyDescent="0.25">
      <c r="A86" s="639"/>
      <c r="B86" s="639"/>
      <c r="C86" s="639"/>
      <c r="D86" s="639"/>
      <c r="E86" s="639"/>
      <c r="F86" s="639"/>
      <c r="G86" s="639"/>
      <c r="H86" s="168"/>
    </row>
    <row r="87" spans="1:26" ht="15.75" customHeight="1" x14ac:dyDescent="0.25">
      <c r="H87" s="168"/>
    </row>
    <row r="88" spans="1:26" ht="15.75" customHeight="1" x14ac:dyDescent="0.25">
      <c r="H88" s="168"/>
    </row>
    <row r="89" spans="1:26" ht="15.75" customHeight="1" x14ac:dyDescent="0.25">
      <c r="H89" s="168"/>
    </row>
    <row r="90" spans="1:26" ht="15.75" customHeight="1" x14ac:dyDescent="0.25">
      <c r="H90" s="168"/>
    </row>
    <row r="91" spans="1:26" ht="15.75" customHeight="1" x14ac:dyDescent="0.25">
      <c r="H91" s="168"/>
    </row>
    <row r="92" spans="1:26" ht="15.75" customHeight="1" x14ac:dyDescent="0.25">
      <c r="H92" s="168"/>
    </row>
    <row r="93" spans="1:26" ht="15.75" customHeight="1" x14ac:dyDescent="0.25">
      <c r="H93" s="168"/>
    </row>
    <row r="94" spans="1:26" ht="15.75" customHeight="1" x14ac:dyDescent="0.25">
      <c r="H94" s="168"/>
    </row>
    <row r="95" spans="1:26" ht="15.75" customHeight="1" x14ac:dyDescent="0.25">
      <c r="H95" s="168"/>
    </row>
    <row r="96" spans="1:26" ht="15.75" customHeight="1" x14ac:dyDescent="0.25">
      <c r="H96" s="168"/>
    </row>
    <row r="97" spans="8:8" ht="15.75" customHeight="1" x14ac:dyDescent="0.25">
      <c r="H97" s="168"/>
    </row>
    <row r="98" spans="8:8" ht="15.75" customHeight="1" x14ac:dyDescent="0.25">
      <c r="H98" s="168"/>
    </row>
    <row r="99" spans="8:8" ht="15.75" customHeight="1" x14ac:dyDescent="0.25">
      <c r="H99" s="168"/>
    </row>
    <row r="100" spans="8:8" ht="15.75" customHeight="1" x14ac:dyDescent="0.25">
      <c r="H100" s="168"/>
    </row>
    <row r="101" spans="8:8" ht="15.75" customHeight="1" x14ac:dyDescent="0.25">
      <c r="H101" s="168"/>
    </row>
    <row r="102" spans="8:8" ht="15.75" customHeight="1" x14ac:dyDescent="0.25">
      <c r="H102" s="168"/>
    </row>
    <row r="103" spans="8:8" ht="15.75" customHeight="1" x14ac:dyDescent="0.25">
      <c r="H103" s="168"/>
    </row>
    <row r="104" spans="8:8" ht="15.75" customHeight="1" x14ac:dyDescent="0.25">
      <c r="H104" s="168"/>
    </row>
    <row r="105" spans="8:8" ht="15.75" customHeight="1" x14ac:dyDescent="0.25">
      <c r="H105" s="168"/>
    </row>
    <row r="106" spans="8:8" ht="15.75" customHeight="1" x14ac:dyDescent="0.25">
      <c r="H106" s="168"/>
    </row>
    <row r="107" spans="8:8" ht="15.75" customHeight="1" x14ac:dyDescent="0.25">
      <c r="H107" s="168"/>
    </row>
    <row r="108" spans="8:8" ht="15.75" customHeight="1" x14ac:dyDescent="0.25">
      <c r="H108" s="168"/>
    </row>
    <row r="109" spans="8:8" ht="15.75" customHeight="1" x14ac:dyDescent="0.25">
      <c r="H109" s="168"/>
    </row>
    <row r="110" spans="8:8" ht="15.75" customHeight="1" x14ac:dyDescent="0.25">
      <c r="H110" s="168"/>
    </row>
    <row r="111" spans="8:8" ht="15.75" customHeight="1" x14ac:dyDescent="0.25">
      <c r="H111" s="168"/>
    </row>
    <row r="112" spans="8:8" ht="15.75" customHeight="1" x14ac:dyDescent="0.25">
      <c r="H112" s="168"/>
    </row>
    <row r="113" spans="8:8" ht="15.75" customHeight="1" x14ac:dyDescent="0.25">
      <c r="H113" s="168"/>
    </row>
    <row r="114" spans="8:8" ht="15.75" customHeight="1" x14ac:dyDescent="0.25">
      <c r="H114" s="168"/>
    </row>
    <row r="115" spans="8:8" ht="15.75" customHeight="1" x14ac:dyDescent="0.25">
      <c r="H115" s="168"/>
    </row>
    <row r="116" spans="8:8" ht="15.75" customHeight="1" x14ac:dyDescent="0.25">
      <c r="H116" s="168"/>
    </row>
    <row r="117" spans="8:8" ht="15.75" customHeight="1" x14ac:dyDescent="0.25">
      <c r="H117" s="168"/>
    </row>
    <row r="118" spans="8:8" ht="15.75" customHeight="1" x14ac:dyDescent="0.25">
      <c r="H118" s="168"/>
    </row>
    <row r="119" spans="8:8" ht="15.75" customHeight="1" x14ac:dyDescent="0.25">
      <c r="H119" s="168"/>
    </row>
    <row r="120" spans="8:8" ht="15.75" customHeight="1" x14ac:dyDescent="0.25">
      <c r="H120" s="168"/>
    </row>
    <row r="121" spans="8:8" ht="15.75" customHeight="1" x14ac:dyDescent="0.25">
      <c r="H121" s="168"/>
    </row>
    <row r="122" spans="8:8" ht="15.75" customHeight="1" x14ac:dyDescent="0.25">
      <c r="H122" s="168"/>
    </row>
    <row r="123" spans="8:8" ht="15.75" customHeight="1" x14ac:dyDescent="0.25">
      <c r="H123" s="168"/>
    </row>
    <row r="124" spans="8:8" ht="15.75" customHeight="1" x14ac:dyDescent="0.25">
      <c r="H124" s="168"/>
    </row>
    <row r="125" spans="8:8" ht="15.75" customHeight="1" x14ac:dyDescent="0.25">
      <c r="H125" s="168"/>
    </row>
    <row r="126" spans="8:8" ht="15.75" customHeight="1" x14ac:dyDescent="0.25">
      <c r="H126" s="168"/>
    </row>
    <row r="127" spans="8:8" ht="15.75" customHeight="1" x14ac:dyDescent="0.25">
      <c r="H127" s="168"/>
    </row>
    <row r="128" spans="8:8" ht="15.75" customHeight="1" x14ac:dyDescent="0.25">
      <c r="H128" s="168"/>
    </row>
    <row r="129" spans="8:8" ht="15.75" customHeight="1" x14ac:dyDescent="0.25">
      <c r="H129" s="168"/>
    </row>
    <row r="130" spans="8:8" ht="15.75" customHeight="1" x14ac:dyDescent="0.25">
      <c r="H130" s="168"/>
    </row>
    <row r="131" spans="8:8" ht="15.75" customHeight="1" x14ac:dyDescent="0.25">
      <c r="H131" s="168"/>
    </row>
    <row r="132" spans="8:8" ht="15.75" customHeight="1" x14ac:dyDescent="0.25">
      <c r="H132" s="168"/>
    </row>
    <row r="133" spans="8:8" ht="15.75" customHeight="1" x14ac:dyDescent="0.25">
      <c r="H133" s="168"/>
    </row>
    <row r="134" spans="8:8" ht="15.75" customHeight="1" x14ac:dyDescent="0.25">
      <c r="H134" s="168"/>
    </row>
    <row r="135" spans="8:8" ht="15.75" customHeight="1" x14ac:dyDescent="0.25">
      <c r="H135" s="168"/>
    </row>
    <row r="136" spans="8:8" ht="15.75" customHeight="1" x14ac:dyDescent="0.25">
      <c r="H136" s="168"/>
    </row>
    <row r="137" spans="8:8" ht="15.75" customHeight="1" x14ac:dyDescent="0.25">
      <c r="H137" s="168"/>
    </row>
    <row r="138" spans="8:8" ht="15.75" customHeight="1" x14ac:dyDescent="0.25">
      <c r="H138" s="168"/>
    </row>
    <row r="139" spans="8:8" ht="15.75" customHeight="1" x14ac:dyDescent="0.25">
      <c r="H139" s="168"/>
    </row>
    <row r="140" spans="8:8" ht="15.75" customHeight="1" x14ac:dyDescent="0.25">
      <c r="H140" s="168"/>
    </row>
    <row r="141" spans="8:8" ht="15.75" customHeight="1" x14ac:dyDescent="0.25">
      <c r="H141" s="168"/>
    </row>
    <row r="142" spans="8:8" ht="15.75" customHeight="1" x14ac:dyDescent="0.25">
      <c r="H142" s="168"/>
    </row>
    <row r="143" spans="8:8" ht="15.75" customHeight="1" x14ac:dyDescent="0.25">
      <c r="H143" s="168"/>
    </row>
    <row r="144" spans="8:8" ht="15.75" customHeight="1" x14ac:dyDescent="0.25">
      <c r="H144" s="168"/>
    </row>
    <row r="145" spans="8:8" ht="15.75" customHeight="1" x14ac:dyDescent="0.25">
      <c r="H145" s="168"/>
    </row>
    <row r="146" spans="8:8" ht="15.75" customHeight="1" x14ac:dyDescent="0.25">
      <c r="H146" s="168"/>
    </row>
    <row r="147" spans="8:8" ht="15.75" customHeight="1" x14ac:dyDescent="0.25">
      <c r="H147" s="168"/>
    </row>
    <row r="148" spans="8:8" ht="15.75" customHeight="1" x14ac:dyDescent="0.25">
      <c r="H148" s="168"/>
    </row>
    <row r="149" spans="8:8" ht="15.75" customHeight="1" x14ac:dyDescent="0.25">
      <c r="H149" s="168"/>
    </row>
    <row r="150" spans="8:8" ht="15.75" customHeight="1" x14ac:dyDescent="0.25">
      <c r="H150" s="168"/>
    </row>
    <row r="151" spans="8:8" ht="15.75" customHeight="1" x14ac:dyDescent="0.25">
      <c r="H151" s="168"/>
    </row>
    <row r="152" spans="8:8" ht="15.75" customHeight="1" x14ac:dyDescent="0.25">
      <c r="H152" s="168"/>
    </row>
    <row r="153" spans="8:8" ht="15.75" customHeight="1" x14ac:dyDescent="0.25">
      <c r="H153" s="168"/>
    </row>
    <row r="154" spans="8:8" ht="15.75" customHeight="1" x14ac:dyDescent="0.25">
      <c r="H154" s="168"/>
    </row>
    <row r="155" spans="8:8" ht="15.75" customHeight="1" x14ac:dyDescent="0.25">
      <c r="H155" s="168"/>
    </row>
    <row r="156" spans="8:8" ht="15.75" customHeight="1" x14ac:dyDescent="0.25">
      <c r="H156" s="168"/>
    </row>
    <row r="157" spans="8:8" ht="15.75" customHeight="1" x14ac:dyDescent="0.25">
      <c r="H157" s="168"/>
    </row>
    <row r="158" spans="8:8" ht="15.75" customHeight="1" x14ac:dyDescent="0.25">
      <c r="H158" s="168"/>
    </row>
    <row r="159" spans="8:8" ht="15.75" customHeight="1" x14ac:dyDescent="0.25">
      <c r="H159" s="168"/>
    </row>
    <row r="160" spans="8:8" ht="15.75" customHeight="1" x14ac:dyDescent="0.25">
      <c r="H160" s="168"/>
    </row>
    <row r="161" spans="8:8" ht="15.75" customHeight="1" x14ac:dyDescent="0.25">
      <c r="H161" s="168"/>
    </row>
    <row r="162" spans="8:8" ht="15.75" customHeight="1" x14ac:dyDescent="0.25">
      <c r="H162" s="168"/>
    </row>
    <row r="163" spans="8:8" ht="15.75" customHeight="1" x14ac:dyDescent="0.25">
      <c r="H163" s="168"/>
    </row>
    <row r="164" spans="8:8" ht="15.75" customHeight="1" x14ac:dyDescent="0.25">
      <c r="H164" s="168"/>
    </row>
    <row r="165" spans="8:8" ht="15.75" customHeight="1" x14ac:dyDescent="0.25">
      <c r="H165" s="168"/>
    </row>
    <row r="166" spans="8:8" ht="15.75" customHeight="1" x14ac:dyDescent="0.25">
      <c r="H166" s="168"/>
    </row>
    <row r="167" spans="8:8" ht="15.75" customHeight="1" x14ac:dyDescent="0.25">
      <c r="H167" s="168"/>
    </row>
    <row r="168" spans="8:8" ht="15.75" customHeight="1" x14ac:dyDescent="0.25">
      <c r="H168" s="168"/>
    </row>
    <row r="169" spans="8:8" ht="15.75" customHeight="1" x14ac:dyDescent="0.25">
      <c r="H169" s="168"/>
    </row>
    <row r="170" spans="8:8" ht="15.75" customHeight="1" x14ac:dyDescent="0.25">
      <c r="H170" s="168"/>
    </row>
    <row r="171" spans="8:8" ht="15.75" customHeight="1" x14ac:dyDescent="0.25">
      <c r="H171" s="168"/>
    </row>
    <row r="172" spans="8:8" ht="15.75" customHeight="1" x14ac:dyDescent="0.25">
      <c r="H172" s="168"/>
    </row>
    <row r="173" spans="8:8" ht="15.75" customHeight="1" x14ac:dyDescent="0.25">
      <c r="H173" s="168"/>
    </row>
    <row r="174" spans="8:8" ht="15.75" customHeight="1" x14ac:dyDescent="0.25">
      <c r="H174" s="168"/>
    </row>
    <row r="175" spans="8:8" ht="15.75" customHeight="1" x14ac:dyDescent="0.25">
      <c r="H175" s="168"/>
    </row>
    <row r="176" spans="8:8" ht="15.75" customHeight="1" x14ac:dyDescent="0.25">
      <c r="H176" s="168"/>
    </row>
    <row r="177" spans="8:8" ht="15.75" customHeight="1" x14ac:dyDescent="0.25">
      <c r="H177" s="168"/>
    </row>
    <row r="178" spans="8:8" ht="15.75" customHeight="1" x14ac:dyDescent="0.25">
      <c r="H178" s="168"/>
    </row>
    <row r="179" spans="8:8" ht="15.75" customHeight="1" x14ac:dyDescent="0.25">
      <c r="H179" s="168"/>
    </row>
    <row r="180" spans="8:8" ht="15.75" customHeight="1" x14ac:dyDescent="0.25">
      <c r="H180" s="168"/>
    </row>
    <row r="181" spans="8:8" ht="15.75" customHeight="1" x14ac:dyDescent="0.25">
      <c r="H181" s="168"/>
    </row>
    <row r="182" spans="8:8" ht="15.75" customHeight="1" x14ac:dyDescent="0.25">
      <c r="H182" s="168"/>
    </row>
    <row r="183" spans="8:8" ht="15.75" customHeight="1" x14ac:dyDescent="0.25">
      <c r="H183" s="168"/>
    </row>
    <row r="184" spans="8:8" ht="15.75" customHeight="1" x14ac:dyDescent="0.25">
      <c r="H184" s="168"/>
    </row>
    <row r="185" spans="8:8" ht="15.75" customHeight="1" x14ac:dyDescent="0.25">
      <c r="H185" s="168"/>
    </row>
    <row r="186" spans="8:8" ht="15.75" customHeight="1" x14ac:dyDescent="0.25">
      <c r="H186" s="168"/>
    </row>
    <row r="187" spans="8:8" ht="15.75" customHeight="1" x14ac:dyDescent="0.25">
      <c r="H187" s="168"/>
    </row>
    <row r="188" spans="8:8" ht="15.75" customHeight="1" x14ac:dyDescent="0.25">
      <c r="H188" s="168"/>
    </row>
    <row r="189" spans="8:8" ht="15.75" customHeight="1" x14ac:dyDescent="0.25">
      <c r="H189" s="168"/>
    </row>
    <row r="190" spans="8:8" ht="15.75" customHeight="1" x14ac:dyDescent="0.25">
      <c r="H190" s="168"/>
    </row>
    <row r="191" spans="8:8" ht="15.75" customHeight="1" x14ac:dyDescent="0.25">
      <c r="H191" s="168"/>
    </row>
    <row r="192" spans="8:8" ht="15.75" customHeight="1" x14ac:dyDescent="0.25">
      <c r="H192" s="168"/>
    </row>
    <row r="193" spans="8:8" ht="15.75" customHeight="1" x14ac:dyDescent="0.25">
      <c r="H193" s="168"/>
    </row>
    <row r="194" spans="8:8" ht="15.75" customHeight="1" x14ac:dyDescent="0.25">
      <c r="H194" s="168"/>
    </row>
    <row r="195" spans="8:8" ht="15.75" customHeight="1" x14ac:dyDescent="0.25">
      <c r="H195" s="168"/>
    </row>
    <row r="196" spans="8:8" ht="15.75" customHeight="1" x14ac:dyDescent="0.25">
      <c r="H196" s="168"/>
    </row>
    <row r="197" spans="8:8" ht="15.75" customHeight="1" x14ac:dyDescent="0.25">
      <c r="H197" s="168"/>
    </row>
    <row r="198" spans="8:8" ht="15.75" customHeight="1" x14ac:dyDescent="0.25">
      <c r="H198" s="168"/>
    </row>
    <row r="199" spans="8:8" ht="15.75" customHeight="1" x14ac:dyDescent="0.25">
      <c r="H199" s="168"/>
    </row>
    <row r="200" spans="8:8" ht="15.75" customHeight="1" x14ac:dyDescent="0.25">
      <c r="H200" s="168"/>
    </row>
    <row r="201" spans="8:8" ht="15.75" customHeight="1" x14ac:dyDescent="0.25">
      <c r="H201" s="168"/>
    </row>
    <row r="202" spans="8:8" ht="15.75" customHeight="1" x14ac:dyDescent="0.25">
      <c r="H202" s="168"/>
    </row>
    <row r="203" spans="8:8" ht="15.75" customHeight="1" x14ac:dyDescent="0.25">
      <c r="H203" s="168"/>
    </row>
    <row r="204" spans="8:8" ht="15.75" customHeight="1" x14ac:dyDescent="0.25">
      <c r="H204" s="168"/>
    </row>
    <row r="205" spans="8:8" ht="15.75" customHeight="1" x14ac:dyDescent="0.25">
      <c r="H205" s="168"/>
    </row>
    <row r="206" spans="8:8" ht="15.75" customHeight="1" x14ac:dyDescent="0.25">
      <c r="H206" s="168"/>
    </row>
    <row r="207" spans="8:8" ht="15.75" customHeight="1" x14ac:dyDescent="0.25">
      <c r="H207" s="168"/>
    </row>
    <row r="208" spans="8:8" ht="15.75" customHeight="1" x14ac:dyDescent="0.25">
      <c r="H208" s="168"/>
    </row>
    <row r="209" spans="8:8" ht="15.75" customHeight="1" x14ac:dyDescent="0.25">
      <c r="H209" s="168"/>
    </row>
    <row r="210" spans="8:8" ht="15.75" customHeight="1" x14ac:dyDescent="0.25">
      <c r="H210" s="168"/>
    </row>
    <row r="211" spans="8:8" ht="15.75" customHeight="1" x14ac:dyDescent="0.25">
      <c r="H211" s="168"/>
    </row>
    <row r="212" spans="8:8" ht="15.75" customHeight="1" x14ac:dyDescent="0.25">
      <c r="H212" s="168"/>
    </row>
    <row r="213" spans="8:8" ht="15.75" customHeight="1" x14ac:dyDescent="0.25">
      <c r="H213" s="168"/>
    </row>
    <row r="214" spans="8:8" ht="15.75" customHeight="1" x14ac:dyDescent="0.25">
      <c r="H214" s="168"/>
    </row>
    <row r="215" spans="8:8" ht="15.75" customHeight="1" x14ac:dyDescent="0.25">
      <c r="H215" s="168"/>
    </row>
    <row r="216" spans="8:8" ht="15.75" customHeight="1" x14ac:dyDescent="0.25">
      <c r="H216" s="168"/>
    </row>
    <row r="217" spans="8:8" ht="15.75" customHeight="1" x14ac:dyDescent="0.25">
      <c r="H217" s="168"/>
    </row>
    <row r="218" spans="8:8" ht="15.75" customHeight="1" x14ac:dyDescent="0.25">
      <c r="H218" s="168"/>
    </row>
    <row r="219" spans="8:8" ht="15.75" customHeight="1" x14ac:dyDescent="0.25">
      <c r="H219" s="168"/>
    </row>
    <row r="220" spans="8:8" ht="15.75" customHeight="1" x14ac:dyDescent="0.25">
      <c r="H220" s="168"/>
    </row>
    <row r="221" spans="8:8" ht="15.75" customHeight="1" x14ac:dyDescent="0.25">
      <c r="H221" s="168"/>
    </row>
    <row r="222" spans="8:8" ht="15.75" customHeight="1" x14ac:dyDescent="0.25">
      <c r="H222" s="168"/>
    </row>
    <row r="223" spans="8:8" ht="15.75" customHeight="1" x14ac:dyDescent="0.25">
      <c r="H223" s="168"/>
    </row>
    <row r="224" spans="8:8" ht="15.75" customHeight="1" x14ac:dyDescent="0.25">
      <c r="H224" s="168"/>
    </row>
    <row r="225" spans="8:8" ht="15.75" customHeight="1" x14ac:dyDescent="0.25">
      <c r="H225" s="168"/>
    </row>
    <row r="226" spans="8:8" ht="15.75" customHeight="1" x14ac:dyDescent="0.25">
      <c r="H226" s="168"/>
    </row>
    <row r="227" spans="8:8" ht="15.75" customHeight="1" x14ac:dyDescent="0.25">
      <c r="H227" s="168"/>
    </row>
    <row r="228" spans="8:8" ht="15.75" customHeight="1" x14ac:dyDescent="0.25">
      <c r="H228" s="168"/>
    </row>
    <row r="229" spans="8:8" ht="15.75" customHeight="1" x14ac:dyDescent="0.25">
      <c r="H229" s="168"/>
    </row>
    <row r="230" spans="8:8" ht="15.75" customHeight="1" x14ac:dyDescent="0.25">
      <c r="H230" s="168"/>
    </row>
    <row r="231" spans="8:8" ht="15.75" customHeight="1" x14ac:dyDescent="0.25">
      <c r="H231" s="168"/>
    </row>
    <row r="232" spans="8:8" ht="15.75" customHeight="1" x14ac:dyDescent="0.25">
      <c r="H232" s="168"/>
    </row>
    <row r="233" spans="8:8" ht="15.75" customHeight="1" x14ac:dyDescent="0.25">
      <c r="H233" s="168"/>
    </row>
    <row r="234" spans="8:8" ht="15.75" customHeight="1" x14ac:dyDescent="0.25">
      <c r="H234" s="168"/>
    </row>
    <row r="235" spans="8:8" ht="15.75" customHeight="1" x14ac:dyDescent="0.25">
      <c r="H235" s="168"/>
    </row>
    <row r="236" spans="8:8" ht="15.75" customHeight="1" x14ac:dyDescent="0.25">
      <c r="H236" s="168"/>
    </row>
    <row r="237" spans="8:8" ht="15.75" customHeight="1" x14ac:dyDescent="0.25">
      <c r="H237" s="168"/>
    </row>
    <row r="238" spans="8:8" ht="15.75" customHeight="1" x14ac:dyDescent="0.25">
      <c r="H238" s="168"/>
    </row>
    <row r="239" spans="8:8" ht="15.75" customHeight="1" x14ac:dyDescent="0.25">
      <c r="H239" s="168"/>
    </row>
    <row r="240" spans="8:8" ht="15.75" customHeight="1" x14ac:dyDescent="0.25">
      <c r="H240" s="168"/>
    </row>
    <row r="241" spans="8:8" ht="15.75" customHeight="1" x14ac:dyDescent="0.25">
      <c r="H241" s="168"/>
    </row>
    <row r="242" spans="8:8" ht="15.75" customHeight="1" x14ac:dyDescent="0.25">
      <c r="H242" s="168"/>
    </row>
    <row r="243" spans="8:8" ht="15.75" customHeight="1" x14ac:dyDescent="0.25">
      <c r="H243" s="168"/>
    </row>
    <row r="244" spans="8:8" ht="15.75" customHeight="1" x14ac:dyDescent="0.25">
      <c r="H244" s="168"/>
    </row>
    <row r="245" spans="8:8" ht="15.75" customHeight="1" x14ac:dyDescent="0.25">
      <c r="H245" s="168"/>
    </row>
    <row r="246" spans="8:8" ht="15.75" customHeight="1" x14ac:dyDescent="0.25">
      <c r="H246" s="168"/>
    </row>
    <row r="247" spans="8:8" ht="15.75" customHeight="1" x14ac:dyDescent="0.25">
      <c r="H247" s="168"/>
    </row>
    <row r="248" spans="8:8" ht="15.75" customHeight="1" x14ac:dyDescent="0.25">
      <c r="H248" s="168"/>
    </row>
    <row r="249" spans="8:8" ht="15.75" customHeight="1" x14ac:dyDescent="0.25">
      <c r="H249" s="168"/>
    </row>
    <row r="250" spans="8:8" ht="15.75" customHeight="1" x14ac:dyDescent="0.25">
      <c r="H250" s="168"/>
    </row>
    <row r="251" spans="8:8" ht="15.75" customHeight="1" x14ac:dyDescent="0.25">
      <c r="H251" s="168"/>
    </row>
    <row r="252" spans="8:8" ht="15.75" customHeight="1" x14ac:dyDescent="0.25">
      <c r="H252" s="168"/>
    </row>
    <row r="253" spans="8:8" ht="15.75" customHeight="1" x14ac:dyDescent="0.25">
      <c r="H253" s="168"/>
    </row>
    <row r="254" spans="8:8" ht="15.75" customHeight="1" x14ac:dyDescent="0.25">
      <c r="H254" s="168"/>
    </row>
    <row r="255" spans="8:8" ht="15.75" customHeight="1" x14ac:dyDescent="0.25">
      <c r="H255" s="168"/>
    </row>
    <row r="256" spans="8:8" ht="15.75" customHeight="1" x14ac:dyDescent="0.25">
      <c r="H256" s="168"/>
    </row>
    <row r="257" spans="8:8" ht="15.75" customHeight="1" x14ac:dyDescent="0.25">
      <c r="H257" s="168"/>
    </row>
    <row r="258" spans="8:8" ht="15.75" customHeight="1" x14ac:dyDescent="0.25">
      <c r="H258" s="168"/>
    </row>
    <row r="259" spans="8:8" ht="15.75" customHeight="1" x14ac:dyDescent="0.25">
      <c r="H259" s="168"/>
    </row>
    <row r="260" spans="8:8" ht="15.75" customHeight="1" x14ac:dyDescent="0.25">
      <c r="H260"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6"/>
  <sheetViews>
    <sheetView view="pageBreakPreview" topLeftCell="A37" zoomScale="115" zoomScaleNormal="100" zoomScaleSheetLayoutView="115" workbookViewId="0">
      <selection activeCell="A18" sqref="A18"/>
    </sheetView>
  </sheetViews>
  <sheetFormatPr defaultColWidth="14.42578125" defaultRowHeight="15" customHeight="1" x14ac:dyDescent="0.25"/>
  <cols>
    <col min="1" max="1" width="74.85546875" customWidth="1"/>
    <col min="2" max="2" width="15" customWidth="1"/>
    <col min="3" max="6" width="18.42578125" hidden="1" customWidth="1"/>
    <col min="7" max="7" width="18.42578125" customWidth="1"/>
    <col min="8"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1305</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41"/>
      <c r="C13" s="42"/>
      <c r="D13" s="42"/>
      <c r="E13" s="42"/>
      <c r="F13" s="42"/>
      <c r="G13" s="42"/>
    </row>
    <row r="14" spans="1:26" ht="15.75" customHeight="1" x14ac:dyDescent="0.25">
      <c r="A14" s="17" t="s">
        <v>365</v>
      </c>
      <c r="B14" s="41"/>
      <c r="C14" s="42"/>
      <c r="D14" s="42"/>
      <c r="E14" s="42"/>
      <c r="F14" s="42"/>
      <c r="G14" s="42"/>
    </row>
    <row r="15" spans="1:26" ht="15.75" customHeight="1" x14ac:dyDescent="0.25">
      <c r="A15" s="17" t="s">
        <v>1235</v>
      </c>
      <c r="B15" s="41"/>
      <c r="C15" s="42"/>
      <c r="D15" s="42"/>
      <c r="E15" s="42"/>
      <c r="F15" s="42"/>
      <c r="G15" s="42"/>
    </row>
    <row r="16" spans="1:26" ht="15.75" customHeight="1" x14ac:dyDescent="0.25">
      <c r="A16" s="44" t="s">
        <v>367</v>
      </c>
      <c r="B16" s="41" t="s">
        <v>121</v>
      </c>
      <c r="C16" s="43">
        <v>5617709.5300000003</v>
      </c>
      <c r="D16" s="43">
        <v>2732711.38</v>
      </c>
      <c r="E16" s="43">
        <f>F16-D16</f>
        <v>3747624.62</v>
      </c>
      <c r="F16" s="43">
        <v>6480336</v>
      </c>
      <c r="G16" s="43">
        <v>6776364</v>
      </c>
    </row>
    <row r="17" spans="1:26" ht="15.75" customHeight="1" x14ac:dyDescent="0.25">
      <c r="A17" s="17" t="s">
        <v>368</v>
      </c>
      <c r="B17" s="41"/>
      <c r="C17" s="43"/>
      <c r="D17" s="43"/>
      <c r="E17" s="43"/>
      <c r="F17" s="43"/>
      <c r="G17" s="43"/>
    </row>
    <row r="18" spans="1:26" ht="15.75" customHeight="1" x14ac:dyDescent="0.25">
      <c r="A18" s="44" t="s">
        <v>369</v>
      </c>
      <c r="B18" s="41" t="s">
        <v>125</v>
      </c>
      <c r="C18" s="43">
        <v>247264.72</v>
      </c>
      <c r="D18" s="43">
        <v>117727.27</v>
      </c>
      <c r="E18" s="43">
        <f t="shared" ref="E18:E23" si="0">F18-D18</f>
        <v>194272.72999999998</v>
      </c>
      <c r="F18" s="43">
        <v>312000</v>
      </c>
      <c r="G18" s="43">
        <v>312000</v>
      </c>
      <c r="H18" s="15"/>
      <c r="I18" s="15"/>
      <c r="J18" s="15"/>
      <c r="K18" s="15"/>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216000</v>
      </c>
      <c r="D19" s="43">
        <v>99500</v>
      </c>
      <c r="E19" s="43">
        <f t="shared" si="0"/>
        <v>116500</v>
      </c>
      <c r="F19" s="43">
        <v>216000</v>
      </c>
      <c r="G19" s="43">
        <v>216000</v>
      </c>
      <c r="H19" s="15"/>
      <c r="I19" s="15"/>
      <c r="J19" s="15"/>
      <c r="K19" s="15"/>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130500</v>
      </c>
      <c r="D20" s="43">
        <v>99500</v>
      </c>
      <c r="E20" s="43">
        <f t="shared" si="0"/>
        <v>116500</v>
      </c>
      <c r="F20" s="43">
        <v>216000</v>
      </c>
      <c r="G20" s="43">
        <v>216000</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77000</v>
      </c>
      <c r="D21" s="43">
        <v>70000</v>
      </c>
      <c r="E21" s="43">
        <f t="shared" si="0"/>
        <v>21000</v>
      </c>
      <c r="F21" s="43">
        <v>91000</v>
      </c>
      <c r="G21" s="43">
        <v>91000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476559</v>
      </c>
      <c r="D22" s="43">
        <v>0</v>
      </c>
      <c r="E22" s="43">
        <f t="shared" si="0"/>
        <v>540028</v>
      </c>
      <c r="F22" s="43">
        <v>540028</v>
      </c>
      <c r="G22" s="43">
        <v>564697</v>
      </c>
      <c r="H22" s="15"/>
      <c r="I22" s="15"/>
      <c r="J22" s="15"/>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50000</v>
      </c>
      <c r="D23" s="43">
        <v>0</v>
      </c>
      <c r="E23" s="43">
        <f t="shared" si="0"/>
        <v>65000</v>
      </c>
      <c r="F23" s="43">
        <v>65000</v>
      </c>
      <c r="G23" s="43">
        <v>65000</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5"/>
      <c r="I24" s="15"/>
      <c r="J24" s="15"/>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15000</v>
      </c>
      <c r="D25" s="43">
        <v>5000</v>
      </c>
      <c r="E25" s="43">
        <f t="shared" ref="E25:E27" si="1">F25-D25</f>
        <v>0</v>
      </c>
      <c r="F25" s="43">
        <v>5000</v>
      </c>
      <c r="G25" s="43">
        <v>0</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30000</v>
      </c>
      <c r="E26" s="43">
        <f t="shared" si="1"/>
        <v>9000</v>
      </c>
      <c r="F26" s="43">
        <v>39000</v>
      </c>
      <c r="G26" s="43">
        <v>0</v>
      </c>
      <c r="H26" s="15"/>
      <c r="I26" s="15"/>
      <c r="J26" s="15"/>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453655</v>
      </c>
      <c r="D27" s="43">
        <v>477219</v>
      </c>
      <c r="E27" s="43">
        <f t="shared" si="1"/>
        <v>62809</v>
      </c>
      <c r="F27" s="43">
        <v>540028</v>
      </c>
      <c r="G27" s="43">
        <v>564697</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5"/>
      <c r="I28" s="15"/>
      <c r="J28" s="15"/>
      <c r="K28" s="15"/>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676208.67</v>
      </c>
      <c r="D29" s="43">
        <v>328554.92</v>
      </c>
      <c r="E29" s="43">
        <f t="shared" ref="E29:E32" si="2">F29-D29</f>
        <v>449086.08</v>
      </c>
      <c r="F29" s="43">
        <v>777641</v>
      </c>
      <c r="G29" s="43">
        <v>813164</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112701.45</v>
      </c>
      <c r="D30" s="43">
        <v>54759.15</v>
      </c>
      <c r="E30" s="43">
        <f t="shared" si="2"/>
        <v>74847.850000000006</v>
      </c>
      <c r="F30" s="43">
        <v>129607</v>
      </c>
      <c r="G30" s="43">
        <v>135528</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134702.01999999999</v>
      </c>
      <c r="D31" s="43">
        <v>65307.53</v>
      </c>
      <c r="E31" s="43">
        <f t="shared" si="2"/>
        <v>89167.47</v>
      </c>
      <c r="F31" s="43">
        <v>154475</v>
      </c>
      <c r="G31" s="43">
        <v>159482</v>
      </c>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12400</v>
      </c>
      <c r="D32" s="43">
        <v>5900</v>
      </c>
      <c r="E32" s="43">
        <f t="shared" si="2"/>
        <v>9700</v>
      </c>
      <c r="F32" s="43">
        <v>15600</v>
      </c>
      <c r="G32" s="43">
        <v>15600</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17" t="s">
        <v>385</v>
      </c>
      <c r="B33" s="41"/>
      <c r="C33" s="43"/>
      <c r="D33" s="43"/>
      <c r="E33" s="43"/>
      <c r="F33" s="43"/>
      <c r="G33" s="43"/>
      <c r="H33" s="15"/>
      <c r="I33" s="15"/>
      <c r="J33" s="15"/>
      <c r="K33" s="15"/>
      <c r="L33" s="15"/>
      <c r="M33" s="15"/>
      <c r="N33" s="15"/>
      <c r="O33" s="15"/>
      <c r="P33" s="15"/>
      <c r="Q33" s="15"/>
      <c r="R33" s="15"/>
      <c r="S33" s="15"/>
      <c r="T33" s="15"/>
      <c r="U33" s="15"/>
      <c r="V33" s="15"/>
      <c r="W33" s="15"/>
      <c r="X33" s="15"/>
      <c r="Y33" s="15"/>
      <c r="Z33" s="15"/>
    </row>
    <row r="34" spans="1:26" ht="15.75" customHeight="1" x14ac:dyDescent="0.25">
      <c r="A34" s="44" t="s">
        <v>386</v>
      </c>
      <c r="B34" s="41" t="s">
        <v>179</v>
      </c>
      <c r="C34" s="43">
        <v>0</v>
      </c>
      <c r="D34" s="43">
        <v>0</v>
      </c>
      <c r="E34" s="43">
        <f t="shared" ref="E34:E36" si="3">F34-D34</f>
        <v>1406645</v>
      </c>
      <c r="F34" s="43">
        <v>1406645</v>
      </c>
      <c r="G34" s="43">
        <v>0</v>
      </c>
      <c r="H34" s="15"/>
      <c r="I34" s="15"/>
      <c r="J34" s="15"/>
      <c r="K34" s="15"/>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178593.38</v>
      </c>
      <c r="D35" s="43">
        <v>89509.03</v>
      </c>
      <c r="E35" s="43">
        <f t="shared" si="3"/>
        <v>170745.97</v>
      </c>
      <c r="F35" s="43">
        <v>260255</v>
      </c>
      <c r="G35" s="43">
        <v>272143</v>
      </c>
      <c r="H35" s="15"/>
      <c r="I35" s="15"/>
      <c r="J35" s="15"/>
      <c r="K35" s="15"/>
      <c r="L35" s="15"/>
      <c r="M35" s="15"/>
      <c r="N35" s="15"/>
      <c r="O35" s="15"/>
      <c r="P35" s="15"/>
      <c r="Q35" s="15"/>
      <c r="R35" s="15"/>
      <c r="S35" s="15"/>
      <c r="T35" s="15"/>
      <c r="U35" s="15"/>
      <c r="V35" s="15"/>
      <c r="W35" s="15"/>
      <c r="X35" s="15"/>
      <c r="Y35" s="15"/>
      <c r="Z35" s="15"/>
    </row>
    <row r="36" spans="1:26" ht="15.75" customHeight="1" x14ac:dyDescent="0.25">
      <c r="A36" s="460" t="s">
        <v>388</v>
      </c>
      <c r="B36" s="461" t="s">
        <v>183</v>
      </c>
      <c r="C36" s="443">
        <v>50000</v>
      </c>
      <c r="D36" s="443">
        <v>0</v>
      </c>
      <c r="E36" s="443">
        <f t="shared" si="3"/>
        <v>65000</v>
      </c>
      <c r="F36" s="443">
        <v>65000</v>
      </c>
      <c r="G36" s="462">
        <v>65000</v>
      </c>
      <c r="H36" s="515"/>
      <c r="I36" s="15"/>
      <c r="J36" s="15"/>
      <c r="K36" s="15"/>
      <c r="L36" s="15"/>
      <c r="M36" s="15"/>
      <c r="N36" s="15"/>
      <c r="O36" s="15"/>
      <c r="P36" s="15"/>
      <c r="Q36" s="15"/>
      <c r="R36" s="15"/>
      <c r="S36" s="15"/>
      <c r="T36" s="15"/>
      <c r="U36" s="15"/>
      <c r="V36" s="15"/>
      <c r="W36" s="15"/>
      <c r="X36" s="15"/>
      <c r="Y36" s="15"/>
      <c r="Z36" s="15"/>
    </row>
    <row r="37" spans="1:26" ht="31.5" x14ac:dyDescent="0.25">
      <c r="A37" s="510" t="s">
        <v>625</v>
      </c>
      <c r="B37" s="437"/>
      <c r="C37" s="438">
        <v>0</v>
      </c>
      <c r="D37" s="438">
        <v>0</v>
      </c>
      <c r="E37" s="438">
        <v>0</v>
      </c>
      <c r="F37" s="438">
        <v>0</v>
      </c>
      <c r="G37" s="438">
        <v>186473</v>
      </c>
      <c r="H37" s="15"/>
      <c r="I37" s="15"/>
      <c r="J37" s="15"/>
      <c r="K37" s="15"/>
      <c r="L37" s="15"/>
      <c r="M37" s="15"/>
      <c r="N37" s="15"/>
      <c r="O37" s="15"/>
      <c r="P37" s="15"/>
      <c r="Q37" s="15"/>
      <c r="R37" s="15"/>
      <c r="S37" s="15"/>
      <c r="T37" s="15"/>
      <c r="U37" s="15"/>
      <c r="V37" s="15"/>
      <c r="W37" s="15"/>
      <c r="X37" s="15"/>
      <c r="Y37" s="15"/>
      <c r="Z37" s="15"/>
    </row>
    <row r="38" spans="1:26" ht="15.75" customHeight="1" x14ac:dyDescent="0.25">
      <c r="A38" s="42" t="s">
        <v>632</v>
      </c>
      <c r="B38" s="41"/>
      <c r="C38" s="79">
        <f t="shared" ref="C38:D38" si="4">+SUM(C16:C36)</f>
        <v>8448293.7699999996</v>
      </c>
      <c r="D38" s="54">
        <f t="shared" si="4"/>
        <v>4175688.2799999993</v>
      </c>
      <c r="E38" s="54">
        <f>F38-D38</f>
        <v>7137926.7200000007</v>
      </c>
      <c r="F38" s="54">
        <f>+SUM(F16:F36)</f>
        <v>11313615</v>
      </c>
      <c r="G38" s="54">
        <f>+SUM(G16:G37)</f>
        <v>10453148</v>
      </c>
      <c r="H38" s="232"/>
      <c r="I38" s="232"/>
      <c r="J38" s="232"/>
      <c r="K38" s="232"/>
      <c r="L38" s="232"/>
      <c r="M38" s="232"/>
      <c r="N38" s="232"/>
      <c r="O38" s="232"/>
      <c r="P38" s="232"/>
      <c r="Q38" s="232"/>
      <c r="R38" s="232"/>
      <c r="S38" s="232"/>
      <c r="T38" s="232"/>
      <c r="U38" s="232"/>
      <c r="V38" s="232"/>
      <c r="W38" s="232"/>
      <c r="X38" s="232"/>
      <c r="Y38" s="232"/>
      <c r="Z38" s="232"/>
    </row>
    <row r="39" spans="1:26" ht="15.75" customHeight="1" x14ac:dyDescent="0.25">
      <c r="A39" s="42" t="s">
        <v>391</v>
      </c>
      <c r="B39" s="41"/>
      <c r="C39" s="41"/>
      <c r="D39" s="26"/>
      <c r="E39" s="43"/>
      <c r="F39" s="41"/>
      <c r="G39" s="38"/>
      <c r="H39" s="10"/>
      <c r="I39" s="10"/>
      <c r="J39" s="10"/>
      <c r="K39" s="10"/>
      <c r="L39" s="10"/>
      <c r="M39" s="10"/>
      <c r="N39" s="10"/>
      <c r="O39" s="10"/>
      <c r="P39" s="10"/>
      <c r="Q39" s="10"/>
      <c r="R39" s="10"/>
      <c r="S39" s="10"/>
      <c r="T39" s="10"/>
      <c r="U39" s="10"/>
      <c r="V39" s="10"/>
      <c r="W39" s="10"/>
      <c r="X39" s="10"/>
      <c r="Y39" s="10"/>
      <c r="Z39" s="10"/>
    </row>
    <row r="40" spans="1:26" ht="15.75" customHeight="1" x14ac:dyDescent="0.25">
      <c r="A40" s="17" t="s">
        <v>642</v>
      </c>
      <c r="B40" s="41"/>
      <c r="C40" s="43"/>
      <c r="D40" s="43"/>
      <c r="E40" s="43"/>
      <c r="F40" s="43"/>
      <c r="G40" s="43"/>
      <c r="H40" s="15"/>
      <c r="I40" s="15"/>
      <c r="J40" s="15"/>
      <c r="K40" s="15"/>
      <c r="L40" s="15"/>
      <c r="M40" s="15"/>
      <c r="N40" s="15"/>
      <c r="O40" s="15"/>
      <c r="P40" s="15"/>
      <c r="Q40" s="15"/>
      <c r="R40" s="15"/>
      <c r="S40" s="15"/>
      <c r="T40" s="15"/>
      <c r="U40" s="15"/>
      <c r="V40" s="15"/>
      <c r="W40" s="15"/>
      <c r="X40" s="15"/>
      <c r="Y40" s="15"/>
      <c r="Z40" s="15"/>
    </row>
    <row r="41" spans="1:26" ht="15.75" customHeight="1" x14ac:dyDescent="0.25">
      <c r="A41" s="44" t="s">
        <v>393</v>
      </c>
      <c r="B41" s="20" t="s">
        <v>187</v>
      </c>
      <c r="C41" s="56">
        <v>20491</v>
      </c>
      <c r="D41" s="56">
        <v>20805.439999999999</v>
      </c>
      <c r="E41" s="43">
        <f>F41-D41</f>
        <v>79194.559999999998</v>
      </c>
      <c r="F41" s="43">
        <v>100000</v>
      </c>
      <c r="G41" s="43">
        <v>100000</v>
      </c>
      <c r="H41" s="15"/>
      <c r="I41" s="15"/>
      <c r="J41" s="15"/>
      <c r="K41" s="15"/>
      <c r="L41" s="15"/>
      <c r="M41" s="15"/>
      <c r="N41" s="15"/>
      <c r="O41" s="15"/>
      <c r="P41" s="15"/>
      <c r="Q41" s="15"/>
      <c r="R41" s="15"/>
      <c r="S41" s="15"/>
      <c r="T41" s="15"/>
      <c r="U41" s="15"/>
      <c r="V41" s="15"/>
      <c r="W41" s="15"/>
      <c r="X41" s="15"/>
      <c r="Y41" s="15"/>
      <c r="Z41" s="15"/>
    </row>
    <row r="42" spans="1:26" ht="15.75" customHeight="1" x14ac:dyDescent="0.25">
      <c r="A42" s="17" t="s">
        <v>493</v>
      </c>
      <c r="B42" s="20"/>
      <c r="C42" s="56"/>
      <c r="D42" s="56"/>
      <c r="E42" s="43"/>
      <c r="F42" s="43"/>
      <c r="G42" s="43"/>
      <c r="H42" s="15"/>
      <c r="I42" s="15"/>
      <c r="J42" s="15"/>
      <c r="K42" s="15"/>
      <c r="L42" s="15"/>
      <c r="M42" s="15"/>
      <c r="N42" s="15"/>
      <c r="O42" s="15"/>
      <c r="P42" s="15"/>
      <c r="Q42" s="15"/>
      <c r="R42" s="15"/>
      <c r="S42" s="15"/>
      <c r="T42" s="15"/>
      <c r="U42" s="15"/>
      <c r="V42" s="15"/>
      <c r="W42" s="15"/>
      <c r="X42" s="15"/>
      <c r="Y42" s="15"/>
      <c r="Z42" s="15"/>
    </row>
    <row r="43" spans="1:26" ht="15.75" customHeight="1" x14ac:dyDescent="0.25">
      <c r="A43" s="44" t="s">
        <v>396</v>
      </c>
      <c r="B43" s="41" t="s">
        <v>191</v>
      </c>
      <c r="C43" s="43">
        <v>10800</v>
      </c>
      <c r="D43" s="43">
        <v>0</v>
      </c>
      <c r="E43" s="43">
        <f>F43-D43</f>
        <v>100000</v>
      </c>
      <c r="F43" s="43">
        <v>100000</v>
      </c>
      <c r="G43" s="43">
        <v>100000</v>
      </c>
      <c r="H43" s="15"/>
      <c r="I43" s="15"/>
      <c r="J43" s="15"/>
      <c r="K43" s="15"/>
      <c r="L43" s="15"/>
      <c r="M43" s="15"/>
      <c r="N43" s="15"/>
      <c r="O43" s="15"/>
      <c r="P43" s="15"/>
      <c r="Q43" s="15"/>
      <c r="R43" s="15"/>
      <c r="S43" s="15"/>
      <c r="T43" s="15"/>
      <c r="U43" s="15"/>
      <c r="V43" s="15"/>
      <c r="W43" s="15"/>
      <c r="X43" s="15"/>
      <c r="Y43" s="15"/>
      <c r="Z43" s="15"/>
    </row>
    <row r="44" spans="1:26" ht="15.75" customHeight="1" x14ac:dyDescent="0.25">
      <c r="A44" s="17" t="s">
        <v>499</v>
      </c>
      <c r="B44" s="41"/>
      <c r="C44" s="43"/>
      <c r="D44" s="43"/>
      <c r="E44" s="43"/>
      <c r="F44" s="43"/>
      <c r="G44" s="43"/>
      <c r="H44" s="15"/>
      <c r="I44" s="15"/>
      <c r="J44" s="15"/>
      <c r="K44" s="15"/>
      <c r="L44" s="15"/>
      <c r="M44" s="15"/>
      <c r="N44" s="15"/>
      <c r="O44" s="15"/>
      <c r="P44" s="15"/>
      <c r="Q44" s="15"/>
      <c r="R44" s="15"/>
      <c r="S44" s="15"/>
      <c r="T44" s="15"/>
      <c r="U44" s="15"/>
      <c r="V44" s="15"/>
      <c r="W44" s="15"/>
      <c r="X44" s="15"/>
      <c r="Y44" s="15"/>
      <c r="Z44" s="15"/>
    </row>
    <row r="45" spans="1:26" ht="15.75" customHeight="1" x14ac:dyDescent="0.25">
      <c r="A45" s="44" t="s">
        <v>398</v>
      </c>
      <c r="B45" s="41" t="s">
        <v>195</v>
      </c>
      <c r="C45" s="43">
        <v>250440.74</v>
      </c>
      <c r="D45" s="43">
        <v>0</v>
      </c>
      <c r="E45" s="43">
        <f>F45-D45</f>
        <v>204011</v>
      </c>
      <c r="F45" s="43">
        <v>204011</v>
      </c>
      <c r="G45" s="43">
        <v>257911</v>
      </c>
      <c r="H45" s="15"/>
      <c r="I45" s="15"/>
      <c r="J45" s="15"/>
      <c r="K45" s="15"/>
      <c r="L45" s="15"/>
      <c r="M45" s="15"/>
      <c r="N45" s="15"/>
      <c r="O45" s="15"/>
      <c r="P45" s="15"/>
      <c r="Q45" s="15"/>
      <c r="R45" s="15"/>
      <c r="S45" s="15"/>
      <c r="T45" s="15"/>
      <c r="U45" s="15"/>
      <c r="V45" s="15"/>
      <c r="W45" s="15"/>
      <c r="X45" s="15"/>
      <c r="Y45" s="15"/>
      <c r="Z45" s="15"/>
    </row>
    <row r="46" spans="1:26" ht="15.75" customHeight="1" x14ac:dyDescent="0.25">
      <c r="A46" s="44" t="s">
        <v>400</v>
      </c>
      <c r="B46" s="41" t="s">
        <v>221</v>
      </c>
      <c r="C46" s="43">
        <v>0</v>
      </c>
      <c r="D46" s="43">
        <v>0</v>
      </c>
      <c r="E46" s="43">
        <v>0</v>
      </c>
      <c r="F46" s="43">
        <v>0</v>
      </c>
      <c r="G46" s="43">
        <v>111000</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44" t="s">
        <v>1306</v>
      </c>
      <c r="B47" s="41" t="s">
        <v>223</v>
      </c>
      <c r="C47" s="43">
        <v>0</v>
      </c>
      <c r="D47" s="43">
        <v>0</v>
      </c>
      <c r="E47" s="43">
        <v>0</v>
      </c>
      <c r="F47" s="43">
        <v>0</v>
      </c>
      <c r="G47" s="43">
        <v>21000</v>
      </c>
      <c r="H47" s="15"/>
      <c r="I47" s="15"/>
      <c r="J47" s="15"/>
      <c r="K47" s="15"/>
      <c r="L47" s="15"/>
      <c r="M47" s="15"/>
      <c r="N47" s="15"/>
      <c r="O47" s="15"/>
      <c r="P47" s="15"/>
      <c r="Q47" s="15"/>
      <c r="R47" s="15"/>
      <c r="S47" s="15"/>
      <c r="T47" s="15"/>
      <c r="U47" s="15"/>
      <c r="V47" s="15"/>
      <c r="W47" s="15"/>
      <c r="X47" s="15"/>
      <c r="Y47" s="15"/>
      <c r="Z47" s="15"/>
    </row>
    <row r="48" spans="1:26" ht="15.75" customHeight="1" x14ac:dyDescent="0.25">
      <c r="A48" s="44" t="s">
        <v>402</v>
      </c>
      <c r="B48" s="41" t="s">
        <v>225</v>
      </c>
      <c r="C48" s="43">
        <v>52677.53</v>
      </c>
      <c r="D48" s="43">
        <v>0</v>
      </c>
      <c r="E48" s="43">
        <f>F48-D48</f>
        <v>48562</v>
      </c>
      <c r="F48" s="43">
        <v>48562</v>
      </c>
      <c r="G48" s="43">
        <v>61368</v>
      </c>
      <c r="H48" s="15"/>
      <c r="I48" s="15"/>
      <c r="J48" s="15"/>
      <c r="K48" s="15"/>
      <c r="L48" s="15"/>
      <c r="M48" s="15"/>
      <c r="N48" s="15"/>
      <c r="O48" s="15"/>
      <c r="P48" s="15"/>
      <c r="Q48" s="15"/>
      <c r="R48" s="15"/>
      <c r="S48" s="15"/>
      <c r="T48" s="15"/>
      <c r="U48" s="15"/>
      <c r="V48" s="15"/>
      <c r="W48" s="15"/>
      <c r="X48" s="15"/>
      <c r="Y48" s="15"/>
      <c r="Z48" s="15"/>
    </row>
    <row r="49" spans="1:26" ht="15.75" customHeight="1" x14ac:dyDescent="0.25">
      <c r="A49" s="17" t="s">
        <v>503</v>
      </c>
      <c r="B49" s="41"/>
      <c r="C49" s="43"/>
      <c r="D49" s="43"/>
      <c r="E49" s="43"/>
      <c r="F49" s="43"/>
      <c r="G49" s="43"/>
      <c r="H49" s="15"/>
      <c r="I49" s="15"/>
      <c r="J49" s="15"/>
      <c r="K49" s="15"/>
      <c r="L49" s="15"/>
      <c r="M49" s="15"/>
      <c r="N49" s="15"/>
      <c r="O49" s="15"/>
      <c r="P49" s="15"/>
      <c r="Q49" s="15"/>
      <c r="R49" s="15"/>
      <c r="S49" s="15"/>
      <c r="T49" s="15"/>
      <c r="U49" s="15"/>
      <c r="V49" s="15"/>
      <c r="W49" s="15"/>
      <c r="X49" s="15"/>
      <c r="Y49" s="15"/>
      <c r="Z49" s="15"/>
    </row>
    <row r="50" spans="1:26" ht="15.75" customHeight="1" x14ac:dyDescent="0.25">
      <c r="A50" s="44" t="s">
        <v>1303</v>
      </c>
      <c r="B50" s="41" t="s">
        <v>231</v>
      </c>
      <c r="C50" s="43">
        <v>0</v>
      </c>
      <c r="D50" s="43">
        <v>0</v>
      </c>
      <c r="E50" s="43">
        <f t="shared" ref="E50:E51" si="5">F50-D50</f>
        <v>20000</v>
      </c>
      <c r="F50" s="43">
        <v>20000</v>
      </c>
      <c r="G50" s="43">
        <v>20000</v>
      </c>
      <c r="H50" s="15"/>
      <c r="I50" s="15"/>
      <c r="J50" s="15"/>
      <c r="K50" s="15"/>
      <c r="L50" s="15"/>
      <c r="M50" s="15"/>
      <c r="N50" s="15"/>
      <c r="O50" s="15"/>
      <c r="P50" s="15"/>
      <c r="Q50" s="15"/>
      <c r="R50" s="15"/>
      <c r="S50" s="15"/>
      <c r="T50" s="15"/>
      <c r="U50" s="15"/>
      <c r="V50" s="15"/>
      <c r="W50" s="15"/>
      <c r="X50" s="15"/>
      <c r="Y50" s="15"/>
      <c r="Z50" s="15"/>
    </row>
    <row r="51" spans="1:26" ht="15.75" customHeight="1" x14ac:dyDescent="0.25">
      <c r="A51" s="44" t="s">
        <v>405</v>
      </c>
      <c r="B51" s="41" t="s">
        <v>235</v>
      </c>
      <c r="C51" s="43">
        <v>42000</v>
      </c>
      <c r="D51" s="43">
        <v>15000</v>
      </c>
      <c r="E51" s="43">
        <f t="shared" si="5"/>
        <v>39000</v>
      </c>
      <c r="F51" s="43">
        <v>54000</v>
      </c>
      <c r="G51" s="43">
        <v>54000</v>
      </c>
      <c r="H51" s="15"/>
      <c r="I51" s="15"/>
      <c r="J51" s="15"/>
      <c r="K51" s="15"/>
      <c r="L51" s="15"/>
      <c r="M51" s="15"/>
      <c r="N51" s="15"/>
      <c r="O51" s="15"/>
      <c r="P51" s="15"/>
      <c r="Q51" s="15"/>
      <c r="R51" s="15"/>
      <c r="S51" s="15"/>
      <c r="T51" s="15"/>
      <c r="U51" s="15"/>
      <c r="V51" s="15"/>
      <c r="W51" s="15"/>
      <c r="X51" s="15"/>
      <c r="Y51" s="15"/>
      <c r="Z51" s="15"/>
    </row>
    <row r="52" spans="1:26" ht="15.75" customHeight="1" x14ac:dyDescent="0.25">
      <c r="A52" s="17" t="s">
        <v>511</v>
      </c>
      <c r="B52" s="41"/>
      <c r="C52" s="43"/>
      <c r="D52" s="43"/>
      <c r="E52" s="43"/>
      <c r="F52" s="43"/>
      <c r="G52" s="43"/>
      <c r="H52" s="15"/>
      <c r="I52" s="15"/>
      <c r="J52" s="15"/>
      <c r="K52" s="15"/>
      <c r="L52" s="15"/>
      <c r="M52" s="15"/>
      <c r="N52" s="15"/>
      <c r="O52" s="15"/>
      <c r="P52" s="15"/>
      <c r="Q52" s="15"/>
      <c r="R52" s="15"/>
      <c r="S52" s="15"/>
      <c r="T52" s="15"/>
      <c r="U52" s="15"/>
      <c r="V52" s="15"/>
      <c r="W52" s="15"/>
      <c r="X52" s="15"/>
      <c r="Y52" s="15"/>
      <c r="Z52" s="15"/>
    </row>
    <row r="53" spans="1:26" ht="15.75" customHeight="1" x14ac:dyDescent="0.25">
      <c r="A53" s="44" t="s">
        <v>424</v>
      </c>
      <c r="B53" s="41" t="s">
        <v>335</v>
      </c>
      <c r="C53" s="43">
        <v>0</v>
      </c>
      <c r="D53" s="43">
        <v>0</v>
      </c>
      <c r="E53" s="43">
        <v>0</v>
      </c>
      <c r="F53" s="43">
        <v>0</v>
      </c>
      <c r="G53" s="43">
        <v>715968</v>
      </c>
      <c r="H53" s="15"/>
      <c r="I53" s="15"/>
      <c r="J53" s="15"/>
      <c r="K53" s="15"/>
      <c r="L53" s="15"/>
      <c r="M53" s="15"/>
      <c r="N53" s="15"/>
      <c r="O53" s="15"/>
      <c r="P53" s="15"/>
      <c r="Q53" s="15"/>
      <c r="R53" s="15"/>
      <c r="S53" s="15"/>
      <c r="T53" s="15"/>
      <c r="U53" s="15"/>
      <c r="V53" s="15"/>
      <c r="W53" s="15"/>
      <c r="X53" s="15"/>
      <c r="Y53" s="15"/>
      <c r="Z53" s="15"/>
    </row>
    <row r="54" spans="1:26" ht="15.75" hidden="1" customHeight="1" x14ac:dyDescent="0.25">
      <c r="A54" s="44" t="s">
        <v>1307</v>
      </c>
      <c r="B54" s="41"/>
      <c r="C54" s="43"/>
      <c r="D54" s="43"/>
      <c r="E54" s="43"/>
      <c r="F54" s="43"/>
      <c r="G54" s="43"/>
      <c r="H54" s="15"/>
      <c r="I54" s="210" t="s">
        <v>877</v>
      </c>
      <c r="J54" s="211" t="s">
        <v>878</v>
      </c>
      <c r="K54" s="210" t="s">
        <v>879</v>
      </c>
      <c r="L54" s="8" t="s">
        <v>880</v>
      </c>
      <c r="M54" s="210" t="s">
        <v>881</v>
      </c>
      <c r="N54" s="15"/>
      <c r="O54" s="15"/>
      <c r="P54" s="15"/>
      <c r="Q54" s="15"/>
      <c r="R54" s="15"/>
      <c r="S54" s="15"/>
      <c r="T54" s="15"/>
      <c r="U54" s="15"/>
      <c r="V54" s="15"/>
      <c r="W54" s="15"/>
      <c r="X54" s="15"/>
      <c r="Y54" s="15"/>
      <c r="Z54" s="15"/>
    </row>
    <row r="55" spans="1:26" ht="15.75" customHeight="1" x14ac:dyDescent="0.25">
      <c r="A55" s="44" t="s">
        <v>1308</v>
      </c>
      <c r="B55" s="41"/>
      <c r="C55" s="43"/>
      <c r="D55" s="43"/>
      <c r="E55" s="43"/>
      <c r="F55" s="43"/>
      <c r="G55" s="43"/>
      <c r="H55" s="15"/>
      <c r="I55" s="60">
        <v>678</v>
      </c>
      <c r="J55" s="211">
        <v>4</v>
      </c>
      <c r="K55" s="8">
        <v>22</v>
      </c>
      <c r="L55" s="8">
        <v>12</v>
      </c>
      <c r="M55" s="60">
        <f>I55*J55*K55*L55</f>
        <v>715968</v>
      </c>
      <c r="N55" s="15"/>
      <c r="O55" s="15"/>
      <c r="P55" s="15"/>
      <c r="Q55" s="15"/>
      <c r="R55" s="15"/>
      <c r="S55" s="15"/>
      <c r="T55" s="15"/>
      <c r="U55" s="15"/>
      <c r="V55" s="15"/>
      <c r="W55" s="15"/>
      <c r="X55" s="15"/>
      <c r="Y55" s="15"/>
      <c r="Z55" s="15"/>
    </row>
    <row r="56" spans="1:26" ht="15.75" customHeight="1" x14ac:dyDescent="0.25">
      <c r="A56" s="606" t="s">
        <v>466</v>
      </c>
      <c r="B56" s="483"/>
      <c r="C56" s="54">
        <f t="shared" ref="C56:D56" si="6">+SUM(C41:C51)</f>
        <v>376409.27</v>
      </c>
      <c r="D56" s="54">
        <f t="shared" si="6"/>
        <v>35805.440000000002</v>
      </c>
      <c r="E56" s="54">
        <f>F56-D56</f>
        <v>490767.56</v>
      </c>
      <c r="F56" s="54">
        <f>+SUM(F41:F51)</f>
        <v>526573</v>
      </c>
      <c r="G56" s="54">
        <f>SUM(G41:G53)</f>
        <v>1441247</v>
      </c>
      <c r="H56" s="15"/>
      <c r="I56" s="15"/>
      <c r="J56" s="15"/>
      <c r="K56" s="15"/>
      <c r="L56" s="15"/>
      <c r="M56" s="15"/>
      <c r="N56" s="15"/>
      <c r="O56" s="15"/>
      <c r="P56" s="15"/>
      <c r="Q56" s="15"/>
      <c r="R56" s="15"/>
      <c r="S56" s="15"/>
      <c r="T56" s="15"/>
      <c r="U56" s="15"/>
      <c r="V56" s="15"/>
      <c r="W56" s="15"/>
      <c r="X56" s="15"/>
      <c r="Y56" s="15"/>
      <c r="Z56" s="15"/>
    </row>
    <row r="57" spans="1:26" ht="15.75" customHeight="1" x14ac:dyDescent="0.25">
      <c r="A57" s="625"/>
      <c r="B57" s="601"/>
      <c r="C57" s="449"/>
      <c r="D57" s="448"/>
      <c r="E57" s="448"/>
      <c r="F57" s="448"/>
      <c r="G57" s="448"/>
      <c r="H57" s="15"/>
      <c r="I57" s="15"/>
      <c r="J57" s="15"/>
      <c r="K57" s="15"/>
      <c r="L57" s="15"/>
      <c r="M57" s="15"/>
      <c r="N57" s="15"/>
      <c r="O57" s="15"/>
      <c r="P57" s="15"/>
      <c r="Q57" s="15"/>
      <c r="R57" s="15"/>
      <c r="S57" s="15"/>
      <c r="T57" s="15"/>
      <c r="U57" s="15"/>
      <c r="V57" s="15"/>
      <c r="W57" s="15"/>
      <c r="X57" s="15"/>
      <c r="Y57" s="15"/>
      <c r="Z57" s="15"/>
    </row>
    <row r="58" spans="1:26" ht="15.75" customHeight="1" x14ac:dyDescent="0.25">
      <c r="A58" s="17" t="s">
        <v>467</v>
      </c>
      <c r="B58" s="41"/>
      <c r="C58" s="43">
        <f t="shared" ref="C58:D58" si="7">+C56+C38</f>
        <v>8824703.0399999991</v>
      </c>
      <c r="D58" s="43">
        <f t="shared" si="7"/>
        <v>4211493.72</v>
      </c>
      <c r="E58" s="43">
        <f>F58-D58</f>
        <v>7628694.2800000003</v>
      </c>
      <c r="F58" s="43">
        <f t="shared" ref="F58:G58" si="8">+F56+F38</f>
        <v>11840188</v>
      </c>
      <c r="G58" s="43">
        <f t="shared" si="8"/>
        <v>11894395</v>
      </c>
      <c r="H58" s="15"/>
      <c r="I58" s="15"/>
      <c r="J58" s="15"/>
      <c r="K58" s="15"/>
      <c r="L58" s="15"/>
      <c r="M58" s="15"/>
      <c r="N58" s="15"/>
      <c r="O58" s="15"/>
      <c r="P58" s="15"/>
      <c r="Q58" s="15"/>
      <c r="R58" s="15"/>
      <c r="S58" s="15"/>
      <c r="T58" s="15"/>
      <c r="U58" s="15"/>
      <c r="V58" s="15"/>
      <c r="W58" s="15"/>
      <c r="X58" s="15"/>
      <c r="Y58" s="15"/>
      <c r="Z58" s="15"/>
    </row>
    <row r="59" spans="1:26" ht="15.75" customHeight="1" x14ac:dyDescent="0.25">
      <c r="A59" s="17"/>
      <c r="B59" s="41"/>
      <c r="C59" s="43"/>
      <c r="D59" s="43"/>
      <c r="E59" s="43"/>
      <c r="F59" s="43"/>
      <c r="G59" s="43"/>
      <c r="H59" s="15"/>
      <c r="I59" s="15"/>
      <c r="J59" s="15"/>
      <c r="K59" s="15"/>
      <c r="L59" s="15"/>
      <c r="M59" s="15"/>
      <c r="N59" s="15"/>
      <c r="O59" s="15"/>
      <c r="P59" s="15"/>
      <c r="Q59" s="15"/>
      <c r="R59" s="15"/>
      <c r="S59" s="15"/>
      <c r="T59" s="15"/>
      <c r="U59" s="15"/>
      <c r="V59" s="15"/>
      <c r="W59" s="15"/>
      <c r="X59" s="15"/>
      <c r="Y59" s="15"/>
      <c r="Z59" s="15"/>
    </row>
    <row r="60" spans="1:26" ht="15.75" customHeight="1" x14ac:dyDescent="0.25">
      <c r="A60" s="17" t="s">
        <v>529</v>
      </c>
      <c r="B60" s="41"/>
      <c r="C60" s="43"/>
      <c r="D60" s="43"/>
      <c r="E60" s="43"/>
      <c r="F60" s="43"/>
      <c r="G60" s="43"/>
      <c r="H60" s="15"/>
      <c r="I60" s="15"/>
      <c r="J60" s="15"/>
      <c r="K60" s="15"/>
      <c r="L60" s="15"/>
      <c r="M60" s="15"/>
      <c r="N60" s="15"/>
      <c r="O60" s="15"/>
      <c r="P60" s="15"/>
      <c r="Q60" s="15"/>
      <c r="R60" s="15"/>
      <c r="S60" s="15"/>
      <c r="T60" s="15"/>
      <c r="U60" s="15"/>
      <c r="V60" s="15"/>
      <c r="W60" s="15"/>
      <c r="X60" s="15"/>
      <c r="Y60" s="15"/>
      <c r="Z60" s="15"/>
    </row>
    <row r="61" spans="1:26" ht="15.75" customHeight="1" x14ac:dyDescent="0.25">
      <c r="A61" s="17" t="s">
        <v>476</v>
      </c>
      <c r="B61" s="41"/>
      <c r="C61" s="43"/>
      <c r="D61" s="43"/>
      <c r="E61" s="43"/>
      <c r="F61" s="43"/>
      <c r="G61" s="43"/>
      <c r="H61" s="15"/>
      <c r="I61" s="15"/>
      <c r="J61" s="15"/>
      <c r="K61" s="15"/>
      <c r="L61" s="15"/>
      <c r="M61" s="15"/>
      <c r="N61" s="15"/>
      <c r="O61" s="15"/>
      <c r="P61" s="15"/>
      <c r="Q61" s="15"/>
      <c r="R61" s="15"/>
      <c r="S61" s="15"/>
      <c r="T61" s="15"/>
      <c r="U61" s="15"/>
      <c r="V61" s="15"/>
      <c r="W61" s="15"/>
      <c r="X61" s="15"/>
      <c r="Y61" s="15"/>
      <c r="Z61" s="15"/>
    </row>
    <row r="62" spans="1:26" ht="15.75" customHeight="1" x14ac:dyDescent="0.25">
      <c r="A62" s="44" t="s">
        <v>639</v>
      </c>
      <c r="B62" s="41" t="s">
        <v>47</v>
      </c>
      <c r="C62" s="43">
        <v>119800</v>
      </c>
      <c r="D62" s="43">
        <v>0</v>
      </c>
      <c r="E62" s="43">
        <f>F62-D62</f>
        <v>0</v>
      </c>
      <c r="F62" s="43">
        <v>0</v>
      </c>
      <c r="G62" s="43">
        <v>113106</v>
      </c>
      <c r="H62" s="15"/>
      <c r="I62" s="15"/>
      <c r="J62" s="15"/>
      <c r="K62" s="15"/>
      <c r="L62" s="15"/>
      <c r="M62" s="15"/>
      <c r="N62" s="15"/>
      <c r="O62" s="15"/>
      <c r="P62" s="15"/>
      <c r="Q62" s="15"/>
      <c r="R62" s="15"/>
      <c r="S62" s="15"/>
      <c r="T62" s="15"/>
      <c r="U62" s="15"/>
      <c r="V62" s="15"/>
      <c r="W62" s="15"/>
      <c r="X62" s="15"/>
      <c r="Y62" s="15"/>
      <c r="Z62" s="15"/>
    </row>
    <row r="63" spans="1:26" ht="15.75" customHeight="1" x14ac:dyDescent="0.25">
      <c r="A63" s="44" t="s">
        <v>1309</v>
      </c>
      <c r="B63" s="41"/>
      <c r="C63" s="43"/>
      <c r="D63" s="43"/>
      <c r="E63" s="43"/>
      <c r="F63" s="43"/>
      <c r="G63" s="43"/>
      <c r="I63" s="40">
        <v>62500</v>
      </c>
      <c r="J63" s="40"/>
    </row>
    <row r="64" spans="1:26" ht="15.75" customHeight="1" x14ac:dyDescent="0.25">
      <c r="A64" s="44" t="s">
        <v>1310</v>
      </c>
      <c r="B64" s="41"/>
      <c r="C64" s="43"/>
      <c r="D64" s="43"/>
      <c r="E64" s="43"/>
      <c r="F64" s="43"/>
      <c r="G64" s="43"/>
      <c r="I64" s="40">
        <v>50606</v>
      </c>
      <c r="J64" s="40">
        <f>I63+I64</f>
        <v>113106</v>
      </c>
    </row>
    <row r="65" spans="1:7" ht="15.75" customHeight="1" x14ac:dyDescent="0.25">
      <c r="A65" s="17" t="s">
        <v>536</v>
      </c>
      <c r="B65" s="41"/>
      <c r="C65" s="54">
        <f t="shared" ref="C65:D65" si="9">+SUM(C62)</f>
        <v>119800</v>
      </c>
      <c r="D65" s="54">
        <f t="shared" si="9"/>
        <v>0</v>
      </c>
      <c r="E65" s="54">
        <f>F65-D65</f>
        <v>0</v>
      </c>
      <c r="F65" s="54">
        <f>+SUM(F62)</f>
        <v>0</v>
      </c>
      <c r="G65" s="54">
        <f>SUM(G62:G64)</f>
        <v>113106</v>
      </c>
    </row>
    <row r="66" spans="1:7" ht="15.75" customHeight="1" x14ac:dyDescent="0.25">
      <c r="A66" s="17"/>
      <c r="B66" s="41"/>
      <c r="C66" s="43"/>
      <c r="D66" s="43"/>
      <c r="E66" s="43"/>
      <c r="F66" s="43"/>
      <c r="G66" s="43"/>
    </row>
    <row r="67" spans="1:7" ht="15.75" customHeight="1" x14ac:dyDescent="0.25">
      <c r="A67" s="50" t="s">
        <v>487</v>
      </c>
      <c r="B67" s="51" t="s">
        <v>488</v>
      </c>
      <c r="C67" s="54">
        <f t="shared" ref="C67:D67" si="10">+C65+C58</f>
        <v>8944503.0399999991</v>
      </c>
      <c r="D67" s="54">
        <f t="shared" si="10"/>
        <v>4211493.72</v>
      </c>
      <c r="E67" s="54">
        <f>F67-D67</f>
        <v>7628694.2800000003</v>
      </c>
      <c r="F67" s="54">
        <f t="shared" ref="F67:G67" si="11">+F65+F58</f>
        <v>11840188</v>
      </c>
      <c r="G67" s="54">
        <f t="shared" si="11"/>
        <v>12007501</v>
      </c>
    </row>
    <row r="68" spans="1:7" ht="15.75" customHeight="1" x14ac:dyDescent="0.25">
      <c r="A68" s="24"/>
      <c r="B68" s="25"/>
      <c r="C68" s="24"/>
      <c r="D68" s="24"/>
      <c r="E68" s="24"/>
    </row>
    <row r="69" spans="1:7" ht="15.75" customHeight="1" x14ac:dyDescent="0.25">
      <c r="A69" s="24"/>
      <c r="B69" s="25"/>
      <c r="C69" s="24"/>
      <c r="D69" s="24"/>
      <c r="E69" s="24"/>
    </row>
    <row r="70" spans="1:7" ht="15.75" customHeight="1" x14ac:dyDescent="0.25">
      <c r="A70" s="24"/>
      <c r="B70" s="25"/>
      <c r="C70" s="24"/>
      <c r="D70" s="24"/>
      <c r="E70" s="24"/>
    </row>
    <row r="71" spans="1:7" ht="15.75" customHeight="1" x14ac:dyDescent="0.25">
      <c r="A71" s="24"/>
      <c r="B71" s="25"/>
      <c r="C71" s="24"/>
      <c r="D71" s="24"/>
      <c r="E71" s="24"/>
    </row>
    <row r="72" spans="1:7" ht="15.75" customHeight="1" x14ac:dyDescent="0.25">
      <c r="A72" s="24"/>
      <c r="B72" s="25"/>
      <c r="C72" s="24"/>
      <c r="D72" s="24"/>
      <c r="E72" s="24"/>
    </row>
    <row r="73" spans="1:7" ht="15.75" customHeight="1" x14ac:dyDescent="0.25">
      <c r="A73" s="24"/>
      <c r="B73" s="25"/>
      <c r="C73" s="24"/>
      <c r="D73" s="24"/>
      <c r="E73" s="24"/>
    </row>
    <row r="74" spans="1:7" ht="15.75" customHeight="1" x14ac:dyDescent="0.25">
      <c r="A74" s="24"/>
      <c r="B74" s="25"/>
      <c r="C74" s="24"/>
      <c r="D74" s="24"/>
      <c r="E74" s="24"/>
    </row>
    <row r="75" spans="1:7" ht="15.75" customHeight="1" x14ac:dyDescent="0.25">
      <c r="A75" s="24"/>
      <c r="B75" s="25"/>
      <c r="C75" s="24"/>
      <c r="D75" s="24"/>
      <c r="E75" s="24"/>
    </row>
    <row r="76" spans="1:7" ht="15.75" customHeight="1" x14ac:dyDescent="0.25">
      <c r="A76" s="24"/>
      <c r="B76" s="25"/>
      <c r="C76" s="24"/>
      <c r="D76" s="24"/>
      <c r="E76" s="24"/>
    </row>
    <row r="77" spans="1:7" ht="15.75" customHeight="1" x14ac:dyDescent="0.25">
      <c r="A77" s="24"/>
      <c r="B77" s="25"/>
      <c r="C77" s="24"/>
      <c r="D77" s="24"/>
      <c r="E77" s="24"/>
    </row>
    <row r="78" spans="1:7" ht="15.75" customHeight="1" x14ac:dyDescent="0.25">
      <c r="A78" s="24"/>
      <c r="B78" s="25"/>
      <c r="C78" s="24"/>
      <c r="D78" s="24"/>
      <c r="E78" s="24"/>
    </row>
    <row r="79" spans="1:7" ht="15.75" customHeight="1" x14ac:dyDescent="0.25">
      <c r="A79" s="24"/>
      <c r="B79" s="25"/>
      <c r="C79" s="24"/>
      <c r="D79" s="24"/>
      <c r="E79" s="24"/>
    </row>
    <row r="80" spans="1:7" ht="15.75" customHeight="1" x14ac:dyDescent="0.25">
      <c r="A80" s="24"/>
      <c r="B80" s="25"/>
      <c r="C80" s="24"/>
      <c r="D80" s="24"/>
      <c r="E80" s="24"/>
    </row>
    <row r="81" spans="1:5" ht="15.75" customHeight="1" x14ac:dyDescent="0.25">
      <c r="A81" s="24"/>
      <c r="B81" s="25"/>
      <c r="C81" s="24"/>
      <c r="D81" s="24"/>
      <c r="E81" s="24"/>
    </row>
    <row r="82" spans="1:5" ht="15.75" customHeight="1" x14ac:dyDescent="0.25">
      <c r="A82" s="24"/>
      <c r="B82" s="25"/>
      <c r="C82" s="24"/>
      <c r="D82" s="24"/>
      <c r="E82" s="24"/>
    </row>
    <row r="83" spans="1:5" ht="15.75" customHeight="1" x14ac:dyDescent="0.25">
      <c r="A83" s="24"/>
      <c r="B83" s="25"/>
      <c r="C83" s="24"/>
      <c r="D83" s="24"/>
      <c r="E83" s="24"/>
    </row>
    <row r="84" spans="1:5" ht="15.75" customHeight="1" x14ac:dyDescent="0.25">
      <c r="A84" s="24"/>
      <c r="B84" s="25"/>
      <c r="C84" s="24"/>
      <c r="D84" s="24"/>
      <c r="E84" s="24"/>
    </row>
    <row r="85" spans="1:5" ht="15.75" customHeight="1" x14ac:dyDescent="0.25">
      <c r="A85" s="24"/>
      <c r="B85" s="25"/>
      <c r="C85" s="24"/>
      <c r="D85" s="24"/>
      <c r="E85" s="24"/>
    </row>
    <row r="86" spans="1:5" ht="15.75" customHeight="1" x14ac:dyDescent="0.25">
      <c r="A86" s="24"/>
      <c r="B86" s="25"/>
      <c r="C86" s="24"/>
      <c r="D86" s="24"/>
      <c r="E86" s="24"/>
    </row>
    <row r="87" spans="1:5" ht="15.75" customHeight="1" x14ac:dyDescent="0.25">
      <c r="A87" s="24"/>
      <c r="B87" s="25"/>
      <c r="C87" s="24"/>
      <c r="D87" s="24"/>
      <c r="E87" s="24"/>
    </row>
    <row r="88" spans="1:5" ht="15.75" customHeight="1" x14ac:dyDescent="0.25">
      <c r="A88" s="24"/>
      <c r="B88" s="25"/>
      <c r="C88" s="24"/>
      <c r="D88" s="24"/>
      <c r="E88" s="24"/>
    </row>
    <row r="89" spans="1:5" ht="15.75" customHeight="1" x14ac:dyDescent="0.25">
      <c r="A89" s="24"/>
      <c r="B89" s="25"/>
      <c r="C89" s="24"/>
      <c r="D89" s="24"/>
      <c r="E89" s="24"/>
    </row>
    <row r="90" spans="1:5" ht="15.75" customHeight="1" x14ac:dyDescent="0.25">
      <c r="A90" s="24"/>
      <c r="B90" s="25"/>
      <c r="C90" s="24"/>
      <c r="D90" s="24"/>
      <c r="E90" s="24"/>
    </row>
    <row r="91" spans="1:5" ht="15.75" customHeight="1" x14ac:dyDescent="0.25">
      <c r="A91" s="24"/>
      <c r="B91" s="25"/>
      <c r="C91" s="24"/>
      <c r="D91" s="24"/>
      <c r="E91" s="24"/>
    </row>
    <row r="92" spans="1:5" ht="15.75" customHeight="1" x14ac:dyDescent="0.25">
      <c r="A92" s="24"/>
      <c r="B92" s="25"/>
      <c r="C92" s="24"/>
      <c r="D92" s="24"/>
      <c r="E92" s="24"/>
    </row>
    <row r="93" spans="1:5" ht="15.75" customHeight="1" x14ac:dyDescent="0.25">
      <c r="A93" s="24"/>
      <c r="B93" s="25"/>
      <c r="C93" s="24"/>
      <c r="D93" s="24"/>
      <c r="E93" s="24"/>
    </row>
    <row r="94" spans="1:5" ht="15.75" customHeight="1" x14ac:dyDescent="0.25">
      <c r="A94" s="24"/>
      <c r="B94" s="25"/>
      <c r="C94" s="24"/>
      <c r="D94" s="24"/>
      <c r="E94" s="24"/>
    </row>
    <row r="95" spans="1:5" ht="15.75" customHeight="1" x14ac:dyDescent="0.25">
      <c r="A95" s="24"/>
      <c r="B95" s="25"/>
      <c r="C95" s="24"/>
      <c r="D95" s="24"/>
      <c r="E95" s="24"/>
    </row>
    <row r="96" spans="1:5" ht="15.75" customHeight="1" x14ac:dyDescent="0.25">
      <c r="A96" s="24"/>
      <c r="B96" s="25"/>
      <c r="C96" s="24"/>
      <c r="D96" s="24"/>
      <c r="E96" s="24"/>
    </row>
    <row r="97" spans="1:5" ht="15.75" customHeight="1" x14ac:dyDescent="0.25">
      <c r="A97" s="24"/>
      <c r="B97" s="25"/>
      <c r="C97" s="24"/>
      <c r="D97" s="24"/>
      <c r="E97" s="24"/>
    </row>
    <row r="98" spans="1:5" ht="15.75" customHeight="1" x14ac:dyDescent="0.25">
      <c r="A98" s="24"/>
      <c r="B98" s="25"/>
      <c r="C98" s="24"/>
      <c r="D98" s="24"/>
      <c r="E98" s="24"/>
    </row>
    <row r="99" spans="1:5" ht="15.75" customHeight="1" x14ac:dyDescent="0.25">
      <c r="A99" s="24"/>
      <c r="B99" s="25"/>
      <c r="C99" s="24"/>
      <c r="D99" s="24"/>
      <c r="E99" s="24"/>
    </row>
    <row r="100" spans="1:5" ht="15.75" customHeight="1" x14ac:dyDescent="0.25">
      <c r="A100" s="24"/>
      <c r="B100" s="25"/>
      <c r="C100" s="24"/>
      <c r="D100" s="24"/>
      <c r="E100" s="24"/>
    </row>
    <row r="101" spans="1:5" ht="15.75" customHeight="1" x14ac:dyDescent="0.25">
      <c r="A101" s="24"/>
      <c r="B101" s="25"/>
      <c r="C101" s="24"/>
      <c r="D101" s="24"/>
      <c r="E101" s="24"/>
    </row>
    <row r="102" spans="1:5" ht="15.75" customHeight="1" x14ac:dyDescent="0.25">
      <c r="A102" s="24"/>
      <c r="B102" s="25"/>
      <c r="C102" s="24"/>
      <c r="D102" s="24"/>
      <c r="E102" s="24"/>
    </row>
    <row r="103" spans="1:5" ht="15.75" customHeight="1" x14ac:dyDescent="0.25">
      <c r="A103" s="24"/>
      <c r="B103" s="25"/>
      <c r="C103" s="24"/>
      <c r="D103" s="24"/>
      <c r="E103" s="24"/>
    </row>
    <row r="104" spans="1:5" ht="15.75" customHeight="1" x14ac:dyDescent="0.25">
      <c r="A104" s="24"/>
      <c r="B104" s="25"/>
      <c r="C104" s="24"/>
      <c r="D104" s="24"/>
      <c r="E104" s="24"/>
    </row>
    <row r="105" spans="1:5" ht="15.75" customHeight="1" x14ac:dyDescent="0.25">
      <c r="A105" s="24"/>
      <c r="B105" s="25"/>
      <c r="C105" s="24"/>
      <c r="D105" s="24"/>
      <c r="E105" s="24"/>
    </row>
    <row r="106" spans="1:5" ht="15.75" customHeight="1" x14ac:dyDescent="0.25">
      <c r="A106" s="24"/>
      <c r="B106" s="25"/>
      <c r="C106" s="24"/>
      <c r="D106" s="24"/>
      <c r="E106" s="24"/>
    </row>
    <row r="107" spans="1:5" ht="15.75" customHeight="1" x14ac:dyDescent="0.25">
      <c r="A107" s="24"/>
      <c r="B107" s="25"/>
      <c r="C107" s="24"/>
      <c r="D107" s="24"/>
      <c r="E107" s="24"/>
    </row>
    <row r="108" spans="1:5" ht="15.75" customHeight="1" x14ac:dyDescent="0.25">
      <c r="A108" s="24"/>
      <c r="B108" s="25"/>
      <c r="C108" s="24"/>
      <c r="D108" s="24"/>
      <c r="E108" s="24"/>
    </row>
    <row r="109" spans="1:5" ht="15.75" customHeight="1" x14ac:dyDescent="0.25">
      <c r="A109" s="24"/>
      <c r="B109" s="25"/>
      <c r="C109" s="24"/>
      <c r="D109" s="24"/>
      <c r="E109" s="24"/>
    </row>
    <row r="110" spans="1:5" ht="15.75" customHeight="1" x14ac:dyDescent="0.25">
      <c r="A110" s="24"/>
      <c r="B110" s="25"/>
      <c r="C110" s="24"/>
      <c r="D110" s="24"/>
      <c r="E110" s="24"/>
    </row>
    <row r="111" spans="1:5" ht="15.75" customHeight="1" x14ac:dyDescent="0.25">
      <c r="A111" s="24"/>
      <c r="B111" s="25"/>
      <c r="C111" s="24"/>
      <c r="D111" s="24"/>
      <c r="E111" s="24"/>
    </row>
    <row r="112" spans="1:5" ht="15.75" customHeight="1" x14ac:dyDescent="0.25">
      <c r="A112" s="24"/>
      <c r="B112" s="25"/>
      <c r="C112" s="24"/>
      <c r="D112" s="24"/>
      <c r="E112" s="24"/>
    </row>
    <row r="113" spans="1:5" ht="15.75" customHeight="1" x14ac:dyDescent="0.25">
      <c r="A113" s="24"/>
      <c r="B113" s="25"/>
      <c r="C113" s="24"/>
      <c r="D113" s="24"/>
      <c r="E113" s="24"/>
    </row>
    <row r="114" spans="1:5" ht="15.75" customHeight="1" x14ac:dyDescent="0.25">
      <c r="A114" s="24"/>
      <c r="B114" s="25"/>
      <c r="C114" s="24"/>
      <c r="D114" s="24"/>
      <c r="E114" s="24"/>
    </row>
    <row r="115" spans="1:5" ht="15.75" customHeight="1" x14ac:dyDescent="0.25">
      <c r="A115" s="24"/>
      <c r="B115" s="25"/>
      <c r="C115" s="24"/>
      <c r="D115" s="24"/>
      <c r="E115" s="24"/>
    </row>
    <row r="116" spans="1:5" ht="15.75" customHeight="1" x14ac:dyDescent="0.25">
      <c r="A116" s="24"/>
      <c r="B116" s="25"/>
      <c r="C116" s="24"/>
      <c r="D116" s="24"/>
      <c r="E116" s="24"/>
    </row>
    <row r="117" spans="1:5" ht="15.75" customHeight="1" x14ac:dyDescent="0.25">
      <c r="A117" s="24"/>
      <c r="B117" s="25"/>
      <c r="C117" s="24"/>
      <c r="D117" s="24"/>
      <c r="E117" s="24"/>
    </row>
    <row r="118" spans="1:5" ht="15.75" customHeight="1" x14ac:dyDescent="0.25">
      <c r="A118" s="24"/>
      <c r="B118" s="25"/>
      <c r="C118" s="24"/>
      <c r="D118" s="24"/>
      <c r="E118" s="24"/>
    </row>
    <row r="119" spans="1:5" ht="15.75" customHeight="1" x14ac:dyDescent="0.25">
      <c r="A119" s="24"/>
      <c r="B119" s="25"/>
      <c r="C119" s="24"/>
      <c r="D119" s="24"/>
      <c r="E119" s="24"/>
    </row>
    <row r="120" spans="1:5" ht="15.75" customHeight="1" x14ac:dyDescent="0.25">
      <c r="A120" s="24"/>
      <c r="B120" s="25"/>
      <c r="C120" s="24"/>
      <c r="D120" s="24"/>
      <c r="E120" s="24"/>
    </row>
    <row r="121" spans="1:5" ht="15.75" customHeight="1" x14ac:dyDescent="0.25">
      <c r="A121" s="24"/>
      <c r="B121" s="25"/>
      <c r="C121" s="24"/>
      <c r="D121" s="24"/>
      <c r="E121" s="24"/>
    </row>
    <row r="122" spans="1:5" ht="15.75" customHeight="1" x14ac:dyDescent="0.25">
      <c r="A122" s="24"/>
      <c r="B122" s="25"/>
      <c r="C122" s="24"/>
      <c r="D122" s="24"/>
      <c r="E122" s="24"/>
    </row>
    <row r="123" spans="1:5" ht="15.75" customHeight="1" x14ac:dyDescent="0.25">
      <c r="A123" s="24"/>
      <c r="B123" s="25"/>
      <c r="C123" s="24"/>
      <c r="D123" s="24"/>
      <c r="E123" s="24"/>
    </row>
    <row r="124" spans="1:5" ht="15.75" customHeight="1" x14ac:dyDescent="0.25">
      <c r="A124" s="24"/>
      <c r="B124" s="25"/>
      <c r="C124" s="24"/>
      <c r="D124" s="24"/>
      <c r="E124" s="24"/>
    </row>
    <row r="125" spans="1:5" ht="15.75" customHeight="1" x14ac:dyDescent="0.25">
      <c r="A125" s="24"/>
      <c r="B125" s="25"/>
      <c r="C125" s="24"/>
      <c r="D125" s="24"/>
      <c r="E125" s="24"/>
    </row>
    <row r="126" spans="1:5" ht="15.75" customHeight="1" x14ac:dyDescent="0.25">
      <c r="A126" s="24"/>
      <c r="B126" s="25"/>
      <c r="C126" s="24"/>
      <c r="D126" s="24"/>
      <c r="E126" s="24"/>
    </row>
    <row r="127" spans="1:5" ht="15.75" customHeight="1" x14ac:dyDescent="0.25">
      <c r="A127" s="24"/>
      <c r="B127" s="25"/>
      <c r="C127" s="24"/>
      <c r="D127" s="24"/>
      <c r="E127" s="24"/>
    </row>
    <row r="128" spans="1:5" ht="15.75" customHeight="1" x14ac:dyDescent="0.25">
      <c r="A128" s="24"/>
      <c r="B128" s="25"/>
      <c r="C128" s="24"/>
      <c r="D128" s="24"/>
      <c r="E128" s="24"/>
    </row>
    <row r="129" spans="1:5" ht="15.75" customHeight="1" x14ac:dyDescent="0.25">
      <c r="A129" s="24"/>
      <c r="B129" s="25"/>
      <c r="C129" s="24"/>
      <c r="D129" s="24"/>
      <c r="E129" s="24"/>
    </row>
    <row r="130" spans="1:5" ht="15.75" customHeight="1" x14ac:dyDescent="0.25">
      <c r="A130" s="24"/>
      <c r="B130" s="25"/>
      <c r="C130" s="24"/>
      <c r="D130" s="24"/>
      <c r="E130" s="24"/>
    </row>
    <row r="131" spans="1:5" ht="15.75" customHeight="1" x14ac:dyDescent="0.25">
      <c r="A131" s="24"/>
      <c r="B131" s="25"/>
      <c r="C131" s="24"/>
      <c r="D131" s="24"/>
      <c r="E131" s="24"/>
    </row>
    <row r="132" spans="1:5" ht="15.75" customHeight="1" x14ac:dyDescent="0.25">
      <c r="A132" s="24"/>
      <c r="B132" s="25"/>
      <c r="C132" s="24"/>
      <c r="D132" s="24"/>
      <c r="E132" s="24"/>
    </row>
    <row r="133" spans="1:5" ht="15.75" customHeight="1" x14ac:dyDescent="0.25">
      <c r="A133" s="24"/>
      <c r="B133" s="25"/>
      <c r="C133" s="24"/>
      <c r="D133" s="24"/>
      <c r="E133" s="24"/>
    </row>
    <row r="134" spans="1:5" ht="15.75" customHeight="1" x14ac:dyDescent="0.25">
      <c r="A134" s="24"/>
      <c r="B134" s="25"/>
      <c r="C134" s="24"/>
      <c r="D134" s="24"/>
      <c r="E134" s="24"/>
    </row>
    <row r="135" spans="1:5" ht="15.75" customHeight="1" x14ac:dyDescent="0.25">
      <c r="A135" s="24"/>
      <c r="B135" s="25"/>
      <c r="C135" s="24"/>
      <c r="D135" s="24"/>
      <c r="E135" s="24"/>
    </row>
    <row r="136" spans="1:5" ht="15.75" customHeight="1" x14ac:dyDescent="0.25">
      <c r="A136" s="24"/>
      <c r="B136" s="25"/>
      <c r="C136" s="24"/>
      <c r="D136" s="24"/>
      <c r="E136" s="24"/>
    </row>
    <row r="137" spans="1:5" ht="15.75" customHeight="1" x14ac:dyDescent="0.25">
      <c r="A137" s="24"/>
      <c r="B137" s="25"/>
      <c r="C137" s="24"/>
      <c r="D137" s="24"/>
      <c r="E137" s="24"/>
    </row>
    <row r="138" spans="1:5" ht="15.75" customHeight="1" x14ac:dyDescent="0.25">
      <c r="A138" s="24"/>
      <c r="B138" s="25"/>
      <c r="C138" s="24"/>
      <c r="D138" s="24"/>
      <c r="E138" s="24"/>
    </row>
    <row r="139" spans="1:5" ht="15.75" customHeight="1" x14ac:dyDescent="0.25">
      <c r="A139" s="24"/>
      <c r="B139" s="25"/>
      <c r="C139" s="24"/>
      <c r="D139" s="24"/>
      <c r="E139" s="24"/>
    </row>
    <row r="140" spans="1:5" ht="15.75" customHeight="1" x14ac:dyDescent="0.25">
      <c r="A140" s="24"/>
      <c r="B140" s="25"/>
      <c r="C140" s="24"/>
      <c r="D140" s="24"/>
      <c r="E140" s="24"/>
    </row>
    <row r="141" spans="1:5" ht="15.75" customHeight="1" x14ac:dyDescent="0.25">
      <c r="A141" s="24"/>
      <c r="B141" s="25"/>
      <c r="C141" s="24"/>
      <c r="D141" s="24"/>
      <c r="E141" s="24"/>
    </row>
    <row r="142" spans="1:5" ht="15.75" customHeight="1" x14ac:dyDescent="0.25">
      <c r="A142" s="24"/>
      <c r="B142" s="25"/>
      <c r="C142" s="24"/>
      <c r="D142" s="24"/>
      <c r="E142" s="24"/>
    </row>
    <row r="143" spans="1:5" ht="15.75" customHeight="1" x14ac:dyDescent="0.25">
      <c r="A143" s="24"/>
      <c r="B143" s="25"/>
      <c r="C143" s="24"/>
      <c r="D143" s="24"/>
      <c r="E143" s="24"/>
    </row>
    <row r="144" spans="1:5" ht="15.75" customHeight="1" x14ac:dyDescent="0.25">
      <c r="A144" s="24"/>
      <c r="B144" s="25"/>
      <c r="C144" s="24"/>
      <c r="D144" s="24"/>
      <c r="E144" s="24"/>
    </row>
    <row r="145" spans="1:5" ht="15.75" customHeight="1" x14ac:dyDescent="0.25">
      <c r="A145" s="24"/>
      <c r="B145" s="25"/>
      <c r="C145" s="24"/>
      <c r="D145" s="24"/>
      <c r="E145" s="24"/>
    </row>
    <row r="146" spans="1:5" ht="15.75" customHeight="1" x14ac:dyDescent="0.25">
      <c r="A146" s="24"/>
      <c r="B146" s="25"/>
      <c r="C146" s="24"/>
      <c r="D146" s="24"/>
      <c r="E146" s="24"/>
    </row>
    <row r="147" spans="1:5" ht="15.75" customHeight="1" x14ac:dyDescent="0.25">
      <c r="A147" s="24"/>
      <c r="B147" s="25"/>
      <c r="C147" s="24"/>
      <c r="D147" s="24"/>
      <c r="E147" s="24"/>
    </row>
    <row r="148" spans="1:5" ht="15.75" customHeight="1" x14ac:dyDescent="0.25">
      <c r="A148" s="24"/>
      <c r="B148" s="25"/>
      <c r="C148" s="24"/>
      <c r="D148" s="24"/>
      <c r="E148" s="24"/>
    </row>
    <row r="149" spans="1:5" ht="15.75" customHeight="1" x14ac:dyDescent="0.25">
      <c r="A149" s="24"/>
      <c r="B149" s="25"/>
      <c r="C149" s="24"/>
      <c r="D149" s="24"/>
      <c r="E149" s="24"/>
    </row>
    <row r="150" spans="1:5" ht="15.75" customHeight="1" x14ac:dyDescent="0.25">
      <c r="A150" s="24"/>
      <c r="B150" s="25"/>
      <c r="C150" s="24"/>
      <c r="D150" s="24"/>
      <c r="E150" s="24"/>
    </row>
    <row r="151" spans="1:5" ht="15.75" customHeight="1" x14ac:dyDescent="0.25">
      <c r="A151" s="24"/>
      <c r="B151" s="25"/>
      <c r="C151" s="24"/>
      <c r="D151" s="24"/>
      <c r="E151" s="24"/>
    </row>
    <row r="152" spans="1:5" ht="15.75" customHeight="1" x14ac:dyDescent="0.25">
      <c r="A152" s="24"/>
      <c r="B152" s="25"/>
      <c r="C152" s="24"/>
      <c r="D152" s="24"/>
      <c r="E152" s="24"/>
    </row>
    <row r="153" spans="1:5" ht="15.75" customHeight="1" x14ac:dyDescent="0.25">
      <c r="A153" s="24"/>
      <c r="B153" s="25"/>
      <c r="C153" s="24"/>
      <c r="D153" s="24"/>
      <c r="E153" s="24"/>
    </row>
    <row r="154" spans="1:5" ht="15.75" customHeight="1" x14ac:dyDescent="0.25">
      <c r="A154" s="24"/>
      <c r="B154" s="25"/>
      <c r="C154" s="24"/>
      <c r="D154" s="24"/>
      <c r="E154" s="24"/>
    </row>
    <row r="155" spans="1:5" ht="15.75" customHeight="1" x14ac:dyDescent="0.25">
      <c r="A155" s="24"/>
      <c r="B155" s="25"/>
      <c r="C155" s="24"/>
      <c r="D155" s="24"/>
      <c r="E155" s="24"/>
    </row>
    <row r="156" spans="1:5" ht="15.75" customHeight="1" x14ac:dyDescent="0.25">
      <c r="A156" s="24"/>
      <c r="B156" s="25"/>
      <c r="C156" s="24"/>
      <c r="D156" s="24"/>
      <c r="E156" s="24"/>
    </row>
    <row r="157" spans="1:5" ht="15.75" customHeight="1" x14ac:dyDescent="0.25">
      <c r="A157" s="24"/>
      <c r="B157" s="25"/>
      <c r="C157" s="24"/>
      <c r="D157" s="24"/>
      <c r="E157" s="24"/>
    </row>
    <row r="158" spans="1:5" ht="15.75" customHeight="1" x14ac:dyDescent="0.25">
      <c r="A158" s="24"/>
      <c r="B158" s="25"/>
      <c r="C158" s="24"/>
      <c r="D158" s="24"/>
      <c r="E158" s="24"/>
    </row>
    <row r="159" spans="1:5" ht="15.75" customHeight="1" x14ac:dyDescent="0.25">
      <c r="A159" s="24"/>
      <c r="B159" s="25"/>
      <c r="C159" s="24"/>
      <c r="D159" s="24"/>
      <c r="E159" s="24"/>
    </row>
    <row r="160" spans="1:5" ht="15.75" customHeight="1" x14ac:dyDescent="0.25">
      <c r="A160" s="24"/>
      <c r="B160" s="25"/>
      <c r="C160" s="24"/>
      <c r="D160" s="24"/>
      <c r="E160" s="24"/>
    </row>
    <row r="161" spans="1:5" ht="15.75" customHeight="1" x14ac:dyDescent="0.25">
      <c r="A161" s="24"/>
      <c r="B161" s="25"/>
      <c r="C161" s="24"/>
      <c r="D161" s="24"/>
      <c r="E161" s="24"/>
    </row>
    <row r="162" spans="1:5" ht="15.75" customHeight="1" x14ac:dyDescent="0.25">
      <c r="A162" s="24"/>
      <c r="B162" s="25"/>
      <c r="C162" s="24"/>
      <c r="D162" s="24"/>
      <c r="E162" s="24"/>
    </row>
    <row r="163" spans="1:5" ht="15.75" customHeight="1" x14ac:dyDescent="0.25">
      <c r="A163" s="24"/>
      <c r="B163" s="25"/>
      <c r="C163" s="24"/>
      <c r="D163" s="24"/>
      <c r="E163" s="24"/>
    </row>
    <row r="164" spans="1:5" ht="15.75" customHeight="1" x14ac:dyDescent="0.25">
      <c r="A164" s="24"/>
      <c r="B164" s="25"/>
      <c r="C164" s="24"/>
      <c r="D164" s="24"/>
      <c r="E164" s="24"/>
    </row>
    <row r="165" spans="1:5" ht="15.75" customHeight="1" x14ac:dyDescent="0.25">
      <c r="A165" s="24"/>
      <c r="B165" s="25"/>
      <c r="C165" s="24"/>
      <c r="D165" s="24"/>
      <c r="E165" s="24"/>
    </row>
    <row r="166" spans="1:5" ht="15.75" customHeight="1" x14ac:dyDescent="0.25">
      <c r="A166" s="24"/>
      <c r="B166" s="25"/>
      <c r="C166" s="24"/>
      <c r="D166" s="24"/>
      <c r="E166" s="24"/>
    </row>
    <row r="167" spans="1:5" ht="15.75" customHeight="1" x14ac:dyDescent="0.25">
      <c r="A167" s="24"/>
      <c r="B167" s="25"/>
      <c r="C167" s="24"/>
      <c r="D167" s="24"/>
      <c r="E167" s="24"/>
    </row>
    <row r="168" spans="1:5" ht="15.75" customHeight="1" x14ac:dyDescent="0.25">
      <c r="A168" s="24"/>
      <c r="B168" s="25"/>
      <c r="C168" s="24"/>
      <c r="D168" s="24"/>
      <c r="E168" s="24"/>
    </row>
    <row r="169" spans="1:5" ht="15.75" customHeight="1" x14ac:dyDescent="0.25">
      <c r="A169" s="24"/>
      <c r="B169" s="25"/>
      <c r="C169" s="24"/>
      <c r="D169" s="24"/>
      <c r="E169" s="24"/>
    </row>
    <row r="170" spans="1:5" ht="15.75" customHeight="1" x14ac:dyDescent="0.25">
      <c r="A170" s="24"/>
      <c r="B170" s="25"/>
      <c r="C170" s="24"/>
      <c r="D170" s="24"/>
      <c r="E170" s="24"/>
    </row>
    <row r="171" spans="1:5" ht="15.75" customHeight="1" x14ac:dyDescent="0.25">
      <c r="A171" s="24"/>
      <c r="B171" s="25"/>
      <c r="C171" s="24"/>
      <c r="D171" s="24"/>
      <c r="E171" s="24"/>
    </row>
    <row r="172" spans="1:5" ht="15.75" customHeight="1" x14ac:dyDescent="0.25">
      <c r="A172" s="24"/>
      <c r="B172" s="25"/>
      <c r="C172" s="24"/>
      <c r="D172" s="24"/>
      <c r="E172" s="24"/>
    </row>
    <row r="173" spans="1:5" ht="15.75" customHeight="1" x14ac:dyDescent="0.25">
      <c r="A173" s="24"/>
      <c r="B173" s="25"/>
      <c r="C173" s="24"/>
      <c r="D173" s="24"/>
      <c r="E173" s="24"/>
    </row>
    <row r="174" spans="1:5" ht="15.75" customHeight="1" x14ac:dyDescent="0.25">
      <c r="A174" s="24"/>
      <c r="B174" s="25"/>
      <c r="C174" s="24"/>
      <c r="D174" s="24"/>
      <c r="E174" s="24"/>
    </row>
    <row r="175" spans="1:5" ht="15.75" customHeight="1" x14ac:dyDescent="0.25">
      <c r="A175" s="24"/>
      <c r="B175" s="25"/>
      <c r="C175" s="24"/>
      <c r="D175" s="24"/>
      <c r="E175" s="24"/>
    </row>
    <row r="176" spans="1:5" ht="15.75" customHeight="1" x14ac:dyDescent="0.25">
      <c r="A176" s="24"/>
      <c r="B176" s="25"/>
      <c r="C176" s="24"/>
      <c r="D176" s="24"/>
      <c r="E176" s="24"/>
    </row>
    <row r="177" spans="1:5" ht="15.75" customHeight="1" x14ac:dyDescent="0.25">
      <c r="A177" s="24"/>
      <c r="B177" s="25"/>
      <c r="C177" s="24"/>
      <c r="D177" s="24"/>
      <c r="E177" s="24"/>
    </row>
    <row r="178" spans="1:5" ht="15.75" customHeight="1" x14ac:dyDescent="0.25">
      <c r="A178" s="24"/>
      <c r="B178" s="25"/>
      <c r="C178" s="24"/>
      <c r="D178" s="24"/>
      <c r="E178" s="24"/>
    </row>
    <row r="179" spans="1:5" ht="15.75" customHeight="1" x14ac:dyDescent="0.25">
      <c r="A179" s="24"/>
      <c r="B179" s="25"/>
      <c r="C179" s="24"/>
      <c r="D179" s="24"/>
      <c r="E179" s="24"/>
    </row>
    <row r="180" spans="1:5" ht="15.75" customHeight="1" x14ac:dyDescent="0.25">
      <c r="A180" s="24"/>
      <c r="B180" s="25"/>
      <c r="C180" s="24"/>
      <c r="D180" s="24"/>
      <c r="E180" s="24"/>
    </row>
    <row r="181" spans="1:5" ht="15.75" customHeight="1" x14ac:dyDescent="0.25">
      <c r="A181" s="24"/>
      <c r="B181" s="25"/>
      <c r="C181" s="24"/>
      <c r="D181" s="24"/>
      <c r="E181" s="24"/>
    </row>
    <row r="182" spans="1:5" ht="15.75" customHeight="1" x14ac:dyDescent="0.25">
      <c r="A182" s="24"/>
      <c r="B182" s="25"/>
      <c r="C182" s="24"/>
      <c r="D182" s="24"/>
      <c r="E182" s="24"/>
    </row>
    <row r="183" spans="1:5" ht="15.75" customHeight="1" x14ac:dyDescent="0.25">
      <c r="A183" s="24"/>
      <c r="B183" s="25"/>
      <c r="C183" s="24"/>
      <c r="D183" s="24"/>
      <c r="E183" s="24"/>
    </row>
    <row r="184" spans="1:5" ht="15.75" customHeight="1" x14ac:dyDescent="0.25">
      <c r="A184" s="24"/>
      <c r="B184" s="25"/>
      <c r="C184" s="24"/>
      <c r="D184" s="24"/>
      <c r="E184" s="24"/>
    </row>
    <row r="185" spans="1:5" ht="15.75" customHeight="1" x14ac:dyDescent="0.25">
      <c r="A185" s="24"/>
      <c r="B185" s="25"/>
      <c r="C185" s="24"/>
      <c r="D185" s="24"/>
      <c r="E185" s="24"/>
    </row>
    <row r="186" spans="1:5" ht="15.75" customHeight="1" x14ac:dyDescent="0.25">
      <c r="A186" s="24"/>
      <c r="B186" s="25"/>
      <c r="C186" s="24"/>
      <c r="D186" s="24"/>
      <c r="E186" s="24"/>
    </row>
    <row r="187" spans="1:5" ht="15.75" customHeight="1" x14ac:dyDescent="0.25">
      <c r="A187" s="24"/>
      <c r="B187" s="25"/>
      <c r="C187" s="24"/>
      <c r="D187" s="24"/>
      <c r="E187" s="24"/>
    </row>
    <row r="188" spans="1:5" ht="15.75" customHeight="1" x14ac:dyDescent="0.25">
      <c r="A188" s="24"/>
      <c r="B188" s="25"/>
      <c r="C188" s="24"/>
      <c r="D188" s="24"/>
      <c r="E188" s="24"/>
    </row>
    <row r="189" spans="1:5" ht="15.75" customHeight="1" x14ac:dyDescent="0.25">
      <c r="A189" s="24"/>
      <c r="B189" s="25"/>
      <c r="C189" s="24"/>
      <c r="D189" s="24"/>
      <c r="E189" s="24"/>
    </row>
    <row r="190" spans="1:5" ht="15.75" customHeight="1" x14ac:dyDescent="0.25">
      <c r="A190" s="24"/>
      <c r="B190" s="25"/>
      <c r="C190" s="24"/>
      <c r="D190" s="24"/>
      <c r="E190" s="24"/>
    </row>
    <row r="191" spans="1:5" ht="15.75" customHeight="1" x14ac:dyDescent="0.25">
      <c r="A191" s="24"/>
      <c r="B191" s="25"/>
      <c r="C191" s="24"/>
      <c r="D191" s="24"/>
      <c r="E191" s="24"/>
    </row>
    <row r="192" spans="1:5" ht="15.75" customHeight="1" x14ac:dyDescent="0.25">
      <c r="A192" s="24"/>
      <c r="B192" s="25"/>
      <c r="C192" s="24"/>
      <c r="D192" s="24"/>
      <c r="E192" s="24"/>
    </row>
    <row r="193" spans="1:5" ht="15.75" customHeight="1" x14ac:dyDescent="0.25">
      <c r="A193" s="24"/>
      <c r="B193" s="25"/>
      <c r="C193" s="24"/>
      <c r="D193" s="24"/>
      <c r="E193" s="24"/>
    </row>
    <row r="194" spans="1:5" ht="15.75" customHeight="1" x14ac:dyDescent="0.25">
      <c r="A194" s="24"/>
      <c r="B194" s="25"/>
      <c r="C194" s="24"/>
      <c r="D194" s="24"/>
      <c r="E194" s="24"/>
    </row>
    <row r="195" spans="1:5" ht="15.75" customHeight="1" x14ac:dyDescent="0.25">
      <c r="A195" s="24"/>
      <c r="B195" s="25"/>
      <c r="C195" s="24"/>
      <c r="D195" s="24"/>
      <c r="E195" s="24"/>
    </row>
    <row r="196" spans="1:5" ht="15.75" customHeight="1" x14ac:dyDescent="0.25">
      <c r="A196" s="24"/>
      <c r="B196" s="25"/>
      <c r="C196" s="24"/>
      <c r="D196" s="24"/>
      <c r="E196" s="24"/>
    </row>
    <row r="197" spans="1:5" ht="15.75" customHeight="1" x14ac:dyDescent="0.25">
      <c r="A197" s="24"/>
      <c r="B197" s="25"/>
      <c r="C197" s="24"/>
      <c r="D197" s="24"/>
      <c r="E197" s="24"/>
    </row>
    <row r="198" spans="1:5" ht="15.75" customHeight="1" x14ac:dyDescent="0.25">
      <c r="A198" s="24"/>
      <c r="B198" s="25"/>
      <c r="C198" s="24"/>
      <c r="D198" s="24"/>
      <c r="E198" s="24"/>
    </row>
    <row r="199" spans="1:5" ht="15.75" customHeight="1" x14ac:dyDescent="0.25">
      <c r="A199" s="24"/>
      <c r="B199" s="25"/>
      <c r="C199" s="24"/>
      <c r="D199" s="24"/>
      <c r="E199" s="24"/>
    </row>
    <row r="200" spans="1:5" ht="15.75" customHeight="1" x14ac:dyDescent="0.25">
      <c r="A200" s="24"/>
      <c r="B200" s="25"/>
      <c r="C200" s="24"/>
      <c r="D200" s="24"/>
      <c r="E200" s="24"/>
    </row>
    <row r="201" spans="1:5" ht="15.75" customHeight="1" x14ac:dyDescent="0.25">
      <c r="A201" s="24"/>
      <c r="B201" s="25"/>
      <c r="C201" s="24"/>
      <c r="D201" s="24"/>
      <c r="E201" s="24"/>
    </row>
    <row r="202" spans="1:5" ht="15.75" customHeight="1" x14ac:dyDescent="0.25">
      <c r="A202" s="24"/>
      <c r="B202" s="25"/>
      <c r="C202" s="24"/>
      <c r="D202" s="24"/>
      <c r="E202" s="24"/>
    </row>
    <row r="203" spans="1:5" ht="15.75" customHeight="1" x14ac:dyDescent="0.25">
      <c r="A203" s="24"/>
      <c r="B203" s="25"/>
      <c r="C203" s="24"/>
      <c r="D203" s="24"/>
      <c r="E203" s="24"/>
    </row>
    <row r="204" spans="1:5" ht="15.75" customHeight="1" x14ac:dyDescent="0.25">
      <c r="A204" s="24"/>
      <c r="B204" s="25"/>
      <c r="C204" s="24"/>
      <c r="D204" s="24"/>
      <c r="E204" s="24"/>
    </row>
    <row r="205" spans="1:5" ht="15.75" customHeight="1" x14ac:dyDescent="0.25">
      <c r="A205" s="24"/>
      <c r="B205" s="25"/>
      <c r="C205" s="24"/>
      <c r="D205" s="24"/>
      <c r="E205" s="24"/>
    </row>
    <row r="206" spans="1:5" ht="15.75" customHeight="1" x14ac:dyDescent="0.25">
      <c r="A206" s="24"/>
      <c r="B206" s="25"/>
      <c r="C206" s="24"/>
      <c r="D206" s="24"/>
      <c r="E206" s="24"/>
    </row>
    <row r="207" spans="1:5" ht="15.75" customHeight="1" x14ac:dyDescent="0.25">
      <c r="A207" s="24"/>
      <c r="B207" s="25"/>
      <c r="C207" s="24"/>
      <c r="D207" s="24"/>
      <c r="E207" s="24"/>
    </row>
    <row r="208" spans="1:5" ht="15.75" customHeight="1" x14ac:dyDescent="0.25">
      <c r="A208" s="24"/>
      <c r="B208" s="25"/>
      <c r="C208" s="24"/>
      <c r="D208" s="24"/>
      <c r="E208" s="24"/>
    </row>
    <row r="209" spans="1:5" ht="15.75" customHeight="1" x14ac:dyDescent="0.25">
      <c r="A209" s="24"/>
      <c r="B209" s="25"/>
      <c r="C209" s="24"/>
      <c r="D209" s="24"/>
      <c r="E209" s="24"/>
    </row>
    <row r="210" spans="1:5" ht="15.75" customHeight="1" x14ac:dyDescent="0.25">
      <c r="A210" s="24"/>
      <c r="B210" s="25"/>
      <c r="C210" s="24"/>
      <c r="D210" s="24"/>
      <c r="E210" s="24"/>
    </row>
    <row r="211" spans="1:5" ht="15.75" customHeight="1" x14ac:dyDescent="0.25">
      <c r="A211" s="24"/>
      <c r="B211" s="25"/>
      <c r="C211" s="24"/>
      <c r="D211" s="24"/>
      <c r="E211" s="24"/>
    </row>
    <row r="212" spans="1:5" ht="15.75" customHeight="1" x14ac:dyDescent="0.25">
      <c r="A212" s="24"/>
      <c r="B212" s="25"/>
      <c r="C212" s="24"/>
      <c r="D212" s="24"/>
      <c r="E212" s="24"/>
    </row>
    <row r="213" spans="1:5" ht="15.75" customHeight="1" x14ac:dyDescent="0.25">
      <c r="A213" s="24"/>
      <c r="B213" s="25"/>
      <c r="C213" s="24"/>
      <c r="D213" s="24"/>
      <c r="E213" s="24"/>
    </row>
    <row r="214" spans="1:5" ht="15.75" customHeight="1" x14ac:dyDescent="0.25">
      <c r="A214" s="24"/>
      <c r="B214" s="25"/>
      <c r="C214" s="24"/>
      <c r="D214" s="24"/>
      <c r="E214" s="24"/>
    </row>
    <row r="215" spans="1:5" ht="15.75" customHeight="1" x14ac:dyDescent="0.25">
      <c r="A215" s="24"/>
      <c r="B215" s="25"/>
      <c r="C215" s="24"/>
      <c r="D215" s="24"/>
      <c r="E215" s="24"/>
    </row>
    <row r="216" spans="1:5" ht="15.75" customHeight="1" x14ac:dyDescent="0.25">
      <c r="A216" s="24"/>
      <c r="B216" s="25"/>
      <c r="C216" s="24"/>
      <c r="D216" s="24"/>
      <c r="E216" s="24"/>
    </row>
    <row r="217" spans="1:5" ht="15.75" customHeight="1" x14ac:dyDescent="0.25">
      <c r="A217" s="24"/>
      <c r="B217" s="25"/>
      <c r="C217" s="24"/>
      <c r="D217" s="24"/>
      <c r="E217" s="24"/>
    </row>
    <row r="218" spans="1:5" ht="15.75" customHeight="1" x14ac:dyDescent="0.25">
      <c r="A218" s="24"/>
      <c r="B218" s="25"/>
      <c r="C218" s="24"/>
      <c r="D218" s="24"/>
      <c r="E218" s="24"/>
    </row>
    <row r="219" spans="1:5" ht="15.75" customHeight="1" x14ac:dyDescent="0.25">
      <c r="A219" s="24"/>
      <c r="B219" s="25"/>
      <c r="C219" s="24"/>
      <c r="D219" s="24"/>
      <c r="E219" s="24"/>
    </row>
    <row r="220" spans="1:5" ht="15.75" customHeight="1" x14ac:dyDescent="0.25">
      <c r="A220" s="24"/>
      <c r="B220" s="25"/>
      <c r="C220" s="24"/>
      <c r="D220" s="24"/>
      <c r="E220" s="24"/>
    </row>
    <row r="221" spans="1:5" ht="15.75" customHeight="1" x14ac:dyDescent="0.25">
      <c r="A221" s="24"/>
      <c r="B221" s="25"/>
      <c r="C221" s="24"/>
      <c r="D221" s="24"/>
      <c r="E221" s="24"/>
    </row>
    <row r="222" spans="1:5" ht="15.75" customHeight="1" x14ac:dyDescent="0.25">
      <c r="A222" s="24"/>
      <c r="B222" s="25"/>
      <c r="C222" s="24"/>
      <c r="D222" s="24"/>
      <c r="E222" s="24"/>
    </row>
    <row r="223" spans="1:5" ht="15.75" customHeight="1" x14ac:dyDescent="0.25">
      <c r="A223" s="24"/>
      <c r="B223" s="25"/>
      <c r="C223" s="24"/>
      <c r="D223" s="24"/>
      <c r="E223" s="24"/>
    </row>
    <row r="224" spans="1:5" ht="15.75" customHeight="1" x14ac:dyDescent="0.25">
      <c r="A224" s="24"/>
      <c r="B224" s="25"/>
      <c r="C224" s="24"/>
      <c r="D224" s="24"/>
      <c r="E224" s="24"/>
    </row>
    <row r="225" spans="1:5" ht="15.75" customHeight="1" x14ac:dyDescent="0.25">
      <c r="A225" s="24"/>
      <c r="B225" s="25"/>
      <c r="C225" s="24"/>
      <c r="D225" s="24"/>
      <c r="E225" s="24"/>
    </row>
    <row r="226" spans="1:5" ht="15.75" customHeight="1" x14ac:dyDescent="0.25">
      <c r="A226" s="24"/>
      <c r="B226" s="25"/>
      <c r="C226" s="24"/>
      <c r="D226" s="24"/>
      <c r="E226" s="24"/>
    </row>
    <row r="227" spans="1:5" ht="15.75" customHeight="1" x14ac:dyDescent="0.25">
      <c r="A227" s="24"/>
      <c r="B227" s="25"/>
      <c r="C227" s="24"/>
      <c r="D227" s="24"/>
      <c r="E227" s="24"/>
    </row>
    <row r="228" spans="1:5" ht="15.75" customHeight="1" x14ac:dyDescent="0.25">
      <c r="A228" s="24"/>
      <c r="B228" s="25"/>
      <c r="C228" s="24"/>
      <c r="D228" s="24"/>
      <c r="E228" s="24"/>
    </row>
    <row r="229" spans="1:5" ht="15.75" customHeight="1" x14ac:dyDescent="0.25">
      <c r="A229" s="24"/>
      <c r="B229" s="25"/>
      <c r="C229" s="24"/>
      <c r="D229" s="24"/>
      <c r="E229" s="24"/>
    </row>
    <row r="230" spans="1:5" ht="15.75" customHeight="1" x14ac:dyDescent="0.25">
      <c r="A230" s="24"/>
      <c r="B230" s="25"/>
      <c r="C230" s="24"/>
      <c r="D230" s="24"/>
      <c r="E230" s="24"/>
    </row>
    <row r="231" spans="1:5" ht="15.75" customHeight="1" x14ac:dyDescent="0.25">
      <c r="A231" s="24"/>
      <c r="B231" s="25"/>
      <c r="C231" s="24"/>
      <c r="D231" s="24"/>
      <c r="E231" s="24"/>
    </row>
    <row r="232" spans="1:5" ht="15.75" customHeight="1" x14ac:dyDescent="0.25">
      <c r="A232" s="24"/>
      <c r="B232" s="25"/>
      <c r="C232" s="24"/>
      <c r="D232" s="24"/>
      <c r="E232" s="24"/>
    </row>
    <row r="233" spans="1:5" ht="15.75" customHeight="1" x14ac:dyDescent="0.25">
      <c r="A233" s="24"/>
      <c r="B233" s="25"/>
      <c r="C233" s="24"/>
      <c r="D233" s="24"/>
      <c r="E233" s="24"/>
    </row>
    <row r="234" spans="1:5" ht="15.75" customHeight="1" x14ac:dyDescent="0.25">
      <c r="A234" s="24"/>
      <c r="B234" s="25"/>
      <c r="C234" s="24"/>
      <c r="D234" s="24"/>
      <c r="E234" s="24"/>
    </row>
    <row r="235" spans="1:5" ht="15.75" customHeight="1" x14ac:dyDescent="0.25">
      <c r="A235" s="24"/>
      <c r="B235" s="25"/>
      <c r="C235" s="24"/>
      <c r="D235" s="24"/>
      <c r="E235" s="24"/>
    </row>
    <row r="236" spans="1:5" ht="15.75" customHeight="1" x14ac:dyDescent="0.25">
      <c r="A236" s="24"/>
      <c r="B236" s="25"/>
      <c r="C236" s="24"/>
      <c r="D236" s="24"/>
      <c r="E236" s="24"/>
    </row>
    <row r="237" spans="1:5" ht="15.75" customHeight="1" x14ac:dyDescent="0.25">
      <c r="A237" s="24"/>
      <c r="B237" s="25"/>
      <c r="C237" s="24"/>
      <c r="D237" s="24"/>
      <c r="E237" s="24"/>
    </row>
    <row r="238" spans="1:5" ht="15.75" customHeight="1" x14ac:dyDescent="0.25">
      <c r="A238" s="24"/>
      <c r="B238" s="25"/>
      <c r="C238" s="24"/>
      <c r="D238" s="24"/>
      <c r="E238" s="24"/>
    </row>
    <row r="239" spans="1:5" ht="15.75" customHeight="1" x14ac:dyDescent="0.25">
      <c r="A239" s="24"/>
      <c r="B239" s="25"/>
      <c r="C239" s="24"/>
      <c r="D239" s="24"/>
      <c r="E239" s="24"/>
    </row>
    <row r="240" spans="1:5" ht="15.75" customHeight="1" x14ac:dyDescent="0.25">
      <c r="A240" s="24"/>
      <c r="B240" s="25"/>
      <c r="C240" s="24"/>
      <c r="D240" s="24"/>
      <c r="E240" s="24"/>
    </row>
    <row r="241" spans="1:5" ht="15.75" customHeight="1" x14ac:dyDescent="0.25">
      <c r="A241" s="24"/>
      <c r="B241" s="25"/>
      <c r="C241" s="24"/>
      <c r="D241" s="24"/>
      <c r="E241" s="24"/>
    </row>
    <row r="242" spans="1:5" ht="15.75" customHeight="1" x14ac:dyDescent="0.25">
      <c r="A242" s="24"/>
      <c r="B242" s="25"/>
      <c r="C242" s="24"/>
      <c r="D242" s="24"/>
      <c r="E242" s="24"/>
    </row>
    <row r="243" spans="1:5" ht="15.75" customHeight="1" x14ac:dyDescent="0.25">
      <c r="A243" s="24"/>
      <c r="B243" s="25"/>
      <c r="C243" s="24"/>
      <c r="D243" s="24"/>
      <c r="E243" s="24"/>
    </row>
    <row r="244" spans="1:5" ht="15.75" customHeight="1" x14ac:dyDescent="0.25">
      <c r="A244" s="24"/>
      <c r="B244" s="25"/>
      <c r="C244" s="24"/>
      <c r="D244" s="24"/>
      <c r="E244" s="24"/>
    </row>
    <row r="245" spans="1:5" ht="15.75" customHeight="1" x14ac:dyDescent="0.25">
      <c r="A245" s="24"/>
      <c r="B245" s="25"/>
      <c r="C245" s="24"/>
      <c r="D245" s="24"/>
      <c r="E245" s="24"/>
    </row>
    <row r="246" spans="1:5" ht="15.75" customHeight="1" x14ac:dyDescent="0.25">
      <c r="A246" s="24"/>
      <c r="B246" s="25"/>
      <c r="C246" s="24"/>
      <c r="D246" s="24"/>
      <c r="E246" s="24"/>
    </row>
    <row r="247" spans="1:5" ht="15.75" customHeight="1" x14ac:dyDescent="0.25">
      <c r="A247" s="24"/>
      <c r="B247" s="25"/>
      <c r="C247" s="24"/>
      <c r="D247" s="24"/>
      <c r="E247" s="24"/>
    </row>
    <row r="248" spans="1:5" ht="15.75" customHeight="1" x14ac:dyDescent="0.25">
      <c r="A248" s="24"/>
      <c r="B248" s="25"/>
      <c r="C248" s="24"/>
      <c r="D248" s="24"/>
      <c r="E248" s="24"/>
    </row>
    <row r="249" spans="1:5" ht="15.75" customHeight="1" x14ac:dyDescent="0.25">
      <c r="A249" s="24"/>
      <c r="B249" s="25"/>
      <c r="C249" s="24"/>
      <c r="D249" s="24"/>
      <c r="E249" s="24"/>
    </row>
    <row r="250" spans="1:5" ht="15.75" customHeight="1" x14ac:dyDescent="0.25">
      <c r="A250" s="24"/>
      <c r="B250" s="25"/>
      <c r="C250" s="24"/>
      <c r="D250" s="24"/>
      <c r="E250" s="24"/>
    </row>
    <row r="251" spans="1:5" ht="15.75" customHeight="1" x14ac:dyDescent="0.25">
      <c r="A251" s="24"/>
      <c r="B251" s="25"/>
      <c r="C251" s="24"/>
      <c r="D251" s="24"/>
      <c r="E251" s="24"/>
    </row>
    <row r="252" spans="1:5" ht="15.75" customHeight="1" x14ac:dyDescent="0.25">
      <c r="A252" s="24"/>
      <c r="B252" s="25"/>
      <c r="C252" s="24"/>
      <c r="D252" s="24"/>
      <c r="E252" s="24"/>
    </row>
    <row r="253" spans="1:5" ht="15.75" customHeight="1" x14ac:dyDescent="0.25">
      <c r="A253" s="24"/>
      <c r="B253" s="25"/>
      <c r="C253" s="24"/>
      <c r="D253" s="24"/>
      <c r="E253" s="24"/>
    </row>
    <row r="254" spans="1:5" ht="15.75" customHeight="1" x14ac:dyDescent="0.25">
      <c r="A254" s="24"/>
      <c r="B254" s="25"/>
      <c r="C254" s="24"/>
      <c r="D254" s="24"/>
      <c r="E254" s="24"/>
    </row>
    <row r="255" spans="1:5" ht="15.75" customHeight="1" x14ac:dyDescent="0.25">
      <c r="A255" s="24"/>
      <c r="B255" s="25"/>
      <c r="C255" s="24"/>
      <c r="D255" s="24"/>
      <c r="E255" s="24"/>
    </row>
    <row r="256" spans="1:5" ht="15.75" customHeight="1" x14ac:dyDescent="0.25">
      <c r="A256" s="24"/>
      <c r="B256" s="25"/>
      <c r="C256" s="24"/>
      <c r="D256" s="24"/>
      <c r="E256" s="24"/>
    </row>
    <row r="257" spans="1:5" ht="15.75" customHeight="1" x14ac:dyDescent="0.25">
      <c r="A257" s="24"/>
      <c r="B257" s="25"/>
      <c r="C257" s="24"/>
      <c r="D257" s="24"/>
      <c r="E257" s="24"/>
    </row>
    <row r="258" spans="1:5" ht="15.75" customHeight="1" x14ac:dyDescent="0.25">
      <c r="A258" s="24"/>
      <c r="B258" s="25"/>
      <c r="C258" s="24"/>
      <c r="D258" s="24"/>
      <c r="E258" s="24"/>
    </row>
    <row r="259" spans="1:5" ht="15.75" customHeight="1" x14ac:dyDescent="0.25">
      <c r="A259" s="24"/>
      <c r="B259" s="25"/>
      <c r="C259" s="24"/>
      <c r="D259" s="24"/>
      <c r="E259" s="24"/>
    </row>
    <row r="260" spans="1:5" ht="15.75" customHeight="1" x14ac:dyDescent="0.25">
      <c r="A260" s="24"/>
      <c r="B260" s="25"/>
      <c r="C260" s="24"/>
      <c r="D260" s="24"/>
      <c r="E260" s="24"/>
    </row>
    <row r="261" spans="1:5" ht="15.75" customHeight="1" x14ac:dyDescent="0.25">
      <c r="A261" s="24"/>
      <c r="B261" s="25"/>
      <c r="C261" s="24"/>
      <c r="D261" s="24"/>
      <c r="E261" s="24"/>
    </row>
    <row r="262" spans="1:5" ht="15.75" customHeight="1" x14ac:dyDescent="0.25">
      <c r="A262" s="24"/>
      <c r="B262" s="25"/>
      <c r="C262" s="24"/>
      <c r="D262" s="24"/>
      <c r="E262" s="24"/>
    </row>
    <row r="263" spans="1:5" ht="15.75" customHeight="1" x14ac:dyDescent="0.25">
      <c r="A263" s="24"/>
      <c r="B263" s="25"/>
      <c r="C263" s="24"/>
      <c r="D263" s="24"/>
      <c r="E263" s="24"/>
    </row>
    <row r="264" spans="1:5" ht="15.75" customHeight="1" x14ac:dyDescent="0.25">
      <c r="A264" s="24"/>
      <c r="B264" s="25"/>
      <c r="C264" s="24"/>
      <c r="D264" s="24"/>
      <c r="E264" s="24"/>
    </row>
    <row r="265" spans="1:5" ht="15.75" customHeight="1" x14ac:dyDescent="0.25">
      <c r="A265" s="24"/>
      <c r="B265" s="25"/>
      <c r="C265" s="24"/>
      <c r="D265" s="24"/>
      <c r="E265" s="24"/>
    </row>
    <row r="266" spans="1:5" ht="15.75" customHeight="1" x14ac:dyDescent="0.25">
      <c r="A266" s="24"/>
      <c r="B266" s="25"/>
      <c r="C266" s="24"/>
      <c r="D266" s="24"/>
      <c r="E266" s="24"/>
    </row>
    <row r="267" spans="1:5" ht="15.75" customHeight="1" x14ac:dyDescent="0.25"/>
    <row r="268" spans="1:5" ht="15.75" customHeight="1" x14ac:dyDescent="0.25"/>
    <row r="269" spans="1:5" ht="15.75" customHeight="1" x14ac:dyDescent="0.25"/>
    <row r="270" spans="1:5" ht="15.75" customHeight="1" x14ac:dyDescent="0.25"/>
    <row r="271" spans="1:5" ht="15.75" customHeight="1" x14ac:dyDescent="0.25"/>
    <row r="272" spans="1: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9"/>
  <sheetViews>
    <sheetView view="pageBreakPreview" topLeftCell="A74" zoomScale="115" zoomScaleNormal="100" zoomScaleSheetLayoutView="115" workbookViewId="0">
      <selection activeCell="A84" sqref="A84"/>
    </sheetView>
  </sheetViews>
  <sheetFormatPr defaultColWidth="14.42578125" defaultRowHeight="15" customHeight="1" x14ac:dyDescent="0.25"/>
  <cols>
    <col min="1" max="1" width="75.5703125" customWidth="1"/>
    <col min="2" max="2" width="15" customWidth="1"/>
    <col min="3" max="6" width="18" hidden="1" customWidth="1"/>
    <col min="7" max="7" width="18" customWidth="1"/>
    <col min="8" max="8" width="14.5703125" customWidth="1"/>
    <col min="9" max="10" width="14.7109375" customWidth="1"/>
    <col min="11" max="26" width="10.28515625" customWidth="1"/>
  </cols>
  <sheetData>
    <row r="1" spans="1:26" ht="15.75" customHeight="1" x14ac:dyDescent="0.25">
      <c r="A1" s="243"/>
      <c r="B1" s="244"/>
      <c r="C1" s="245"/>
      <c r="D1" s="245"/>
      <c r="E1" s="245"/>
      <c r="F1" s="244"/>
      <c r="G1" s="246"/>
      <c r="H1" s="247"/>
      <c r="I1" s="242"/>
      <c r="J1" s="242"/>
      <c r="K1" s="242"/>
      <c r="L1" s="242"/>
      <c r="M1" s="242"/>
      <c r="N1" s="242"/>
      <c r="O1" s="242"/>
      <c r="P1" s="242"/>
      <c r="Q1" s="242"/>
      <c r="R1" s="242"/>
      <c r="S1" s="242"/>
      <c r="T1" s="242"/>
      <c r="U1" s="242"/>
      <c r="V1" s="242"/>
      <c r="W1" s="242"/>
      <c r="X1" s="242"/>
      <c r="Y1" s="242"/>
      <c r="Z1" s="242"/>
    </row>
    <row r="2" spans="1:26" ht="15.75" customHeight="1" x14ac:dyDescent="0.25">
      <c r="A2" s="17"/>
      <c r="B2" s="15"/>
      <c r="C2" s="18"/>
      <c r="D2" s="18"/>
      <c r="E2" s="18"/>
      <c r="F2" s="15"/>
      <c r="G2" s="19"/>
      <c r="H2" s="14"/>
      <c r="I2" s="167"/>
      <c r="J2" s="167"/>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67"/>
      <c r="J3" s="167"/>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67"/>
      <c r="J4" s="167"/>
      <c r="K4" s="15"/>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67"/>
      <c r="J5" s="167"/>
      <c r="K5" s="15"/>
      <c r="L5" s="15"/>
      <c r="M5" s="15"/>
      <c r="N5" s="15"/>
      <c r="O5" s="15"/>
      <c r="P5" s="15"/>
      <c r="Q5" s="15"/>
      <c r="R5" s="15"/>
      <c r="S5" s="15"/>
      <c r="T5" s="15"/>
      <c r="U5" s="15"/>
      <c r="V5" s="15"/>
      <c r="W5" s="15"/>
      <c r="X5" s="15"/>
      <c r="Y5" s="15"/>
      <c r="Z5" s="15"/>
    </row>
    <row r="6" spans="1:26" ht="15.75" customHeight="1" x14ac:dyDescent="0.25">
      <c r="A6" s="17" t="s">
        <v>1311</v>
      </c>
      <c r="B6" s="24"/>
      <c r="C6" s="25"/>
      <c r="D6" s="25"/>
      <c r="E6" s="25"/>
      <c r="F6" s="24"/>
      <c r="G6" s="19"/>
      <c r="H6" s="14"/>
      <c r="I6" s="167"/>
      <c r="J6" s="167"/>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67"/>
      <c r="J7" s="167"/>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67"/>
      <c r="J8" s="167"/>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67"/>
      <c r="J9" s="167"/>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67"/>
      <c r="J10" s="167"/>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67"/>
      <c r="J11" s="167"/>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67"/>
      <c r="J12" s="167"/>
      <c r="K12" s="15"/>
      <c r="L12" s="15"/>
      <c r="M12" s="15"/>
      <c r="N12" s="15"/>
      <c r="O12" s="15"/>
      <c r="P12" s="15"/>
      <c r="Q12" s="15"/>
      <c r="R12" s="15"/>
      <c r="S12" s="15"/>
      <c r="T12" s="15"/>
      <c r="U12" s="15"/>
      <c r="V12" s="15"/>
      <c r="W12" s="15"/>
      <c r="X12" s="15"/>
      <c r="Y12" s="15"/>
      <c r="Z12" s="15"/>
    </row>
    <row r="13" spans="1:26" ht="15.75" customHeight="1" x14ac:dyDescent="0.25">
      <c r="A13" s="17" t="s">
        <v>364</v>
      </c>
      <c r="B13" s="172"/>
      <c r="C13" s="17"/>
      <c r="D13" s="42"/>
      <c r="E13" s="19"/>
      <c r="F13" s="42"/>
      <c r="G13" s="19"/>
      <c r="H13" s="7"/>
      <c r="I13" s="168"/>
      <c r="J13" s="168"/>
    </row>
    <row r="14" spans="1:26" ht="15.75" customHeight="1" x14ac:dyDescent="0.25">
      <c r="A14" s="17" t="s">
        <v>365</v>
      </c>
      <c r="B14" s="172"/>
      <c r="C14" s="42"/>
      <c r="D14" s="42"/>
      <c r="E14" s="42"/>
      <c r="F14" s="42"/>
      <c r="G14" s="42"/>
      <c r="H14" s="7"/>
      <c r="I14" s="168"/>
      <c r="J14" s="168"/>
    </row>
    <row r="15" spans="1:26" ht="15.75" customHeight="1" x14ac:dyDescent="0.25">
      <c r="A15" s="17" t="s">
        <v>366</v>
      </c>
      <c r="B15" s="172"/>
      <c r="C15" s="42"/>
      <c r="D15" s="42"/>
      <c r="E15" s="42"/>
      <c r="F15" s="42"/>
      <c r="G15" s="42"/>
      <c r="H15" s="7"/>
      <c r="I15" s="168"/>
      <c r="J15" s="168"/>
    </row>
    <row r="16" spans="1:26" ht="15.75" customHeight="1" x14ac:dyDescent="0.25">
      <c r="A16" s="44" t="s">
        <v>367</v>
      </c>
      <c r="B16" s="41" t="s">
        <v>121</v>
      </c>
      <c r="C16" s="43">
        <v>11501599.119999999</v>
      </c>
      <c r="D16" s="43">
        <v>6811902</v>
      </c>
      <c r="E16" s="43">
        <f>F16-D16</f>
        <v>7973550</v>
      </c>
      <c r="F16" s="43">
        <v>14785452</v>
      </c>
      <c r="G16" s="43">
        <v>15511680</v>
      </c>
      <c r="H16" s="7"/>
      <c r="I16" s="168"/>
      <c r="J16" s="168"/>
    </row>
    <row r="17" spans="1:26" ht="15.75" customHeight="1" x14ac:dyDescent="0.25">
      <c r="A17" s="17" t="s">
        <v>368</v>
      </c>
      <c r="B17" s="172"/>
      <c r="C17" s="43"/>
      <c r="D17" s="43"/>
      <c r="E17" s="43"/>
      <c r="F17" s="43"/>
      <c r="G17" s="43"/>
      <c r="H17" s="7"/>
      <c r="I17" s="168"/>
      <c r="J17" s="168"/>
    </row>
    <row r="18" spans="1:26" ht="15.75" customHeight="1" x14ac:dyDescent="0.25">
      <c r="A18" s="44" t="s">
        <v>369</v>
      </c>
      <c r="B18" s="41" t="s">
        <v>125</v>
      </c>
      <c r="C18" s="26">
        <v>524927.28</v>
      </c>
      <c r="D18" s="43">
        <v>312000</v>
      </c>
      <c r="E18" s="43">
        <f t="shared" ref="E18:E23" si="0">F18-D18</f>
        <v>384000</v>
      </c>
      <c r="F18" s="43">
        <v>696000</v>
      </c>
      <c r="G18" s="43">
        <v>696000</v>
      </c>
      <c r="H18" s="14"/>
      <c r="I18" s="167"/>
      <c r="J18" s="167"/>
      <c r="K18" s="15"/>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213875</v>
      </c>
      <c r="D19" s="43">
        <v>93750</v>
      </c>
      <c r="E19" s="43">
        <f t="shared" si="0"/>
        <v>122250</v>
      </c>
      <c r="F19" s="43">
        <v>216000</v>
      </c>
      <c r="G19" s="43">
        <v>216000</v>
      </c>
      <c r="H19" s="14"/>
      <c r="I19" s="167"/>
      <c r="J19" s="167"/>
      <c r="K19" s="15"/>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147375</v>
      </c>
      <c r="D20" s="43">
        <v>93750</v>
      </c>
      <c r="E20" s="43">
        <f t="shared" si="0"/>
        <v>122250</v>
      </c>
      <c r="F20" s="43">
        <v>216000</v>
      </c>
      <c r="G20" s="43">
        <v>216000</v>
      </c>
      <c r="H20" s="14"/>
      <c r="I20" s="167"/>
      <c r="J20" s="167"/>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140000</v>
      </c>
      <c r="D21" s="43">
        <v>182000</v>
      </c>
      <c r="E21" s="43">
        <f t="shared" si="0"/>
        <v>21000</v>
      </c>
      <c r="F21" s="43">
        <v>203000</v>
      </c>
      <c r="G21" s="43">
        <v>203000</v>
      </c>
      <c r="H21" s="14"/>
      <c r="I21" s="167"/>
      <c r="J21" s="167"/>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1073715</v>
      </c>
      <c r="D22" s="43">
        <v>0</v>
      </c>
      <c r="E22" s="43">
        <f t="shared" si="0"/>
        <v>1232121</v>
      </c>
      <c r="F22" s="43">
        <v>1232121</v>
      </c>
      <c r="G22" s="43">
        <v>1292640</v>
      </c>
      <c r="H22" s="14"/>
      <c r="I22" s="167"/>
      <c r="J22" s="167"/>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118000</v>
      </c>
      <c r="D23" s="43">
        <v>0</v>
      </c>
      <c r="E23" s="43">
        <f t="shared" si="0"/>
        <v>145000</v>
      </c>
      <c r="F23" s="43">
        <v>145000</v>
      </c>
      <c r="G23" s="43">
        <v>145000</v>
      </c>
      <c r="H23" s="14"/>
      <c r="I23" s="167"/>
      <c r="J23" s="167"/>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4"/>
      <c r="I24" s="167"/>
      <c r="J24" s="167"/>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5000</v>
      </c>
      <c r="D25" s="43">
        <v>5000</v>
      </c>
      <c r="E25" s="43">
        <f t="shared" ref="E25:E27" si="1">F25-D25</f>
        <v>20000</v>
      </c>
      <c r="F25" s="43">
        <v>25000</v>
      </c>
      <c r="G25" s="43">
        <v>20000</v>
      </c>
      <c r="H25" s="14"/>
      <c r="I25" s="167"/>
      <c r="J25" s="167"/>
      <c r="K25" s="15"/>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63000</v>
      </c>
      <c r="E26" s="43">
        <f t="shared" si="1"/>
        <v>24000</v>
      </c>
      <c r="F26" s="43">
        <v>87000</v>
      </c>
      <c r="G26" s="43">
        <v>0</v>
      </c>
      <c r="H26" s="14"/>
      <c r="I26" s="167"/>
      <c r="J26" s="167"/>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901940</v>
      </c>
      <c r="D27" s="43">
        <v>1135317</v>
      </c>
      <c r="E27" s="43">
        <f t="shared" si="1"/>
        <v>96804</v>
      </c>
      <c r="F27" s="43">
        <v>1232121</v>
      </c>
      <c r="G27" s="43">
        <v>1292640</v>
      </c>
      <c r="H27" s="14"/>
      <c r="I27" s="167"/>
      <c r="J27" s="167"/>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4"/>
      <c r="I28" s="167"/>
      <c r="J28" s="167"/>
      <c r="K28" s="15"/>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1380517.34</v>
      </c>
      <c r="D29" s="43">
        <v>817428.24</v>
      </c>
      <c r="E29" s="43">
        <f t="shared" ref="E29:E32" si="2">F29-D29</f>
        <v>956826.76</v>
      </c>
      <c r="F29" s="43">
        <v>1774255</v>
      </c>
      <c r="G29" s="43">
        <v>1861402</v>
      </c>
      <c r="H29" s="14"/>
      <c r="I29" s="167"/>
      <c r="J29" s="167"/>
      <c r="K29" s="15"/>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230086.22</v>
      </c>
      <c r="D30" s="43">
        <v>136238.04</v>
      </c>
      <c r="E30" s="43">
        <f t="shared" si="2"/>
        <v>159471.96</v>
      </c>
      <c r="F30" s="43">
        <v>295710</v>
      </c>
      <c r="G30" s="43">
        <v>310234</v>
      </c>
      <c r="H30" s="14"/>
      <c r="I30" s="167"/>
      <c r="J30" s="167"/>
      <c r="K30" s="15"/>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282162.26</v>
      </c>
      <c r="D31" s="43">
        <v>167125.98000000001</v>
      </c>
      <c r="E31" s="43">
        <f t="shared" si="2"/>
        <v>196179.02</v>
      </c>
      <c r="F31" s="43">
        <v>363305</v>
      </c>
      <c r="G31" s="43">
        <v>379341</v>
      </c>
      <c r="H31" s="14"/>
      <c r="I31" s="167"/>
      <c r="J31" s="167"/>
      <c r="K31" s="15"/>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24500</v>
      </c>
      <c r="D32" s="43">
        <v>15600</v>
      </c>
      <c r="E32" s="43">
        <f t="shared" si="2"/>
        <v>19200</v>
      </c>
      <c r="F32" s="43">
        <v>34800</v>
      </c>
      <c r="G32" s="43">
        <v>34800</v>
      </c>
      <c r="H32" s="14"/>
      <c r="I32" s="167"/>
      <c r="J32" s="167"/>
      <c r="K32" s="15"/>
      <c r="L32" s="15"/>
      <c r="M32" s="15"/>
      <c r="N32" s="15"/>
      <c r="O32" s="15"/>
      <c r="P32" s="15"/>
      <c r="Q32" s="15"/>
      <c r="R32" s="15"/>
      <c r="S32" s="15"/>
      <c r="T32" s="15"/>
      <c r="U32" s="15"/>
      <c r="V32" s="15"/>
      <c r="W32" s="15"/>
      <c r="X32" s="15"/>
      <c r="Y32" s="15"/>
      <c r="Z32" s="15"/>
    </row>
    <row r="33" spans="1:26" ht="15.75" customHeight="1" x14ac:dyDescent="0.25">
      <c r="A33" s="17" t="s">
        <v>385</v>
      </c>
      <c r="B33" s="41"/>
      <c r="C33" s="43"/>
      <c r="D33" s="43"/>
      <c r="E33" s="43"/>
      <c r="F33" s="43"/>
      <c r="G33" s="43"/>
      <c r="H33" s="14"/>
      <c r="I33" s="167"/>
      <c r="J33" s="167"/>
      <c r="K33" s="15"/>
      <c r="L33" s="15"/>
      <c r="M33" s="15"/>
      <c r="N33" s="15"/>
      <c r="O33" s="15"/>
      <c r="P33" s="15"/>
      <c r="Q33" s="15"/>
      <c r="R33" s="15"/>
      <c r="S33" s="15"/>
      <c r="T33" s="15"/>
      <c r="U33" s="15"/>
      <c r="V33" s="15"/>
      <c r="W33" s="15"/>
      <c r="X33" s="15"/>
      <c r="Y33" s="15"/>
      <c r="Z33" s="15"/>
    </row>
    <row r="34" spans="1:26" ht="15.75" customHeight="1" x14ac:dyDescent="0.25">
      <c r="A34" s="74" t="s">
        <v>791</v>
      </c>
      <c r="B34" s="49" t="s">
        <v>179</v>
      </c>
      <c r="C34" s="43">
        <v>0</v>
      </c>
      <c r="D34" s="43">
        <v>0</v>
      </c>
      <c r="E34" s="43">
        <v>0</v>
      </c>
      <c r="F34" s="43">
        <v>0</v>
      </c>
      <c r="G34" s="43">
        <v>434238</v>
      </c>
      <c r="H34" s="14"/>
      <c r="I34" s="167"/>
      <c r="J34" s="167"/>
      <c r="K34" s="15"/>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858223.25</v>
      </c>
      <c r="D35" s="43">
        <v>321317.28999999998</v>
      </c>
      <c r="E35" s="43">
        <f t="shared" ref="E35:E36" si="3">F35-D35</f>
        <v>272475.71000000002</v>
      </c>
      <c r="F35" s="43">
        <v>593793</v>
      </c>
      <c r="G35" s="43">
        <v>622959</v>
      </c>
      <c r="H35" s="14"/>
      <c r="I35" s="167"/>
      <c r="J35" s="167"/>
      <c r="K35" s="15"/>
      <c r="L35" s="15"/>
      <c r="M35" s="15"/>
      <c r="N35" s="15"/>
      <c r="O35" s="15"/>
      <c r="P35" s="15"/>
      <c r="Q35" s="15"/>
      <c r="R35" s="15"/>
      <c r="S35" s="15"/>
      <c r="T35" s="15"/>
      <c r="U35" s="15"/>
      <c r="V35" s="15"/>
      <c r="W35" s="15"/>
      <c r="X35" s="15"/>
      <c r="Y35" s="15"/>
      <c r="Z35" s="15"/>
    </row>
    <row r="36" spans="1:26" ht="15.75" customHeight="1" x14ac:dyDescent="0.25">
      <c r="A36" s="44" t="s">
        <v>388</v>
      </c>
      <c r="B36" s="41" t="s">
        <v>183</v>
      </c>
      <c r="C36" s="43">
        <v>121000</v>
      </c>
      <c r="D36" s="43">
        <v>0</v>
      </c>
      <c r="E36" s="43">
        <f t="shared" si="3"/>
        <v>145000</v>
      </c>
      <c r="F36" s="43">
        <v>145000</v>
      </c>
      <c r="G36" s="43">
        <v>145000</v>
      </c>
      <c r="H36" s="14"/>
      <c r="I36" s="167"/>
      <c r="J36" s="167"/>
      <c r="K36" s="15"/>
      <c r="L36" s="15"/>
      <c r="M36" s="15"/>
      <c r="N36" s="15"/>
      <c r="O36" s="15"/>
      <c r="P36" s="15"/>
      <c r="Q36" s="15"/>
      <c r="R36" s="15"/>
      <c r="S36" s="15"/>
      <c r="T36" s="15"/>
      <c r="U36" s="15"/>
      <c r="V36" s="15"/>
      <c r="W36" s="15"/>
      <c r="X36" s="15"/>
      <c r="Y36" s="15"/>
      <c r="Z36" s="15"/>
    </row>
    <row r="37" spans="1:26" ht="31.5" x14ac:dyDescent="0.25">
      <c r="A37" s="117" t="s">
        <v>625</v>
      </c>
      <c r="B37" s="41"/>
      <c r="C37" s="45">
        <v>0</v>
      </c>
      <c r="D37" s="43">
        <v>0</v>
      </c>
      <c r="E37" s="43">
        <v>0</v>
      </c>
      <c r="F37" s="43">
        <v>0</v>
      </c>
      <c r="G37" s="43">
        <v>447091</v>
      </c>
      <c r="H37" s="14"/>
      <c r="I37" s="167"/>
      <c r="J37" s="167"/>
      <c r="K37" s="15"/>
      <c r="L37" s="15"/>
      <c r="M37" s="15"/>
      <c r="N37" s="15"/>
      <c r="O37" s="15"/>
      <c r="P37" s="15"/>
      <c r="Q37" s="15"/>
      <c r="R37" s="15"/>
      <c r="S37" s="15"/>
      <c r="T37" s="15"/>
      <c r="U37" s="15"/>
      <c r="V37" s="15"/>
      <c r="W37" s="15"/>
      <c r="X37" s="15"/>
      <c r="Y37" s="15"/>
      <c r="Z37" s="15"/>
    </row>
    <row r="38" spans="1:26" ht="15.75" customHeight="1" x14ac:dyDescent="0.25">
      <c r="A38" s="456" t="s">
        <v>632</v>
      </c>
      <c r="B38" s="540"/>
      <c r="C38" s="79">
        <f t="shared" ref="C38:D38" si="4">+SUM(C16:C36)</f>
        <v>17522920.469999999</v>
      </c>
      <c r="D38" s="54">
        <f t="shared" si="4"/>
        <v>10154428.549999999</v>
      </c>
      <c r="E38" s="54">
        <f>F38-D38</f>
        <v>11890128.450000001</v>
      </c>
      <c r="F38" s="54">
        <f>+SUM(F16:F36)</f>
        <v>22044557</v>
      </c>
      <c r="G38" s="54">
        <f>+SUM(G16:G37)</f>
        <v>23828025</v>
      </c>
      <c r="H38" s="193"/>
      <c r="I38" s="263"/>
      <c r="J38" s="263"/>
      <c r="K38" s="232"/>
      <c r="L38" s="232"/>
      <c r="M38" s="232"/>
      <c r="N38" s="232"/>
      <c r="O38" s="232"/>
      <c r="P38" s="232"/>
      <c r="Q38" s="232"/>
      <c r="R38" s="232"/>
      <c r="S38" s="232"/>
      <c r="T38" s="232"/>
      <c r="U38" s="232"/>
      <c r="V38" s="232"/>
      <c r="W38" s="232"/>
      <c r="X38" s="232"/>
      <c r="Y38" s="232"/>
      <c r="Z38" s="232"/>
    </row>
    <row r="39" spans="1:26" ht="15.75" customHeight="1" x14ac:dyDescent="0.25">
      <c r="A39" s="456"/>
      <c r="B39" s="540"/>
      <c r="C39" s="449"/>
      <c r="D39" s="497"/>
      <c r="E39" s="438"/>
      <c r="F39" s="448"/>
      <c r="G39" s="448"/>
      <c r="H39" s="538"/>
      <c r="I39" s="524"/>
      <c r="J39" s="524"/>
      <c r="K39" s="515"/>
      <c r="L39" s="515"/>
      <c r="M39" s="515"/>
      <c r="N39" s="515"/>
      <c r="O39" s="515"/>
      <c r="P39" s="515"/>
      <c r="Q39" s="515"/>
      <c r="R39" s="515"/>
      <c r="S39" s="515"/>
      <c r="T39" s="515"/>
      <c r="U39" s="515"/>
      <c r="V39" s="515"/>
      <c r="W39" s="515"/>
      <c r="X39" s="515"/>
      <c r="Y39" s="515"/>
      <c r="Z39" s="515"/>
    </row>
    <row r="40" spans="1:26" ht="15.75" customHeight="1" x14ac:dyDescent="0.25">
      <c r="A40" s="486" t="s">
        <v>391</v>
      </c>
      <c r="B40" s="437"/>
      <c r="C40" s="264"/>
      <c r="D40" s="81"/>
      <c r="E40" s="43"/>
      <c r="F40" s="539"/>
      <c r="G40" s="461"/>
      <c r="H40" s="12"/>
      <c r="I40" s="265"/>
      <c r="J40" s="265"/>
      <c r="K40" s="10"/>
      <c r="L40" s="10"/>
      <c r="M40" s="10"/>
      <c r="N40" s="10"/>
      <c r="O40" s="10"/>
      <c r="P40" s="10"/>
      <c r="Q40" s="10"/>
      <c r="R40" s="10"/>
      <c r="S40" s="10"/>
      <c r="T40" s="10"/>
      <c r="U40" s="10"/>
      <c r="V40" s="10"/>
      <c r="W40" s="10"/>
      <c r="X40" s="10"/>
      <c r="Y40" s="10"/>
      <c r="Z40" s="10"/>
    </row>
    <row r="41" spans="1:26" ht="15.75" customHeight="1" x14ac:dyDescent="0.25">
      <c r="A41" s="17" t="s">
        <v>627</v>
      </c>
      <c r="B41" s="41"/>
      <c r="C41" s="43"/>
      <c r="D41" s="43"/>
      <c r="E41" s="43"/>
      <c r="F41" s="43"/>
      <c r="G41" s="541"/>
      <c r="H41" s="14"/>
      <c r="I41" s="167"/>
      <c r="J41" s="167"/>
      <c r="K41" s="15"/>
      <c r="L41" s="15"/>
      <c r="M41" s="15"/>
      <c r="N41" s="15"/>
      <c r="O41" s="15"/>
      <c r="P41" s="15"/>
      <c r="Q41" s="15"/>
      <c r="R41" s="15"/>
      <c r="S41" s="15"/>
      <c r="T41" s="15"/>
      <c r="U41" s="15"/>
      <c r="V41" s="15"/>
      <c r="W41" s="15"/>
      <c r="X41" s="15"/>
      <c r="Y41" s="15"/>
      <c r="Z41" s="15"/>
    </row>
    <row r="42" spans="1:26" ht="15.75" customHeight="1" x14ac:dyDescent="0.25">
      <c r="A42" s="44" t="s">
        <v>393</v>
      </c>
      <c r="B42" s="41" t="s">
        <v>187</v>
      </c>
      <c r="C42" s="43">
        <v>111551.36</v>
      </c>
      <c r="D42" s="26">
        <v>26678.47</v>
      </c>
      <c r="E42" s="43">
        <f>F42-D42</f>
        <v>123321.53</v>
      </c>
      <c r="F42" s="43">
        <v>150000</v>
      </c>
      <c r="G42" s="440">
        <v>150000</v>
      </c>
      <c r="H42" s="14">
        <f>SUM(G42,G56:G62)+H77</f>
        <v>2140962</v>
      </c>
      <c r="I42" s="167"/>
      <c r="J42" s="167"/>
      <c r="K42" s="15"/>
      <c r="L42" s="15"/>
      <c r="M42" s="15"/>
      <c r="N42" s="15"/>
      <c r="O42" s="15"/>
      <c r="P42" s="15"/>
      <c r="Q42" s="15"/>
      <c r="R42" s="15"/>
      <c r="S42" s="15"/>
      <c r="T42" s="15"/>
      <c r="U42" s="15"/>
      <c r="V42" s="15"/>
      <c r="W42" s="15"/>
      <c r="X42" s="15"/>
      <c r="Y42" s="15"/>
      <c r="Z42" s="15"/>
    </row>
    <row r="43" spans="1:26" ht="15.75" customHeight="1" x14ac:dyDescent="0.25">
      <c r="A43" s="17" t="s">
        <v>493</v>
      </c>
      <c r="B43" s="41"/>
      <c r="C43" s="43"/>
      <c r="D43" s="14"/>
      <c r="E43" s="43"/>
      <c r="F43" s="43"/>
      <c r="G43" s="440"/>
      <c r="H43" s="14"/>
      <c r="I43" s="167"/>
      <c r="J43" s="167"/>
      <c r="K43" s="15"/>
      <c r="L43" s="15"/>
      <c r="M43" s="15"/>
      <c r="N43" s="15"/>
      <c r="O43" s="15"/>
      <c r="P43" s="15"/>
      <c r="Q43" s="15"/>
      <c r="R43" s="15"/>
      <c r="S43" s="15"/>
      <c r="T43" s="15"/>
      <c r="U43" s="15"/>
      <c r="V43" s="15"/>
      <c r="W43" s="15"/>
      <c r="X43" s="15"/>
      <c r="Y43" s="15"/>
      <c r="Z43" s="15"/>
    </row>
    <row r="44" spans="1:26" ht="15.75" customHeight="1" x14ac:dyDescent="0.25">
      <c r="A44" s="44" t="s">
        <v>396</v>
      </c>
      <c r="B44" s="41" t="s">
        <v>191</v>
      </c>
      <c r="C44" s="43">
        <v>2180242.4500000002</v>
      </c>
      <c r="D44" s="26">
        <v>1563810.45</v>
      </c>
      <c r="E44" s="43">
        <f>F44-D44</f>
        <v>504278.55000000005</v>
      </c>
      <c r="F44" s="43">
        <v>2068089</v>
      </c>
      <c r="G44" s="440">
        <v>1735326</v>
      </c>
      <c r="H44" s="167">
        <f t="shared" ref="H44:J44" si="5">SUM(H45:H54)</f>
        <v>1735326</v>
      </c>
      <c r="I44" s="14">
        <f t="shared" si="5"/>
        <v>2400195</v>
      </c>
      <c r="J44" s="167">
        <f t="shared" si="5"/>
        <v>664869</v>
      </c>
      <c r="L44" s="15"/>
      <c r="M44" s="15"/>
      <c r="N44" s="15"/>
      <c r="O44" s="15"/>
      <c r="P44" s="15"/>
      <c r="Q44" s="15"/>
      <c r="R44" s="15"/>
      <c r="S44" s="15"/>
      <c r="T44" s="15"/>
      <c r="U44" s="15"/>
      <c r="V44" s="15"/>
      <c r="W44" s="15"/>
      <c r="X44" s="15"/>
      <c r="Y44" s="15"/>
      <c r="Z44" s="15"/>
    </row>
    <row r="45" spans="1:26" ht="15.75" customHeight="1" x14ac:dyDescent="0.25">
      <c r="A45" s="266" t="s">
        <v>1312</v>
      </c>
      <c r="B45" s="41"/>
      <c r="C45" s="43"/>
      <c r="D45" s="26"/>
      <c r="E45" s="43"/>
      <c r="F45" s="43"/>
      <c r="G45" s="440"/>
      <c r="H45" s="167">
        <v>115167</v>
      </c>
      <c r="I45" s="14">
        <v>129355</v>
      </c>
      <c r="J45" s="167">
        <f t="shared" ref="J45:J54" si="6">I45-H45</f>
        <v>14188</v>
      </c>
      <c r="L45" s="15"/>
      <c r="M45" s="15"/>
      <c r="N45" s="15"/>
      <c r="O45" s="15"/>
      <c r="P45" s="15"/>
      <c r="Q45" s="15"/>
      <c r="R45" s="15"/>
      <c r="S45" s="15"/>
      <c r="T45" s="15"/>
      <c r="U45" s="15"/>
      <c r="V45" s="15"/>
      <c r="W45" s="15"/>
      <c r="X45" s="15"/>
      <c r="Y45" s="15"/>
      <c r="Z45" s="15"/>
    </row>
    <row r="46" spans="1:26" ht="15.75" customHeight="1" x14ac:dyDescent="0.25">
      <c r="A46" s="267" t="s">
        <v>1313</v>
      </c>
      <c r="B46" s="41"/>
      <c r="C46" s="43"/>
      <c r="D46" s="26"/>
      <c r="E46" s="43"/>
      <c r="F46" s="43"/>
      <c r="G46" s="440"/>
      <c r="H46" s="167"/>
      <c r="I46" s="14"/>
      <c r="J46" s="167">
        <f t="shared" si="6"/>
        <v>0</v>
      </c>
      <c r="L46" s="15"/>
      <c r="M46" s="15"/>
      <c r="N46" s="15"/>
      <c r="O46" s="15"/>
      <c r="P46" s="15"/>
      <c r="Q46" s="15"/>
      <c r="R46" s="15"/>
      <c r="S46" s="15"/>
      <c r="T46" s="15"/>
      <c r="U46" s="15"/>
      <c r="V46" s="15"/>
      <c r="W46" s="15"/>
      <c r="X46" s="15"/>
      <c r="Y46" s="15"/>
      <c r="Z46" s="15"/>
    </row>
    <row r="47" spans="1:26" ht="15.75" customHeight="1" x14ac:dyDescent="0.25">
      <c r="A47" s="266" t="s">
        <v>1314</v>
      </c>
      <c r="B47" s="41"/>
      <c r="C47" s="43"/>
      <c r="D47" s="26"/>
      <c r="E47" s="43"/>
      <c r="F47" s="43"/>
      <c r="G47" s="440"/>
      <c r="H47" s="167">
        <v>62190</v>
      </c>
      <c r="I47" s="14">
        <v>69134</v>
      </c>
      <c r="J47" s="167">
        <f t="shared" si="6"/>
        <v>6944</v>
      </c>
      <c r="L47" s="15"/>
      <c r="M47" s="15"/>
      <c r="N47" s="15"/>
      <c r="O47" s="15"/>
      <c r="P47" s="15"/>
      <c r="Q47" s="15"/>
      <c r="R47" s="15"/>
      <c r="S47" s="15"/>
      <c r="T47" s="15"/>
      <c r="U47" s="15"/>
      <c r="V47" s="15"/>
      <c r="W47" s="15"/>
      <c r="X47" s="15"/>
      <c r="Y47" s="15"/>
      <c r="Z47" s="15"/>
    </row>
    <row r="48" spans="1:26" ht="15.75" customHeight="1" x14ac:dyDescent="0.25">
      <c r="A48" s="266" t="s">
        <v>1315</v>
      </c>
      <c r="B48" s="41"/>
      <c r="C48" s="43"/>
      <c r="D48" s="26"/>
      <c r="E48" s="43"/>
      <c r="F48" s="43"/>
      <c r="G48" s="43"/>
      <c r="H48" s="167">
        <v>324114</v>
      </c>
      <c r="I48" s="14">
        <v>425602</v>
      </c>
      <c r="J48" s="167">
        <f t="shared" si="6"/>
        <v>101488</v>
      </c>
      <c r="L48" s="15"/>
      <c r="M48" s="15"/>
      <c r="N48" s="15"/>
      <c r="O48" s="15"/>
      <c r="P48" s="15"/>
      <c r="Q48" s="15"/>
      <c r="R48" s="15"/>
      <c r="S48" s="15"/>
      <c r="T48" s="15"/>
      <c r="U48" s="15"/>
      <c r="V48" s="15"/>
      <c r="W48" s="15"/>
      <c r="X48" s="15"/>
      <c r="Y48" s="15"/>
      <c r="Z48" s="15"/>
    </row>
    <row r="49" spans="1:26" ht="15.75" customHeight="1" x14ac:dyDescent="0.25">
      <c r="A49" s="266" t="s">
        <v>1316</v>
      </c>
      <c r="B49" s="41"/>
      <c r="C49" s="43"/>
      <c r="D49" s="26"/>
      <c r="E49" s="43"/>
      <c r="F49" s="43"/>
      <c r="G49" s="43"/>
      <c r="H49" s="167">
        <v>31316</v>
      </c>
      <c r="I49" s="14">
        <v>34789</v>
      </c>
      <c r="J49" s="167">
        <f t="shared" si="6"/>
        <v>3473</v>
      </c>
      <c r="L49" s="15"/>
      <c r="M49" s="15"/>
      <c r="N49" s="15"/>
      <c r="O49" s="15"/>
      <c r="P49" s="15"/>
      <c r="Q49" s="15"/>
      <c r="R49" s="15"/>
      <c r="S49" s="15"/>
      <c r="T49" s="15"/>
      <c r="U49" s="15"/>
      <c r="V49" s="15"/>
      <c r="W49" s="15"/>
      <c r="X49" s="15"/>
      <c r="Y49" s="15"/>
      <c r="Z49" s="15"/>
    </row>
    <row r="50" spans="1:26" ht="15.75" customHeight="1" x14ac:dyDescent="0.25">
      <c r="A50" s="267" t="s">
        <v>1317</v>
      </c>
      <c r="B50" s="41"/>
      <c r="C50" s="43"/>
      <c r="D50" s="26"/>
      <c r="E50" s="43"/>
      <c r="F50" s="43"/>
      <c r="G50" s="43"/>
      <c r="H50" s="167"/>
      <c r="I50" s="14"/>
      <c r="J50" s="167">
        <f t="shared" si="6"/>
        <v>0</v>
      </c>
      <c r="L50" s="15"/>
      <c r="M50" s="15"/>
      <c r="N50" s="15"/>
      <c r="O50" s="15"/>
      <c r="P50" s="15"/>
      <c r="Q50" s="15"/>
      <c r="R50" s="15"/>
      <c r="S50" s="15"/>
      <c r="T50" s="15"/>
      <c r="U50" s="15"/>
      <c r="V50" s="15"/>
      <c r="W50" s="15"/>
      <c r="X50" s="15"/>
      <c r="Y50" s="15"/>
      <c r="Z50" s="15"/>
    </row>
    <row r="51" spans="1:26" ht="15.75" customHeight="1" x14ac:dyDescent="0.25">
      <c r="A51" s="266" t="s">
        <v>1318</v>
      </c>
      <c r="B51" s="41"/>
      <c r="C51" s="43"/>
      <c r="D51" s="26"/>
      <c r="E51" s="43"/>
      <c r="F51" s="43"/>
      <c r="G51" s="43"/>
      <c r="H51" s="167"/>
      <c r="I51" s="14"/>
      <c r="J51" s="167">
        <f t="shared" si="6"/>
        <v>0</v>
      </c>
      <c r="L51" s="15"/>
      <c r="M51" s="15"/>
      <c r="N51" s="15"/>
      <c r="O51" s="15"/>
      <c r="P51" s="15"/>
      <c r="Q51" s="15"/>
      <c r="R51" s="15"/>
      <c r="S51" s="15"/>
      <c r="T51" s="15"/>
      <c r="U51" s="15"/>
      <c r="V51" s="15"/>
      <c r="W51" s="15"/>
      <c r="X51" s="15"/>
      <c r="Y51" s="15"/>
      <c r="Z51" s="15"/>
    </row>
    <row r="52" spans="1:26" ht="15.75" customHeight="1" x14ac:dyDescent="0.25">
      <c r="A52" s="266" t="s">
        <v>1319</v>
      </c>
      <c r="B52" s="41"/>
      <c r="C52" s="43"/>
      <c r="D52" s="26"/>
      <c r="E52" s="43"/>
      <c r="F52" s="43"/>
      <c r="G52" s="43"/>
      <c r="H52" s="167">
        <v>725049</v>
      </c>
      <c r="I52" s="14">
        <v>1076709</v>
      </c>
      <c r="J52" s="167">
        <f t="shared" si="6"/>
        <v>351660</v>
      </c>
      <c r="L52" s="15"/>
      <c r="M52" s="15"/>
      <c r="N52" s="15"/>
      <c r="O52" s="15"/>
      <c r="P52" s="15"/>
      <c r="Q52" s="15"/>
      <c r="R52" s="15"/>
      <c r="S52" s="15"/>
      <c r="T52" s="15"/>
      <c r="U52" s="15"/>
      <c r="V52" s="15"/>
      <c r="W52" s="15"/>
      <c r="X52" s="15"/>
      <c r="Y52" s="15"/>
      <c r="Z52" s="15"/>
    </row>
    <row r="53" spans="1:26" ht="15.75" customHeight="1" x14ac:dyDescent="0.25">
      <c r="A53" s="266" t="s">
        <v>1320</v>
      </c>
      <c r="B53" s="41"/>
      <c r="C53" s="43"/>
      <c r="D53" s="26"/>
      <c r="E53" s="43"/>
      <c r="F53" s="43"/>
      <c r="G53" s="43"/>
      <c r="H53" s="167">
        <v>77490</v>
      </c>
      <c r="I53" s="14">
        <v>84606</v>
      </c>
      <c r="J53" s="167">
        <f t="shared" si="6"/>
        <v>7116</v>
      </c>
      <c r="L53" s="15"/>
      <c r="M53" s="15"/>
      <c r="N53" s="15"/>
      <c r="O53" s="15"/>
      <c r="P53" s="15"/>
      <c r="Q53" s="15"/>
      <c r="R53" s="15"/>
      <c r="S53" s="15"/>
      <c r="T53" s="15"/>
      <c r="U53" s="15"/>
      <c r="V53" s="15"/>
      <c r="W53" s="15"/>
      <c r="X53" s="15"/>
      <c r="Y53" s="15"/>
      <c r="Z53" s="15"/>
    </row>
    <row r="54" spans="1:26" ht="15.75" customHeight="1" x14ac:dyDescent="0.25">
      <c r="A54" s="662" t="s">
        <v>1321</v>
      </c>
      <c r="B54" s="483"/>
      <c r="C54" s="457"/>
      <c r="D54" s="77"/>
      <c r="E54" s="457"/>
      <c r="F54" s="457"/>
      <c r="G54" s="457"/>
      <c r="H54" s="167">
        <v>400000</v>
      </c>
      <c r="I54" s="14">
        <v>580000</v>
      </c>
      <c r="J54" s="167">
        <f t="shared" si="6"/>
        <v>180000</v>
      </c>
      <c r="L54" s="15"/>
      <c r="M54" s="15"/>
      <c r="N54" s="15"/>
      <c r="O54" s="15"/>
      <c r="P54" s="15"/>
      <c r="Q54" s="15"/>
      <c r="R54" s="15"/>
      <c r="S54" s="15"/>
      <c r="T54" s="15"/>
      <c r="U54" s="15"/>
      <c r="V54" s="15"/>
      <c r="W54" s="15"/>
      <c r="X54" s="15"/>
      <c r="Y54" s="15"/>
      <c r="Z54" s="15"/>
    </row>
    <row r="55" spans="1:26" ht="15.75" customHeight="1" x14ac:dyDescent="0.25">
      <c r="A55" s="599" t="s">
        <v>499</v>
      </c>
      <c r="B55" s="601"/>
      <c r="C55" s="448"/>
      <c r="D55" s="448"/>
      <c r="E55" s="448"/>
      <c r="F55" s="448"/>
      <c r="G55" s="448"/>
      <c r="H55" s="14"/>
      <c r="I55" s="167"/>
      <c r="J55" s="167"/>
      <c r="K55" s="15"/>
      <c r="L55" s="15"/>
      <c r="M55" s="15"/>
      <c r="N55" s="15"/>
      <c r="O55" s="15"/>
      <c r="P55" s="15"/>
      <c r="Q55" s="15"/>
      <c r="R55" s="15"/>
      <c r="S55" s="15"/>
      <c r="T55" s="15"/>
      <c r="U55" s="15"/>
      <c r="V55" s="15"/>
      <c r="W55" s="15"/>
      <c r="X55" s="15"/>
      <c r="Y55" s="15"/>
      <c r="Z55" s="15"/>
    </row>
    <row r="56" spans="1:26" ht="15.75" customHeight="1" x14ac:dyDescent="0.25">
      <c r="A56" s="44" t="s">
        <v>398</v>
      </c>
      <c r="B56" s="41" t="s">
        <v>195</v>
      </c>
      <c r="C56" s="43">
        <v>339120.25</v>
      </c>
      <c r="D56" s="43">
        <v>506569.97</v>
      </c>
      <c r="E56" s="43">
        <f t="shared" ref="E56:E59" si="7">F56-D56</f>
        <v>2255.0300000000279</v>
      </c>
      <c r="F56" s="43">
        <v>508825</v>
      </c>
      <c r="G56" s="43">
        <v>451300</v>
      </c>
      <c r="H56" s="14"/>
      <c r="I56" s="167"/>
      <c r="J56" s="167"/>
      <c r="K56" s="15"/>
      <c r="L56" s="15"/>
      <c r="M56" s="15"/>
      <c r="N56" s="15"/>
      <c r="O56" s="15"/>
      <c r="P56" s="15"/>
      <c r="Q56" s="15"/>
      <c r="R56" s="15"/>
      <c r="S56" s="15"/>
      <c r="T56" s="15"/>
      <c r="U56" s="15"/>
      <c r="V56" s="15"/>
      <c r="W56" s="15"/>
      <c r="X56" s="15"/>
      <c r="Y56" s="15"/>
      <c r="Z56" s="15"/>
    </row>
    <row r="57" spans="1:26" ht="15.75" customHeight="1" x14ac:dyDescent="0.25">
      <c r="A57" s="96" t="s">
        <v>633</v>
      </c>
      <c r="B57" s="41" t="s">
        <v>195</v>
      </c>
      <c r="C57" s="43">
        <v>0</v>
      </c>
      <c r="D57" s="43">
        <v>361065</v>
      </c>
      <c r="E57" s="43">
        <f t="shared" si="7"/>
        <v>3295</v>
      </c>
      <c r="F57" s="43">
        <v>364360</v>
      </c>
      <c r="G57" s="43">
        <v>823801</v>
      </c>
      <c r="H57" s="14"/>
      <c r="I57" s="167"/>
      <c r="J57" s="167"/>
      <c r="K57" s="15"/>
      <c r="L57" s="15"/>
      <c r="M57" s="15"/>
      <c r="N57" s="15"/>
      <c r="O57" s="15"/>
      <c r="P57" s="15"/>
      <c r="Q57" s="15"/>
      <c r="R57" s="15"/>
      <c r="S57" s="15"/>
      <c r="T57" s="15"/>
      <c r="U57" s="15"/>
      <c r="V57" s="15"/>
      <c r="W57" s="15"/>
      <c r="X57" s="15"/>
      <c r="Y57" s="15"/>
      <c r="Z57" s="15"/>
    </row>
    <row r="58" spans="1:26" ht="15.75" customHeight="1" x14ac:dyDescent="0.25">
      <c r="A58" s="96" t="s">
        <v>1322</v>
      </c>
      <c r="B58" s="41" t="s">
        <v>223</v>
      </c>
      <c r="C58" s="43">
        <v>0</v>
      </c>
      <c r="D58" s="43">
        <v>272440</v>
      </c>
      <c r="E58" s="43">
        <f t="shared" si="7"/>
        <v>130</v>
      </c>
      <c r="F58" s="43">
        <v>272570</v>
      </c>
      <c r="G58" s="43">
        <v>29400</v>
      </c>
      <c r="H58" s="14"/>
      <c r="I58" s="167"/>
      <c r="J58" s="167"/>
      <c r="K58" s="15"/>
      <c r="L58" s="15"/>
      <c r="M58" s="15"/>
      <c r="N58" s="15"/>
      <c r="O58" s="15"/>
      <c r="P58" s="15"/>
      <c r="Q58" s="15"/>
      <c r="R58" s="15"/>
      <c r="S58" s="15"/>
      <c r="T58" s="15"/>
      <c r="U58" s="15"/>
      <c r="V58" s="15"/>
      <c r="W58" s="15"/>
      <c r="X58" s="15"/>
      <c r="Y58" s="15"/>
      <c r="Z58" s="15"/>
    </row>
    <row r="59" spans="1:26" ht="15.75" customHeight="1" x14ac:dyDescent="0.25">
      <c r="A59" s="44" t="s">
        <v>402</v>
      </c>
      <c r="B59" s="41" t="s">
        <v>225</v>
      </c>
      <c r="C59" s="43">
        <v>566754.59</v>
      </c>
      <c r="D59" s="43">
        <v>43831</v>
      </c>
      <c r="E59" s="43">
        <f t="shared" si="7"/>
        <v>53020</v>
      </c>
      <c r="F59" s="43">
        <v>96851</v>
      </c>
      <c r="G59" s="43">
        <v>90485</v>
      </c>
      <c r="H59" s="14"/>
      <c r="I59" s="167"/>
      <c r="J59" s="167"/>
      <c r="K59" s="15"/>
      <c r="L59" s="15"/>
      <c r="M59" s="15"/>
      <c r="N59" s="15"/>
      <c r="O59" s="15"/>
      <c r="P59" s="15"/>
      <c r="Q59" s="15"/>
      <c r="R59" s="15"/>
      <c r="S59" s="15"/>
      <c r="T59" s="15"/>
      <c r="U59" s="15"/>
      <c r="V59" s="15"/>
      <c r="W59" s="15"/>
      <c r="X59" s="15"/>
      <c r="Y59" s="15"/>
      <c r="Z59" s="15"/>
    </row>
    <row r="60" spans="1:26" ht="15.75" customHeight="1" x14ac:dyDescent="0.25">
      <c r="A60" s="17" t="s">
        <v>503</v>
      </c>
      <c r="B60" s="41"/>
      <c r="C60" s="43"/>
      <c r="D60" s="43"/>
      <c r="E60" s="43"/>
      <c r="F60" s="43"/>
      <c r="G60" s="43"/>
      <c r="H60" s="14"/>
      <c r="I60" s="167"/>
      <c r="J60" s="167"/>
      <c r="K60" s="15"/>
      <c r="L60" s="15"/>
      <c r="M60" s="15"/>
      <c r="N60" s="15"/>
      <c r="O60" s="15"/>
      <c r="P60" s="15"/>
      <c r="Q60" s="15"/>
      <c r="R60" s="15"/>
      <c r="S60" s="15"/>
      <c r="T60" s="15"/>
      <c r="U60" s="15"/>
      <c r="V60" s="15"/>
      <c r="W60" s="15"/>
      <c r="X60" s="15"/>
      <c r="Y60" s="15"/>
      <c r="Z60" s="15"/>
    </row>
    <row r="61" spans="1:26" ht="15.75" customHeight="1" x14ac:dyDescent="0.25">
      <c r="A61" s="44" t="s">
        <v>1303</v>
      </c>
      <c r="B61" s="41" t="s">
        <v>231</v>
      </c>
      <c r="C61" s="43">
        <v>1185</v>
      </c>
      <c r="D61" s="43">
        <v>1858</v>
      </c>
      <c r="E61" s="43">
        <f t="shared" ref="E61:E62" si="8">F61-D61</f>
        <v>3142</v>
      </c>
      <c r="F61" s="43">
        <v>5000</v>
      </c>
      <c r="G61" s="43">
        <v>5000</v>
      </c>
      <c r="H61" s="14"/>
      <c r="I61" s="167"/>
      <c r="J61" s="167"/>
      <c r="K61" s="15"/>
      <c r="L61" s="15"/>
      <c r="M61" s="15"/>
      <c r="N61" s="15"/>
      <c r="O61" s="15"/>
      <c r="P61" s="15"/>
      <c r="Q61" s="15"/>
      <c r="R61" s="15"/>
      <c r="S61" s="15"/>
      <c r="T61" s="15"/>
      <c r="U61" s="15"/>
      <c r="V61" s="15"/>
      <c r="W61" s="15"/>
      <c r="X61" s="15"/>
      <c r="Y61" s="15"/>
      <c r="Z61" s="15"/>
    </row>
    <row r="62" spans="1:26" ht="15.75" customHeight="1" x14ac:dyDescent="0.25">
      <c r="A62" s="44" t="s">
        <v>405</v>
      </c>
      <c r="B62" s="41" t="s">
        <v>235</v>
      </c>
      <c r="C62" s="43">
        <v>42000</v>
      </c>
      <c r="D62" s="43">
        <v>25125</v>
      </c>
      <c r="E62" s="43">
        <f t="shared" si="8"/>
        <v>28875</v>
      </c>
      <c r="F62" s="43">
        <v>54000</v>
      </c>
      <c r="G62" s="43">
        <v>54000</v>
      </c>
      <c r="H62" s="14"/>
      <c r="I62" s="167"/>
      <c r="J62" s="167"/>
      <c r="K62" s="15"/>
      <c r="L62" s="15"/>
      <c r="M62" s="15"/>
      <c r="N62" s="15"/>
      <c r="O62" s="15"/>
      <c r="P62" s="15"/>
      <c r="Q62" s="15"/>
      <c r="R62" s="15"/>
      <c r="S62" s="15"/>
      <c r="T62" s="15"/>
      <c r="U62" s="15"/>
      <c r="V62" s="15"/>
      <c r="W62" s="15"/>
      <c r="X62" s="15"/>
      <c r="Y62" s="15"/>
      <c r="Z62" s="15"/>
    </row>
    <row r="63" spans="1:26" ht="15.75" customHeight="1" x14ac:dyDescent="0.25">
      <c r="A63" s="17" t="s">
        <v>511</v>
      </c>
      <c r="B63" s="41"/>
      <c r="C63" s="43"/>
      <c r="D63" s="43"/>
      <c r="E63" s="43"/>
      <c r="F63" s="43"/>
      <c r="G63" s="43"/>
      <c r="H63" s="14"/>
      <c r="I63" s="167"/>
      <c r="J63" s="167"/>
      <c r="K63" s="15"/>
      <c r="L63" s="15"/>
      <c r="M63" s="15"/>
      <c r="N63" s="15"/>
      <c r="O63" s="15"/>
      <c r="P63" s="15"/>
      <c r="Q63" s="15"/>
      <c r="R63" s="15"/>
      <c r="S63" s="15"/>
      <c r="T63" s="15"/>
      <c r="U63" s="15"/>
      <c r="V63" s="15"/>
      <c r="W63" s="15"/>
      <c r="X63" s="15"/>
      <c r="Y63" s="15"/>
      <c r="Z63" s="15"/>
    </row>
    <row r="64" spans="1:26" ht="15.75" customHeight="1" x14ac:dyDescent="0.25">
      <c r="A64" s="48" t="s">
        <v>424</v>
      </c>
      <c r="B64" s="41" t="s">
        <v>335</v>
      </c>
      <c r="C64" s="43">
        <v>4815034.7699999996</v>
      </c>
      <c r="D64" s="43">
        <v>2771011.16</v>
      </c>
      <c r="E64" s="43">
        <f>F64-D64</f>
        <v>2680152.84</v>
      </c>
      <c r="F64" s="43">
        <v>5451164</v>
      </c>
      <c r="G64" s="43">
        <v>6989131</v>
      </c>
      <c r="H64" s="14">
        <f t="shared" ref="H64:J64" si="9">SUM(H65:H77)</f>
        <v>6989131</v>
      </c>
      <c r="I64" s="14">
        <f t="shared" si="9"/>
        <v>8934541</v>
      </c>
      <c r="J64" s="14">
        <f t="shared" si="9"/>
        <v>1945410</v>
      </c>
      <c r="K64" s="15"/>
      <c r="L64" s="15"/>
      <c r="M64" s="15"/>
      <c r="N64" s="15"/>
      <c r="O64" s="15"/>
      <c r="P64" s="15"/>
      <c r="Q64" s="15"/>
      <c r="R64" s="15"/>
      <c r="S64" s="15"/>
      <c r="T64" s="15"/>
      <c r="U64" s="15"/>
      <c r="V64" s="15"/>
      <c r="W64" s="15"/>
      <c r="X64" s="15"/>
      <c r="Y64" s="15"/>
      <c r="Z64" s="15"/>
    </row>
    <row r="65" spans="1:26" ht="15.75" customHeight="1" x14ac:dyDescent="0.25">
      <c r="A65" s="44" t="s">
        <v>1323</v>
      </c>
      <c r="B65" s="41"/>
      <c r="C65" s="43"/>
      <c r="D65" s="43"/>
      <c r="E65" s="43"/>
      <c r="F65" s="43"/>
      <c r="G65" s="43"/>
      <c r="H65" s="14">
        <v>50000</v>
      </c>
      <c r="I65" s="14">
        <v>66600</v>
      </c>
      <c r="J65" s="167">
        <f t="shared" ref="J65:J75" si="10">I65-H65</f>
        <v>16600</v>
      </c>
      <c r="K65" s="15"/>
      <c r="L65" s="15"/>
      <c r="M65" s="15"/>
      <c r="N65" s="15"/>
      <c r="O65" s="15"/>
      <c r="P65" s="15"/>
      <c r="Q65" s="15"/>
      <c r="R65" s="15"/>
      <c r="S65" s="15"/>
      <c r="T65" s="15"/>
      <c r="U65" s="15"/>
      <c r="V65" s="15"/>
      <c r="W65" s="15"/>
      <c r="X65" s="15"/>
      <c r="Y65" s="15"/>
      <c r="Z65" s="15"/>
    </row>
    <row r="66" spans="1:26" ht="15.75" customHeight="1" x14ac:dyDescent="0.25">
      <c r="A66" s="44" t="s">
        <v>1324</v>
      </c>
      <c r="B66" s="41"/>
      <c r="C66" s="43"/>
      <c r="D66" s="43"/>
      <c r="E66" s="43"/>
      <c r="F66" s="43"/>
      <c r="G66" s="43"/>
      <c r="H66" s="14">
        <v>453400</v>
      </c>
      <c r="I66" s="14">
        <v>453400</v>
      </c>
      <c r="J66" s="167">
        <f t="shared" si="10"/>
        <v>0</v>
      </c>
      <c r="K66" s="15"/>
      <c r="L66" s="15"/>
      <c r="M66" s="15"/>
      <c r="N66" s="15"/>
      <c r="O66" s="15"/>
      <c r="P66" s="15"/>
      <c r="Q66" s="15"/>
      <c r="R66" s="15"/>
      <c r="S66" s="15"/>
      <c r="T66" s="15"/>
      <c r="U66" s="15"/>
      <c r="V66" s="15"/>
      <c r="W66" s="15"/>
      <c r="X66" s="15"/>
      <c r="Y66" s="15"/>
      <c r="Z66" s="15"/>
    </row>
    <row r="67" spans="1:26" ht="15.75" customHeight="1" x14ac:dyDescent="0.25">
      <c r="A67" s="44" t="s">
        <v>1325</v>
      </c>
      <c r="B67" s="41"/>
      <c r="C67" s="43"/>
      <c r="D67" s="43"/>
      <c r="E67" s="43"/>
      <c r="F67" s="43"/>
      <c r="G67" s="43"/>
      <c r="H67" s="14"/>
      <c r="I67" s="14"/>
      <c r="J67" s="167">
        <f t="shared" si="10"/>
        <v>0</v>
      </c>
      <c r="K67" s="15"/>
      <c r="L67" s="15"/>
      <c r="M67" s="15"/>
      <c r="N67" s="15"/>
      <c r="O67" s="15"/>
      <c r="P67" s="15"/>
      <c r="Q67" s="15"/>
      <c r="R67" s="15"/>
      <c r="S67" s="15"/>
      <c r="T67" s="15"/>
      <c r="U67" s="15"/>
      <c r="V67" s="15"/>
      <c r="W67" s="15"/>
      <c r="X67" s="15"/>
      <c r="Y67" s="15"/>
      <c r="Z67" s="15"/>
    </row>
    <row r="68" spans="1:26" ht="15.75" customHeight="1" x14ac:dyDescent="0.25">
      <c r="A68" s="44" t="s">
        <v>1326</v>
      </c>
      <c r="B68" s="41"/>
      <c r="C68" s="43"/>
      <c r="D68" s="43"/>
      <c r="E68" s="43"/>
      <c r="F68" s="43"/>
      <c r="G68" s="43"/>
      <c r="H68" s="14">
        <v>266000</v>
      </c>
      <c r="I68" s="14">
        <v>266000</v>
      </c>
      <c r="J68" s="167">
        <f t="shared" si="10"/>
        <v>0</v>
      </c>
      <c r="K68" s="15"/>
      <c r="L68" s="15"/>
      <c r="M68" s="15"/>
      <c r="N68" s="15"/>
      <c r="O68" s="15"/>
      <c r="P68" s="15"/>
      <c r="Q68" s="15"/>
      <c r="R68" s="15"/>
      <c r="S68" s="15"/>
      <c r="T68" s="15"/>
      <c r="U68" s="15"/>
      <c r="V68" s="15"/>
      <c r="W68" s="15"/>
      <c r="X68" s="15"/>
      <c r="Y68" s="15"/>
      <c r="Z68" s="15"/>
    </row>
    <row r="69" spans="1:26" ht="15.75" customHeight="1" x14ac:dyDescent="0.25">
      <c r="A69" s="44" t="s">
        <v>1327</v>
      </c>
      <c r="B69" s="41"/>
      <c r="C69" s="43"/>
      <c r="D69" s="43"/>
      <c r="E69" s="43"/>
      <c r="F69" s="43"/>
      <c r="G69" s="43"/>
      <c r="H69" s="14"/>
      <c r="I69" s="14"/>
      <c r="J69" s="167">
        <f t="shared" si="10"/>
        <v>0</v>
      </c>
      <c r="K69" s="15"/>
      <c r="L69" s="15"/>
      <c r="M69" s="15"/>
      <c r="N69" s="15"/>
      <c r="O69" s="15"/>
      <c r="P69" s="15"/>
      <c r="Q69" s="15"/>
      <c r="R69" s="15"/>
      <c r="S69" s="15"/>
      <c r="T69" s="15"/>
      <c r="U69" s="15"/>
      <c r="V69" s="15"/>
      <c r="W69" s="15"/>
      <c r="X69" s="15"/>
      <c r="Y69" s="15"/>
      <c r="Z69" s="15"/>
    </row>
    <row r="70" spans="1:26" ht="15.75" customHeight="1" x14ac:dyDescent="0.25">
      <c r="A70" s="188" t="s">
        <v>1328</v>
      </c>
      <c r="B70" s="41"/>
      <c r="C70" s="43"/>
      <c r="D70" s="43"/>
      <c r="E70" s="43"/>
      <c r="F70" s="43"/>
      <c r="G70" s="43"/>
      <c r="H70" s="14">
        <v>500000</v>
      </c>
      <c r="I70" s="14">
        <v>546960</v>
      </c>
      <c r="J70" s="167">
        <f t="shared" si="10"/>
        <v>46960</v>
      </c>
      <c r="K70" s="15"/>
      <c r="L70" s="15"/>
      <c r="M70" s="15"/>
      <c r="N70" s="15"/>
      <c r="O70" s="15"/>
      <c r="P70" s="15"/>
      <c r="Q70" s="15"/>
      <c r="R70" s="15"/>
      <c r="S70" s="15"/>
      <c r="T70" s="15"/>
      <c r="U70" s="15"/>
      <c r="V70" s="15"/>
      <c r="W70" s="15"/>
      <c r="X70" s="15"/>
      <c r="Y70" s="15"/>
      <c r="Z70" s="15"/>
    </row>
    <row r="71" spans="1:26" ht="15.75" customHeight="1" x14ac:dyDescent="0.25">
      <c r="A71" s="44" t="s">
        <v>1329</v>
      </c>
      <c r="B71" s="41"/>
      <c r="C71" s="43"/>
      <c r="D71" s="43"/>
      <c r="E71" s="43"/>
      <c r="F71" s="43"/>
      <c r="G71" s="43"/>
      <c r="H71" s="14">
        <v>2041935</v>
      </c>
      <c r="I71" s="14">
        <v>2041935</v>
      </c>
      <c r="J71" s="167">
        <f t="shared" si="10"/>
        <v>0</v>
      </c>
      <c r="K71" s="15"/>
      <c r="L71" s="15"/>
      <c r="M71" s="15"/>
      <c r="N71" s="15"/>
      <c r="O71" s="15"/>
      <c r="P71" s="15"/>
      <c r="Q71" s="15"/>
      <c r="R71" s="15"/>
      <c r="S71" s="15"/>
      <c r="T71" s="15"/>
      <c r="U71" s="15"/>
      <c r="V71" s="15"/>
      <c r="W71" s="15"/>
      <c r="X71" s="15"/>
      <c r="Y71" s="15"/>
      <c r="Z71" s="15"/>
    </row>
    <row r="72" spans="1:26" ht="15.75" customHeight="1" x14ac:dyDescent="0.25">
      <c r="A72" s="44" t="s">
        <v>1330</v>
      </c>
      <c r="B72" s="41"/>
      <c r="C72" s="43"/>
      <c r="D72" s="43"/>
      <c r="E72" s="43"/>
      <c r="F72" s="43"/>
      <c r="G72" s="43"/>
      <c r="H72" s="14">
        <v>45000</v>
      </c>
      <c r="I72" s="14">
        <v>45000</v>
      </c>
      <c r="J72" s="167">
        <f t="shared" si="10"/>
        <v>0</v>
      </c>
      <c r="K72" s="15"/>
      <c r="L72" s="15"/>
      <c r="M72" s="15"/>
      <c r="N72" s="15"/>
      <c r="O72" s="15"/>
      <c r="P72" s="15"/>
      <c r="Q72" s="15"/>
      <c r="R72" s="15"/>
      <c r="S72" s="15"/>
      <c r="T72" s="15"/>
      <c r="U72" s="15"/>
      <c r="V72" s="15"/>
      <c r="W72" s="15"/>
      <c r="X72" s="15"/>
      <c r="Y72" s="15"/>
      <c r="Z72" s="15"/>
    </row>
    <row r="73" spans="1:26" ht="15.75" customHeight="1" x14ac:dyDescent="0.25">
      <c r="A73" s="44" t="s">
        <v>1331</v>
      </c>
      <c r="B73" s="41"/>
      <c r="C73" s="43"/>
      <c r="D73" s="43"/>
      <c r="E73" s="43"/>
      <c r="F73" s="43"/>
      <c r="G73" s="43"/>
      <c r="H73" s="14">
        <v>3000000</v>
      </c>
      <c r="I73" s="14">
        <v>4881850</v>
      </c>
      <c r="J73" s="167">
        <f t="shared" si="10"/>
        <v>1881850</v>
      </c>
      <c r="K73" s="15"/>
      <c r="L73" s="15"/>
      <c r="M73" s="15"/>
      <c r="N73" s="15"/>
      <c r="O73" s="15"/>
      <c r="P73" s="15"/>
      <c r="Q73" s="15"/>
      <c r="R73" s="15"/>
      <c r="S73" s="15"/>
      <c r="T73" s="15"/>
      <c r="U73" s="15"/>
      <c r="V73" s="15"/>
      <c r="W73" s="15"/>
      <c r="X73" s="15"/>
      <c r="Y73" s="15"/>
      <c r="Z73" s="15"/>
    </row>
    <row r="74" spans="1:26" ht="15.75" customHeight="1" x14ac:dyDescent="0.25">
      <c r="A74" s="44" t="s">
        <v>1332</v>
      </c>
      <c r="B74" s="41"/>
      <c r="C74" s="43"/>
      <c r="D74" s="43"/>
      <c r="E74" s="43"/>
      <c r="F74" s="43"/>
      <c r="G74" s="43"/>
      <c r="H74" s="14">
        <v>47320</v>
      </c>
      <c r="I74" s="14">
        <v>47320</v>
      </c>
      <c r="J74" s="167">
        <f t="shared" si="10"/>
        <v>0</v>
      </c>
      <c r="K74" s="15"/>
      <c r="L74" s="15"/>
      <c r="M74" s="15"/>
      <c r="N74" s="15"/>
      <c r="O74" s="15"/>
      <c r="P74" s="15"/>
      <c r="Q74" s="15"/>
      <c r="R74" s="15"/>
      <c r="S74" s="15"/>
      <c r="T74" s="15"/>
      <c r="U74" s="15"/>
      <c r="V74" s="15"/>
      <c r="W74" s="15"/>
      <c r="X74" s="15"/>
      <c r="Y74" s="15"/>
      <c r="Z74" s="15"/>
    </row>
    <row r="75" spans="1:26" ht="15.75" customHeight="1" x14ac:dyDescent="0.25">
      <c r="A75" s="44" t="s">
        <v>1333</v>
      </c>
      <c r="B75" s="41"/>
      <c r="C75" s="43"/>
      <c r="D75" s="43"/>
      <c r="E75" s="43"/>
      <c r="F75" s="43"/>
      <c r="G75" s="43"/>
      <c r="H75" s="14">
        <v>48500</v>
      </c>
      <c r="I75" s="14">
        <v>48500</v>
      </c>
      <c r="J75" s="167">
        <f t="shared" si="10"/>
        <v>0</v>
      </c>
      <c r="K75" s="15"/>
      <c r="L75" s="15"/>
      <c r="M75" s="15"/>
      <c r="N75" s="15"/>
      <c r="O75" s="15"/>
      <c r="P75" s="15"/>
      <c r="Q75" s="15"/>
      <c r="R75" s="15"/>
      <c r="S75" s="15"/>
      <c r="T75" s="15"/>
      <c r="U75" s="15"/>
      <c r="V75" s="15"/>
      <c r="W75" s="15"/>
      <c r="X75" s="15"/>
      <c r="Y75" s="15"/>
      <c r="Z75" s="15"/>
    </row>
    <row r="76" spans="1:26" ht="15.75" customHeight="1" x14ac:dyDescent="0.25">
      <c r="A76" s="42" t="s">
        <v>1334</v>
      </c>
      <c r="B76" s="25"/>
      <c r="C76" s="56"/>
      <c r="D76" s="56"/>
      <c r="E76" s="56"/>
      <c r="F76" s="56"/>
      <c r="G76" s="43"/>
      <c r="H76" s="14"/>
      <c r="I76" s="167"/>
      <c r="J76" s="167"/>
      <c r="K76" s="15"/>
      <c r="L76" s="15"/>
      <c r="M76" s="15"/>
      <c r="N76" s="15"/>
      <c r="O76" s="15"/>
      <c r="P76" s="15"/>
      <c r="Q76" s="15"/>
      <c r="R76" s="15"/>
      <c r="S76" s="15"/>
      <c r="T76" s="15"/>
      <c r="U76" s="15"/>
      <c r="V76" s="15"/>
      <c r="W76" s="15"/>
      <c r="X76" s="15"/>
      <c r="Y76" s="15"/>
      <c r="Z76" s="15"/>
    </row>
    <row r="77" spans="1:26" ht="15.75" customHeight="1" x14ac:dyDescent="0.25">
      <c r="A77" s="460" t="s">
        <v>1335</v>
      </c>
      <c r="B77" s="461"/>
      <c r="C77" s="452"/>
      <c r="D77" s="53"/>
      <c r="E77" s="53"/>
      <c r="F77" s="53"/>
      <c r="G77" s="53"/>
      <c r="H77" s="14">
        <v>536976</v>
      </c>
      <c r="I77" s="14">
        <v>536976</v>
      </c>
      <c r="J77" s="167">
        <f>I77-H77</f>
        <v>0</v>
      </c>
      <c r="K77" s="15"/>
      <c r="L77" s="15"/>
      <c r="M77" s="15"/>
      <c r="N77" s="15"/>
      <c r="O77" s="15"/>
      <c r="P77" s="15"/>
      <c r="Q77" s="15"/>
      <c r="R77" s="15"/>
      <c r="S77" s="15"/>
      <c r="T77" s="15"/>
      <c r="U77" s="15"/>
      <c r="V77" s="15"/>
      <c r="W77" s="15"/>
      <c r="X77" s="15"/>
      <c r="Y77" s="15"/>
      <c r="Z77" s="15"/>
    </row>
    <row r="78" spans="1:26" ht="15.75" customHeight="1" x14ac:dyDescent="0.25">
      <c r="A78" s="486" t="s">
        <v>466</v>
      </c>
      <c r="B78" s="437"/>
      <c r="C78" s="54">
        <f>+SUM(C42:C64)</f>
        <v>8055888.4199999999</v>
      </c>
      <c r="D78" s="54">
        <f>SUM(D42:D64)</f>
        <v>5572389.0499999998</v>
      </c>
      <c r="E78" s="54">
        <f>F78-D78</f>
        <v>3398469.95</v>
      </c>
      <c r="F78" s="54">
        <f t="shared" ref="F78:G78" si="11">+SUM(F42:F64)</f>
        <v>8970859</v>
      </c>
      <c r="G78" s="54">
        <f t="shared" si="11"/>
        <v>10328443</v>
      </c>
      <c r="H78" s="14"/>
      <c r="I78" s="167"/>
      <c r="J78" s="167"/>
      <c r="K78" s="15"/>
      <c r="L78" s="15"/>
      <c r="M78" s="15"/>
      <c r="N78" s="15"/>
      <c r="O78" s="15"/>
      <c r="P78" s="15"/>
      <c r="Q78" s="15"/>
      <c r="R78" s="15"/>
      <c r="S78" s="15"/>
      <c r="T78" s="15"/>
      <c r="U78" s="15"/>
      <c r="V78" s="15"/>
      <c r="W78" s="15"/>
      <c r="X78" s="15"/>
      <c r="Y78" s="15"/>
      <c r="Z78" s="15"/>
    </row>
    <row r="79" spans="1:26" ht="13.5" customHeight="1" x14ac:dyDescent="0.25">
      <c r="A79" s="43"/>
      <c r="B79" s="43"/>
      <c r="C79" s="39"/>
      <c r="D79" s="81"/>
      <c r="E79" s="43"/>
      <c r="F79" s="55"/>
      <c r="G79" s="55"/>
      <c r="H79" s="14"/>
      <c r="I79" s="167"/>
      <c r="J79" s="167"/>
      <c r="K79" s="15"/>
      <c r="L79" s="15"/>
      <c r="M79" s="15"/>
      <c r="N79" s="15"/>
      <c r="O79" s="15"/>
      <c r="P79" s="15"/>
      <c r="Q79" s="15"/>
      <c r="R79" s="15"/>
      <c r="S79" s="15"/>
      <c r="T79" s="15"/>
      <c r="U79" s="15"/>
      <c r="V79" s="15"/>
      <c r="W79" s="15"/>
      <c r="X79" s="15"/>
      <c r="Y79" s="15"/>
      <c r="Z79" s="15"/>
    </row>
    <row r="80" spans="1:26" ht="15.75" customHeight="1" x14ac:dyDescent="0.25">
      <c r="A80" s="17" t="s">
        <v>467</v>
      </c>
      <c r="B80" s="20"/>
      <c r="C80" s="56">
        <f t="shared" ref="C80:G80" si="12">+C78+C38</f>
        <v>25578808.890000001</v>
      </c>
      <c r="D80" s="56">
        <f t="shared" si="12"/>
        <v>15726817.599999998</v>
      </c>
      <c r="E80" s="56">
        <f t="shared" si="12"/>
        <v>15288598.400000002</v>
      </c>
      <c r="F80" s="56">
        <f t="shared" si="12"/>
        <v>31015416</v>
      </c>
      <c r="G80" s="43">
        <f t="shared" si="12"/>
        <v>34156468</v>
      </c>
      <c r="H80" s="14"/>
      <c r="I80" s="167"/>
      <c r="J80" s="167"/>
      <c r="K80" s="15"/>
      <c r="L80" s="15"/>
      <c r="M80" s="15"/>
      <c r="N80" s="15"/>
      <c r="O80" s="15"/>
      <c r="P80" s="15"/>
      <c r="Q80" s="15"/>
      <c r="R80" s="15"/>
      <c r="S80" s="15"/>
      <c r="T80" s="15"/>
      <c r="U80" s="15"/>
      <c r="V80" s="15"/>
      <c r="W80" s="15"/>
      <c r="X80" s="15"/>
      <c r="Y80" s="15"/>
      <c r="Z80" s="15"/>
    </row>
    <row r="81" spans="1:26" ht="13.5" customHeight="1" x14ac:dyDescent="0.25">
      <c r="A81" s="42"/>
      <c r="B81" s="41"/>
      <c r="C81" s="43"/>
      <c r="D81" s="43"/>
      <c r="E81" s="43"/>
      <c r="F81" s="43"/>
      <c r="G81" s="43"/>
      <c r="H81" s="14"/>
      <c r="I81" s="167"/>
      <c r="J81" s="167"/>
      <c r="K81" s="15"/>
      <c r="L81" s="15"/>
      <c r="M81" s="15"/>
      <c r="N81" s="15"/>
      <c r="O81" s="15"/>
      <c r="P81" s="15"/>
      <c r="Q81" s="15"/>
      <c r="R81" s="15"/>
      <c r="S81" s="15"/>
      <c r="T81" s="15"/>
      <c r="U81" s="15"/>
      <c r="V81" s="15"/>
      <c r="W81" s="15"/>
      <c r="X81" s="15"/>
      <c r="Y81" s="15"/>
      <c r="Z81" s="15"/>
    </row>
    <row r="82" spans="1:26" ht="15.75" customHeight="1" x14ac:dyDescent="0.25">
      <c r="A82" s="42" t="s">
        <v>529</v>
      </c>
      <c r="B82" s="41"/>
      <c r="C82" s="91"/>
      <c r="D82" s="41"/>
      <c r="E82" s="43"/>
      <c r="F82" s="41"/>
      <c r="G82" s="41"/>
      <c r="H82" s="14"/>
      <c r="I82" s="167"/>
      <c r="J82" s="167"/>
      <c r="K82" s="15"/>
      <c r="L82" s="15"/>
      <c r="M82" s="15"/>
      <c r="N82" s="15"/>
      <c r="O82" s="15"/>
      <c r="P82" s="15"/>
      <c r="Q82" s="15"/>
      <c r="R82" s="15"/>
      <c r="S82" s="15"/>
      <c r="T82" s="15"/>
      <c r="U82" s="15"/>
      <c r="V82" s="15"/>
      <c r="W82" s="15"/>
      <c r="X82" s="15"/>
      <c r="Y82" s="15"/>
      <c r="Z82" s="15"/>
    </row>
    <row r="83" spans="1:26" ht="15.75" customHeight="1" x14ac:dyDescent="0.25">
      <c r="A83" s="17" t="s">
        <v>1336</v>
      </c>
      <c r="B83" s="41"/>
      <c r="C83" s="43"/>
      <c r="D83" s="43"/>
      <c r="E83" s="43"/>
      <c r="F83" s="43"/>
      <c r="G83" s="43"/>
      <c r="H83" s="14"/>
      <c r="I83" s="167"/>
      <c r="J83" s="167"/>
      <c r="K83" s="15"/>
      <c r="L83" s="15"/>
      <c r="M83" s="15"/>
      <c r="N83" s="15"/>
      <c r="O83" s="15"/>
      <c r="P83" s="15"/>
      <c r="Q83" s="15"/>
      <c r="R83" s="15"/>
      <c r="S83" s="15"/>
      <c r="T83" s="15"/>
      <c r="U83" s="15"/>
      <c r="V83" s="15"/>
      <c r="W83" s="15"/>
      <c r="X83" s="15"/>
      <c r="Y83" s="15"/>
      <c r="Z83" s="15"/>
    </row>
    <row r="84" spans="1:26" ht="15.75" customHeight="1" x14ac:dyDescent="0.25">
      <c r="A84" s="44" t="s">
        <v>1337</v>
      </c>
      <c r="B84" s="41" t="s">
        <v>85</v>
      </c>
      <c r="C84" s="43">
        <v>67990</v>
      </c>
      <c r="D84" s="43"/>
      <c r="E84" s="43">
        <f>F84-D84</f>
        <v>0</v>
      </c>
      <c r="F84" s="43">
        <v>0</v>
      </c>
      <c r="G84" s="43">
        <v>90000</v>
      </c>
      <c r="H84" s="14"/>
      <c r="I84" s="167"/>
      <c r="J84" s="167"/>
      <c r="K84" s="15"/>
      <c r="L84" s="15"/>
      <c r="M84" s="15"/>
      <c r="N84" s="15"/>
      <c r="O84" s="15"/>
      <c r="P84" s="15"/>
      <c r="Q84" s="15"/>
      <c r="R84" s="15"/>
      <c r="S84" s="15"/>
      <c r="T84" s="15"/>
      <c r="U84" s="15"/>
      <c r="V84" s="15"/>
      <c r="W84" s="15"/>
      <c r="X84" s="15"/>
      <c r="Y84" s="15"/>
      <c r="Z84" s="15"/>
    </row>
    <row r="85" spans="1:26" ht="15.75" customHeight="1" x14ac:dyDescent="0.25">
      <c r="A85" s="17" t="s">
        <v>1338</v>
      </c>
      <c r="B85" s="172"/>
      <c r="C85" s="43"/>
      <c r="D85" s="43"/>
      <c r="E85" s="43"/>
      <c r="F85" s="43"/>
      <c r="G85" s="43"/>
      <c r="H85" s="7"/>
      <c r="I85" s="168"/>
      <c r="J85" s="168"/>
    </row>
    <row r="86" spans="1:26" ht="15.75" customHeight="1" x14ac:dyDescent="0.25">
      <c r="A86" s="17" t="s">
        <v>536</v>
      </c>
      <c r="B86" s="172"/>
      <c r="C86" s="54">
        <f>+SUM(C83:C84)</f>
        <v>67990</v>
      </c>
      <c r="D86" s="54"/>
      <c r="E86" s="54">
        <f>F86-D86</f>
        <v>0</v>
      </c>
      <c r="F86" s="54">
        <f>+SUM(F82:F84)</f>
        <v>0</v>
      </c>
      <c r="G86" s="54">
        <f>+SUM(G83:G84)</f>
        <v>90000</v>
      </c>
      <c r="H86" s="7"/>
      <c r="I86" s="168"/>
      <c r="J86" s="168"/>
    </row>
    <row r="87" spans="1:26" ht="15.75" customHeight="1" x14ac:dyDescent="0.25">
      <c r="A87" s="17"/>
      <c r="B87" s="172"/>
      <c r="C87" s="43"/>
      <c r="D87" s="43"/>
      <c r="E87" s="43"/>
      <c r="F87" s="43"/>
      <c r="G87" s="43"/>
      <c r="H87" s="7"/>
      <c r="I87" s="168"/>
      <c r="J87" s="168"/>
    </row>
    <row r="88" spans="1:26" ht="15.75" customHeight="1" x14ac:dyDescent="0.25">
      <c r="A88" s="50" t="s">
        <v>487</v>
      </c>
      <c r="B88" s="133" t="s">
        <v>488</v>
      </c>
      <c r="C88" s="54">
        <f>+C86+C80</f>
        <v>25646798.890000001</v>
      </c>
      <c r="D88" s="54">
        <f>+D86+D80</f>
        <v>15726817.599999998</v>
      </c>
      <c r="E88" s="54">
        <f>F88-D88</f>
        <v>15288598.400000002</v>
      </c>
      <c r="F88" s="54">
        <f>+F86+F80</f>
        <v>31015416</v>
      </c>
      <c r="G88" s="54">
        <f>+G86+G80</f>
        <v>34246468</v>
      </c>
      <c r="H88" s="7"/>
      <c r="I88" s="168"/>
      <c r="J88" s="168"/>
    </row>
    <row r="89" spans="1:26" ht="15.75" customHeight="1" x14ac:dyDescent="0.25">
      <c r="A89" s="24"/>
      <c r="B89" s="174"/>
      <c r="C89" s="24"/>
      <c r="D89" s="24"/>
      <c r="E89" s="24"/>
      <c r="F89" s="7"/>
      <c r="G89" s="139"/>
      <c r="H89" s="7"/>
      <c r="I89" s="168"/>
      <c r="J89" s="168"/>
    </row>
    <row r="90" spans="1:26" ht="15.75" customHeight="1" x14ac:dyDescent="0.25">
      <c r="A90" s="24"/>
      <c r="B90" s="25"/>
      <c r="C90" s="24"/>
      <c r="D90" s="24"/>
      <c r="E90" s="24"/>
      <c r="I90" s="168"/>
      <c r="J90" s="168"/>
    </row>
    <row r="91" spans="1:26" ht="15.75" customHeight="1" x14ac:dyDescent="0.25">
      <c r="A91" s="24"/>
      <c r="B91" s="174"/>
      <c r="C91" s="24"/>
      <c r="D91" s="24"/>
      <c r="E91" s="24"/>
      <c r="H91" s="7"/>
      <c r="I91" s="168"/>
      <c r="J91" s="168"/>
    </row>
    <row r="92" spans="1:26" ht="15.75" customHeight="1" x14ac:dyDescent="0.25">
      <c r="A92" s="24"/>
      <c r="B92" s="174"/>
      <c r="C92" s="24"/>
      <c r="D92" s="24"/>
      <c r="E92" s="24"/>
      <c r="H92" s="7"/>
      <c r="I92" s="168"/>
      <c r="J92" s="168"/>
    </row>
    <row r="93" spans="1:26" ht="15.75" customHeight="1" x14ac:dyDescent="0.25">
      <c r="A93" s="24"/>
      <c r="B93" s="174"/>
      <c r="C93" s="24"/>
      <c r="D93" s="24"/>
      <c r="E93" s="24"/>
      <c r="H93" s="7"/>
      <c r="I93" s="168"/>
      <c r="J93" s="168"/>
    </row>
    <row r="94" spans="1:26" ht="15.75" customHeight="1" x14ac:dyDescent="0.25">
      <c r="A94" s="24"/>
      <c r="B94" s="174"/>
      <c r="C94" s="24"/>
      <c r="D94" s="24"/>
      <c r="E94" s="24"/>
      <c r="H94" s="7"/>
      <c r="I94" s="168"/>
      <c r="J94" s="168"/>
    </row>
    <row r="95" spans="1:26" ht="15.75" customHeight="1" x14ac:dyDescent="0.25">
      <c r="A95" s="24"/>
      <c r="B95" s="174"/>
      <c r="C95" s="24"/>
      <c r="D95" s="24"/>
      <c r="E95" s="24"/>
      <c r="H95" s="7"/>
      <c r="I95" s="168"/>
      <c r="J95" s="168"/>
    </row>
    <row r="96" spans="1:26" ht="15.75" customHeight="1" x14ac:dyDescent="0.25">
      <c r="A96" s="24"/>
      <c r="B96" s="174"/>
      <c r="C96" s="24"/>
      <c r="D96" s="24"/>
      <c r="E96" s="24"/>
      <c r="H96" s="7"/>
      <c r="I96" s="168"/>
      <c r="J96" s="168"/>
    </row>
    <row r="97" spans="1:10" ht="15.75" customHeight="1" x14ac:dyDescent="0.25">
      <c r="A97" s="24"/>
      <c r="B97" s="174"/>
      <c r="C97" s="24"/>
      <c r="D97" s="24"/>
      <c r="E97" s="24"/>
      <c r="H97" s="7"/>
      <c r="I97" s="168"/>
      <c r="J97" s="168"/>
    </row>
    <row r="98" spans="1:10" ht="15.75" customHeight="1" x14ac:dyDescent="0.25">
      <c r="A98" s="24"/>
      <c r="B98" s="174"/>
      <c r="C98" s="24"/>
      <c r="D98" s="24"/>
      <c r="E98" s="24"/>
      <c r="H98" s="7"/>
      <c r="I98" s="168"/>
      <c r="J98" s="168"/>
    </row>
    <row r="99" spans="1:10" ht="15.75" customHeight="1" x14ac:dyDescent="0.25">
      <c r="A99" s="24"/>
      <c r="B99" s="174"/>
      <c r="C99" s="24"/>
      <c r="D99" s="24"/>
      <c r="E99" s="24"/>
      <c r="H99" s="7"/>
      <c r="I99" s="168"/>
      <c r="J99" s="168"/>
    </row>
    <row r="100" spans="1:10" ht="15.75" customHeight="1" x14ac:dyDescent="0.25">
      <c r="A100" s="24"/>
      <c r="B100" s="174"/>
      <c r="C100" s="24"/>
      <c r="D100" s="24"/>
      <c r="E100" s="24"/>
      <c r="H100" s="7"/>
      <c r="I100" s="168"/>
      <c r="J100" s="168"/>
    </row>
    <row r="101" spans="1:10" ht="15.75" customHeight="1" x14ac:dyDescent="0.25">
      <c r="A101" s="24"/>
      <c r="B101" s="174"/>
      <c r="C101" s="24"/>
      <c r="D101" s="24"/>
      <c r="E101" s="24"/>
      <c r="H101" s="7"/>
      <c r="I101" s="168"/>
      <c r="J101" s="168"/>
    </row>
    <row r="102" spans="1:10" ht="15.75" customHeight="1" x14ac:dyDescent="0.25">
      <c r="A102" s="24"/>
      <c r="B102" s="174"/>
      <c r="C102" s="24"/>
      <c r="D102" s="24"/>
      <c r="E102" s="24"/>
      <c r="H102" s="7"/>
      <c r="I102" s="168"/>
      <c r="J102" s="168"/>
    </row>
    <row r="103" spans="1:10" ht="15.75" customHeight="1" x14ac:dyDescent="0.25">
      <c r="A103" s="24"/>
      <c r="B103" s="174"/>
      <c r="C103" s="24"/>
      <c r="D103" s="24"/>
      <c r="E103" s="24"/>
      <c r="H103" s="7"/>
      <c r="I103" s="168"/>
      <c r="J103" s="168"/>
    </row>
    <row r="104" spans="1:10" ht="15.75" customHeight="1" x14ac:dyDescent="0.25">
      <c r="A104" s="24"/>
      <c r="B104" s="174"/>
      <c r="C104" s="24"/>
      <c r="D104" s="24"/>
      <c r="E104" s="24"/>
      <c r="H104" s="7"/>
      <c r="I104" s="168"/>
      <c r="J104" s="168"/>
    </row>
    <row r="105" spans="1:10" ht="15.75" customHeight="1" x14ac:dyDescent="0.25">
      <c r="A105" s="24"/>
      <c r="B105" s="174"/>
      <c r="C105" s="24"/>
      <c r="D105" s="24"/>
      <c r="E105" s="24"/>
      <c r="H105" s="7"/>
      <c r="I105" s="168"/>
      <c r="J105" s="168"/>
    </row>
    <row r="106" spans="1:10" ht="15.75" customHeight="1" x14ac:dyDescent="0.25">
      <c r="A106" s="24"/>
      <c r="B106" s="174"/>
      <c r="C106" s="24"/>
      <c r="D106" s="24"/>
      <c r="E106" s="24"/>
      <c r="H106" s="7"/>
      <c r="I106" s="168"/>
      <c r="J106" s="168"/>
    </row>
    <row r="107" spans="1:10" ht="15.75" customHeight="1" x14ac:dyDescent="0.25">
      <c r="A107" s="24"/>
      <c r="B107" s="174"/>
      <c r="C107" s="24"/>
      <c r="D107" s="24"/>
      <c r="E107" s="24"/>
      <c r="H107" s="7"/>
      <c r="I107" s="168"/>
      <c r="J107" s="168"/>
    </row>
    <row r="108" spans="1:10" ht="15.75" customHeight="1" x14ac:dyDescent="0.25">
      <c r="A108" s="24"/>
      <c r="B108" s="174"/>
      <c r="C108" s="24"/>
      <c r="D108" s="24"/>
      <c r="E108" s="24"/>
      <c r="H108" s="7"/>
      <c r="I108" s="168"/>
      <c r="J108" s="168"/>
    </row>
    <row r="109" spans="1:10" ht="15.75" customHeight="1" x14ac:dyDescent="0.25">
      <c r="A109" s="24"/>
      <c r="B109" s="174"/>
      <c r="C109" s="24"/>
      <c r="D109" s="24"/>
      <c r="E109" s="24"/>
      <c r="H109" s="7"/>
      <c r="I109" s="168"/>
      <c r="J109" s="168"/>
    </row>
    <row r="110" spans="1:10" ht="15.75" customHeight="1" x14ac:dyDescent="0.25">
      <c r="A110" s="24"/>
      <c r="B110" s="174"/>
      <c r="C110" s="24"/>
      <c r="D110" s="24"/>
      <c r="E110" s="24"/>
      <c r="H110" s="7"/>
      <c r="I110" s="168"/>
      <c r="J110" s="168"/>
    </row>
    <row r="111" spans="1:10" ht="15.75" customHeight="1" x14ac:dyDescent="0.25">
      <c r="A111" s="24"/>
      <c r="B111" s="174"/>
      <c r="C111" s="24"/>
      <c r="D111" s="24"/>
      <c r="E111" s="24"/>
      <c r="H111" s="7"/>
      <c r="I111" s="168"/>
      <c r="J111" s="168"/>
    </row>
    <row r="112" spans="1:10" ht="15.75" customHeight="1" x14ac:dyDescent="0.25">
      <c r="A112" s="24"/>
      <c r="B112" s="174"/>
      <c r="C112" s="24"/>
      <c r="D112" s="24"/>
      <c r="E112" s="24"/>
      <c r="H112" s="7"/>
      <c r="I112" s="168"/>
      <c r="J112" s="168"/>
    </row>
    <row r="113" spans="1:10" ht="15.75" customHeight="1" x14ac:dyDescent="0.25">
      <c r="A113" s="24"/>
      <c r="B113" s="174"/>
      <c r="C113" s="24"/>
      <c r="D113" s="24"/>
      <c r="E113" s="24"/>
      <c r="H113" s="7"/>
      <c r="I113" s="168"/>
      <c r="J113" s="168"/>
    </row>
    <row r="114" spans="1:10" ht="15.75" customHeight="1" x14ac:dyDescent="0.25">
      <c r="A114" s="24"/>
      <c r="B114" s="174"/>
      <c r="C114" s="24"/>
      <c r="D114" s="24"/>
      <c r="E114" s="24"/>
      <c r="H114" s="7"/>
      <c r="I114" s="168"/>
      <c r="J114" s="168"/>
    </row>
    <row r="115" spans="1:10" ht="15.75" customHeight="1" x14ac:dyDescent="0.25">
      <c r="A115" s="24"/>
      <c r="B115" s="174"/>
      <c r="C115" s="24"/>
      <c r="D115" s="24"/>
      <c r="E115" s="24"/>
      <c r="H115" s="7"/>
      <c r="I115" s="168"/>
      <c r="J115" s="168"/>
    </row>
    <row r="116" spans="1:10" ht="15.75" customHeight="1" x14ac:dyDescent="0.25">
      <c r="A116" s="24"/>
      <c r="B116" s="174"/>
      <c r="C116" s="24"/>
      <c r="D116" s="24"/>
      <c r="E116" s="24"/>
      <c r="H116" s="7"/>
      <c r="I116" s="168"/>
      <c r="J116" s="168"/>
    </row>
    <row r="117" spans="1:10" ht="15.75" customHeight="1" x14ac:dyDescent="0.25">
      <c r="A117" s="24"/>
      <c r="B117" s="174"/>
      <c r="C117" s="24"/>
      <c r="D117" s="24"/>
      <c r="E117" s="24"/>
      <c r="H117" s="7"/>
      <c r="I117" s="168"/>
      <c r="J117" s="168"/>
    </row>
    <row r="118" spans="1:10" ht="15.75" customHeight="1" x14ac:dyDescent="0.25">
      <c r="A118" s="24"/>
      <c r="B118" s="174"/>
      <c r="C118" s="24"/>
      <c r="D118" s="24"/>
      <c r="E118" s="24"/>
      <c r="H118" s="7"/>
      <c r="I118" s="168"/>
      <c r="J118" s="168"/>
    </row>
    <row r="119" spans="1:10" ht="15.75" customHeight="1" x14ac:dyDescent="0.25">
      <c r="A119" s="24"/>
      <c r="B119" s="174"/>
      <c r="C119" s="24"/>
      <c r="D119" s="24"/>
      <c r="E119" s="24"/>
      <c r="H119" s="7"/>
      <c r="I119" s="168"/>
      <c r="J119" s="168"/>
    </row>
    <row r="120" spans="1:10" ht="15.75" customHeight="1" x14ac:dyDescent="0.25">
      <c r="A120" s="24"/>
      <c r="B120" s="174"/>
      <c r="C120" s="24"/>
      <c r="D120" s="24"/>
      <c r="E120" s="24"/>
      <c r="H120" s="7"/>
      <c r="I120" s="168"/>
      <c r="J120" s="168"/>
    </row>
    <row r="121" spans="1:10" ht="15.75" customHeight="1" x14ac:dyDescent="0.25">
      <c r="A121" s="24"/>
      <c r="B121" s="174"/>
      <c r="C121" s="24"/>
      <c r="D121" s="24"/>
      <c r="E121" s="24"/>
      <c r="H121" s="7"/>
      <c r="I121" s="168"/>
      <c r="J121" s="168"/>
    </row>
    <row r="122" spans="1:10" ht="15.75" customHeight="1" x14ac:dyDescent="0.25">
      <c r="A122" s="24"/>
      <c r="B122" s="174"/>
      <c r="C122" s="24"/>
      <c r="D122" s="24"/>
      <c r="E122" s="24"/>
      <c r="H122" s="7"/>
      <c r="I122" s="168"/>
      <c r="J122" s="168"/>
    </row>
    <row r="123" spans="1:10" ht="15.75" customHeight="1" x14ac:dyDescent="0.25">
      <c r="A123" s="24"/>
      <c r="B123" s="174"/>
      <c r="C123" s="24"/>
      <c r="D123" s="24"/>
      <c r="E123" s="24"/>
      <c r="H123" s="7"/>
      <c r="I123" s="168"/>
      <c r="J123" s="168"/>
    </row>
    <row r="124" spans="1:10" ht="15.75" customHeight="1" x14ac:dyDescent="0.25">
      <c r="A124" s="24"/>
      <c r="B124" s="174"/>
      <c r="C124" s="24"/>
      <c r="D124" s="24"/>
      <c r="E124" s="24"/>
      <c r="H124" s="7"/>
      <c r="I124" s="168"/>
      <c r="J124" s="168"/>
    </row>
    <row r="125" spans="1:10" ht="15.75" customHeight="1" x14ac:dyDescent="0.25">
      <c r="A125" s="24"/>
      <c r="B125" s="174"/>
      <c r="C125" s="24"/>
      <c r="D125" s="24"/>
      <c r="E125" s="24"/>
      <c r="H125" s="7"/>
      <c r="I125" s="168"/>
      <c r="J125" s="168"/>
    </row>
    <row r="126" spans="1:10" ht="15.75" customHeight="1" x14ac:dyDescent="0.25">
      <c r="A126" s="24"/>
      <c r="B126" s="174"/>
      <c r="C126" s="24"/>
      <c r="D126" s="24"/>
      <c r="E126" s="24"/>
      <c r="H126" s="7"/>
      <c r="I126" s="168"/>
      <c r="J126" s="168"/>
    </row>
    <row r="127" spans="1:10" ht="15.75" customHeight="1" x14ac:dyDescent="0.25">
      <c r="A127" s="24"/>
      <c r="B127" s="174"/>
      <c r="C127" s="24"/>
      <c r="D127" s="24"/>
      <c r="E127" s="24"/>
      <c r="H127" s="7"/>
      <c r="I127" s="168"/>
      <c r="J127" s="168"/>
    </row>
    <row r="128" spans="1:10" ht="15.75" customHeight="1" x14ac:dyDescent="0.25">
      <c r="A128" s="24"/>
      <c r="B128" s="174"/>
      <c r="C128" s="24"/>
      <c r="D128" s="24"/>
      <c r="E128" s="24"/>
      <c r="H128" s="7"/>
      <c r="I128" s="168"/>
      <c r="J128" s="168"/>
    </row>
    <row r="129" spans="1:10" ht="15.75" customHeight="1" x14ac:dyDescent="0.25">
      <c r="A129" s="24"/>
      <c r="B129" s="174"/>
      <c r="C129" s="24"/>
      <c r="D129" s="24"/>
      <c r="E129" s="24"/>
      <c r="H129" s="7"/>
      <c r="I129" s="168"/>
      <c r="J129" s="168"/>
    </row>
    <row r="130" spans="1:10" ht="15.75" customHeight="1" x14ac:dyDescent="0.25">
      <c r="A130" s="24"/>
      <c r="B130" s="174"/>
      <c r="C130" s="24"/>
      <c r="D130" s="24"/>
      <c r="E130" s="24"/>
      <c r="H130" s="7"/>
      <c r="I130" s="168"/>
      <c r="J130" s="168"/>
    </row>
    <row r="131" spans="1:10" ht="15.75" customHeight="1" x14ac:dyDescent="0.25">
      <c r="A131" s="24"/>
      <c r="B131" s="174"/>
      <c r="C131" s="24"/>
      <c r="D131" s="24"/>
      <c r="E131" s="24"/>
      <c r="H131" s="7"/>
      <c r="I131" s="168"/>
      <c r="J131" s="168"/>
    </row>
    <row r="132" spans="1:10" ht="15.75" customHeight="1" x14ac:dyDescent="0.25">
      <c r="A132" s="24"/>
      <c r="B132" s="174"/>
      <c r="C132" s="24"/>
      <c r="D132" s="24"/>
      <c r="E132" s="24"/>
      <c r="H132" s="7"/>
      <c r="I132" s="168"/>
      <c r="J132" s="168"/>
    </row>
    <row r="133" spans="1:10" ht="15.75" customHeight="1" x14ac:dyDescent="0.25">
      <c r="A133" s="24"/>
      <c r="B133" s="174"/>
      <c r="C133" s="24"/>
      <c r="D133" s="24"/>
      <c r="E133" s="24"/>
      <c r="H133" s="7"/>
      <c r="I133" s="168"/>
      <c r="J133" s="168"/>
    </row>
    <row r="134" spans="1:10" ht="15.75" customHeight="1" x14ac:dyDescent="0.25">
      <c r="A134" s="24"/>
      <c r="B134" s="174"/>
      <c r="C134" s="24"/>
      <c r="D134" s="24"/>
      <c r="E134" s="24"/>
      <c r="H134" s="7"/>
      <c r="I134" s="168"/>
      <c r="J134" s="168"/>
    </row>
    <row r="135" spans="1:10" ht="15.75" customHeight="1" x14ac:dyDescent="0.25">
      <c r="A135" s="24"/>
      <c r="B135" s="174"/>
      <c r="C135" s="24"/>
      <c r="D135" s="24"/>
      <c r="E135" s="24"/>
      <c r="H135" s="7"/>
      <c r="I135" s="168"/>
      <c r="J135" s="168"/>
    </row>
    <row r="136" spans="1:10" ht="15.75" customHeight="1" x14ac:dyDescent="0.25">
      <c r="A136" s="24"/>
      <c r="B136" s="174"/>
      <c r="C136" s="24"/>
      <c r="D136" s="24"/>
      <c r="E136" s="24"/>
      <c r="H136" s="7"/>
      <c r="I136" s="168"/>
      <c r="J136" s="168"/>
    </row>
    <row r="137" spans="1:10" ht="15.75" customHeight="1" x14ac:dyDescent="0.25">
      <c r="A137" s="24"/>
      <c r="B137" s="174"/>
      <c r="C137" s="24"/>
      <c r="D137" s="24"/>
      <c r="E137" s="24"/>
      <c r="H137" s="7"/>
      <c r="I137" s="168"/>
      <c r="J137" s="168"/>
    </row>
    <row r="138" spans="1:10" ht="15.75" customHeight="1" x14ac:dyDescent="0.25">
      <c r="A138" s="24"/>
      <c r="B138" s="174"/>
      <c r="C138" s="24"/>
      <c r="D138" s="24"/>
      <c r="E138" s="24"/>
      <c r="H138" s="7"/>
      <c r="I138" s="168"/>
      <c r="J138" s="168"/>
    </row>
    <row r="139" spans="1:10" ht="15.75" customHeight="1" x14ac:dyDescent="0.25">
      <c r="A139" s="24"/>
      <c r="B139" s="174"/>
      <c r="C139" s="24"/>
      <c r="D139" s="24"/>
      <c r="E139" s="24"/>
      <c r="H139" s="7"/>
      <c r="I139" s="168"/>
      <c r="J139" s="168"/>
    </row>
    <row r="140" spans="1:10" ht="15.75" customHeight="1" x14ac:dyDescent="0.25">
      <c r="A140" s="24"/>
      <c r="B140" s="174"/>
      <c r="C140" s="24"/>
      <c r="D140" s="24"/>
      <c r="E140" s="24"/>
      <c r="H140" s="7"/>
      <c r="I140" s="168"/>
      <c r="J140" s="168"/>
    </row>
    <row r="141" spans="1:10" ht="15.75" customHeight="1" x14ac:dyDescent="0.25">
      <c r="A141" s="24"/>
      <c r="B141" s="174"/>
      <c r="C141" s="24"/>
      <c r="D141" s="24"/>
      <c r="E141" s="24"/>
      <c r="H141" s="7"/>
      <c r="I141" s="168"/>
      <c r="J141" s="168"/>
    </row>
    <row r="142" spans="1:10" ht="15.75" customHeight="1" x14ac:dyDescent="0.25">
      <c r="A142" s="24"/>
      <c r="B142" s="174"/>
      <c r="C142" s="24"/>
      <c r="D142" s="24"/>
      <c r="E142" s="24"/>
      <c r="H142" s="7"/>
      <c r="I142" s="168"/>
      <c r="J142" s="168"/>
    </row>
    <row r="143" spans="1:10" ht="15.75" customHeight="1" x14ac:dyDescent="0.25">
      <c r="A143" s="24"/>
      <c r="B143" s="174"/>
      <c r="C143" s="24"/>
      <c r="D143" s="24"/>
      <c r="E143" s="24"/>
      <c r="H143" s="7"/>
      <c r="I143" s="168"/>
      <c r="J143" s="168"/>
    </row>
    <row r="144" spans="1:10" ht="15.75" customHeight="1" x14ac:dyDescent="0.25">
      <c r="A144" s="24"/>
      <c r="B144" s="174"/>
      <c r="C144" s="24"/>
      <c r="D144" s="24"/>
      <c r="E144" s="24"/>
      <c r="H144" s="7"/>
      <c r="I144" s="168"/>
      <c r="J144" s="168"/>
    </row>
    <row r="145" spans="1:10" ht="15.75" customHeight="1" x14ac:dyDescent="0.25">
      <c r="A145" s="24"/>
      <c r="B145" s="174"/>
      <c r="C145" s="24"/>
      <c r="D145" s="24"/>
      <c r="E145" s="24"/>
      <c r="H145" s="7"/>
      <c r="I145" s="168"/>
      <c r="J145" s="168"/>
    </row>
    <row r="146" spans="1:10" ht="15.75" customHeight="1" x14ac:dyDescent="0.25">
      <c r="A146" s="24"/>
      <c r="B146" s="174"/>
      <c r="C146" s="24"/>
      <c r="D146" s="24"/>
      <c r="E146" s="24"/>
      <c r="H146" s="7"/>
      <c r="I146" s="168"/>
      <c r="J146" s="168"/>
    </row>
    <row r="147" spans="1:10" ht="15.75" customHeight="1" x14ac:dyDescent="0.25">
      <c r="A147" s="24"/>
      <c r="B147" s="174"/>
      <c r="C147" s="24"/>
      <c r="D147" s="24"/>
      <c r="E147" s="24"/>
      <c r="H147" s="7"/>
      <c r="I147" s="168"/>
      <c r="J147" s="168"/>
    </row>
    <row r="148" spans="1:10" ht="15.75" customHeight="1" x14ac:dyDescent="0.25">
      <c r="A148" s="24"/>
      <c r="B148" s="174"/>
      <c r="C148" s="24"/>
      <c r="D148" s="24"/>
      <c r="E148" s="24"/>
      <c r="H148" s="7"/>
      <c r="I148" s="168"/>
      <c r="J148" s="168"/>
    </row>
    <row r="149" spans="1:10" ht="15.75" customHeight="1" x14ac:dyDescent="0.25">
      <c r="A149" s="24"/>
      <c r="B149" s="174"/>
      <c r="C149" s="24"/>
      <c r="D149" s="24"/>
      <c r="E149" s="24"/>
      <c r="H149" s="7"/>
      <c r="I149" s="168"/>
      <c r="J149" s="168"/>
    </row>
    <row r="150" spans="1:10" ht="15.75" customHeight="1" x14ac:dyDescent="0.25">
      <c r="A150" s="24"/>
      <c r="B150" s="174"/>
      <c r="C150" s="24"/>
      <c r="D150" s="24"/>
      <c r="E150" s="24"/>
      <c r="H150" s="7"/>
      <c r="I150" s="168"/>
      <c r="J150" s="168"/>
    </row>
    <row r="151" spans="1:10" ht="15.75" customHeight="1" x14ac:dyDescent="0.25">
      <c r="A151" s="24"/>
      <c r="B151" s="174"/>
      <c r="C151" s="24"/>
      <c r="D151" s="24"/>
      <c r="E151" s="24"/>
      <c r="H151" s="7"/>
      <c r="I151" s="168"/>
      <c r="J151" s="168"/>
    </row>
    <row r="152" spans="1:10" ht="15.75" customHeight="1" x14ac:dyDescent="0.25">
      <c r="A152" s="24"/>
      <c r="B152" s="174"/>
      <c r="C152" s="24"/>
      <c r="D152" s="24"/>
      <c r="E152" s="24"/>
      <c r="H152" s="7"/>
      <c r="I152" s="168"/>
      <c r="J152" s="168"/>
    </row>
    <row r="153" spans="1:10" ht="15.75" customHeight="1" x14ac:dyDescent="0.25">
      <c r="A153" s="24"/>
      <c r="B153" s="174"/>
      <c r="C153" s="24"/>
      <c r="D153" s="24"/>
      <c r="E153" s="24"/>
      <c r="H153" s="7"/>
      <c r="I153" s="168"/>
      <c r="J153" s="168"/>
    </row>
    <row r="154" spans="1:10" ht="15.75" customHeight="1" x14ac:dyDescent="0.25">
      <c r="A154" s="24"/>
      <c r="B154" s="174"/>
      <c r="C154" s="24"/>
      <c r="D154" s="24"/>
      <c r="E154" s="24"/>
      <c r="H154" s="7"/>
      <c r="I154" s="168"/>
      <c r="J154" s="168"/>
    </row>
    <row r="155" spans="1:10" ht="15.75" customHeight="1" x14ac:dyDescent="0.25">
      <c r="A155" s="24"/>
      <c r="B155" s="174"/>
      <c r="C155" s="24"/>
      <c r="D155" s="24"/>
      <c r="E155" s="24"/>
      <c r="H155" s="7"/>
      <c r="I155" s="168"/>
      <c r="J155" s="168"/>
    </row>
    <row r="156" spans="1:10" ht="15.75" customHeight="1" x14ac:dyDescent="0.25">
      <c r="A156" s="24"/>
      <c r="B156" s="174"/>
      <c r="C156" s="24"/>
      <c r="D156" s="24"/>
      <c r="E156" s="24"/>
      <c r="H156" s="7"/>
      <c r="I156" s="168"/>
      <c r="J156" s="168"/>
    </row>
    <row r="157" spans="1:10" ht="15.75" customHeight="1" x14ac:dyDescent="0.25">
      <c r="A157" s="24"/>
      <c r="B157" s="174"/>
      <c r="C157" s="24"/>
      <c r="D157" s="24"/>
      <c r="E157" s="24"/>
      <c r="H157" s="7"/>
      <c r="I157" s="168"/>
      <c r="J157" s="168"/>
    </row>
    <row r="158" spans="1:10" ht="15.75" customHeight="1" x14ac:dyDescent="0.25">
      <c r="A158" s="24"/>
      <c r="B158" s="174"/>
      <c r="C158" s="24"/>
      <c r="D158" s="24"/>
      <c r="E158" s="24"/>
      <c r="H158" s="7"/>
      <c r="I158" s="168"/>
      <c r="J158" s="168"/>
    </row>
    <row r="159" spans="1:10" ht="15.75" customHeight="1" x14ac:dyDescent="0.25">
      <c r="A159" s="24"/>
      <c r="B159" s="174"/>
      <c r="C159" s="24"/>
      <c r="D159" s="24"/>
      <c r="E159" s="24"/>
      <c r="H159" s="7"/>
      <c r="I159" s="168"/>
      <c r="J159" s="168"/>
    </row>
    <row r="160" spans="1:10" ht="15.75" customHeight="1" x14ac:dyDescent="0.25">
      <c r="A160" s="24"/>
      <c r="B160" s="174"/>
      <c r="C160" s="24"/>
      <c r="D160" s="24"/>
      <c r="E160" s="24"/>
      <c r="H160" s="7"/>
      <c r="I160" s="168"/>
      <c r="J160" s="168"/>
    </row>
    <row r="161" spans="1:10" ht="15.75" customHeight="1" x14ac:dyDescent="0.25">
      <c r="A161" s="24"/>
      <c r="B161" s="174"/>
      <c r="C161" s="24"/>
      <c r="D161" s="24"/>
      <c r="E161" s="24"/>
      <c r="H161" s="7"/>
      <c r="I161" s="168"/>
      <c r="J161" s="168"/>
    </row>
    <row r="162" spans="1:10" ht="15.75" customHeight="1" x14ac:dyDescent="0.25">
      <c r="A162" s="24"/>
      <c r="B162" s="174"/>
      <c r="C162" s="24"/>
      <c r="D162" s="24"/>
      <c r="E162" s="24"/>
      <c r="H162" s="7"/>
      <c r="I162" s="168"/>
      <c r="J162" s="168"/>
    </row>
    <row r="163" spans="1:10" ht="15.75" customHeight="1" x14ac:dyDescent="0.25">
      <c r="A163" s="24"/>
      <c r="B163" s="174"/>
      <c r="C163" s="24"/>
      <c r="D163" s="24"/>
      <c r="E163" s="24"/>
      <c r="H163" s="7"/>
      <c r="I163" s="168"/>
      <c r="J163" s="168"/>
    </row>
    <row r="164" spans="1:10" ht="15.75" customHeight="1" x14ac:dyDescent="0.25">
      <c r="A164" s="24"/>
      <c r="B164" s="174"/>
      <c r="C164" s="24"/>
      <c r="D164" s="24"/>
      <c r="E164" s="24"/>
      <c r="H164" s="7"/>
      <c r="I164" s="168"/>
      <c r="J164" s="168"/>
    </row>
    <row r="165" spans="1:10" ht="15.75" customHeight="1" x14ac:dyDescent="0.25">
      <c r="A165" s="24"/>
      <c r="B165" s="174"/>
      <c r="C165" s="24"/>
      <c r="D165" s="24"/>
      <c r="E165" s="24"/>
      <c r="H165" s="7"/>
      <c r="I165" s="168"/>
      <c r="J165" s="168"/>
    </row>
    <row r="166" spans="1:10" ht="15.75" customHeight="1" x14ac:dyDescent="0.25">
      <c r="A166" s="24"/>
      <c r="B166" s="174"/>
      <c r="C166" s="24"/>
      <c r="D166" s="24"/>
      <c r="E166" s="24"/>
      <c r="H166" s="7"/>
      <c r="I166" s="168"/>
      <c r="J166" s="168"/>
    </row>
    <row r="167" spans="1:10" ht="15.75" customHeight="1" x14ac:dyDescent="0.25">
      <c r="A167" s="24"/>
      <c r="B167" s="174"/>
      <c r="C167" s="24"/>
      <c r="D167" s="24"/>
      <c r="E167" s="24"/>
      <c r="H167" s="7"/>
      <c r="I167" s="168"/>
      <c r="J167" s="168"/>
    </row>
    <row r="168" spans="1:10" ht="15.75" customHeight="1" x14ac:dyDescent="0.25">
      <c r="A168" s="24"/>
      <c r="B168" s="174"/>
      <c r="C168" s="24"/>
      <c r="D168" s="24"/>
      <c r="E168" s="24"/>
      <c r="H168" s="7"/>
      <c r="I168" s="168"/>
      <c r="J168" s="168"/>
    </row>
    <row r="169" spans="1:10" ht="15.75" customHeight="1" x14ac:dyDescent="0.25">
      <c r="A169" s="24"/>
      <c r="B169" s="174"/>
      <c r="C169" s="24"/>
      <c r="D169" s="24"/>
      <c r="E169" s="24"/>
      <c r="H169" s="7"/>
      <c r="I169" s="168"/>
      <c r="J169" s="168"/>
    </row>
    <row r="170" spans="1:10" ht="15.75" customHeight="1" x14ac:dyDescent="0.25">
      <c r="A170" s="24"/>
      <c r="B170" s="174"/>
      <c r="C170" s="24"/>
      <c r="D170" s="24"/>
      <c r="E170" s="24"/>
      <c r="H170" s="7"/>
      <c r="I170" s="168"/>
      <c r="J170" s="168"/>
    </row>
    <row r="171" spans="1:10" ht="15.75" customHeight="1" x14ac:dyDescent="0.25">
      <c r="A171" s="24"/>
      <c r="B171" s="174"/>
      <c r="C171" s="24"/>
      <c r="D171" s="24"/>
      <c r="E171" s="24"/>
      <c r="H171" s="7"/>
      <c r="I171" s="168"/>
      <c r="J171" s="168"/>
    </row>
    <row r="172" spans="1:10" ht="15.75" customHeight="1" x14ac:dyDescent="0.25">
      <c r="A172" s="24"/>
      <c r="B172" s="174"/>
      <c r="C172" s="24"/>
      <c r="D172" s="24"/>
      <c r="E172" s="24"/>
      <c r="H172" s="7"/>
      <c r="I172" s="168"/>
      <c r="J172" s="168"/>
    </row>
    <row r="173" spans="1:10" ht="15.75" customHeight="1" x14ac:dyDescent="0.25">
      <c r="A173" s="24"/>
      <c r="B173" s="174"/>
      <c r="C173" s="24"/>
      <c r="D173" s="24"/>
      <c r="E173" s="24"/>
      <c r="H173" s="7"/>
      <c r="I173" s="168"/>
      <c r="J173" s="168"/>
    </row>
    <row r="174" spans="1:10" ht="15.75" customHeight="1" x14ac:dyDescent="0.25">
      <c r="A174" s="24"/>
      <c r="B174" s="174"/>
      <c r="C174" s="24"/>
      <c r="D174" s="24"/>
      <c r="E174" s="24"/>
      <c r="H174" s="7"/>
      <c r="I174" s="168"/>
      <c r="J174" s="168"/>
    </row>
    <row r="175" spans="1:10" ht="15.75" customHeight="1" x14ac:dyDescent="0.25">
      <c r="A175" s="24"/>
      <c r="B175" s="174"/>
      <c r="C175" s="24"/>
      <c r="D175" s="24"/>
      <c r="E175" s="24"/>
      <c r="H175" s="7"/>
      <c r="I175" s="168"/>
      <c r="J175" s="168"/>
    </row>
    <row r="176" spans="1:10" ht="15.75" customHeight="1" x14ac:dyDescent="0.25">
      <c r="A176" s="24"/>
      <c r="B176" s="174"/>
      <c r="C176" s="24"/>
      <c r="D176" s="24"/>
      <c r="E176" s="24"/>
      <c r="H176" s="7"/>
      <c r="I176" s="168"/>
      <c r="J176" s="168"/>
    </row>
    <row r="177" spans="1:10" ht="15.75" customHeight="1" x14ac:dyDescent="0.25">
      <c r="A177" s="24"/>
      <c r="B177" s="174"/>
      <c r="C177" s="24"/>
      <c r="D177" s="24"/>
      <c r="E177" s="24"/>
      <c r="H177" s="7"/>
      <c r="I177" s="168"/>
      <c r="J177" s="168"/>
    </row>
    <row r="178" spans="1:10" ht="15.75" customHeight="1" x14ac:dyDescent="0.25">
      <c r="A178" s="24"/>
      <c r="B178" s="174"/>
      <c r="C178" s="24"/>
      <c r="D178" s="24"/>
      <c r="E178" s="24"/>
      <c r="H178" s="7"/>
      <c r="I178" s="168"/>
      <c r="J178" s="168"/>
    </row>
    <row r="179" spans="1:10" ht="15.75" customHeight="1" x14ac:dyDescent="0.25">
      <c r="A179" s="24"/>
      <c r="B179" s="174"/>
      <c r="C179" s="24"/>
      <c r="D179" s="24"/>
      <c r="E179" s="24"/>
      <c r="H179" s="7"/>
      <c r="I179" s="168"/>
      <c r="J179" s="168"/>
    </row>
    <row r="180" spans="1:10" ht="15.75" customHeight="1" x14ac:dyDescent="0.25">
      <c r="A180" s="24"/>
      <c r="B180" s="174"/>
      <c r="C180" s="24"/>
      <c r="D180" s="24"/>
      <c r="E180" s="24"/>
      <c r="H180" s="7"/>
      <c r="I180" s="168"/>
      <c r="J180" s="168"/>
    </row>
    <row r="181" spans="1:10" ht="15.75" customHeight="1" x14ac:dyDescent="0.25">
      <c r="A181" s="24"/>
      <c r="B181" s="174"/>
      <c r="C181" s="24"/>
      <c r="D181" s="24"/>
      <c r="E181" s="24"/>
      <c r="H181" s="7"/>
      <c r="I181" s="168"/>
      <c r="J181" s="168"/>
    </row>
    <row r="182" spans="1:10" ht="15.75" customHeight="1" x14ac:dyDescent="0.25">
      <c r="A182" s="24"/>
      <c r="B182" s="174"/>
      <c r="C182" s="24"/>
      <c r="D182" s="24"/>
      <c r="E182" s="24"/>
      <c r="H182" s="7"/>
      <c r="I182" s="168"/>
      <c r="J182" s="168"/>
    </row>
    <row r="183" spans="1:10" ht="15.75" customHeight="1" x14ac:dyDescent="0.25">
      <c r="A183" s="24"/>
      <c r="B183" s="174"/>
      <c r="C183" s="24"/>
      <c r="D183" s="24"/>
      <c r="E183" s="24"/>
      <c r="H183" s="7"/>
      <c r="I183" s="168"/>
      <c r="J183" s="168"/>
    </row>
    <row r="184" spans="1:10" ht="15.75" customHeight="1" x14ac:dyDescent="0.25">
      <c r="A184" s="24"/>
      <c r="B184" s="174"/>
      <c r="C184" s="24"/>
      <c r="D184" s="24"/>
      <c r="E184" s="24"/>
      <c r="H184" s="7"/>
      <c r="I184" s="168"/>
      <c r="J184" s="168"/>
    </row>
    <row r="185" spans="1:10" ht="15.75" customHeight="1" x14ac:dyDescent="0.25">
      <c r="A185" s="24"/>
      <c r="B185" s="174"/>
      <c r="C185" s="24"/>
      <c r="D185" s="24"/>
      <c r="E185" s="24"/>
      <c r="H185" s="7"/>
      <c r="I185" s="168"/>
      <c r="J185" s="168"/>
    </row>
    <row r="186" spans="1:10" ht="15.75" customHeight="1" x14ac:dyDescent="0.25">
      <c r="A186" s="24"/>
      <c r="B186" s="174"/>
      <c r="C186" s="24"/>
      <c r="D186" s="24"/>
      <c r="E186" s="24"/>
      <c r="H186" s="7"/>
      <c r="I186" s="168"/>
      <c r="J186" s="168"/>
    </row>
    <row r="187" spans="1:10" ht="15.75" customHeight="1" x14ac:dyDescent="0.25">
      <c r="A187" s="24"/>
      <c r="B187" s="174"/>
      <c r="C187" s="24"/>
      <c r="D187" s="24"/>
      <c r="E187" s="24"/>
      <c r="H187" s="7"/>
      <c r="I187" s="168"/>
      <c r="J187" s="168"/>
    </row>
    <row r="188" spans="1:10" ht="15.75" customHeight="1" x14ac:dyDescent="0.25">
      <c r="A188" s="24"/>
      <c r="B188" s="174"/>
      <c r="C188" s="24"/>
      <c r="D188" s="24"/>
      <c r="E188" s="24"/>
      <c r="H188" s="7"/>
      <c r="I188" s="168"/>
      <c r="J188" s="168"/>
    </row>
    <row r="189" spans="1:10" ht="15.75" customHeight="1" x14ac:dyDescent="0.25">
      <c r="A189" s="24"/>
      <c r="B189" s="174"/>
      <c r="C189" s="24"/>
      <c r="D189" s="24"/>
      <c r="E189" s="24"/>
      <c r="H189" s="7"/>
      <c r="I189" s="168"/>
      <c r="J189" s="168"/>
    </row>
    <row r="190" spans="1:10" ht="15.75" customHeight="1" x14ac:dyDescent="0.25">
      <c r="A190" s="24"/>
      <c r="B190" s="174"/>
      <c r="C190" s="24"/>
      <c r="D190" s="24"/>
      <c r="E190" s="24"/>
      <c r="H190" s="7"/>
      <c r="I190" s="168"/>
      <c r="J190" s="168"/>
    </row>
    <row r="191" spans="1:10" ht="15.75" customHeight="1" x14ac:dyDescent="0.25">
      <c r="A191" s="24"/>
      <c r="B191" s="174"/>
      <c r="C191" s="24"/>
      <c r="D191" s="24"/>
      <c r="E191" s="24"/>
      <c r="H191" s="7"/>
      <c r="I191" s="168"/>
      <c r="J191" s="168"/>
    </row>
    <row r="192" spans="1:10" ht="15.75" customHeight="1" x14ac:dyDescent="0.25">
      <c r="A192" s="24"/>
      <c r="B192" s="174"/>
      <c r="C192" s="24"/>
      <c r="D192" s="24"/>
      <c r="E192" s="24"/>
      <c r="H192" s="7"/>
      <c r="I192" s="168"/>
      <c r="J192" s="168"/>
    </row>
    <row r="193" spans="1:10" ht="15.75" customHeight="1" x14ac:dyDescent="0.25">
      <c r="A193" s="24"/>
      <c r="B193" s="174"/>
      <c r="C193" s="24"/>
      <c r="D193" s="24"/>
      <c r="E193" s="24"/>
      <c r="H193" s="7"/>
      <c r="I193" s="168"/>
      <c r="J193" s="168"/>
    </row>
    <row r="194" spans="1:10" ht="15.75" customHeight="1" x14ac:dyDescent="0.25">
      <c r="A194" s="24"/>
      <c r="B194" s="174"/>
      <c r="C194" s="24"/>
      <c r="D194" s="24"/>
      <c r="E194" s="24"/>
      <c r="H194" s="7"/>
      <c r="I194" s="168"/>
      <c r="J194" s="168"/>
    </row>
    <row r="195" spans="1:10" ht="15.75" customHeight="1" x14ac:dyDescent="0.25">
      <c r="A195" s="24"/>
      <c r="B195" s="174"/>
      <c r="C195" s="24"/>
      <c r="D195" s="24"/>
      <c r="E195" s="24"/>
      <c r="H195" s="7"/>
      <c r="I195" s="168"/>
      <c r="J195" s="168"/>
    </row>
    <row r="196" spans="1:10" ht="15.75" customHeight="1" x14ac:dyDescent="0.25">
      <c r="A196" s="24"/>
      <c r="B196" s="174"/>
      <c r="C196" s="24"/>
      <c r="D196" s="24"/>
      <c r="E196" s="24"/>
      <c r="H196" s="7"/>
      <c r="I196" s="168"/>
      <c r="J196" s="168"/>
    </row>
    <row r="197" spans="1:10" ht="15.75" customHeight="1" x14ac:dyDescent="0.25">
      <c r="A197" s="24"/>
      <c r="B197" s="174"/>
      <c r="C197" s="24"/>
      <c r="D197" s="24"/>
      <c r="E197" s="24"/>
      <c r="H197" s="7"/>
      <c r="I197" s="168"/>
      <c r="J197" s="168"/>
    </row>
    <row r="198" spans="1:10" ht="15.75" customHeight="1" x14ac:dyDescent="0.25">
      <c r="A198" s="24"/>
      <c r="B198" s="174"/>
      <c r="C198" s="24"/>
      <c r="D198" s="24"/>
      <c r="E198" s="24"/>
      <c r="H198" s="7"/>
      <c r="I198" s="168"/>
      <c r="J198" s="168"/>
    </row>
    <row r="199" spans="1:10" ht="15.75" customHeight="1" x14ac:dyDescent="0.25">
      <c r="A199" s="24"/>
      <c r="B199" s="174"/>
      <c r="C199" s="24"/>
      <c r="D199" s="24"/>
      <c r="E199" s="24"/>
      <c r="H199" s="7"/>
      <c r="I199" s="168"/>
      <c r="J199" s="168"/>
    </row>
    <row r="200" spans="1:10" ht="15.75" customHeight="1" x14ac:dyDescent="0.25">
      <c r="A200" s="24"/>
      <c r="B200" s="174"/>
      <c r="C200" s="24"/>
      <c r="D200" s="24"/>
      <c r="E200" s="24"/>
      <c r="H200" s="7"/>
      <c r="I200" s="168"/>
      <c r="J200" s="168"/>
    </row>
    <row r="201" spans="1:10" ht="15.75" customHeight="1" x14ac:dyDescent="0.25">
      <c r="A201" s="24"/>
      <c r="B201" s="174"/>
      <c r="C201" s="24"/>
      <c r="D201" s="24"/>
      <c r="E201" s="24"/>
      <c r="H201" s="7"/>
      <c r="I201" s="168"/>
      <c r="J201" s="168"/>
    </row>
    <row r="202" spans="1:10" ht="15.75" customHeight="1" x14ac:dyDescent="0.25">
      <c r="A202" s="24"/>
      <c r="B202" s="174"/>
      <c r="C202" s="24"/>
      <c r="D202" s="24"/>
      <c r="E202" s="24"/>
      <c r="H202" s="7"/>
      <c r="I202" s="168"/>
      <c r="J202" s="168"/>
    </row>
    <row r="203" spans="1:10" ht="15.75" customHeight="1" x14ac:dyDescent="0.25">
      <c r="A203" s="24"/>
      <c r="B203" s="174"/>
      <c r="C203" s="24"/>
      <c r="D203" s="24"/>
      <c r="E203" s="24"/>
      <c r="H203" s="7"/>
      <c r="I203" s="168"/>
      <c r="J203" s="168"/>
    </row>
    <row r="204" spans="1:10" ht="15.75" customHeight="1" x14ac:dyDescent="0.25">
      <c r="A204" s="24"/>
      <c r="B204" s="174"/>
      <c r="C204" s="24"/>
      <c r="D204" s="24"/>
      <c r="E204" s="24"/>
      <c r="H204" s="7"/>
      <c r="I204" s="168"/>
      <c r="J204" s="168"/>
    </row>
    <row r="205" spans="1:10" ht="15.75" customHeight="1" x14ac:dyDescent="0.25">
      <c r="A205" s="24"/>
      <c r="B205" s="174"/>
      <c r="C205" s="24"/>
      <c r="D205" s="24"/>
      <c r="E205" s="24"/>
      <c r="H205" s="7"/>
      <c r="I205" s="168"/>
      <c r="J205" s="168"/>
    </row>
    <row r="206" spans="1:10" ht="15.75" customHeight="1" x14ac:dyDescent="0.25">
      <c r="A206" s="24"/>
      <c r="B206" s="174"/>
      <c r="C206" s="24"/>
      <c r="D206" s="24"/>
      <c r="E206" s="24"/>
      <c r="H206" s="7"/>
      <c r="I206" s="168"/>
      <c r="J206" s="168"/>
    </row>
    <row r="207" spans="1:10" ht="15.75" customHeight="1" x14ac:dyDescent="0.25">
      <c r="A207" s="24"/>
      <c r="B207" s="174"/>
      <c r="C207" s="24"/>
      <c r="D207" s="24"/>
      <c r="E207" s="24"/>
      <c r="H207" s="7"/>
      <c r="I207" s="168"/>
      <c r="J207" s="168"/>
    </row>
    <row r="208" spans="1:10" ht="15.75" customHeight="1" x14ac:dyDescent="0.25">
      <c r="A208" s="24"/>
      <c r="B208" s="174"/>
      <c r="C208" s="24"/>
      <c r="D208" s="24"/>
      <c r="E208" s="24"/>
      <c r="H208" s="7"/>
      <c r="I208" s="168"/>
      <c r="J208" s="168"/>
    </row>
    <row r="209" spans="1:10" ht="15.75" customHeight="1" x14ac:dyDescent="0.25">
      <c r="A209" s="24"/>
      <c r="B209" s="174"/>
      <c r="C209" s="24"/>
      <c r="D209" s="24"/>
      <c r="E209" s="24"/>
      <c r="H209" s="7"/>
      <c r="I209" s="168"/>
      <c r="J209" s="168"/>
    </row>
    <row r="210" spans="1:10" ht="15.75" customHeight="1" x14ac:dyDescent="0.25">
      <c r="A210" s="24"/>
      <c r="B210" s="174"/>
      <c r="C210" s="24"/>
      <c r="D210" s="24"/>
      <c r="E210" s="24"/>
      <c r="H210" s="7"/>
      <c r="I210" s="168"/>
      <c r="J210" s="168"/>
    </row>
    <row r="211" spans="1:10" ht="15.75" customHeight="1" x14ac:dyDescent="0.25">
      <c r="A211" s="24"/>
      <c r="B211" s="174"/>
      <c r="C211" s="24"/>
      <c r="D211" s="24"/>
      <c r="E211" s="24"/>
      <c r="H211" s="7"/>
      <c r="I211" s="168"/>
      <c r="J211" s="168"/>
    </row>
    <row r="212" spans="1:10" ht="15.75" customHeight="1" x14ac:dyDescent="0.25">
      <c r="A212" s="24"/>
      <c r="B212" s="174"/>
      <c r="C212" s="24"/>
      <c r="D212" s="24"/>
      <c r="E212" s="24"/>
      <c r="H212" s="7"/>
      <c r="I212" s="168"/>
      <c r="J212" s="168"/>
    </row>
    <row r="213" spans="1:10" ht="15.75" customHeight="1" x14ac:dyDescent="0.25">
      <c r="A213" s="24"/>
      <c r="B213" s="174"/>
      <c r="C213" s="24"/>
      <c r="D213" s="24"/>
      <c r="E213" s="24"/>
      <c r="H213" s="7"/>
      <c r="I213" s="168"/>
      <c r="J213" s="168"/>
    </row>
    <row r="214" spans="1:10" ht="15.75" customHeight="1" x14ac:dyDescent="0.25">
      <c r="A214" s="24"/>
      <c r="B214" s="174"/>
      <c r="C214" s="24"/>
      <c r="D214" s="24"/>
      <c r="E214" s="24"/>
      <c r="H214" s="7"/>
      <c r="I214" s="168"/>
      <c r="J214" s="168"/>
    </row>
    <row r="215" spans="1:10" ht="15.75" customHeight="1" x14ac:dyDescent="0.25">
      <c r="A215" s="24"/>
      <c r="B215" s="174"/>
      <c r="C215" s="24"/>
      <c r="D215" s="24"/>
      <c r="E215" s="24"/>
      <c r="H215" s="7"/>
      <c r="I215" s="168"/>
      <c r="J215" s="168"/>
    </row>
    <row r="216" spans="1:10" ht="15.75" customHeight="1" x14ac:dyDescent="0.25">
      <c r="A216" s="24"/>
      <c r="B216" s="174"/>
      <c r="C216" s="24"/>
      <c r="D216" s="24"/>
      <c r="E216" s="24"/>
      <c r="H216" s="7"/>
      <c r="I216" s="168"/>
      <c r="J216" s="168"/>
    </row>
    <row r="217" spans="1:10" ht="15.75" customHeight="1" x14ac:dyDescent="0.25">
      <c r="A217" s="24"/>
      <c r="B217" s="174"/>
      <c r="C217" s="24"/>
      <c r="D217" s="24"/>
      <c r="E217" s="24"/>
      <c r="H217" s="7"/>
      <c r="I217" s="168"/>
      <c r="J217" s="168"/>
    </row>
    <row r="218" spans="1:10" ht="15.75" customHeight="1" x14ac:dyDescent="0.25">
      <c r="A218" s="24"/>
      <c r="B218" s="174"/>
      <c r="C218" s="24"/>
      <c r="D218" s="24"/>
      <c r="E218" s="24"/>
      <c r="H218" s="7"/>
      <c r="I218" s="168"/>
      <c r="J218" s="168"/>
    </row>
    <row r="219" spans="1:10" ht="15.75" customHeight="1" x14ac:dyDescent="0.25">
      <c r="A219" s="24"/>
      <c r="B219" s="174"/>
      <c r="C219" s="24"/>
      <c r="D219" s="24"/>
      <c r="E219" s="24"/>
      <c r="H219" s="7"/>
      <c r="I219" s="168"/>
      <c r="J219" s="168"/>
    </row>
    <row r="220" spans="1:10" ht="15.75" customHeight="1" x14ac:dyDescent="0.25">
      <c r="A220" s="24"/>
      <c r="B220" s="174"/>
      <c r="C220" s="24"/>
      <c r="D220" s="24"/>
      <c r="E220" s="24"/>
      <c r="H220" s="7"/>
      <c r="I220" s="168"/>
      <c r="J220" s="168"/>
    </row>
    <row r="221" spans="1:10" ht="15.75" customHeight="1" x14ac:dyDescent="0.25">
      <c r="A221" s="24"/>
      <c r="B221" s="174"/>
      <c r="C221" s="24"/>
      <c r="D221" s="24"/>
      <c r="E221" s="24"/>
      <c r="H221" s="7"/>
      <c r="I221" s="168"/>
      <c r="J221" s="168"/>
    </row>
    <row r="222" spans="1:10" ht="15.75" customHeight="1" x14ac:dyDescent="0.25">
      <c r="A222" s="24"/>
      <c r="B222" s="174"/>
      <c r="C222" s="24"/>
      <c r="D222" s="24"/>
      <c r="E222" s="24"/>
      <c r="H222" s="7"/>
      <c r="I222" s="168"/>
      <c r="J222" s="168"/>
    </row>
    <row r="223" spans="1:10" ht="15.75" customHeight="1" x14ac:dyDescent="0.25">
      <c r="A223" s="24"/>
      <c r="B223" s="174"/>
      <c r="C223" s="24"/>
      <c r="D223" s="24"/>
      <c r="E223" s="24"/>
      <c r="H223" s="7"/>
      <c r="I223" s="168"/>
      <c r="J223" s="168"/>
    </row>
    <row r="224" spans="1:10" ht="15.75" customHeight="1" x14ac:dyDescent="0.25">
      <c r="A224" s="24"/>
      <c r="B224" s="174"/>
      <c r="C224" s="24"/>
      <c r="D224" s="24"/>
      <c r="E224" s="24"/>
      <c r="H224" s="7"/>
      <c r="I224" s="168"/>
      <c r="J224" s="168"/>
    </row>
    <row r="225" spans="1:10" ht="15.75" customHeight="1" x14ac:dyDescent="0.25">
      <c r="A225" s="24"/>
      <c r="B225" s="174"/>
      <c r="C225" s="24"/>
      <c r="D225" s="24"/>
      <c r="E225" s="24"/>
      <c r="H225" s="7"/>
      <c r="I225" s="168"/>
      <c r="J225" s="168"/>
    </row>
    <row r="226" spans="1:10" ht="15.75" customHeight="1" x14ac:dyDescent="0.25">
      <c r="A226" s="24"/>
      <c r="B226" s="174"/>
      <c r="C226" s="24"/>
      <c r="D226" s="24"/>
      <c r="E226" s="24"/>
      <c r="H226" s="7"/>
      <c r="I226" s="168"/>
      <c r="J226" s="168"/>
    </row>
    <row r="227" spans="1:10" ht="15.75" customHeight="1" x14ac:dyDescent="0.25">
      <c r="A227" s="24"/>
      <c r="B227" s="174"/>
      <c r="C227" s="24"/>
      <c r="D227" s="24"/>
      <c r="E227" s="24"/>
      <c r="H227" s="7"/>
      <c r="I227" s="168"/>
      <c r="J227" s="168"/>
    </row>
    <row r="228" spans="1:10" ht="15.75" customHeight="1" x14ac:dyDescent="0.25">
      <c r="A228" s="24"/>
      <c r="B228" s="174"/>
      <c r="C228" s="24"/>
      <c r="D228" s="24"/>
      <c r="E228" s="24"/>
      <c r="H228" s="7"/>
      <c r="I228" s="168"/>
      <c r="J228" s="168"/>
    </row>
    <row r="229" spans="1:10" ht="15.75" customHeight="1" x14ac:dyDescent="0.25">
      <c r="A229" s="24"/>
      <c r="B229" s="174"/>
      <c r="C229" s="24"/>
      <c r="D229" s="24"/>
      <c r="E229" s="24"/>
      <c r="H229" s="7"/>
      <c r="I229" s="168"/>
      <c r="J229" s="168"/>
    </row>
    <row r="230" spans="1:10" ht="15.75" customHeight="1" x14ac:dyDescent="0.25">
      <c r="A230" s="24"/>
      <c r="B230" s="174"/>
      <c r="C230" s="24"/>
      <c r="D230" s="24"/>
      <c r="E230" s="24"/>
      <c r="H230" s="7"/>
      <c r="I230" s="168"/>
      <c r="J230" s="168"/>
    </row>
    <row r="231" spans="1:10" ht="15.75" customHeight="1" x14ac:dyDescent="0.25">
      <c r="A231" s="24"/>
      <c r="B231" s="174"/>
      <c r="C231" s="24"/>
      <c r="D231" s="24"/>
      <c r="E231" s="24"/>
      <c r="H231" s="7"/>
      <c r="I231" s="168"/>
      <c r="J231" s="168"/>
    </row>
    <row r="232" spans="1:10" ht="15.75" customHeight="1" x14ac:dyDescent="0.25">
      <c r="A232" s="24"/>
      <c r="B232" s="174"/>
      <c r="C232" s="24"/>
      <c r="D232" s="24"/>
      <c r="E232" s="24"/>
      <c r="H232" s="7"/>
      <c r="I232" s="168"/>
      <c r="J232" s="168"/>
    </row>
    <row r="233" spans="1:10" ht="15.75" customHeight="1" x14ac:dyDescent="0.25">
      <c r="A233" s="24"/>
      <c r="B233" s="174"/>
      <c r="C233" s="24"/>
      <c r="D233" s="24"/>
      <c r="E233" s="24"/>
      <c r="H233" s="7"/>
      <c r="I233" s="168"/>
      <c r="J233" s="168"/>
    </row>
    <row r="234" spans="1:10" ht="15.75" customHeight="1" x14ac:dyDescent="0.25">
      <c r="A234" s="24"/>
      <c r="B234" s="174"/>
      <c r="C234" s="24"/>
      <c r="D234" s="24"/>
      <c r="E234" s="24"/>
      <c r="H234" s="7"/>
      <c r="I234" s="168"/>
      <c r="J234" s="168"/>
    </row>
    <row r="235" spans="1:10" ht="15.75" customHeight="1" x14ac:dyDescent="0.25">
      <c r="A235" s="24"/>
      <c r="B235" s="174"/>
      <c r="C235" s="24"/>
      <c r="D235" s="24"/>
      <c r="E235" s="24"/>
      <c r="H235" s="7"/>
      <c r="I235" s="168"/>
      <c r="J235" s="168"/>
    </row>
    <row r="236" spans="1:10" ht="15.75" customHeight="1" x14ac:dyDescent="0.25">
      <c r="A236" s="24"/>
      <c r="B236" s="174"/>
      <c r="C236" s="24"/>
      <c r="D236" s="24"/>
      <c r="E236" s="24"/>
      <c r="H236" s="7"/>
      <c r="I236" s="168"/>
      <c r="J236" s="168"/>
    </row>
    <row r="237" spans="1:10" ht="15.75" customHeight="1" x14ac:dyDescent="0.25">
      <c r="A237" s="24"/>
      <c r="B237" s="174"/>
      <c r="C237" s="24"/>
      <c r="D237" s="24"/>
      <c r="E237" s="24"/>
      <c r="H237" s="7"/>
      <c r="I237" s="168"/>
      <c r="J237" s="168"/>
    </row>
    <row r="238" spans="1:10" ht="15.75" customHeight="1" x14ac:dyDescent="0.25">
      <c r="A238" s="24"/>
      <c r="B238" s="174"/>
      <c r="C238" s="24"/>
      <c r="D238" s="24"/>
      <c r="E238" s="24"/>
      <c r="H238" s="7"/>
      <c r="I238" s="168"/>
      <c r="J238" s="168"/>
    </row>
    <row r="239" spans="1:10" ht="15.75" customHeight="1" x14ac:dyDescent="0.25">
      <c r="A239" s="24"/>
      <c r="B239" s="174"/>
      <c r="C239" s="24"/>
      <c r="D239" s="24"/>
      <c r="E239" s="24"/>
      <c r="H239" s="7"/>
      <c r="I239" s="168"/>
      <c r="J239" s="168"/>
    </row>
    <row r="240" spans="1:10" ht="15.75" customHeight="1" x14ac:dyDescent="0.25">
      <c r="A240" s="24"/>
      <c r="B240" s="174"/>
      <c r="C240" s="24"/>
      <c r="D240" s="24"/>
      <c r="E240" s="24"/>
      <c r="H240" s="7"/>
      <c r="I240" s="168"/>
      <c r="J240" s="168"/>
    </row>
    <row r="241" spans="1:10" ht="15.75" customHeight="1" x14ac:dyDescent="0.25">
      <c r="A241" s="24"/>
      <c r="B241" s="174"/>
      <c r="C241" s="24"/>
      <c r="D241" s="24"/>
      <c r="E241" s="24"/>
      <c r="H241" s="7"/>
      <c r="I241" s="168"/>
      <c r="J241" s="168"/>
    </row>
    <row r="242" spans="1:10" ht="15.75" customHeight="1" x14ac:dyDescent="0.25">
      <c r="A242" s="24"/>
      <c r="B242" s="174"/>
      <c r="C242" s="24"/>
      <c r="D242" s="24"/>
      <c r="E242" s="24"/>
      <c r="H242" s="7"/>
      <c r="I242" s="168"/>
      <c r="J242" s="168"/>
    </row>
    <row r="243" spans="1:10" ht="15.75" customHeight="1" x14ac:dyDescent="0.25">
      <c r="A243" s="24"/>
      <c r="B243" s="174"/>
      <c r="C243" s="24"/>
      <c r="D243" s="24"/>
      <c r="E243" s="24"/>
      <c r="H243" s="7"/>
      <c r="I243" s="168"/>
      <c r="J243" s="168"/>
    </row>
    <row r="244" spans="1:10" ht="15.75" customHeight="1" x14ac:dyDescent="0.25">
      <c r="A244" s="24"/>
      <c r="B244" s="174"/>
      <c r="C244" s="24"/>
      <c r="D244" s="24"/>
      <c r="E244" s="24"/>
      <c r="H244" s="7"/>
      <c r="I244" s="168"/>
      <c r="J244" s="168"/>
    </row>
    <row r="245" spans="1:10" ht="15.75" customHeight="1" x14ac:dyDescent="0.25">
      <c r="A245" s="24"/>
      <c r="B245" s="174"/>
      <c r="C245" s="24"/>
      <c r="D245" s="24"/>
      <c r="E245" s="24"/>
      <c r="H245" s="7"/>
      <c r="I245" s="168"/>
      <c r="J245" s="168"/>
    </row>
    <row r="246" spans="1:10" ht="15.75" customHeight="1" x14ac:dyDescent="0.25">
      <c r="A246" s="24"/>
      <c r="B246" s="174"/>
      <c r="C246" s="24"/>
      <c r="D246" s="24"/>
      <c r="E246" s="24"/>
      <c r="H246" s="7"/>
      <c r="I246" s="168"/>
      <c r="J246" s="168"/>
    </row>
    <row r="247" spans="1:10" ht="15.75" customHeight="1" x14ac:dyDescent="0.25">
      <c r="A247" s="24"/>
      <c r="B247" s="174"/>
      <c r="C247" s="24"/>
      <c r="D247" s="24"/>
      <c r="E247" s="24"/>
      <c r="H247" s="7"/>
      <c r="I247" s="168"/>
      <c r="J247" s="168"/>
    </row>
    <row r="248" spans="1:10" ht="15.75" customHeight="1" x14ac:dyDescent="0.25">
      <c r="A248" s="24"/>
      <c r="B248" s="174"/>
      <c r="C248" s="24"/>
      <c r="D248" s="24"/>
      <c r="E248" s="24"/>
      <c r="H248" s="7"/>
      <c r="I248" s="168"/>
      <c r="J248" s="168"/>
    </row>
    <row r="249" spans="1:10" ht="15.75" customHeight="1" x14ac:dyDescent="0.25">
      <c r="A249" s="24"/>
      <c r="B249" s="174"/>
      <c r="C249" s="24"/>
      <c r="D249" s="24"/>
      <c r="E249" s="24"/>
      <c r="H249" s="7"/>
      <c r="I249" s="168"/>
      <c r="J249" s="168"/>
    </row>
    <row r="250" spans="1:10" ht="15.75" customHeight="1" x14ac:dyDescent="0.25">
      <c r="A250" s="24"/>
      <c r="B250" s="174"/>
      <c r="C250" s="24"/>
      <c r="D250" s="24"/>
      <c r="E250" s="24"/>
      <c r="H250" s="7"/>
      <c r="I250" s="168"/>
      <c r="J250" s="168"/>
    </row>
    <row r="251" spans="1:10" ht="15.75" customHeight="1" x14ac:dyDescent="0.25">
      <c r="A251" s="24"/>
      <c r="B251" s="174"/>
      <c r="C251" s="24"/>
      <c r="D251" s="24"/>
      <c r="E251" s="24"/>
      <c r="H251" s="7"/>
      <c r="I251" s="168"/>
      <c r="J251" s="168"/>
    </row>
    <row r="252" spans="1:10" ht="15.75" customHeight="1" x14ac:dyDescent="0.25">
      <c r="A252" s="24"/>
      <c r="B252" s="174"/>
      <c r="C252" s="24"/>
      <c r="D252" s="24"/>
      <c r="E252" s="24"/>
      <c r="H252" s="7"/>
      <c r="I252" s="168"/>
      <c r="J252" s="168"/>
    </row>
    <row r="253" spans="1:10" ht="15.75" customHeight="1" x14ac:dyDescent="0.25">
      <c r="A253" s="24"/>
      <c r="B253" s="174"/>
      <c r="C253" s="24"/>
      <c r="D253" s="24"/>
      <c r="E253" s="24"/>
      <c r="H253" s="7"/>
      <c r="I253" s="168"/>
      <c r="J253" s="168"/>
    </row>
    <row r="254" spans="1:10" ht="15.75" customHeight="1" x14ac:dyDescent="0.25">
      <c r="A254" s="24"/>
      <c r="B254" s="174"/>
      <c r="C254" s="24"/>
      <c r="D254" s="24"/>
      <c r="E254" s="24"/>
      <c r="H254" s="7"/>
      <c r="I254" s="168"/>
      <c r="J254" s="168"/>
    </row>
    <row r="255" spans="1:10" ht="15.75" customHeight="1" x14ac:dyDescent="0.25">
      <c r="A255" s="24"/>
      <c r="B255" s="174"/>
      <c r="C255" s="24"/>
      <c r="D255" s="24"/>
      <c r="E255" s="24"/>
      <c r="H255" s="7"/>
      <c r="I255" s="168"/>
      <c r="J255" s="168"/>
    </row>
    <row r="256" spans="1:10" ht="15.75" customHeight="1" x14ac:dyDescent="0.25">
      <c r="A256" s="24"/>
      <c r="B256" s="174"/>
      <c r="C256" s="24"/>
      <c r="D256" s="24"/>
      <c r="E256" s="24"/>
      <c r="H256" s="7"/>
      <c r="I256" s="168"/>
      <c r="J256" s="168"/>
    </row>
    <row r="257" spans="1:10" ht="15.75" customHeight="1" x14ac:dyDescent="0.25">
      <c r="A257" s="24"/>
      <c r="B257" s="174"/>
      <c r="C257" s="24"/>
      <c r="D257" s="24"/>
      <c r="E257" s="24"/>
      <c r="H257" s="7"/>
      <c r="I257" s="168"/>
      <c r="J257" s="168"/>
    </row>
    <row r="258" spans="1:10" ht="15.75" customHeight="1" x14ac:dyDescent="0.25">
      <c r="A258" s="24"/>
      <c r="B258" s="174"/>
      <c r="C258" s="24"/>
      <c r="D258" s="24"/>
      <c r="E258" s="24"/>
      <c r="H258" s="7"/>
      <c r="I258" s="168"/>
      <c r="J258" s="168"/>
    </row>
    <row r="259" spans="1:10" ht="15.75" customHeight="1" x14ac:dyDescent="0.25">
      <c r="A259" s="24"/>
      <c r="B259" s="174"/>
      <c r="C259" s="24"/>
      <c r="D259" s="24"/>
      <c r="E259" s="24"/>
      <c r="H259" s="7"/>
      <c r="I259" s="168"/>
      <c r="J259" s="168"/>
    </row>
    <row r="260" spans="1:10" ht="15.75" customHeight="1" x14ac:dyDescent="0.25">
      <c r="A260" s="24"/>
      <c r="B260" s="174"/>
      <c r="C260" s="24"/>
      <c r="D260" s="24"/>
      <c r="E260" s="24"/>
      <c r="H260" s="7"/>
      <c r="I260" s="168"/>
      <c r="J260" s="168"/>
    </row>
    <row r="261" spans="1:10" ht="15.75" customHeight="1" x14ac:dyDescent="0.25">
      <c r="A261" s="24"/>
      <c r="B261" s="174"/>
      <c r="C261" s="24"/>
      <c r="D261" s="24"/>
      <c r="E261" s="24"/>
      <c r="H261" s="7"/>
      <c r="I261" s="168"/>
      <c r="J261" s="168"/>
    </row>
    <row r="262" spans="1:10" ht="15.75" customHeight="1" x14ac:dyDescent="0.25">
      <c r="A262" s="24"/>
      <c r="B262" s="174"/>
      <c r="C262" s="24"/>
      <c r="D262" s="24"/>
      <c r="E262" s="24"/>
      <c r="H262" s="7"/>
      <c r="I262" s="168"/>
      <c r="J262" s="168"/>
    </row>
    <row r="263" spans="1:10" ht="15.75" customHeight="1" x14ac:dyDescent="0.25">
      <c r="A263" s="24"/>
      <c r="B263" s="174"/>
      <c r="C263" s="24"/>
      <c r="D263" s="24"/>
      <c r="E263" s="24"/>
      <c r="H263" s="7"/>
      <c r="I263" s="168"/>
      <c r="J263" s="168"/>
    </row>
    <row r="264" spans="1:10" ht="15.75" customHeight="1" x14ac:dyDescent="0.25">
      <c r="A264" s="24"/>
      <c r="B264" s="174"/>
      <c r="C264" s="24"/>
      <c r="D264" s="24"/>
      <c r="E264" s="24"/>
      <c r="H264" s="7"/>
      <c r="I264" s="168"/>
      <c r="J264" s="168"/>
    </row>
    <row r="265" spans="1:10" ht="15.75" customHeight="1" x14ac:dyDescent="0.25">
      <c r="A265" s="24"/>
      <c r="B265" s="174"/>
      <c r="C265" s="24"/>
      <c r="D265" s="24"/>
      <c r="E265" s="24"/>
      <c r="H265" s="7"/>
      <c r="I265" s="168"/>
      <c r="J265" s="168"/>
    </row>
    <row r="266" spans="1:10" ht="15.75" customHeight="1" x14ac:dyDescent="0.25">
      <c r="A266" s="24"/>
      <c r="B266" s="174"/>
      <c r="C266" s="24"/>
      <c r="D266" s="24"/>
      <c r="E266" s="24"/>
      <c r="H266" s="7"/>
      <c r="I266" s="168"/>
      <c r="J266" s="168"/>
    </row>
    <row r="267" spans="1:10" ht="15.75" customHeight="1" x14ac:dyDescent="0.25">
      <c r="A267" s="24"/>
      <c r="B267" s="174"/>
      <c r="C267" s="24"/>
      <c r="D267" s="24"/>
      <c r="E267" s="24"/>
      <c r="H267" s="7"/>
      <c r="I267" s="168"/>
      <c r="J267" s="168"/>
    </row>
    <row r="268" spans="1:10" ht="15.75" customHeight="1" x14ac:dyDescent="0.25">
      <c r="A268" s="24"/>
      <c r="B268" s="174"/>
      <c r="C268" s="24"/>
      <c r="D268" s="24"/>
      <c r="E268" s="24"/>
      <c r="H268" s="7"/>
      <c r="I268" s="168"/>
      <c r="J268" s="168"/>
    </row>
    <row r="269" spans="1:10" ht="15.75" customHeight="1" x14ac:dyDescent="0.25">
      <c r="A269" s="24"/>
      <c r="B269" s="174"/>
      <c r="C269" s="24"/>
      <c r="D269" s="24"/>
      <c r="E269" s="24"/>
      <c r="H269" s="7"/>
      <c r="I269" s="168"/>
      <c r="J269" s="168"/>
    </row>
    <row r="270" spans="1:10" ht="15.75" customHeight="1" x14ac:dyDescent="0.25">
      <c r="A270" s="24"/>
      <c r="B270" s="174"/>
      <c r="C270" s="24"/>
      <c r="D270" s="24"/>
      <c r="E270" s="24"/>
      <c r="H270" s="7"/>
      <c r="I270" s="168"/>
      <c r="J270" s="168"/>
    </row>
    <row r="271" spans="1:10" ht="15.75" customHeight="1" x14ac:dyDescent="0.25">
      <c r="A271" s="24"/>
      <c r="B271" s="174"/>
      <c r="C271" s="24"/>
      <c r="D271" s="24"/>
      <c r="E271" s="24"/>
      <c r="H271" s="7"/>
      <c r="I271" s="168"/>
      <c r="J271" s="168"/>
    </row>
    <row r="272" spans="1:10" ht="15.75" customHeight="1" x14ac:dyDescent="0.25">
      <c r="A272" s="24"/>
      <c r="B272" s="174"/>
      <c r="C272" s="24"/>
      <c r="D272" s="24"/>
      <c r="E272" s="24"/>
      <c r="H272" s="7"/>
      <c r="I272" s="168"/>
      <c r="J272" s="168"/>
    </row>
    <row r="273" spans="1:10" ht="15.75" customHeight="1" x14ac:dyDescent="0.25">
      <c r="A273" s="24"/>
      <c r="B273" s="174"/>
      <c r="C273" s="24"/>
      <c r="D273" s="24"/>
      <c r="E273" s="24"/>
      <c r="H273" s="7"/>
      <c r="I273" s="168"/>
      <c r="J273" s="168"/>
    </row>
    <row r="274" spans="1:10" ht="15.75" customHeight="1" x14ac:dyDescent="0.25">
      <c r="A274" s="24"/>
      <c r="B274" s="174"/>
      <c r="C274" s="24"/>
      <c r="D274" s="24"/>
      <c r="E274" s="24"/>
      <c r="H274" s="7"/>
      <c r="I274" s="168"/>
      <c r="J274" s="168"/>
    </row>
    <row r="275" spans="1:10" ht="15.75" customHeight="1" x14ac:dyDescent="0.25">
      <c r="A275" s="24"/>
      <c r="B275" s="174"/>
      <c r="C275" s="24"/>
      <c r="D275" s="24"/>
      <c r="E275" s="24"/>
      <c r="H275" s="7"/>
      <c r="I275" s="168"/>
      <c r="J275" s="168"/>
    </row>
    <row r="276" spans="1:10" ht="15.75" customHeight="1" x14ac:dyDescent="0.25">
      <c r="A276" s="24"/>
      <c r="B276" s="174"/>
      <c r="C276" s="24"/>
      <c r="D276" s="24"/>
      <c r="E276" s="24"/>
      <c r="H276" s="7"/>
      <c r="I276" s="168"/>
      <c r="J276" s="168"/>
    </row>
    <row r="277" spans="1:10" ht="15.75" customHeight="1" x14ac:dyDescent="0.25">
      <c r="A277" s="24"/>
      <c r="B277" s="174"/>
      <c r="C277" s="24"/>
      <c r="D277" s="24"/>
      <c r="E277" s="24"/>
      <c r="H277" s="7"/>
      <c r="I277" s="168"/>
      <c r="J277" s="168"/>
    </row>
    <row r="278" spans="1:10" ht="15.75" customHeight="1" x14ac:dyDescent="0.25">
      <c r="A278" s="24"/>
      <c r="B278" s="174"/>
      <c r="C278" s="24"/>
      <c r="D278" s="24"/>
      <c r="E278" s="24"/>
      <c r="H278" s="7"/>
      <c r="I278" s="168"/>
      <c r="J278" s="168"/>
    </row>
    <row r="279" spans="1:10" ht="15.75" customHeight="1" x14ac:dyDescent="0.25">
      <c r="A279" s="24"/>
      <c r="B279" s="174"/>
      <c r="C279" s="24"/>
      <c r="D279" s="24"/>
      <c r="E279" s="24"/>
      <c r="H279" s="7"/>
      <c r="I279" s="168"/>
      <c r="J279" s="168"/>
    </row>
    <row r="280" spans="1:10" ht="15.75" customHeight="1" x14ac:dyDescent="0.25">
      <c r="A280" s="24"/>
      <c r="B280" s="174"/>
      <c r="C280" s="24"/>
      <c r="D280" s="24"/>
      <c r="E280" s="24"/>
      <c r="H280" s="7"/>
      <c r="I280" s="168"/>
      <c r="J280" s="168"/>
    </row>
    <row r="281" spans="1:10" ht="15.75" customHeight="1" x14ac:dyDescent="0.25">
      <c r="A281" s="24"/>
      <c r="B281" s="174"/>
      <c r="C281" s="24"/>
      <c r="D281" s="24"/>
      <c r="E281" s="24"/>
      <c r="H281" s="7"/>
      <c r="I281" s="168"/>
      <c r="J281" s="168"/>
    </row>
    <row r="282" spans="1:10" ht="15.75" customHeight="1" x14ac:dyDescent="0.25">
      <c r="A282" s="24"/>
      <c r="B282" s="174"/>
      <c r="C282" s="24"/>
      <c r="D282" s="24"/>
      <c r="E282" s="24"/>
      <c r="H282" s="7"/>
      <c r="I282" s="168"/>
      <c r="J282" s="168"/>
    </row>
    <row r="283" spans="1:10" ht="15.75" customHeight="1" x14ac:dyDescent="0.25">
      <c r="A283" s="24"/>
      <c r="B283" s="174"/>
      <c r="C283" s="24"/>
      <c r="D283" s="24"/>
      <c r="E283" s="24"/>
      <c r="H283" s="7"/>
      <c r="I283" s="168"/>
      <c r="J283" s="168"/>
    </row>
    <row r="284" spans="1:10" ht="15.75" customHeight="1" x14ac:dyDescent="0.25">
      <c r="A284" s="24"/>
      <c r="B284" s="174"/>
      <c r="C284" s="24"/>
      <c r="D284" s="24"/>
      <c r="E284" s="24"/>
      <c r="H284" s="7"/>
      <c r="I284" s="168"/>
      <c r="J284" s="168"/>
    </row>
    <row r="285" spans="1:10" ht="15.75" customHeight="1" x14ac:dyDescent="0.25">
      <c r="A285" s="24"/>
      <c r="B285" s="174"/>
      <c r="C285" s="24"/>
      <c r="D285" s="24"/>
      <c r="E285" s="24"/>
      <c r="H285" s="7"/>
      <c r="I285" s="168"/>
      <c r="J285" s="168"/>
    </row>
    <row r="286" spans="1:10" ht="15.75" customHeight="1" x14ac:dyDescent="0.25">
      <c r="A286" s="24"/>
      <c r="B286" s="174"/>
      <c r="C286" s="24"/>
      <c r="D286" s="24"/>
      <c r="E286" s="24"/>
      <c r="H286" s="7"/>
      <c r="I286" s="168"/>
      <c r="J286" s="168"/>
    </row>
    <row r="287" spans="1:10" ht="15.75" customHeight="1" x14ac:dyDescent="0.25">
      <c r="A287" s="24"/>
      <c r="B287" s="174"/>
      <c r="C287" s="24"/>
      <c r="D287" s="24"/>
      <c r="E287" s="24"/>
      <c r="H287" s="7"/>
      <c r="I287" s="168"/>
      <c r="J287" s="168"/>
    </row>
    <row r="288" spans="1:10" ht="15.75" customHeight="1" x14ac:dyDescent="0.25">
      <c r="A288" s="24"/>
      <c r="B288" s="174"/>
      <c r="C288" s="24"/>
      <c r="D288" s="24"/>
      <c r="E288" s="24"/>
      <c r="H288" s="7"/>
      <c r="I288" s="168"/>
      <c r="J288" s="168"/>
    </row>
    <row r="289" spans="1:10" ht="15.75" customHeight="1" x14ac:dyDescent="0.25">
      <c r="A289" s="24"/>
      <c r="B289" s="174"/>
      <c r="C289" s="24"/>
      <c r="D289" s="24"/>
      <c r="E289" s="24"/>
      <c r="H289" s="7"/>
      <c r="I289" s="168"/>
      <c r="J289" s="168"/>
    </row>
    <row r="290" spans="1:10" ht="15.75" customHeight="1" x14ac:dyDescent="0.25">
      <c r="I290" s="168"/>
      <c r="J290" s="168"/>
    </row>
    <row r="291" spans="1:10" ht="15.75" customHeight="1" x14ac:dyDescent="0.25">
      <c r="I291" s="168"/>
      <c r="J291" s="168"/>
    </row>
    <row r="292" spans="1:10" ht="15.75" customHeight="1" x14ac:dyDescent="0.25">
      <c r="I292" s="168"/>
      <c r="J292" s="168"/>
    </row>
    <row r="293" spans="1:10" ht="15.75" customHeight="1" x14ac:dyDescent="0.25">
      <c r="I293" s="168"/>
      <c r="J293" s="168"/>
    </row>
    <row r="294" spans="1:10" ht="15.75" customHeight="1" x14ac:dyDescent="0.25">
      <c r="I294" s="168"/>
      <c r="J294" s="168"/>
    </row>
    <row r="295" spans="1:10" ht="15.75" customHeight="1" x14ac:dyDescent="0.25">
      <c r="I295" s="168"/>
      <c r="J295" s="168"/>
    </row>
    <row r="296" spans="1:10" ht="15.75" customHeight="1" x14ac:dyDescent="0.25">
      <c r="I296" s="168"/>
      <c r="J296" s="168"/>
    </row>
    <row r="297" spans="1:10" ht="15.75" customHeight="1" x14ac:dyDescent="0.25">
      <c r="I297" s="168"/>
      <c r="J297" s="168"/>
    </row>
    <row r="298" spans="1:10" ht="15.75" customHeight="1" x14ac:dyDescent="0.25">
      <c r="I298" s="168"/>
      <c r="J298" s="168"/>
    </row>
    <row r="299" spans="1:10" ht="15.75" customHeight="1" x14ac:dyDescent="0.25">
      <c r="I299" s="168"/>
      <c r="J299" s="168"/>
    </row>
    <row r="300" spans="1:10" ht="15.75" customHeight="1" x14ac:dyDescent="0.25">
      <c r="I300" s="168"/>
      <c r="J300" s="168"/>
    </row>
    <row r="301" spans="1:10" ht="15.75" customHeight="1" x14ac:dyDescent="0.25">
      <c r="I301" s="168"/>
      <c r="J301" s="168"/>
    </row>
    <row r="302" spans="1:10" ht="15.75" customHeight="1" x14ac:dyDescent="0.25">
      <c r="I302" s="168"/>
      <c r="J302" s="168"/>
    </row>
    <row r="303" spans="1:10" ht="15.75" customHeight="1" x14ac:dyDescent="0.25">
      <c r="I303" s="168"/>
      <c r="J303" s="168"/>
    </row>
    <row r="304" spans="1:10" ht="15.75" customHeight="1" x14ac:dyDescent="0.25">
      <c r="I304" s="168"/>
      <c r="J304" s="168"/>
    </row>
    <row r="305" spans="9:10" ht="15.75" customHeight="1" x14ac:dyDescent="0.25">
      <c r="I305" s="168"/>
      <c r="J305" s="168"/>
    </row>
    <row r="306" spans="9:10" ht="15.75" customHeight="1" x14ac:dyDescent="0.25">
      <c r="I306" s="168"/>
      <c r="J306" s="168"/>
    </row>
    <row r="307" spans="9:10" ht="15.75" customHeight="1" x14ac:dyDescent="0.25">
      <c r="I307" s="168"/>
      <c r="J307" s="168"/>
    </row>
    <row r="308" spans="9:10" ht="15.75" customHeight="1" x14ac:dyDescent="0.25">
      <c r="I308" s="168"/>
      <c r="J308" s="168"/>
    </row>
    <row r="309" spans="9:10" ht="15.75" customHeight="1" x14ac:dyDescent="0.25">
      <c r="I309" s="168"/>
      <c r="J309" s="168"/>
    </row>
    <row r="310" spans="9:10" ht="15.75" customHeight="1" x14ac:dyDescent="0.25">
      <c r="I310" s="168"/>
      <c r="J310" s="168"/>
    </row>
    <row r="311" spans="9:10" ht="15.75" customHeight="1" x14ac:dyDescent="0.25">
      <c r="I311" s="168"/>
      <c r="J311" s="168"/>
    </row>
    <row r="312" spans="9:10" ht="15.75" customHeight="1" x14ac:dyDescent="0.25">
      <c r="I312" s="168"/>
      <c r="J312" s="168"/>
    </row>
    <row r="313" spans="9:10" ht="15.75" customHeight="1" x14ac:dyDescent="0.25">
      <c r="I313" s="168"/>
      <c r="J313" s="168"/>
    </row>
    <row r="314" spans="9:10" ht="15.75" customHeight="1" x14ac:dyDescent="0.25">
      <c r="I314" s="168"/>
      <c r="J314" s="168"/>
    </row>
    <row r="315" spans="9:10" ht="15.75" customHeight="1" x14ac:dyDescent="0.25">
      <c r="I315" s="168"/>
      <c r="J315" s="168"/>
    </row>
    <row r="316" spans="9:10" ht="15.75" customHeight="1" x14ac:dyDescent="0.25">
      <c r="I316" s="168"/>
      <c r="J316" s="168"/>
    </row>
    <row r="317" spans="9:10" ht="15.75" customHeight="1" x14ac:dyDescent="0.25">
      <c r="I317" s="168"/>
      <c r="J317" s="168"/>
    </row>
    <row r="318" spans="9:10" ht="15.75" customHeight="1" x14ac:dyDescent="0.25">
      <c r="I318" s="168"/>
      <c r="J318" s="168"/>
    </row>
    <row r="319" spans="9:10" ht="15.75" customHeight="1" x14ac:dyDescent="0.25">
      <c r="I319" s="168"/>
      <c r="J319" s="168"/>
    </row>
    <row r="320" spans="9:10" ht="15.75" customHeight="1" x14ac:dyDescent="0.25">
      <c r="I320" s="168"/>
      <c r="J320" s="168"/>
    </row>
    <row r="321" spans="9:10" ht="15.75" customHeight="1" x14ac:dyDescent="0.25">
      <c r="I321" s="168"/>
      <c r="J321" s="168"/>
    </row>
    <row r="322" spans="9:10" ht="15.75" customHeight="1" x14ac:dyDescent="0.25">
      <c r="I322" s="168"/>
      <c r="J322" s="168"/>
    </row>
    <row r="323" spans="9:10" ht="15.75" customHeight="1" x14ac:dyDescent="0.25">
      <c r="I323" s="168"/>
      <c r="J323" s="168"/>
    </row>
    <row r="324" spans="9:10" ht="15.75" customHeight="1" x14ac:dyDescent="0.25">
      <c r="I324" s="168"/>
      <c r="J324" s="168"/>
    </row>
    <row r="325" spans="9:10" ht="15.75" customHeight="1" x14ac:dyDescent="0.25">
      <c r="I325" s="168"/>
      <c r="J325" s="168"/>
    </row>
    <row r="326" spans="9:10" ht="15.75" customHeight="1" x14ac:dyDescent="0.25">
      <c r="I326" s="168"/>
      <c r="J326" s="168"/>
    </row>
    <row r="327" spans="9:10" ht="15.75" customHeight="1" x14ac:dyDescent="0.25">
      <c r="I327" s="168"/>
      <c r="J327" s="168"/>
    </row>
    <row r="328" spans="9:10" ht="15.75" customHeight="1" x14ac:dyDescent="0.25">
      <c r="I328" s="168"/>
      <c r="J328" s="168"/>
    </row>
    <row r="329" spans="9:10" ht="15.75" customHeight="1" x14ac:dyDescent="0.25">
      <c r="I329" s="168"/>
      <c r="J329" s="168"/>
    </row>
    <row r="330" spans="9:10" ht="15.75" customHeight="1" x14ac:dyDescent="0.25">
      <c r="I330" s="168"/>
      <c r="J330" s="168"/>
    </row>
    <row r="331" spans="9:10" ht="15.75" customHeight="1" x14ac:dyDescent="0.25">
      <c r="I331" s="168"/>
      <c r="J331" s="168"/>
    </row>
    <row r="332" spans="9:10" ht="15.75" customHeight="1" x14ac:dyDescent="0.25">
      <c r="I332" s="168"/>
      <c r="J332" s="168"/>
    </row>
    <row r="333" spans="9:10" ht="15.75" customHeight="1" x14ac:dyDescent="0.25">
      <c r="I333" s="168"/>
      <c r="J333" s="168"/>
    </row>
    <row r="334" spans="9:10" ht="15.75" customHeight="1" x14ac:dyDescent="0.25">
      <c r="I334" s="168"/>
      <c r="J334" s="168"/>
    </row>
    <row r="335" spans="9:10" ht="15.75" customHeight="1" x14ac:dyDescent="0.25">
      <c r="I335" s="168"/>
      <c r="J335" s="168"/>
    </row>
    <row r="336" spans="9:10" ht="15.75" customHeight="1" x14ac:dyDescent="0.25">
      <c r="I336" s="168"/>
      <c r="J336" s="168"/>
    </row>
    <row r="337" spans="9:10" ht="15.75" customHeight="1" x14ac:dyDescent="0.25">
      <c r="I337" s="168"/>
      <c r="J337" s="168"/>
    </row>
    <row r="338" spans="9:10" ht="15.75" customHeight="1" x14ac:dyDescent="0.25">
      <c r="I338" s="168"/>
      <c r="J338" s="168"/>
    </row>
    <row r="339" spans="9:10" ht="15.75" customHeight="1" x14ac:dyDescent="0.25">
      <c r="I339" s="168"/>
      <c r="J339" s="168"/>
    </row>
    <row r="340" spans="9:10" ht="15.75" customHeight="1" x14ac:dyDescent="0.25">
      <c r="I340" s="168"/>
      <c r="J340" s="168"/>
    </row>
    <row r="341" spans="9:10" ht="15.75" customHeight="1" x14ac:dyDescent="0.25">
      <c r="I341" s="168"/>
      <c r="J341" s="168"/>
    </row>
    <row r="342" spans="9:10" ht="15.75" customHeight="1" x14ac:dyDescent="0.25">
      <c r="I342" s="168"/>
      <c r="J342" s="168"/>
    </row>
    <row r="343" spans="9:10" ht="15.75" customHeight="1" x14ac:dyDescent="0.25">
      <c r="I343" s="168"/>
      <c r="J343" s="168"/>
    </row>
    <row r="344" spans="9:10" ht="15.75" customHeight="1" x14ac:dyDescent="0.25">
      <c r="I344" s="168"/>
      <c r="J344" s="168"/>
    </row>
    <row r="345" spans="9:10" ht="15.75" customHeight="1" x14ac:dyDescent="0.25">
      <c r="I345" s="168"/>
      <c r="J345" s="168"/>
    </row>
    <row r="346" spans="9:10" ht="15.75" customHeight="1" x14ac:dyDescent="0.25">
      <c r="I346" s="168"/>
      <c r="J346" s="168"/>
    </row>
    <row r="347" spans="9:10" ht="15.75" customHeight="1" x14ac:dyDescent="0.25">
      <c r="I347" s="168"/>
      <c r="J347" s="168"/>
    </row>
    <row r="348" spans="9:10" ht="15.75" customHeight="1" x14ac:dyDescent="0.25">
      <c r="I348" s="168"/>
      <c r="J348" s="168"/>
    </row>
    <row r="349" spans="9:10" ht="15.75" customHeight="1" x14ac:dyDescent="0.25">
      <c r="I349" s="168"/>
      <c r="J349" s="168"/>
    </row>
    <row r="350" spans="9:10" ht="15.75" customHeight="1" x14ac:dyDescent="0.25">
      <c r="I350" s="168"/>
      <c r="J350" s="168"/>
    </row>
    <row r="351" spans="9:10" ht="15.75" customHeight="1" x14ac:dyDescent="0.25">
      <c r="I351" s="168"/>
      <c r="J351" s="168"/>
    </row>
    <row r="352" spans="9:10" ht="15.75" customHeight="1" x14ac:dyDescent="0.25">
      <c r="I352" s="168"/>
      <c r="J352" s="168"/>
    </row>
    <row r="353" spans="9:10" ht="15.75" customHeight="1" x14ac:dyDescent="0.25">
      <c r="I353" s="168"/>
      <c r="J353" s="168"/>
    </row>
    <row r="354" spans="9:10" ht="15.75" customHeight="1" x14ac:dyDescent="0.25">
      <c r="I354" s="168"/>
      <c r="J354" s="168"/>
    </row>
    <row r="355" spans="9:10" ht="15.75" customHeight="1" x14ac:dyDescent="0.25">
      <c r="I355" s="168"/>
      <c r="J355" s="168"/>
    </row>
    <row r="356" spans="9:10" ht="15.75" customHeight="1" x14ac:dyDescent="0.25">
      <c r="I356" s="168"/>
      <c r="J356" s="168"/>
    </row>
    <row r="357" spans="9:10" ht="15.75" customHeight="1" x14ac:dyDescent="0.25">
      <c r="I357" s="168"/>
      <c r="J357" s="168"/>
    </row>
    <row r="358" spans="9:10" ht="15.75" customHeight="1" x14ac:dyDescent="0.25">
      <c r="I358" s="168"/>
      <c r="J358" s="168"/>
    </row>
    <row r="359" spans="9:10" ht="15.75" customHeight="1" x14ac:dyDescent="0.25">
      <c r="I359" s="168"/>
      <c r="J359" s="168"/>
    </row>
    <row r="360" spans="9:10" ht="15.75" customHeight="1" x14ac:dyDescent="0.25">
      <c r="I360" s="168"/>
      <c r="J360" s="168"/>
    </row>
    <row r="361" spans="9:10" ht="15.75" customHeight="1" x14ac:dyDescent="0.25">
      <c r="I361" s="168"/>
      <c r="J361" s="168"/>
    </row>
    <row r="362" spans="9:10" ht="15.75" customHeight="1" x14ac:dyDescent="0.25">
      <c r="I362" s="168"/>
      <c r="J362" s="168"/>
    </row>
    <row r="363" spans="9:10" ht="15.75" customHeight="1" x14ac:dyDescent="0.25">
      <c r="I363" s="168"/>
      <c r="J363" s="168"/>
    </row>
    <row r="364" spans="9:10" ht="15.75" customHeight="1" x14ac:dyDescent="0.25">
      <c r="I364" s="168"/>
      <c r="J364" s="168"/>
    </row>
    <row r="365" spans="9:10" ht="15.75" customHeight="1" x14ac:dyDescent="0.25">
      <c r="I365" s="168"/>
      <c r="J365" s="168"/>
    </row>
    <row r="366" spans="9:10" ht="15.75" customHeight="1" x14ac:dyDescent="0.25">
      <c r="I366" s="168"/>
      <c r="J366" s="168"/>
    </row>
    <row r="367" spans="9:10" ht="15.75" customHeight="1" x14ac:dyDescent="0.25">
      <c r="I367" s="168"/>
      <c r="J367" s="168"/>
    </row>
    <row r="368" spans="9:10" ht="15.75" customHeight="1" x14ac:dyDescent="0.25">
      <c r="I368" s="168"/>
      <c r="J368" s="168"/>
    </row>
    <row r="369" spans="9:10" ht="15.75" customHeight="1" x14ac:dyDescent="0.25">
      <c r="I369" s="168"/>
      <c r="J369" s="168"/>
    </row>
    <row r="370" spans="9:10" ht="15.75" customHeight="1" x14ac:dyDescent="0.25">
      <c r="I370" s="168"/>
      <c r="J370" s="168"/>
    </row>
    <row r="371" spans="9:10" ht="15.75" customHeight="1" x14ac:dyDescent="0.25">
      <c r="I371" s="168"/>
      <c r="J371" s="168"/>
    </row>
    <row r="372" spans="9:10" ht="15.75" customHeight="1" x14ac:dyDescent="0.25">
      <c r="I372" s="168"/>
      <c r="J372" s="168"/>
    </row>
    <row r="373" spans="9:10" ht="15.75" customHeight="1" x14ac:dyDescent="0.25">
      <c r="I373" s="168"/>
      <c r="J373" s="168"/>
    </row>
    <row r="374" spans="9:10" ht="15.75" customHeight="1" x14ac:dyDescent="0.25">
      <c r="I374" s="168"/>
      <c r="J374" s="168"/>
    </row>
    <row r="375" spans="9:10" ht="15.75" customHeight="1" x14ac:dyDescent="0.25">
      <c r="I375" s="168"/>
      <c r="J375" s="168"/>
    </row>
    <row r="376" spans="9:10" ht="15.75" customHeight="1" x14ac:dyDescent="0.25">
      <c r="I376" s="168"/>
      <c r="J376" s="168"/>
    </row>
    <row r="377" spans="9:10" ht="15.75" customHeight="1" x14ac:dyDescent="0.25">
      <c r="I377" s="168"/>
      <c r="J377" s="168"/>
    </row>
    <row r="378" spans="9:10" ht="15.75" customHeight="1" x14ac:dyDescent="0.25">
      <c r="I378" s="168"/>
      <c r="J378" s="168"/>
    </row>
    <row r="379" spans="9:10" ht="15.75" customHeight="1" x14ac:dyDescent="0.25">
      <c r="I379" s="168"/>
      <c r="J379" s="168"/>
    </row>
    <row r="380" spans="9:10" ht="15.75" customHeight="1" x14ac:dyDescent="0.25">
      <c r="I380" s="168"/>
      <c r="J380" s="168"/>
    </row>
    <row r="381" spans="9:10" ht="15.75" customHeight="1" x14ac:dyDescent="0.25">
      <c r="I381" s="168"/>
      <c r="J381" s="168"/>
    </row>
    <row r="382" spans="9:10" ht="15.75" customHeight="1" x14ac:dyDescent="0.25">
      <c r="I382" s="168"/>
      <c r="J382" s="168"/>
    </row>
    <row r="383" spans="9:10" ht="15.75" customHeight="1" x14ac:dyDescent="0.25">
      <c r="I383" s="168"/>
      <c r="J383" s="168"/>
    </row>
    <row r="384" spans="9:10" ht="15.75" customHeight="1" x14ac:dyDescent="0.25">
      <c r="I384" s="168"/>
      <c r="J384" s="168"/>
    </row>
    <row r="385" spans="9:10" ht="15.75" customHeight="1" x14ac:dyDescent="0.25">
      <c r="I385" s="168"/>
      <c r="J385" s="168"/>
    </row>
    <row r="386" spans="9:10" ht="15.75" customHeight="1" x14ac:dyDescent="0.25">
      <c r="I386" s="168"/>
      <c r="J386" s="168"/>
    </row>
    <row r="387" spans="9:10" ht="15.75" customHeight="1" x14ac:dyDescent="0.25">
      <c r="I387" s="168"/>
      <c r="J387" s="168"/>
    </row>
    <row r="388" spans="9:10" ht="15.75" customHeight="1" x14ac:dyDescent="0.25">
      <c r="I388" s="168"/>
      <c r="J388" s="168"/>
    </row>
    <row r="389" spans="9:10" ht="15.75" customHeight="1" x14ac:dyDescent="0.25">
      <c r="I389" s="168"/>
      <c r="J389" s="168"/>
    </row>
    <row r="390" spans="9:10" ht="15.75" customHeight="1" x14ac:dyDescent="0.25">
      <c r="I390" s="168"/>
      <c r="J390" s="168"/>
    </row>
    <row r="391" spans="9:10" ht="15.75" customHeight="1" x14ac:dyDescent="0.25">
      <c r="I391" s="168"/>
      <c r="J391" s="168"/>
    </row>
    <row r="392" spans="9:10" ht="15.75" customHeight="1" x14ac:dyDescent="0.25">
      <c r="I392" s="168"/>
      <c r="J392" s="168"/>
    </row>
    <row r="393" spans="9:10" ht="15.75" customHeight="1" x14ac:dyDescent="0.25">
      <c r="I393" s="168"/>
      <c r="J393" s="168"/>
    </row>
    <row r="394" spans="9:10" ht="15.75" customHeight="1" x14ac:dyDescent="0.25">
      <c r="I394" s="168"/>
      <c r="J394" s="168"/>
    </row>
    <row r="395" spans="9:10" ht="15.75" customHeight="1" x14ac:dyDescent="0.25">
      <c r="I395" s="168"/>
      <c r="J395" s="168"/>
    </row>
    <row r="396" spans="9:10" ht="15.75" customHeight="1" x14ac:dyDescent="0.25">
      <c r="I396" s="168"/>
      <c r="J396" s="168"/>
    </row>
    <row r="397" spans="9:10" ht="15.75" customHeight="1" x14ac:dyDescent="0.25">
      <c r="I397" s="168"/>
      <c r="J397" s="168"/>
    </row>
    <row r="398" spans="9:10" ht="15.75" customHeight="1" x14ac:dyDescent="0.25">
      <c r="I398" s="168"/>
      <c r="J398" s="168"/>
    </row>
    <row r="399" spans="9:10" ht="15.75" customHeight="1" x14ac:dyDescent="0.25">
      <c r="I399" s="168"/>
      <c r="J399" s="168"/>
    </row>
    <row r="400" spans="9:10" ht="15.75" customHeight="1" x14ac:dyDescent="0.25">
      <c r="I400" s="168"/>
      <c r="J400" s="168"/>
    </row>
    <row r="401" spans="9:10" ht="15.75" customHeight="1" x14ac:dyDescent="0.25">
      <c r="I401" s="168"/>
      <c r="J401" s="168"/>
    </row>
    <row r="402" spans="9:10" ht="15.75" customHeight="1" x14ac:dyDescent="0.25">
      <c r="I402" s="168"/>
      <c r="J402" s="168"/>
    </row>
    <row r="403" spans="9:10" ht="15.75" customHeight="1" x14ac:dyDescent="0.25">
      <c r="I403" s="168"/>
      <c r="J403" s="168"/>
    </row>
    <row r="404" spans="9:10" ht="15.75" customHeight="1" x14ac:dyDescent="0.25">
      <c r="I404" s="168"/>
      <c r="J404" s="168"/>
    </row>
    <row r="405" spans="9:10" ht="15.75" customHeight="1" x14ac:dyDescent="0.25">
      <c r="I405" s="168"/>
      <c r="J405" s="168"/>
    </row>
    <row r="406" spans="9:10" ht="15.75" customHeight="1" x14ac:dyDescent="0.25">
      <c r="I406" s="168"/>
      <c r="J406" s="168"/>
    </row>
    <row r="407" spans="9:10" ht="15.75" customHeight="1" x14ac:dyDescent="0.25">
      <c r="I407" s="168"/>
      <c r="J407" s="168"/>
    </row>
    <row r="408" spans="9:10" ht="15.75" customHeight="1" x14ac:dyDescent="0.25">
      <c r="I408" s="168"/>
      <c r="J408" s="168"/>
    </row>
    <row r="409" spans="9:10" ht="15.75" customHeight="1" x14ac:dyDescent="0.25">
      <c r="I409" s="168"/>
      <c r="J409" s="168"/>
    </row>
    <row r="410" spans="9:10" ht="15.75" customHeight="1" x14ac:dyDescent="0.25">
      <c r="I410" s="168"/>
      <c r="J410" s="168"/>
    </row>
    <row r="411" spans="9:10" ht="15.75" customHeight="1" x14ac:dyDescent="0.25">
      <c r="I411" s="168"/>
      <c r="J411" s="168"/>
    </row>
    <row r="412" spans="9:10" ht="15.75" customHeight="1" x14ac:dyDescent="0.25">
      <c r="I412" s="168"/>
      <c r="J412" s="168"/>
    </row>
    <row r="413" spans="9:10" ht="15.75" customHeight="1" x14ac:dyDescent="0.25">
      <c r="I413" s="168"/>
      <c r="J413" s="168"/>
    </row>
    <row r="414" spans="9:10" ht="15.75" customHeight="1" x14ac:dyDescent="0.25">
      <c r="I414" s="168"/>
      <c r="J414" s="168"/>
    </row>
    <row r="415" spans="9:10" ht="15.75" customHeight="1" x14ac:dyDescent="0.25">
      <c r="I415" s="168"/>
      <c r="J415" s="168"/>
    </row>
    <row r="416" spans="9:10" ht="15.75" customHeight="1" x14ac:dyDescent="0.25">
      <c r="I416" s="168"/>
      <c r="J416" s="168"/>
    </row>
    <row r="417" spans="9:10" ht="15.75" customHeight="1" x14ac:dyDescent="0.25">
      <c r="I417" s="168"/>
      <c r="J417" s="168"/>
    </row>
    <row r="418" spans="9:10" ht="15.75" customHeight="1" x14ac:dyDescent="0.25">
      <c r="I418" s="168"/>
      <c r="J418" s="168"/>
    </row>
    <row r="419" spans="9:10" ht="15.75" customHeight="1" x14ac:dyDescent="0.25">
      <c r="I419" s="168"/>
      <c r="J419" s="168"/>
    </row>
    <row r="420" spans="9:10" ht="15.75" customHeight="1" x14ac:dyDescent="0.25">
      <c r="I420" s="168"/>
      <c r="J420" s="168"/>
    </row>
    <row r="421" spans="9:10" ht="15.75" customHeight="1" x14ac:dyDescent="0.25">
      <c r="I421" s="168"/>
      <c r="J421" s="168"/>
    </row>
    <row r="422" spans="9:10" ht="15.75" customHeight="1" x14ac:dyDescent="0.25">
      <c r="I422" s="168"/>
      <c r="J422" s="168"/>
    </row>
    <row r="423" spans="9:10" ht="15.75" customHeight="1" x14ac:dyDescent="0.25">
      <c r="I423" s="168"/>
      <c r="J423" s="168"/>
    </row>
    <row r="424" spans="9:10" ht="15.75" customHeight="1" x14ac:dyDescent="0.25">
      <c r="I424" s="168"/>
      <c r="J424" s="168"/>
    </row>
    <row r="425" spans="9:10" ht="15.75" customHeight="1" x14ac:dyDescent="0.25">
      <c r="I425" s="168"/>
      <c r="J425" s="168"/>
    </row>
    <row r="426" spans="9:10" ht="15.75" customHeight="1" x14ac:dyDescent="0.25">
      <c r="I426" s="168"/>
      <c r="J426" s="168"/>
    </row>
    <row r="427" spans="9:10" ht="15.75" customHeight="1" x14ac:dyDescent="0.25">
      <c r="I427" s="168"/>
      <c r="J427" s="168"/>
    </row>
    <row r="428" spans="9:10" ht="15.75" customHeight="1" x14ac:dyDescent="0.25">
      <c r="I428" s="168"/>
      <c r="J428" s="168"/>
    </row>
    <row r="429" spans="9:10" ht="15.75" customHeight="1" x14ac:dyDescent="0.25">
      <c r="I429" s="168"/>
      <c r="J429" s="168"/>
    </row>
    <row r="430" spans="9:10" ht="15.75" customHeight="1" x14ac:dyDescent="0.25">
      <c r="I430" s="168"/>
      <c r="J430" s="168"/>
    </row>
    <row r="431" spans="9:10" ht="15.75" customHeight="1" x14ac:dyDescent="0.25">
      <c r="I431" s="168"/>
      <c r="J431" s="168"/>
    </row>
    <row r="432" spans="9:10" ht="15.75" customHeight="1" x14ac:dyDescent="0.25">
      <c r="I432" s="168"/>
      <c r="J432" s="168"/>
    </row>
    <row r="433" spans="9:10" ht="15.75" customHeight="1" x14ac:dyDescent="0.25">
      <c r="I433" s="168"/>
      <c r="J433" s="168"/>
    </row>
    <row r="434" spans="9:10" ht="15.75" customHeight="1" x14ac:dyDescent="0.25">
      <c r="I434" s="168"/>
      <c r="J434" s="168"/>
    </row>
    <row r="435" spans="9:10" ht="15.75" customHeight="1" x14ac:dyDescent="0.25">
      <c r="I435" s="168"/>
      <c r="J435" s="168"/>
    </row>
    <row r="436" spans="9:10" ht="15.75" customHeight="1" x14ac:dyDescent="0.25">
      <c r="I436" s="168"/>
      <c r="J436" s="168"/>
    </row>
    <row r="437" spans="9:10" ht="15.75" customHeight="1" x14ac:dyDescent="0.25">
      <c r="I437" s="168"/>
      <c r="J437" s="168"/>
    </row>
    <row r="438" spans="9:10" ht="15.75" customHeight="1" x14ac:dyDescent="0.25">
      <c r="I438" s="168"/>
      <c r="J438" s="168"/>
    </row>
    <row r="439" spans="9:10" ht="15.75" customHeight="1" x14ac:dyDescent="0.25">
      <c r="I439" s="168"/>
      <c r="J439" s="168"/>
    </row>
    <row r="440" spans="9:10" ht="15.75" customHeight="1" x14ac:dyDescent="0.25">
      <c r="I440" s="168"/>
      <c r="J440" s="168"/>
    </row>
    <row r="441" spans="9:10" ht="15.75" customHeight="1" x14ac:dyDescent="0.25">
      <c r="I441" s="168"/>
      <c r="J441" s="168"/>
    </row>
    <row r="442" spans="9:10" ht="15.75" customHeight="1" x14ac:dyDescent="0.25">
      <c r="I442" s="168"/>
      <c r="J442" s="168"/>
    </row>
    <row r="443" spans="9:10" ht="15.75" customHeight="1" x14ac:dyDescent="0.25">
      <c r="I443" s="168"/>
      <c r="J443" s="168"/>
    </row>
    <row r="444" spans="9:10" ht="15.75" customHeight="1" x14ac:dyDescent="0.25">
      <c r="I444" s="168"/>
      <c r="J444" s="168"/>
    </row>
    <row r="445" spans="9:10" ht="15.75" customHeight="1" x14ac:dyDescent="0.25">
      <c r="I445" s="168"/>
      <c r="J445" s="168"/>
    </row>
    <row r="446" spans="9:10" ht="15.75" customHeight="1" x14ac:dyDescent="0.25">
      <c r="I446" s="168"/>
      <c r="J446" s="168"/>
    </row>
    <row r="447" spans="9:10" ht="15.75" customHeight="1" x14ac:dyDescent="0.25">
      <c r="I447" s="168"/>
      <c r="J447" s="168"/>
    </row>
    <row r="448" spans="9:10" ht="15.75" customHeight="1" x14ac:dyDescent="0.25">
      <c r="I448" s="168"/>
      <c r="J448" s="168"/>
    </row>
    <row r="449" spans="9:10" ht="15.75" customHeight="1" x14ac:dyDescent="0.25">
      <c r="I449" s="168"/>
      <c r="J449" s="168"/>
    </row>
    <row r="450" spans="9:10" ht="15.75" customHeight="1" x14ac:dyDescent="0.25">
      <c r="I450" s="168"/>
      <c r="J450" s="168"/>
    </row>
    <row r="451" spans="9:10" ht="15.75" customHeight="1" x14ac:dyDescent="0.25">
      <c r="I451" s="168"/>
      <c r="J451" s="168"/>
    </row>
    <row r="452" spans="9:10" ht="15.75" customHeight="1" x14ac:dyDescent="0.25">
      <c r="I452" s="168"/>
      <c r="J452" s="168"/>
    </row>
    <row r="453" spans="9:10" ht="15.75" customHeight="1" x14ac:dyDescent="0.25">
      <c r="I453" s="168"/>
      <c r="J453" s="168"/>
    </row>
    <row r="454" spans="9:10" ht="15.75" customHeight="1" x14ac:dyDescent="0.25">
      <c r="I454" s="168"/>
      <c r="J454" s="168"/>
    </row>
    <row r="455" spans="9:10" ht="15.75" customHeight="1" x14ac:dyDescent="0.25">
      <c r="I455" s="168"/>
      <c r="J455" s="168"/>
    </row>
    <row r="456" spans="9:10" ht="15.75" customHeight="1" x14ac:dyDescent="0.25">
      <c r="I456" s="168"/>
      <c r="J456" s="168"/>
    </row>
    <row r="457" spans="9:10" ht="15.75" customHeight="1" x14ac:dyDescent="0.25">
      <c r="I457" s="168"/>
      <c r="J457" s="168"/>
    </row>
    <row r="458" spans="9:10" ht="15.75" customHeight="1" x14ac:dyDescent="0.25">
      <c r="I458" s="168"/>
      <c r="J458" s="168"/>
    </row>
    <row r="459" spans="9:10" ht="15.75" customHeight="1" x14ac:dyDescent="0.25">
      <c r="I459" s="168"/>
      <c r="J459" s="168"/>
    </row>
    <row r="460" spans="9:10" ht="15.75" customHeight="1" x14ac:dyDescent="0.25">
      <c r="I460" s="168"/>
      <c r="J460" s="168"/>
    </row>
    <row r="461" spans="9:10" ht="15.75" customHeight="1" x14ac:dyDescent="0.25">
      <c r="I461" s="168"/>
      <c r="J461" s="168"/>
    </row>
    <row r="462" spans="9:10" ht="15.75" customHeight="1" x14ac:dyDescent="0.25">
      <c r="I462" s="168"/>
      <c r="J462" s="168"/>
    </row>
    <row r="463" spans="9:10" ht="15.75" customHeight="1" x14ac:dyDescent="0.25">
      <c r="I463" s="168"/>
      <c r="J463" s="168"/>
    </row>
    <row r="464" spans="9:10" ht="15.75" customHeight="1" x14ac:dyDescent="0.25">
      <c r="I464" s="168"/>
      <c r="J464" s="168"/>
    </row>
    <row r="465" spans="9:10" ht="15.75" customHeight="1" x14ac:dyDescent="0.25">
      <c r="I465" s="168"/>
      <c r="J465" s="168"/>
    </row>
    <row r="466" spans="9:10" ht="15.75" customHeight="1" x14ac:dyDescent="0.25">
      <c r="I466" s="168"/>
      <c r="J466" s="168"/>
    </row>
    <row r="467" spans="9:10" ht="15.75" customHeight="1" x14ac:dyDescent="0.25">
      <c r="I467" s="168"/>
      <c r="J467" s="168"/>
    </row>
    <row r="468" spans="9:10" ht="15.75" customHeight="1" x14ac:dyDescent="0.25">
      <c r="I468" s="168"/>
      <c r="J468" s="168"/>
    </row>
    <row r="469" spans="9:10" ht="15.75" customHeight="1" x14ac:dyDescent="0.25">
      <c r="I469" s="168"/>
      <c r="J469" s="168"/>
    </row>
    <row r="470" spans="9:10" ht="15.75" customHeight="1" x14ac:dyDescent="0.25">
      <c r="I470" s="168"/>
      <c r="J470" s="168"/>
    </row>
    <row r="471" spans="9:10" ht="15.75" customHeight="1" x14ac:dyDescent="0.25">
      <c r="I471" s="168"/>
      <c r="J471" s="168"/>
    </row>
    <row r="472" spans="9:10" ht="15.75" customHeight="1" x14ac:dyDescent="0.25">
      <c r="I472" s="168"/>
      <c r="J472" s="168"/>
    </row>
    <row r="473" spans="9:10" ht="15.75" customHeight="1" x14ac:dyDescent="0.25">
      <c r="I473" s="168"/>
      <c r="J473" s="168"/>
    </row>
    <row r="474" spans="9:10" ht="15.75" customHeight="1" x14ac:dyDescent="0.25">
      <c r="I474" s="168"/>
      <c r="J474" s="168"/>
    </row>
    <row r="475" spans="9:10" ht="15.75" customHeight="1" x14ac:dyDescent="0.25">
      <c r="I475" s="168"/>
      <c r="J475" s="168"/>
    </row>
    <row r="476" spans="9:10" ht="15.75" customHeight="1" x14ac:dyDescent="0.25">
      <c r="I476" s="168"/>
      <c r="J476" s="168"/>
    </row>
    <row r="477" spans="9:10" ht="15.75" customHeight="1" x14ac:dyDescent="0.25">
      <c r="I477" s="168"/>
      <c r="J477" s="168"/>
    </row>
    <row r="478" spans="9:10" ht="15.75" customHeight="1" x14ac:dyDescent="0.25">
      <c r="I478" s="168"/>
      <c r="J478" s="168"/>
    </row>
    <row r="479" spans="9:10" ht="15.75" customHeight="1" x14ac:dyDescent="0.25">
      <c r="I479" s="168"/>
      <c r="J479" s="168"/>
    </row>
    <row r="480" spans="9:10" ht="15.75" customHeight="1" x14ac:dyDescent="0.25">
      <c r="I480" s="168"/>
      <c r="J480" s="168"/>
    </row>
    <row r="481" spans="9:10" ht="15.75" customHeight="1" x14ac:dyDescent="0.25">
      <c r="I481" s="168"/>
      <c r="J481" s="168"/>
    </row>
    <row r="482" spans="9:10" ht="15.75" customHeight="1" x14ac:dyDescent="0.25">
      <c r="I482" s="168"/>
      <c r="J482" s="168"/>
    </row>
    <row r="483" spans="9:10" ht="15.75" customHeight="1" x14ac:dyDescent="0.25">
      <c r="I483" s="168"/>
      <c r="J483" s="168"/>
    </row>
    <row r="484" spans="9:10" ht="15.75" customHeight="1" x14ac:dyDescent="0.25">
      <c r="I484" s="168"/>
      <c r="J484" s="168"/>
    </row>
    <row r="485" spans="9:10" ht="15.75" customHeight="1" x14ac:dyDescent="0.25">
      <c r="I485" s="168"/>
      <c r="J485" s="168"/>
    </row>
    <row r="486" spans="9:10" ht="15.75" customHeight="1" x14ac:dyDescent="0.25">
      <c r="I486" s="168"/>
      <c r="J486" s="168"/>
    </row>
    <row r="487" spans="9:10" ht="15.75" customHeight="1" x14ac:dyDescent="0.25">
      <c r="I487" s="168"/>
      <c r="J487" s="168"/>
    </row>
    <row r="488" spans="9:10" ht="15.75" customHeight="1" x14ac:dyDescent="0.25">
      <c r="I488" s="168"/>
      <c r="J488" s="168"/>
    </row>
    <row r="489" spans="9:10" ht="15.75" customHeight="1" x14ac:dyDescent="0.25">
      <c r="I489" s="168"/>
      <c r="J489" s="168"/>
    </row>
    <row r="490" spans="9:10" ht="15.75" customHeight="1" x14ac:dyDescent="0.25">
      <c r="I490" s="168"/>
      <c r="J490" s="168"/>
    </row>
    <row r="491" spans="9:10" ht="15.75" customHeight="1" x14ac:dyDescent="0.25">
      <c r="I491" s="168"/>
      <c r="J491" s="168"/>
    </row>
    <row r="492" spans="9:10" ht="15.75" customHeight="1" x14ac:dyDescent="0.25">
      <c r="I492" s="168"/>
      <c r="J492" s="168"/>
    </row>
    <row r="493" spans="9:10" ht="15.75" customHeight="1" x14ac:dyDescent="0.25">
      <c r="I493" s="168"/>
      <c r="J493" s="168"/>
    </row>
    <row r="494" spans="9:10" ht="15.75" customHeight="1" x14ac:dyDescent="0.25">
      <c r="I494" s="168"/>
      <c r="J494" s="168"/>
    </row>
    <row r="495" spans="9:10" ht="15.75" customHeight="1" x14ac:dyDescent="0.25">
      <c r="I495" s="168"/>
      <c r="J495" s="168"/>
    </row>
    <row r="496" spans="9:10" ht="15.75" customHeight="1" x14ac:dyDescent="0.25">
      <c r="I496" s="168"/>
      <c r="J496" s="168"/>
    </row>
    <row r="497" spans="9:10" ht="15.75" customHeight="1" x14ac:dyDescent="0.25">
      <c r="I497" s="168"/>
      <c r="J497" s="168"/>
    </row>
    <row r="498" spans="9:10" ht="15.75" customHeight="1" x14ac:dyDescent="0.25">
      <c r="I498" s="168"/>
      <c r="J498" s="168"/>
    </row>
    <row r="499" spans="9:10" ht="15.75" customHeight="1" x14ac:dyDescent="0.25">
      <c r="I499" s="168"/>
      <c r="J499" s="168"/>
    </row>
    <row r="500" spans="9:10" ht="15.75" customHeight="1" x14ac:dyDescent="0.25">
      <c r="I500" s="168"/>
      <c r="J500" s="168"/>
    </row>
    <row r="501" spans="9:10" ht="15.75" customHeight="1" x14ac:dyDescent="0.25">
      <c r="I501" s="168"/>
      <c r="J501" s="168"/>
    </row>
    <row r="502" spans="9:10" ht="15.75" customHeight="1" x14ac:dyDescent="0.25">
      <c r="I502" s="168"/>
      <c r="J502" s="168"/>
    </row>
    <row r="503" spans="9:10" ht="15.75" customHeight="1" x14ac:dyDescent="0.25">
      <c r="I503" s="168"/>
      <c r="J503" s="168"/>
    </row>
    <row r="504" spans="9:10" ht="15.75" customHeight="1" x14ac:dyDescent="0.25">
      <c r="I504" s="168"/>
      <c r="J504" s="168"/>
    </row>
    <row r="505" spans="9:10" ht="15.75" customHeight="1" x14ac:dyDescent="0.25">
      <c r="I505" s="168"/>
      <c r="J505" s="168"/>
    </row>
    <row r="506" spans="9:10" ht="15.75" customHeight="1" x14ac:dyDescent="0.25">
      <c r="I506" s="168"/>
      <c r="J506" s="168"/>
    </row>
    <row r="507" spans="9:10" ht="15.75" customHeight="1" x14ac:dyDescent="0.25">
      <c r="I507" s="168"/>
      <c r="J507" s="168"/>
    </row>
    <row r="508" spans="9:10" ht="15.75" customHeight="1" x14ac:dyDescent="0.25">
      <c r="I508" s="168"/>
      <c r="J508" s="168"/>
    </row>
    <row r="509" spans="9:10" ht="15.75" customHeight="1" x14ac:dyDescent="0.25">
      <c r="I509" s="168"/>
      <c r="J509" s="168"/>
    </row>
    <row r="510" spans="9:10" ht="15.75" customHeight="1" x14ac:dyDescent="0.25">
      <c r="I510" s="168"/>
      <c r="J510" s="168"/>
    </row>
    <row r="511" spans="9:10" ht="15.75" customHeight="1" x14ac:dyDescent="0.25">
      <c r="I511" s="168"/>
      <c r="J511" s="168"/>
    </row>
    <row r="512" spans="9:10" ht="15.75" customHeight="1" x14ac:dyDescent="0.25">
      <c r="I512" s="168"/>
      <c r="J512" s="168"/>
    </row>
    <row r="513" spans="9:10" ht="15.75" customHeight="1" x14ac:dyDescent="0.25">
      <c r="I513" s="168"/>
      <c r="J513" s="168"/>
    </row>
    <row r="514" spans="9:10" ht="15.75" customHeight="1" x14ac:dyDescent="0.25">
      <c r="I514" s="168"/>
      <c r="J514" s="168"/>
    </row>
    <row r="515" spans="9:10" ht="15.75" customHeight="1" x14ac:dyDescent="0.25">
      <c r="I515" s="168"/>
      <c r="J515" s="168"/>
    </row>
    <row r="516" spans="9:10" ht="15.75" customHeight="1" x14ac:dyDescent="0.25">
      <c r="I516" s="168"/>
      <c r="J516" s="168"/>
    </row>
    <row r="517" spans="9:10" ht="15.75" customHeight="1" x14ac:dyDescent="0.25">
      <c r="I517" s="168"/>
      <c r="J517" s="168"/>
    </row>
    <row r="518" spans="9:10" ht="15.75" customHeight="1" x14ac:dyDescent="0.25">
      <c r="I518" s="168"/>
      <c r="J518" s="168"/>
    </row>
    <row r="519" spans="9:10" ht="15.75" customHeight="1" x14ac:dyDescent="0.25">
      <c r="I519" s="168"/>
      <c r="J519" s="168"/>
    </row>
    <row r="520" spans="9:10" ht="15.75" customHeight="1" x14ac:dyDescent="0.25">
      <c r="I520" s="168"/>
      <c r="J520" s="168"/>
    </row>
    <row r="521" spans="9:10" ht="15.75" customHeight="1" x14ac:dyDescent="0.25">
      <c r="I521" s="168"/>
      <c r="J521" s="168"/>
    </row>
    <row r="522" spans="9:10" ht="15.75" customHeight="1" x14ac:dyDescent="0.25">
      <c r="I522" s="168"/>
      <c r="J522" s="168"/>
    </row>
    <row r="523" spans="9:10" ht="15.75" customHeight="1" x14ac:dyDescent="0.25">
      <c r="I523" s="168"/>
      <c r="J523" s="168"/>
    </row>
    <row r="524" spans="9:10" ht="15.75" customHeight="1" x14ac:dyDescent="0.25">
      <c r="I524" s="168"/>
      <c r="J524" s="168"/>
    </row>
    <row r="525" spans="9:10" ht="15.75" customHeight="1" x14ac:dyDescent="0.25">
      <c r="I525" s="168"/>
      <c r="J525" s="168"/>
    </row>
    <row r="526" spans="9:10" ht="15.75" customHeight="1" x14ac:dyDescent="0.25">
      <c r="I526" s="168"/>
      <c r="J526" s="168"/>
    </row>
    <row r="527" spans="9:10" ht="15.75" customHeight="1" x14ac:dyDescent="0.25">
      <c r="I527" s="168"/>
      <c r="J527" s="168"/>
    </row>
    <row r="528" spans="9:10" ht="15.75" customHeight="1" x14ac:dyDescent="0.25">
      <c r="I528" s="168"/>
      <c r="J528" s="168"/>
    </row>
    <row r="529" spans="9:10" ht="15.75" customHeight="1" x14ac:dyDescent="0.25">
      <c r="I529" s="168"/>
      <c r="J529" s="168"/>
    </row>
    <row r="530" spans="9:10" ht="15.75" customHeight="1" x14ac:dyDescent="0.25">
      <c r="I530" s="168"/>
      <c r="J530" s="168"/>
    </row>
    <row r="531" spans="9:10" ht="15.75" customHeight="1" x14ac:dyDescent="0.25">
      <c r="I531" s="168"/>
      <c r="J531" s="168"/>
    </row>
    <row r="532" spans="9:10" ht="15.75" customHeight="1" x14ac:dyDescent="0.25">
      <c r="I532" s="168"/>
      <c r="J532" s="168"/>
    </row>
    <row r="533" spans="9:10" ht="15.75" customHeight="1" x14ac:dyDescent="0.25">
      <c r="I533" s="168"/>
      <c r="J533" s="168"/>
    </row>
    <row r="534" spans="9:10" ht="15.75" customHeight="1" x14ac:dyDescent="0.25">
      <c r="I534" s="168"/>
      <c r="J534" s="168"/>
    </row>
    <row r="535" spans="9:10" ht="15.75" customHeight="1" x14ac:dyDescent="0.25">
      <c r="I535" s="168"/>
      <c r="J535" s="168"/>
    </row>
    <row r="536" spans="9:10" ht="15.75" customHeight="1" x14ac:dyDescent="0.25">
      <c r="I536" s="168"/>
      <c r="J536" s="168"/>
    </row>
    <row r="537" spans="9:10" ht="15.75" customHeight="1" x14ac:dyDescent="0.25">
      <c r="I537" s="168"/>
      <c r="J537" s="168"/>
    </row>
    <row r="538" spans="9:10" ht="15.75" customHeight="1" x14ac:dyDescent="0.25">
      <c r="I538" s="168"/>
      <c r="J538" s="168"/>
    </row>
    <row r="539" spans="9:10" ht="15.75" customHeight="1" x14ac:dyDescent="0.25">
      <c r="I539" s="168"/>
      <c r="J539" s="168"/>
    </row>
    <row r="540" spans="9:10" ht="15.75" customHeight="1" x14ac:dyDescent="0.25">
      <c r="I540" s="168"/>
      <c r="J540" s="168"/>
    </row>
    <row r="541" spans="9:10" ht="15.75" customHeight="1" x14ac:dyDescent="0.25">
      <c r="I541" s="168"/>
      <c r="J541" s="168"/>
    </row>
    <row r="542" spans="9:10" ht="15.75" customHeight="1" x14ac:dyDescent="0.25">
      <c r="I542" s="168"/>
      <c r="J542" s="168"/>
    </row>
    <row r="543" spans="9:10" ht="15.75" customHeight="1" x14ac:dyDescent="0.25">
      <c r="I543" s="168"/>
      <c r="J543" s="168"/>
    </row>
    <row r="544" spans="9:10" ht="15.75" customHeight="1" x14ac:dyDescent="0.25">
      <c r="I544" s="168"/>
      <c r="J544" s="168"/>
    </row>
    <row r="545" spans="9:10" ht="15.75" customHeight="1" x14ac:dyDescent="0.25">
      <c r="I545" s="168"/>
      <c r="J545" s="168"/>
    </row>
    <row r="546" spans="9:10" ht="15.75" customHeight="1" x14ac:dyDescent="0.25">
      <c r="I546" s="168"/>
      <c r="J546" s="168"/>
    </row>
    <row r="547" spans="9:10" ht="15.75" customHeight="1" x14ac:dyDescent="0.25">
      <c r="I547" s="168"/>
      <c r="J547" s="168"/>
    </row>
    <row r="548" spans="9:10" ht="15.75" customHeight="1" x14ac:dyDescent="0.25">
      <c r="I548" s="168"/>
      <c r="J548" s="168"/>
    </row>
    <row r="549" spans="9:10" ht="15.75" customHeight="1" x14ac:dyDescent="0.25">
      <c r="I549" s="168"/>
      <c r="J549" s="168"/>
    </row>
    <row r="550" spans="9:10" ht="15.75" customHeight="1" x14ac:dyDescent="0.25">
      <c r="I550" s="168"/>
      <c r="J550" s="168"/>
    </row>
    <row r="551" spans="9:10" ht="15.75" customHeight="1" x14ac:dyDescent="0.25">
      <c r="I551" s="168"/>
      <c r="J551" s="168"/>
    </row>
    <row r="552" spans="9:10" ht="15.75" customHeight="1" x14ac:dyDescent="0.25">
      <c r="I552" s="168"/>
      <c r="J552" s="168"/>
    </row>
    <row r="553" spans="9:10" ht="15.75" customHeight="1" x14ac:dyDescent="0.25">
      <c r="I553" s="168"/>
      <c r="J553" s="168"/>
    </row>
    <row r="554" spans="9:10" ht="15.75" customHeight="1" x14ac:dyDescent="0.25">
      <c r="I554" s="168"/>
      <c r="J554" s="168"/>
    </row>
    <row r="555" spans="9:10" ht="15.75" customHeight="1" x14ac:dyDescent="0.25">
      <c r="I555" s="168"/>
      <c r="J555" s="168"/>
    </row>
    <row r="556" spans="9:10" ht="15.75" customHeight="1" x14ac:dyDescent="0.25">
      <c r="I556" s="168"/>
      <c r="J556" s="168"/>
    </row>
    <row r="557" spans="9:10" ht="15.75" customHeight="1" x14ac:dyDescent="0.25">
      <c r="I557" s="168"/>
      <c r="J557" s="168"/>
    </row>
    <row r="558" spans="9:10" ht="15.75" customHeight="1" x14ac:dyDescent="0.25">
      <c r="I558" s="168"/>
      <c r="J558" s="168"/>
    </row>
    <row r="559" spans="9:10" ht="15.75" customHeight="1" x14ac:dyDescent="0.25">
      <c r="I559" s="168"/>
      <c r="J559" s="168"/>
    </row>
    <row r="560" spans="9:10" ht="15.75" customHeight="1" x14ac:dyDescent="0.25">
      <c r="I560" s="168"/>
      <c r="J560" s="168"/>
    </row>
    <row r="561" spans="9:10" ht="15.75" customHeight="1" x14ac:dyDescent="0.25">
      <c r="I561" s="168"/>
      <c r="J561" s="168"/>
    </row>
    <row r="562" spans="9:10" ht="15.75" customHeight="1" x14ac:dyDescent="0.25">
      <c r="I562" s="168"/>
      <c r="J562" s="168"/>
    </row>
    <row r="563" spans="9:10" ht="15.75" customHeight="1" x14ac:dyDescent="0.25">
      <c r="I563" s="168"/>
      <c r="J563" s="168"/>
    </row>
    <row r="564" spans="9:10" ht="15.75" customHeight="1" x14ac:dyDescent="0.25">
      <c r="I564" s="168"/>
      <c r="J564" s="168"/>
    </row>
    <row r="565" spans="9:10" ht="15.75" customHeight="1" x14ac:dyDescent="0.25">
      <c r="I565" s="168"/>
      <c r="J565" s="168"/>
    </row>
    <row r="566" spans="9:10" ht="15.75" customHeight="1" x14ac:dyDescent="0.25">
      <c r="I566" s="168"/>
      <c r="J566" s="168"/>
    </row>
    <row r="567" spans="9:10" ht="15.75" customHeight="1" x14ac:dyDescent="0.25">
      <c r="I567" s="168"/>
      <c r="J567" s="168"/>
    </row>
    <row r="568" spans="9:10" ht="15.75" customHeight="1" x14ac:dyDescent="0.25">
      <c r="I568" s="168"/>
      <c r="J568" s="168"/>
    </row>
    <row r="569" spans="9:10" ht="15.75" customHeight="1" x14ac:dyDescent="0.25">
      <c r="I569" s="168"/>
      <c r="J569" s="168"/>
    </row>
    <row r="570" spans="9:10" ht="15.75" customHeight="1" x14ac:dyDescent="0.25">
      <c r="I570" s="168"/>
      <c r="J570" s="168"/>
    </row>
    <row r="571" spans="9:10" ht="15.75" customHeight="1" x14ac:dyDescent="0.25">
      <c r="I571" s="168"/>
      <c r="J571" s="168"/>
    </row>
    <row r="572" spans="9:10" ht="15.75" customHeight="1" x14ac:dyDescent="0.25">
      <c r="I572" s="168"/>
      <c r="J572" s="168"/>
    </row>
    <row r="573" spans="9:10" ht="15.75" customHeight="1" x14ac:dyDescent="0.25">
      <c r="I573" s="168"/>
      <c r="J573" s="168"/>
    </row>
    <row r="574" spans="9:10" ht="15.75" customHeight="1" x14ac:dyDescent="0.25">
      <c r="I574" s="168"/>
      <c r="J574" s="168"/>
    </row>
    <row r="575" spans="9:10" ht="15.75" customHeight="1" x14ac:dyDescent="0.25">
      <c r="I575" s="168"/>
      <c r="J575" s="168"/>
    </row>
    <row r="576" spans="9:10" ht="15.75" customHeight="1" x14ac:dyDescent="0.25">
      <c r="I576" s="168"/>
      <c r="J576" s="168"/>
    </row>
    <row r="577" spans="9:10" ht="15.75" customHeight="1" x14ac:dyDescent="0.25">
      <c r="I577" s="168"/>
      <c r="J577" s="168"/>
    </row>
    <row r="578" spans="9:10" ht="15.75" customHeight="1" x14ac:dyDescent="0.25">
      <c r="I578" s="168"/>
      <c r="J578" s="168"/>
    </row>
    <row r="579" spans="9:10" ht="15.75" customHeight="1" x14ac:dyDescent="0.25">
      <c r="I579" s="168"/>
      <c r="J579" s="168"/>
    </row>
    <row r="580" spans="9:10" ht="15.75" customHeight="1" x14ac:dyDescent="0.25">
      <c r="I580" s="168"/>
      <c r="J580" s="168"/>
    </row>
    <row r="581" spans="9:10" ht="15.75" customHeight="1" x14ac:dyDescent="0.25">
      <c r="I581" s="168"/>
      <c r="J581" s="168"/>
    </row>
    <row r="582" spans="9:10" ht="15.75" customHeight="1" x14ac:dyDescent="0.25">
      <c r="I582" s="168"/>
      <c r="J582" s="168"/>
    </row>
    <row r="583" spans="9:10" ht="15.75" customHeight="1" x14ac:dyDescent="0.25">
      <c r="I583" s="168"/>
      <c r="J583" s="168"/>
    </row>
    <row r="584" spans="9:10" ht="15.75" customHeight="1" x14ac:dyDescent="0.25">
      <c r="I584" s="168"/>
      <c r="J584" s="168"/>
    </row>
    <row r="585" spans="9:10" ht="15.75" customHeight="1" x14ac:dyDescent="0.25">
      <c r="I585" s="168"/>
      <c r="J585" s="168"/>
    </row>
    <row r="586" spans="9:10" ht="15.75" customHeight="1" x14ac:dyDescent="0.25">
      <c r="I586" s="168"/>
      <c r="J586" s="168"/>
    </row>
    <row r="587" spans="9:10" ht="15.75" customHeight="1" x14ac:dyDescent="0.25">
      <c r="I587" s="168"/>
      <c r="J587" s="168"/>
    </row>
    <row r="588" spans="9:10" ht="15.75" customHeight="1" x14ac:dyDescent="0.25">
      <c r="I588" s="168"/>
      <c r="J588" s="168"/>
    </row>
    <row r="589" spans="9:10" ht="15.75" customHeight="1" x14ac:dyDescent="0.25">
      <c r="I589" s="168"/>
      <c r="J589" s="168"/>
    </row>
    <row r="590" spans="9:10" ht="15.75" customHeight="1" x14ac:dyDescent="0.25">
      <c r="I590" s="168"/>
      <c r="J590" s="168"/>
    </row>
    <row r="591" spans="9:10" ht="15.75" customHeight="1" x14ac:dyDescent="0.25">
      <c r="I591" s="168"/>
      <c r="J591" s="168"/>
    </row>
    <row r="592" spans="9:10" ht="15.75" customHeight="1" x14ac:dyDescent="0.25">
      <c r="I592" s="168"/>
      <c r="J592" s="168"/>
    </row>
    <row r="593" spans="9:10" ht="15.75" customHeight="1" x14ac:dyDescent="0.25">
      <c r="I593" s="168"/>
      <c r="J593" s="168"/>
    </row>
    <row r="594" spans="9:10" ht="15.75" customHeight="1" x14ac:dyDescent="0.25">
      <c r="I594" s="168"/>
      <c r="J594" s="168"/>
    </row>
    <row r="595" spans="9:10" ht="15.75" customHeight="1" x14ac:dyDescent="0.25">
      <c r="I595" s="168"/>
      <c r="J595" s="168"/>
    </row>
    <row r="596" spans="9:10" ht="15.75" customHeight="1" x14ac:dyDescent="0.25">
      <c r="I596" s="168"/>
      <c r="J596" s="168"/>
    </row>
    <row r="597" spans="9:10" ht="15.75" customHeight="1" x14ac:dyDescent="0.25">
      <c r="I597" s="168"/>
      <c r="J597" s="168"/>
    </row>
    <row r="598" spans="9:10" ht="15.75" customHeight="1" x14ac:dyDescent="0.25">
      <c r="I598" s="168"/>
      <c r="J598" s="168"/>
    </row>
    <row r="599" spans="9:10" ht="15.75" customHeight="1" x14ac:dyDescent="0.25">
      <c r="I599" s="168"/>
      <c r="J599" s="168"/>
    </row>
    <row r="600" spans="9:10" ht="15.75" customHeight="1" x14ac:dyDescent="0.25">
      <c r="I600" s="168"/>
      <c r="J600" s="168"/>
    </row>
    <row r="601" spans="9:10" ht="15.75" customHeight="1" x14ac:dyDescent="0.25">
      <c r="I601" s="168"/>
      <c r="J601" s="168"/>
    </row>
    <row r="602" spans="9:10" ht="15.75" customHeight="1" x14ac:dyDescent="0.25">
      <c r="I602" s="168"/>
      <c r="J602" s="168"/>
    </row>
    <row r="603" spans="9:10" ht="15.75" customHeight="1" x14ac:dyDescent="0.25">
      <c r="I603" s="168"/>
      <c r="J603" s="168"/>
    </row>
    <row r="604" spans="9:10" ht="15.75" customHeight="1" x14ac:dyDescent="0.25">
      <c r="I604" s="168"/>
      <c r="J604" s="168"/>
    </row>
    <row r="605" spans="9:10" ht="15.75" customHeight="1" x14ac:dyDescent="0.25">
      <c r="I605" s="168"/>
      <c r="J605" s="168"/>
    </row>
    <row r="606" spans="9:10" ht="15.75" customHeight="1" x14ac:dyDescent="0.25">
      <c r="I606" s="168"/>
      <c r="J606" s="168"/>
    </row>
    <row r="607" spans="9:10" ht="15.75" customHeight="1" x14ac:dyDescent="0.25">
      <c r="I607" s="168"/>
      <c r="J607" s="168"/>
    </row>
    <row r="608" spans="9:10" ht="15.75" customHeight="1" x14ac:dyDescent="0.25">
      <c r="I608" s="168"/>
      <c r="J608" s="168"/>
    </row>
    <row r="609" spans="9:10" ht="15.75" customHeight="1" x14ac:dyDescent="0.25">
      <c r="I609" s="168"/>
      <c r="J609" s="168"/>
    </row>
    <row r="610" spans="9:10" ht="15.75" customHeight="1" x14ac:dyDescent="0.25">
      <c r="I610" s="168"/>
      <c r="J610" s="168"/>
    </row>
    <row r="611" spans="9:10" ht="15.75" customHeight="1" x14ac:dyDescent="0.25">
      <c r="I611" s="168"/>
      <c r="J611" s="168"/>
    </row>
    <row r="612" spans="9:10" ht="15.75" customHeight="1" x14ac:dyDescent="0.25">
      <c r="I612" s="168"/>
      <c r="J612" s="168"/>
    </row>
    <row r="613" spans="9:10" ht="15.75" customHeight="1" x14ac:dyDescent="0.25">
      <c r="I613" s="168"/>
      <c r="J613" s="168"/>
    </row>
    <row r="614" spans="9:10" ht="15.75" customHeight="1" x14ac:dyDescent="0.25">
      <c r="I614" s="168"/>
      <c r="J614" s="168"/>
    </row>
    <row r="615" spans="9:10" ht="15.75" customHeight="1" x14ac:dyDescent="0.25">
      <c r="I615" s="168"/>
      <c r="J615" s="168"/>
    </row>
    <row r="616" spans="9:10" ht="15.75" customHeight="1" x14ac:dyDescent="0.25">
      <c r="I616" s="168"/>
      <c r="J616" s="168"/>
    </row>
    <row r="617" spans="9:10" ht="15.75" customHeight="1" x14ac:dyDescent="0.25">
      <c r="I617" s="168"/>
      <c r="J617" s="168"/>
    </row>
    <row r="618" spans="9:10" ht="15.75" customHeight="1" x14ac:dyDescent="0.25">
      <c r="I618" s="168"/>
      <c r="J618" s="168"/>
    </row>
    <row r="619" spans="9:10" ht="15.75" customHeight="1" x14ac:dyDescent="0.25">
      <c r="I619" s="168"/>
      <c r="J619" s="168"/>
    </row>
    <row r="620" spans="9:10" ht="15.75" customHeight="1" x14ac:dyDescent="0.25">
      <c r="I620" s="168"/>
      <c r="J620" s="168"/>
    </row>
    <row r="621" spans="9:10" ht="15.75" customHeight="1" x14ac:dyDescent="0.25">
      <c r="I621" s="168"/>
      <c r="J621" s="168"/>
    </row>
    <row r="622" spans="9:10" ht="15.75" customHeight="1" x14ac:dyDescent="0.25">
      <c r="I622" s="168"/>
      <c r="J622" s="168"/>
    </row>
    <row r="623" spans="9:10" ht="15.75" customHeight="1" x14ac:dyDescent="0.25">
      <c r="I623" s="168"/>
      <c r="J623" s="168"/>
    </row>
    <row r="624" spans="9:10" ht="15.75" customHeight="1" x14ac:dyDescent="0.25">
      <c r="I624" s="168"/>
      <c r="J624" s="168"/>
    </row>
    <row r="625" spans="9:10" ht="15.75" customHeight="1" x14ac:dyDescent="0.25">
      <c r="I625" s="168"/>
      <c r="J625" s="168"/>
    </row>
    <row r="626" spans="9:10" ht="15.75" customHeight="1" x14ac:dyDescent="0.25">
      <c r="I626" s="168"/>
      <c r="J626" s="168"/>
    </row>
    <row r="627" spans="9:10" ht="15.75" customHeight="1" x14ac:dyDescent="0.25">
      <c r="I627" s="168"/>
      <c r="J627" s="168"/>
    </row>
    <row r="628" spans="9:10" ht="15.75" customHeight="1" x14ac:dyDescent="0.25">
      <c r="I628" s="168"/>
      <c r="J628" s="168"/>
    </row>
    <row r="629" spans="9:10" ht="15.75" customHeight="1" x14ac:dyDescent="0.25">
      <c r="I629" s="168"/>
      <c r="J629" s="168"/>
    </row>
    <row r="630" spans="9:10" ht="15.75" customHeight="1" x14ac:dyDescent="0.25">
      <c r="I630" s="168"/>
      <c r="J630" s="168"/>
    </row>
    <row r="631" spans="9:10" ht="15.75" customHeight="1" x14ac:dyDescent="0.25">
      <c r="I631" s="168"/>
      <c r="J631" s="168"/>
    </row>
    <row r="632" spans="9:10" ht="15.75" customHeight="1" x14ac:dyDescent="0.25">
      <c r="I632" s="168"/>
      <c r="J632" s="168"/>
    </row>
    <row r="633" spans="9:10" ht="15.75" customHeight="1" x14ac:dyDescent="0.25">
      <c r="I633" s="168"/>
      <c r="J633" s="168"/>
    </row>
    <row r="634" spans="9:10" ht="15.75" customHeight="1" x14ac:dyDescent="0.25">
      <c r="I634" s="168"/>
      <c r="J634" s="168"/>
    </row>
    <row r="635" spans="9:10" ht="15.75" customHeight="1" x14ac:dyDescent="0.25">
      <c r="I635" s="168"/>
      <c r="J635" s="168"/>
    </row>
    <row r="636" spans="9:10" ht="15.75" customHeight="1" x14ac:dyDescent="0.25">
      <c r="I636" s="168"/>
      <c r="J636" s="168"/>
    </row>
    <row r="637" spans="9:10" ht="15.75" customHeight="1" x14ac:dyDescent="0.25">
      <c r="I637" s="168"/>
      <c r="J637" s="168"/>
    </row>
    <row r="638" spans="9:10" ht="15.75" customHeight="1" x14ac:dyDescent="0.25">
      <c r="I638" s="168"/>
      <c r="J638" s="168"/>
    </row>
    <row r="639" spans="9:10" ht="15.75" customHeight="1" x14ac:dyDescent="0.25">
      <c r="I639" s="168"/>
      <c r="J639" s="168"/>
    </row>
    <row r="640" spans="9:10" ht="15.75" customHeight="1" x14ac:dyDescent="0.25">
      <c r="I640" s="168"/>
      <c r="J640" s="168"/>
    </row>
    <row r="641" spans="9:10" ht="15.75" customHeight="1" x14ac:dyDescent="0.25">
      <c r="I641" s="168"/>
      <c r="J641" s="168"/>
    </row>
    <row r="642" spans="9:10" ht="15.75" customHeight="1" x14ac:dyDescent="0.25">
      <c r="I642" s="168"/>
      <c r="J642" s="168"/>
    </row>
    <row r="643" spans="9:10" ht="15.75" customHeight="1" x14ac:dyDescent="0.25">
      <c r="I643" s="168"/>
      <c r="J643" s="168"/>
    </row>
    <row r="644" spans="9:10" ht="15.75" customHeight="1" x14ac:dyDescent="0.25">
      <c r="I644" s="168"/>
      <c r="J644" s="168"/>
    </row>
    <row r="645" spans="9:10" ht="15.75" customHeight="1" x14ac:dyDescent="0.25">
      <c r="I645" s="168"/>
      <c r="J645" s="168"/>
    </row>
    <row r="646" spans="9:10" ht="15.75" customHeight="1" x14ac:dyDescent="0.25">
      <c r="I646" s="168"/>
      <c r="J646" s="168"/>
    </row>
    <row r="647" spans="9:10" ht="15.75" customHeight="1" x14ac:dyDescent="0.25">
      <c r="I647" s="168"/>
      <c r="J647" s="168"/>
    </row>
    <row r="648" spans="9:10" ht="15.75" customHeight="1" x14ac:dyDescent="0.25">
      <c r="I648" s="168"/>
      <c r="J648" s="168"/>
    </row>
    <row r="649" spans="9:10" ht="15.75" customHeight="1" x14ac:dyDescent="0.25">
      <c r="I649" s="168"/>
      <c r="J649" s="168"/>
    </row>
    <row r="650" spans="9:10" ht="15.75" customHeight="1" x14ac:dyDescent="0.25">
      <c r="I650" s="168"/>
      <c r="J650" s="168"/>
    </row>
    <row r="651" spans="9:10" ht="15.75" customHeight="1" x14ac:dyDescent="0.25">
      <c r="I651" s="168"/>
      <c r="J651" s="168"/>
    </row>
    <row r="652" spans="9:10" ht="15.75" customHeight="1" x14ac:dyDescent="0.25">
      <c r="I652" s="168"/>
      <c r="J652" s="168"/>
    </row>
    <row r="653" spans="9:10" ht="15.75" customHeight="1" x14ac:dyDescent="0.25">
      <c r="I653" s="168"/>
      <c r="J653" s="168"/>
    </row>
    <row r="654" spans="9:10" ht="15.75" customHeight="1" x14ac:dyDescent="0.25">
      <c r="I654" s="168"/>
      <c r="J654" s="168"/>
    </row>
    <row r="655" spans="9:10" ht="15.75" customHeight="1" x14ac:dyDescent="0.25">
      <c r="I655" s="168"/>
      <c r="J655" s="168"/>
    </row>
    <row r="656" spans="9:10" ht="15.75" customHeight="1" x14ac:dyDescent="0.25">
      <c r="I656" s="168"/>
      <c r="J656" s="168"/>
    </row>
    <row r="657" spans="9:10" ht="15.75" customHeight="1" x14ac:dyDescent="0.25">
      <c r="I657" s="168"/>
      <c r="J657" s="168"/>
    </row>
    <row r="658" spans="9:10" ht="15.75" customHeight="1" x14ac:dyDescent="0.25">
      <c r="I658" s="168"/>
      <c r="J658" s="168"/>
    </row>
    <row r="659" spans="9:10" ht="15.75" customHeight="1" x14ac:dyDescent="0.25">
      <c r="I659" s="168"/>
      <c r="J659" s="168"/>
    </row>
    <row r="660" spans="9:10" ht="15.75" customHeight="1" x14ac:dyDescent="0.25">
      <c r="I660" s="168"/>
      <c r="J660" s="168"/>
    </row>
    <row r="661" spans="9:10" ht="15.75" customHeight="1" x14ac:dyDescent="0.25">
      <c r="I661" s="168"/>
      <c r="J661" s="168"/>
    </row>
    <row r="662" spans="9:10" ht="15.75" customHeight="1" x14ac:dyDescent="0.25">
      <c r="I662" s="168"/>
      <c r="J662" s="168"/>
    </row>
    <row r="663" spans="9:10" ht="15.75" customHeight="1" x14ac:dyDescent="0.25">
      <c r="I663" s="168"/>
      <c r="J663" s="168"/>
    </row>
    <row r="664" spans="9:10" ht="15.75" customHeight="1" x14ac:dyDescent="0.25">
      <c r="I664" s="168"/>
      <c r="J664" s="168"/>
    </row>
    <row r="665" spans="9:10" ht="15.75" customHeight="1" x14ac:dyDescent="0.25">
      <c r="I665" s="168"/>
      <c r="J665" s="168"/>
    </row>
    <row r="666" spans="9:10" ht="15.75" customHeight="1" x14ac:dyDescent="0.25">
      <c r="I666" s="168"/>
      <c r="J666" s="168"/>
    </row>
    <row r="667" spans="9:10" ht="15.75" customHeight="1" x14ac:dyDescent="0.25">
      <c r="I667" s="168"/>
      <c r="J667" s="168"/>
    </row>
    <row r="668" spans="9:10" ht="15.75" customHeight="1" x14ac:dyDescent="0.25">
      <c r="I668" s="168"/>
      <c r="J668" s="168"/>
    </row>
    <row r="669" spans="9:10" ht="15.75" customHeight="1" x14ac:dyDescent="0.25">
      <c r="I669" s="168"/>
      <c r="J669" s="168"/>
    </row>
    <row r="670" spans="9:10" ht="15.75" customHeight="1" x14ac:dyDescent="0.25">
      <c r="I670" s="168"/>
      <c r="J670" s="168"/>
    </row>
    <row r="671" spans="9:10" ht="15.75" customHeight="1" x14ac:dyDescent="0.25">
      <c r="I671" s="168"/>
      <c r="J671" s="168"/>
    </row>
    <row r="672" spans="9:10" ht="15.75" customHeight="1" x14ac:dyDescent="0.25">
      <c r="I672" s="168"/>
      <c r="J672" s="168"/>
    </row>
    <row r="673" spans="9:10" ht="15.75" customHeight="1" x14ac:dyDescent="0.25">
      <c r="I673" s="168"/>
      <c r="J673" s="168"/>
    </row>
    <row r="674" spans="9:10" ht="15.75" customHeight="1" x14ac:dyDescent="0.25">
      <c r="I674" s="168"/>
      <c r="J674" s="168"/>
    </row>
    <row r="675" spans="9:10" ht="15.75" customHeight="1" x14ac:dyDescent="0.25">
      <c r="I675" s="168"/>
      <c r="J675" s="168"/>
    </row>
    <row r="676" spans="9:10" ht="15.75" customHeight="1" x14ac:dyDescent="0.25">
      <c r="I676" s="168"/>
      <c r="J676" s="168"/>
    </row>
    <row r="677" spans="9:10" ht="15.75" customHeight="1" x14ac:dyDescent="0.25">
      <c r="I677" s="168"/>
      <c r="J677" s="168"/>
    </row>
    <row r="678" spans="9:10" ht="15.75" customHeight="1" x14ac:dyDescent="0.25">
      <c r="I678" s="168"/>
      <c r="J678" s="168"/>
    </row>
    <row r="679" spans="9:10" ht="15.75" customHeight="1" x14ac:dyDescent="0.25">
      <c r="I679" s="168"/>
      <c r="J679" s="168"/>
    </row>
    <row r="680" spans="9:10" ht="15.75" customHeight="1" x14ac:dyDescent="0.25">
      <c r="I680" s="168"/>
      <c r="J680" s="168"/>
    </row>
    <row r="681" spans="9:10" ht="15.75" customHeight="1" x14ac:dyDescent="0.25">
      <c r="I681" s="168"/>
      <c r="J681" s="168"/>
    </row>
    <row r="682" spans="9:10" ht="15.75" customHeight="1" x14ac:dyDescent="0.25">
      <c r="I682" s="168"/>
      <c r="J682" s="168"/>
    </row>
    <row r="683" spans="9:10" ht="15.75" customHeight="1" x14ac:dyDescent="0.25">
      <c r="I683" s="168"/>
      <c r="J683" s="168"/>
    </row>
    <row r="684" spans="9:10" ht="15.75" customHeight="1" x14ac:dyDescent="0.25">
      <c r="I684" s="168"/>
      <c r="J684" s="168"/>
    </row>
    <row r="685" spans="9:10" ht="15.75" customHeight="1" x14ac:dyDescent="0.25">
      <c r="I685" s="168"/>
      <c r="J685" s="168"/>
    </row>
    <row r="686" spans="9:10" ht="15.75" customHeight="1" x14ac:dyDescent="0.25">
      <c r="I686" s="168"/>
      <c r="J686" s="168"/>
    </row>
    <row r="687" spans="9:10" ht="15.75" customHeight="1" x14ac:dyDescent="0.25">
      <c r="I687" s="168"/>
      <c r="J687" s="168"/>
    </row>
    <row r="688" spans="9:10" ht="15.75" customHeight="1" x14ac:dyDescent="0.25">
      <c r="I688" s="168"/>
      <c r="J688" s="168"/>
    </row>
    <row r="689" spans="9:10" ht="15.75" customHeight="1" x14ac:dyDescent="0.25">
      <c r="I689" s="168"/>
      <c r="J689" s="168"/>
    </row>
    <row r="690" spans="9:10" ht="15.75" customHeight="1" x14ac:dyDescent="0.25">
      <c r="I690" s="168"/>
      <c r="J690" s="168"/>
    </row>
    <row r="691" spans="9:10" ht="15.75" customHeight="1" x14ac:dyDescent="0.25">
      <c r="I691" s="168"/>
      <c r="J691" s="168"/>
    </row>
    <row r="692" spans="9:10" ht="15.75" customHeight="1" x14ac:dyDescent="0.25">
      <c r="I692" s="168"/>
      <c r="J692" s="168"/>
    </row>
    <row r="693" spans="9:10" ht="15.75" customHeight="1" x14ac:dyDescent="0.25">
      <c r="I693" s="168"/>
      <c r="J693" s="168"/>
    </row>
    <row r="694" spans="9:10" ht="15.75" customHeight="1" x14ac:dyDescent="0.25">
      <c r="I694" s="168"/>
      <c r="J694" s="168"/>
    </row>
    <row r="695" spans="9:10" ht="15.75" customHeight="1" x14ac:dyDescent="0.25">
      <c r="I695" s="168"/>
      <c r="J695" s="168"/>
    </row>
    <row r="696" spans="9:10" ht="15.75" customHeight="1" x14ac:dyDescent="0.25">
      <c r="I696" s="168"/>
      <c r="J696" s="168"/>
    </row>
    <row r="697" spans="9:10" ht="15.75" customHeight="1" x14ac:dyDescent="0.25">
      <c r="I697" s="168"/>
      <c r="J697" s="168"/>
    </row>
    <row r="698" spans="9:10" ht="15.75" customHeight="1" x14ac:dyDescent="0.25">
      <c r="I698" s="168"/>
      <c r="J698" s="168"/>
    </row>
    <row r="699" spans="9:10" ht="15.75" customHeight="1" x14ac:dyDescent="0.25">
      <c r="I699" s="168"/>
      <c r="J699" s="168"/>
    </row>
    <row r="700" spans="9:10" ht="15.75" customHeight="1" x14ac:dyDescent="0.25">
      <c r="I700" s="168"/>
      <c r="J700" s="168"/>
    </row>
    <row r="701" spans="9:10" ht="15.75" customHeight="1" x14ac:dyDescent="0.25">
      <c r="I701" s="168"/>
      <c r="J701" s="168"/>
    </row>
    <row r="702" spans="9:10" ht="15.75" customHeight="1" x14ac:dyDescent="0.25">
      <c r="I702" s="168"/>
      <c r="J702" s="168"/>
    </row>
    <row r="703" spans="9:10" ht="15.75" customHeight="1" x14ac:dyDescent="0.25">
      <c r="I703" s="168"/>
      <c r="J703" s="168"/>
    </row>
    <row r="704" spans="9:10" ht="15.75" customHeight="1" x14ac:dyDescent="0.25">
      <c r="I704" s="168"/>
      <c r="J704" s="168"/>
    </row>
    <row r="705" spans="9:10" ht="15.75" customHeight="1" x14ac:dyDescent="0.25">
      <c r="I705" s="168"/>
      <c r="J705" s="168"/>
    </row>
    <row r="706" spans="9:10" ht="15.75" customHeight="1" x14ac:dyDescent="0.25">
      <c r="I706" s="168"/>
      <c r="J706" s="168"/>
    </row>
    <row r="707" spans="9:10" ht="15.75" customHeight="1" x14ac:dyDescent="0.25">
      <c r="I707" s="168"/>
      <c r="J707" s="168"/>
    </row>
    <row r="708" spans="9:10" ht="15.75" customHeight="1" x14ac:dyDescent="0.25">
      <c r="I708" s="168"/>
      <c r="J708" s="168"/>
    </row>
    <row r="709" spans="9:10" ht="15.75" customHeight="1" x14ac:dyDescent="0.25">
      <c r="I709" s="168"/>
      <c r="J709" s="168"/>
    </row>
    <row r="710" spans="9:10" ht="15.75" customHeight="1" x14ac:dyDescent="0.25">
      <c r="I710" s="168"/>
      <c r="J710" s="168"/>
    </row>
    <row r="711" spans="9:10" ht="15.75" customHeight="1" x14ac:dyDescent="0.25">
      <c r="I711" s="168"/>
      <c r="J711" s="168"/>
    </row>
    <row r="712" spans="9:10" ht="15.75" customHeight="1" x14ac:dyDescent="0.25">
      <c r="I712" s="168"/>
      <c r="J712" s="168"/>
    </row>
    <row r="713" spans="9:10" ht="15.75" customHeight="1" x14ac:dyDescent="0.25">
      <c r="I713" s="168"/>
      <c r="J713" s="168"/>
    </row>
    <row r="714" spans="9:10" ht="15.75" customHeight="1" x14ac:dyDescent="0.25">
      <c r="I714" s="168"/>
      <c r="J714" s="168"/>
    </row>
    <row r="715" spans="9:10" ht="15.75" customHeight="1" x14ac:dyDescent="0.25">
      <c r="I715" s="168"/>
      <c r="J715" s="168"/>
    </row>
    <row r="716" spans="9:10" ht="15.75" customHeight="1" x14ac:dyDescent="0.25">
      <c r="I716" s="168"/>
      <c r="J716" s="168"/>
    </row>
    <row r="717" spans="9:10" ht="15.75" customHeight="1" x14ac:dyDescent="0.25">
      <c r="I717" s="168"/>
      <c r="J717" s="168"/>
    </row>
    <row r="718" spans="9:10" ht="15.75" customHeight="1" x14ac:dyDescent="0.25">
      <c r="I718" s="168"/>
      <c r="J718" s="168"/>
    </row>
    <row r="719" spans="9:10" ht="15.75" customHeight="1" x14ac:dyDescent="0.25">
      <c r="I719" s="168"/>
      <c r="J719" s="168"/>
    </row>
    <row r="720" spans="9:10" ht="15.75" customHeight="1" x14ac:dyDescent="0.25">
      <c r="I720" s="168"/>
      <c r="J720" s="168"/>
    </row>
    <row r="721" spans="9:10" ht="15.75" customHeight="1" x14ac:dyDescent="0.25">
      <c r="I721" s="168"/>
      <c r="J721" s="168"/>
    </row>
    <row r="722" spans="9:10" ht="15.75" customHeight="1" x14ac:dyDescent="0.25">
      <c r="I722" s="168"/>
      <c r="J722" s="168"/>
    </row>
    <row r="723" spans="9:10" ht="15.75" customHeight="1" x14ac:dyDescent="0.25">
      <c r="I723" s="168"/>
      <c r="J723" s="168"/>
    </row>
    <row r="724" spans="9:10" ht="15.75" customHeight="1" x14ac:dyDescent="0.25">
      <c r="I724" s="168"/>
      <c r="J724" s="168"/>
    </row>
    <row r="725" spans="9:10" ht="15.75" customHeight="1" x14ac:dyDescent="0.25">
      <c r="I725" s="168"/>
      <c r="J725" s="168"/>
    </row>
    <row r="726" spans="9:10" ht="15.75" customHeight="1" x14ac:dyDescent="0.25">
      <c r="I726" s="168"/>
      <c r="J726" s="168"/>
    </row>
    <row r="727" spans="9:10" ht="15.75" customHeight="1" x14ac:dyDescent="0.25">
      <c r="I727" s="168"/>
      <c r="J727" s="168"/>
    </row>
    <row r="728" spans="9:10" ht="15.75" customHeight="1" x14ac:dyDescent="0.25">
      <c r="I728" s="168"/>
      <c r="J728" s="168"/>
    </row>
    <row r="729" spans="9:10" ht="15.75" customHeight="1" x14ac:dyDescent="0.25">
      <c r="I729" s="168"/>
      <c r="J729" s="168"/>
    </row>
    <row r="730" spans="9:10" ht="15.75" customHeight="1" x14ac:dyDescent="0.25">
      <c r="I730" s="168"/>
      <c r="J730" s="168"/>
    </row>
    <row r="731" spans="9:10" ht="15.75" customHeight="1" x14ac:dyDescent="0.25">
      <c r="I731" s="168"/>
      <c r="J731" s="168"/>
    </row>
    <row r="732" spans="9:10" ht="15.75" customHeight="1" x14ac:dyDescent="0.25">
      <c r="I732" s="168"/>
      <c r="J732" s="168"/>
    </row>
    <row r="733" spans="9:10" ht="15.75" customHeight="1" x14ac:dyDescent="0.25">
      <c r="I733" s="168"/>
      <c r="J733" s="168"/>
    </row>
    <row r="734" spans="9:10" ht="15.75" customHeight="1" x14ac:dyDescent="0.25">
      <c r="I734" s="168"/>
      <c r="J734" s="168"/>
    </row>
    <row r="735" spans="9:10" ht="15.75" customHeight="1" x14ac:dyDescent="0.25">
      <c r="I735" s="168"/>
      <c r="J735" s="168"/>
    </row>
    <row r="736" spans="9:10" ht="15.75" customHeight="1" x14ac:dyDescent="0.25">
      <c r="I736" s="168"/>
      <c r="J736" s="168"/>
    </row>
    <row r="737" spans="9:10" ht="15.75" customHeight="1" x14ac:dyDescent="0.25">
      <c r="I737" s="168"/>
      <c r="J737" s="168"/>
    </row>
    <row r="738" spans="9:10" ht="15.75" customHeight="1" x14ac:dyDescent="0.25">
      <c r="I738" s="168"/>
      <c r="J738" s="168"/>
    </row>
    <row r="739" spans="9:10" ht="15.75" customHeight="1" x14ac:dyDescent="0.25">
      <c r="I739" s="168"/>
      <c r="J739" s="168"/>
    </row>
    <row r="740" spans="9:10" ht="15.75" customHeight="1" x14ac:dyDescent="0.25">
      <c r="I740" s="168"/>
      <c r="J740" s="168"/>
    </row>
    <row r="741" spans="9:10" ht="15.75" customHeight="1" x14ac:dyDescent="0.25">
      <c r="I741" s="168"/>
      <c r="J741" s="168"/>
    </row>
    <row r="742" spans="9:10" ht="15.75" customHeight="1" x14ac:dyDescent="0.25">
      <c r="I742" s="168"/>
      <c r="J742" s="168"/>
    </row>
    <row r="743" spans="9:10" ht="15.75" customHeight="1" x14ac:dyDescent="0.25">
      <c r="I743" s="168"/>
      <c r="J743" s="168"/>
    </row>
    <row r="744" spans="9:10" ht="15.75" customHeight="1" x14ac:dyDescent="0.25">
      <c r="I744" s="168"/>
      <c r="J744" s="168"/>
    </row>
    <row r="745" spans="9:10" ht="15.75" customHeight="1" x14ac:dyDescent="0.25">
      <c r="I745" s="168"/>
      <c r="J745" s="168"/>
    </row>
    <row r="746" spans="9:10" ht="15.75" customHeight="1" x14ac:dyDescent="0.25">
      <c r="I746" s="168"/>
      <c r="J746" s="168"/>
    </row>
    <row r="747" spans="9:10" ht="15.75" customHeight="1" x14ac:dyDescent="0.25">
      <c r="I747" s="168"/>
      <c r="J747" s="168"/>
    </row>
    <row r="748" spans="9:10" ht="15.75" customHeight="1" x14ac:dyDescent="0.25">
      <c r="I748" s="168"/>
      <c r="J748" s="168"/>
    </row>
    <row r="749" spans="9:10" ht="15.75" customHeight="1" x14ac:dyDescent="0.25">
      <c r="I749" s="168"/>
      <c r="J749" s="168"/>
    </row>
    <row r="750" spans="9:10" ht="15.75" customHeight="1" x14ac:dyDescent="0.25">
      <c r="I750" s="168"/>
      <c r="J750" s="168"/>
    </row>
    <row r="751" spans="9:10" ht="15.75" customHeight="1" x14ac:dyDescent="0.25">
      <c r="I751" s="168"/>
      <c r="J751" s="168"/>
    </row>
    <row r="752" spans="9:10" ht="15.75" customHeight="1" x14ac:dyDescent="0.25">
      <c r="I752" s="168"/>
      <c r="J752" s="168"/>
    </row>
    <row r="753" spans="9:10" ht="15.75" customHeight="1" x14ac:dyDescent="0.25">
      <c r="I753" s="168"/>
      <c r="J753" s="168"/>
    </row>
    <row r="754" spans="9:10" ht="15.75" customHeight="1" x14ac:dyDescent="0.25">
      <c r="I754" s="168"/>
      <c r="J754" s="168"/>
    </row>
    <row r="755" spans="9:10" ht="15.75" customHeight="1" x14ac:dyDescent="0.25">
      <c r="I755" s="168"/>
      <c r="J755" s="168"/>
    </row>
    <row r="756" spans="9:10" ht="15.75" customHeight="1" x14ac:dyDescent="0.25">
      <c r="I756" s="168"/>
      <c r="J756" s="168"/>
    </row>
    <row r="757" spans="9:10" ht="15.75" customHeight="1" x14ac:dyDescent="0.25">
      <c r="I757" s="168"/>
      <c r="J757" s="168"/>
    </row>
    <row r="758" spans="9:10" ht="15.75" customHeight="1" x14ac:dyDescent="0.25">
      <c r="I758" s="168"/>
      <c r="J758" s="168"/>
    </row>
    <row r="759" spans="9:10" ht="15.75" customHeight="1" x14ac:dyDescent="0.25">
      <c r="I759" s="168"/>
      <c r="J759" s="168"/>
    </row>
    <row r="760" spans="9:10" ht="15.75" customHeight="1" x14ac:dyDescent="0.25">
      <c r="I760" s="168"/>
      <c r="J760" s="168"/>
    </row>
    <row r="761" spans="9:10" ht="15.75" customHeight="1" x14ac:dyDescent="0.25">
      <c r="I761" s="168"/>
      <c r="J761" s="168"/>
    </row>
    <row r="762" spans="9:10" ht="15.75" customHeight="1" x14ac:dyDescent="0.25">
      <c r="I762" s="168"/>
      <c r="J762" s="168"/>
    </row>
    <row r="763" spans="9:10" ht="15.75" customHeight="1" x14ac:dyDescent="0.25">
      <c r="I763" s="168"/>
      <c r="J763" s="168"/>
    </row>
    <row r="764" spans="9:10" ht="15.75" customHeight="1" x14ac:dyDescent="0.25">
      <c r="I764" s="168"/>
      <c r="J764" s="168"/>
    </row>
    <row r="765" spans="9:10" ht="15.75" customHeight="1" x14ac:dyDescent="0.25">
      <c r="I765" s="168"/>
      <c r="J765" s="168"/>
    </row>
    <row r="766" spans="9:10" ht="15.75" customHeight="1" x14ac:dyDescent="0.25">
      <c r="I766" s="168"/>
      <c r="J766" s="168"/>
    </row>
    <row r="767" spans="9:10" ht="15.75" customHeight="1" x14ac:dyDescent="0.25">
      <c r="I767" s="168"/>
      <c r="J767" s="168"/>
    </row>
    <row r="768" spans="9:10" ht="15.75" customHeight="1" x14ac:dyDescent="0.25">
      <c r="I768" s="168"/>
      <c r="J768" s="168"/>
    </row>
    <row r="769" spans="9:10" ht="15.75" customHeight="1" x14ac:dyDescent="0.25">
      <c r="I769" s="168"/>
      <c r="J769" s="168"/>
    </row>
    <row r="770" spans="9:10" ht="15.75" customHeight="1" x14ac:dyDescent="0.25">
      <c r="I770" s="168"/>
      <c r="J770" s="168"/>
    </row>
    <row r="771" spans="9:10" ht="15.75" customHeight="1" x14ac:dyDescent="0.25">
      <c r="I771" s="168"/>
      <c r="J771" s="168"/>
    </row>
    <row r="772" spans="9:10" ht="15.75" customHeight="1" x14ac:dyDescent="0.25">
      <c r="I772" s="168"/>
      <c r="J772" s="168"/>
    </row>
    <row r="773" spans="9:10" ht="15.75" customHeight="1" x14ac:dyDescent="0.25">
      <c r="I773" s="168"/>
      <c r="J773" s="168"/>
    </row>
    <row r="774" spans="9:10" ht="15.75" customHeight="1" x14ac:dyDescent="0.25">
      <c r="I774" s="168"/>
      <c r="J774" s="168"/>
    </row>
    <row r="775" spans="9:10" ht="15.75" customHeight="1" x14ac:dyDescent="0.25">
      <c r="I775" s="168"/>
      <c r="J775" s="168"/>
    </row>
    <row r="776" spans="9:10" ht="15.75" customHeight="1" x14ac:dyDescent="0.25">
      <c r="I776" s="168"/>
      <c r="J776" s="168"/>
    </row>
    <row r="777" spans="9:10" ht="15.75" customHeight="1" x14ac:dyDescent="0.25">
      <c r="I777" s="168"/>
      <c r="J777" s="168"/>
    </row>
    <row r="778" spans="9:10" ht="15.75" customHeight="1" x14ac:dyDescent="0.25">
      <c r="I778" s="168"/>
      <c r="J778" s="168"/>
    </row>
    <row r="779" spans="9:10" ht="15.75" customHeight="1" x14ac:dyDescent="0.25">
      <c r="I779" s="168"/>
      <c r="J779" s="168"/>
    </row>
    <row r="780" spans="9:10" ht="15.75" customHeight="1" x14ac:dyDescent="0.25">
      <c r="I780" s="168"/>
      <c r="J780" s="168"/>
    </row>
    <row r="781" spans="9:10" ht="15.75" customHeight="1" x14ac:dyDescent="0.25">
      <c r="I781" s="168"/>
      <c r="J781" s="168"/>
    </row>
    <row r="782" spans="9:10" ht="15.75" customHeight="1" x14ac:dyDescent="0.25">
      <c r="I782" s="168"/>
      <c r="J782" s="168"/>
    </row>
    <row r="783" spans="9:10" ht="15.75" customHeight="1" x14ac:dyDescent="0.25">
      <c r="I783" s="168"/>
      <c r="J783" s="168"/>
    </row>
    <row r="784" spans="9:10" ht="15.75" customHeight="1" x14ac:dyDescent="0.25">
      <c r="I784" s="168"/>
      <c r="J784" s="168"/>
    </row>
    <row r="785" spans="9:10" ht="15.75" customHeight="1" x14ac:dyDescent="0.25">
      <c r="I785" s="168"/>
      <c r="J785" s="168"/>
    </row>
    <row r="786" spans="9:10" ht="15.75" customHeight="1" x14ac:dyDescent="0.25">
      <c r="I786" s="168"/>
      <c r="J786" s="168"/>
    </row>
    <row r="787" spans="9:10" ht="15.75" customHeight="1" x14ac:dyDescent="0.25">
      <c r="I787" s="168"/>
      <c r="J787" s="168"/>
    </row>
    <row r="788" spans="9:10" ht="15.75" customHeight="1" x14ac:dyDescent="0.25">
      <c r="I788" s="168"/>
      <c r="J788" s="168"/>
    </row>
    <row r="789" spans="9:10" ht="15.75" customHeight="1" x14ac:dyDescent="0.25">
      <c r="I789" s="168"/>
      <c r="J789" s="168"/>
    </row>
    <row r="790" spans="9:10" ht="15.75" customHeight="1" x14ac:dyDescent="0.25">
      <c r="I790" s="168"/>
      <c r="J790" s="168"/>
    </row>
    <row r="791" spans="9:10" ht="15.75" customHeight="1" x14ac:dyDescent="0.25">
      <c r="I791" s="168"/>
      <c r="J791" s="168"/>
    </row>
    <row r="792" spans="9:10" ht="15.75" customHeight="1" x14ac:dyDescent="0.25">
      <c r="I792" s="168"/>
      <c r="J792" s="168"/>
    </row>
    <row r="793" spans="9:10" ht="15.75" customHeight="1" x14ac:dyDescent="0.25">
      <c r="I793" s="168"/>
      <c r="J793" s="168"/>
    </row>
    <row r="794" spans="9:10" ht="15.75" customHeight="1" x14ac:dyDescent="0.25">
      <c r="I794" s="168"/>
      <c r="J794" s="168"/>
    </row>
    <row r="795" spans="9:10" ht="15.75" customHeight="1" x14ac:dyDescent="0.25">
      <c r="I795" s="168"/>
      <c r="J795" s="168"/>
    </row>
    <row r="796" spans="9:10" ht="15.75" customHeight="1" x14ac:dyDescent="0.25">
      <c r="I796" s="168"/>
      <c r="J796" s="168"/>
    </row>
    <row r="797" spans="9:10" ht="15.75" customHeight="1" x14ac:dyDescent="0.25">
      <c r="I797" s="168"/>
      <c r="J797" s="168"/>
    </row>
    <row r="798" spans="9:10" ht="15.75" customHeight="1" x14ac:dyDescent="0.25">
      <c r="I798" s="168"/>
      <c r="J798" s="168"/>
    </row>
    <row r="799" spans="9:10" ht="15.75" customHeight="1" x14ac:dyDescent="0.25">
      <c r="I799" s="168"/>
      <c r="J799" s="168"/>
    </row>
    <row r="800" spans="9:10" ht="15.75" customHeight="1" x14ac:dyDescent="0.25">
      <c r="I800" s="168"/>
      <c r="J800" s="168"/>
    </row>
    <row r="801" spans="9:10" ht="15.75" customHeight="1" x14ac:dyDescent="0.25">
      <c r="I801" s="168"/>
      <c r="J801" s="168"/>
    </row>
    <row r="802" spans="9:10" ht="15.75" customHeight="1" x14ac:dyDescent="0.25">
      <c r="I802" s="168"/>
      <c r="J802" s="168"/>
    </row>
    <row r="803" spans="9:10" ht="15.75" customHeight="1" x14ac:dyDescent="0.25">
      <c r="I803" s="168"/>
      <c r="J803" s="168"/>
    </row>
    <row r="804" spans="9:10" ht="15.75" customHeight="1" x14ac:dyDescent="0.25">
      <c r="I804" s="168"/>
      <c r="J804" s="168"/>
    </row>
    <row r="805" spans="9:10" ht="15.75" customHeight="1" x14ac:dyDescent="0.25">
      <c r="I805" s="168"/>
      <c r="J805" s="168"/>
    </row>
    <row r="806" spans="9:10" ht="15.75" customHeight="1" x14ac:dyDescent="0.25">
      <c r="I806" s="168"/>
      <c r="J806" s="168"/>
    </row>
    <row r="807" spans="9:10" ht="15.75" customHeight="1" x14ac:dyDescent="0.25">
      <c r="I807" s="168"/>
      <c r="J807" s="168"/>
    </row>
    <row r="808" spans="9:10" ht="15.75" customHeight="1" x14ac:dyDescent="0.25">
      <c r="I808" s="168"/>
      <c r="J808" s="168"/>
    </row>
    <row r="809" spans="9:10" ht="15.75" customHeight="1" x14ac:dyDescent="0.25">
      <c r="I809" s="168"/>
      <c r="J809" s="168"/>
    </row>
    <row r="810" spans="9:10" ht="15.75" customHeight="1" x14ac:dyDescent="0.25">
      <c r="I810" s="168"/>
      <c r="J810" s="168"/>
    </row>
    <row r="811" spans="9:10" ht="15.75" customHeight="1" x14ac:dyDescent="0.25">
      <c r="I811" s="168"/>
      <c r="J811" s="168"/>
    </row>
    <row r="812" spans="9:10" ht="15.75" customHeight="1" x14ac:dyDescent="0.25">
      <c r="I812" s="168"/>
      <c r="J812" s="168"/>
    </row>
    <row r="813" spans="9:10" ht="15.75" customHeight="1" x14ac:dyDescent="0.25">
      <c r="I813" s="168"/>
      <c r="J813" s="168"/>
    </row>
    <row r="814" spans="9:10" ht="15.75" customHeight="1" x14ac:dyDescent="0.25">
      <c r="I814" s="168"/>
      <c r="J814" s="168"/>
    </row>
    <row r="815" spans="9:10" ht="15.75" customHeight="1" x14ac:dyDescent="0.25">
      <c r="I815" s="168"/>
      <c r="J815" s="168"/>
    </row>
    <row r="816" spans="9:10" ht="15.75" customHeight="1" x14ac:dyDescent="0.25">
      <c r="I816" s="168"/>
      <c r="J816" s="168"/>
    </row>
    <row r="817" spans="9:10" ht="15.75" customHeight="1" x14ac:dyDescent="0.25">
      <c r="I817" s="168"/>
      <c r="J817" s="168"/>
    </row>
    <row r="818" spans="9:10" ht="15.75" customHeight="1" x14ac:dyDescent="0.25">
      <c r="I818" s="168"/>
      <c r="J818" s="168"/>
    </row>
    <row r="819" spans="9:10" ht="15.75" customHeight="1" x14ac:dyDescent="0.25">
      <c r="I819" s="168"/>
      <c r="J819" s="168"/>
    </row>
    <row r="820" spans="9:10" ht="15.75" customHeight="1" x14ac:dyDescent="0.25">
      <c r="I820" s="168"/>
      <c r="J820" s="168"/>
    </row>
    <row r="821" spans="9:10" ht="15.75" customHeight="1" x14ac:dyDescent="0.25">
      <c r="I821" s="168"/>
      <c r="J821" s="168"/>
    </row>
    <row r="822" spans="9:10" ht="15.75" customHeight="1" x14ac:dyDescent="0.25">
      <c r="I822" s="168"/>
      <c r="J822" s="168"/>
    </row>
    <row r="823" spans="9:10" ht="15.75" customHeight="1" x14ac:dyDescent="0.25">
      <c r="I823" s="168"/>
      <c r="J823" s="168"/>
    </row>
    <row r="824" spans="9:10" ht="15.75" customHeight="1" x14ac:dyDescent="0.25">
      <c r="I824" s="168"/>
      <c r="J824" s="168"/>
    </row>
    <row r="825" spans="9:10" ht="15.75" customHeight="1" x14ac:dyDescent="0.25">
      <c r="I825" s="168"/>
      <c r="J825" s="168"/>
    </row>
    <row r="826" spans="9:10" ht="15.75" customHeight="1" x14ac:dyDescent="0.25">
      <c r="I826" s="168"/>
      <c r="J826" s="168"/>
    </row>
    <row r="827" spans="9:10" ht="15.75" customHeight="1" x14ac:dyDescent="0.25">
      <c r="I827" s="168"/>
      <c r="J827" s="168"/>
    </row>
    <row r="828" spans="9:10" ht="15.75" customHeight="1" x14ac:dyDescent="0.25">
      <c r="I828" s="168"/>
      <c r="J828" s="168"/>
    </row>
    <row r="829" spans="9:10" ht="15.75" customHeight="1" x14ac:dyDescent="0.25">
      <c r="I829" s="168"/>
      <c r="J829" s="168"/>
    </row>
    <row r="830" spans="9:10" ht="15.75" customHeight="1" x14ac:dyDescent="0.25">
      <c r="I830" s="168"/>
      <c r="J830" s="168"/>
    </row>
    <row r="831" spans="9:10" ht="15.75" customHeight="1" x14ac:dyDescent="0.25">
      <c r="I831" s="168"/>
      <c r="J831" s="168"/>
    </row>
    <row r="832" spans="9:10" ht="15.75" customHeight="1" x14ac:dyDescent="0.25">
      <c r="I832" s="168"/>
      <c r="J832" s="168"/>
    </row>
    <row r="833" spans="9:10" ht="15.75" customHeight="1" x14ac:dyDescent="0.25">
      <c r="I833" s="168"/>
      <c r="J833" s="168"/>
    </row>
    <row r="834" spans="9:10" ht="15.75" customHeight="1" x14ac:dyDescent="0.25">
      <c r="I834" s="168"/>
      <c r="J834" s="168"/>
    </row>
    <row r="835" spans="9:10" ht="15.75" customHeight="1" x14ac:dyDescent="0.25">
      <c r="I835" s="168"/>
      <c r="J835" s="168"/>
    </row>
    <row r="836" spans="9:10" ht="15.75" customHeight="1" x14ac:dyDescent="0.25">
      <c r="I836" s="168"/>
      <c r="J836" s="168"/>
    </row>
    <row r="837" spans="9:10" ht="15.75" customHeight="1" x14ac:dyDescent="0.25">
      <c r="I837" s="168"/>
      <c r="J837" s="168"/>
    </row>
    <row r="838" spans="9:10" ht="15.75" customHeight="1" x14ac:dyDescent="0.25">
      <c r="I838" s="168"/>
      <c r="J838" s="168"/>
    </row>
    <row r="839" spans="9:10" ht="15.75" customHeight="1" x14ac:dyDescent="0.25">
      <c r="I839" s="168"/>
      <c r="J839" s="168"/>
    </row>
    <row r="840" spans="9:10" ht="15.75" customHeight="1" x14ac:dyDescent="0.25">
      <c r="I840" s="168"/>
      <c r="J840" s="168"/>
    </row>
    <row r="841" spans="9:10" ht="15.75" customHeight="1" x14ac:dyDescent="0.25">
      <c r="I841" s="168"/>
      <c r="J841" s="168"/>
    </row>
    <row r="842" spans="9:10" ht="15.75" customHeight="1" x14ac:dyDescent="0.25">
      <c r="I842" s="168"/>
      <c r="J842" s="168"/>
    </row>
    <row r="843" spans="9:10" ht="15.75" customHeight="1" x14ac:dyDescent="0.25">
      <c r="I843" s="168"/>
      <c r="J843" s="168"/>
    </row>
    <row r="844" spans="9:10" ht="15.75" customHeight="1" x14ac:dyDescent="0.25">
      <c r="I844" s="168"/>
      <c r="J844" s="168"/>
    </row>
    <row r="845" spans="9:10" ht="15.75" customHeight="1" x14ac:dyDescent="0.25">
      <c r="I845" s="168"/>
      <c r="J845" s="168"/>
    </row>
    <row r="846" spans="9:10" ht="15.75" customHeight="1" x14ac:dyDescent="0.25">
      <c r="I846" s="168"/>
      <c r="J846" s="168"/>
    </row>
    <row r="847" spans="9:10" ht="15.75" customHeight="1" x14ac:dyDescent="0.25">
      <c r="I847" s="168"/>
      <c r="J847" s="168"/>
    </row>
    <row r="848" spans="9:10" ht="15.75" customHeight="1" x14ac:dyDescent="0.25">
      <c r="I848" s="168"/>
      <c r="J848" s="168"/>
    </row>
    <row r="849" spans="9:10" ht="15.75" customHeight="1" x14ac:dyDescent="0.25">
      <c r="I849" s="168"/>
      <c r="J849" s="168"/>
    </row>
    <row r="850" spans="9:10" ht="15.75" customHeight="1" x14ac:dyDescent="0.25">
      <c r="I850" s="168"/>
      <c r="J850" s="168"/>
    </row>
    <row r="851" spans="9:10" ht="15.75" customHeight="1" x14ac:dyDescent="0.25">
      <c r="I851" s="168"/>
      <c r="J851" s="168"/>
    </row>
    <row r="852" spans="9:10" ht="15.75" customHeight="1" x14ac:dyDescent="0.25">
      <c r="I852" s="168"/>
      <c r="J852" s="168"/>
    </row>
    <row r="853" spans="9:10" ht="15.75" customHeight="1" x14ac:dyDescent="0.25">
      <c r="I853" s="168"/>
      <c r="J853" s="168"/>
    </row>
    <row r="854" spans="9:10" ht="15.75" customHeight="1" x14ac:dyDescent="0.25">
      <c r="I854" s="168"/>
      <c r="J854" s="168"/>
    </row>
    <row r="855" spans="9:10" ht="15.75" customHeight="1" x14ac:dyDescent="0.25">
      <c r="I855" s="168"/>
      <c r="J855" s="168"/>
    </row>
    <row r="856" spans="9:10" ht="15.75" customHeight="1" x14ac:dyDescent="0.25">
      <c r="I856" s="168"/>
      <c r="J856" s="168"/>
    </row>
    <row r="857" spans="9:10" ht="15.75" customHeight="1" x14ac:dyDescent="0.25">
      <c r="I857" s="168"/>
      <c r="J857" s="168"/>
    </row>
    <row r="858" spans="9:10" ht="15.75" customHeight="1" x14ac:dyDescent="0.25">
      <c r="I858" s="168"/>
      <c r="J858" s="168"/>
    </row>
    <row r="859" spans="9:10" ht="15.75" customHeight="1" x14ac:dyDescent="0.25">
      <c r="I859" s="168"/>
      <c r="J859" s="168"/>
    </row>
    <row r="860" spans="9:10" ht="15.75" customHeight="1" x14ac:dyDescent="0.25">
      <c r="I860" s="168"/>
      <c r="J860" s="168"/>
    </row>
    <row r="861" spans="9:10" ht="15.75" customHeight="1" x14ac:dyDescent="0.25">
      <c r="I861" s="168"/>
      <c r="J861" s="168"/>
    </row>
    <row r="862" spans="9:10" ht="15.75" customHeight="1" x14ac:dyDescent="0.25">
      <c r="I862" s="168"/>
      <c r="J862" s="168"/>
    </row>
    <row r="863" spans="9:10" ht="15.75" customHeight="1" x14ac:dyDescent="0.25">
      <c r="I863" s="168"/>
      <c r="J863" s="168"/>
    </row>
    <row r="864" spans="9:10" ht="15.75" customHeight="1" x14ac:dyDescent="0.25">
      <c r="I864" s="168"/>
      <c r="J864" s="168"/>
    </row>
    <row r="865" spans="9:10" ht="15.75" customHeight="1" x14ac:dyDescent="0.25">
      <c r="I865" s="168"/>
      <c r="J865" s="168"/>
    </row>
    <row r="866" spans="9:10" ht="15.75" customHeight="1" x14ac:dyDescent="0.25">
      <c r="I866" s="168"/>
      <c r="J866" s="168"/>
    </row>
    <row r="867" spans="9:10" ht="15.75" customHeight="1" x14ac:dyDescent="0.25">
      <c r="I867" s="168"/>
      <c r="J867" s="168"/>
    </row>
    <row r="868" spans="9:10" ht="15.75" customHeight="1" x14ac:dyDescent="0.25">
      <c r="I868" s="168"/>
      <c r="J868" s="168"/>
    </row>
    <row r="869" spans="9:10" ht="15.75" customHeight="1" x14ac:dyDescent="0.25">
      <c r="I869" s="168"/>
      <c r="J869" s="168"/>
    </row>
    <row r="870" spans="9:10" ht="15.75" customHeight="1" x14ac:dyDescent="0.25">
      <c r="I870" s="168"/>
      <c r="J870" s="168"/>
    </row>
    <row r="871" spans="9:10" ht="15.75" customHeight="1" x14ac:dyDescent="0.25">
      <c r="I871" s="168"/>
      <c r="J871" s="168"/>
    </row>
    <row r="872" spans="9:10" ht="15.75" customHeight="1" x14ac:dyDescent="0.25">
      <c r="I872" s="168"/>
      <c r="J872" s="168"/>
    </row>
    <row r="873" spans="9:10" ht="15.75" customHeight="1" x14ac:dyDescent="0.25">
      <c r="I873" s="168"/>
      <c r="J873" s="168"/>
    </row>
    <row r="874" spans="9:10" ht="15.75" customHeight="1" x14ac:dyDescent="0.25">
      <c r="I874" s="168"/>
      <c r="J874" s="168"/>
    </row>
    <row r="875" spans="9:10" ht="15.75" customHeight="1" x14ac:dyDescent="0.25">
      <c r="I875" s="168"/>
      <c r="J875" s="168"/>
    </row>
    <row r="876" spans="9:10" ht="15.75" customHeight="1" x14ac:dyDescent="0.25">
      <c r="I876" s="168"/>
      <c r="J876" s="168"/>
    </row>
    <row r="877" spans="9:10" ht="15.75" customHeight="1" x14ac:dyDescent="0.25">
      <c r="I877" s="168"/>
      <c r="J877" s="168"/>
    </row>
    <row r="878" spans="9:10" ht="15.75" customHeight="1" x14ac:dyDescent="0.25">
      <c r="I878" s="168"/>
      <c r="J878" s="168"/>
    </row>
    <row r="879" spans="9:10" ht="15.75" customHeight="1" x14ac:dyDescent="0.25">
      <c r="I879" s="168"/>
      <c r="J879" s="168"/>
    </row>
    <row r="880" spans="9:10" ht="15.75" customHeight="1" x14ac:dyDescent="0.25">
      <c r="I880" s="168"/>
      <c r="J880" s="168"/>
    </row>
    <row r="881" spans="9:10" ht="15.75" customHeight="1" x14ac:dyDescent="0.25">
      <c r="I881" s="168"/>
      <c r="J881" s="168"/>
    </row>
    <row r="882" spans="9:10" ht="15.75" customHeight="1" x14ac:dyDescent="0.25">
      <c r="I882" s="168"/>
      <c r="J882" s="168"/>
    </row>
    <row r="883" spans="9:10" ht="15.75" customHeight="1" x14ac:dyDescent="0.25">
      <c r="I883" s="168"/>
      <c r="J883" s="168"/>
    </row>
    <row r="884" spans="9:10" ht="15.75" customHeight="1" x14ac:dyDescent="0.25">
      <c r="I884" s="168"/>
      <c r="J884" s="168"/>
    </row>
    <row r="885" spans="9:10" ht="15.75" customHeight="1" x14ac:dyDescent="0.25">
      <c r="I885" s="168"/>
      <c r="J885" s="168"/>
    </row>
    <row r="886" spans="9:10" ht="15.75" customHeight="1" x14ac:dyDescent="0.25">
      <c r="I886" s="168"/>
      <c r="J886" s="168"/>
    </row>
    <row r="887" spans="9:10" ht="15.75" customHeight="1" x14ac:dyDescent="0.25">
      <c r="I887" s="168"/>
      <c r="J887" s="168"/>
    </row>
    <row r="888" spans="9:10" ht="15.75" customHeight="1" x14ac:dyDescent="0.25">
      <c r="I888" s="168"/>
      <c r="J888" s="168"/>
    </row>
    <row r="889" spans="9:10" ht="15.75" customHeight="1" x14ac:dyDescent="0.25">
      <c r="I889" s="168"/>
      <c r="J889" s="168"/>
    </row>
    <row r="890" spans="9:10" ht="15.75" customHeight="1" x14ac:dyDescent="0.25">
      <c r="I890" s="168"/>
      <c r="J890" s="168"/>
    </row>
    <row r="891" spans="9:10" ht="15.75" customHeight="1" x14ac:dyDescent="0.25">
      <c r="I891" s="168"/>
      <c r="J891" s="168"/>
    </row>
    <row r="892" spans="9:10" ht="15.75" customHeight="1" x14ac:dyDescent="0.25">
      <c r="I892" s="168"/>
      <c r="J892" s="168"/>
    </row>
    <row r="893" spans="9:10" ht="15.75" customHeight="1" x14ac:dyDescent="0.25">
      <c r="I893" s="168"/>
      <c r="J893" s="168"/>
    </row>
    <row r="894" spans="9:10" ht="15.75" customHeight="1" x14ac:dyDescent="0.25">
      <c r="I894" s="168"/>
      <c r="J894" s="168"/>
    </row>
    <row r="895" spans="9:10" ht="15.75" customHeight="1" x14ac:dyDescent="0.25">
      <c r="I895" s="168"/>
      <c r="J895" s="168"/>
    </row>
    <row r="896" spans="9:10" ht="15.75" customHeight="1" x14ac:dyDescent="0.25">
      <c r="I896" s="168"/>
      <c r="J896" s="168"/>
    </row>
    <row r="897" spans="9:10" ht="15.75" customHeight="1" x14ac:dyDescent="0.25">
      <c r="I897" s="168"/>
      <c r="J897" s="168"/>
    </row>
    <row r="898" spans="9:10" ht="15.75" customHeight="1" x14ac:dyDescent="0.25">
      <c r="I898" s="168"/>
      <c r="J898" s="168"/>
    </row>
    <row r="899" spans="9:10" ht="15.75" customHeight="1" x14ac:dyDescent="0.25">
      <c r="I899" s="168"/>
      <c r="J899" s="168"/>
    </row>
    <row r="900" spans="9:10" ht="15.75" customHeight="1" x14ac:dyDescent="0.25">
      <c r="I900" s="168"/>
      <c r="J900" s="168"/>
    </row>
    <row r="901" spans="9:10" ht="15.75" customHeight="1" x14ac:dyDescent="0.25">
      <c r="I901" s="168"/>
      <c r="J901" s="168"/>
    </row>
    <row r="902" spans="9:10" ht="15.75" customHeight="1" x14ac:dyDescent="0.25">
      <c r="I902" s="168"/>
      <c r="J902" s="168"/>
    </row>
    <row r="903" spans="9:10" ht="15.75" customHeight="1" x14ac:dyDescent="0.25">
      <c r="I903" s="168"/>
      <c r="J903" s="168"/>
    </row>
    <row r="904" spans="9:10" ht="15.75" customHeight="1" x14ac:dyDescent="0.25">
      <c r="I904" s="168"/>
      <c r="J904" s="168"/>
    </row>
    <row r="905" spans="9:10" ht="15.75" customHeight="1" x14ac:dyDescent="0.25">
      <c r="I905" s="168"/>
      <c r="J905" s="168"/>
    </row>
    <row r="906" spans="9:10" ht="15.75" customHeight="1" x14ac:dyDescent="0.25">
      <c r="I906" s="168"/>
      <c r="J906" s="168"/>
    </row>
    <row r="907" spans="9:10" ht="15.75" customHeight="1" x14ac:dyDescent="0.25">
      <c r="I907" s="168"/>
      <c r="J907" s="168"/>
    </row>
    <row r="908" spans="9:10" ht="15.75" customHeight="1" x14ac:dyDescent="0.25">
      <c r="I908" s="168"/>
      <c r="J908" s="168"/>
    </row>
    <row r="909" spans="9:10" ht="15.75" customHeight="1" x14ac:dyDescent="0.25">
      <c r="I909" s="168"/>
      <c r="J909" s="168"/>
    </row>
    <row r="910" spans="9:10" ht="15.75" customHeight="1" x14ac:dyDescent="0.25">
      <c r="I910" s="168"/>
      <c r="J910" s="168"/>
    </row>
    <row r="911" spans="9:10" ht="15.75" customHeight="1" x14ac:dyDescent="0.25">
      <c r="I911" s="168"/>
      <c r="J911" s="168"/>
    </row>
    <row r="912" spans="9:10" ht="15.75" customHeight="1" x14ac:dyDescent="0.25">
      <c r="I912" s="168"/>
      <c r="J912" s="168"/>
    </row>
    <row r="913" spans="9:10" ht="15.75" customHeight="1" x14ac:dyDescent="0.25">
      <c r="I913" s="168"/>
      <c r="J913" s="168"/>
    </row>
    <row r="914" spans="9:10" ht="15.75" customHeight="1" x14ac:dyDescent="0.25">
      <c r="I914" s="168"/>
      <c r="J914" s="168"/>
    </row>
    <row r="915" spans="9:10" ht="15.75" customHeight="1" x14ac:dyDescent="0.25">
      <c r="I915" s="168"/>
      <c r="J915" s="168"/>
    </row>
    <row r="916" spans="9:10" ht="15.75" customHeight="1" x14ac:dyDescent="0.25">
      <c r="I916" s="168"/>
      <c r="J916" s="168"/>
    </row>
    <row r="917" spans="9:10" ht="15.75" customHeight="1" x14ac:dyDescent="0.25">
      <c r="I917" s="168"/>
      <c r="J917" s="168"/>
    </row>
    <row r="918" spans="9:10" ht="15.75" customHeight="1" x14ac:dyDescent="0.25">
      <c r="I918" s="168"/>
      <c r="J918" s="168"/>
    </row>
    <row r="919" spans="9:10" ht="15.75" customHeight="1" x14ac:dyDescent="0.25">
      <c r="I919" s="168"/>
      <c r="J919" s="168"/>
    </row>
    <row r="920" spans="9:10" ht="15.75" customHeight="1" x14ac:dyDescent="0.25">
      <c r="I920" s="168"/>
      <c r="J920" s="168"/>
    </row>
    <row r="921" spans="9:10" ht="15.75" customHeight="1" x14ac:dyDescent="0.25">
      <c r="I921" s="168"/>
      <c r="J921" s="168"/>
    </row>
    <row r="922" spans="9:10" ht="15.75" customHeight="1" x14ac:dyDescent="0.25">
      <c r="I922" s="168"/>
      <c r="J922" s="168"/>
    </row>
    <row r="923" spans="9:10" ht="15.75" customHeight="1" x14ac:dyDescent="0.25">
      <c r="I923" s="168"/>
      <c r="J923" s="168"/>
    </row>
    <row r="924" spans="9:10" ht="15.75" customHeight="1" x14ac:dyDescent="0.25">
      <c r="I924" s="168"/>
      <c r="J924" s="168"/>
    </row>
    <row r="925" spans="9:10" ht="15.75" customHeight="1" x14ac:dyDescent="0.25">
      <c r="I925" s="168"/>
      <c r="J925" s="168"/>
    </row>
    <row r="926" spans="9:10" ht="15.75" customHeight="1" x14ac:dyDescent="0.25">
      <c r="I926" s="168"/>
      <c r="J926" s="168"/>
    </row>
    <row r="927" spans="9:10" ht="15.75" customHeight="1" x14ac:dyDescent="0.25">
      <c r="I927" s="168"/>
      <c r="J927" s="168"/>
    </row>
    <row r="928" spans="9:10" ht="15.75" customHeight="1" x14ac:dyDescent="0.25">
      <c r="I928" s="168"/>
      <c r="J928" s="168"/>
    </row>
    <row r="929" spans="9:10" ht="15.75" customHeight="1" x14ac:dyDescent="0.25">
      <c r="I929" s="168"/>
      <c r="J929" s="168"/>
    </row>
    <row r="930" spans="9:10" ht="15.75" customHeight="1" x14ac:dyDescent="0.25">
      <c r="I930" s="168"/>
      <c r="J930" s="168"/>
    </row>
    <row r="931" spans="9:10" ht="15.75" customHeight="1" x14ac:dyDescent="0.25">
      <c r="I931" s="168"/>
      <c r="J931" s="168"/>
    </row>
    <row r="932" spans="9:10" ht="15.75" customHeight="1" x14ac:dyDescent="0.25">
      <c r="I932" s="168"/>
      <c r="J932" s="168"/>
    </row>
    <row r="933" spans="9:10" ht="15.75" customHeight="1" x14ac:dyDescent="0.25">
      <c r="I933" s="168"/>
      <c r="J933" s="168"/>
    </row>
    <row r="934" spans="9:10" ht="15.75" customHeight="1" x14ac:dyDescent="0.25">
      <c r="I934" s="168"/>
      <c r="J934" s="168"/>
    </row>
    <row r="935" spans="9:10" ht="15.75" customHeight="1" x14ac:dyDescent="0.25">
      <c r="I935" s="168"/>
      <c r="J935" s="168"/>
    </row>
    <row r="936" spans="9:10" ht="15.75" customHeight="1" x14ac:dyDescent="0.25">
      <c r="I936" s="168"/>
      <c r="J936" s="168"/>
    </row>
    <row r="937" spans="9:10" ht="15.75" customHeight="1" x14ac:dyDescent="0.25">
      <c r="I937" s="168"/>
      <c r="J937" s="168"/>
    </row>
    <row r="938" spans="9:10" ht="15.75" customHeight="1" x14ac:dyDescent="0.25">
      <c r="I938" s="168"/>
      <c r="J938" s="168"/>
    </row>
    <row r="939" spans="9:10" ht="15.75" customHeight="1" x14ac:dyDescent="0.25">
      <c r="I939" s="168"/>
      <c r="J939" s="168"/>
    </row>
    <row r="940" spans="9:10" ht="15.75" customHeight="1" x14ac:dyDescent="0.25">
      <c r="I940" s="168"/>
      <c r="J940" s="168"/>
    </row>
    <row r="941" spans="9:10" ht="15.75" customHeight="1" x14ac:dyDescent="0.25">
      <c r="I941" s="168"/>
      <c r="J941" s="168"/>
    </row>
    <row r="942" spans="9:10" ht="15.75" customHeight="1" x14ac:dyDescent="0.25">
      <c r="I942" s="168"/>
      <c r="J942" s="168"/>
    </row>
    <row r="943" spans="9:10" ht="15.75" customHeight="1" x14ac:dyDescent="0.25">
      <c r="I943" s="168"/>
      <c r="J943" s="168"/>
    </row>
    <row r="944" spans="9:10" ht="15.75" customHeight="1" x14ac:dyDescent="0.25">
      <c r="I944" s="168"/>
      <c r="J944" s="168"/>
    </row>
    <row r="945" spans="9:10" ht="15.75" customHeight="1" x14ac:dyDescent="0.25">
      <c r="I945" s="168"/>
      <c r="J945" s="168"/>
    </row>
    <row r="946" spans="9:10" ht="15.75" customHeight="1" x14ac:dyDescent="0.25">
      <c r="I946" s="168"/>
      <c r="J946" s="168"/>
    </row>
    <row r="947" spans="9:10" ht="15.75" customHeight="1" x14ac:dyDescent="0.25">
      <c r="I947" s="168"/>
      <c r="J947" s="168"/>
    </row>
    <row r="948" spans="9:10" ht="15.75" customHeight="1" x14ac:dyDescent="0.25">
      <c r="I948" s="168"/>
      <c r="J948" s="168"/>
    </row>
    <row r="949" spans="9:10" ht="15.75" customHeight="1" x14ac:dyDescent="0.25">
      <c r="I949" s="168"/>
      <c r="J949" s="168"/>
    </row>
    <row r="950" spans="9:10" ht="15.75" customHeight="1" x14ac:dyDescent="0.25">
      <c r="I950" s="168"/>
      <c r="J950" s="168"/>
    </row>
    <row r="951" spans="9:10" ht="15.75" customHeight="1" x14ac:dyDescent="0.25">
      <c r="I951" s="168"/>
      <c r="J951" s="168"/>
    </row>
    <row r="952" spans="9:10" ht="15.75" customHeight="1" x14ac:dyDescent="0.25">
      <c r="I952" s="168"/>
      <c r="J952" s="168"/>
    </row>
    <row r="953" spans="9:10" ht="15.75" customHeight="1" x14ac:dyDescent="0.25">
      <c r="I953" s="168"/>
      <c r="J953" s="168"/>
    </row>
    <row r="954" spans="9:10" ht="15.75" customHeight="1" x14ac:dyDescent="0.25">
      <c r="I954" s="168"/>
      <c r="J954" s="168"/>
    </row>
    <row r="955" spans="9:10" ht="15.75" customHeight="1" x14ac:dyDescent="0.25">
      <c r="I955" s="168"/>
      <c r="J955" s="168"/>
    </row>
    <row r="956" spans="9:10" ht="15.75" customHeight="1" x14ac:dyDescent="0.25">
      <c r="I956" s="168"/>
      <c r="J956" s="168"/>
    </row>
    <row r="957" spans="9:10" ht="15.75" customHeight="1" x14ac:dyDescent="0.25">
      <c r="I957" s="168"/>
      <c r="J957" s="168"/>
    </row>
    <row r="958" spans="9:10" ht="15.75" customHeight="1" x14ac:dyDescent="0.25">
      <c r="I958" s="168"/>
      <c r="J958" s="168"/>
    </row>
    <row r="959" spans="9:10" ht="15.75" customHeight="1" x14ac:dyDescent="0.25">
      <c r="I959" s="168"/>
      <c r="J959" s="168"/>
    </row>
    <row r="960" spans="9:10" ht="15.75" customHeight="1" x14ac:dyDescent="0.25">
      <c r="I960" s="168"/>
      <c r="J960" s="168"/>
    </row>
    <row r="961" spans="9:10" ht="15.75" customHeight="1" x14ac:dyDescent="0.25">
      <c r="I961" s="168"/>
      <c r="J961" s="168"/>
    </row>
    <row r="962" spans="9:10" ht="15.75" customHeight="1" x14ac:dyDescent="0.25">
      <c r="I962" s="168"/>
      <c r="J962" s="168"/>
    </row>
    <row r="963" spans="9:10" ht="15.75" customHeight="1" x14ac:dyDescent="0.25">
      <c r="I963" s="168"/>
      <c r="J963" s="168"/>
    </row>
    <row r="964" spans="9:10" ht="15.75" customHeight="1" x14ac:dyDescent="0.25">
      <c r="I964" s="168"/>
      <c r="J964" s="168"/>
    </row>
    <row r="965" spans="9:10" ht="15.75" customHeight="1" x14ac:dyDescent="0.25">
      <c r="I965" s="168"/>
      <c r="J965" s="168"/>
    </row>
    <row r="966" spans="9:10" ht="15.75" customHeight="1" x14ac:dyDescent="0.25">
      <c r="I966" s="168"/>
      <c r="J966" s="168"/>
    </row>
    <row r="967" spans="9:10" ht="15.75" customHeight="1" x14ac:dyDescent="0.25">
      <c r="I967" s="168"/>
      <c r="J967" s="168"/>
    </row>
    <row r="968" spans="9:10" ht="15.75" customHeight="1" x14ac:dyDescent="0.25">
      <c r="I968" s="168"/>
      <c r="J968" s="168"/>
    </row>
    <row r="969" spans="9:10" ht="15.75" customHeight="1" x14ac:dyDescent="0.25">
      <c r="I969" s="168"/>
      <c r="J969" s="168"/>
    </row>
    <row r="970" spans="9:10" ht="15.75" customHeight="1" x14ac:dyDescent="0.25">
      <c r="I970" s="168"/>
      <c r="J970" s="168"/>
    </row>
    <row r="971" spans="9:10" ht="15.75" customHeight="1" x14ac:dyDescent="0.25">
      <c r="I971" s="168"/>
      <c r="J971" s="168"/>
    </row>
    <row r="972" spans="9:10" ht="15.75" customHeight="1" x14ac:dyDescent="0.25">
      <c r="I972" s="168"/>
      <c r="J972" s="168"/>
    </row>
    <row r="973" spans="9:10" ht="15.75" customHeight="1" x14ac:dyDescent="0.25">
      <c r="I973" s="168"/>
      <c r="J973" s="168"/>
    </row>
    <row r="974" spans="9:10" ht="15.75" customHeight="1" x14ac:dyDescent="0.25">
      <c r="I974" s="168"/>
      <c r="J974" s="168"/>
    </row>
    <row r="975" spans="9:10" ht="15.75" customHeight="1" x14ac:dyDescent="0.25">
      <c r="I975" s="168"/>
      <c r="J975" s="168"/>
    </row>
    <row r="976" spans="9:10" ht="15.75" customHeight="1" x14ac:dyDescent="0.25">
      <c r="I976" s="168"/>
      <c r="J976" s="168"/>
    </row>
    <row r="977" spans="9:10" ht="15.75" customHeight="1" x14ac:dyDescent="0.25">
      <c r="I977" s="168"/>
      <c r="J977" s="168"/>
    </row>
    <row r="978" spans="9:10" ht="15.75" customHeight="1" x14ac:dyDescent="0.25">
      <c r="I978" s="168"/>
      <c r="J978" s="168"/>
    </row>
    <row r="979" spans="9:10" ht="15.75" customHeight="1" x14ac:dyDescent="0.25">
      <c r="I979" s="168"/>
      <c r="J979" s="168"/>
    </row>
    <row r="980" spans="9:10" ht="15.75" customHeight="1" x14ac:dyDescent="0.25">
      <c r="I980" s="168"/>
      <c r="J980" s="168"/>
    </row>
    <row r="981" spans="9:10" ht="15.75" customHeight="1" x14ac:dyDescent="0.25">
      <c r="I981" s="168"/>
      <c r="J981" s="168"/>
    </row>
    <row r="982" spans="9:10" ht="15.75" customHeight="1" x14ac:dyDescent="0.25">
      <c r="I982" s="168"/>
      <c r="J982" s="168"/>
    </row>
    <row r="983" spans="9:10" ht="15.75" customHeight="1" x14ac:dyDescent="0.25">
      <c r="I983" s="168"/>
      <c r="J983" s="168"/>
    </row>
    <row r="984" spans="9:10" ht="15.75" customHeight="1" x14ac:dyDescent="0.25">
      <c r="I984" s="168"/>
      <c r="J984" s="168"/>
    </row>
    <row r="985" spans="9:10" ht="15.75" customHeight="1" x14ac:dyDescent="0.25">
      <c r="I985" s="168"/>
      <c r="J985" s="168"/>
    </row>
    <row r="986" spans="9:10" ht="15.75" customHeight="1" x14ac:dyDescent="0.25">
      <c r="I986" s="168"/>
      <c r="J986" s="168"/>
    </row>
    <row r="987" spans="9:10" ht="15.75" customHeight="1" x14ac:dyDescent="0.25">
      <c r="I987" s="168"/>
      <c r="J987" s="168"/>
    </row>
    <row r="988" spans="9:10" ht="15.75" customHeight="1" x14ac:dyDescent="0.25">
      <c r="I988" s="168"/>
      <c r="J988" s="168"/>
    </row>
    <row r="989" spans="9:10" ht="15.75" customHeight="1" x14ac:dyDescent="0.25">
      <c r="I989" s="168"/>
      <c r="J989" s="168"/>
    </row>
    <row r="990" spans="9:10" ht="15.75" customHeight="1" x14ac:dyDescent="0.25">
      <c r="I990" s="168"/>
      <c r="J990" s="168"/>
    </row>
    <row r="991" spans="9:10" ht="15.75" customHeight="1" x14ac:dyDescent="0.25">
      <c r="I991" s="168"/>
      <c r="J991" s="168"/>
    </row>
    <row r="992" spans="9:10" ht="15.75" customHeight="1" x14ac:dyDescent="0.25">
      <c r="I992" s="168"/>
      <c r="J992" s="168"/>
    </row>
    <row r="993" spans="9:10" ht="15.75" customHeight="1" x14ac:dyDescent="0.25">
      <c r="I993" s="168"/>
      <c r="J993" s="168"/>
    </row>
    <row r="994" spans="9:10" ht="15.75" customHeight="1" x14ac:dyDescent="0.25">
      <c r="I994" s="168"/>
      <c r="J994" s="168"/>
    </row>
    <row r="995" spans="9:10" ht="15.75" customHeight="1" x14ac:dyDescent="0.25">
      <c r="I995" s="168"/>
      <c r="J995" s="168"/>
    </row>
    <row r="996" spans="9:10" ht="15.75" customHeight="1" x14ac:dyDescent="0.25">
      <c r="I996" s="168"/>
      <c r="J996" s="168"/>
    </row>
    <row r="997" spans="9:10" ht="15.75" customHeight="1" x14ac:dyDescent="0.25">
      <c r="I997" s="168"/>
      <c r="J997" s="168"/>
    </row>
    <row r="998" spans="9:10" ht="15.75" customHeight="1" x14ac:dyDescent="0.25">
      <c r="I998" s="168"/>
      <c r="J998" s="168"/>
    </row>
    <row r="999" spans="9:10" ht="15.75" customHeight="1" x14ac:dyDescent="0.25">
      <c r="I999" s="168"/>
      <c r="J999" s="168"/>
    </row>
    <row r="1000" spans="9:10" ht="15.75" customHeight="1" x14ac:dyDescent="0.25">
      <c r="I1000" s="168"/>
      <c r="J1000" s="168"/>
    </row>
    <row r="1001" spans="9:10" ht="15.75" customHeight="1" x14ac:dyDescent="0.25">
      <c r="I1001" s="168"/>
      <c r="J1001" s="168"/>
    </row>
    <row r="1002" spans="9:10" ht="15.75" customHeight="1" x14ac:dyDescent="0.25">
      <c r="I1002" s="168"/>
      <c r="J1002" s="168"/>
    </row>
    <row r="1003" spans="9:10" ht="15.75" customHeight="1" x14ac:dyDescent="0.25">
      <c r="I1003" s="168"/>
      <c r="J1003" s="168"/>
    </row>
    <row r="1004" spans="9:10" ht="15.75" customHeight="1" x14ac:dyDescent="0.25">
      <c r="I1004" s="168"/>
      <c r="J1004" s="168"/>
    </row>
    <row r="1005" spans="9:10" ht="15.75" customHeight="1" x14ac:dyDescent="0.25">
      <c r="I1005" s="168"/>
      <c r="J1005" s="168"/>
    </row>
    <row r="1006" spans="9:10" ht="15.75" customHeight="1" x14ac:dyDescent="0.25">
      <c r="I1006" s="168"/>
      <c r="J1006" s="168"/>
    </row>
    <row r="1007" spans="9:10" ht="15.75" customHeight="1" x14ac:dyDescent="0.25">
      <c r="I1007" s="168"/>
      <c r="J1007" s="168"/>
    </row>
    <row r="1008" spans="9:10" ht="15.75" customHeight="1" x14ac:dyDescent="0.25">
      <c r="I1008" s="168"/>
      <c r="J1008" s="168"/>
    </row>
    <row r="1009" spans="9:10" ht="15.75" customHeight="1" x14ac:dyDescent="0.25">
      <c r="I1009" s="168"/>
      <c r="J1009" s="168"/>
    </row>
    <row r="1010" spans="9:10" ht="15.75" customHeight="1" x14ac:dyDescent="0.25">
      <c r="I1010" s="168"/>
      <c r="J1010" s="168"/>
    </row>
    <row r="1011" spans="9:10" ht="15.75" customHeight="1" x14ac:dyDescent="0.25">
      <c r="I1011" s="168"/>
      <c r="J1011" s="168"/>
    </row>
    <row r="1012" spans="9:10" ht="15.75" customHeight="1" x14ac:dyDescent="0.25">
      <c r="I1012" s="168"/>
      <c r="J1012" s="168"/>
    </row>
    <row r="1013" spans="9:10" ht="15.75" customHeight="1" x14ac:dyDescent="0.25">
      <c r="I1013" s="168"/>
      <c r="J1013" s="168"/>
    </row>
    <row r="1014" spans="9:10" ht="15.75" customHeight="1" x14ac:dyDescent="0.25">
      <c r="I1014" s="168"/>
      <c r="J1014" s="168"/>
    </row>
    <row r="1015" spans="9:10" ht="15.75" customHeight="1" x14ac:dyDescent="0.25">
      <c r="I1015" s="168"/>
      <c r="J1015" s="168"/>
    </row>
    <row r="1016" spans="9:10" ht="15.75" customHeight="1" x14ac:dyDescent="0.25">
      <c r="I1016" s="168"/>
      <c r="J1016" s="168"/>
    </row>
    <row r="1017" spans="9:10" ht="15.75" customHeight="1" x14ac:dyDescent="0.25">
      <c r="I1017" s="168"/>
      <c r="J1017" s="168"/>
    </row>
    <row r="1018" spans="9:10" ht="15.75" customHeight="1" x14ac:dyDescent="0.25">
      <c r="I1018" s="168"/>
      <c r="J1018" s="168"/>
    </row>
    <row r="1019" spans="9:10" ht="15.75" customHeight="1" x14ac:dyDescent="0.25">
      <c r="I1019" s="168"/>
      <c r="J1019"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7" fitToHeight="0" orientation="portrait" r:id="rId1"/>
  <rowBreaks count="1" manualBreakCount="1">
    <brk id="5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2"/>
  <sheetViews>
    <sheetView view="pageBreakPreview" topLeftCell="A37" zoomScale="115" zoomScaleNormal="100" zoomScaleSheetLayoutView="115" workbookViewId="0">
      <selection activeCell="A66" sqref="A66"/>
    </sheetView>
  </sheetViews>
  <sheetFormatPr defaultColWidth="14.42578125" defaultRowHeight="15" customHeight="1" x14ac:dyDescent="0.25"/>
  <cols>
    <col min="1" max="1" width="75.28515625" customWidth="1"/>
    <col min="2" max="2" width="15" customWidth="1"/>
    <col min="3" max="6" width="18.140625" hidden="1" customWidth="1"/>
    <col min="7" max="7" width="18.140625" customWidth="1"/>
    <col min="8" max="9" width="14.5703125" customWidth="1"/>
    <col min="10"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1339</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120"/>
      <c r="D13" s="120"/>
      <c r="E13" s="198"/>
      <c r="F13" s="228"/>
      <c r="G13" s="238"/>
      <c r="H13" s="15"/>
      <c r="I13" s="15"/>
      <c r="J13" s="15"/>
      <c r="K13" s="15"/>
      <c r="L13" s="15"/>
      <c r="M13" s="15"/>
      <c r="N13" s="15"/>
      <c r="O13" s="15"/>
      <c r="P13" s="15"/>
      <c r="Q13" s="15"/>
      <c r="R13" s="15"/>
      <c r="S13" s="15"/>
      <c r="T13" s="15"/>
      <c r="U13" s="15"/>
      <c r="V13" s="15"/>
      <c r="W13" s="15"/>
      <c r="X13" s="15"/>
      <c r="Y13" s="15"/>
      <c r="Z13" s="15"/>
    </row>
    <row r="14" spans="1:26" ht="15.75" customHeight="1" x14ac:dyDescent="0.25">
      <c r="A14" s="17" t="s">
        <v>365</v>
      </c>
      <c r="B14" s="41"/>
      <c r="C14" s="42"/>
      <c r="D14" s="42"/>
      <c r="E14" s="42"/>
      <c r="F14" s="42"/>
      <c r="G14" s="42"/>
    </row>
    <row r="15" spans="1:26" ht="15.75" customHeight="1" x14ac:dyDescent="0.25">
      <c r="A15" s="17" t="s">
        <v>1340</v>
      </c>
      <c r="B15" s="41"/>
      <c r="C15" s="42"/>
      <c r="D15" s="42"/>
      <c r="E15" s="42"/>
      <c r="F15" s="17"/>
      <c r="G15" s="42"/>
    </row>
    <row r="16" spans="1:26" ht="15.75" customHeight="1" x14ac:dyDescent="0.25">
      <c r="A16" s="44" t="s">
        <v>367</v>
      </c>
      <c r="B16" s="41" t="s">
        <v>121</v>
      </c>
      <c r="C16" s="43">
        <v>15500838</v>
      </c>
      <c r="D16" s="43">
        <v>8435037.6500000004</v>
      </c>
      <c r="E16" s="43">
        <f>F16-D16</f>
        <v>11912582.35</v>
      </c>
      <c r="F16" s="43">
        <v>20347620</v>
      </c>
      <c r="G16" s="43">
        <v>21274236</v>
      </c>
    </row>
    <row r="17" spans="1:26" ht="15.75" customHeight="1" x14ac:dyDescent="0.25">
      <c r="A17" s="17" t="s">
        <v>368</v>
      </c>
      <c r="B17" s="41"/>
      <c r="C17" s="43"/>
      <c r="D17" s="43"/>
      <c r="E17" s="43"/>
      <c r="F17" s="43"/>
      <c r="G17" s="43"/>
    </row>
    <row r="18" spans="1:26" ht="15.75" customHeight="1" x14ac:dyDescent="0.25">
      <c r="A18" s="44" t="s">
        <v>369</v>
      </c>
      <c r="B18" s="41" t="s">
        <v>125</v>
      </c>
      <c r="C18" s="43">
        <v>719419.15</v>
      </c>
      <c r="D18" s="43">
        <v>381483.87</v>
      </c>
      <c r="E18" s="43">
        <f t="shared" ref="E18:E23" si="0">F18-D18</f>
        <v>554516.13</v>
      </c>
      <c r="F18" s="43">
        <v>936000</v>
      </c>
      <c r="G18" s="43">
        <v>936000</v>
      </c>
      <c r="H18" s="15"/>
      <c r="I18" s="15"/>
      <c r="J18" s="15"/>
      <c r="K18" s="15"/>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216000</v>
      </c>
      <c r="D19" s="43">
        <v>115125</v>
      </c>
      <c r="E19" s="43">
        <f t="shared" si="0"/>
        <v>100875</v>
      </c>
      <c r="F19" s="43">
        <v>216000</v>
      </c>
      <c r="G19" s="43">
        <v>216000</v>
      </c>
      <c r="H19" s="15"/>
      <c r="I19" s="15"/>
      <c r="J19" s="15"/>
      <c r="K19" s="15"/>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216000</v>
      </c>
      <c r="D20" s="43">
        <v>115125</v>
      </c>
      <c r="E20" s="43">
        <f t="shared" si="0"/>
        <v>100875</v>
      </c>
      <c r="F20" s="43">
        <v>216000</v>
      </c>
      <c r="G20" s="43">
        <v>216000</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210000</v>
      </c>
      <c r="D21" s="43">
        <v>224000</v>
      </c>
      <c r="E21" s="43">
        <f t="shared" si="0"/>
        <v>49000</v>
      </c>
      <c r="F21" s="43">
        <v>273000</v>
      </c>
      <c r="G21" s="43">
        <v>273000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1342400</v>
      </c>
      <c r="D22" s="43">
        <v>19909.8</v>
      </c>
      <c r="E22" s="43">
        <f t="shared" si="0"/>
        <v>1675725.2</v>
      </c>
      <c r="F22" s="43">
        <v>1695635</v>
      </c>
      <c r="G22" s="43">
        <v>1772853</v>
      </c>
      <c r="H22" s="15"/>
      <c r="I22" s="15"/>
      <c r="J22" s="15"/>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151000</v>
      </c>
      <c r="D23" s="43">
        <v>3000</v>
      </c>
      <c r="E23" s="43">
        <f t="shared" si="0"/>
        <v>192000</v>
      </c>
      <c r="F23" s="43">
        <v>195000</v>
      </c>
      <c r="G23" s="43">
        <v>195000</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5"/>
      <c r="I24" s="15"/>
      <c r="J24" s="15"/>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40000</v>
      </c>
      <c r="D25" s="43">
        <v>25000</v>
      </c>
      <c r="E25" s="43">
        <f t="shared" ref="E25:E27" si="1">F25-D25</f>
        <v>15000</v>
      </c>
      <c r="F25" s="43">
        <v>40000</v>
      </c>
      <c r="G25" s="43">
        <v>30000</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c r="D26" s="43">
        <v>87000</v>
      </c>
      <c r="E26" s="43">
        <f t="shared" si="1"/>
        <v>30000</v>
      </c>
      <c r="F26" s="43">
        <v>117000</v>
      </c>
      <c r="G26" s="43">
        <v>0</v>
      </c>
      <c r="H26" s="15"/>
      <c r="I26" s="15"/>
      <c r="J26" s="15"/>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1240299</v>
      </c>
      <c r="D27" s="43">
        <v>1411368</v>
      </c>
      <c r="E27" s="43">
        <f t="shared" si="1"/>
        <v>284267</v>
      </c>
      <c r="F27" s="43">
        <v>1695635</v>
      </c>
      <c r="G27" s="43">
        <v>1772853</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5"/>
      <c r="I28" s="15"/>
      <c r="J28" s="15"/>
      <c r="K28" s="15"/>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1861559.04</v>
      </c>
      <c r="D29" s="43">
        <v>1012142.6</v>
      </c>
      <c r="E29" s="43">
        <f t="shared" ref="E29:E32" si="2">F29-D29</f>
        <v>1429572.4</v>
      </c>
      <c r="F29" s="43">
        <v>2441715</v>
      </c>
      <c r="G29" s="43">
        <v>2552909</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310259.83</v>
      </c>
      <c r="D30" s="43">
        <v>168690.42</v>
      </c>
      <c r="E30" s="43">
        <f t="shared" si="2"/>
        <v>238262.58</v>
      </c>
      <c r="F30" s="43">
        <v>406953</v>
      </c>
      <c r="G30" s="43">
        <v>425485</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378618.36</v>
      </c>
      <c r="D31" s="43">
        <v>205285.17</v>
      </c>
      <c r="E31" s="43">
        <f t="shared" si="2"/>
        <v>292262.82999999996</v>
      </c>
      <c r="F31" s="43">
        <v>497548</v>
      </c>
      <c r="G31" s="43">
        <v>517970</v>
      </c>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36100</v>
      </c>
      <c r="D32" s="43">
        <v>19100</v>
      </c>
      <c r="E32" s="43">
        <f t="shared" si="2"/>
        <v>27700</v>
      </c>
      <c r="F32" s="43">
        <v>46800</v>
      </c>
      <c r="G32" s="43">
        <v>46800</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17" t="s">
        <v>385</v>
      </c>
      <c r="B33" s="41"/>
      <c r="C33" s="43"/>
      <c r="D33" s="43"/>
      <c r="E33" s="43"/>
      <c r="F33" s="43"/>
      <c r="G33" s="43"/>
      <c r="H33" s="15"/>
      <c r="I33" s="15"/>
      <c r="J33" s="15"/>
      <c r="K33" s="15"/>
      <c r="L33" s="15"/>
      <c r="M33" s="15"/>
      <c r="N33" s="15"/>
      <c r="O33" s="15"/>
      <c r="P33" s="15"/>
      <c r="Q33" s="15"/>
      <c r="R33" s="15"/>
      <c r="S33" s="15"/>
      <c r="T33" s="15"/>
      <c r="U33" s="15"/>
      <c r="V33" s="15"/>
      <c r="W33" s="15"/>
      <c r="X33" s="15"/>
      <c r="Y33" s="15"/>
      <c r="Z33" s="15"/>
    </row>
    <row r="34" spans="1:26" ht="15.75" customHeight="1" x14ac:dyDescent="0.25">
      <c r="A34" s="44" t="s">
        <v>386</v>
      </c>
      <c r="B34" s="41" t="s">
        <v>179</v>
      </c>
      <c r="C34" s="43">
        <v>0</v>
      </c>
      <c r="D34" s="43">
        <v>0</v>
      </c>
      <c r="E34" s="43">
        <f t="shared" ref="E34:E36" si="3">F34-D34</f>
        <v>147298</v>
      </c>
      <c r="F34" s="43">
        <v>147298</v>
      </c>
      <c r="G34" s="43">
        <v>0</v>
      </c>
      <c r="H34" s="15"/>
      <c r="I34" s="15"/>
      <c r="J34" s="15"/>
      <c r="K34" s="15"/>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777881.15</v>
      </c>
      <c r="D35" s="43">
        <v>497705.09</v>
      </c>
      <c r="E35" s="43">
        <f t="shared" si="3"/>
        <v>319467.90999999997</v>
      </c>
      <c r="F35" s="43">
        <v>817173</v>
      </c>
      <c r="G35" s="43">
        <v>854386</v>
      </c>
      <c r="H35" s="15"/>
      <c r="I35" s="15"/>
      <c r="J35" s="15"/>
      <c r="K35" s="15"/>
      <c r="L35" s="15"/>
      <c r="M35" s="15"/>
      <c r="N35" s="15"/>
      <c r="O35" s="15"/>
      <c r="P35" s="15"/>
      <c r="Q35" s="15"/>
      <c r="R35" s="15"/>
      <c r="S35" s="15"/>
      <c r="T35" s="15"/>
      <c r="U35" s="15"/>
      <c r="V35" s="15"/>
      <c r="W35" s="15"/>
      <c r="X35" s="15"/>
      <c r="Y35" s="15"/>
      <c r="Z35" s="15"/>
    </row>
    <row r="36" spans="1:26" ht="15.75" customHeight="1" x14ac:dyDescent="0.25">
      <c r="A36" s="44" t="s">
        <v>388</v>
      </c>
      <c r="B36" s="41" t="s">
        <v>183</v>
      </c>
      <c r="C36" s="43">
        <v>150000</v>
      </c>
      <c r="D36" s="43">
        <v>0</v>
      </c>
      <c r="E36" s="43">
        <f t="shared" si="3"/>
        <v>195000</v>
      </c>
      <c r="F36" s="43">
        <v>195000</v>
      </c>
      <c r="G36" s="43">
        <v>195000</v>
      </c>
      <c r="H36" s="15"/>
      <c r="I36" s="15"/>
      <c r="J36" s="15"/>
      <c r="K36" s="15"/>
      <c r="L36" s="15"/>
      <c r="M36" s="15"/>
      <c r="N36" s="15"/>
      <c r="O36" s="15"/>
      <c r="P36" s="15"/>
      <c r="Q36" s="15"/>
      <c r="R36" s="15"/>
      <c r="S36" s="15"/>
      <c r="T36" s="15"/>
      <c r="U36" s="15"/>
      <c r="V36" s="15"/>
      <c r="W36" s="15"/>
      <c r="X36" s="15"/>
      <c r="Y36" s="15"/>
      <c r="Z36" s="15"/>
    </row>
    <row r="37" spans="1:26" ht="31.5" x14ac:dyDescent="0.25">
      <c r="A37" s="455" t="s">
        <v>625</v>
      </c>
      <c r="B37" s="487"/>
      <c r="C37" s="43">
        <v>0</v>
      </c>
      <c r="D37" s="43">
        <v>0</v>
      </c>
      <c r="E37" s="43">
        <v>0</v>
      </c>
      <c r="F37" s="43">
        <v>0</v>
      </c>
      <c r="G37" s="43">
        <v>614488</v>
      </c>
      <c r="H37" s="15"/>
      <c r="I37" s="15"/>
      <c r="J37" s="15"/>
      <c r="K37" s="15"/>
      <c r="L37" s="15"/>
      <c r="M37" s="15"/>
      <c r="N37" s="15"/>
      <c r="O37" s="15"/>
      <c r="P37" s="15"/>
      <c r="Q37" s="15"/>
      <c r="R37" s="15"/>
      <c r="S37" s="15"/>
      <c r="T37" s="15"/>
      <c r="U37" s="15"/>
      <c r="V37" s="15"/>
      <c r="W37" s="15"/>
      <c r="X37" s="15"/>
      <c r="Y37" s="15"/>
      <c r="Z37" s="15"/>
    </row>
    <row r="38" spans="1:26" ht="15.75" customHeight="1" x14ac:dyDescent="0.25">
      <c r="A38" s="456" t="s">
        <v>632</v>
      </c>
      <c r="B38" s="540"/>
      <c r="C38" s="453">
        <f t="shared" ref="C38:D38" si="4">+SUM(C16:C36)</f>
        <v>23150374.529999994</v>
      </c>
      <c r="D38" s="54">
        <f t="shared" si="4"/>
        <v>12719972.6</v>
      </c>
      <c r="E38" s="54">
        <f>F38-D38</f>
        <v>17564404.399999999</v>
      </c>
      <c r="F38" s="54">
        <f>SUM(F14:F37)</f>
        <v>30284377</v>
      </c>
      <c r="G38" s="54">
        <f>+SUM(G16:G37)</f>
        <v>31892980</v>
      </c>
      <c r="H38" s="232"/>
      <c r="I38" s="232"/>
      <c r="J38" s="232"/>
      <c r="K38" s="232"/>
      <c r="L38" s="232"/>
      <c r="M38" s="232"/>
      <c r="N38" s="232"/>
      <c r="O38" s="232"/>
      <c r="P38" s="232"/>
      <c r="Q38" s="232"/>
      <c r="R38" s="232"/>
      <c r="S38" s="232"/>
      <c r="T38" s="232"/>
      <c r="U38" s="232"/>
      <c r="V38" s="232"/>
      <c r="W38" s="232"/>
      <c r="X38" s="232"/>
      <c r="Y38" s="232"/>
      <c r="Z38" s="232"/>
    </row>
    <row r="39" spans="1:26" ht="15.75" customHeight="1" x14ac:dyDescent="0.25">
      <c r="A39" s="456"/>
      <c r="B39" s="540"/>
      <c r="C39" s="449"/>
      <c r="D39" s="497"/>
      <c r="E39" s="438"/>
      <c r="F39" s="448"/>
      <c r="G39" s="448"/>
      <c r="H39" s="515"/>
      <c r="I39" s="515"/>
      <c r="J39" s="515"/>
      <c r="K39" s="515"/>
      <c r="L39" s="515"/>
      <c r="M39" s="515"/>
      <c r="N39" s="515"/>
      <c r="O39" s="515"/>
      <c r="P39" s="515"/>
      <c r="Q39" s="515"/>
      <c r="R39" s="515"/>
      <c r="S39" s="515"/>
      <c r="T39" s="515"/>
      <c r="U39" s="515"/>
      <c r="V39" s="515"/>
      <c r="W39" s="515"/>
      <c r="X39" s="515"/>
      <c r="Y39" s="515"/>
      <c r="Z39" s="515"/>
    </row>
    <row r="40" spans="1:26" ht="15.75" customHeight="1" x14ac:dyDescent="0.25">
      <c r="A40" s="456" t="s">
        <v>391</v>
      </c>
      <c r="B40" s="540"/>
      <c r="C40" s="542"/>
      <c r="D40" s="81"/>
      <c r="E40" s="43"/>
      <c r="F40" s="539"/>
      <c r="G40" s="461"/>
      <c r="H40" s="543"/>
      <c r="I40" s="10"/>
      <c r="J40" s="10"/>
      <c r="K40" s="10"/>
      <c r="L40" s="10"/>
      <c r="M40" s="10"/>
      <c r="N40" s="10"/>
      <c r="O40" s="10"/>
      <c r="P40" s="10"/>
      <c r="Q40" s="10"/>
      <c r="R40" s="10"/>
      <c r="S40" s="10"/>
      <c r="T40" s="10"/>
      <c r="U40" s="10"/>
      <c r="V40" s="10"/>
      <c r="W40" s="10"/>
      <c r="X40" s="10"/>
      <c r="Y40" s="10"/>
      <c r="Z40" s="10"/>
    </row>
    <row r="41" spans="1:26" ht="15.75" customHeight="1" x14ac:dyDescent="0.25">
      <c r="A41" s="17" t="s">
        <v>392</v>
      </c>
      <c r="B41" s="41"/>
      <c r="C41" s="43"/>
      <c r="D41" s="43"/>
      <c r="E41" s="43"/>
      <c r="F41" s="43"/>
      <c r="G41" s="43"/>
      <c r="H41" s="15"/>
      <c r="I41" s="15"/>
      <c r="J41" s="15"/>
      <c r="K41" s="15"/>
      <c r="L41" s="15"/>
      <c r="M41" s="15"/>
      <c r="N41" s="15"/>
      <c r="O41" s="15"/>
      <c r="P41" s="15"/>
      <c r="Q41" s="15"/>
      <c r="R41" s="15"/>
      <c r="S41" s="15"/>
      <c r="T41" s="15"/>
      <c r="U41" s="15"/>
      <c r="V41" s="15"/>
      <c r="W41" s="15"/>
      <c r="X41" s="15"/>
      <c r="Y41" s="15"/>
      <c r="Z41" s="15"/>
    </row>
    <row r="42" spans="1:26" ht="15.75" customHeight="1" x14ac:dyDescent="0.25">
      <c r="A42" s="44" t="s">
        <v>393</v>
      </c>
      <c r="B42" s="41" t="s">
        <v>187</v>
      </c>
      <c r="C42" s="43">
        <v>475999.53</v>
      </c>
      <c r="D42" s="43">
        <v>121159.44</v>
      </c>
      <c r="E42" s="43">
        <f>F42-D42</f>
        <v>478840.56</v>
      </c>
      <c r="F42" s="43">
        <v>600000</v>
      </c>
      <c r="G42" s="43">
        <v>600000</v>
      </c>
      <c r="H42" s="15"/>
      <c r="I42" s="15"/>
      <c r="J42" s="15"/>
      <c r="K42" s="15"/>
      <c r="L42" s="15"/>
      <c r="M42" s="15"/>
      <c r="N42" s="15"/>
      <c r="O42" s="15"/>
      <c r="P42" s="15"/>
      <c r="Q42" s="15"/>
      <c r="R42" s="15"/>
      <c r="S42" s="15"/>
      <c r="T42" s="15"/>
      <c r="U42" s="15"/>
      <c r="V42" s="15"/>
      <c r="W42" s="15"/>
      <c r="X42" s="15"/>
      <c r="Y42" s="15"/>
      <c r="Z42" s="15"/>
    </row>
    <row r="43" spans="1:26" ht="15.75" customHeight="1" x14ac:dyDescent="0.25">
      <c r="A43" s="17" t="s">
        <v>395</v>
      </c>
      <c r="B43" s="41"/>
      <c r="C43" s="56"/>
      <c r="D43" s="43"/>
      <c r="E43" s="43"/>
      <c r="F43" s="43"/>
      <c r="G43" s="43"/>
      <c r="H43" s="15"/>
      <c r="I43" s="15"/>
      <c r="J43" s="15"/>
      <c r="K43" s="15"/>
      <c r="L43" s="15"/>
      <c r="M43" s="15"/>
      <c r="N43" s="15"/>
      <c r="O43" s="15"/>
      <c r="P43" s="15"/>
      <c r="Q43" s="15"/>
      <c r="R43" s="15"/>
      <c r="S43" s="15"/>
      <c r="T43" s="15"/>
      <c r="U43" s="15"/>
      <c r="V43" s="15"/>
      <c r="W43" s="15"/>
      <c r="X43" s="15"/>
      <c r="Y43" s="15"/>
      <c r="Z43" s="15"/>
    </row>
    <row r="44" spans="1:26" ht="15.75" customHeight="1" x14ac:dyDescent="0.25">
      <c r="A44" s="44" t="s">
        <v>396</v>
      </c>
      <c r="B44" s="41" t="s">
        <v>191</v>
      </c>
      <c r="C44" s="56">
        <v>443562.28</v>
      </c>
      <c r="D44" s="43">
        <v>389981.44</v>
      </c>
      <c r="E44" s="43">
        <f>F44-D44</f>
        <v>318678.56</v>
      </c>
      <c r="F44" s="43">
        <v>708660</v>
      </c>
      <c r="G44" s="43">
        <v>1314650</v>
      </c>
      <c r="H44" s="15"/>
      <c r="I44" s="15"/>
      <c r="J44" s="15"/>
      <c r="K44" s="15"/>
      <c r="L44" s="15"/>
      <c r="M44" s="15"/>
      <c r="N44" s="15"/>
      <c r="O44" s="15"/>
      <c r="P44" s="15"/>
      <c r="Q44" s="15"/>
      <c r="R44" s="15"/>
      <c r="S44" s="15"/>
      <c r="T44" s="15"/>
      <c r="U44" s="15"/>
      <c r="V44" s="15"/>
      <c r="W44" s="15"/>
      <c r="X44" s="15"/>
      <c r="Y44" s="15"/>
      <c r="Z44" s="15"/>
    </row>
    <row r="45" spans="1:26" ht="15.75" customHeight="1" x14ac:dyDescent="0.25">
      <c r="A45" s="17" t="s">
        <v>397</v>
      </c>
      <c r="B45" s="41"/>
      <c r="C45" s="56"/>
      <c r="D45" s="43"/>
      <c r="E45" s="43"/>
      <c r="F45" s="43"/>
      <c r="G45" s="43"/>
      <c r="H45" s="15"/>
      <c r="I45" s="15"/>
      <c r="J45" s="15"/>
      <c r="K45" s="15"/>
      <c r="L45" s="15"/>
      <c r="M45" s="15"/>
      <c r="N45" s="15"/>
      <c r="O45" s="15"/>
      <c r="P45" s="15"/>
      <c r="Q45" s="15"/>
      <c r="R45" s="15"/>
      <c r="S45" s="15"/>
      <c r="T45" s="15"/>
      <c r="U45" s="15"/>
      <c r="V45" s="15"/>
      <c r="W45" s="15"/>
      <c r="X45" s="15"/>
      <c r="Y45" s="15"/>
      <c r="Z45" s="15"/>
    </row>
    <row r="46" spans="1:26" ht="15.75" customHeight="1" x14ac:dyDescent="0.25">
      <c r="A46" s="44" t="s">
        <v>398</v>
      </c>
      <c r="B46" s="41" t="s">
        <v>195</v>
      </c>
      <c r="C46" s="56">
        <v>1695500.59</v>
      </c>
      <c r="D46" s="43">
        <v>462930.18</v>
      </c>
      <c r="E46" s="43">
        <f t="shared" ref="E46:E48" si="5">F46-D46</f>
        <v>1157809.82</v>
      </c>
      <c r="F46" s="43">
        <v>1620740</v>
      </c>
      <c r="G46" s="43">
        <v>1708248</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96" t="s">
        <v>400</v>
      </c>
      <c r="B47" s="41" t="s">
        <v>221</v>
      </c>
      <c r="C47" s="56">
        <v>0</v>
      </c>
      <c r="D47" s="43"/>
      <c r="E47" s="43">
        <f t="shared" si="5"/>
        <v>63016</v>
      </c>
      <c r="F47" s="43">
        <v>63016</v>
      </c>
      <c r="G47" s="43">
        <v>147000</v>
      </c>
      <c r="H47" s="15"/>
      <c r="I47" s="15"/>
      <c r="J47" s="15"/>
      <c r="K47" s="15"/>
      <c r="L47" s="15"/>
      <c r="M47" s="15"/>
      <c r="N47" s="15"/>
      <c r="O47" s="15"/>
      <c r="P47" s="15"/>
      <c r="Q47" s="15"/>
      <c r="R47" s="15"/>
      <c r="S47" s="15"/>
      <c r="T47" s="15"/>
      <c r="U47" s="15"/>
      <c r="V47" s="15"/>
      <c r="W47" s="15"/>
      <c r="X47" s="15"/>
      <c r="Y47" s="15"/>
      <c r="Z47" s="15"/>
    </row>
    <row r="48" spans="1:26" ht="15.75" customHeight="1" x14ac:dyDescent="0.25">
      <c r="A48" s="44" t="s">
        <v>402</v>
      </c>
      <c r="B48" s="41" t="s">
        <v>225</v>
      </c>
      <c r="C48" s="56">
        <v>340150</v>
      </c>
      <c r="D48" s="43"/>
      <c r="E48" s="43">
        <f t="shared" si="5"/>
        <v>112300</v>
      </c>
      <c r="F48" s="43">
        <v>112300</v>
      </c>
      <c r="G48" s="43">
        <v>89630</v>
      </c>
      <c r="H48" s="15"/>
      <c r="I48" s="15"/>
      <c r="J48" s="15"/>
      <c r="K48" s="15"/>
      <c r="L48" s="15"/>
      <c r="M48" s="15"/>
      <c r="N48" s="15"/>
      <c r="O48" s="15"/>
      <c r="P48" s="15"/>
      <c r="Q48" s="15"/>
      <c r="R48" s="15"/>
      <c r="S48" s="15"/>
      <c r="T48" s="15"/>
      <c r="U48" s="15"/>
      <c r="V48" s="15"/>
      <c r="W48" s="15"/>
      <c r="X48" s="15"/>
      <c r="Y48" s="15"/>
      <c r="Z48" s="15"/>
    </row>
    <row r="49" spans="1:26" ht="15.75" customHeight="1" x14ac:dyDescent="0.25">
      <c r="A49" s="42" t="s">
        <v>403</v>
      </c>
      <c r="B49" s="41"/>
      <c r="C49" s="43"/>
      <c r="D49" s="43"/>
      <c r="E49" s="43"/>
      <c r="F49" s="45"/>
      <c r="G49" s="43"/>
      <c r="H49" s="15"/>
      <c r="I49" s="15"/>
      <c r="J49" s="15"/>
      <c r="K49" s="15"/>
      <c r="L49" s="15"/>
      <c r="M49" s="15"/>
      <c r="N49" s="15"/>
      <c r="O49" s="15"/>
      <c r="P49" s="15"/>
      <c r="Q49" s="15"/>
      <c r="R49" s="15"/>
      <c r="S49" s="15"/>
      <c r="T49" s="15"/>
      <c r="U49" s="15"/>
      <c r="V49" s="15"/>
      <c r="W49" s="15"/>
      <c r="X49" s="15"/>
      <c r="Y49" s="15"/>
      <c r="Z49" s="15"/>
    </row>
    <row r="50" spans="1:26" ht="15.75" customHeight="1" x14ac:dyDescent="0.25">
      <c r="A50" s="48" t="s">
        <v>405</v>
      </c>
      <c r="B50" s="41" t="s">
        <v>235</v>
      </c>
      <c r="C50" s="43">
        <v>42000</v>
      </c>
      <c r="D50" s="43">
        <v>18000</v>
      </c>
      <c r="E50" s="43">
        <f>F50-D50</f>
        <v>36000</v>
      </c>
      <c r="F50" s="43">
        <v>54000</v>
      </c>
      <c r="G50" s="43">
        <v>54000</v>
      </c>
      <c r="H50" s="15"/>
      <c r="I50" s="15"/>
      <c r="J50" s="15"/>
      <c r="K50" s="15"/>
      <c r="L50" s="15"/>
      <c r="M50" s="15"/>
      <c r="N50" s="15"/>
      <c r="O50" s="15"/>
      <c r="P50" s="15"/>
      <c r="Q50" s="15"/>
      <c r="R50" s="15"/>
      <c r="S50" s="15"/>
      <c r="T50" s="15"/>
      <c r="U50" s="15"/>
      <c r="V50" s="15"/>
      <c r="W50" s="15"/>
      <c r="X50" s="15"/>
      <c r="Y50" s="15"/>
      <c r="Z50" s="15"/>
    </row>
    <row r="51" spans="1:26" ht="15.75" customHeight="1" x14ac:dyDescent="0.25">
      <c r="A51" s="42" t="s">
        <v>662</v>
      </c>
      <c r="B51" s="41"/>
      <c r="C51" s="43"/>
      <c r="D51" s="43"/>
      <c r="E51" s="43"/>
      <c r="F51" s="43"/>
      <c r="G51" s="43"/>
      <c r="H51" s="15"/>
      <c r="I51" s="15"/>
      <c r="J51" s="15"/>
      <c r="K51" s="15"/>
      <c r="L51" s="15"/>
      <c r="M51" s="15"/>
      <c r="N51" s="15"/>
      <c r="O51" s="15"/>
      <c r="P51" s="15"/>
      <c r="Q51" s="15"/>
      <c r="R51" s="15"/>
      <c r="S51" s="15"/>
      <c r="T51" s="15"/>
      <c r="U51" s="15"/>
      <c r="V51" s="15"/>
      <c r="W51" s="15"/>
      <c r="X51" s="15"/>
      <c r="Y51" s="15"/>
      <c r="Z51" s="15"/>
    </row>
    <row r="52" spans="1:26" ht="15.75" customHeight="1" x14ac:dyDescent="0.25">
      <c r="A52" s="48" t="s">
        <v>424</v>
      </c>
      <c r="B52" s="41" t="s">
        <v>335</v>
      </c>
      <c r="C52" s="43">
        <v>657396.76</v>
      </c>
      <c r="D52" s="43">
        <v>123246.5</v>
      </c>
      <c r="E52" s="43">
        <f>F52-D52</f>
        <v>3.5</v>
      </c>
      <c r="F52" s="43">
        <v>123250</v>
      </c>
      <c r="G52" s="43">
        <v>1326522</v>
      </c>
      <c r="H52" s="14">
        <f>SUM(H53:H63)</f>
        <v>1326522</v>
      </c>
      <c r="I52" s="15"/>
      <c r="J52" s="15"/>
      <c r="K52" s="15"/>
      <c r="L52" s="15"/>
      <c r="M52" s="15"/>
      <c r="N52" s="15"/>
      <c r="O52" s="15"/>
      <c r="P52" s="15"/>
      <c r="Q52" s="15"/>
      <c r="R52" s="15"/>
      <c r="S52" s="15"/>
      <c r="T52" s="15"/>
      <c r="U52" s="15"/>
      <c r="V52" s="15"/>
      <c r="W52" s="15"/>
      <c r="X52" s="15"/>
      <c r="Y52" s="15"/>
      <c r="Z52" s="15"/>
    </row>
    <row r="53" spans="1:26" ht="15.75" customHeight="1" x14ac:dyDescent="0.25">
      <c r="A53" s="48" t="s">
        <v>1341</v>
      </c>
      <c r="B53" s="41"/>
      <c r="C53" s="43"/>
      <c r="D53" s="43"/>
      <c r="E53" s="43"/>
      <c r="F53" s="43"/>
      <c r="G53" s="43"/>
      <c r="H53" s="26">
        <v>100000</v>
      </c>
      <c r="I53" s="14"/>
      <c r="J53" s="15"/>
      <c r="K53" s="15"/>
      <c r="L53" s="15"/>
      <c r="M53" s="15"/>
      <c r="N53" s="15"/>
      <c r="O53" s="15"/>
      <c r="P53" s="15"/>
      <c r="Q53" s="15"/>
      <c r="R53" s="15"/>
      <c r="S53" s="15"/>
      <c r="T53" s="15"/>
      <c r="U53" s="15"/>
      <c r="V53" s="15"/>
      <c r="W53" s="15"/>
      <c r="X53" s="15"/>
      <c r="Y53" s="15"/>
      <c r="Z53" s="15"/>
    </row>
    <row r="54" spans="1:26" ht="15.75" customHeight="1" x14ac:dyDescent="0.25">
      <c r="A54" s="48" t="s">
        <v>1342</v>
      </c>
      <c r="B54" s="41"/>
      <c r="C54" s="43"/>
      <c r="D54" s="43"/>
      <c r="E54" s="43"/>
      <c r="F54" s="43"/>
      <c r="G54" s="43"/>
      <c r="H54" s="26"/>
      <c r="I54" s="14"/>
      <c r="J54" s="15"/>
      <c r="K54" s="15"/>
      <c r="L54" s="15"/>
      <c r="M54" s="15"/>
      <c r="N54" s="15"/>
      <c r="O54" s="15"/>
      <c r="P54" s="15"/>
      <c r="Q54" s="15"/>
      <c r="R54" s="15"/>
      <c r="S54" s="15"/>
      <c r="T54" s="15"/>
      <c r="U54" s="15"/>
      <c r="V54" s="15"/>
      <c r="W54" s="15"/>
      <c r="X54" s="15"/>
      <c r="Y54" s="15"/>
      <c r="Z54" s="15"/>
    </row>
    <row r="55" spans="1:26" ht="15.75" customHeight="1" x14ac:dyDescent="0.25">
      <c r="A55" s="597" t="s">
        <v>1343</v>
      </c>
      <c r="B55" s="483"/>
      <c r="C55" s="457"/>
      <c r="D55" s="457"/>
      <c r="E55" s="457"/>
      <c r="F55" s="457"/>
      <c r="G55" s="457"/>
      <c r="H55" s="26">
        <v>58500</v>
      </c>
      <c r="I55" s="14"/>
      <c r="J55" s="15"/>
      <c r="K55" s="15"/>
      <c r="L55" s="15"/>
      <c r="M55" s="15"/>
      <c r="N55" s="15"/>
      <c r="O55" s="15"/>
      <c r="P55" s="15"/>
      <c r="Q55" s="15"/>
      <c r="R55" s="15"/>
      <c r="S55" s="15"/>
      <c r="T55" s="15"/>
      <c r="U55" s="15"/>
      <c r="V55" s="15"/>
      <c r="W55" s="15"/>
      <c r="X55" s="15"/>
      <c r="Y55" s="15"/>
      <c r="Z55" s="15"/>
    </row>
    <row r="56" spans="1:26" ht="15.75" customHeight="1" x14ac:dyDescent="0.25">
      <c r="A56" s="615" t="s">
        <v>1344</v>
      </c>
      <c r="B56" s="601"/>
      <c r="C56" s="448"/>
      <c r="D56" s="448"/>
      <c r="E56" s="448"/>
      <c r="F56" s="448"/>
      <c r="G56" s="448"/>
      <c r="H56" s="26">
        <v>337392</v>
      </c>
      <c r="I56" s="14"/>
      <c r="J56" s="15"/>
      <c r="K56" s="15"/>
      <c r="L56" s="15"/>
      <c r="M56" s="15"/>
      <c r="N56" s="15"/>
      <c r="O56" s="15"/>
      <c r="P56" s="15"/>
      <c r="Q56" s="15"/>
      <c r="R56" s="15"/>
      <c r="S56" s="15"/>
      <c r="T56" s="15"/>
      <c r="U56" s="15"/>
      <c r="V56" s="15"/>
      <c r="W56" s="15"/>
      <c r="X56" s="15"/>
      <c r="Y56" s="15"/>
      <c r="Z56" s="15"/>
    </row>
    <row r="57" spans="1:26" ht="15.75" customHeight="1" x14ac:dyDescent="0.25">
      <c r="A57" s="48" t="s">
        <v>1345</v>
      </c>
      <c r="B57" s="41"/>
      <c r="C57" s="43"/>
      <c r="D57" s="43"/>
      <c r="E57" s="43"/>
      <c r="F57" s="43"/>
      <c r="G57" s="43"/>
      <c r="H57" s="26"/>
      <c r="I57" s="14"/>
      <c r="J57" s="15"/>
      <c r="K57" s="15"/>
      <c r="L57" s="15"/>
      <c r="M57" s="15"/>
      <c r="N57" s="15"/>
      <c r="O57" s="15"/>
      <c r="P57" s="15"/>
      <c r="Q57" s="15"/>
      <c r="R57" s="15"/>
      <c r="S57" s="15"/>
      <c r="T57" s="15"/>
      <c r="U57" s="15"/>
      <c r="V57" s="15"/>
      <c r="W57" s="15"/>
      <c r="X57" s="15"/>
      <c r="Y57" s="15"/>
      <c r="Z57" s="15"/>
    </row>
    <row r="58" spans="1:26" ht="15.75" customHeight="1" x14ac:dyDescent="0.25">
      <c r="A58" s="48" t="s">
        <v>1346</v>
      </c>
      <c r="B58" s="41"/>
      <c r="C58" s="43"/>
      <c r="D58" s="43"/>
      <c r="E58" s="43"/>
      <c r="F58" s="43"/>
      <c r="G58" s="43"/>
      <c r="H58" s="26">
        <v>119880</v>
      </c>
      <c r="I58" s="14"/>
      <c r="J58" s="15"/>
      <c r="K58" s="15"/>
      <c r="L58" s="15"/>
      <c r="M58" s="15"/>
      <c r="N58" s="15"/>
      <c r="O58" s="15"/>
      <c r="P58" s="15"/>
      <c r="Q58" s="15"/>
      <c r="R58" s="15"/>
      <c r="S58" s="15"/>
      <c r="T58" s="15"/>
      <c r="U58" s="15"/>
      <c r="V58" s="15"/>
      <c r="W58" s="15"/>
      <c r="X58" s="15"/>
      <c r="Y58" s="15"/>
      <c r="Z58" s="15"/>
    </row>
    <row r="59" spans="1:26" ht="15.75" customHeight="1" x14ac:dyDescent="0.25">
      <c r="A59" s="48" t="s">
        <v>1347</v>
      </c>
      <c r="B59" s="41"/>
      <c r="C59" s="43"/>
      <c r="D59" s="43"/>
      <c r="E59" s="43"/>
      <c r="F59" s="43"/>
      <c r="G59" s="43"/>
      <c r="H59" s="26">
        <v>29600</v>
      </c>
      <c r="I59" s="14"/>
      <c r="J59" s="15"/>
      <c r="K59" s="15"/>
      <c r="L59" s="15"/>
      <c r="M59" s="15"/>
      <c r="N59" s="15"/>
      <c r="O59" s="15"/>
      <c r="P59" s="15"/>
      <c r="Q59" s="15"/>
      <c r="R59" s="15"/>
      <c r="S59" s="15"/>
      <c r="T59" s="15"/>
      <c r="U59" s="15"/>
      <c r="V59" s="15"/>
      <c r="W59" s="15"/>
      <c r="X59" s="15"/>
      <c r="Y59" s="15"/>
      <c r="Z59" s="15"/>
    </row>
    <row r="60" spans="1:26" ht="15.75" customHeight="1" x14ac:dyDescent="0.25">
      <c r="A60" s="48" t="s">
        <v>1348</v>
      </c>
      <c r="B60" s="41"/>
      <c r="C60" s="43"/>
      <c r="D60" s="43"/>
      <c r="E60" s="43"/>
      <c r="F60" s="43"/>
      <c r="G60" s="43"/>
      <c r="H60" s="26">
        <v>208750</v>
      </c>
      <c r="I60" s="14"/>
      <c r="J60" s="15"/>
      <c r="K60" s="15"/>
      <c r="L60" s="15"/>
      <c r="M60" s="15"/>
      <c r="N60" s="15"/>
      <c r="O60" s="15"/>
      <c r="P60" s="15"/>
      <c r="Q60" s="15"/>
      <c r="R60" s="15"/>
      <c r="S60" s="15"/>
      <c r="T60" s="15"/>
      <c r="U60" s="15"/>
      <c r="V60" s="15"/>
      <c r="W60" s="15"/>
      <c r="X60" s="15"/>
      <c r="Y60" s="15"/>
      <c r="Z60" s="15"/>
    </row>
    <row r="61" spans="1:26" ht="15.75" customHeight="1" x14ac:dyDescent="0.25">
      <c r="A61" s="48" t="s">
        <v>1349</v>
      </c>
      <c r="B61" s="41"/>
      <c r="C61" s="43"/>
      <c r="D61" s="43"/>
      <c r="E61" s="43"/>
      <c r="F61" s="43"/>
      <c r="G61" s="43"/>
      <c r="H61" s="26">
        <v>7400</v>
      </c>
      <c r="I61" s="14"/>
      <c r="J61" s="15"/>
      <c r="K61" s="15"/>
      <c r="L61" s="15"/>
      <c r="M61" s="15"/>
      <c r="N61" s="15"/>
      <c r="O61" s="15"/>
      <c r="P61" s="15"/>
      <c r="Q61" s="15"/>
      <c r="R61" s="15"/>
      <c r="S61" s="15"/>
      <c r="T61" s="15"/>
      <c r="U61" s="15"/>
      <c r="V61" s="15"/>
      <c r="W61" s="15"/>
      <c r="X61" s="15"/>
      <c r="Y61" s="15"/>
      <c r="Z61" s="15"/>
    </row>
    <row r="62" spans="1:26" ht="15.75" customHeight="1" x14ac:dyDescent="0.25">
      <c r="A62" s="48" t="s">
        <v>1350</v>
      </c>
      <c r="B62" s="41"/>
      <c r="C62" s="43"/>
      <c r="D62" s="43"/>
      <c r="E62" s="43"/>
      <c r="F62" s="43"/>
      <c r="G62" s="43"/>
      <c r="H62" s="26"/>
      <c r="I62" s="14"/>
      <c r="J62" s="15"/>
      <c r="K62" s="15"/>
      <c r="L62" s="15"/>
      <c r="M62" s="15"/>
      <c r="N62" s="15"/>
      <c r="O62" s="15"/>
      <c r="P62" s="15"/>
      <c r="Q62" s="15"/>
      <c r="R62" s="15"/>
      <c r="S62" s="15"/>
      <c r="T62" s="15"/>
      <c r="U62" s="15"/>
      <c r="V62" s="15"/>
      <c r="W62" s="15"/>
      <c r="X62" s="15"/>
      <c r="Y62" s="15"/>
      <c r="Z62" s="15"/>
    </row>
    <row r="63" spans="1:26" ht="15.75" customHeight="1" x14ac:dyDescent="0.25">
      <c r="A63" s="48" t="s">
        <v>1351</v>
      </c>
      <c r="B63" s="41"/>
      <c r="C63" s="43"/>
      <c r="D63" s="43"/>
      <c r="E63" s="43"/>
      <c r="F63" s="43"/>
      <c r="G63" s="43"/>
      <c r="H63" s="26">
        <v>465000</v>
      </c>
      <c r="I63" s="14"/>
      <c r="J63" s="15"/>
      <c r="K63" s="15"/>
      <c r="L63" s="15"/>
      <c r="M63" s="15"/>
      <c r="N63" s="15"/>
      <c r="O63" s="15"/>
      <c r="P63" s="15"/>
      <c r="Q63" s="15"/>
      <c r="R63" s="15"/>
      <c r="S63" s="15"/>
      <c r="T63" s="15"/>
      <c r="U63" s="15"/>
      <c r="V63" s="15"/>
      <c r="W63" s="15"/>
      <c r="X63" s="15"/>
      <c r="Y63" s="15"/>
      <c r="Z63" s="15"/>
    </row>
    <row r="64" spans="1:26" ht="15.75" customHeight="1" x14ac:dyDescent="0.25">
      <c r="A64" s="42" t="s">
        <v>466</v>
      </c>
      <c r="B64" s="41"/>
      <c r="C64" s="54">
        <f>+SUM(C42:C52)</f>
        <v>3654609.16</v>
      </c>
      <c r="D64" s="54">
        <f>+SUM(D42:D52)</f>
        <v>1115317.56</v>
      </c>
      <c r="E64" s="54">
        <f>F64-D64</f>
        <v>2166648.44</v>
      </c>
      <c r="F64" s="54">
        <f>+SUM(F42:F52)</f>
        <v>3281966</v>
      </c>
      <c r="G64" s="54">
        <f>+SUM(G42:G52)</f>
        <v>5240050</v>
      </c>
      <c r="H64" s="26"/>
      <c r="I64" s="14"/>
      <c r="J64" s="15"/>
      <c r="K64" s="15"/>
      <c r="L64" s="15"/>
      <c r="M64" s="15"/>
      <c r="N64" s="15"/>
      <c r="O64" s="15"/>
      <c r="P64" s="15"/>
      <c r="Q64" s="15"/>
      <c r="R64" s="15"/>
      <c r="S64" s="15"/>
      <c r="T64" s="15"/>
      <c r="U64" s="15"/>
      <c r="V64" s="15"/>
      <c r="W64" s="15"/>
      <c r="X64" s="15"/>
      <c r="Y64" s="15"/>
      <c r="Z64" s="15"/>
    </row>
    <row r="65" spans="1:26" ht="15.75" customHeight="1" x14ac:dyDescent="0.25">
      <c r="A65" s="43"/>
      <c r="B65" s="41"/>
      <c r="C65" s="55"/>
      <c r="D65" s="163"/>
      <c r="E65" s="43"/>
      <c r="F65" s="55"/>
      <c r="G65" s="5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7" t="s">
        <v>467</v>
      </c>
      <c r="B66" s="41"/>
      <c r="C66" s="43">
        <f>+C64+C38</f>
        <v>26804983.689999994</v>
      </c>
      <c r="D66" s="43">
        <f>+D64+D38</f>
        <v>13835290.16</v>
      </c>
      <c r="E66" s="43">
        <f>F66-D66</f>
        <v>19731052.84</v>
      </c>
      <c r="F66" s="56">
        <f>+F64+F38</f>
        <v>33566343</v>
      </c>
      <c r="G66" s="43">
        <f>+G64+G38</f>
        <v>37133030</v>
      </c>
      <c r="H66" s="15"/>
      <c r="I66" s="15"/>
      <c r="J66" s="15"/>
      <c r="K66" s="15"/>
      <c r="L66" s="15"/>
      <c r="M66" s="15"/>
      <c r="N66" s="15"/>
      <c r="O66" s="15"/>
      <c r="P66" s="15"/>
      <c r="Q66" s="15"/>
      <c r="R66" s="15"/>
      <c r="S66" s="15"/>
      <c r="T66" s="15"/>
      <c r="U66" s="15"/>
      <c r="V66" s="15"/>
      <c r="W66" s="15"/>
      <c r="X66" s="15"/>
      <c r="Y66" s="15"/>
      <c r="Z66" s="15"/>
    </row>
    <row r="67" spans="1:26" ht="15.75" customHeight="1" x14ac:dyDescent="0.25">
      <c r="A67" s="42"/>
      <c r="B67" s="41"/>
      <c r="C67" s="43"/>
      <c r="D67" s="43"/>
      <c r="E67" s="43"/>
      <c r="F67" s="43"/>
      <c r="G67" s="43"/>
      <c r="H67" s="15"/>
      <c r="I67" s="15"/>
      <c r="J67" s="15"/>
      <c r="K67" s="15"/>
      <c r="L67" s="15"/>
      <c r="M67" s="15"/>
      <c r="N67" s="15"/>
      <c r="O67" s="15"/>
      <c r="P67" s="15"/>
      <c r="Q67" s="15"/>
      <c r="R67" s="15"/>
      <c r="S67" s="15"/>
      <c r="T67" s="15"/>
      <c r="U67" s="15"/>
      <c r="V67" s="15"/>
      <c r="W67" s="15"/>
      <c r="X67" s="15"/>
      <c r="Y67" s="15"/>
      <c r="Z67" s="15"/>
    </row>
    <row r="68" spans="1:26" ht="15.75" customHeight="1" x14ac:dyDescent="0.25">
      <c r="A68" s="42" t="s">
        <v>529</v>
      </c>
      <c r="B68" s="49"/>
      <c r="C68" s="43"/>
      <c r="D68" s="43"/>
      <c r="E68" s="43"/>
      <c r="F68" s="45"/>
      <c r="G68" s="45"/>
      <c r="H68" s="15"/>
      <c r="I68" s="15"/>
      <c r="J68" s="15"/>
      <c r="K68" s="15"/>
      <c r="L68" s="15"/>
      <c r="M68" s="15"/>
      <c r="N68" s="15"/>
      <c r="O68" s="15"/>
      <c r="P68" s="15"/>
      <c r="Q68" s="15"/>
      <c r="R68" s="15"/>
      <c r="S68" s="15"/>
      <c r="T68" s="15"/>
      <c r="U68" s="15"/>
      <c r="V68" s="15"/>
      <c r="W68" s="15"/>
      <c r="X68" s="15"/>
      <c r="Y68" s="15"/>
      <c r="Z68" s="15"/>
    </row>
    <row r="69" spans="1:26" ht="15.75" customHeight="1" x14ac:dyDescent="0.25">
      <c r="A69" s="17" t="s">
        <v>673</v>
      </c>
      <c r="B69" s="94"/>
      <c r="C69" s="43"/>
      <c r="D69" s="43"/>
      <c r="E69" s="43"/>
      <c r="F69" s="43"/>
      <c r="G69" s="43"/>
      <c r="H69" s="15"/>
      <c r="I69" s="15"/>
      <c r="J69" s="15"/>
      <c r="K69" s="15"/>
      <c r="L69" s="15"/>
      <c r="M69" s="15"/>
      <c r="N69" s="15"/>
      <c r="O69" s="15"/>
      <c r="P69" s="15"/>
      <c r="Q69" s="15"/>
      <c r="R69" s="15"/>
      <c r="S69" s="15"/>
      <c r="T69" s="15"/>
      <c r="U69" s="15"/>
      <c r="V69" s="15"/>
      <c r="W69" s="15"/>
      <c r="X69" s="15"/>
      <c r="Y69" s="15"/>
      <c r="Z69" s="15"/>
    </row>
    <row r="70" spans="1:26" ht="15.75" customHeight="1" x14ac:dyDescent="0.25">
      <c r="A70" s="44" t="s">
        <v>1353</v>
      </c>
      <c r="B70" s="41" t="s">
        <v>47</v>
      </c>
      <c r="C70" s="43">
        <v>529780</v>
      </c>
      <c r="D70" s="43">
        <v>0</v>
      </c>
      <c r="E70" s="43">
        <f t="shared" ref="E70" si="6">F70-D70</f>
        <v>0</v>
      </c>
      <c r="F70" s="43">
        <v>0</v>
      </c>
      <c r="G70" s="43">
        <v>65000</v>
      </c>
      <c r="H70" s="15"/>
      <c r="I70" s="15"/>
      <c r="J70" s="15"/>
      <c r="K70" s="15"/>
      <c r="L70" s="15"/>
      <c r="M70" s="15"/>
      <c r="N70" s="15"/>
      <c r="O70" s="15"/>
      <c r="P70" s="15"/>
      <c r="Q70" s="15"/>
      <c r="R70" s="15"/>
      <c r="S70" s="15"/>
      <c r="T70" s="15"/>
      <c r="U70" s="15"/>
      <c r="V70" s="15"/>
      <c r="W70" s="15"/>
      <c r="X70" s="15"/>
      <c r="Y70" s="15"/>
      <c r="Z70" s="15"/>
    </row>
    <row r="71" spans="1:26" ht="15.75" customHeight="1" x14ac:dyDescent="0.25">
      <c r="A71" s="44" t="s">
        <v>1354</v>
      </c>
      <c r="B71" s="41"/>
      <c r="C71" s="43"/>
      <c r="D71" s="43"/>
      <c r="E71" s="43"/>
      <c r="F71" s="43"/>
      <c r="G71" s="43"/>
      <c r="H71" s="15"/>
      <c r="I71" s="15"/>
      <c r="J71" s="15"/>
      <c r="K71" s="15"/>
      <c r="L71" s="15"/>
      <c r="M71" s="15"/>
      <c r="N71" s="15"/>
      <c r="O71" s="15"/>
      <c r="P71" s="15"/>
      <c r="Q71" s="15"/>
      <c r="R71" s="15"/>
      <c r="S71" s="15"/>
      <c r="T71" s="15"/>
      <c r="U71" s="15"/>
      <c r="V71" s="15"/>
      <c r="W71" s="15"/>
      <c r="X71" s="15"/>
      <c r="Y71" s="15"/>
      <c r="Z71" s="15"/>
    </row>
    <row r="72" spans="1:26" ht="15.75" customHeight="1" x14ac:dyDescent="0.25">
      <c r="A72" s="17" t="s">
        <v>1145</v>
      </c>
      <c r="B72" s="41"/>
      <c r="C72" s="54">
        <f>+SUM(C69:C71)</f>
        <v>529780</v>
      </c>
      <c r="D72" s="54">
        <f>+SUM(D69:D71)</f>
        <v>0</v>
      </c>
      <c r="E72" s="54">
        <f t="shared" ref="E72" si="7">F72-D72</f>
        <v>0</v>
      </c>
      <c r="F72" s="54">
        <f>+SUM(F69:F71)</f>
        <v>0</v>
      </c>
      <c r="G72" s="54">
        <f>+SUM(G69:G71)</f>
        <v>65000</v>
      </c>
      <c r="H72" s="175"/>
      <c r="I72" s="14"/>
    </row>
    <row r="73" spans="1:26" ht="15.75" customHeight="1" x14ac:dyDescent="0.25">
      <c r="A73" s="17"/>
      <c r="B73" s="41"/>
      <c r="C73" s="163"/>
      <c r="D73" s="163"/>
      <c r="E73" s="43"/>
      <c r="F73" s="163"/>
      <c r="G73" s="55"/>
      <c r="I73" s="7"/>
    </row>
    <row r="74" spans="1:26" ht="15.75" customHeight="1" x14ac:dyDescent="0.25">
      <c r="A74" s="50" t="s">
        <v>487</v>
      </c>
      <c r="B74" s="27" t="s">
        <v>488</v>
      </c>
      <c r="C74" s="97">
        <f>+C72+C66</f>
        <v>27334763.689999994</v>
      </c>
      <c r="D74" s="97">
        <f>+D72+D66</f>
        <v>13835290.16</v>
      </c>
      <c r="E74" s="54">
        <f>F74-D74</f>
        <v>19731052.84</v>
      </c>
      <c r="F74" s="97">
        <f>+F72+F66</f>
        <v>33566343</v>
      </c>
      <c r="G74" s="54">
        <f>+G72+G66</f>
        <v>37198030</v>
      </c>
    </row>
    <row r="75" spans="1:26" ht="15.75" customHeight="1" x14ac:dyDescent="0.25">
      <c r="A75" s="24"/>
      <c r="B75" s="25"/>
      <c r="C75" s="26"/>
      <c r="D75" s="26"/>
      <c r="E75" s="26"/>
      <c r="F75" s="26"/>
      <c r="G75" s="26"/>
    </row>
    <row r="76" spans="1:26" ht="15.75" customHeight="1" x14ac:dyDescent="0.25">
      <c r="A76" s="24"/>
      <c r="B76" s="25"/>
      <c r="C76" s="24"/>
      <c r="D76" s="24"/>
      <c r="E76" s="24"/>
      <c r="F76" s="114"/>
      <c r="G76" s="114"/>
    </row>
    <row r="77" spans="1:26" ht="15.75" customHeight="1" x14ac:dyDescent="0.25">
      <c r="A77" s="24"/>
      <c r="B77" s="25"/>
      <c r="C77" s="24"/>
      <c r="D77" s="24"/>
      <c r="E77" s="24"/>
      <c r="F77" s="114"/>
      <c r="G77" s="114"/>
    </row>
    <row r="78" spans="1:26" ht="15.75" customHeight="1" x14ac:dyDescent="0.25">
      <c r="A78" s="24"/>
      <c r="B78" s="25"/>
      <c r="C78" s="24"/>
      <c r="D78" s="24"/>
      <c r="E78" s="24"/>
      <c r="F78" s="114"/>
      <c r="G78" s="114"/>
    </row>
    <row r="79" spans="1:26" ht="15.75" customHeight="1" x14ac:dyDescent="0.25">
      <c r="A79" s="24"/>
      <c r="B79" s="25"/>
      <c r="C79" s="24"/>
      <c r="D79" s="24"/>
      <c r="E79" s="24"/>
      <c r="F79" s="114"/>
      <c r="G79" s="114"/>
    </row>
    <row r="80" spans="1:26" ht="15.75" customHeight="1" x14ac:dyDescent="0.25">
      <c r="A80" s="24"/>
      <c r="B80" s="25"/>
      <c r="C80" s="24"/>
      <c r="D80" s="24"/>
      <c r="E80" s="24"/>
      <c r="F80" s="114"/>
      <c r="G80" s="114"/>
    </row>
    <row r="81" spans="1:7" ht="15.75" customHeight="1" x14ac:dyDescent="0.25">
      <c r="A81" s="24"/>
      <c r="B81" s="25"/>
      <c r="C81" s="24"/>
      <c r="D81" s="24"/>
      <c r="E81" s="24"/>
      <c r="F81" s="114"/>
      <c r="G81" s="114"/>
    </row>
    <row r="82" spans="1:7" ht="15.75" customHeight="1" x14ac:dyDescent="0.25">
      <c r="A82" s="24"/>
      <c r="B82" s="25"/>
      <c r="C82" s="24"/>
      <c r="D82" s="24"/>
      <c r="E82" s="24"/>
      <c r="F82" s="114"/>
      <c r="G82" s="114"/>
    </row>
    <row r="83" spans="1:7" ht="15.75" customHeight="1" x14ac:dyDescent="0.25">
      <c r="A83" s="24"/>
      <c r="B83" s="25"/>
      <c r="C83" s="24"/>
      <c r="D83" s="24"/>
      <c r="E83" s="24"/>
      <c r="F83" s="114"/>
      <c r="G83" s="114"/>
    </row>
    <row r="84" spans="1:7" ht="15.75" customHeight="1" x14ac:dyDescent="0.25">
      <c r="A84" s="24"/>
      <c r="B84" s="25"/>
      <c r="C84" s="24"/>
      <c r="D84" s="24"/>
      <c r="E84" s="24"/>
      <c r="F84" s="114"/>
      <c r="G84" s="114"/>
    </row>
    <row r="85" spans="1:7" ht="15.75" customHeight="1" x14ac:dyDescent="0.25">
      <c r="A85" s="24"/>
      <c r="B85" s="25"/>
      <c r="C85" s="24"/>
      <c r="D85" s="24"/>
      <c r="E85" s="24"/>
      <c r="F85" s="114"/>
      <c r="G85" s="114"/>
    </row>
    <row r="86" spans="1:7" ht="15.75" customHeight="1" x14ac:dyDescent="0.25">
      <c r="A86" s="24"/>
      <c r="B86" s="25"/>
      <c r="C86" s="24"/>
      <c r="D86" s="24"/>
      <c r="E86" s="24"/>
      <c r="F86" s="114"/>
      <c r="G86" s="114"/>
    </row>
    <row r="87" spans="1:7" ht="15.75" customHeight="1" x14ac:dyDescent="0.25">
      <c r="A87" s="24"/>
      <c r="B87" s="25"/>
      <c r="C87" s="24"/>
      <c r="D87" s="24"/>
      <c r="E87" s="24"/>
      <c r="F87" s="114"/>
      <c r="G87" s="114"/>
    </row>
    <row r="88" spans="1:7" ht="15.75" customHeight="1" x14ac:dyDescent="0.25">
      <c r="A88" s="24"/>
      <c r="B88" s="25"/>
      <c r="C88" s="24"/>
      <c r="D88" s="24"/>
      <c r="E88" s="24"/>
      <c r="F88" s="114"/>
      <c r="G88" s="114"/>
    </row>
    <row r="89" spans="1:7" ht="15.75" customHeight="1" x14ac:dyDescent="0.25">
      <c r="A89" s="24"/>
      <c r="B89" s="25"/>
      <c r="C89" s="24"/>
      <c r="D89" s="24"/>
      <c r="E89" s="24"/>
      <c r="F89" s="114"/>
      <c r="G89" s="114"/>
    </row>
    <row r="90" spans="1:7" ht="15.75" customHeight="1" x14ac:dyDescent="0.25">
      <c r="A90" s="24"/>
      <c r="B90" s="25"/>
      <c r="C90" s="24"/>
      <c r="D90" s="24"/>
      <c r="E90" s="24"/>
      <c r="F90" s="114"/>
      <c r="G90" s="114"/>
    </row>
    <row r="91" spans="1:7" ht="15.75" customHeight="1" x14ac:dyDescent="0.25">
      <c r="A91" s="24"/>
      <c r="B91" s="25"/>
      <c r="C91" s="24"/>
      <c r="D91" s="24"/>
      <c r="E91" s="24"/>
      <c r="F91" s="114"/>
      <c r="G91" s="114"/>
    </row>
    <row r="92" spans="1:7" ht="15.75" customHeight="1" x14ac:dyDescent="0.25">
      <c r="A92" s="24"/>
      <c r="B92" s="25"/>
      <c r="C92" s="24"/>
      <c r="D92" s="24"/>
      <c r="E92" s="24"/>
      <c r="F92" s="114"/>
      <c r="G92" s="114"/>
    </row>
    <row r="93" spans="1:7" ht="15.75" customHeight="1" x14ac:dyDescent="0.25">
      <c r="A93" s="24"/>
      <c r="B93" s="25"/>
      <c r="C93" s="24"/>
      <c r="D93" s="24"/>
      <c r="E93" s="24"/>
      <c r="F93" s="114"/>
      <c r="G93" s="114"/>
    </row>
    <row r="94" spans="1:7" ht="15.75" customHeight="1" x14ac:dyDescent="0.25">
      <c r="A94" s="24"/>
      <c r="B94" s="25"/>
      <c r="C94" s="24"/>
      <c r="D94" s="24"/>
      <c r="E94" s="24"/>
      <c r="F94" s="114"/>
      <c r="G94" s="114"/>
    </row>
    <row r="95" spans="1:7" ht="15.75" customHeight="1" x14ac:dyDescent="0.25">
      <c r="A95" s="24"/>
      <c r="B95" s="25"/>
      <c r="C95" s="24"/>
      <c r="D95" s="24"/>
      <c r="E95" s="24"/>
      <c r="F95" s="114"/>
      <c r="G95" s="114"/>
    </row>
    <row r="96" spans="1:7" ht="15.75" customHeight="1" x14ac:dyDescent="0.25">
      <c r="A96" s="24"/>
      <c r="B96" s="25"/>
      <c r="C96" s="24"/>
      <c r="D96" s="24"/>
      <c r="E96" s="24"/>
      <c r="F96" s="114"/>
      <c r="G96" s="114"/>
    </row>
    <row r="97" spans="1:7" ht="15.75" customHeight="1" x14ac:dyDescent="0.25">
      <c r="A97" s="24"/>
      <c r="B97" s="25"/>
      <c r="C97" s="24"/>
      <c r="D97" s="24"/>
      <c r="E97" s="24"/>
      <c r="F97" s="114"/>
      <c r="G97" s="114"/>
    </row>
    <row r="98" spans="1:7" ht="15.75" customHeight="1" x14ac:dyDescent="0.25">
      <c r="A98" s="24"/>
      <c r="B98" s="25"/>
      <c r="C98" s="24"/>
      <c r="D98" s="24"/>
      <c r="E98" s="24"/>
      <c r="F98" s="114"/>
      <c r="G98" s="114"/>
    </row>
    <row r="99" spans="1:7" ht="15.75" customHeight="1" x14ac:dyDescent="0.25">
      <c r="A99" s="24"/>
      <c r="B99" s="25"/>
      <c r="C99" s="24"/>
      <c r="D99" s="24"/>
      <c r="E99" s="24"/>
      <c r="F99" s="114"/>
      <c r="G99" s="114"/>
    </row>
    <row r="100" spans="1:7" ht="15.75" customHeight="1" x14ac:dyDescent="0.25">
      <c r="A100" s="24"/>
      <c r="B100" s="25"/>
      <c r="C100" s="24"/>
      <c r="D100" s="24"/>
      <c r="E100" s="24"/>
      <c r="F100" s="114"/>
      <c r="G100" s="114"/>
    </row>
    <row r="101" spans="1:7" ht="15.75" customHeight="1" x14ac:dyDescent="0.25">
      <c r="A101" s="24"/>
      <c r="B101" s="25"/>
      <c r="C101" s="24"/>
      <c r="D101" s="24"/>
      <c r="E101" s="24"/>
      <c r="F101" s="114"/>
      <c r="G101" s="114"/>
    </row>
    <row r="102" spans="1:7" ht="15.75" customHeight="1" x14ac:dyDescent="0.25">
      <c r="A102" s="24"/>
      <c r="B102" s="25"/>
      <c r="C102" s="24"/>
      <c r="D102" s="24"/>
      <c r="E102" s="24"/>
      <c r="F102" s="114"/>
      <c r="G102" s="114"/>
    </row>
    <row r="103" spans="1:7" ht="15.75" customHeight="1" x14ac:dyDescent="0.25">
      <c r="A103" s="24"/>
      <c r="B103" s="25"/>
      <c r="C103" s="24"/>
      <c r="D103" s="24"/>
      <c r="E103" s="24"/>
      <c r="F103" s="114"/>
      <c r="G103" s="114"/>
    </row>
    <row r="104" spans="1:7" ht="15.75" customHeight="1" x14ac:dyDescent="0.25">
      <c r="A104" s="24"/>
      <c r="B104" s="25"/>
      <c r="C104" s="24"/>
      <c r="D104" s="24"/>
      <c r="E104" s="24"/>
      <c r="F104" s="114"/>
      <c r="G104" s="114"/>
    </row>
    <row r="105" spans="1:7" ht="15.75" customHeight="1" x14ac:dyDescent="0.25">
      <c r="A105" s="24"/>
      <c r="B105" s="25"/>
      <c r="C105" s="24"/>
      <c r="D105" s="24"/>
      <c r="E105" s="24"/>
      <c r="F105" s="114"/>
      <c r="G105" s="114"/>
    </row>
    <row r="106" spans="1:7" ht="15.75" customHeight="1" x14ac:dyDescent="0.25">
      <c r="A106" s="24"/>
      <c r="B106" s="25"/>
      <c r="C106" s="24"/>
      <c r="D106" s="24"/>
      <c r="E106" s="24"/>
      <c r="F106" s="114"/>
      <c r="G106" s="114"/>
    </row>
    <row r="107" spans="1:7" ht="15.75" customHeight="1" x14ac:dyDescent="0.25">
      <c r="A107" s="24"/>
      <c r="B107" s="25"/>
      <c r="C107" s="24"/>
      <c r="D107" s="24"/>
      <c r="E107" s="24"/>
      <c r="F107" s="114"/>
      <c r="G107" s="114"/>
    </row>
    <row r="108" spans="1:7" ht="15.75" customHeight="1" x14ac:dyDescent="0.25">
      <c r="A108" s="24"/>
      <c r="B108" s="25"/>
      <c r="C108" s="24"/>
      <c r="D108" s="24"/>
      <c r="E108" s="24"/>
      <c r="F108" s="114"/>
      <c r="G108" s="114"/>
    </row>
    <row r="109" spans="1:7" ht="15.75" customHeight="1" x14ac:dyDescent="0.25">
      <c r="A109" s="24"/>
      <c r="B109" s="25"/>
      <c r="C109" s="24"/>
      <c r="D109" s="24"/>
      <c r="E109" s="24"/>
      <c r="F109" s="114"/>
      <c r="G109" s="114"/>
    </row>
    <row r="110" spans="1:7" ht="15.75" customHeight="1" x14ac:dyDescent="0.25">
      <c r="A110" s="24"/>
      <c r="B110" s="25"/>
      <c r="C110" s="24"/>
      <c r="D110" s="24"/>
      <c r="E110" s="24"/>
      <c r="F110" s="114"/>
      <c r="G110" s="114"/>
    </row>
    <row r="111" spans="1:7" ht="15.75" customHeight="1" x14ac:dyDescent="0.25">
      <c r="A111" s="24"/>
      <c r="B111" s="25"/>
      <c r="C111" s="24"/>
      <c r="D111" s="24"/>
      <c r="E111" s="24"/>
      <c r="F111" s="114"/>
      <c r="G111" s="114"/>
    </row>
    <row r="112" spans="1:7" ht="15.75" customHeight="1" x14ac:dyDescent="0.25">
      <c r="A112" s="24"/>
      <c r="B112" s="25"/>
      <c r="C112" s="24"/>
      <c r="D112" s="24"/>
      <c r="E112" s="24"/>
      <c r="F112" s="114"/>
      <c r="G112" s="114"/>
    </row>
    <row r="113" spans="1:7" ht="15.75" customHeight="1" x14ac:dyDescent="0.25">
      <c r="A113" s="24"/>
      <c r="B113" s="25"/>
      <c r="C113" s="24"/>
      <c r="D113" s="24"/>
      <c r="E113" s="24"/>
      <c r="F113" s="114"/>
      <c r="G113" s="114"/>
    </row>
    <row r="114" spans="1:7" ht="15.75" customHeight="1" x14ac:dyDescent="0.25">
      <c r="A114" s="24"/>
      <c r="B114" s="25"/>
      <c r="C114" s="24"/>
      <c r="D114" s="24"/>
      <c r="E114" s="24"/>
      <c r="F114" s="114"/>
      <c r="G114" s="114"/>
    </row>
    <row r="115" spans="1:7" ht="15.75" customHeight="1" x14ac:dyDescent="0.25">
      <c r="A115" s="24"/>
      <c r="B115" s="25"/>
      <c r="C115" s="24"/>
      <c r="D115" s="24"/>
      <c r="E115" s="24"/>
      <c r="F115" s="114"/>
      <c r="G115" s="114"/>
    </row>
    <row r="116" spans="1:7" ht="15.75" customHeight="1" x14ac:dyDescent="0.25">
      <c r="A116" s="24"/>
      <c r="B116" s="25"/>
      <c r="C116" s="24"/>
      <c r="D116" s="24"/>
      <c r="E116" s="24"/>
      <c r="F116" s="114"/>
      <c r="G116" s="114"/>
    </row>
    <row r="117" spans="1:7" ht="15.75" customHeight="1" x14ac:dyDescent="0.25">
      <c r="A117" s="24"/>
      <c r="B117" s="25"/>
      <c r="C117" s="24"/>
      <c r="D117" s="24"/>
      <c r="E117" s="24"/>
      <c r="F117" s="114"/>
      <c r="G117" s="114"/>
    </row>
    <row r="118" spans="1:7" ht="15.75" customHeight="1" x14ac:dyDescent="0.25">
      <c r="A118" s="24"/>
      <c r="B118" s="25"/>
      <c r="C118" s="24"/>
      <c r="D118" s="24"/>
      <c r="E118" s="24"/>
      <c r="F118" s="114"/>
      <c r="G118" s="114"/>
    </row>
    <row r="119" spans="1:7" ht="15.75" customHeight="1" x14ac:dyDescent="0.25">
      <c r="A119" s="24"/>
      <c r="B119" s="25"/>
      <c r="C119" s="24"/>
      <c r="D119" s="24"/>
      <c r="E119" s="24"/>
      <c r="F119" s="114"/>
      <c r="G119" s="114"/>
    </row>
    <row r="120" spans="1:7" ht="15.75" customHeight="1" x14ac:dyDescent="0.25">
      <c r="A120" s="24"/>
      <c r="B120" s="25"/>
      <c r="C120" s="24"/>
      <c r="D120" s="24"/>
      <c r="E120" s="24"/>
      <c r="F120" s="114"/>
      <c r="G120" s="114"/>
    </row>
    <row r="121" spans="1:7" ht="15.75" customHeight="1" x14ac:dyDescent="0.25">
      <c r="A121" s="24"/>
      <c r="B121" s="25"/>
      <c r="C121" s="24"/>
      <c r="D121" s="24"/>
      <c r="E121" s="24"/>
      <c r="F121" s="114"/>
      <c r="G121" s="114"/>
    </row>
    <row r="122" spans="1:7" ht="15.75" customHeight="1" x14ac:dyDescent="0.25">
      <c r="A122" s="24"/>
      <c r="B122" s="25"/>
      <c r="C122" s="24"/>
      <c r="D122" s="24"/>
      <c r="E122" s="24"/>
      <c r="F122" s="114"/>
      <c r="G122" s="114"/>
    </row>
    <row r="123" spans="1:7" ht="15.75" customHeight="1" x14ac:dyDescent="0.25">
      <c r="A123" s="24"/>
      <c r="B123" s="25"/>
      <c r="C123" s="24"/>
      <c r="D123" s="24"/>
      <c r="E123" s="24"/>
      <c r="F123" s="114"/>
      <c r="G123" s="114"/>
    </row>
    <row r="124" spans="1:7" ht="15.75" customHeight="1" x14ac:dyDescent="0.25">
      <c r="A124" s="24"/>
      <c r="B124" s="25"/>
      <c r="C124" s="24"/>
      <c r="D124" s="24"/>
      <c r="E124" s="24"/>
      <c r="F124" s="114"/>
      <c r="G124" s="114"/>
    </row>
    <row r="125" spans="1:7" ht="15.75" customHeight="1" x14ac:dyDescent="0.25">
      <c r="A125" s="24"/>
      <c r="B125" s="25"/>
      <c r="C125" s="24"/>
      <c r="D125" s="24"/>
      <c r="E125" s="24"/>
      <c r="F125" s="114"/>
      <c r="G125" s="114"/>
    </row>
    <row r="126" spans="1:7" ht="15.75" customHeight="1" x14ac:dyDescent="0.25">
      <c r="A126" s="24"/>
      <c r="B126" s="25"/>
      <c r="C126" s="24"/>
      <c r="D126" s="24"/>
      <c r="E126" s="24"/>
      <c r="F126" s="114"/>
      <c r="G126" s="114"/>
    </row>
    <row r="127" spans="1:7" ht="15.75" customHeight="1" x14ac:dyDescent="0.25">
      <c r="A127" s="24"/>
      <c r="B127" s="25"/>
      <c r="C127" s="24"/>
      <c r="D127" s="24"/>
      <c r="E127" s="24"/>
      <c r="F127" s="114"/>
      <c r="G127" s="114"/>
    </row>
    <row r="128" spans="1:7" ht="15.75" customHeight="1" x14ac:dyDescent="0.25">
      <c r="A128" s="24"/>
      <c r="B128" s="25"/>
      <c r="C128" s="24"/>
      <c r="D128" s="24"/>
      <c r="E128" s="24"/>
      <c r="F128" s="114"/>
      <c r="G128" s="114"/>
    </row>
    <row r="129" spans="1:7" ht="15.75" customHeight="1" x14ac:dyDescent="0.25">
      <c r="A129" s="24"/>
      <c r="B129" s="25"/>
      <c r="C129" s="24"/>
      <c r="D129" s="24"/>
      <c r="E129" s="24"/>
      <c r="F129" s="114"/>
      <c r="G129" s="114"/>
    </row>
    <row r="130" spans="1:7" ht="15.75" customHeight="1" x14ac:dyDescent="0.25">
      <c r="A130" s="24"/>
      <c r="B130" s="25"/>
      <c r="C130" s="24"/>
      <c r="D130" s="24"/>
      <c r="E130" s="24"/>
      <c r="F130" s="114"/>
      <c r="G130" s="114"/>
    </row>
    <row r="131" spans="1:7" ht="15.75" customHeight="1" x14ac:dyDescent="0.25">
      <c r="A131" s="24"/>
      <c r="B131" s="25"/>
      <c r="C131" s="24"/>
      <c r="D131" s="24"/>
      <c r="E131" s="24"/>
      <c r="F131" s="114"/>
      <c r="G131" s="114"/>
    </row>
    <row r="132" spans="1:7" ht="15.75" customHeight="1" x14ac:dyDescent="0.25">
      <c r="A132" s="24"/>
      <c r="B132" s="25"/>
      <c r="C132" s="24"/>
      <c r="D132" s="24"/>
      <c r="E132" s="24"/>
      <c r="F132" s="114"/>
      <c r="G132" s="114"/>
    </row>
    <row r="133" spans="1:7" ht="15.75" customHeight="1" x14ac:dyDescent="0.25">
      <c r="A133" s="24"/>
      <c r="B133" s="25"/>
      <c r="C133" s="24"/>
      <c r="D133" s="24"/>
      <c r="E133" s="24"/>
      <c r="F133" s="114"/>
      <c r="G133" s="114"/>
    </row>
    <row r="134" spans="1:7" ht="15.75" customHeight="1" x14ac:dyDescent="0.25">
      <c r="A134" s="24"/>
      <c r="B134" s="25"/>
      <c r="C134" s="24"/>
      <c r="D134" s="24"/>
      <c r="E134" s="24"/>
      <c r="F134" s="114"/>
      <c r="G134" s="114"/>
    </row>
    <row r="135" spans="1:7" ht="15.75" customHeight="1" x14ac:dyDescent="0.25">
      <c r="A135" s="24"/>
      <c r="B135" s="25"/>
      <c r="C135" s="24"/>
      <c r="D135" s="24"/>
      <c r="E135" s="24"/>
      <c r="F135" s="114"/>
      <c r="G135" s="114"/>
    </row>
    <row r="136" spans="1:7" ht="15.75" customHeight="1" x14ac:dyDescent="0.25">
      <c r="A136" s="24"/>
      <c r="B136" s="25"/>
      <c r="C136" s="24"/>
      <c r="D136" s="24"/>
      <c r="E136" s="24"/>
      <c r="F136" s="114"/>
      <c r="G136" s="114"/>
    </row>
    <row r="137" spans="1:7" ht="15.75" customHeight="1" x14ac:dyDescent="0.25">
      <c r="A137" s="24"/>
      <c r="B137" s="25"/>
      <c r="C137" s="24"/>
      <c r="D137" s="24"/>
      <c r="E137" s="24"/>
      <c r="F137" s="114"/>
      <c r="G137" s="114"/>
    </row>
    <row r="138" spans="1:7" ht="15.75" customHeight="1" x14ac:dyDescent="0.25">
      <c r="A138" s="24"/>
      <c r="B138" s="25"/>
      <c r="C138" s="24"/>
      <c r="D138" s="24"/>
      <c r="E138" s="24"/>
      <c r="F138" s="114"/>
      <c r="G138" s="114"/>
    </row>
    <row r="139" spans="1:7" ht="15.75" customHeight="1" x14ac:dyDescent="0.25">
      <c r="A139" s="24"/>
      <c r="B139" s="25"/>
      <c r="C139" s="24"/>
      <c r="D139" s="24"/>
      <c r="E139" s="24"/>
      <c r="F139" s="114"/>
      <c r="G139" s="114"/>
    </row>
    <row r="140" spans="1:7" ht="15.75" customHeight="1" x14ac:dyDescent="0.25">
      <c r="A140" s="24"/>
      <c r="B140" s="25"/>
      <c r="C140" s="24"/>
      <c r="D140" s="24"/>
      <c r="E140" s="24"/>
      <c r="F140" s="114"/>
      <c r="G140" s="114"/>
    </row>
    <row r="141" spans="1:7" ht="15.75" customHeight="1" x14ac:dyDescent="0.25">
      <c r="A141" s="24"/>
      <c r="B141" s="25"/>
      <c r="C141" s="24"/>
      <c r="D141" s="24"/>
      <c r="E141" s="24"/>
      <c r="F141" s="114"/>
      <c r="G141" s="114"/>
    </row>
    <row r="142" spans="1:7" ht="15.75" customHeight="1" x14ac:dyDescent="0.25">
      <c r="A142" s="24"/>
      <c r="B142" s="25"/>
      <c r="C142" s="24"/>
      <c r="D142" s="24"/>
      <c r="E142" s="24"/>
      <c r="F142" s="114"/>
      <c r="G142" s="114"/>
    </row>
    <row r="143" spans="1:7" ht="15.75" customHeight="1" x14ac:dyDescent="0.25">
      <c r="A143" s="24"/>
      <c r="B143" s="25"/>
      <c r="C143" s="24"/>
      <c r="D143" s="24"/>
      <c r="E143" s="24"/>
      <c r="F143" s="114"/>
      <c r="G143" s="114"/>
    </row>
    <row r="144" spans="1:7" ht="15.75" customHeight="1" x14ac:dyDescent="0.25">
      <c r="A144" s="24"/>
      <c r="B144" s="25"/>
      <c r="C144" s="24"/>
      <c r="D144" s="24"/>
      <c r="E144" s="24"/>
      <c r="F144" s="114"/>
      <c r="G144" s="114"/>
    </row>
    <row r="145" spans="1:7" ht="15.75" customHeight="1" x14ac:dyDescent="0.25">
      <c r="A145" s="24"/>
      <c r="B145" s="25"/>
      <c r="C145" s="24"/>
      <c r="D145" s="24"/>
      <c r="E145" s="24"/>
      <c r="F145" s="114"/>
      <c r="G145" s="114"/>
    </row>
    <row r="146" spans="1:7" ht="15.75" customHeight="1" x14ac:dyDescent="0.25">
      <c r="A146" s="24"/>
      <c r="B146" s="25"/>
      <c r="C146" s="24"/>
      <c r="D146" s="24"/>
      <c r="E146" s="24"/>
      <c r="F146" s="114"/>
      <c r="G146" s="114"/>
    </row>
    <row r="147" spans="1:7" ht="15.75" customHeight="1" x14ac:dyDescent="0.25">
      <c r="A147" s="24"/>
      <c r="B147" s="25"/>
      <c r="C147" s="24"/>
      <c r="D147" s="24"/>
      <c r="E147" s="24"/>
      <c r="F147" s="114"/>
      <c r="G147" s="114"/>
    </row>
    <row r="148" spans="1:7" ht="15.75" customHeight="1" x14ac:dyDescent="0.25">
      <c r="A148" s="24"/>
      <c r="B148" s="25"/>
      <c r="C148" s="24"/>
      <c r="D148" s="24"/>
      <c r="E148" s="24"/>
      <c r="F148" s="114"/>
      <c r="G148" s="114"/>
    </row>
    <row r="149" spans="1:7" ht="15.75" customHeight="1" x14ac:dyDescent="0.25">
      <c r="A149" s="24"/>
      <c r="B149" s="25"/>
      <c r="C149" s="24"/>
      <c r="D149" s="24"/>
      <c r="E149" s="24"/>
      <c r="F149" s="114"/>
      <c r="G149" s="114"/>
    </row>
    <row r="150" spans="1:7" ht="15.75" customHeight="1" x14ac:dyDescent="0.25">
      <c r="A150" s="24"/>
      <c r="B150" s="25"/>
      <c r="C150" s="24"/>
      <c r="D150" s="24"/>
      <c r="E150" s="24"/>
      <c r="F150" s="114"/>
      <c r="G150" s="114"/>
    </row>
    <row r="151" spans="1:7" ht="15.75" customHeight="1" x14ac:dyDescent="0.25">
      <c r="A151" s="24"/>
      <c r="B151" s="25"/>
      <c r="C151" s="24"/>
      <c r="D151" s="24"/>
      <c r="E151" s="24"/>
      <c r="F151" s="114"/>
      <c r="G151" s="114"/>
    </row>
    <row r="152" spans="1:7" ht="15.75" customHeight="1" x14ac:dyDescent="0.25">
      <c r="A152" s="24"/>
      <c r="B152" s="25"/>
      <c r="C152" s="24"/>
      <c r="D152" s="24"/>
      <c r="E152" s="24"/>
      <c r="F152" s="114"/>
      <c r="G152" s="114"/>
    </row>
    <row r="153" spans="1:7" ht="15.75" customHeight="1" x14ac:dyDescent="0.25">
      <c r="A153" s="24"/>
      <c r="B153" s="25"/>
      <c r="C153" s="24"/>
      <c r="D153" s="24"/>
      <c r="E153" s="24"/>
      <c r="F153" s="114"/>
      <c r="G153" s="114"/>
    </row>
    <row r="154" spans="1:7" ht="15.75" customHeight="1" x14ac:dyDescent="0.25">
      <c r="A154" s="24"/>
      <c r="B154" s="25"/>
      <c r="C154" s="24"/>
      <c r="D154" s="24"/>
      <c r="E154" s="24"/>
      <c r="F154" s="114"/>
      <c r="G154" s="114"/>
    </row>
    <row r="155" spans="1:7" ht="15.75" customHeight="1" x14ac:dyDescent="0.25">
      <c r="A155" s="24"/>
      <c r="B155" s="25"/>
      <c r="C155" s="24"/>
      <c r="D155" s="24"/>
      <c r="E155" s="24"/>
      <c r="F155" s="114"/>
      <c r="G155" s="114"/>
    </row>
    <row r="156" spans="1:7" ht="15.75" customHeight="1" x14ac:dyDescent="0.25">
      <c r="A156" s="24"/>
      <c r="B156" s="25"/>
      <c r="C156" s="24"/>
      <c r="D156" s="24"/>
      <c r="E156" s="24"/>
      <c r="F156" s="114"/>
      <c r="G156" s="114"/>
    </row>
    <row r="157" spans="1:7" ht="15.75" customHeight="1" x14ac:dyDescent="0.25">
      <c r="A157" s="24"/>
      <c r="B157" s="25"/>
      <c r="C157" s="24"/>
      <c r="D157" s="24"/>
      <c r="E157" s="24"/>
      <c r="F157" s="114"/>
      <c r="G157" s="114"/>
    </row>
    <row r="158" spans="1:7" ht="15.75" customHeight="1" x14ac:dyDescent="0.25">
      <c r="A158" s="24"/>
      <c r="B158" s="25"/>
      <c r="C158" s="24"/>
      <c r="D158" s="24"/>
      <c r="E158" s="24"/>
      <c r="F158" s="114"/>
      <c r="G158" s="114"/>
    </row>
    <row r="159" spans="1:7" ht="15.75" customHeight="1" x14ac:dyDescent="0.25">
      <c r="A159" s="24"/>
      <c r="B159" s="25"/>
      <c r="C159" s="24"/>
      <c r="D159" s="24"/>
      <c r="E159" s="24"/>
      <c r="F159" s="114"/>
      <c r="G159" s="114"/>
    </row>
    <row r="160" spans="1:7" ht="15.75" customHeight="1" x14ac:dyDescent="0.25">
      <c r="A160" s="24"/>
      <c r="B160" s="25"/>
      <c r="C160" s="24"/>
      <c r="D160" s="24"/>
      <c r="E160" s="24"/>
      <c r="F160" s="114"/>
      <c r="G160" s="114"/>
    </row>
    <row r="161" spans="1:7" ht="15.75" customHeight="1" x14ac:dyDescent="0.25">
      <c r="A161" s="24"/>
      <c r="B161" s="25"/>
      <c r="C161" s="24"/>
      <c r="D161" s="24"/>
      <c r="E161" s="24"/>
      <c r="F161" s="114"/>
      <c r="G161" s="114"/>
    </row>
    <row r="162" spans="1:7" ht="15.75" customHeight="1" x14ac:dyDescent="0.25">
      <c r="A162" s="24"/>
      <c r="B162" s="25"/>
      <c r="C162" s="24"/>
      <c r="D162" s="24"/>
      <c r="E162" s="24"/>
      <c r="F162" s="114"/>
      <c r="G162" s="114"/>
    </row>
    <row r="163" spans="1:7" ht="15.75" customHeight="1" x14ac:dyDescent="0.25">
      <c r="A163" s="24"/>
      <c r="B163" s="25"/>
      <c r="C163" s="24"/>
      <c r="D163" s="24"/>
      <c r="E163" s="24"/>
      <c r="F163" s="114"/>
      <c r="G163" s="114"/>
    </row>
    <row r="164" spans="1:7" ht="15.75" customHeight="1" x14ac:dyDescent="0.25">
      <c r="A164" s="24"/>
      <c r="B164" s="25"/>
      <c r="C164" s="24"/>
      <c r="D164" s="24"/>
      <c r="E164" s="24"/>
      <c r="F164" s="114"/>
      <c r="G164" s="114"/>
    </row>
    <row r="165" spans="1:7" ht="15.75" customHeight="1" x14ac:dyDescent="0.25">
      <c r="A165" s="24"/>
      <c r="B165" s="25"/>
      <c r="C165" s="24"/>
      <c r="D165" s="24"/>
      <c r="E165" s="24"/>
      <c r="F165" s="114"/>
      <c r="G165" s="114"/>
    </row>
    <row r="166" spans="1:7" ht="15.75" customHeight="1" x14ac:dyDescent="0.25">
      <c r="A166" s="24"/>
      <c r="B166" s="25"/>
      <c r="C166" s="24"/>
      <c r="D166" s="24"/>
      <c r="E166" s="24"/>
      <c r="F166" s="114"/>
      <c r="G166" s="114"/>
    </row>
    <row r="167" spans="1:7" ht="15.75" customHeight="1" x14ac:dyDescent="0.25">
      <c r="A167" s="24"/>
      <c r="B167" s="25"/>
      <c r="C167" s="24"/>
      <c r="D167" s="24"/>
      <c r="E167" s="24"/>
      <c r="F167" s="114"/>
      <c r="G167" s="114"/>
    </row>
    <row r="168" spans="1:7" ht="15.75" customHeight="1" x14ac:dyDescent="0.25">
      <c r="A168" s="24"/>
      <c r="B168" s="25"/>
      <c r="C168" s="24"/>
      <c r="D168" s="24"/>
      <c r="E168" s="24"/>
      <c r="F168" s="114"/>
      <c r="G168" s="114"/>
    </row>
    <row r="169" spans="1:7" ht="15.75" customHeight="1" x14ac:dyDescent="0.25">
      <c r="A169" s="24"/>
      <c r="B169" s="25"/>
      <c r="C169" s="24"/>
      <c r="D169" s="24"/>
      <c r="E169" s="24"/>
      <c r="F169" s="114"/>
      <c r="G169" s="114"/>
    </row>
    <row r="170" spans="1:7" ht="15.75" customHeight="1" x14ac:dyDescent="0.25">
      <c r="A170" s="24"/>
      <c r="B170" s="25"/>
      <c r="C170" s="24"/>
      <c r="D170" s="24"/>
      <c r="E170" s="24"/>
      <c r="F170" s="114"/>
      <c r="G170" s="114"/>
    </row>
    <row r="171" spans="1:7" ht="15.75" customHeight="1" x14ac:dyDescent="0.25">
      <c r="A171" s="24"/>
      <c r="B171" s="25"/>
      <c r="C171" s="24"/>
      <c r="D171" s="24"/>
      <c r="E171" s="24"/>
      <c r="F171" s="114"/>
      <c r="G171" s="114"/>
    </row>
    <row r="172" spans="1:7" ht="15.75" customHeight="1" x14ac:dyDescent="0.25">
      <c r="A172" s="24"/>
      <c r="B172" s="25"/>
      <c r="C172" s="24"/>
      <c r="D172" s="24"/>
      <c r="E172" s="24"/>
      <c r="F172" s="114"/>
      <c r="G172" s="114"/>
    </row>
    <row r="173" spans="1:7" ht="15.75" customHeight="1" x14ac:dyDescent="0.25">
      <c r="A173" s="24"/>
      <c r="B173" s="25"/>
      <c r="C173" s="24"/>
      <c r="D173" s="24"/>
      <c r="E173" s="24"/>
      <c r="F173" s="114"/>
      <c r="G173" s="114"/>
    </row>
    <row r="174" spans="1:7" ht="15.75" customHeight="1" x14ac:dyDescent="0.25">
      <c r="A174" s="24"/>
      <c r="B174" s="25"/>
      <c r="C174" s="24"/>
      <c r="D174" s="24"/>
      <c r="E174" s="24"/>
      <c r="F174" s="114"/>
      <c r="G174" s="114"/>
    </row>
    <row r="175" spans="1:7" ht="15.75" customHeight="1" x14ac:dyDescent="0.25">
      <c r="A175" s="24"/>
      <c r="B175" s="25"/>
      <c r="C175" s="24"/>
      <c r="D175" s="24"/>
      <c r="E175" s="24"/>
      <c r="F175" s="114"/>
      <c r="G175" s="114"/>
    </row>
    <row r="176" spans="1:7" ht="15.75" customHeight="1" x14ac:dyDescent="0.25">
      <c r="A176" s="24"/>
      <c r="B176" s="25"/>
      <c r="C176" s="24"/>
      <c r="D176" s="24"/>
      <c r="E176" s="24"/>
      <c r="F176" s="114"/>
      <c r="G176" s="114"/>
    </row>
    <row r="177" spans="1:7" ht="15.75" customHeight="1" x14ac:dyDescent="0.25">
      <c r="A177" s="24"/>
      <c r="B177" s="25"/>
      <c r="C177" s="24"/>
      <c r="D177" s="24"/>
      <c r="E177" s="24"/>
      <c r="F177" s="114"/>
      <c r="G177" s="114"/>
    </row>
    <row r="178" spans="1:7" ht="15.75" customHeight="1" x14ac:dyDescent="0.25">
      <c r="A178" s="24"/>
      <c r="B178" s="25"/>
      <c r="C178" s="24"/>
      <c r="D178" s="24"/>
      <c r="E178" s="24"/>
      <c r="F178" s="114"/>
      <c r="G178" s="114"/>
    </row>
    <row r="179" spans="1:7" ht="15.75" customHeight="1" x14ac:dyDescent="0.25">
      <c r="A179" s="24"/>
      <c r="B179" s="25"/>
      <c r="C179" s="24"/>
      <c r="D179" s="24"/>
      <c r="E179" s="24"/>
      <c r="F179" s="114"/>
      <c r="G179" s="114"/>
    </row>
    <row r="180" spans="1:7" ht="15.75" customHeight="1" x14ac:dyDescent="0.25">
      <c r="A180" s="24"/>
      <c r="B180" s="25"/>
      <c r="C180" s="24"/>
      <c r="D180" s="24"/>
      <c r="E180" s="24"/>
      <c r="F180" s="114"/>
      <c r="G180" s="114"/>
    </row>
    <row r="181" spans="1:7" ht="15.75" customHeight="1" x14ac:dyDescent="0.25">
      <c r="A181" s="24"/>
      <c r="B181" s="25"/>
      <c r="C181" s="24"/>
      <c r="D181" s="24"/>
      <c r="E181" s="24"/>
      <c r="F181" s="114"/>
      <c r="G181" s="114"/>
    </row>
    <row r="182" spans="1:7" ht="15.75" customHeight="1" x14ac:dyDescent="0.25">
      <c r="A182" s="24"/>
      <c r="B182" s="25"/>
      <c r="C182" s="24"/>
      <c r="D182" s="24"/>
      <c r="E182" s="24"/>
      <c r="F182" s="114"/>
      <c r="G182" s="114"/>
    </row>
    <row r="183" spans="1:7" ht="15.75" customHeight="1" x14ac:dyDescent="0.25">
      <c r="A183" s="24"/>
      <c r="B183" s="25"/>
      <c r="C183" s="24"/>
      <c r="D183" s="24"/>
      <c r="E183" s="24"/>
      <c r="F183" s="114"/>
      <c r="G183" s="114"/>
    </row>
    <row r="184" spans="1:7" ht="15.75" customHeight="1" x14ac:dyDescent="0.25">
      <c r="A184" s="24"/>
      <c r="B184" s="25"/>
      <c r="C184" s="24"/>
      <c r="D184" s="24"/>
      <c r="E184" s="24"/>
      <c r="F184" s="114"/>
      <c r="G184" s="114"/>
    </row>
    <row r="185" spans="1:7" ht="15.75" customHeight="1" x14ac:dyDescent="0.25">
      <c r="A185" s="24"/>
      <c r="B185" s="25"/>
      <c r="C185" s="24"/>
      <c r="D185" s="24"/>
      <c r="E185" s="24"/>
      <c r="F185" s="114"/>
      <c r="G185" s="114"/>
    </row>
    <row r="186" spans="1:7" ht="15.75" customHeight="1" x14ac:dyDescent="0.25">
      <c r="A186" s="24"/>
      <c r="B186" s="25"/>
      <c r="C186" s="24"/>
      <c r="D186" s="24"/>
      <c r="E186" s="24"/>
      <c r="F186" s="114"/>
      <c r="G186" s="114"/>
    </row>
    <row r="187" spans="1:7" ht="15.75" customHeight="1" x14ac:dyDescent="0.25">
      <c r="A187" s="24"/>
      <c r="B187" s="25"/>
      <c r="C187" s="24"/>
      <c r="D187" s="24"/>
      <c r="E187" s="24"/>
      <c r="F187" s="114"/>
      <c r="G187" s="114"/>
    </row>
    <row r="188" spans="1:7" ht="15.75" customHeight="1" x14ac:dyDescent="0.25">
      <c r="A188" s="24"/>
      <c r="B188" s="25"/>
      <c r="C188" s="24"/>
      <c r="D188" s="24"/>
      <c r="E188" s="24"/>
      <c r="F188" s="114"/>
      <c r="G188" s="114"/>
    </row>
    <row r="189" spans="1:7" ht="15.75" customHeight="1" x14ac:dyDescent="0.25">
      <c r="A189" s="24"/>
      <c r="B189" s="25"/>
      <c r="C189" s="24"/>
      <c r="D189" s="24"/>
      <c r="E189" s="24"/>
      <c r="F189" s="114"/>
      <c r="G189" s="114"/>
    </row>
    <row r="190" spans="1:7" ht="15.75" customHeight="1" x14ac:dyDescent="0.25">
      <c r="A190" s="24"/>
      <c r="B190" s="25"/>
      <c r="C190" s="24"/>
      <c r="D190" s="24"/>
      <c r="E190" s="24"/>
      <c r="F190" s="114"/>
      <c r="G190" s="114"/>
    </row>
    <row r="191" spans="1:7" ht="15.75" customHeight="1" x14ac:dyDescent="0.25">
      <c r="A191" s="24"/>
      <c r="B191" s="25"/>
      <c r="C191" s="24"/>
      <c r="D191" s="24"/>
      <c r="E191" s="24"/>
      <c r="F191" s="114"/>
      <c r="G191" s="114"/>
    </row>
    <row r="192" spans="1:7" ht="15.75" customHeight="1" x14ac:dyDescent="0.25">
      <c r="A192" s="24"/>
      <c r="B192" s="25"/>
      <c r="C192" s="24"/>
      <c r="D192" s="24"/>
      <c r="E192" s="24"/>
      <c r="F192" s="114"/>
      <c r="G192" s="114"/>
    </row>
    <row r="193" spans="1:7" ht="15.75" customHeight="1" x14ac:dyDescent="0.25">
      <c r="A193" s="24"/>
      <c r="B193" s="25"/>
      <c r="C193" s="24"/>
      <c r="D193" s="24"/>
      <c r="E193" s="24"/>
      <c r="F193" s="114"/>
      <c r="G193" s="114"/>
    </row>
    <row r="194" spans="1:7" ht="15.75" customHeight="1" x14ac:dyDescent="0.25">
      <c r="A194" s="24"/>
      <c r="B194" s="25"/>
      <c r="C194" s="24"/>
      <c r="D194" s="24"/>
      <c r="E194" s="24"/>
      <c r="F194" s="114"/>
      <c r="G194" s="114"/>
    </row>
    <row r="195" spans="1:7" ht="15.75" customHeight="1" x14ac:dyDescent="0.25">
      <c r="A195" s="24"/>
      <c r="B195" s="25"/>
      <c r="C195" s="24"/>
      <c r="D195" s="24"/>
      <c r="E195" s="24"/>
      <c r="F195" s="114"/>
      <c r="G195" s="114"/>
    </row>
    <row r="196" spans="1:7" ht="15.75" customHeight="1" x14ac:dyDescent="0.25">
      <c r="A196" s="24"/>
      <c r="B196" s="25"/>
      <c r="C196" s="24"/>
      <c r="D196" s="24"/>
      <c r="E196" s="24"/>
      <c r="F196" s="114"/>
      <c r="G196" s="114"/>
    </row>
    <row r="197" spans="1:7" ht="15.75" customHeight="1" x14ac:dyDescent="0.25">
      <c r="A197" s="24"/>
      <c r="B197" s="25"/>
      <c r="C197" s="24"/>
      <c r="D197" s="24"/>
      <c r="E197" s="24"/>
      <c r="F197" s="114"/>
      <c r="G197" s="114"/>
    </row>
    <row r="198" spans="1:7" ht="15.75" customHeight="1" x14ac:dyDescent="0.25">
      <c r="A198" s="24"/>
      <c r="B198" s="25"/>
      <c r="C198" s="24"/>
      <c r="D198" s="24"/>
      <c r="E198" s="24"/>
      <c r="F198" s="114"/>
      <c r="G198" s="114"/>
    </row>
    <row r="199" spans="1:7" ht="15.75" customHeight="1" x14ac:dyDescent="0.25">
      <c r="A199" s="24"/>
      <c r="B199" s="25"/>
      <c r="C199" s="24"/>
      <c r="D199" s="24"/>
      <c r="E199" s="24"/>
      <c r="F199" s="114"/>
      <c r="G199" s="114"/>
    </row>
    <row r="200" spans="1:7" ht="15.75" customHeight="1" x14ac:dyDescent="0.25">
      <c r="A200" s="24"/>
      <c r="B200" s="25"/>
      <c r="C200" s="24"/>
      <c r="D200" s="24"/>
      <c r="E200" s="24"/>
      <c r="F200" s="114"/>
      <c r="G200" s="114"/>
    </row>
    <row r="201" spans="1:7" ht="15.75" customHeight="1" x14ac:dyDescent="0.25">
      <c r="A201" s="24"/>
      <c r="B201" s="25"/>
      <c r="C201" s="24"/>
      <c r="D201" s="24"/>
      <c r="E201" s="24"/>
      <c r="F201" s="114"/>
      <c r="G201" s="114"/>
    </row>
    <row r="202" spans="1:7" ht="15.75" customHeight="1" x14ac:dyDescent="0.25">
      <c r="A202" s="24"/>
      <c r="B202" s="25"/>
      <c r="C202" s="24"/>
      <c r="D202" s="24"/>
      <c r="E202" s="24"/>
      <c r="F202" s="114"/>
      <c r="G202" s="114"/>
    </row>
    <row r="203" spans="1:7" ht="15.75" customHeight="1" x14ac:dyDescent="0.25">
      <c r="A203" s="24"/>
      <c r="B203" s="25"/>
      <c r="C203" s="24"/>
      <c r="D203" s="24"/>
      <c r="E203" s="24"/>
      <c r="F203" s="114"/>
      <c r="G203" s="114"/>
    </row>
    <row r="204" spans="1:7" ht="15.75" customHeight="1" x14ac:dyDescent="0.25">
      <c r="A204" s="24"/>
      <c r="B204" s="25"/>
      <c r="C204" s="24"/>
      <c r="D204" s="24"/>
      <c r="E204" s="24"/>
      <c r="F204" s="114"/>
      <c r="G204" s="114"/>
    </row>
    <row r="205" spans="1:7" ht="15.75" customHeight="1" x14ac:dyDescent="0.25">
      <c r="A205" s="24"/>
      <c r="B205" s="25"/>
      <c r="C205" s="24"/>
      <c r="D205" s="24"/>
      <c r="E205" s="24"/>
      <c r="F205" s="114"/>
      <c r="G205" s="114"/>
    </row>
    <row r="206" spans="1:7" ht="15.75" customHeight="1" x14ac:dyDescent="0.25">
      <c r="A206" s="24"/>
      <c r="B206" s="25"/>
      <c r="C206" s="24"/>
      <c r="D206" s="24"/>
      <c r="E206" s="24"/>
      <c r="F206" s="114"/>
      <c r="G206" s="114"/>
    </row>
    <row r="207" spans="1:7" ht="15.75" customHeight="1" x14ac:dyDescent="0.25">
      <c r="A207" s="24"/>
      <c r="B207" s="25"/>
      <c r="C207" s="24"/>
      <c r="D207" s="24"/>
      <c r="E207" s="24"/>
      <c r="F207" s="114"/>
      <c r="G207" s="114"/>
    </row>
    <row r="208" spans="1:7" ht="15.75" customHeight="1" x14ac:dyDescent="0.25">
      <c r="A208" s="24"/>
      <c r="B208" s="25"/>
      <c r="C208" s="24"/>
      <c r="D208" s="24"/>
      <c r="E208" s="24"/>
      <c r="F208" s="114"/>
      <c r="G208" s="114"/>
    </row>
    <row r="209" spans="1:7" ht="15.75" customHeight="1" x14ac:dyDescent="0.25">
      <c r="A209" s="24"/>
      <c r="B209" s="25"/>
      <c r="C209" s="24"/>
      <c r="D209" s="24"/>
      <c r="E209" s="24"/>
      <c r="F209" s="114"/>
      <c r="G209" s="114"/>
    </row>
    <row r="210" spans="1:7" ht="15.75" customHeight="1" x14ac:dyDescent="0.25">
      <c r="A210" s="24"/>
      <c r="B210" s="25"/>
      <c r="C210" s="24"/>
      <c r="D210" s="24"/>
      <c r="E210" s="24"/>
      <c r="F210" s="114"/>
      <c r="G210" s="114"/>
    </row>
    <row r="211" spans="1:7" ht="15.75" customHeight="1" x14ac:dyDescent="0.25">
      <c r="A211" s="24"/>
      <c r="B211" s="25"/>
      <c r="C211" s="24"/>
      <c r="D211" s="24"/>
      <c r="E211" s="24"/>
      <c r="F211" s="114"/>
      <c r="G211" s="114"/>
    </row>
    <row r="212" spans="1:7" ht="15.75" customHeight="1" x14ac:dyDescent="0.25">
      <c r="A212" s="24"/>
      <c r="B212" s="25"/>
      <c r="C212" s="24"/>
      <c r="D212" s="24"/>
      <c r="E212" s="24"/>
      <c r="F212" s="114"/>
      <c r="G212" s="114"/>
    </row>
    <row r="213" spans="1:7" ht="15.75" customHeight="1" x14ac:dyDescent="0.25">
      <c r="A213" s="24"/>
      <c r="B213" s="25"/>
      <c r="C213" s="24"/>
      <c r="D213" s="24"/>
      <c r="E213" s="24"/>
      <c r="F213" s="114"/>
      <c r="G213" s="114"/>
    </row>
    <row r="214" spans="1:7" ht="15.75" customHeight="1" x14ac:dyDescent="0.25">
      <c r="A214" s="24"/>
      <c r="B214" s="25"/>
      <c r="C214" s="24"/>
      <c r="D214" s="24"/>
      <c r="E214" s="24"/>
      <c r="F214" s="114"/>
      <c r="G214" s="114"/>
    </row>
    <row r="215" spans="1:7" ht="15.75" customHeight="1" x14ac:dyDescent="0.25">
      <c r="A215" s="24"/>
      <c r="B215" s="25"/>
      <c r="C215" s="24"/>
      <c r="D215" s="24"/>
      <c r="E215" s="24"/>
      <c r="F215" s="114"/>
      <c r="G215" s="114"/>
    </row>
    <row r="216" spans="1:7" ht="15.75" customHeight="1" x14ac:dyDescent="0.25">
      <c r="A216" s="24"/>
      <c r="B216" s="25"/>
      <c r="C216" s="24"/>
      <c r="D216" s="24"/>
      <c r="E216" s="24"/>
      <c r="F216" s="114"/>
      <c r="G216" s="114"/>
    </row>
    <row r="217" spans="1:7" ht="15.75" customHeight="1" x14ac:dyDescent="0.25">
      <c r="A217" s="24"/>
      <c r="B217" s="25"/>
      <c r="C217" s="24"/>
      <c r="D217" s="24"/>
      <c r="E217" s="24"/>
      <c r="F217" s="114"/>
      <c r="G217" s="114"/>
    </row>
    <row r="218" spans="1:7" ht="15.75" customHeight="1" x14ac:dyDescent="0.25">
      <c r="A218" s="24"/>
      <c r="B218" s="25"/>
      <c r="C218" s="24"/>
      <c r="D218" s="24"/>
      <c r="E218" s="24"/>
      <c r="F218" s="114"/>
      <c r="G218" s="114"/>
    </row>
    <row r="219" spans="1:7" ht="15.75" customHeight="1" x14ac:dyDescent="0.25">
      <c r="A219" s="24"/>
      <c r="B219" s="25"/>
      <c r="C219" s="24"/>
      <c r="D219" s="24"/>
      <c r="E219" s="24"/>
      <c r="F219" s="114"/>
      <c r="G219" s="114"/>
    </row>
    <row r="220" spans="1:7" ht="15.75" customHeight="1" x14ac:dyDescent="0.25">
      <c r="A220" s="24"/>
      <c r="B220" s="25"/>
      <c r="C220" s="24"/>
      <c r="D220" s="24"/>
      <c r="E220" s="24"/>
      <c r="F220" s="114"/>
      <c r="G220" s="114"/>
    </row>
    <row r="221" spans="1:7" ht="15.75" customHeight="1" x14ac:dyDescent="0.25">
      <c r="A221" s="24"/>
      <c r="B221" s="25"/>
      <c r="C221" s="24"/>
      <c r="D221" s="24"/>
      <c r="E221" s="24"/>
      <c r="F221" s="114"/>
      <c r="G221" s="114"/>
    </row>
    <row r="222" spans="1:7" ht="15.75" customHeight="1" x14ac:dyDescent="0.25">
      <c r="A222" s="24"/>
      <c r="B222" s="25"/>
      <c r="C222" s="24"/>
      <c r="D222" s="24"/>
      <c r="E222" s="24"/>
      <c r="F222" s="114"/>
      <c r="G222" s="114"/>
    </row>
    <row r="223" spans="1:7" ht="15.75" customHeight="1" x14ac:dyDescent="0.25">
      <c r="A223" s="24"/>
      <c r="B223" s="25"/>
      <c r="C223" s="24"/>
      <c r="D223" s="24"/>
      <c r="E223" s="24"/>
      <c r="F223" s="114"/>
      <c r="G223" s="114"/>
    </row>
    <row r="224" spans="1:7" ht="15.75" customHeight="1" x14ac:dyDescent="0.25">
      <c r="A224" s="24"/>
      <c r="B224" s="25"/>
      <c r="C224" s="24"/>
      <c r="D224" s="24"/>
      <c r="E224" s="24"/>
      <c r="F224" s="114"/>
      <c r="G224" s="114"/>
    </row>
    <row r="225" spans="1:7" ht="15.75" customHeight="1" x14ac:dyDescent="0.25">
      <c r="A225" s="24"/>
      <c r="B225" s="25"/>
      <c r="C225" s="24"/>
      <c r="D225" s="24"/>
      <c r="E225" s="24"/>
      <c r="F225" s="114"/>
      <c r="G225" s="114"/>
    </row>
    <row r="226" spans="1:7" ht="15.75" customHeight="1" x14ac:dyDescent="0.25">
      <c r="A226" s="24"/>
      <c r="B226" s="25"/>
      <c r="C226" s="24"/>
      <c r="D226" s="24"/>
      <c r="E226" s="24"/>
      <c r="F226" s="114"/>
      <c r="G226" s="114"/>
    </row>
    <row r="227" spans="1:7" ht="15.75" customHeight="1" x14ac:dyDescent="0.25">
      <c r="A227" s="24"/>
      <c r="B227" s="25"/>
      <c r="C227" s="24"/>
      <c r="D227" s="24"/>
      <c r="E227" s="24"/>
      <c r="F227" s="114"/>
      <c r="G227" s="114"/>
    </row>
    <row r="228" spans="1:7" ht="15.75" customHeight="1" x14ac:dyDescent="0.25">
      <c r="A228" s="24"/>
      <c r="B228" s="25"/>
      <c r="C228" s="24"/>
      <c r="D228" s="24"/>
      <c r="E228" s="24"/>
      <c r="F228" s="114"/>
      <c r="G228" s="114"/>
    </row>
    <row r="229" spans="1:7" ht="15.75" customHeight="1" x14ac:dyDescent="0.25">
      <c r="A229" s="24"/>
      <c r="B229" s="25"/>
      <c r="C229" s="24"/>
      <c r="D229" s="24"/>
      <c r="E229" s="24"/>
      <c r="F229" s="114"/>
      <c r="G229" s="114"/>
    </row>
    <row r="230" spans="1:7" ht="15.75" customHeight="1" x14ac:dyDescent="0.25">
      <c r="A230" s="24"/>
      <c r="B230" s="25"/>
      <c r="C230" s="24"/>
      <c r="D230" s="24"/>
      <c r="E230" s="24"/>
      <c r="F230" s="114"/>
      <c r="G230" s="114"/>
    </row>
    <row r="231" spans="1:7" ht="15.75" customHeight="1" x14ac:dyDescent="0.25">
      <c r="A231" s="24"/>
      <c r="B231" s="25"/>
      <c r="C231" s="24"/>
      <c r="D231" s="24"/>
      <c r="E231" s="24"/>
      <c r="F231" s="114"/>
      <c r="G231" s="114"/>
    </row>
    <row r="232" spans="1:7" ht="15.75" customHeight="1" x14ac:dyDescent="0.25">
      <c r="A232" s="24"/>
      <c r="B232" s="25"/>
      <c r="C232" s="24"/>
      <c r="D232" s="24"/>
      <c r="E232" s="24"/>
      <c r="F232" s="114"/>
      <c r="G232" s="114"/>
    </row>
    <row r="233" spans="1:7" ht="15.75" customHeight="1" x14ac:dyDescent="0.25">
      <c r="A233" s="24"/>
      <c r="B233" s="25"/>
      <c r="C233" s="24"/>
      <c r="D233" s="24"/>
      <c r="E233" s="24"/>
      <c r="F233" s="114"/>
      <c r="G233" s="114"/>
    </row>
    <row r="234" spans="1:7" ht="15.75" customHeight="1" x14ac:dyDescent="0.25">
      <c r="A234" s="24"/>
      <c r="B234" s="25"/>
      <c r="C234" s="24"/>
      <c r="D234" s="24"/>
      <c r="E234" s="24"/>
      <c r="F234" s="114"/>
      <c r="G234" s="114"/>
    </row>
    <row r="235" spans="1:7" ht="15.75" customHeight="1" x14ac:dyDescent="0.25">
      <c r="A235" s="24"/>
      <c r="B235" s="25"/>
      <c r="C235" s="24"/>
      <c r="D235" s="24"/>
      <c r="E235" s="24"/>
      <c r="F235" s="114"/>
      <c r="G235" s="114"/>
    </row>
    <row r="236" spans="1:7" ht="15.75" customHeight="1" x14ac:dyDescent="0.25">
      <c r="A236" s="24"/>
      <c r="B236" s="25"/>
      <c r="C236" s="24"/>
      <c r="D236" s="24"/>
      <c r="E236" s="24"/>
      <c r="F236" s="114"/>
      <c r="G236" s="114"/>
    </row>
    <row r="237" spans="1:7" ht="15.75" customHeight="1" x14ac:dyDescent="0.25">
      <c r="A237" s="24"/>
      <c r="B237" s="25"/>
      <c r="C237" s="24"/>
      <c r="D237" s="24"/>
      <c r="E237" s="24"/>
      <c r="F237" s="114"/>
      <c r="G237" s="114"/>
    </row>
    <row r="238" spans="1:7" ht="15.75" customHeight="1" x14ac:dyDescent="0.25">
      <c r="A238" s="24"/>
      <c r="B238" s="25"/>
      <c r="C238" s="24"/>
      <c r="D238" s="24"/>
      <c r="E238" s="24"/>
      <c r="F238" s="114"/>
      <c r="G238" s="114"/>
    </row>
    <row r="239" spans="1:7" ht="15.75" customHeight="1" x14ac:dyDescent="0.25">
      <c r="A239" s="24"/>
      <c r="B239" s="25"/>
      <c r="C239" s="24"/>
      <c r="D239" s="24"/>
      <c r="E239" s="24"/>
      <c r="F239" s="114"/>
      <c r="G239" s="114"/>
    </row>
    <row r="240" spans="1:7" ht="15.75" customHeight="1" x14ac:dyDescent="0.25">
      <c r="A240" s="24"/>
      <c r="B240" s="25"/>
      <c r="C240" s="24"/>
      <c r="D240" s="24"/>
      <c r="E240" s="24"/>
      <c r="F240" s="114"/>
      <c r="G240" s="114"/>
    </row>
    <row r="241" spans="1:7" ht="15.75" customHeight="1" x14ac:dyDescent="0.25">
      <c r="A241" s="24"/>
      <c r="B241" s="25"/>
      <c r="C241" s="24"/>
      <c r="D241" s="24"/>
      <c r="E241" s="24"/>
      <c r="F241" s="114"/>
      <c r="G241" s="114"/>
    </row>
    <row r="242" spans="1:7" ht="15.75" customHeight="1" x14ac:dyDescent="0.25">
      <c r="A242" s="24"/>
      <c r="B242" s="25"/>
      <c r="C242" s="24"/>
      <c r="D242" s="24"/>
      <c r="E242" s="24"/>
      <c r="F242" s="114"/>
      <c r="G242" s="114"/>
    </row>
    <row r="243" spans="1:7" ht="15.75" customHeight="1" x14ac:dyDescent="0.25">
      <c r="A243" s="24"/>
      <c r="B243" s="25"/>
      <c r="C243" s="24"/>
      <c r="D243" s="24"/>
      <c r="E243" s="24"/>
      <c r="F243" s="114"/>
      <c r="G243" s="114"/>
    </row>
    <row r="244" spans="1:7" ht="15.75" customHeight="1" x14ac:dyDescent="0.25">
      <c r="A244" s="24"/>
      <c r="B244" s="25"/>
      <c r="C244" s="24"/>
      <c r="D244" s="24"/>
      <c r="E244" s="24"/>
      <c r="F244" s="114"/>
      <c r="G244" s="114"/>
    </row>
    <row r="245" spans="1:7" ht="15.75" customHeight="1" x14ac:dyDescent="0.25">
      <c r="A245" s="24"/>
      <c r="B245" s="25"/>
      <c r="C245" s="24"/>
      <c r="D245" s="24"/>
      <c r="E245" s="24"/>
      <c r="F245" s="114"/>
      <c r="G245" s="114"/>
    </row>
    <row r="246" spans="1:7" ht="15.75" customHeight="1" x14ac:dyDescent="0.25">
      <c r="A246" s="24"/>
      <c r="B246" s="25"/>
      <c r="C246" s="24"/>
      <c r="D246" s="24"/>
      <c r="E246" s="24"/>
      <c r="F246" s="114"/>
      <c r="G246" s="114"/>
    </row>
    <row r="247" spans="1:7" ht="15.75" customHeight="1" x14ac:dyDescent="0.25">
      <c r="A247" s="24"/>
      <c r="B247" s="25"/>
      <c r="C247" s="24"/>
      <c r="D247" s="24"/>
      <c r="E247" s="24"/>
      <c r="F247" s="114"/>
      <c r="G247" s="114"/>
    </row>
    <row r="248" spans="1:7" ht="15.75" customHeight="1" x14ac:dyDescent="0.25">
      <c r="A248" s="24"/>
      <c r="B248" s="25"/>
      <c r="C248" s="24"/>
      <c r="D248" s="24"/>
      <c r="E248" s="24"/>
      <c r="F248" s="114"/>
      <c r="G248" s="114"/>
    </row>
    <row r="249" spans="1:7" ht="15.75" customHeight="1" x14ac:dyDescent="0.25">
      <c r="A249" s="24"/>
      <c r="B249" s="25"/>
      <c r="C249" s="24"/>
      <c r="D249" s="24"/>
      <c r="E249" s="24"/>
      <c r="F249" s="114"/>
      <c r="G249" s="114"/>
    </row>
    <row r="250" spans="1:7" ht="15.75" customHeight="1" x14ac:dyDescent="0.25">
      <c r="A250" s="24"/>
      <c r="B250" s="25"/>
      <c r="C250" s="24"/>
      <c r="D250" s="24"/>
      <c r="E250" s="24"/>
      <c r="F250" s="114"/>
      <c r="G250" s="114"/>
    </row>
    <row r="251" spans="1:7" ht="15.75" customHeight="1" x14ac:dyDescent="0.25">
      <c r="A251" s="24"/>
      <c r="B251" s="25"/>
      <c r="C251" s="24"/>
      <c r="D251" s="24"/>
      <c r="E251" s="24"/>
      <c r="F251" s="114"/>
      <c r="G251" s="114"/>
    </row>
    <row r="252" spans="1:7" ht="15.75" customHeight="1" x14ac:dyDescent="0.25">
      <c r="A252" s="24"/>
      <c r="B252" s="25"/>
      <c r="C252" s="24"/>
      <c r="D252" s="24"/>
      <c r="E252" s="24"/>
      <c r="F252" s="114"/>
      <c r="G252" s="114"/>
    </row>
    <row r="253" spans="1:7" ht="15.75" customHeight="1" x14ac:dyDescent="0.25">
      <c r="A253" s="24"/>
      <c r="B253" s="25"/>
      <c r="C253" s="24"/>
      <c r="D253" s="24"/>
      <c r="E253" s="24"/>
      <c r="F253" s="114"/>
      <c r="G253" s="114"/>
    </row>
    <row r="254" spans="1:7" ht="15.75" customHeight="1" x14ac:dyDescent="0.25">
      <c r="A254" s="24"/>
      <c r="B254" s="25"/>
      <c r="C254" s="24"/>
      <c r="D254" s="24"/>
      <c r="E254" s="24"/>
      <c r="F254" s="114"/>
      <c r="G254" s="114"/>
    </row>
    <row r="255" spans="1:7" ht="15.75" customHeight="1" x14ac:dyDescent="0.25">
      <c r="A255" s="24"/>
      <c r="B255" s="25"/>
      <c r="C255" s="24"/>
      <c r="D255" s="24"/>
      <c r="E255" s="24"/>
      <c r="F255" s="114"/>
      <c r="G255" s="114"/>
    </row>
    <row r="256" spans="1:7" ht="15.75" customHeight="1" x14ac:dyDescent="0.25">
      <c r="A256" s="24"/>
      <c r="B256" s="25"/>
      <c r="C256" s="24"/>
      <c r="D256" s="24"/>
      <c r="E256" s="24"/>
      <c r="F256" s="114"/>
      <c r="G256" s="114"/>
    </row>
    <row r="257" spans="1:7" ht="15.75" customHeight="1" x14ac:dyDescent="0.25">
      <c r="A257" s="24"/>
      <c r="B257" s="25"/>
      <c r="C257" s="24"/>
      <c r="D257" s="24"/>
      <c r="E257" s="24"/>
      <c r="F257" s="114"/>
      <c r="G257" s="114"/>
    </row>
    <row r="258" spans="1:7" ht="15.75" customHeight="1" x14ac:dyDescent="0.25">
      <c r="A258" s="24"/>
      <c r="B258" s="25"/>
      <c r="C258" s="24"/>
      <c r="D258" s="24"/>
      <c r="E258" s="24"/>
      <c r="F258" s="114"/>
      <c r="G258" s="114"/>
    </row>
    <row r="259" spans="1:7" ht="15.75" customHeight="1" x14ac:dyDescent="0.25">
      <c r="A259" s="24"/>
      <c r="B259" s="25"/>
      <c r="C259" s="24"/>
      <c r="D259" s="24"/>
      <c r="E259" s="24"/>
      <c r="F259" s="114"/>
      <c r="G259" s="114"/>
    </row>
    <row r="260" spans="1:7" ht="15.75" customHeight="1" x14ac:dyDescent="0.25">
      <c r="A260" s="24"/>
      <c r="B260" s="25"/>
      <c r="C260" s="24"/>
      <c r="D260" s="24"/>
      <c r="E260" s="24"/>
      <c r="F260" s="114"/>
      <c r="G260" s="114"/>
    </row>
    <row r="261" spans="1:7" ht="15.75" customHeight="1" x14ac:dyDescent="0.25">
      <c r="A261" s="24"/>
      <c r="B261" s="25"/>
      <c r="C261" s="24"/>
      <c r="D261" s="24"/>
      <c r="E261" s="24"/>
      <c r="F261" s="114"/>
      <c r="G261" s="114"/>
    </row>
    <row r="262" spans="1:7" ht="15.75" customHeight="1" x14ac:dyDescent="0.25">
      <c r="A262" s="24"/>
      <c r="B262" s="25"/>
      <c r="C262" s="24"/>
      <c r="D262" s="24"/>
      <c r="E262" s="24"/>
      <c r="F262" s="114"/>
      <c r="G262" s="114"/>
    </row>
    <row r="263" spans="1:7" ht="15.75" customHeight="1" x14ac:dyDescent="0.25">
      <c r="A263" s="24"/>
      <c r="B263" s="25"/>
      <c r="C263" s="24"/>
      <c r="D263" s="24"/>
      <c r="E263" s="24"/>
      <c r="F263" s="114"/>
      <c r="G263" s="114"/>
    </row>
    <row r="264" spans="1:7" ht="15.75" customHeight="1" x14ac:dyDescent="0.25">
      <c r="A264" s="24"/>
      <c r="B264" s="25"/>
      <c r="C264" s="24"/>
      <c r="D264" s="24"/>
      <c r="E264" s="24"/>
      <c r="F264" s="114"/>
      <c r="G264" s="114"/>
    </row>
    <row r="265" spans="1:7" ht="15.75" customHeight="1" x14ac:dyDescent="0.25">
      <c r="A265" s="24"/>
      <c r="B265" s="25"/>
      <c r="C265" s="24"/>
      <c r="D265" s="24"/>
      <c r="E265" s="24"/>
      <c r="F265" s="114"/>
      <c r="G265" s="114"/>
    </row>
    <row r="266" spans="1:7" ht="15.75" customHeight="1" x14ac:dyDescent="0.25">
      <c r="A266" s="24"/>
      <c r="B266" s="25"/>
      <c r="C266" s="24"/>
      <c r="D266" s="24"/>
      <c r="E266" s="24"/>
      <c r="F266" s="114"/>
      <c r="G266" s="114"/>
    </row>
    <row r="267" spans="1:7" ht="15.75" customHeight="1" x14ac:dyDescent="0.25">
      <c r="A267" s="24"/>
      <c r="B267" s="25"/>
      <c r="C267" s="24"/>
      <c r="D267" s="24"/>
      <c r="E267" s="24"/>
      <c r="F267" s="114"/>
      <c r="G267" s="114"/>
    </row>
    <row r="268" spans="1:7" ht="15.75" customHeight="1" x14ac:dyDescent="0.25">
      <c r="A268" s="24"/>
      <c r="B268" s="25"/>
      <c r="C268" s="24"/>
      <c r="D268" s="24"/>
      <c r="E268" s="24"/>
      <c r="F268" s="114"/>
      <c r="G268" s="114"/>
    </row>
    <row r="269" spans="1:7" ht="15.75" customHeight="1" x14ac:dyDescent="0.25">
      <c r="A269" s="24"/>
      <c r="B269" s="25"/>
      <c r="C269" s="24"/>
      <c r="D269" s="24"/>
      <c r="E269" s="24"/>
      <c r="F269" s="114"/>
      <c r="G269" s="114"/>
    </row>
    <row r="270" spans="1:7" ht="15.75" customHeight="1" x14ac:dyDescent="0.25">
      <c r="A270" s="24"/>
      <c r="B270" s="25"/>
      <c r="C270" s="24"/>
      <c r="D270" s="24"/>
      <c r="E270" s="24"/>
      <c r="F270" s="114"/>
      <c r="G270" s="114"/>
    </row>
    <row r="271" spans="1:7" ht="15.75" customHeight="1" x14ac:dyDescent="0.25">
      <c r="A271" s="24"/>
      <c r="B271" s="25"/>
      <c r="C271" s="24"/>
      <c r="D271" s="24"/>
      <c r="E271" s="24"/>
      <c r="F271" s="114"/>
      <c r="G271" s="114"/>
    </row>
    <row r="272" spans="1:7" ht="15.75" customHeight="1" x14ac:dyDescent="0.25">
      <c r="A272" s="24"/>
      <c r="B272" s="25"/>
      <c r="C272" s="24"/>
      <c r="D272" s="24"/>
      <c r="E272" s="24"/>
      <c r="F272" s="114"/>
      <c r="G272" s="114"/>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7" fitToHeight="0" orientation="portrait" r:id="rId1"/>
  <rowBreaks count="1" manualBreakCount="1">
    <brk id="55"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6"/>
  <sheetViews>
    <sheetView view="pageBreakPreview" zoomScale="130" zoomScaleNormal="115" zoomScaleSheetLayoutView="130" workbookViewId="0">
      <selection activeCell="A3" sqref="A3:G3"/>
    </sheetView>
  </sheetViews>
  <sheetFormatPr defaultColWidth="14.42578125" defaultRowHeight="15" customHeight="1" x14ac:dyDescent="0.25"/>
  <cols>
    <col min="1" max="1" width="73.5703125" customWidth="1"/>
    <col min="2" max="2" width="16" customWidth="1"/>
    <col min="3" max="6" width="17.85546875" hidden="1" customWidth="1"/>
    <col min="7" max="7" width="17.85546875" customWidth="1"/>
    <col min="8" max="10" width="14.5703125" customWidth="1"/>
    <col min="11" max="11" width="13.28515625" customWidth="1"/>
    <col min="12" max="26" width="10.28515625" customWidth="1"/>
  </cols>
  <sheetData>
    <row r="1" spans="1:26" ht="15.7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7"/>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4"/>
      <c r="I5" s="15"/>
      <c r="J5" s="15"/>
      <c r="K5" s="167"/>
      <c r="L5" s="15"/>
      <c r="M5" s="15"/>
      <c r="N5" s="15"/>
      <c r="O5" s="15"/>
      <c r="P5" s="15"/>
      <c r="Q5" s="15"/>
      <c r="R5" s="15"/>
      <c r="S5" s="15"/>
      <c r="T5" s="15"/>
      <c r="U5" s="15"/>
      <c r="V5" s="15"/>
      <c r="W5" s="15"/>
      <c r="X5" s="15"/>
      <c r="Y5" s="15"/>
      <c r="Z5" s="15"/>
    </row>
    <row r="6" spans="1:26" ht="15.75" customHeight="1" x14ac:dyDescent="0.25">
      <c r="A6" s="17" t="s">
        <v>1355</v>
      </c>
      <c r="B6" s="24"/>
      <c r="C6" s="25"/>
      <c r="D6" s="25"/>
      <c r="E6" s="25"/>
      <c r="F6" s="24"/>
      <c r="G6" s="19"/>
      <c r="H6" s="14"/>
      <c r="I6" s="15"/>
      <c r="J6" s="15"/>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I13" s="7"/>
      <c r="J13" s="7"/>
      <c r="K13" s="168"/>
    </row>
    <row r="14" spans="1:26" ht="15.75" customHeight="1" x14ac:dyDescent="0.25">
      <c r="A14" s="17" t="s">
        <v>365</v>
      </c>
      <c r="B14" s="172"/>
      <c r="C14" s="42"/>
      <c r="D14" s="42"/>
      <c r="E14" s="42"/>
      <c r="F14" s="42"/>
      <c r="G14" s="42"/>
      <c r="H14" s="7"/>
      <c r="I14" s="7"/>
      <c r="J14" s="7"/>
      <c r="K14" s="168"/>
    </row>
    <row r="15" spans="1:26" ht="15.75" customHeight="1" x14ac:dyDescent="0.25">
      <c r="A15" s="17" t="s">
        <v>366</v>
      </c>
      <c r="B15" s="172"/>
      <c r="C15" s="42"/>
      <c r="D15" s="42"/>
      <c r="E15" s="42"/>
      <c r="F15" s="42"/>
      <c r="G15" s="42"/>
      <c r="H15" s="7"/>
      <c r="I15" s="7"/>
      <c r="J15" s="7"/>
      <c r="K15" s="168"/>
    </row>
    <row r="16" spans="1:26" ht="15.75" customHeight="1" x14ac:dyDescent="0.25">
      <c r="A16" s="44" t="s">
        <v>367</v>
      </c>
      <c r="B16" s="41" t="s">
        <v>121</v>
      </c>
      <c r="C16" s="43">
        <v>5171099.71</v>
      </c>
      <c r="D16" s="43">
        <v>2730738</v>
      </c>
      <c r="E16" s="43">
        <f>F16-D16</f>
        <v>3667578</v>
      </c>
      <c r="F16" s="43">
        <v>6398316</v>
      </c>
      <c r="G16" s="43">
        <v>6663408</v>
      </c>
      <c r="H16" s="7"/>
      <c r="I16" s="7"/>
      <c r="J16" s="7"/>
      <c r="K16" s="168"/>
    </row>
    <row r="17" spans="1:26" ht="15.75" customHeight="1" x14ac:dyDescent="0.25">
      <c r="A17" s="17" t="s">
        <v>368</v>
      </c>
      <c r="B17" s="172"/>
      <c r="C17" s="43"/>
      <c r="D17" s="43"/>
      <c r="E17" s="43"/>
      <c r="F17" s="43"/>
      <c r="G17" s="43"/>
      <c r="H17" s="7"/>
      <c r="I17" s="7"/>
      <c r="J17" s="7"/>
      <c r="K17" s="168"/>
    </row>
    <row r="18" spans="1:26" ht="15.75" customHeight="1" x14ac:dyDescent="0.25">
      <c r="A18" s="44" t="s">
        <v>369</v>
      </c>
      <c r="B18" s="41" t="s">
        <v>125</v>
      </c>
      <c r="C18" s="43">
        <v>287909.09000000003</v>
      </c>
      <c r="D18" s="43">
        <v>144000</v>
      </c>
      <c r="E18" s="43">
        <f t="shared" ref="E18:E23" si="0">F18-D18</f>
        <v>168000</v>
      </c>
      <c r="F18" s="43">
        <v>312000</v>
      </c>
      <c r="G18" s="43">
        <v>312000</v>
      </c>
      <c r="H18" s="14"/>
      <c r="I18" s="14"/>
      <c r="J18" s="14"/>
      <c r="K18" s="167"/>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216000</v>
      </c>
      <c r="D19" s="43">
        <v>108000</v>
      </c>
      <c r="E19" s="43">
        <f t="shared" si="0"/>
        <v>108000</v>
      </c>
      <c r="F19" s="43">
        <v>216000</v>
      </c>
      <c r="G19" s="43">
        <v>216000</v>
      </c>
      <c r="H19" s="14"/>
      <c r="I19" s="14"/>
      <c r="J19" s="14"/>
      <c r="K19" s="167"/>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216000</v>
      </c>
      <c r="D20" s="43">
        <v>108000</v>
      </c>
      <c r="E20" s="43">
        <f t="shared" si="0"/>
        <v>108000</v>
      </c>
      <c r="F20" s="43">
        <v>216000</v>
      </c>
      <c r="G20" s="43">
        <v>216000</v>
      </c>
      <c r="H20" s="14"/>
      <c r="I20" s="14"/>
      <c r="J20" s="14"/>
      <c r="K20" s="167"/>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84000</v>
      </c>
      <c r="D21" s="43">
        <v>84000</v>
      </c>
      <c r="E21" s="43">
        <f t="shared" si="0"/>
        <v>7000</v>
      </c>
      <c r="F21" s="43">
        <v>91000</v>
      </c>
      <c r="G21" s="43">
        <v>91000</v>
      </c>
      <c r="H21" s="14"/>
      <c r="I21" s="14"/>
      <c r="J21" s="14"/>
      <c r="K21" s="167"/>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454983</v>
      </c>
      <c r="D22" s="43">
        <v>0</v>
      </c>
      <c r="E22" s="43">
        <f t="shared" si="0"/>
        <v>533193</v>
      </c>
      <c r="F22" s="43">
        <v>533193</v>
      </c>
      <c r="G22" s="43">
        <v>555284</v>
      </c>
      <c r="H22" s="14"/>
      <c r="I22" s="14"/>
      <c r="J22" s="14"/>
      <c r="K22" s="167"/>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60000</v>
      </c>
      <c r="D23" s="43">
        <v>0</v>
      </c>
      <c r="E23" s="43">
        <f t="shared" si="0"/>
        <v>65000</v>
      </c>
      <c r="F23" s="43">
        <v>65000</v>
      </c>
      <c r="G23" s="43">
        <v>65000</v>
      </c>
      <c r="H23" s="14"/>
      <c r="I23" s="14"/>
      <c r="J23" s="14"/>
      <c r="K23" s="167"/>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4"/>
      <c r="I24" s="14"/>
      <c r="J24" s="14"/>
      <c r="K24" s="167"/>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5000</v>
      </c>
      <c r="D25" s="43">
        <v>10000</v>
      </c>
      <c r="E25" s="43">
        <f t="shared" ref="E25:E27" si="1">F25-D25</f>
        <v>5000</v>
      </c>
      <c r="F25" s="43">
        <v>15000</v>
      </c>
      <c r="G25" s="43">
        <v>30000</v>
      </c>
      <c r="H25" s="14"/>
      <c r="I25" s="14"/>
      <c r="J25" s="14"/>
      <c r="K25" s="167"/>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36000</v>
      </c>
      <c r="E26" s="43">
        <f t="shared" si="1"/>
        <v>3000</v>
      </c>
      <c r="F26" s="43">
        <v>39000</v>
      </c>
      <c r="G26" s="43">
        <v>0</v>
      </c>
      <c r="H26" s="14"/>
      <c r="I26" s="14"/>
      <c r="J26" s="14"/>
      <c r="K26" s="167"/>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418176</v>
      </c>
      <c r="D27" s="43">
        <v>455231</v>
      </c>
      <c r="E27" s="43">
        <f t="shared" si="1"/>
        <v>77962</v>
      </c>
      <c r="F27" s="43">
        <v>533193</v>
      </c>
      <c r="G27" s="43">
        <v>555284</v>
      </c>
      <c r="H27" s="14"/>
      <c r="I27" s="14"/>
      <c r="J27" s="14"/>
      <c r="K27" s="167"/>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4"/>
      <c r="I28" s="14"/>
      <c r="J28" s="14"/>
      <c r="K28" s="167"/>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621149.05000000005</v>
      </c>
      <c r="D29" s="43">
        <v>327688.56</v>
      </c>
      <c r="E29" s="43">
        <f t="shared" ref="E29:E32" si="2">F29-D29</f>
        <v>440109.44</v>
      </c>
      <c r="F29" s="43">
        <v>767798</v>
      </c>
      <c r="G29" s="43">
        <v>799609</v>
      </c>
      <c r="H29" s="14"/>
      <c r="I29" s="14"/>
      <c r="J29" s="14"/>
      <c r="K29" s="167"/>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103541.18</v>
      </c>
      <c r="D30" s="43">
        <v>54614.76</v>
      </c>
      <c r="E30" s="43">
        <f t="shared" si="2"/>
        <v>73352.239999999991</v>
      </c>
      <c r="F30" s="43">
        <v>127967</v>
      </c>
      <c r="G30" s="43">
        <v>133269</v>
      </c>
      <c r="H30" s="14"/>
      <c r="I30" s="14"/>
      <c r="J30" s="14"/>
      <c r="K30" s="167"/>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123402.45</v>
      </c>
      <c r="D31" s="43">
        <v>64800.24</v>
      </c>
      <c r="E31" s="43">
        <f t="shared" si="2"/>
        <v>87624.760000000009</v>
      </c>
      <c r="F31" s="43">
        <v>152425</v>
      </c>
      <c r="G31" s="43">
        <v>157519</v>
      </c>
      <c r="H31" s="14"/>
      <c r="I31" s="14"/>
      <c r="J31" s="14"/>
      <c r="K31" s="167"/>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14400</v>
      </c>
      <c r="D32" s="43">
        <v>7200</v>
      </c>
      <c r="E32" s="43">
        <f t="shared" si="2"/>
        <v>8400</v>
      </c>
      <c r="F32" s="43">
        <v>15600</v>
      </c>
      <c r="G32" s="43">
        <v>15600</v>
      </c>
      <c r="H32" s="14"/>
      <c r="I32" s="14"/>
      <c r="J32" s="14"/>
      <c r="K32" s="167"/>
      <c r="L32" s="15"/>
      <c r="M32" s="15"/>
      <c r="N32" s="15"/>
      <c r="O32" s="15"/>
      <c r="P32" s="15"/>
      <c r="Q32" s="15"/>
      <c r="R32" s="15"/>
      <c r="S32" s="15"/>
      <c r="T32" s="15"/>
      <c r="U32" s="15"/>
      <c r="V32" s="15"/>
      <c r="W32" s="15"/>
      <c r="X32" s="15"/>
      <c r="Y32" s="15"/>
      <c r="Z32" s="15"/>
    </row>
    <row r="33" spans="1:26" ht="15.75" customHeight="1" x14ac:dyDescent="0.25">
      <c r="A33" s="17" t="s">
        <v>385</v>
      </c>
      <c r="B33" s="41"/>
      <c r="C33" s="43"/>
      <c r="D33" s="43"/>
      <c r="E33" s="43"/>
      <c r="F33" s="43"/>
      <c r="G33" s="43"/>
      <c r="H33" s="14"/>
      <c r="I33" s="14"/>
      <c r="J33" s="14"/>
      <c r="K33" s="167"/>
      <c r="L33" s="15"/>
      <c r="M33" s="15"/>
      <c r="N33" s="15"/>
      <c r="O33" s="15"/>
      <c r="P33" s="15"/>
      <c r="Q33" s="15"/>
      <c r="R33" s="15"/>
      <c r="S33" s="15"/>
      <c r="T33" s="15"/>
      <c r="U33" s="15"/>
      <c r="V33" s="15"/>
      <c r="W33" s="15"/>
      <c r="X33" s="15"/>
      <c r="Y33" s="15"/>
      <c r="Z33" s="15"/>
    </row>
    <row r="34" spans="1:26" ht="15.75" customHeight="1" x14ac:dyDescent="0.25">
      <c r="A34" s="44" t="s">
        <v>387</v>
      </c>
      <c r="B34" s="41" t="s">
        <v>181</v>
      </c>
      <c r="C34" s="43">
        <v>117529.94</v>
      </c>
      <c r="D34" s="43">
        <v>110420.56</v>
      </c>
      <c r="E34" s="43">
        <f t="shared" ref="E34:E35" si="3">F34-D34</f>
        <v>146540.44</v>
      </c>
      <c r="F34" s="43">
        <v>256961</v>
      </c>
      <c r="G34" s="43">
        <v>267607</v>
      </c>
      <c r="H34" s="14"/>
      <c r="I34" s="14"/>
      <c r="J34" s="14"/>
      <c r="K34" s="167"/>
      <c r="L34" s="15"/>
      <c r="M34" s="15"/>
      <c r="N34" s="15"/>
      <c r="O34" s="15"/>
      <c r="P34" s="15"/>
      <c r="Q34" s="15"/>
      <c r="R34" s="15"/>
      <c r="S34" s="15"/>
      <c r="T34" s="15"/>
      <c r="U34" s="15"/>
      <c r="V34" s="15"/>
      <c r="W34" s="15"/>
      <c r="X34" s="15"/>
      <c r="Y34" s="15"/>
      <c r="Z34" s="15"/>
    </row>
    <row r="35" spans="1:26" ht="15.75" customHeight="1" x14ac:dyDescent="0.25">
      <c r="A35" s="44" t="s">
        <v>388</v>
      </c>
      <c r="B35" s="41" t="s">
        <v>183</v>
      </c>
      <c r="C35" s="43">
        <v>60000</v>
      </c>
      <c r="D35" s="43">
        <v>0</v>
      </c>
      <c r="E35" s="43">
        <f t="shared" si="3"/>
        <v>65000</v>
      </c>
      <c r="F35" s="43">
        <v>65000</v>
      </c>
      <c r="G35" s="43">
        <v>65000</v>
      </c>
      <c r="H35" s="14"/>
      <c r="I35" s="14"/>
      <c r="J35" s="14"/>
      <c r="K35" s="167"/>
      <c r="L35" s="15"/>
      <c r="M35" s="15"/>
      <c r="N35" s="15"/>
      <c r="O35" s="15"/>
      <c r="P35" s="15"/>
      <c r="Q35" s="15"/>
      <c r="R35" s="15"/>
      <c r="S35" s="15"/>
      <c r="T35" s="15"/>
      <c r="U35" s="15"/>
      <c r="V35" s="15"/>
      <c r="W35" s="15"/>
      <c r="X35" s="15"/>
      <c r="Y35" s="15"/>
      <c r="Z35" s="15"/>
    </row>
    <row r="36" spans="1:26" ht="31.5" x14ac:dyDescent="0.25">
      <c r="A36" s="117" t="s">
        <v>625</v>
      </c>
      <c r="B36" s="41"/>
      <c r="C36" s="43">
        <v>0</v>
      </c>
      <c r="D36" s="43">
        <v>0</v>
      </c>
      <c r="E36" s="43">
        <v>0</v>
      </c>
      <c r="F36" s="43">
        <v>0</v>
      </c>
      <c r="G36" s="43">
        <v>181853</v>
      </c>
      <c r="H36" s="14"/>
      <c r="I36" s="14"/>
      <c r="J36" s="14"/>
      <c r="K36" s="167"/>
      <c r="L36" s="15"/>
      <c r="M36" s="15"/>
      <c r="N36" s="15"/>
      <c r="O36" s="15"/>
      <c r="P36" s="15"/>
      <c r="Q36" s="15"/>
      <c r="R36" s="15"/>
      <c r="S36" s="15"/>
      <c r="T36" s="15"/>
      <c r="U36" s="15"/>
      <c r="V36" s="15"/>
      <c r="W36" s="15"/>
      <c r="X36" s="15"/>
      <c r="Y36" s="15"/>
      <c r="Z36" s="15"/>
    </row>
    <row r="37" spans="1:26" ht="15.75" customHeight="1" x14ac:dyDescent="0.25">
      <c r="A37" s="446" t="s">
        <v>632</v>
      </c>
      <c r="B37" s="437"/>
      <c r="C37" s="54">
        <f t="shared" ref="C37:D37" si="4">+SUM(C16:C35)</f>
        <v>7953190.4199999999</v>
      </c>
      <c r="D37" s="54">
        <f t="shared" si="4"/>
        <v>4240693.12</v>
      </c>
      <c r="E37" s="54">
        <f>F37-D37</f>
        <v>5563759.8799999999</v>
      </c>
      <c r="F37" s="54">
        <f>+SUM(F16:F35)</f>
        <v>9804453</v>
      </c>
      <c r="G37" s="54">
        <f>+SUM(G16:G36)</f>
        <v>10324433</v>
      </c>
      <c r="H37" s="193"/>
      <c r="I37" s="193"/>
      <c r="J37" s="193"/>
      <c r="K37" s="263"/>
      <c r="L37" s="232"/>
      <c r="M37" s="232"/>
      <c r="N37" s="232"/>
      <c r="O37" s="232"/>
      <c r="P37" s="232"/>
      <c r="Q37" s="232"/>
      <c r="R37" s="232"/>
      <c r="S37" s="232"/>
      <c r="T37" s="232"/>
      <c r="U37" s="232"/>
      <c r="V37" s="232"/>
      <c r="W37" s="232"/>
      <c r="X37" s="232"/>
      <c r="Y37" s="232"/>
      <c r="Z37" s="232"/>
    </row>
    <row r="38" spans="1:26" ht="13.5" customHeight="1" x14ac:dyDescent="0.25">
      <c r="A38" s="456"/>
      <c r="B38" s="461"/>
      <c r="C38" s="449"/>
      <c r="D38" s="55"/>
      <c r="E38" s="43"/>
      <c r="F38" s="55"/>
      <c r="G38" s="55"/>
      <c r="H38" s="12"/>
      <c r="I38" s="12"/>
      <c r="J38" s="12"/>
      <c r="K38" s="265"/>
      <c r="L38" s="10"/>
      <c r="M38" s="10"/>
      <c r="N38" s="10"/>
      <c r="O38" s="10"/>
      <c r="P38" s="10"/>
      <c r="Q38" s="10"/>
      <c r="R38" s="10"/>
      <c r="S38" s="10"/>
      <c r="T38" s="10"/>
      <c r="U38" s="10"/>
      <c r="V38" s="10"/>
      <c r="W38" s="10"/>
      <c r="X38" s="10"/>
      <c r="Y38" s="10"/>
      <c r="Z38" s="10"/>
    </row>
    <row r="39" spans="1:26" ht="15.75" customHeight="1" x14ac:dyDescent="0.25">
      <c r="A39" s="42" t="s">
        <v>391</v>
      </c>
      <c r="B39" s="41"/>
      <c r="C39" s="43"/>
      <c r="D39" s="43"/>
      <c r="E39" s="43"/>
      <c r="F39" s="43"/>
      <c r="G39" s="43"/>
      <c r="H39" s="14"/>
      <c r="I39" s="14"/>
      <c r="J39" s="14"/>
      <c r="K39" s="167"/>
      <c r="L39" s="15"/>
      <c r="M39" s="15"/>
      <c r="N39" s="15"/>
      <c r="O39" s="15"/>
      <c r="P39" s="15"/>
      <c r="Q39" s="15"/>
      <c r="R39" s="15"/>
      <c r="S39" s="15"/>
      <c r="T39" s="15"/>
      <c r="U39" s="15"/>
      <c r="V39" s="15"/>
      <c r="W39" s="15"/>
      <c r="X39" s="15"/>
      <c r="Y39" s="15"/>
      <c r="Z39" s="15"/>
    </row>
    <row r="40" spans="1:26" ht="15.75" customHeight="1" x14ac:dyDescent="0.25">
      <c r="A40" s="17" t="s">
        <v>392</v>
      </c>
      <c r="B40" s="41"/>
      <c r="C40" s="43"/>
      <c r="D40" s="43"/>
      <c r="E40" s="43"/>
      <c r="F40" s="56"/>
      <c r="G40" s="43"/>
      <c r="H40" s="14"/>
      <c r="I40" s="14"/>
      <c r="J40" s="14"/>
      <c r="K40" s="167"/>
      <c r="L40" s="15"/>
      <c r="M40" s="15"/>
      <c r="N40" s="15"/>
      <c r="O40" s="15"/>
      <c r="P40" s="15"/>
      <c r="Q40" s="15"/>
      <c r="R40" s="15"/>
      <c r="S40" s="15"/>
      <c r="T40" s="15"/>
      <c r="U40" s="15"/>
      <c r="V40" s="15"/>
      <c r="W40" s="15"/>
      <c r="X40" s="15"/>
      <c r="Y40" s="15"/>
      <c r="Z40" s="15"/>
    </row>
    <row r="41" spans="1:26" ht="15.75" customHeight="1" x14ac:dyDescent="0.25">
      <c r="A41" s="44" t="s">
        <v>1356</v>
      </c>
      <c r="B41" s="41" t="s">
        <v>187</v>
      </c>
      <c r="C41" s="43">
        <v>136607.24</v>
      </c>
      <c r="D41" s="43">
        <v>59309.04</v>
      </c>
      <c r="E41" s="43">
        <f>F41-D41</f>
        <v>80690.959999999992</v>
      </c>
      <c r="F41" s="43">
        <v>140000</v>
      </c>
      <c r="G41" s="43">
        <v>140000</v>
      </c>
      <c r="H41" s="14"/>
      <c r="I41" s="14"/>
      <c r="J41" s="14"/>
      <c r="K41" s="167"/>
      <c r="L41" s="15"/>
      <c r="M41" s="15"/>
      <c r="N41" s="15"/>
      <c r="O41" s="15"/>
      <c r="P41" s="15"/>
      <c r="Q41" s="15"/>
      <c r="R41" s="15"/>
      <c r="S41" s="15"/>
      <c r="T41" s="15"/>
      <c r="U41" s="15"/>
      <c r="V41" s="15"/>
      <c r="W41" s="15"/>
      <c r="X41" s="15"/>
      <c r="Y41" s="15"/>
      <c r="Z41" s="15"/>
    </row>
    <row r="42" spans="1:26" ht="15.75" customHeight="1" x14ac:dyDescent="0.25">
      <c r="A42" s="17" t="s">
        <v>395</v>
      </c>
      <c r="B42" s="41"/>
      <c r="C42" s="43"/>
      <c r="D42" s="43"/>
      <c r="E42" s="43"/>
      <c r="F42" s="43"/>
      <c r="G42" s="43"/>
      <c r="H42" s="14"/>
      <c r="I42" s="14"/>
      <c r="J42" s="14"/>
      <c r="K42" s="167"/>
      <c r="L42" s="15"/>
      <c r="M42" s="15"/>
      <c r="N42" s="15"/>
      <c r="O42" s="15"/>
      <c r="P42" s="15"/>
      <c r="Q42" s="15"/>
      <c r="R42" s="15"/>
      <c r="S42" s="15"/>
      <c r="T42" s="15"/>
      <c r="U42" s="15"/>
      <c r="V42" s="15"/>
      <c r="W42" s="15"/>
      <c r="X42" s="15"/>
      <c r="Y42" s="15"/>
      <c r="Z42" s="15"/>
    </row>
    <row r="43" spans="1:26" ht="15.75" customHeight="1" x14ac:dyDescent="0.25">
      <c r="A43" s="44" t="s">
        <v>1357</v>
      </c>
      <c r="B43" s="41" t="s">
        <v>191</v>
      </c>
      <c r="C43" s="43">
        <v>484912.49</v>
      </c>
      <c r="D43" s="43">
        <v>285330.2</v>
      </c>
      <c r="E43" s="43">
        <f>F43-D43</f>
        <v>201869.8</v>
      </c>
      <c r="F43" s="43">
        <v>487200</v>
      </c>
      <c r="G43" s="43">
        <v>487200</v>
      </c>
      <c r="H43" s="14"/>
      <c r="I43" s="14"/>
      <c r="J43" s="14"/>
      <c r="K43" s="167"/>
      <c r="L43" s="15"/>
      <c r="M43" s="15"/>
      <c r="N43" s="15"/>
      <c r="O43" s="15"/>
      <c r="P43" s="15"/>
      <c r="Q43" s="15"/>
      <c r="R43" s="15"/>
      <c r="S43" s="15"/>
      <c r="T43" s="15"/>
      <c r="U43" s="15"/>
      <c r="V43" s="15"/>
      <c r="W43" s="15"/>
      <c r="X43" s="15"/>
      <c r="Y43" s="15"/>
      <c r="Z43" s="15"/>
    </row>
    <row r="44" spans="1:26" ht="15.75" customHeight="1" x14ac:dyDescent="0.25">
      <c r="A44" s="17" t="s">
        <v>397</v>
      </c>
      <c r="B44" s="41"/>
      <c r="C44" s="43"/>
      <c r="D44" s="43"/>
      <c r="E44" s="43"/>
      <c r="F44" s="43"/>
      <c r="G44" s="43"/>
      <c r="H44" s="14"/>
      <c r="I44" s="14"/>
      <c r="J44" s="14"/>
      <c r="K44" s="167"/>
      <c r="L44" s="15"/>
      <c r="M44" s="15"/>
      <c r="N44" s="15"/>
      <c r="O44" s="15"/>
      <c r="P44" s="15"/>
      <c r="Q44" s="15"/>
      <c r="R44" s="15"/>
      <c r="S44" s="15"/>
      <c r="T44" s="15"/>
      <c r="U44" s="15"/>
      <c r="V44" s="15"/>
      <c r="W44" s="15"/>
      <c r="X44" s="15"/>
      <c r="Y44" s="15"/>
      <c r="Z44" s="15"/>
    </row>
    <row r="45" spans="1:26" ht="15.75" customHeight="1" x14ac:dyDescent="0.25">
      <c r="A45" s="44" t="s">
        <v>1358</v>
      </c>
      <c r="B45" s="41" t="s">
        <v>195</v>
      </c>
      <c r="C45" s="43">
        <v>696765.67</v>
      </c>
      <c r="D45" s="43">
        <v>297917.84000000003</v>
      </c>
      <c r="E45" s="43">
        <f t="shared" ref="E45:E49" si="5">F45-D45</f>
        <v>407711.16</v>
      </c>
      <c r="F45" s="43">
        <v>705629</v>
      </c>
      <c r="G45" s="43">
        <v>695753</v>
      </c>
      <c r="H45" s="14"/>
      <c r="I45" s="14"/>
      <c r="J45" s="14"/>
      <c r="K45" s="167"/>
      <c r="L45" s="15"/>
      <c r="M45" s="15"/>
      <c r="N45" s="15"/>
      <c r="O45" s="15"/>
      <c r="P45" s="15"/>
      <c r="Q45" s="15"/>
      <c r="R45" s="15"/>
      <c r="S45" s="15"/>
      <c r="T45" s="15"/>
      <c r="U45" s="15"/>
      <c r="V45" s="15"/>
      <c r="W45" s="15"/>
      <c r="X45" s="15"/>
      <c r="Y45" s="15"/>
      <c r="Z45" s="15"/>
    </row>
    <row r="46" spans="1:26" ht="15.75" customHeight="1" x14ac:dyDescent="0.25">
      <c r="A46" s="96" t="s">
        <v>1359</v>
      </c>
      <c r="B46" s="41" t="s">
        <v>221</v>
      </c>
      <c r="C46" s="26">
        <v>0</v>
      </c>
      <c r="D46" s="43">
        <v>0</v>
      </c>
      <c r="E46" s="43">
        <f t="shared" si="5"/>
        <v>54079</v>
      </c>
      <c r="F46" s="43">
        <v>54079</v>
      </c>
      <c r="G46" s="43">
        <v>307135</v>
      </c>
      <c r="H46" s="14"/>
      <c r="I46" s="14"/>
      <c r="J46" s="14"/>
      <c r="K46" s="167"/>
      <c r="L46" s="15"/>
      <c r="M46" s="15"/>
      <c r="N46" s="15"/>
      <c r="O46" s="15"/>
      <c r="P46" s="15"/>
      <c r="Q46" s="15"/>
      <c r="R46" s="15"/>
      <c r="S46" s="15"/>
      <c r="T46" s="15"/>
      <c r="U46" s="15"/>
      <c r="V46" s="15"/>
      <c r="W46" s="15"/>
      <c r="X46" s="15"/>
      <c r="Y46" s="15"/>
      <c r="Z46" s="15"/>
    </row>
    <row r="47" spans="1:26" ht="15.75" customHeight="1" x14ac:dyDescent="0.25">
      <c r="A47" s="96" t="s">
        <v>1360</v>
      </c>
      <c r="B47" s="41" t="s">
        <v>223</v>
      </c>
      <c r="C47" s="26">
        <v>0</v>
      </c>
      <c r="D47" s="43">
        <v>0</v>
      </c>
      <c r="E47" s="43">
        <f t="shared" si="5"/>
        <v>311556</v>
      </c>
      <c r="F47" s="43">
        <v>311556</v>
      </c>
      <c r="G47" s="43">
        <v>58500</v>
      </c>
      <c r="H47" s="14"/>
      <c r="I47" s="14"/>
      <c r="J47" s="14"/>
      <c r="K47" s="167"/>
      <c r="L47" s="15"/>
      <c r="M47" s="15"/>
      <c r="N47" s="15"/>
      <c r="O47" s="15"/>
      <c r="P47" s="15"/>
      <c r="Q47" s="15"/>
      <c r="R47" s="15"/>
      <c r="S47" s="15"/>
      <c r="T47" s="15"/>
      <c r="U47" s="15"/>
      <c r="V47" s="15"/>
      <c r="W47" s="15"/>
      <c r="X47" s="15"/>
      <c r="Y47" s="15"/>
      <c r="Z47" s="15"/>
    </row>
    <row r="48" spans="1:26" ht="15.75" customHeight="1" x14ac:dyDescent="0.25">
      <c r="A48" s="44" t="s">
        <v>1361</v>
      </c>
      <c r="B48" s="41" t="s">
        <v>199</v>
      </c>
      <c r="C48" s="43">
        <v>1249020</v>
      </c>
      <c r="D48" s="43">
        <v>0</v>
      </c>
      <c r="E48" s="43">
        <f t="shared" si="5"/>
        <v>228600</v>
      </c>
      <c r="F48" s="43">
        <v>228600</v>
      </c>
      <c r="G48" s="43">
        <v>228600</v>
      </c>
      <c r="H48" s="14"/>
      <c r="I48" s="14"/>
      <c r="J48" s="14"/>
      <c r="K48" s="167"/>
      <c r="L48" s="15"/>
      <c r="M48" s="15"/>
      <c r="N48" s="15"/>
      <c r="O48" s="15"/>
      <c r="P48" s="15"/>
      <c r="Q48" s="15"/>
      <c r="R48" s="15"/>
      <c r="S48" s="15"/>
      <c r="T48" s="15"/>
      <c r="U48" s="15"/>
      <c r="V48" s="15"/>
      <c r="W48" s="15"/>
      <c r="X48" s="15"/>
      <c r="Y48" s="15"/>
      <c r="Z48" s="15"/>
    </row>
    <row r="49" spans="1:26" ht="15.75" customHeight="1" x14ac:dyDescent="0.25">
      <c r="A49" s="44" t="s">
        <v>1362</v>
      </c>
      <c r="B49" s="41" t="s">
        <v>225</v>
      </c>
      <c r="C49" s="43">
        <v>547440.30000000005</v>
      </c>
      <c r="D49" s="43">
        <v>82920.25</v>
      </c>
      <c r="E49" s="43">
        <f t="shared" si="5"/>
        <v>131094.75</v>
      </c>
      <c r="F49" s="43">
        <v>214015</v>
      </c>
      <c r="G49" s="43">
        <v>214015</v>
      </c>
      <c r="H49" s="14"/>
      <c r="I49" s="14"/>
      <c r="J49" s="14"/>
      <c r="K49" s="167"/>
      <c r="L49" s="15"/>
      <c r="M49" s="15"/>
      <c r="N49" s="15"/>
      <c r="O49" s="15"/>
      <c r="P49" s="15"/>
      <c r="Q49" s="15"/>
      <c r="R49" s="15"/>
      <c r="S49" s="15"/>
      <c r="T49" s="15"/>
      <c r="U49" s="15"/>
      <c r="V49" s="15"/>
      <c r="W49" s="15"/>
      <c r="X49" s="15"/>
      <c r="Y49" s="15"/>
      <c r="Z49" s="15"/>
    </row>
    <row r="50" spans="1:26" ht="15.75" customHeight="1" x14ac:dyDescent="0.25">
      <c r="A50" s="17" t="s">
        <v>403</v>
      </c>
      <c r="B50" s="41"/>
      <c r="C50" s="43"/>
      <c r="D50" s="43"/>
      <c r="E50" s="43"/>
      <c r="F50" s="43"/>
      <c r="G50" s="43"/>
      <c r="H50" s="14"/>
      <c r="I50" s="14"/>
      <c r="J50" s="14"/>
      <c r="K50" s="167"/>
      <c r="L50" s="15"/>
      <c r="M50" s="15"/>
      <c r="N50" s="15"/>
      <c r="O50" s="15"/>
      <c r="P50" s="15"/>
      <c r="Q50" s="15"/>
      <c r="R50" s="15"/>
      <c r="S50" s="15"/>
      <c r="T50" s="15"/>
      <c r="U50" s="15"/>
      <c r="V50" s="15"/>
      <c r="W50" s="15"/>
      <c r="X50" s="15"/>
      <c r="Y50" s="15"/>
      <c r="Z50" s="15"/>
    </row>
    <row r="51" spans="1:26" ht="15.75" customHeight="1" x14ac:dyDescent="0.25">
      <c r="A51" s="48" t="s">
        <v>1363</v>
      </c>
      <c r="B51" s="41" t="s">
        <v>235</v>
      </c>
      <c r="C51" s="43">
        <v>40000</v>
      </c>
      <c r="D51" s="43">
        <v>27000</v>
      </c>
      <c r="E51" s="43">
        <f>F51-D51</f>
        <v>27000</v>
      </c>
      <c r="F51" s="43">
        <v>54000</v>
      </c>
      <c r="G51" s="43">
        <v>54000</v>
      </c>
      <c r="H51" s="14"/>
      <c r="I51" s="14"/>
      <c r="J51" s="14"/>
      <c r="K51" s="167"/>
      <c r="L51" s="15"/>
      <c r="M51" s="15"/>
      <c r="N51" s="15"/>
      <c r="O51" s="15"/>
      <c r="P51" s="15"/>
      <c r="Q51" s="15"/>
      <c r="R51" s="15"/>
      <c r="S51" s="15"/>
      <c r="T51" s="15"/>
      <c r="U51" s="15"/>
      <c r="V51" s="15"/>
      <c r="W51" s="15"/>
      <c r="X51" s="15"/>
      <c r="Y51" s="15"/>
      <c r="Z51" s="15"/>
    </row>
    <row r="52" spans="1:26" ht="15.75" customHeight="1" x14ac:dyDescent="0.25">
      <c r="A52" s="42" t="s">
        <v>662</v>
      </c>
      <c r="B52" s="41"/>
      <c r="C52" s="43"/>
      <c r="D52" s="43"/>
      <c r="E52" s="43"/>
      <c r="F52" s="43"/>
      <c r="G52" s="43"/>
      <c r="H52" s="14"/>
      <c r="I52" s="14"/>
      <c r="J52" s="14"/>
      <c r="K52" s="167"/>
      <c r="L52" s="15"/>
      <c r="M52" s="15"/>
      <c r="N52" s="15"/>
      <c r="O52" s="15"/>
      <c r="P52" s="15"/>
      <c r="Q52" s="15"/>
      <c r="R52" s="15"/>
      <c r="S52" s="15"/>
      <c r="T52" s="15"/>
      <c r="U52" s="15"/>
      <c r="V52" s="15"/>
      <c r="W52" s="15"/>
      <c r="X52" s="15"/>
      <c r="Y52" s="15"/>
      <c r="Z52" s="15"/>
    </row>
    <row r="53" spans="1:26" ht="15.75" customHeight="1" x14ac:dyDescent="0.25">
      <c r="A53" s="44" t="s">
        <v>414</v>
      </c>
      <c r="B53" s="41" t="s">
        <v>335</v>
      </c>
      <c r="C53" s="43">
        <v>1312164.3</v>
      </c>
      <c r="D53" s="43">
        <v>998318.2</v>
      </c>
      <c r="E53" s="43">
        <f>F53-D53</f>
        <v>1018321.8</v>
      </c>
      <c r="F53" s="43">
        <v>2016640</v>
      </c>
      <c r="G53" s="43">
        <v>2042062</v>
      </c>
      <c r="H53" s="14">
        <f>SUM(K54:K59)</f>
        <v>2042062</v>
      </c>
      <c r="I53" s="14"/>
      <c r="J53" s="14"/>
      <c r="K53" s="167"/>
      <c r="L53" s="15"/>
      <c r="M53" s="15"/>
      <c r="N53" s="15"/>
      <c r="O53" s="15"/>
      <c r="P53" s="15"/>
      <c r="Q53" s="15"/>
      <c r="R53" s="15"/>
      <c r="S53" s="15"/>
      <c r="T53" s="15"/>
      <c r="U53" s="15"/>
      <c r="V53" s="15"/>
      <c r="W53" s="15"/>
      <c r="X53" s="15"/>
      <c r="Y53" s="15"/>
      <c r="Z53" s="15"/>
    </row>
    <row r="54" spans="1:26" ht="15.75" customHeight="1" x14ac:dyDescent="0.25">
      <c r="A54" s="44" t="s">
        <v>1364</v>
      </c>
      <c r="B54" s="41"/>
      <c r="C54" s="43"/>
      <c r="D54" s="43"/>
      <c r="E54" s="43"/>
      <c r="F54" s="43"/>
      <c r="G54" s="43"/>
      <c r="H54" s="14"/>
      <c r="I54" s="14"/>
      <c r="J54" s="14"/>
      <c r="K54" s="167">
        <v>19500</v>
      </c>
      <c r="L54" s="15"/>
      <c r="M54" s="15"/>
      <c r="N54" s="15"/>
      <c r="O54" s="15"/>
      <c r="P54" s="15"/>
      <c r="Q54" s="15"/>
      <c r="R54" s="15"/>
      <c r="S54" s="15"/>
      <c r="T54" s="15"/>
      <c r="U54" s="15"/>
      <c r="V54" s="15"/>
      <c r="W54" s="15"/>
      <c r="X54" s="15"/>
      <c r="Y54" s="15"/>
      <c r="Z54" s="15"/>
    </row>
    <row r="55" spans="1:26" ht="15.75" customHeight="1" x14ac:dyDescent="0.25">
      <c r="A55" s="610" t="s">
        <v>1365</v>
      </c>
      <c r="B55" s="483"/>
      <c r="C55" s="457"/>
      <c r="D55" s="457"/>
      <c r="E55" s="457"/>
      <c r="F55" s="457"/>
      <c r="G55" s="457"/>
      <c r="H55" s="14"/>
      <c r="I55" s="14"/>
      <c r="J55" s="14"/>
      <c r="K55" s="167">
        <v>37000</v>
      </c>
      <c r="L55" s="15"/>
      <c r="M55" s="15"/>
      <c r="N55" s="15"/>
      <c r="O55" s="15"/>
      <c r="P55" s="15"/>
      <c r="Q55" s="15"/>
      <c r="R55" s="15"/>
      <c r="S55" s="15"/>
      <c r="T55" s="15"/>
      <c r="U55" s="15"/>
      <c r="V55" s="15"/>
      <c r="W55" s="15"/>
      <c r="X55" s="15"/>
      <c r="Y55" s="15"/>
      <c r="Z55" s="15"/>
    </row>
    <row r="56" spans="1:26" ht="15.75" customHeight="1" x14ac:dyDescent="0.25">
      <c r="A56" s="611" t="s">
        <v>1366</v>
      </c>
      <c r="B56" s="601"/>
      <c r="C56" s="448"/>
      <c r="D56" s="448"/>
      <c r="E56" s="448"/>
      <c r="F56" s="448"/>
      <c r="G56" s="448"/>
      <c r="H56" s="14"/>
      <c r="I56" s="14"/>
      <c r="J56" s="14"/>
      <c r="K56" s="167">
        <v>16650</v>
      </c>
      <c r="L56" s="15"/>
      <c r="M56" s="15"/>
      <c r="N56" s="15"/>
      <c r="O56" s="15"/>
      <c r="P56" s="15"/>
      <c r="Q56" s="15"/>
      <c r="R56" s="15"/>
      <c r="S56" s="15"/>
      <c r="T56" s="15"/>
      <c r="U56" s="15"/>
      <c r="V56" s="15"/>
      <c r="W56" s="15"/>
      <c r="X56" s="15"/>
      <c r="Y56" s="15"/>
      <c r="Z56" s="15"/>
    </row>
    <row r="57" spans="1:26" ht="15.75" customHeight="1" x14ac:dyDescent="0.25">
      <c r="A57" s="44" t="s">
        <v>1367</v>
      </c>
      <c r="B57" s="41"/>
      <c r="C57" s="43"/>
      <c r="D57" s="43"/>
      <c r="E57" s="43"/>
      <c r="F57" s="43"/>
      <c r="G57" s="43"/>
      <c r="H57" s="14"/>
      <c r="I57" s="14"/>
      <c r="J57" s="14"/>
      <c r="K57" s="167"/>
      <c r="L57" s="15"/>
      <c r="M57" s="15"/>
      <c r="N57" s="15"/>
      <c r="O57" s="15"/>
      <c r="P57" s="15"/>
      <c r="Q57" s="15"/>
      <c r="R57" s="15"/>
      <c r="S57" s="15"/>
      <c r="T57" s="15"/>
      <c r="U57" s="15"/>
      <c r="V57" s="15"/>
      <c r="W57" s="15"/>
      <c r="X57" s="15"/>
      <c r="Y57" s="15"/>
      <c r="Z57" s="15"/>
    </row>
    <row r="58" spans="1:26" ht="15.75" customHeight="1" x14ac:dyDescent="0.25">
      <c r="A58" s="17" t="s">
        <v>1368</v>
      </c>
      <c r="B58" s="41"/>
      <c r="C58" s="43"/>
      <c r="D58" s="43"/>
      <c r="E58" s="43"/>
      <c r="F58" s="43"/>
      <c r="G58" s="43"/>
      <c r="H58" s="14"/>
      <c r="I58" s="14"/>
      <c r="J58" s="14"/>
      <c r="K58" s="167"/>
      <c r="L58" s="15"/>
      <c r="M58" s="15"/>
      <c r="N58" s="15"/>
      <c r="O58" s="15"/>
      <c r="P58" s="15"/>
      <c r="Q58" s="15"/>
      <c r="R58" s="15"/>
      <c r="S58" s="15"/>
      <c r="T58" s="15"/>
      <c r="U58" s="15"/>
      <c r="V58" s="15"/>
      <c r="W58" s="15"/>
      <c r="X58" s="15"/>
      <c r="Y58" s="15"/>
      <c r="Z58" s="15"/>
    </row>
    <row r="59" spans="1:26" ht="15.75" customHeight="1" x14ac:dyDescent="0.25">
      <c r="A59" s="44" t="s">
        <v>1369</v>
      </c>
      <c r="B59" s="41"/>
      <c r="C59" s="43"/>
      <c r="D59" s="43"/>
      <c r="E59" s="43"/>
      <c r="F59" s="43"/>
      <c r="G59" s="43"/>
      <c r="H59" s="14">
        <v>264</v>
      </c>
      <c r="I59" s="14">
        <v>678</v>
      </c>
      <c r="J59" s="14">
        <v>11</v>
      </c>
      <c r="K59" s="167">
        <f>H59*I59*J59</f>
        <v>1968912</v>
      </c>
      <c r="L59" s="15"/>
      <c r="M59" s="15"/>
      <c r="N59" s="15"/>
      <c r="O59" s="15"/>
      <c r="P59" s="15"/>
      <c r="Q59" s="15"/>
      <c r="R59" s="15"/>
      <c r="S59" s="15"/>
      <c r="T59" s="15"/>
      <c r="U59" s="15"/>
      <c r="V59" s="15"/>
      <c r="W59" s="15"/>
      <c r="X59" s="15"/>
      <c r="Y59" s="15"/>
      <c r="Z59" s="15"/>
    </row>
    <row r="60" spans="1:26" ht="15.75" customHeight="1" x14ac:dyDescent="0.25">
      <c r="A60" s="42" t="s">
        <v>672</v>
      </c>
      <c r="B60" s="41"/>
      <c r="C60" s="54">
        <f t="shared" ref="C60:D60" si="6">+SUM(C41:C53)</f>
        <v>4466910</v>
      </c>
      <c r="D60" s="54">
        <f t="shared" si="6"/>
        <v>1750795.53</v>
      </c>
      <c r="E60" s="54">
        <f>F60-D60</f>
        <v>2460923.4699999997</v>
      </c>
      <c r="F60" s="54">
        <f t="shared" ref="F60:G60" si="7">+SUM(F41:F53)</f>
        <v>4211719</v>
      </c>
      <c r="G60" s="54">
        <f t="shared" si="7"/>
        <v>4227265</v>
      </c>
      <c r="H60" s="14"/>
      <c r="I60" s="14"/>
      <c r="J60" s="14"/>
      <c r="K60" s="167"/>
      <c r="L60" s="15"/>
      <c r="M60" s="15"/>
      <c r="N60" s="15"/>
      <c r="O60" s="15"/>
      <c r="P60" s="15"/>
      <c r="Q60" s="15"/>
      <c r="R60" s="15"/>
      <c r="S60" s="15"/>
      <c r="T60" s="15"/>
      <c r="U60" s="15"/>
      <c r="V60" s="15"/>
      <c r="W60" s="15"/>
      <c r="X60" s="15"/>
      <c r="Y60" s="15"/>
      <c r="Z60" s="15"/>
    </row>
    <row r="61" spans="1:26" ht="13.5" customHeight="1" x14ac:dyDescent="0.25">
      <c r="A61" s="42"/>
      <c r="B61" s="41"/>
      <c r="C61" s="55"/>
      <c r="D61" s="55"/>
      <c r="E61" s="43"/>
      <c r="F61" s="55"/>
      <c r="G61" s="55"/>
      <c r="H61" s="14"/>
      <c r="I61" s="14"/>
      <c r="J61" s="14"/>
      <c r="K61" s="167"/>
      <c r="L61" s="15"/>
      <c r="M61" s="15"/>
      <c r="N61" s="15"/>
      <c r="O61" s="15"/>
      <c r="P61" s="15"/>
      <c r="Q61" s="15"/>
      <c r="R61" s="15"/>
      <c r="S61" s="15"/>
      <c r="T61" s="15"/>
      <c r="U61" s="15"/>
      <c r="V61" s="15"/>
      <c r="W61" s="15"/>
      <c r="X61" s="15"/>
      <c r="Y61" s="15"/>
      <c r="Z61" s="15"/>
    </row>
    <row r="62" spans="1:26" ht="15.75" customHeight="1" x14ac:dyDescent="0.25">
      <c r="A62" s="42" t="s">
        <v>467</v>
      </c>
      <c r="B62" s="41"/>
      <c r="C62" s="43">
        <f t="shared" ref="C62:D62" si="8">+C60+C37</f>
        <v>12420100.42</v>
      </c>
      <c r="D62" s="43">
        <f t="shared" si="8"/>
        <v>5991488.6500000004</v>
      </c>
      <c r="E62" s="43">
        <f>F62-D62</f>
        <v>8024683.3499999996</v>
      </c>
      <c r="F62" s="43">
        <f t="shared" ref="F62:G62" si="9">+F60+F37</f>
        <v>14016172</v>
      </c>
      <c r="G62" s="43">
        <f t="shared" si="9"/>
        <v>14551698</v>
      </c>
      <c r="H62" s="14"/>
      <c r="I62" s="14"/>
      <c r="J62" s="14"/>
      <c r="K62" s="167"/>
      <c r="L62" s="15"/>
      <c r="M62" s="15"/>
      <c r="N62" s="15"/>
      <c r="O62" s="15"/>
      <c r="P62" s="15"/>
      <c r="Q62" s="15"/>
      <c r="R62" s="15"/>
      <c r="S62" s="15"/>
      <c r="T62" s="15"/>
      <c r="U62" s="15"/>
      <c r="V62" s="15"/>
      <c r="W62" s="15"/>
      <c r="X62" s="15"/>
      <c r="Y62" s="15"/>
      <c r="Z62" s="15"/>
    </row>
    <row r="63" spans="1:26" ht="13.5" customHeight="1" x14ac:dyDescent="0.25">
      <c r="A63" s="42"/>
      <c r="B63" s="94"/>
      <c r="C63" s="43"/>
      <c r="D63" s="43"/>
      <c r="E63" s="43"/>
      <c r="F63" s="43"/>
      <c r="G63" s="43"/>
      <c r="H63" s="14"/>
      <c r="I63" s="14"/>
      <c r="J63" s="14"/>
      <c r="K63" s="167"/>
      <c r="L63" s="15"/>
      <c r="M63" s="15"/>
      <c r="N63" s="15"/>
      <c r="O63" s="15"/>
      <c r="P63" s="15"/>
      <c r="Q63" s="15"/>
      <c r="R63" s="15"/>
      <c r="S63" s="15"/>
      <c r="T63" s="15"/>
      <c r="U63" s="15"/>
      <c r="V63" s="15"/>
      <c r="W63" s="15"/>
      <c r="X63" s="15"/>
      <c r="Y63" s="15"/>
      <c r="Z63" s="15"/>
    </row>
    <row r="64" spans="1:26" ht="15.75" customHeight="1" x14ac:dyDescent="0.25">
      <c r="A64" s="640" t="s">
        <v>487</v>
      </c>
      <c r="B64" s="641" t="s">
        <v>488</v>
      </c>
      <c r="C64" s="634" t="e">
        <f>+#REF!+C62</f>
        <v>#REF!</v>
      </c>
      <c r="D64" s="634" t="e">
        <f>+#REF!+D62</f>
        <v>#REF!</v>
      </c>
      <c r="E64" s="634" t="e">
        <f>F64-D64</f>
        <v>#REF!</v>
      </c>
      <c r="F64" s="634" t="e">
        <f>+#REF!+F62</f>
        <v>#REF!</v>
      </c>
      <c r="G64" s="634">
        <f>+G62</f>
        <v>14551698</v>
      </c>
      <c r="H64" s="7"/>
      <c r="I64" s="7"/>
      <c r="J64" s="7"/>
      <c r="K64" s="168"/>
    </row>
    <row r="65" spans="1:11" ht="15.75" customHeight="1" x14ac:dyDescent="0.25">
      <c r="A65" s="637"/>
      <c r="B65" s="663"/>
      <c r="C65" s="664"/>
      <c r="D65" s="664"/>
      <c r="E65" s="637"/>
      <c r="F65" s="665"/>
      <c r="G65" s="665"/>
      <c r="H65" s="7"/>
      <c r="I65" s="7"/>
      <c r="J65" s="7"/>
      <c r="K65" s="168"/>
    </row>
    <row r="66" spans="1:11" ht="15.75" customHeight="1" x14ac:dyDescent="0.25">
      <c r="A66" s="24"/>
      <c r="B66" s="174"/>
      <c r="C66" s="24"/>
      <c r="D66" s="24"/>
      <c r="E66" s="24"/>
      <c r="H66" s="7"/>
      <c r="I66" s="7"/>
      <c r="J66" s="7"/>
      <c r="K66" s="168"/>
    </row>
    <row r="67" spans="1:11" ht="15.75" customHeight="1" x14ac:dyDescent="0.25">
      <c r="A67" s="24"/>
      <c r="B67" s="174"/>
      <c r="C67" s="24"/>
      <c r="D67" s="24"/>
      <c r="E67" s="24"/>
      <c r="H67" s="7"/>
      <c r="I67" s="7"/>
      <c r="J67" s="7"/>
      <c r="K67" s="168"/>
    </row>
    <row r="68" spans="1:11" ht="15.75" customHeight="1" x14ac:dyDescent="0.25">
      <c r="A68" s="24"/>
      <c r="B68" s="174"/>
      <c r="C68" s="24"/>
      <c r="D68" s="24"/>
      <c r="E68" s="24"/>
      <c r="H68" s="7"/>
      <c r="I68" s="7"/>
      <c r="J68" s="7"/>
      <c r="K68" s="168"/>
    </row>
    <row r="69" spans="1:11" ht="15.75" customHeight="1" x14ac:dyDescent="0.25">
      <c r="A69" s="24"/>
      <c r="B69" s="174"/>
      <c r="C69" s="24"/>
      <c r="D69" s="24"/>
      <c r="E69" s="24"/>
      <c r="H69" s="7"/>
      <c r="I69" s="7"/>
      <c r="J69" s="7"/>
      <c r="K69" s="168"/>
    </row>
    <row r="70" spans="1:11" ht="15.75" customHeight="1" x14ac:dyDescent="0.25">
      <c r="A70" s="24"/>
      <c r="B70" s="174"/>
      <c r="C70" s="24"/>
      <c r="D70" s="24"/>
      <c r="E70" s="24"/>
      <c r="H70" s="7"/>
      <c r="I70" s="7"/>
      <c r="J70" s="7"/>
      <c r="K70" s="168"/>
    </row>
    <row r="71" spans="1:11" ht="15.75" customHeight="1" x14ac:dyDescent="0.25">
      <c r="A71" s="24"/>
      <c r="B71" s="174"/>
      <c r="C71" s="24"/>
      <c r="D71" s="24"/>
      <c r="E71" s="24"/>
      <c r="H71" s="7"/>
      <c r="I71" s="7"/>
      <c r="J71" s="7"/>
      <c r="K71" s="168"/>
    </row>
    <row r="72" spans="1:11" ht="15.75" customHeight="1" x14ac:dyDescent="0.25">
      <c r="A72" s="24"/>
      <c r="B72" s="174"/>
      <c r="C72" s="24"/>
      <c r="D72" s="24"/>
      <c r="E72" s="24"/>
      <c r="H72" s="7"/>
      <c r="I72" s="7"/>
      <c r="J72" s="7"/>
      <c r="K72" s="168"/>
    </row>
    <row r="73" spans="1:11" ht="15.75" customHeight="1" x14ac:dyDescent="0.25">
      <c r="A73" s="24"/>
      <c r="B73" s="174"/>
      <c r="C73" s="24"/>
      <c r="D73" s="24"/>
      <c r="E73" s="24"/>
      <c r="H73" s="7"/>
      <c r="I73" s="7"/>
      <c r="J73" s="7"/>
      <c r="K73" s="168"/>
    </row>
    <row r="74" spans="1:11" ht="15.75" customHeight="1" x14ac:dyDescent="0.25">
      <c r="A74" s="24"/>
      <c r="B74" s="174"/>
      <c r="C74" s="24"/>
      <c r="D74" s="24"/>
      <c r="E74" s="24"/>
      <c r="H74" s="7"/>
      <c r="I74" s="7"/>
      <c r="J74" s="7"/>
      <c r="K74" s="168"/>
    </row>
    <row r="75" spans="1:11" ht="15.75" customHeight="1" x14ac:dyDescent="0.25">
      <c r="A75" s="24"/>
      <c r="B75" s="174"/>
      <c r="C75" s="24"/>
      <c r="D75" s="24"/>
      <c r="E75" s="24"/>
      <c r="H75" s="7"/>
      <c r="I75" s="7"/>
      <c r="J75" s="7"/>
      <c r="K75" s="168"/>
    </row>
    <row r="76" spans="1:11" ht="15.75" customHeight="1" x14ac:dyDescent="0.25">
      <c r="A76" s="24"/>
      <c r="B76" s="174"/>
      <c r="C76" s="24"/>
      <c r="D76" s="24"/>
      <c r="E76" s="24"/>
      <c r="H76" s="7"/>
      <c r="I76" s="7"/>
      <c r="J76" s="7"/>
      <c r="K76" s="168"/>
    </row>
    <row r="77" spans="1:11" ht="15.75" customHeight="1" x14ac:dyDescent="0.25">
      <c r="A77" s="24"/>
      <c r="B77" s="174"/>
      <c r="C77" s="24"/>
      <c r="D77" s="24"/>
      <c r="E77" s="24"/>
      <c r="H77" s="7"/>
      <c r="I77" s="7"/>
      <c r="J77" s="7"/>
      <c r="K77" s="168"/>
    </row>
    <row r="78" spans="1:11" ht="15.75" customHeight="1" x14ac:dyDescent="0.25">
      <c r="A78" s="24"/>
      <c r="B78" s="174"/>
      <c r="C78" s="24"/>
      <c r="D78" s="24"/>
      <c r="E78" s="24"/>
      <c r="H78" s="7"/>
      <c r="I78" s="7"/>
      <c r="J78" s="7"/>
      <c r="K78" s="168"/>
    </row>
    <row r="79" spans="1:11" ht="15.75" customHeight="1" x14ac:dyDescent="0.25">
      <c r="A79" s="24"/>
      <c r="B79" s="174"/>
      <c r="C79" s="24"/>
      <c r="D79" s="24"/>
      <c r="E79" s="24"/>
      <c r="H79" s="7"/>
      <c r="I79" s="7"/>
      <c r="J79" s="7"/>
      <c r="K79" s="168"/>
    </row>
    <row r="80" spans="1:11" ht="15.75" customHeight="1" x14ac:dyDescent="0.25">
      <c r="A80" s="24"/>
      <c r="B80" s="174"/>
      <c r="C80" s="24"/>
      <c r="D80" s="24"/>
      <c r="E80" s="24"/>
      <c r="H80" s="7"/>
      <c r="I80" s="7"/>
      <c r="J80" s="7"/>
      <c r="K80" s="168"/>
    </row>
    <row r="81" spans="1:11" ht="15.75" customHeight="1" x14ac:dyDescent="0.25">
      <c r="A81" s="24"/>
      <c r="B81" s="174"/>
      <c r="C81" s="24"/>
      <c r="D81" s="24"/>
      <c r="E81" s="24"/>
      <c r="H81" s="7"/>
      <c r="I81" s="7"/>
      <c r="J81" s="7"/>
      <c r="K81" s="168"/>
    </row>
    <row r="82" spans="1:11" ht="15.75" customHeight="1" x14ac:dyDescent="0.25">
      <c r="A82" s="24"/>
      <c r="B82" s="174"/>
      <c r="C82" s="24"/>
      <c r="D82" s="24"/>
      <c r="E82" s="24"/>
      <c r="H82" s="7"/>
      <c r="I82" s="7"/>
      <c r="J82" s="7"/>
      <c r="K82" s="168"/>
    </row>
    <row r="83" spans="1:11" ht="15.75" customHeight="1" x14ac:dyDescent="0.25">
      <c r="A83" s="24"/>
      <c r="B83" s="174"/>
      <c r="C83" s="24"/>
      <c r="D83" s="24"/>
      <c r="E83" s="24"/>
      <c r="H83" s="7"/>
      <c r="I83" s="7"/>
      <c r="J83" s="7"/>
      <c r="K83" s="168"/>
    </row>
    <row r="84" spans="1:11" ht="15.75" customHeight="1" x14ac:dyDescent="0.25">
      <c r="A84" s="24"/>
      <c r="B84" s="174"/>
      <c r="C84" s="24"/>
      <c r="D84" s="24"/>
      <c r="E84" s="24"/>
      <c r="H84" s="7"/>
      <c r="I84" s="7"/>
      <c r="J84" s="7"/>
      <c r="K84" s="168"/>
    </row>
    <row r="85" spans="1:11" ht="15.75" customHeight="1" x14ac:dyDescent="0.25">
      <c r="A85" s="24"/>
      <c r="B85" s="174"/>
      <c r="C85" s="24"/>
      <c r="D85" s="24"/>
      <c r="E85" s="24"/>
      <c r="H85" s="7"/>
      <c r="I85" s="7"/>
      <c r="J85" s="7"/>
      <c r="K85" s="168"/>
    </row>
    <row r="86" spans="1:11" ht="15.75" customHeight="1" x14ac:dyDescent="0.25">
      <c r="A86" s="24"/>
      <c r="B86" s="174"/>
      <c r="C86" s="24"/>
      <c r="D86" s="24"/>
      <c r="E86" s="24"/>
      <c r="H86" s="7"/>
      <c r="I86" s="7"/>
      <c r="J86" s="7"/>
      <c r="K86" s="168"/>
    </row>
    <row r="87" spans="1:11" ht="15.75" customHeight="1" x14ac:dyDescent="0.25">
      <c r="A87" s="24"/>
      <c r="B87" s="174"/>
      <c r="C87" s="24"/>
      <c r="D87" s="24"/>
      <c r="E87" s="24"/>
      <c r="H87" s="7"/>
      <c r="I87" s="7"/>
      <c r="J87" s="7"/>
      <c r="K87" s="168"/>
    </row>
    <row r="88" spans="1:11" ht="15.75" customHeight="1" x14ac:dyDescent="0.25">
      <c r="A88" s="24"/>
      <c r="B88" s="174"/>
      <c r="C88" s="24"/>
      <c r="D88" s="24"/>
      <c r="E88" s="24"/>
      <c r="H88" s="7"/>
      <c r="I88" s="7"/>
      <c r="J88" s="7"/>
      <c r="K88" s="168"/>
    </row>
    <row r="89" spans="1:11" ht="15.75" customHeight="1" x14ac:dyDescent="0.25">
      <c r="A89" s="24"/>
      <c r="B89" s="174"/>
      <c r="C89" s="24"/>
      <c r="D89" s="24"/>
      <c r="E89" s="24"/>
      <c r="H89" s="7"/>
      <c r="I89" s="7"/>
      <c r="J89" s="7"/>
      <c r="K89" s="168"/>
    </row>
    <row r="90" spans="1:11" ht="15.75" customHeight="1" x14ac:dyDescent="0.25">
      <c r="A90" s="24"/>
      <c r="B90" s="174"/>
      <c r="C90" s="24"/>
      <c r="D90" s="24"/>
      <c r="E90" s="24"/>
      <c r="H90" s="7"/>
      <c r="I90" s="7"/>
      <c r="J90" s="7"/>
      <c r="K90" s="168"/>
    </row>
    <row r="91" spans="1:11" ht="15.75" customHeight="1" x14ac:dyDescent="0.25">
      <c r="A91" s="24"/>
      <c r="B91" s="174"/>
      <c r="C91" s="24"/>
      <c r="D91" s="24"/>
      <c r="E91" s="24"/>
      <c r="H91" s="7"/>
      <c r="I91" s="7"/>
      <c r="J91" s="7"/>
      <c r="K91" s="168"/>
    </row>
    <row r="92" spans="1:11" ht="15.75" customHeight="1" x14ac:dyDescent="0.25">
      <c r="A92" s="24"/>
      <c r="B92" s="174"/>
      <c r="C92" s="24"/>
      <c r="D92" s="24"/>
      <c r="E92" s="24"/>
      <c r="H92" s="7"/>
      <c r="I92" s="7"/>
      <c r="J92" s="7"/>
      <c r="K92" s="168"/>
    </row>
    <row r="93" spans="1:11" ht="15.75" customHeight="1" x14ac:dyDescent="0.25">
      <c r="A93" s="24"/>
      <c r="B93" s="174"/>
      <c r="C93" s="24"/>
      <c r="D93" s="24"/>
      <c r="E93" s="24"/>
      <c r="H93" s="7"/>
      <c r="I93" s="7"/>
      <c r="J93" s="7"/>
      <c r="K93" s="168"/>
    </row>
    <row r="94" spans="1:11" ht="15.75" customHeight="1" x14ac:dyDescent="0.25">
      <c r="A94" s="24"/>
      <c r="B94" s="174"/>
      <c r="C94" s="24"/>
      <c r="D94" s="24"/>
      <c r="E94" s="24"/>
      <c r="H94" s="7"/>
      <c r="I94" s="7"/>
      <c r="J94" s="7"/>
      <c r="K94" s="168"/>
    </row>
    <row r="95" spans="1:11" ht="15.75" customHeight="1" x14ac:dyDescent="0.25">
      <c r="A95" s="24"/>
      <c r="B95" s="174"/>
      <c r="C95" s="24"/>
      <c r="D95" s="24"/>
      <c r="E95" s="24"/>
      <c r="H95" s="7"/>
      <c r="I95" s="7"/>
      <c r="J95" s="7"/>
      <c r="K95" s="168"/>
    </row>
    <row r="96" spans="1:11" ht="15.75" customHeight="1" x14ac:dyDescent="0.25">
      <c r="A96" s="24"/>
      <c r="B96" s="174"/>
      <c r="C96" s="24"/>
      <c r="D96" s="24"/>
      <c r="E96" s="24"/>
      <c r="H96" s="7"/>
      <c r="I96" s="7"/>
      <c r="J96" s="7"/>
      <c r="K96" s="168"/>
    </row>
    <row r="97" spans="1:11" ht="15.75" customHeight="1" x14ac:dyDescent="0.25">
      <c r="A97" s="24"/>
      <c r="B97" s="174"/>
      <c r="C97" s="24"/>
      <c r="D97" s="24"/>
      <c r="E97" s="24"/>
      <c r="H97" s="7"/>
      <c r="I97" s="7"/>
      <c r="J97" s="7"/>
      <c r="K97" s="168"/>
    </row>
    <row r="98" spans="1:11" ht="15.75" customHeight="1" x14ac:dyDescent="0.25">
      <c r="A98" s="24"/>
      <c r="B98" s="174"/>
      <c r="C98" s="24"/>
      <c r="D98" s="24"/>
      <c r="E98" s="24"/>
      <c r="H98" s="7"/>
      <c r="I98" s="7"/>
      <c r="J98" s="7"/>
      <c r="K98" s="168"/>
    </row>
    <row r="99" spans="1:11" ht="15.75" customHeight="1" x14ac:dyDescent="0.25">
      <c r="A99" s="24"/>
      <c r="B99" s="174"/>
      <c r="C99" s="24"/>
      <c r="D99" s="24"/>
      <c r="E99" s="24"/>
      <c r="H99" s="7"/>
      <c r="I99" s="7"/>
      <c r="J99" s="7"/>
      <c r="K99" s="168"/>
    </row>
    <row r="100" spans="1:11" ht="15.75" customHeight="1" x14ac:dyDescent="0.25">
      <c r="A100" s="24"/>
      <c r="B100" s="174"/>
      <c r="C100" s="24"/>
      <c r="D100" s="24"/>
      <c r="E100" s="24"/>
      <c r="H100" s="7"/>
      <c r="I100" s="7"/>
      <c r="J100" s="7"/>
      <c r="K100" s="168"/>
    </row>
    <row r="101" spans="1:11" ht="15.75" customHeight="1" x14ac:dyDescent="0.25">
      <c r="A101" s="24"/>
      <c r="B101" s="174"/>
      <c r="C101" s="24"/>
      <c r="D101" s="24"/>
      <c r="E101" s="24"/>
      <c r="H101" s="7"/>
      <c r="I101" s="7"/>
      <c r="J101" s="7"/>
      <c r="K101" s="168"/>
    </row>
    <row r="102" spans="1:11" ht="15.75" customHeight="1" x14ac:dyDescent="0.25">
      <c r="A102" s="24"/>
      <c r="B102" s="174"/>
      <c r="C102" s="24"/>
      <c r="D102" s="24"/>
      <c r="E102" s="24"/>
      <c r="H102" s="7"/>
      <c r="I102" s="7"/>
      <c r="J102" s="7"/>
      <c r="K102" s="168"/>
    </row>
    <row r="103" spans="1:11" ht="15.75" customHeight="1" x14ac:dyDescent="0.25">
      <c r="A103" s="24"/>
      <c r="B103" s="174"/>
      <c r="C103" s="24"/>
      <c r="D103" s="24"/>
      <c r="E103" s="24"/>
      <c r="H103" s="7"/>
      <c r="I103" s="7"/>
      <c r="J103" s="7"/>
      <c r="K103" s="168"/>
    </row>
    <row r="104" spans="1:11" ht="15.75" customHeight="1" x14ac:dyDescent="0.25">
      <c r="A104" s="24"/>
      <c r="B104" s="174"/>
      <c r="C104" s="24"/>
      <c r="D104" s="24"/>
      <c r="E104" s="24"/>
      <c r="H104" s="7"/>
      <c r="I104" s="7"/>
      <c r="J104" s="7"/>
      <c r="K104" s="168"/>
    </row>
    <row r="105" spans="1:11" ht="15.75" customHeight="1" x14ac:dyDescent="0.25">
      <c r="A105" s="24"/>
      <c r="B105" s="174"/>
      <c r="C105" s="24"/>
      <c r="D105" s="24"/>
      <c r="E105" s="24"/>
      <c r="H105" s="7"/>
      <c r="I105" s="7"/>
      <c r="J105" s="7"/>
      <c r="K105" s="168"/>
    </row>
    <row r="106" spans="1:11" ht="15.75" customHeight="1" x14ac:dyDescent="0.25">
      <c r="A106" s="24"/>
      <c r="B106" s="174"/>
      <c r="C106" s="24"/>
      <c r="D106" s="24"/>
      <c r="E106" s="24"/>
      <c r="H106" s="7"/>
      <c r="I106" s="7"/>
      <c r="J106" s="7"/>
      <c r="K106" s="168"/>
    </row>
    <row r="107" spans="1:11" ht="15.75" customHeight="1" x14ac:dyDescent="0.25">
      <c r="A107" s="24"/>
      <c r="B107" s="174"/>
      <c r="C107" s="24"/>
      <c r="D107" s="24"/>
      <c r="E107" s="24"/>
      <c r="H107" s="7"/>
      <c r="I107" s="7"/>
      <c r="J107" s="7"/>
      <c r="K107" s="168"/>
    </row>
    <row r="108" spans="1:11" ht="15.75" customHeight="1" x14ac:dyDescent="0.25">
      <c r="A108" s="24"/>
      <c r="B108" s="174"/>
      <c r="C108" s="24"/>
      <c r="D108" s="24"/>
      <c r="E108" s="24"/>
      <c r="H108" s="7"/>
      <c r="I108" s="7"/>
      <c r="J108" s="7"/>
      <c r="K108" s="168"/>
    </row>
    <row r="109" spans="1:11" ht="15.75" customHeight="1" x14ac:dyDescent="0.25">
      <c r="A109" s="24"/>
      <c r="B109" s="174"/>
      <c r="C109" s="24"/>
      <c r="D109" s="24"/>
      <c r="E109" s="24"/>
      <c r="H109" s="7"/>
      <c r="I109" s="7"/>
      <c r="J109" s="7"/>
      <c r="K109" s="168"/>
    </row>
    <row r="110" spans="1:11" ht="15.75" customHeight="1" x14ac:dyDescent="0.25">
      <c r="A110" s="24"/>
      <c r="B110" s="174"/>
      <c r="C110" s="24"/>
      <c r="D110" s="24"/>
      <c r="E110" s="24"/>
      <c r="H110" s="7"/>
      <c r="I110" s="7"/>
      <c r="J110" s="7"/>
      <c r="K110" s="168"/>
    </row>
    <row r="111" spans="1:11" ht="15.75" customHeight="1" x14ac:dyDescent="0.25">
      <c r="A111" s="24"/>
      <c r="B111" s="174"/>
      <c r="C111" s="24"/>
      <c r="D111" s="24"/>
      <c r="E111" s="24"/>
      <c r="H111" s="7"/>
      <c r="I111" s="7"/>
      <c r="J111" s="7"/>
      <c r="K111" s="168"/>
    </row>
    <row r="112" spans="1:11" ht="15.75" customHeight="1" x14ac:dyDescent="0.25">
      <c r="A112" s="24"/>
      <c r="B112" s="174"/>
      <c r="C112" s="24"/>
      <c r="D112" s="24"/>
      <c r="E112" s="24"/>
      <c r="H112" s="7"/>
      <c r="I112" s="7"/>
      <c r="J112" s="7"/>
      <c r="K112" s="168"/>
    </row>
    <row r="113" spans="1:11" ht="15.75" customHeight="1" x14ac:dyDescent="0.25">
      <c r="A113" s="24"/>
      <c r="B113" s="174"/>
      <c r="C113" s="24"/>
      <c r="D113" s="24"/>
      <c r="E113" s="24"/>
      <c r="H113" s="7"/>
      <c r="I113" s="7"/>
      <c r="J113" s="7"/>
      <c r="K113" s="168"/>
    </row>
    <row r="114" spans="1:11" ht="15.75" customHeight="1" x14ac:dyDescent="0.25">
      <c r="A114" s="24"/>
      <c r="B114" s="174"/>
      <c r="C114" s="24"/>
      <c r="D114" s="24"/>
      <c r="E114" s="24"/>
      <c r="H114" s="7"/>
      <c r="I114" s="7"/>
      <c r="J114" s="7"/>
      <c r="K114" s="168"/>
    </row>
    <row r="115" spans="1:11" ht="15.75" customHeight="1" x14ac:dyDescent="0.25">
      <c r="A115" s="24"/>
      <c r="B115" s="174"/>
      <c r="C115" s="24"/>
      <c r="D115" s="24"/>
      <c r="E115" s="24"/>
      <c r="H115" s="7"/>
      <c r="I115" s="7"/>
      <c r="J115" s="7"/>
      <c r="K115" s="168"/>
    </row>
    <row r="116" spans="1:11" ht="15.75" customHeight="1" x14ac:dyDescent="0.25">
      <c r="A116" s="24"/>
      <c r="B116" s="174"/>
      <c r="C116" s="24"/>
      <c r="D116" s="24"/>
      <c r="E116" s="24"/>
      <c r="H116" s="7"/>
      <c r="I116" s="7"/>
      <c r="J116" s="7"/>
      <c r="K116" s="168"/>
    </row>
    <row r="117" spans="1:11" ht="15.75" customHeight="1" x14ac:dyDescent="0.25">
      <c r="A117" s="24"/>
      <c r="B117" s="174"/>
      <c r="C117" s="24"/>
      <c r="D117" s="24"/>
      <c r="E117" s="24"/>
      <c r="H117" s="7"/>
      <c r="I117" s="7"/>
      <c r="J117" s="7"/>
      <c r="K117" s="168"/>
    </row>
    <row r="118" spans="1:11" ht="15.75" customHeight="1" x14ac:dyDescent="0.25">
      <c r="A118" s="24"/>
      <c r="B118" s="174"/>
      <c r="C118" s="24"/>
      <c r="D118" s="24"/>
      <c r="E118" s="24"/>
      <c r="H118" s="7"/>
      <c r="I118" s="7"/>
      <c r="J118" s="7"/>
      <c r="K118" s="168"/>
    </row>
    <row r="119" spans="1:11" ht="15.75" customHeight="1" x14ac:dyDescent="0.25">
      <c r="A119" s="24"/>
      <c r="B119" s="174"/>
      <c r="C119" s="24"/>
      <c r="D119" s="24"/>
      <c r="E119" s="24"/>
      <c r="H119" s="7"/>
      <c r="I119" s="7"/>
      <c r="J119" s="7"/>
      <c r="K119" s="168"/>
    </row>
    <row r="120" spans="1:11" ht="15.75" customHeight="1" x14ac:dyDescent="0.25">
      <c r="A120" s="24"/>
      <c r="B120" s="174"/>
      <c r="C120" s="24"/>
      <c r="D120" s="24"/>
      <c r="E120" s="24"/>
      <c r="H120" s="7"/>
      <c r="I120" s="7"/>
      <c r="J120" s="7"/>
      <c r="K120" s="168"/>
    </row>
    <row r="121" spans="1:11" ht="15.75" customHeight="1" x14ac:dyDescent="0.25">
      <c r="A121" s="24"/>
      <c r="B121" s="174"/>
      <c r="C121" s="24"/>
      <c r="D121" s="24"/>
      <c r="E121" s="24"/>
      <c r="H121" s="7"/>
      <c r="I121" s="7"/>
      <c r="J121" s="7"/>
      <c r="K121" s="168"/>
    </row>
    <row r="122" spans="1:11" ht="15.75" customHeight="1" x14ac:dyDescent="0.25">
      <c r="A122" s="24"/>
      <c r="B122" s="174"/>
      <c r="C122" s="24"/>
      <c r="D122" s="24"/>
      <c r="E122" s="24"/>
      <c r="H122" s="7"/>
      <c r="I122" s="7"/>
      <c r="J122" s="7"/>
      <c r="K122" s="168"/>
    </row>
    <row r="123" spans="1:11" ht="15.75" customHeight="1" x14ac:dyDescent="0.25">
      <c r="A123" s="24"/>
      <c r="B123" s="174"/>
      <c r="C123" s="24"/>
      <c r="D123" s="24"/>
      <c r="E123" s="24"/>
      <c r="H123" s="7"/>
      <c r="I123" s="7"/>
      <c r="J123" s="7"/>
      <c r="K123" s="168"/>
    </row>
    <row r="124" spans="1:11" ht="15.75" customHeight="1" x14ac:dyDescent="0.25">
      <c r="A124" s="24"/>
      <c r="B124" s="174"/>
      <c r="C124" s="24"/>
      <c r="D124" s="24"/>
      <c r="E124" s="24"/>
      <c r="H124" s="7"/>
      <c r="I124" s="7"/>
      <c r="J124" s="7"/>
      <c r="K124" s="168"/>
    </row>
    <row r="125" spans="1:11" ht="15.75" customHeight="1" x14ac:dyDescent="0.25">
      <c r="A125" s="24"/>
      <c r="B125" s="174"/>
      <c r="C125" s="24"/>
      <c r="D125" s="24"/>
      <c r="E125" s="24"/>
      <c r="H125" s="7"/>
      <c r="I125" s="7"/>
      <c r="J125" s="7"/>
      <c r="K125" s="168"/>
    </row>
    <row r="126" spans="1:11" ht="15.75" customHeight="1" x14ac:dyDescent="0.25">
      <c r="A126" s="24"/>
      <c r="B126" s="174"/>
      <c r="C126" s="24"/>
      <c r="D126" s="24"/>
      <c r="E126" s="24"/>
      <c r="H126" s="7"/>
      <c r="I126" s="7"/>
      <c r="J126" s="7"/>
      <c r="K126" s="168"/>
    </row>
    <row r="127" spans="1:11" ht="15.75" customHeight="1" x14ac:dyDescent="0.25">
      <c r="A127" s="24"/>
      <c r="B127" s="174"/>
      <c r="C127" s="24"/>
      <c r="D127" s="24"/>
      <c r="E127" s="24"/>
      <c r="H127" s="7"/>
      <c r="I127" s="7"/>
      <c r="J127" s="7"/>
      <c r="K127" s="168"/>
    </row>
    <row r="128" spans="1:11" ht="15.75" customHeight="1" x14ac:dyDescent="0.25">
      <c r="A128" s="24"/>
      <c r="B128" s="174"/>
      <c r="C128" s="24"/>
      <c r="D128" s="24"/>
      <c r="E128" s="24"/>
      <c r="H128" s="7"/>
      <c r="I128" s="7"/>
      <c r="J128" s="7"/>
      <c r="K128" s="168"/>
    </row>
    <row r="129" spans="1:11" ht="15.75" customHeight="1" x14ac:dyDescent="0.25">
      <c r="A129" s="24"/>
      <c r="B129" s="174"/>
      <c r="C129" s="24"/>
      <c r="D129" s="24"/>
      <c r="E129" s="24"/>
      <c r="H129" s="7"/>
      <c r="I129" s="7"/>
      <c r="J129" s="7"/>
      <c r="K129" s="168"/>
    </row>
    <row r="130" spans="1:11" ht="15.75" customHeight="1" x14ac:dyDescent="0.25">
      <c r="A130" s="24"/>
      <c r="B130" s="174"/>
      <c r="C130" s="24"/>
      <c r="D130" s="24"/>
      <c r="E130" s="24"/>
      <c r="H130" s="7"/>
      <c r="I130" s="7"/>
      <c r="J130" s="7"/>
      <c r="K130" s="168"/>
    </row>
    <row r="131" spans="1:11" ht="15.75" customHeight="1" x14ac:dyDescent="0.25">
      <c r="A131" s="24"/>
      <c r="B131" s="174"/>
      <c r="C131" s="24"/>
      <c r="D131" s="24"/>
      <c r="E131" s="24"/>
      <c r="H131" s="7"/>
      <c r="I131" s="7"/>
      <c r="J131" s="7"/>
      <c r="K131" s="168"/>
    </row>
    <row r="132" spans="1:11" ht="15.75" customHeight="1" x14ac:dyDescent="0.25">
      <c r="A132" s="24"/>
      <c r="B132" s="174"/>
      <c r="C132" s="24"/>
      <c r="D132" s="24"/>
      <c r="E132" s="24"/>
      <c r="H132" s="7"/>
      <c r="I132" s="7"/>
      <c r="J132" s="7"/>
      <c r="K132" s="168"/>
    </row>
    <row r="133" spans="1:11" ht="15.75" customHeight="1" x14ac:dyDescent="0.25">
      <c r="A133" s="24"/>
      <c r="B133" s="174"/>
      <c r="C133" s="24"/>
      <c r="D133" s="24"/>
      <c r="E133" s="24"/>
      <c r="H133" s="7"/>
      <c r="I133" s="7"/>
      <c r="J133" s="7"/>
      <c r="K133" s="168"/>
    </row>
    <row r="134" spans="1:11" ht="15.75" customHeight="1" x14ac:dyDescent="0.25">
      <c r="A134" s="24"/>
      <c r="B134" s="174"/>
      <c r="C134" s="24"/>
      <c r="D134" s="24"/>
      <c r="E134" s="24"/>
      <c r="H134" s="7"/>
      <c r="I134" s="7"/>
      <c r="J134" s="7"/>
      <c r="K134" s="168"/>
    </row>
    <row r="135" spans="1:11" ht="15.75" customHeight="1" x14ac:dyDescent="0.25">
      <c r="A135" s="24"/>
      <c r="B135" s="174"/>
      <c r="C135" s="24"/>
      <c r="D135" s="24"/>
      <c r="E135" s="24"/>
      <c r="H135" s="7"/>
      <c r="I135" s="7"/>
      <c r="J135" s="7"/>
      <c r="K135" s="168"/>
    </row>
    <row r="136" spans="1:11" ht="15.75" customHeight="1" x14ac:dyDescent="0.25">
      <c r="A136" s="24"/>
      <c r="B136" s="174"/>
      <c r="C136" s="24"/>
      <c r="D136" s="24"/>
      <c r="E136" s="24"/>
      <c r="H136" s="7"/>
      <c r="I136" s="7"/>
      <c r="J136" s="7"/>
      <c r="K136" s="168"/>
    </row>
    <row r="137" spans="1:11" ht="15.75" customHeight="1" x14ac:dyDescent="0.25">
      <c r="A137" s="24"/>
      <c r="B137" s="174"/>
      <c r="C137" s="24"/>
      <c r="D137" s="24"/>
      <c r="E137" s="24"/>
      <c r="H137" s="7"/>
      <c r="I137" s="7"/>
      <c r="J137" s="7"/>
      <c r="K137" s="168"/>
    </row>
    <row r="138" spans="1:11" ht="15.75" customHeight="1" x14ac:dyDescent="0.25">
      <c r="A138" s="24"/>
      <c r="B138" s="174"/>
      <c r="C138" s="24"/>
      <c r="D138" s="24"/>
      <c r="E138" s="24"/>
      <c r="H138" s="7"/>
      <c r="I138" s="7"/>
      <c r="J138" s="7"/>
      <c r="K138" s="168"/>
    </row>
    <row r="139" spans="1:11" ht="15.75" customHeight="1" x14ac:dyDescent="0.25">
      <c r="A139" s="24"/>
      <c r="B139" s="174"/>
      <c r="C139" s="24"/>
      <c r="D139" s="24"/>
      <c r="E139" s="24"/>
      <c r="H139" s="7"/>
      <c r="I139" s="7"/>
      <c r="J139" s="7"/>
      <c r="K139" s="168"/>
    </row>
    <row r="140" spans="1:11" ht="15.75" customHeight="1" x14ac:dyDescent="0.25">
      <c r="A140" s="24"/>
      <c r="B140" s="174"/>
      <c r="C140" s="24"/>
      <c r="D140" s="24"/>
      <c r="E140" s="24"/>
      <c r="H140" s="7"/>
      <c r="I140" s="7"/>
      <c r="J140" s="7"/>
      <c r="K140" s="168"/>
    </row>
    <row r="141" spans="1:11" ht="15.75" customHeight="1" x14ac:dyDescent="0.25">
      <c r="A141" s="24"/>
      <c r="B141" s="174"/>
      <c r="C141" s="24"/>
      <c r="D141" s="24"/>
      <c r="E141" s="24"/>
      <c r="H141" s="7"/>
      <c r="I141" s="7"/>
      <c r="J141" s="7"/>
      <c r="K141" s="168"/>
    </row>
    <row r="142" spans="1:11" ht="15.75" customHeight="1" x14ac:dyDescent="0.25">
      <c r="A142" s="24"/>
      <c r="B142" s="174"/>
      <c r="C142" s="24"/>
      <c r="D142" s="24"/>
      <c r="E142" s="24"/>
      <c r="H142" s="7"/>
      <c r="I142" s="7"/>
      <c r="J142" s="7"/>
      <c r="K142" s="168"/>
    </row>
    <row r="143" spans="1:11" ht="15.75" customHeight="1" x14ac:dyDescent="0.25">
      <c r="A143" s="24"/>
      <c r="B143" s="174"/>
      <c r="C143" s="24"/>
      <c r="D143" s="24"/>
      <c r="E143" s="24"/>
      <c r="H143" s="7"/>
      <c r="I143" s="7"/>
      <c r="J143" s="7"/>
      <c r="K143" s="168"/>
    </row>
    <row r="144" spans="1:11" ht="15.75" customHeight="1" x14ac:dyDescent="0.25">
      <c r="A144" s="24"/>
      <c r="B144" s="174"/>
      <c r="C144" s="24"/>
      <c r="D144" s="24"/>
      <c r="E144" s="24"/>
      <c r="H144" s="7"/>
      <c r="I144" s="7"/>
      <c r="J144" s="7"/>
      <c r="K144" s="168"/>
    </row>
    <row r="145" spans="1:11" ht="15.75" customHeight="1" x14ac:dyDescent="0.25">
      <c r="A145" s="24"/>
      <c r="B145" s="174"/>
      <c r="C145" s="24"/>
      <c r="D145" s="24"/>
      <c r="E145" s="24"/>
      <c r="H145" s="7"/>
      <c r="I145" s="7"/>
      <c r="J145" s="7"/>
      <c r="K145" s="168"/>
    </row>
    <row r="146" spans="1:11" ht="15.75" customHeight="1" x14ac:dyDescent="0.25">
      <c r="A146" s="24"/>
      <c r="B146" s="174"/>
      <c r="C146" s="24"/>
      <c r="D146" s="24"/>
      <c r="E146" s="24"/>
      <c r="H146" s="7"/>
      <c r="I146" s="7"/>
      <c r="J146" s="7"/>
      <c r="K146" s="168"/>
    </row>
    <row r="147" spans="1:11" ht="15.75" customHeight="1" x14ac:dyDescent="0.25">
      <c r="A147" s="24"/>
      <c r="B147" s="174"/>
      <c r="C147" s="24"/>
      <c r="D147" s="24"/>
      <c r="E147" s="24"/>
      <c r="H147" s="7"/>
      <c r="I147" s="7"/>
      <c r="J147" s="7"/>
      <c r="K147" s="168"/>
    </row>
    <row r="148" spans="1:11" ht="15.75" customHeight="1" x14ac:dyDescent="0.25">
      <c r="A148" s="24"/>
      <c r="B148" s="174"/>
      <c r="C148" s="24"/>
      <c r="D148" s="24"/>
      <c r="E148" s="24"/>
      <c r="H148" s="7"/>
      <c r="I148" s="7"/>
      <c r="J148" s="7"/>
      <c r="K148" s="168"/>
    </row>
    <row r="149" spans="1:11" ht="15.75" customHeight="1" x14ac:dyDescent="0.25">
      <c r="A149" s="24"/>
      <c r="B149" s="174"/>
      <c r="C149" s="24"/>
      <c r="D149" s="24"/>
      <c r="E149" s="24"/>
      <c r="H149" s="7"/>
      <c r="I149" s="7"/>
      <c r="J149" s="7"/>
      <c r="K149" s="168"/>
    </row>
    <row r="150" spans="1:11" ht="15.75" customHeight="1" x14ac:dyDescent="0.25">
      <c r="A150" s="24"/>
      <c r="B150" s="174"/>
      <c r="C150" s="24"/>
      <c r="D150" s="24"/>
      <c r="E150" s="24"/>
      <c r="H150" s="7"/>
      <c r="I150" s="7"/>
      <c r="J150" s="7"/>
      <c r="K150" s="168"/>
    </row>
    <row r="151" spans="1:11" ht="15.75" customHeight="1" x14ac:dyDescent="0.25">
      <c r="A151" s="24"/>
      <c r="B151" s="174"/>
      <c r="C151" s="24"/>
      <c r="D151" s="24"/>
      <c r="E151" s="24"/>
      <c r="H151" s="7"/>
      <c r="I151" s="7"/>
      <c r="J151" s="7"/>
      <c r="K151" s="168"/>
    </row>
    <row r="152" spans="1:11" ht="15.75" customHeight="1" x14ac:dyDescent="0.25">
      <c r="A152" s="24"/>
      <c r="B152" s="174"/>
      <c r="C152" s="24"/>
      <c r="D152" s="24"/>
      <c r="E152" s="24"/>
      <c r="H152" s="7"/>
      <c r="I152" s="7"/>
      <c r="J152" s="7"/>
      <c r="K152" s="168"/>
    </row>
    <row r="153" spans="1:11" ht="15.75" customHeight="1" x14ac:dyDescent="0.25">
      <c r="A153" s="24"/>
      <c r="B153" s="174"/>
      <c r="C153" s="24"/>
      <c r="D153" s="24"/>
      <c r="E153" s="24"/>
      <c r="H153" s="7"/>
      <c r="I153" s="7"/>
      <c r="J153" s="7"/>
      <c r="K153" s="168"/>
    </row>
    <row r="154" spans="1:11" ht="15.75" customHeight="1" x14ac:dyDescent="0.25">
      <c r="A154" s="24"/>
      <c r="B154" s="174"/>
      <c r="C154" s="24"/>
      <c r="D154" s="24"/>
      <c r="E154" s="24"/>
      <c r="H154" s="7"/>
      <c r="I154" s="7"/>
      <c r="J154" s="7"/>
      <c r="K154" s="168"/>
    </row>
    <row r="155" spans="1:11" ht="15.75" customHeight="1" x14ac:dyDescent="0.25">
      <c r="A155" s="24"/>
      <c r="B155" s="174"/>
      <c r="C155" s="24"/>
      <c r="D155" s="24"/>
      <c r="E155" s="24"/>
      <c r="H155" s="7"/>
      <c r="I155" s="7"/>
      <c r="J155" s="7"/>
      <c r="K155" s="168"/>
    </row>
    <row r="156" spans="1:11" ht="15.75" customHeight="1" x14ac:dyDescent="0.25">
      <c r="A156" s="24"/>
      <c r="B156" s="174"/>
      <c r="C156" s="24"/>
      <c r="D156" s="24"/>
      <c r="E156" s="24"/>
      <c r="H156" s="7"/>
      <c r="I156" s="7"/>
      <c r="J156" s="7"/>
      <c r="K156" s="168"/>
    </row>
    <row r="157" spans="1:11" ht="15.75" customHeight="1" x14ac:dyDescent="0.25">
      <c r="A157" s="24"/>
      <c r="B157" s="174"/>
      <c r="C157" s="24"/>
      <c r="D157" s="24"/>
      <c r="E157" s="24"/>
      <c r="H157" s="7"/>
      <c r="I157" s="7"/>
      <c r="J157" s="7"/>
      <c r="K157" s="168"/>
    </row>
    <row r="158" spans="1:11" ht="15.75" customHeight="1" x14ac:dyDescent="0.25">
      <c r="A158" s="24"/>
      <c r="B158" s="174"/>
      <c r="C158" s="24"/>
      <c r="D158" s="24"/>
      <c r="E158" s="24"/>
      <c r="H158" s="7"/>
      <c r="I158" s="7"/>
      <c r="J158" s="7"/>
      <c r="K158" s="168"/>
    </row>
    <row r="159" spans="1:11" ht="15.75" customHeight="1" x14ac:dyDescent="0.25">
      <c r="A159" s="24"/>
      <c r="B159" s="174"/>
      <c r="C159" s="24"/>
      <c r="D159" s="24"/>
      <c r="E159" s="24"/>
      <c r="H159" s="7"/>
      <c r="I159" s="7"/>
      <c r="J159" s="7"/>
      <c r="K159" s="168"/>
    </row>
    <row r="160" spans="1:11" ht="15.75" customHeight="1" x14ac:dyDescent="0.25">
      <c r="A160" s="24"/>
      <c r="B160" s="174"/>
      <c r="C160" s="24"/>
      <c r="D160" s="24"/>
      <c r="E160" s="24"/>
      <c r="H160" s="7"/>
      <c r="I160" s="7"/>
      <c r="J160" s="7"/>
      <c r="K160" s="168"/>
    </row>
    <row r="161" spans="1:11" ht="15.75" customHeight="1" x14ac:dyDescent="0.25">
      <c r="A161" s="24"/>
      <c r="B161" s="174"/>
      <c r="C161" s="24"/>
      <c r="D161" s="24"/>
      <c r="E161" s="24"/>
      <c r="H161" s="7"/>
      <c r="I161" s="7"/>
      <c r="J161" s="7"/>
      <c r="K161" s="168"/>
    </row>
    <row r="162" spans="1:11" ht="15.75" customHeight="1" x14ac:dyDescent="0.25">
      <c r="A162" s="24"/>
      <c r="B162" s="174"/>
      <c r="C162" s="24"/>
      <c r="D162" s="24"/>
      <c r="E162" s="24"/>
      <c r="H162" s="7"/>
      <c r="I162" s="7"/>
      <c r="J162" s="7"/>
      <c r="K162" s="168"/>
    </row>
    <row r="163" spans="1:11" ht="15.75" customHeight="1" x14ac:dyDescent="0.25">
      <c r="A163" s="24"/>
      <c r="B163" s="174"/>
      <c r="C163" s="24"/>
      <c r="D163" s="24"/>
      <c r="E163" s="24"/>
      <c r="H163" s="7"/>
      <c r="I163" s="7"/>
      <c r="J163" s="7"/>
      <c r="K163" s="168"/>
    </row>
    <row r="164" spans="1:11" ht="15.75" customHeight="1" x14ac:dyDescent="0.25">
      <c r="A164" s="24"/>
      <c r="B164" s="174"/>
      <c r="C164" s="24"/>
      <c r="D164" s="24"/>
      <c r="E164" s="24"/>
      <c r="H164" s="7"/>
      <c r="I164" s="7"/>
      <c r="J164" s="7"/>
      <c r="K164" s="168"/>
    </row>
    <row r="165" spans="1:11" ht="15.75" customHeight="1" x14ac:dyDescent="0.25">
      <c r="A165" s="24"/>
      <c r="B165" s="174"/>
      <c r="C165" s="24"/>
      <c r="D165" s="24"/>
      <c r="E165" s="24"/>
      <c r="H165" s="7"/>
      <c r="I165" s="7"/>
      <c r="J165" s="7"/>
      <c r="K165" s="168"/>
    </row>
    <row r="166" spans="1:11" ht="15.75" customHeight="1" x14ac:dyDescent="0.25">
      <c r="A166" s="24"/>
      <c r="B166" s="174"/>
      <c r="C166" s="24"/>
      <c r="D166" s="24"/>
      <c r="E166" s="24"/>
      <c r="H166" s="7"/>
      <c r="I166" s="7"/>
      <c r="J166" s="7"/>
      <c r="K166" s="168"/>
    </row>
    <row r="167" spans="1:11" ht="15.75" customHeight="1" x14ac:dyDescent="0.25">
      <c r="A167" s="24"/>
      <c r="B167" s="174"/>
      <c r="C167" s="24"/>
      <c r="D167" s="24"/>
      <c r="E167" s="24"/>
      <c r="H167" s="7"/>
      <c r="I167" s="7"/>
      <c r="J167" s="7"/>
      <c r="K167" s="168"/>
    </row>
    <row r="168" spans="1:11" ht="15.75" customHeight="1" x14ac:dyDescent="0.25">
      <c r="A168" s="24"/>
      <c r="B168" s="174"/>
      <c r="C168" s="24"/>
      <c r="D168" s="24"/>
      <c r="E168" s="24"/>
      <c r="H168" s="7"/>
      <c r="I168" s="7"/>
      <c r="J168" s="7"/>
      <c r="K168" s="168"/>
    </row>
    <row r="169" spans="1:11" ht="15.75" customHeight="1" x14ac:dyDescent="0.25">
      <c r="A169" s="24"/>
      <c r="B169" s="174"/>
      <c r="C169" s="24"/>
      <c r="D169" s="24"/>
      <c r="E169" s="24"/>
      <c r="H169" s="7"/>
      <c r="I169" s="7"/>
      <c r="J169" s="7"/>
      <c r="K169" s="168"/>
    </row>
    <row r="170" spans="1:11" ht="15.75" customHeight="1" x14ac:dyDescent="0.25">
      <c r="A170" s="24"/>
      <c r="B170" s="174"/>
      <c r="C170" s="24"/>
      <c r="D170" s="24"/>
      <c r="E170" s="24"/>
      <c r="H170" s="7"/>
      <c r="I170" s="7"/>
      <c r="J170" s="7"/>
      <c r="K170" s="168"/>
    </row>
    <row r="171" spans="1:11" ht="15.75" customHeight="1" x14ac:dyDescent="0.25">
      <c r="A171" s="24"/>
      <c r="B171" s="174"/>
      <c r="C171" s="24"/>
      <c r="D171" s="24"/>
      <c r="E171" s="24"/>
      <c r="H171" s="7"/>
      <c r="I171" s="7"/>
      <c r="J171" s="7"/>
      <c r="K171" s="168"/>
    </row>
    <row r="172" spans="1:11" ht="15.75" customHeight="1" x14ac:dyDescent="0.25">
      <c r="A172" s="24"/>
      <c r="B172" s="174"/>
      <c r="C172" s="24"/>
      <c r="D172" s="24"/>
      <c r="E172" s="24"/>
      <c r="H172" s="7"/>
      <c r="I172" s="7"/>
      <c r="J172" s="7"/>
      <c r="K172" s="168"/>
    </row>
    <row r="173" spans="1:11" ht="15.75" customHeight="1" x14ac:dyDescent="0.25">
      <c r="A173" s="24"/>
      <c r="B173" s="174"/>
      <c r="C173" s="24"/>
      <c r="D173" s="24"/>
      <c r="E173" s="24"/>
      <c r="H173" s="7"/>
      <c r="I173" s="7"/>
      <c r="J173" s="7"/>
      <c r="K173" s="168"/>
    </row>
    <row r="174" spans="1:11" ht="15.75" customHeight="1" x14ac:dyDescent="0.25">
      <c r="A174" s="24"/>
      <c r="B174" s="174"/>
      <c r="C174" s="24"/>
      <c r="D174" s="24"/>
      <c r="E174" s="24"/>
      <c r="H174" s="7"/>
      <c r="I174" s="7"/>
      <c r="J174" s="7"/>
      <c r="K174" s="168"/>
    </row>
    <row r="175" spans="1:11" ht="15.75" customHeight="1" x14ac:dyDescent="0.25">
      <c r="A175" s="24"/>
      <c r="B175" s="174"/>
      <c r="C175" s="24"/>
      <c r="D175" s="24"/>
      <c r="E175" s="24"/>
      <c r="H175" s="7"/>
      <c r="I175" s="7"/>
      <c r="J175" s="7"/>
      <c r="K175" s="168"/>
    </row>
    <row r="176" spans="1:11" ht="15.75" customHeight="1" x14ac:dyDescent="0.25">
      <c r="A176" s="24"/>
      <c r="B176" s="174"/>
      <c r="C176" s="24"/>
      <c r="D176" s="24"/>
      <c r="E176" s="24"/>
      <c r="H176" s="7"/>
      <c r="I176" s="7"/>
      <c r="J176" s="7"/>
      <c r="K176" s="168"/>
    </row>
    <row r="177" spans="1:11" ht="15.75" customHeight="1" x14ac:dyDescent="0.25">
      <c r="A177" s="24"/>
      <c r="B177" s="174"/>
      <c r="C177" s="24"/>
      <c r="D177" s="24"/>
      <c r="E177" s="24"/>
      <c r="H177" s="7"/>
      <c r="I177" s="7"/>
      <c r="J177" s="7"/>
      <c r="K177" s="168"/>
    </row>
    <row r="178" spans="1:11" ht="15.75" customHeight="1" x14ac:dyDescent="0.25">
      <c r="A178" s="24"/>
      <c r="B178" s="174"/>
      <c r="C178" s="24"/>
      <c r="D178" s="24"/>
      <c r="E178" s="24"/>
      <c r="H178" s="7"/>
      <c r="I178" s="7"/>
      <c r="J178" s="7"/>
      <c r="K178" s="168"/>
    </row>
    <row r="179" spans="1:11" ht="15.75" customHeight="1" x14ac:dyDescent="0.25">
      <c r="A179" s="24"/>
      <c r="B179" s="174"/>
      <c r="C179" s="24"/>
      <c r="D179" s="24"/>
      <c r="E179" s="24"/>
      <c r="H179" s="7"/>
      <c r="I179" s="7"/>
      <c r="J179" s="7"/>
      <c r="K179" s="168"/>
    </row>
    <row r="180" spans="1:11" ht="15.75" customHeight="1" x14ac:dyDescent="0.25">
      <c r="A180" s="24"/>
      <c r="B180" s="174"/>
      <c r="C180" s="24"/>
      <c r="D180" s="24"/>
      <c r="E180" s="24"/>
      <c r="H180" s="7"/>
      <c r="I180" s="7"/>
      <c r="J180" s="7"/>
      <c r="K180" s="168"/>
    </row>
    <row r="181" spans="1:11" ht="15.75" customHeight="1" x14ac:dyDescent="0.25">
      <c r="A181" s="24"/>
      <c r="B181" s="174"/>
      <c r="C181" s="24"/>
      <c r="D181" s="24"/>
      <c r="E181" s="24"/>
      <c r="H181" s="7"/>
      <c r="I181" s="7"/>
      <c r="J181" s="7"/>
      <c r="K181" s="168"/>
    </row>
    <row r="182" spans="1:11" ht="15.75" customHeight="1" x14ac:dyDescent="0.25">
      <c r="A182" s="24"/>
      <c r="B182" s="174"/>
      <c r="C182" s="24"/>
      <c r="D182" s="24"/>
      <c r="E182" s="24"/>
      <c r="H182" s="7"/>
      <c r="I182" s="7"/>
      <c r="J182" s="7"/>
      <c r="K182" s="168"/>
    </row>
    <row r="183" spans="1:11" ht="15.75" customHeight="1" x14ac:dyDescent="0.25">
      <c r="A183" s="24"/>
      <c r="B183" s="174"/>
      <c r="C183" s="24"/>
      <c r="D183" s="24"/>
      <c r="E183" s="24"/>
      <c r="H183" s="7"/>
      <c r="I183" s="7"/>
      <c r="J183" s="7"/>
      <c r="K183" s="168"/>
    </row>
    <row r="184" spans="1:11" ht="15.75" customHeight="1" x14ac:dyDescent="0.25">
      <c r="A184" s="24"/>
      <c r="B184" s="174"/>
      <c r="C184" s="24"/>
      <c r="D184" s="24"/>
      <c r="E184" s="24"/>
      <c r="H184" s="7"/>
      <c r="I184" s="7"/>
      <c r="J184" s="7"/>
      <c r="K184" s="168"/>
    </row>
    <row r="185" spans="1:11" ht="15.75" customHeight="1" x14ac:dyDescent="0.25">
      <c r="A185" s="24"/>
      <c r="B185" s="174"/>
      <c r="C185" s="24"/>
      <c r="D185" s="24"/>
      <c r="E185" s="24"/>
      <c r="H185" s="7"/>
      <c r="I185" s="7"/>
      <c r="J185" s="7"/>
      <c r="K185" s="168"/>
    </row>
    <row r="186" spans="1:11" ht="15.75" customHeight="1" x14ac:dyDescent="0.25">
      <c r="A186" s="24"/>
      <c r="B186" s="174"/>
      <c r="C186" s="24"/>
      <c r="D186" s="24"/>
      <c r="E186" s="24"/>
      <c r="H186" s="7"/>
      <c r="I186" s="7"/>
      <c r="J186" s="7"/>
      <c r="K186" s="168"/>
    </row>
    <row r="187" spans="1:11" ht="15.75" customHeight="1" x14ac:dyDescent="0.25">
      <c r="A187" s="24"/>
      <c r="B187" s="174"/>
      <c r="C187" s="24"/>
      <c r="D187" s="24"/>
      <c r="E187" s="24"/>
      <c r="H187" s="7"/>
      <c r="I187" s="7"/>
      <c r="J187" s="7"/>
      <c r="K187" s="168"/>
    </row>
    <row r="188" spans="1:11" ht="15.75" customHeight="1" x14ac:dyDescent="0.25">
      <c r="A188" s="24"/>
      <c r="B188" s="174"/>
      <c r="C188" s="24"/>
      <c r="D188" s="24"/>
      <c r="E188" s="24"/>
      <c r="H188" s="7"/>
      <c r="I188" s="7"/>
      <c r="J188" s="7"/>
      <c r="K188" s="168"/>
    </row>
    <row r="189" spans="1:11" ht="15.75" customHeight="1" x14ac:dyDescent="0.25">
      <c r="A189" s="24"/>
      <c r="B189" s="174"/>
      <c r="C189" s="24"/>
      <c r="D189" s="24"/>
      <c r="E189" s="24"/>
      <c r="H189" s="7"/>
      <c r="I189" s="7"/>
      <c r="J189" s="7"/>
      <c r="K189" s="168"/>
    </row>
    <row r="190" spans="1:11" ht="15.75" customHeight="1" x14ac:dyDescent="0.25">
      <c r="A190" s="24"/>
      <c r="B190" s="174"/>
      <c r="C190" s="24"/>
      <c r="D190" s="24"/>
      <c r="E190" s="24"/>
      <c r="H190" s="7"/>
      <c r="I190" s="7"/>
      <c r="J190" s="7"/>
      <c r="K190" s="168"/>
    </row>
    <row r="191" spans="1:11" ht="15.75" customHeight="1" x14ac:dyDescent="0.25">
      <c r="A191" s="24"/>
      <c r="B191" s="174"/>
      <c r="C191" s="24"/>
      <c r="D191" s="24"/>
      <c r="E191" s="24"/>
      <c r="H191" s="7"/>
      <c r="I191" s="7"/>
      <c r="J191" s="7"/>
      <c r="K191" s="168"/>
    </row>
    <row r="192" spans="1:11" ht="15.75" customHeight="1" x14ac:dyDescent="0.25">
      <c r="A192" s="24"/>
      <c r="B192" s="174"/>
      <c r="C192" s="24"/>
      <c r="D192" s="24"/>
      <c r="E192" s="24"/>
      <c r="H192" s="7"/>
      <c r="I192" s="7"/>
      <c r="J192" s="7"/>
      <c r="K192" s="168"/>
    </row>
    <row r="193" spans="1:11" ht="15.75" customHeight="1" x14ac:dyDescent="0.25">
      <c r="A193" s="24"/>
      <c r="B193" s="174"/>
      <c r="C193" s="24"/>
      <c r="D193" s="24"/>
      <c r="E193" s="24"/>
      <c r="H193" s="7"/>
      <c r="I193" s="7"/>
      <c r="J193" s="7"/>
      <c r="K193" s="168"/>
    </row>
    <row r="194" spans="1:11" ht="15.75" customHeight="1" x14ac:dyDescent="0.25">
      <c r="A194" s="24"/>
      <c r="B194" s="174"/>
      <c r="C194" s="24"/>
      <c r="D194" s="24"/>
      <c r="E194" s="24"/>
      <c r="H194" s="7"/>
      <c r="I194" s="7"/>
      <c r="J194" s="7"/>
      <c r="K194" s="168"/>
    </row>
    <row r="195" spans="1:11" ht="15.75" customHeight="1" x14ac:dyDescent="0.25">
      <c r="A195" s="24"/>
      <c r="B195" s="174"/>
      <c r="C195" s="24"/>
      <c r="D195" s="24"/>
      <c r="E195" s="24"/>
      <c r="H195" s="7"/>
      <c r="I195" s="7"/>
      <c r="J195" s="7"/>
      <c r="K195" s="168"/>
    </row>
    <row r="196" spans="1:11" ht="15.75" customHeight="1" x14ac:dyDescent="0.25">
      <c r="A196" s="24"/>
      <c r="B196" s="174"/>
      <c r="C196" s="24"/>
      <c r="D196" s="24"/>
      <c r="E196" s="24"/>
      <c r="H196" s="7"/>
      <c r="I196" s="7"/>
      <c r="J196" s="7"/>
      <c r="K196" s="168"/>
    </row>
    <row r="197" spans="1:11" ht="15.75" customHeight="1" x14ac:dyDescent="0.25">
      <c r="A197" s="24"/>
      <c r="B197" s="174"/>
      <c r="C197" s="24"/>
      <c r="D197" s="24"/>
      <c r="E197" s="24"/>
      <c r="H197" s="7"/>
      <c r="I197" s="7"/>
      <c r="J197" s="7"/>
      <c r="K197" s="168"/>
    </row>
    <row r="198" spans="1:11" ht="15.75" customHeight="1" x14ac:dyDescent="0.25">
      <c r="A198" s="24"/>
      <c r="B198" s="174"/>
      <c r="C198" s="24"/>
      <c r="D198" s="24"/>
      <c r="E198" s="24"/>
      <c r="H198" s="7"/>
      <c r="I198" s="7"/>
      <c r="J198" s="7"/>
      <c r="K198" s="168"/>
    </row>
    <row r="199" spans="1:11" ht="15.75" customHeight="1" x14ac:dyDescent="0.25">
      <c r="A199" s="24"/>
      <c r="B199" s="174"/>
      <c r="C199" s="24"/>
      <c r="D199" s="24"/>
      <c r="E199" s="24"/>
      <c r="H199" s="7"/>
      <c r="I199" s="7"/>
      <c r="J199" s="7"/>
      <c r="K199" s="168"/>
    </row>
    <row r="200" spans="1:11" ht="15.75" customHeight="1" x14ac:dyDescent="0.25">
      <c r="A200" s="24"/>
      <c r="B200" s="174"/>
      <c r="C200" s="24"/>
      <c r="D200" s="24"/>
      <c r="E200" s="24"/>
      <c r="H200" s="7"/>
      <c r="I200" s="7"/>
      <c r="J200" s="7"/>
      <c r="K200" s="168"/>
    </row>
    <row r="201" spans="1:11" ht="15.75" customHeight="1" x14ac:dyDescent="0.25">
      <c r="A201" s="24"/>
      <c r="B201" s="174"/>
      <c r="C201" s="24"/>
      <c r="D201" s="24"/>
      <c r="E201" s="24"/>
      <c r="H201" s="7"/>
      <c r="I201" s="7"/>
      <c r="J201" s="7"/>
      <c r="K201" s="168"/>
    </row>
    <row r="202" spans="1:11" ht="15.75" customHeight="1" x14ac:dyDescent="0.25">
      <c r="A202" s="24"/>
      <c r="B202" s="174"/>
      <c r="C202" s="24"/>
      <c r="D202" s="24"/>
      <c r="E202" s="24"/>
      <c r="H202" s="7"/>
      <c r="I202" s="7"/>
      <c r="J202" s="7"/>
      <c r="K202" s="168"/>
    </row>
    <row r="203" spans="1:11" ht="15.75" customHeight="1" x14ac:dyDescent="0.25">
      <c r="A203" s="24"/>
      <c r="B203" s="174"/>
      <c r="C203" s="24"/>
      <c r="D203" s="24"/>
      <c r="E203" s="24"/>
      <c r="H203" s="7"/>
      <c r="I203" s="7"/>
      <c r="J203" s="7"/>
      <c r="K203" s="168"/>
    </row>
    <row r="204" spans="1:11" ht="15.75" customHeight="1" x14ac:dyDescent="0.25">
      <c r="A204" s="24"/>
      <c r="B204" s="174"/>
      <c r="C204" s="24"/>
      <c r="D204" s="24"/>
      <c r="E204" s="24"/>
      <c r="H204" s="7"/>
      <c r="I204" s="7"/>
      <c r="J204" s="7"/>
      <c r="K204" s="168"/>
    </row>
    <row r="205" spans="1:11" ht="15.75" customHeight="1" x14ac:dyDescent="0.25">
      <c r="A205" s="24"/>
      <c r="B205" s="174"/>
      <c r="C205" s="24"/>
      <c r="D205" s="24"/>
      <c r="E205" s="24"/>
      <c r="H205" s="7"/>
      <c r="I205" s="7"/>
      <c r="J205" s="7"/>
      <c r="K205" s="168"/>
    </row>
    <row r="206" spans="1:11" ht="15.75" customHeight="1" x14ac:dyDescent="0.25">
      <c r="A206" s="24"/>
      <c r="B206" s="174"/>
      <c r="C206" s="24"/>
      <c r="D206" s="24"/>
      <c r="E206" s="24"/>
      <c r="H206" s="7"/>
      <c r="I206" s="7"/>
      <c r="J206" s="7"/>
      <c r="K206" s="168"/>
    </row>
    <row r="207" spans="1:11" ht="15.75" customHeight="1" x14ac:dyDescent="0.25">
      <c r="A207" s="24"/>
      <c r="B207" s="174"/>
      <c r="C207" s="24"/>
      <c r="D207" s="24"/>
      <c r="E207" s="24"/>
      <c r="H207" s="7"/>
      <c r="I207" s="7"/>
      <c r="J207" s="7"/>
      <c r="K207" s="168"/>
    </row>
    <row r="208" spans="1:11" ht="15.75" customHeight="1" x14ac:dyDescent="0.25">
      <c r="A208" s="24"/>
      <c r="B208" s="174"/>
      <c r="C208" s="24"/>
      <c r="D208" s="24"/>
      <c r="E208" s="24"/>
      <c r="H208" s="7"/>
      <c r="I208" s="7"/>
      <c r="J208" s="7"/>
      <c r="K208" s="168"/>
    </row>
    <row r="209" spans="1:11" ht="15.75" customHeight="1" x14ac:dyDescent="0.25">
      <c r="A209" s="24"/>
      <c r="B209" s="174"/>
      <c r="C209" s="24"/>
      <c r="D209" s="24"/>
      <c r="E209" s="24"/>
      <c r="H209" s="7"/>
      <c r="I209" s="7"/>
      <c r="J209" s="7"/>
      <c r="K209" s="168"/>
    </row>
    <row r="210" spans="1:11" ht="15.75" customHeight="1" x14ac:dyDescent="0.25">
      <c r="A210" s="24"/>
      <c r="B210" s="174"/>
      <c r="C210" s="24"/>
      <c r="D210" s="24"/>
      <c r="E210" s="24"/>
      <c r="H210" s="7"/>
      <c r="I210" s="7"/>
      <c r="J210" s="7"/>
      <c r="K210" s="168"/>
    </row>
    <row r="211" spans="1:11" ht="15.75" customHeight="1" x14ac:dyDescent="0.25">
      <c r="A211" s="24"/>
      <c r="B211" s="174"/>
      <c r="C211" s="24"/>
      <c r="D211" s="24"/>
      <c r="E211" s="24"/>
      <c r="H211" s="7"/>
      <c r="I211" s="7"/>
      <c r="J211" s="7"/>
      <c r="K211" s="168"/>
    </row>
    <row r="212" spans="1:11" ht="15.75" customHeight="1" x14ac:dyDescent="0.25">
      <c r="A212" s="24"/>
      <c r="B212" s="174"/>
      <c r="C212" s="24"/>
      <c r="D212" s="24"/>
      <c r="E212" s="24"/>
      <c r="H212" s="7"/>
      <c r="I212" s="7"/>
      <c r="J212" s="7"/>
      <c r="K212" s="168"/>
    </row>
    <row r="213" spans="1:11" ht="15.75" customHeight="1" x14ac:dyDescent="0.25">
      <c r="A213" s="24"/>
      <c r="B213" s="174"/>
      <c r="C213" s="24"/>
      <c r="D213" s="24"/>
      <c r="E213" s="24"/>
      <c r="H213" s="7"/>
      <c r="I213" s="7"/>
      <c r="J213" s="7"/>
      <c r="K213" s="168"/>
    </row>
    <row r="214" spans="1:11" ht="15.75" customHeight="1" x14ac:dyDescent="0.25">
      <c r="A214" s="24"/>
      <c r="B214" s="174"/>
      <c r="C214" s="24"/>
      <c r="D214" s="24"/>
      <c r="E214" s="24"/>
      <c r="H214" s="7"/>
      <c r="I214" s="7"/>
      <c r="J214" s="7"/>
      <c r="K214" s="168"/>
    </row>
    <row r="215" spans="1:11" ht="15.75" customHeight="1" x14ac:dyDescent="0.25">
      <c r="A215" s="24"/>
      <c r="B215" s="174"/>
      <c r="C215" s="24"/>
      <c r="D215" s="24"/>
      <c r="E215" s="24"/>
      <c r="H215" s="7"/>
      <c r="I215" s="7"/>
      <c r="J215" s="7"/>
      <c r="K215" s="168"/>
    </row>
    <row r="216" spans="1:11" ht="15.75" customHeight="1" x14ac:dyDescent="0.25">
      <c r="A216" s="24"/>
      <c r="B216" s="174"/>
      <c r="C216" s="24"/>
      <c r="D216" s="24"/>
      <c r="E216" s="24"/>
      <c r="H216" s="7"/>
      <c r="I216" s="7"/>
      <c r="J216" s="7"/>
      <c r="K216" s="168"/>
    </row>
    <row r="217" spans="1:11" ht="15.75" customHeight="1" x14ac:dyDescent="0.25">
      <c r="A217" s="24"/>
      <c r="B217" s="174"/>
      <c r="C217" s="24"/>
      <c r="D217" s="24"/>
      <c r="E217" s="24"/>
      <c r="H217" s="7"/>
      <c r="I217" s="7"/>
      <c r="J217" s="7"/>
      <c r="K217" s="168"/>
    </row>
    <row r="218" spans="1:11" ht="15.75" customHeight="1" x14ac:dyDescent="0.25">
      <c r="A218" s="24"/>
      <c r="B218" s="174"/>
      <c r="C218" s="24"/>
      <c r="D218" s="24"/>
      <c r="E218" s="24"/>
      <c r="H218" s="7"/>
      <c r="I218" s="7"/>
      <c r="J218" s="7"/>
      <c r="K218" s="168"/>
    </row>
    <row r="219" spans="1:11" ht="15.75" customHeight="1" x14ac:dyDescent="0.25">
      <c r="A219" s="24"/>
      <c r="B219" s="174"/>
      <c r="C219" s="24"/>
      <c r="D219" s="24"/>
      <c r="E219" s="24"/>
      <c r="H219" s="7"/>
      <c r="I219" s="7"/>
      <c r="J219" s="7"/>
      <c r="K219" s="168"/>
    </row>
    <row r="220" spans="1:11" ht="15.75" customHeight="1" x14ac:dyDescent="0.25">
      <c r="A220" s="24"/>
      <c r="B220" s="174"/>
      <c r="C220" s="24"/>
      <c r="D220" s="24"/>
      <c r="E220" s="24"/>
      <c r="H220" s="7"/>
      <c r="I220" s="7"/>
      <c r="J220" s="7"/>
      <c r="K220" s="168"/>
    </row>
    <row r="221" spans="1:11" ht="15.75" customHeight="1" x14ac:dyDescent="0.25">
      <c r="A221" s="24"/>
      <c r="B221" s="174"/>
      <c r="C221" s="24"/>
      <c r="D221" s="24"/>
      <c r="E221" s="24"/>
      <c r="H221" s="7"/>
      <c r="I221" s="7"/>
      <c r="J221" s="7"/>
      <c r="K221" s="168"/>
    </row>
    <row r="222" spans="1:11" ht="15.75" customHeight="1" x14ac:dyDescent="0.25">
      <c r="A222" s="24"/>
      <c r="B222" s="174"/>
      <c r="C222" s="24"/>
      <c r="D222" s="24"/>
      <c r="E222" s="24"/>
      <c r="H222" s="7"/>
      <c r="I222" s="7"/>
      <c r="J222" s="7"/>
      <c r="K222" s="168"/>
    </row>
    <row r="223" spans="1:11" ht="15.75" customHeight="1" x14ac:dyDescent="0.25">
      <c r="A223" s="24"/>
      <c r="B223" s="174"/>
      <c r="C223" s="24"/>
      <c r="D223" s="24"/>
      <c r="E223" s="24"/>
      <c r="H223" s="7"/>
      <c r="I223" s="7"/>
      <c r="J223" s="7"/>
      <c r="K223" s="168"/>
    </row>
    <row r="224" spans="1:11" ht="15.75" customHeight="1" x14ac:dyDescent="0.25">
      <c r="A224" s="24"/>
      <c r="B224" s="174"/>
      <c r="C224" s="24"/>
      <c r="D224" s="24"/>
      <c r="E224" s="24"/>
      <c r="H224" s="7"/>
      <c r="I224" s="7"/>
      <c r="J224" s="7"/>
      <c r="K224" s="168"/>
    </row>
    <row r="225" spans="1:11" ht="15.75" customHeight="1" x14ac:dyDescent="0.25">
      <c r="A225" s="24"/>
      <c r="B225" s="174"/>
      <c r="C225" s="24"/>
      <c r="D225" s="24"/>
      <c r="E225" s="24"/>
      <c r="H225" s="7"/>
      <c r="I225" s="7"/>
      <c r="J225" s="7"/>
      <c r="K225" s="168"/>
    </row>
    <row r="226" spans="1:11" ht="15.75" customHeight="1" x14ac:dyDescent="0.25">
      <c r="A226" s="24"/>
      <c r="B226" s="174"/>
      <c r="C226" s="24"/>
      <c r="D226" s="24"/>
      <c r="E226" s="24"/>
      <c r="H226" s="7"/>
      <c r="I226" s="7"/>
      <c r="J226" s="7"/>
      <c r="K226" s="168"/>
    </row>
    <row r="227" spans="1:11" ht="15.75" customHeight="1" x14ac:dyDescent="0.25">
      <c r="A227" s="24"/>
      <c r="B227" s="174"/>
      <c r="C227" s="24"/>
      <c r="D227" s="24"/>
      <c r="E227" s="24"/>
      <c r="H227" s="7"/>
      <c r="I227" s="7"/>
      <c r="J227" s="7"/>
      <c r="K227" s="168"/>
    </row>
    <row r="228" spans="1:11" ht="15.75" customHeight="1" x14ac:dyDescent="0.25">
      <c r="A228" s="24"/>
      <c r="B228" s="174"/>
      <c r="C228" s="24"/>
      <c r="D228" s="24"/>
      <c r="E228" s="24"/>
      <c r="H228" s="7"/>
      <c r="I228" s="7"/>
      <c r="J228" s="7"/>
      <c r="K228" s="168"/>
    </row>
    <row r="229" spans="1:11" ht="15.75" customHeight="1" x14ac:dyDescent="0.25">
      <c r="A229" s="24"/>
      <c r="B229" s="174"/>
      <c r="C229" s="24"/>
      <c r="D229" s="24"/>
      <c r="E229" s="24"/>
      <c r="H229" s="7"/>
      <c r="I229" s="7"/>
      <c r="J229" s="7"/>
      <c r="K229" s="168"/>
    </row>
    <row r="230" spans="1:11" ht="15.75" customHeight="1" x14ac:dyDescent="0.25">
      <c r="A230" s="24"/>
      <c r="B230" s="174"/>
      <c r="C230" s="24"/>
      <c r="D230" s="24"/>
      <c r="E230" s="24"/>
      <c r="H230" s="7"/>
      <c r="I230" s="7"/>
      <c r="J230" s="7"/>
      <c r="K230" s="168"/>
    </row>
    <row r="231" spans="1:11" ht="15.75" customHeight="1" x14ac:dyDescent="0.25">
      <c r="A231" s="24"/>
      <c r="B231" s="174"/>
      <c r="C231" s="24"/>
      <c r="D231" s="24"/>
      <c r="E231" s="24"/>
      <c r="H231" s="7"/>
      <c r="I231" s="7"/>
      <c r="J231" s="7"/>
      <c r="K231" s="168"/>
    </row>
    <row r="232" spans="1:11" ht="15.75" customHeight="1" x14ac:dyDescent="0.25">
      <c r="A232" s="24"/>
      <c r="B232" s="174"/>
      <c r="C232" s="24"/>
      <c r="D232" s="24"/>
      <c r="E232" s="24"/>
      <c r="H232" s="7"/>
      <c r="I232" s="7"/>
      <c r="J232" s="7"/>
      <c r="K232" s="168"/>
    </row>
    <row r="233" spans="1:11" ht="15.75" customHeight="1" x14ac:dyDescent="0.25">
      <c r="A233" s="24"/>
      <c r="B233" s="174"/>
      <c r="C233" s="24"/>
      <c r="D233" s="24"/>
      <c r="E233" s="24"/>
      <c r="H233" s="7"/>
      <c r="I233" s="7"/>
      <c r="J233" s="7"/>
      <c r="K233" s="168"/>
    </row>
    <row r="234" spans="1:11" ht="15.75" customHeight="1" x14ac:dyDescent="0.25">
      <c r="A234" s="24"/>
      <c r="B234" s="174"/>
      <c r="C234" s="24"/>
      <c r="D234" s="24"/>
      <c r="E234" s="24"/>
      <c r="H234" s="7"/>
      <c r="I234" s="7"/>
      <c r="J234" s="7"/>
      <c r="K234" s="168"/>
    </row>
    <row r="235" spans="1:11" ht="15.75" customHeight="1" x14ac:dyDescent="0.25">
      <c r="A235" s="24"/>
      <c r="B235" s="174"/>
      <c r="C235" s="24"/>
      <c r="D235" s="24"/>
      <c r="E235" s="24"/>
      <c r="H235" s="7"/>
      <c r="I235" s="7"/>
      <c r="J235" s="7"/>
      <c r="K235" s="168"/>
    </row>
    <row r="236" spans="1:11" ht="15.75" customHeight="1" x14ac:dyDescent="0.25">
      <c r="A236" s="24"/>
      <c r="B236" s="174"/>
      <c r="C236" s="24"/>
      <c r="D236" s="24"/>
      <c r="E236" s="24"/>
      <c r="H236" s="7"/>
      <c r="I236" s="7"/>
      <c r="J236" s="7"/>
      <c r="K236" s="168"/>
    </row>
    <row r="237" spans="1:11" ht="15.75" customHeight="1" x14ac:dyDescent="0.25">
      <c r="A237" s="24"/>
      <c r="B237" s="174"/>
      <c r="C237" s="24"/>
      <c r="D237" s="24"/>
      <c r="E237" s="24"/>
      <c r="H237" s="7"/>
      <c r="I237" s="7"/>
      <c r="J237" s="7"/>
      <c r="K237" s="168"/>
    </row>
    <row r="238" spans="1:11" ht="15.75" customHeight="1" x14ac:dyDescent="0.25">
      <c r="A238" s="24"/>
      <c r="B238" s="174"/>
      <c r="C238" s="24"/>
      <c r="D238" s="24"/>
      <c r="E238" s="24"/>
      <c r="H238" s="7"/>
      <c r="I238" s="7"/>
      <c r="J238" s="7"/>
      <c r="K238" s="168"/>
    </row>
    <row r="239" spans="1:11" ht="15.75" customHeight="1" x14ac:dyDescent="0.25">
      <c r="A239" s="24"/>
      <c r="B239" s="174"/>
      <c r="C239" s="24"/>
      <c r="D239" s="24"/>
      <c r="E239" s="24"/>
      <c r="H239" s="7"/>
      <c r="I239" s="7"/>
      <c r="J239" s="7"/>
      <c r="K239" s="168"/>
    </row>
    <row r="240" spans="1:11" ht="15.75" customHeight="1" x14ac:dyDescent="0.25">
      <c r="A240" s="24"/>
      <c r="B240" s="174"/>
      <c r="C240" s="24"/>
      <c r="D240" s="24"/>
      <c r="E240" s="24"/>
      <c r="H240" s="7"/>
      <c r="I240" s="7"/>
      <c r="J240" s="7"/>
      <c r="K240" s="168"/>
    </row>
    <row r="241" spans="1:11" ht="15.75" customHeight="1" x14ac:dyDescent="0.25">
      <c r="A241" s="24"/>
      <c r="B241" s="174"/>
      <c r="C241" s="24"/>
      <c r="D241" s="24"/>
      <c r="E241" s="24"/>
      <c r="H241" s="7"/>
      <c r="I241" s="7"/>
      <c r="J241" s="7"/>
      <c r="K241" s="168"/>
    </row>
    <row r="242" spans="1:11" ht="15.75" customHeight="1" x14ac:dyDescent="0.25">
      <c r="A242" s="24"/>
      <c r="B242" s="174"/>
      <c r="C242" s="24"/>
      <c r="D242" s="24"/>
      <c r="E242" s="24"/>
      <c r="H242" s="7"/>
      <c r="I242" s="7"/>
      <c r="J242" s="7"/>
      <c r="K242" s="168"/>
    </row>
    <row r="243" spans="1:11" ht="15.75" customHeight="1" x14ac:dyDescent="0.25">
      <c r="A243" s="24"/>
      <c r="B243" s="174"/>
      <c r="C243" s="24"/>
      <c r="D243" s="24"/>
      <c r="E243" s="24"/>
      <c r="H243" s="7"/>
      <c r="I243" s="7"/>
      <c r="J243" s="7"/>
      <c r="K243" s="168"/>
    </row>
    <row r="244" spans="1:11" ht="15.75" customHeight="1" x14ac:dyDescent="0.25">
      <c r="A244" s="24"/>
      <c r="B244" s="174"/>
      <c r="C244" s="24"/>
      <c r="D244" s="24"/>
      <c r="E244" s="24"/>
      <c r="H244" s="7"/>
      <c r="I244" s="7"/>
      <c r="J244" s="7"/>
      <c r="K244" s="168"/>
    </row>
    <row r="245" spans="1:11" ht="15.75" customHeight="1" x14ac:dyDescent="0.25">
      <c r="A245" s="24"/>
      <c r="B245" s="174"/>
      <c r="C245" s="24"/>
      <c r="D245" s="24"/>
      <c r="E245" s="24"/>
      <c r="H245" s="7"/>
      <c r="I245" s="7"/>
      <c r="J245" s="7"/>
      <c r="K245" s="168"/>
    </row>
    <row r="246" spans="1:11" ht="15.75" customHeight="1" x14ac:dyDescent="0.25">
      <c r="A246" s="24"/>
      <c r="B246" s="174"/>
      <c r="C246" s="24"/>
      <c r="D246" s="24"/>
      <c r="E246" s="24"/>
      <c r="H246" s="7"/>
      <c r="I246" s="7"/>
      <c r="J246" s="7"/>
      <c r="K246" s="168"/>
    </row>
    <row r="247" spans="1:11" ht="15.75" customHeight="1" x14ac:dyDescent="0.25">
      <c r="A247" s="24"/>
      <c r="B247" s="174"/>
      <c r="C247" s="24"/>
      <c r="D247" s="24"/>
      <c r="E247" s="24"/>
      <c r="H247" s="7"/>
      <c r="I247" s="7"/>
      <c r="J247" s="7"/>
      <c r="K247" s="168"/>
    </row>
    <row r="248" spans="1:11" ht="15.75" customHeight="1" x14ac:dyDescent="0.25">
      <c r="A248" s="24"/>
      <c r="B248" s="174"/>
      <c r="C248" s="24"/>
      <c r="D248" s="24"/>
      <c r="E248" s="24"/>
      <c r="H248" s="7"/>
      <c r="I248" s="7"/>
      <c r="J248" s="7"/>
      <c r="K248" s="168"/>
    </row>
    <row r="249" spans="1:11" ht="15.75" customHeight="1" x14ac:dyDescent="0.25">
      <c r="A249" s="24"/>
      <c r="B249" s="174"/>
      <c r="C249" s="24"/>
      <c r="D249" s="24"/>
      <c r="E249" s="24"/>
      <c r="H249" s="7"/>
      <c r="I249" s="7"/>
      <c r="J249" s="7"/>
      <c r="K249" s="168"/>
    </row>
    <row r="250" spans="1:11" ht="15.75" customHeight="1" x14ac:dyDescent="0.25">
      <c r="A250" s="24"/>
      <c r="B250" s="174"/>
      <c r="C250" s="24"/>
      <c r="D250" s="24"/>
      <c r="E250" s="24"/>
      <c r="H250" s="7"/>
      <c r="I250" s="7"/>
      <c r="J250" s="7"/>
      <c r="K250" s="168"/>
    </row>
    <row r="251" spans="1:11" ht="15.75" customHeight="1" x14ac:dyDescent="0.25">
      <c r="A251" s="24"/>
      <c r="B251" s="174"/>
      <c r="C251" s="24"/>
      <c r="D251" s="24"/>
      <c r="E251" s="24"/>
      <c r="H251" s="7"/>
      <c r="I251" s="7"/>
      <c r="J251" s="7"/>
      <c r="K251" s="168"/>
    </row>
    <row r="252" spans="1:11" ht="15.75" customHeight="1" x14ac:dyDescent="0.25">
      <c r="A252" s="24"/>
      <c r="B252" s="174"/>
      <c r="C252" s="24"/>
      <c r="D252" s="24"/>
      <c r="E252" s="24"/>
      <c r="H252" s="7"/>
      <c r="I252" s="7"/>
      <c r="J252" s="7"/>
      <c r="K252" s="168"/>
    </row>
    <row r="253" spans="1:11" ht="15.75" customHeight="1" x14ac:dyDescent="0.25">
      <c r="A253" s="24"/>
      <c r="B253" s="174"/>
      <c r="C253" s="24"/>
      <c r="D253" s="24"/>
      <c r="E253" s="24"/>
      <c r="H253" s="7"/>
      <c r="I253" s="7"/>
      <c r="J253" s="7"/>
      <c r="K253" s="168"/>
    </row>
    <row r="254" spans="1:11" ht="15.75" customHeight="1" x14ac:dyDescent="0.25">
      <c r="A254" s="24"/>
      <c r="B254" s="174"/>
      <c r="C254" s="24"/>
      <c r="D254" s="24"/>
      <c r="E254" s="24"/>
      <c r="H254" s="7"/>
      <c r="I254" s="7"/>
      <c r="J254" s="7"/>
      <c r="K254" s="168"/>
    </row>
    <row r="255" spans="1:11" ht="15.75" customHeight="1" x14ac:dyDescent="0.25">
      <c r="A255" s="24"/>
      <c r="B255" s="174"/>
      <c r="C255" s="24"/>
      <c r="D255" s="24"/>
      <c r="E255" s="24"/>
      <c r="H255" s="7"/>
      <c r="I255" s="7"/>
      <c r="J255" s="7"/>
      <c r="K255" s="168"/>
    </row>
    <row r="256" spans="1:11" ht="15.75" customHeight="1" x14ac:dyDescent="0.25">
      <c r="A256" s="24"/>
      <c r="B256" s="174"/>
      <c r="C256" s="24"/>
      <c r="D256" s="24"/>
      <c r="E256" s="24"/>
      <c r="H256" s="7"/>
      <c r="I256" s="7"/>
      <c r="J256" s="7"/>
      <c r="K256" s="168"/>
    </row>
    <row r="257" spans="1:11" ht="15.75" customHeight="1" x14ac:dyDescent="0.25">
      <c r="A257" s="24"/>
      <c r="B257" s="174"/>
      <c r="C257" s="24"/>
      <c r="D257" s="24"/>
      <c r="E257" s="24"/>
      <c r="H257" s="7"/>
      <c r="I257" s="7"/>
      <c r="J257" s="7"/>
      <c r="K257" s="168"/>
    </row>
    <row r="258" spans="1:11" ht="15.75" customHeight="1" x14ac:dyDescent="0.25">
      <c r="A258" s="24"/>
      <c r="B258" s="174"/>
      <c r="C258" s="24"/>
      <c r="D258" s="24"/>
      <c r="E258" s="24"/>
      <c r="H258" s="7"/>
      <c r="I258" s="7"/>
      <c r="J258" s="7"/>
      <c r="K258" s="168"/>
    </row>
    <row r="259" spans="1:11" ht="15.75" customHeight="1" x14ac:dyDescent="0.25">
      <c r="A259" s="24"/>
      <c r="B259" s="174"/>
      <c r="C259" s="24"/>
      <c r="D259" s="24"/>
      <c r="E259" s="24"/>
      <c r="H259" s="7"/>
      <c r="I259" s="7"/>
      <c r="J259" s="7"/>
      <c r="K259" s="168"/>
    </row>
    <row r="260" spans="1:11" ht="15.75" customHeight="1" x14ac:dyDescent="0.25">
      <c r="A260" s="24"/>
      <c r="B260" s="174"/>
      <c r="C260" s="24"/>
      <c r="D260" s="24"/>
      <c r="E260" s="24"/>
      <c r="H260" s="7"/>
      <c r="I260" s="7"/>
      <c r="J260" s="7"/>
      <c r="K260" s="168"/>
    </row>
    <row r="261" spans="1:11" ht="15.75" customHeight="1" x14ac:dyDescent="0.25">
      <c r="A261" s="24"/>
      <c r="B261" s="174"/>
      <c r="C261" s="24"/>
      <c r="D261" s="24"/>
      <c r="E261" s="24"/>
      <c r="H261" s="7"/>
      <c r="I261" s="7"/>
      <c r="J261" s="7"/>
      <c r="K261" s="168"/>
    </row>
    <row r="262" spans="1:11" ht="15.75" customHeight="1" x14ac:dyDescent="0.25">
      <c r="A262" s="24"/>
      <c r="B262" s="174"/>
      <c r="C262" s="24"/>
      <c r="D262" s="24"/>
      <c r="E262" s="24"/>
      <c r="H262" s="7"/>
      <c r="I262" s="7"/>
      <c r="J262" s="7"/>
      <c r="K262" s="168"/>
    </row>
    <row r="263" spans="1:11" ht="15.75" customHeight="1" x14ac:dyDescent="0.25">
      <c r="A263" s="24"/>
      <c r="B263" s="174"/>
      <c r="C263" s="24"/>
      <c r="D263" s="24"/>
      <c r="E263" s="24"/>
      <c r="H263" s="7"/>
      <c r="I263" s="7"/>
      <c r="J263" s="7"/>
      <c r="K263" s="168"/>
    </row>
    <row r="264" spans="1:11" ht="15.75" customHeight="1" x14ac:dyDescent="0.25">
      <c r="A264" s="24"/>
      <c r="B264" s="174"/>
      <c r="C264" s="24"/>
      <c r="D264" s="24"/>
      <c r="E264" s="24"/>
      <c r="H264" s="7"/>
      <c r="I264" s="7"/>
      <c r="J264" s="7"/>
      <c r="K264" s="168"/>
    </row>
    <row r="265" spans="1:11" ht="15.75" customHeight="1" x14ac:dyDescent="0.25">
      <c r="K265" s="168"/>
    </row>
    <row r="266" spans="1:11" ht="15.75" customHeight="1" x14ac:dyDescent="0.25">
      <c r="K266" s="168"/>
    </row>
    <row r="267" spans="1:11" ht="15.75" customHeight="1" x14ac:dyDescent="0.25">
      <c r="K267" s="168"/>
    </row>
    <row r="268" spans="1:11" ht="15.75" customHeight="1" x14ac:dyDescent="0.25">
      <c r="K268" s="168"/>
    </row>
    <row r="269" spans="1:11" ht="15.75" customHeight="1" x14ac:dyDescent="0.25">
      <c r="K269" s="168"/>
    </row>
    <row r="270" spans="1:11" ht="15.75" customHeight="1" x14ac:dyDescent="0.25">
      <c r="K270" s="168"/>
    </row>
    <row r="271" spans="1:11" ht="15.75" customHeight="1" x14ac:dyDescent="0.25">
      <c r="K271" s="168"/>
    </row>
    <row r="272" spans="1:11" ht="15.75" customHeight="1" x14ac:dyDescent="0.25">
      <c r="K272" s="168"/>
    </row>
    <row r="273" spans="11:11" ht="15.75" customHeight="1" x14ac:dyDescent="0.25">
      <c r="K273" s="168"/>
    </row>
    <row r="274" spans="11:11" ht="15.75" customHeight="1" x14ac:dyDescent="0.25">
      <c r="K274" s="168"/>
    </row>
    <row r="275" spans="11:11" ht="15.75" customHeight="1" x14ac:dyDescent="0.25">
      <c r="K275" s="168"/>
    </row>
    <row r="276" spans="11:11" ht="15.75" customHeight="1" x14ac:dyDescent="0.25">
      <c r="K276" s="168"/>
    </row>
    <row r="277" spans="11:11" ht="15.75" customHeight="1" x14ac:dyDescent="0.25">
      <c r="K277" s="168"/>
    </row>
    <row r="278" spans="11:11" ht="15.75" customHeight="1" x14ac:dyDescent="0.25">
      <c r="K278" s="168"/>
    </row>
    <row r="279" spans="11:11" ht="15.75" customHeight="1" x14ac:dyDescent="0.25">
      <c r="K279" s="168"/>
    </row>
    <row r="280" spans="11:11" ht="15.75" customHeight="1" x14ac:dyDescent="0.25">
      <c r="K280" s="168"/>
    </row>
    <row r="281" spans="11:11" ht="15.75" customHeight="1" x14ac:dyDescent="0.25">
      <c r="K281" s="168"/>
    </row>
    <row r="282" spans="11:11" ht="15.75" customHeight="1" x14ac:dyDescent="0.25">
      <c r="K282" s="168"/>
    </row>
    <row r="283" spans="11:11" ht="15.75" customHeight="1" x14ac:dyDescent="0.25">
      <c r="K283" s="168"/>
    </row>
    <row r="284" spans="11:11" ht="15.75" customHeight="1" x14ac:dyDescent="0.25">
      <c r="K284" s="168"/>
    </row>
    <row r="285" spans="11:11" ht="15.75" customHeight="1" x14ac:dyDescent="0.25">
      <c r="K285" s="168"/>
    </row>
    <row r="286" spans="11:11" ht="15.75" customHeight="1" x14ac:dyDescent="0.25">
      <c r="K286" s="168"/>
    </row>
    <row r="287" spans="11:11" ht="15.75" customHeight="1" x14ac:dyDescent="0.25">
      <c r="K287" s="168"/>
    </row>
    <row r="288" spans="1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row r="990" spans="11:11" ht="15.75" customHeight="1" x14ac:dyDescent="0.25">
      <c r="K990" s="168"/>
    </row>
    <row r="991" spans="11:11" ht="15.75" customHeight="1" x14ac:dyDescent="0.25">
      <c r="K991" s="168"/>
    </row>
    <row r="992" spans="11:11" ht="15.75" customHeight="1" x14ac:dyDescent="0.25">
      <c r="K992" s="168"/>
    </row>
    <row r="993" spans="11:11" ht="15.75" customHeight="1" x14ac:dyDescent="0.25">
      <c r="K993" s="168"/>
    </row>
    <row r="994" spans="11:11" ht="15.75" customHeight="1" x14ac:dyDescent="0.25">
      <c r="K994" s="168"/>
    </row>
    <row r="995" spans="11:11" ht="15.75" customHeight="1" x14ac:dyDescent="0.25">
      <c r="K995" s="168"/>
    </row>
    <row r="996" spans="11:11" ht="15.75" customHeight="1" x14ac:dyDescent="0.25">
      <c r="K996"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243"/>
  <sheetViews>
    <sheetView view="pageBreakPreview" zoomScale="145" zoomScaleNormal="100" zoomScaleSheetLayoutView="145" workbookViewId="0">
      <selection activeCell="A5" sqref="A5"/>
    </sheetView>
  </sheetViews>
  <sheetFormatPr defaultColWidth="14.42578125" defaultRowHeight="15" x14ac:dyDescent="0.25"/>
  <cols>
    <col min="1" max="1" width="70" customWidth="1"/>
    <col min="2" max="2" width="15" customWidth="1"/>
    <col min="3" max="4" width="16.85546875" hidden="1" customWidth="1"/>
    <col min="5" max="5" width="17.42578125" hidden="1" customWidth="1"/>
    <col min="6" max="6" width="17.5703125" hidden="1" customWidth="1"/>
    <col min="7" max="7" width="17.5703125" customWidth="1"/>
    <col min="8" max="10" width="8.7109375" customWidth="1"/>
    <col min="11" max="11" width="13.28515625" customWidth="1"/>
    <col min="12" max="26" width="8.7109375" customWidth="1"/>
  </cols>
  <sheetData>
    <row r="1" spans="1:26" ht="15.75" x14ac:dyDescent="0.25">
      <c r="A1" s="9"/>
      <c r="B1" s="104"/>
      <c r="C1" s="105"/>
      <c r="D1" s="105"/>
      <c r="E1" s="105"/>
      <c r="F1" s="10"/>
      <c r="G1" s="180"/>
      <c r="H1" s="15"/>
      <c r="I1" s="15"/>
      <c r="J1" s="15"/>
      <c r="K1" s="15"/>
      <c r="L1" s="15"/>
      <c r="M1" s="15"/>
      <c r="N1" s="15"/>
      <c r="O1" s="15"/>
      <c r="P1" s="15"/>
      <c r="Q1" s="15"/>
      <c r="R1" s="15"/>
      <c r="S1" s="15"/>
      <c r="T1" s="15"/>
      <c r="U1" s="15"/>
      <c r="V1" s="15"/>
      <c r="W1" s="15"/>
      <c r="X1" s="15"/>
      <c r="Y1" s="15"/>
      <c r="Z1" s="15"/>
    </row>
    <row r="2" spans="1:26" ht="15.75" x14ac:dyDescent="0.25">
      <c r="A2" s="17" t="s">
        <v>489</v>
      </c>
      <c r="B2" s="25"/>
      <c r="C2" s="24"/>
      <c r="D2" s="24"/>
      <c r="E2" s="24"/>
      <c r="F2" s="15"/>
      <c r="G2" s="181"/>
      <c r="H2" s="15"/>
      <c r="I2" s="15"/>
      <c r="J2" s="15"/>
      <c r="K2" s="15"/>
      <c r="L2" s="15"/>
      <c r="M2" s="15"/>
      <c r="N2" s="15"/>
      <c r="O2" s="15"/>
      <c r="P2" s="15"/>
      <c r="Q2" s="15"/>
      <c r="R2" s="15"/>
      <c r="S2" s="15"/>
      <c r="T2" s="15"/>
      <c r="U2" s="15"/>
      <c r="V2" s="15"/>
      <c r="W2" s="15"/>
      <c r="X2" s="15"/>
      <c r="Y2" s="15"/>
      <c r="Z2" s="15"/>
    </row>
    <row r="3" spans="1:26" ht="15.75" x14ac:dyDescent="0.25">
      <c r="A3" s="17"/>
      <c r="B3" s="25"/>
      <c r="C3" s="24"/>
      <c r="D3" s="24"/>
      <c r="E3" s="24"/>
      <c r="F3" s="15"/>
      <c r="G3" s="181"/>
      <c r="H3" s="15"/>
      <c r="I3" s="15"/>
      <c r="J3" s="15"/>
      <c r="K3" s="15"/>
      <c r="L3" s="15"/>
      <c r="M3" s="15"/>
      <c r="N3" s="15"/>
      <c r="O3" s="15"/>
      <c r="P3" s="15"/>
      <c r="Q3" s="15"/>
      <c r="R3" s="15"/>
      <c r="S3" s="15"/>
      <c r="T3" s="15"/>
      <c r="U3" s="15"/>
      <c r="V3" s="15"/>
      <c r="W3" s="15"/>
      <c r="X3" s="15"/>
      <c r="Y3" s="15"/>
      <c r="Z3" s="15"/>
    </row>
    <row r="4" spans="1:26" ht="15.75" x14ac:dyDescent="0.25">
      <c r="A4" s="108" t="s">
        <v>1370</v>
      </c>
      <c r="B4" s="25"/>
      <c r="C4" s="26"/>
      <c r="D4" s="26"/>
      <c r="E4" s="26"/>
      <c r="F4" s="14"/>
      <c r="G4" s="181"/>
      <c r="H4" s="15"/>
      <c r="I4" s="15"/>
      <c r="J4" s="15"/>
      <c r="K4" s="15"/>
      <c r="L4" s="15"/>
      <c r="M4" s="15"/>
      <c r="N4" s="15"/>
      <c r="O4" s="15"/>
      <c r="P4" s="15"/>
      <c r="Q4" s="15"/>
      <c r="R4" s="15"/>
      <c r="S4" s="15"/>
      <c r="T4" s="15"/>
      <c r="U4" s="15"/>
      <c r="V4" s="15"/>
      <c r="W4" s="15"/>
      <c r="X4" s="15"/>
      <c r="Y4" s="15"/>
      <c r="Z4" s="15"/>
    </row>
    <row r="5" spans="1:26" ht="15.75" x14ac:dyDescent="0.25">
      <c r="A5" s="44"/>
      <c r="B5" s="25"/>
      <c r="C5" s="26"/>
      <c r="D5" s="26"/>
      <c r="E5" s="26"/>
      <c r="F5" s="14"/>
      <c r="G5" s="181"/>
      <c r="H5" s="15"/>
      <c r="I5" s="15"/>
      <c r="J5" s="15"/>
      <c r="K5" s="15"/>
      <c r="L5" s="15"/>
      <c r="M5" s="15"/>
      <c r="N5" s="15"/>
      <c r="O5" s="15"/>
      <c r="P5" s="15"/>
      <c r="Q5" s="15"/>
      <c r="R5" s="15"/>
      <c r="S5" s="15"/>
      <c r="T5" s="15"/>
      <c r="U5" s="15"/>
      <c r="V5" s="15"/>
      <c r="W5" s="15"/>
      <c r="X5" s="15"/>
      <c r="Y5" s="15"/>
      <c r="Z5" s="15"/>
    </row>
    <row r="6" spans="1:26" ht="15.75" x14ac:dyDescent="0.25">
      <c r="A6" s="865" t="s">
        <v>352</v>
      </c>
      <c r="B6" s="866"/>
      <c r="C6" s="866"/>
      <c r="D6" s="866"/>
      <c r="E6" s="866"/>
      <c r="F6" s="866"/>
      <c r="G6" s="867"/>
      <c r="H6" s="15"/>
      <c r="I6" s="15"/>
      <c r="J6" s="15"/>
      <c r="K6" s="15"/>
      <c r="L6" s="15"/>
      <c r="M6" s="15"/>
      <c r="N6" s="15"/>
      <c r="O6" s="15"/>
      <c r="P6" s="15"/>
      <c r="Q6" s="15"/>
      <c r="R6" s="15"/>
      <c r="S6" s="15"/>
      <c r="T6" s="15"/>
      <c r="U6" s="15"/>
      <c r="V6" s="15"/>
      <c r="W6" s="15"/>
      <c r="X6" s="15"/>
      <c r="Y6" s="15"/>
      <c r="Z6" s="15"/>
    </row>
    <row r="7" spans="1:26" ht="15.75" x14ac:dyDescent="0.25">
      <c r="A7" s="868" t="s">
        <v>353</v>
      </c>
      <c r="B7" s="857" t="s">
        <v>354</v>
      </c>
      <c r="C7" s="870" t="s">
        <v>355</v>
      </c>
      <c r="D7" s="872" t="s">
        <v>356</v>
      </c>
      <c r="E7" s="873"/>
      <c r="F7" s="874"/>
      <c r="G7" s="857" t="s">
        <v>357</v>
      </c>
      <c r="H7" s="15"/>
      <c r="I7" s="15"/>
      <c r="J7" s="15"/>
      <c r="K7" s="15"/>
      <c r="L7" s="15"/>
      <c r="M7" s="15"/>
      <c r="N7" s="15"/>
      <c r="O7" s="15"/>
      <c r="P7" s="15"/>
      <c r="Q7" s="15"/>
      <c r="R7" s="15"/>
      <c r="S7" s="15"/>
      <c r="T7" s="15"/>
      <c r="U7" s="15"/>
      <c r="V7" s="15"/>
      <c r="W7" s="15"/>
      <c r="X7" s="15"/>
      <c r="Y7" s="15"/>
      <c r="Z7" s="15"/>
    </row>
    <row r="8" spans="1:26" ht="17.25" customHeight="1" x14ac:dyDescent="0.25">
      <c r="A8" s="858"/>
      <c r="B8" s="858"/>
      <c r="C8" s="871"/>
      <c r="D8" s="28" t="s">
        <v>358</v>
      </c>
      <c r="E8" s="29" t="s">
        <v>359</v>
      </c>
      <c r="F8" s="875" t="s">
        <v>360</v>
      </c>
      <c r="G8" s="858"/>
      <c r="H8" s="15"/>
      <c r="I8" s="15"/>
      <c r="J8" s="15"/>
      <c r="K8" s="15"/>
      <c r="L8" s="15"/>
      <c r="M8" s="15"/>
      <c r="N8" s="15"/>
      <c r="O8" s="15"/>
      <c r="P8" s="15"/>
      <c r="Q8" s="15"/>
      <c r="R8" s="15"/>
      <c r="S8" s="15"/>
      <c r="T8" s="15"/>
      <c r="U8" s="15"/>
      <c r="V8" s="15"/>
      <c r="W8" s="15"/>
      <c r="X8" s="15"/>
      <c r="Y8" s="15"/>
      <c r="Z8" s="15"/>
    </row>
    <row r="9" spans="1:26" ht="15.75" x14ac:dyDescent="0.25">
      <c r="A9" s="858"/>
      <c r="B9" s="858"/>
      <c r="C9" s="30" t="s">
        <v>361</v>
      </c>
      <c r="D9" s="31" t="s">
        <v>361</v>
      </c>
      <c r="E9" s="32" t="s">
        <v>362</v>
      </c>
      <c r="F9" s="860"/>
      <c r="G9" s="442" t="s">
        <v>2717</v>
      </c>
      <c r="H9" s="15"/>
      <c r="I9" s="15"/>
      <c r="J9" s="15"/>
      <c r="K9" s="15"/>
      <c r="L9" s="15"/>
      <c r="M9" s="15"/>
      <c r="N9" s="15"/>
      <c r="O9" s="15"/>
      <c r="P9" s="15"/>
      <c r="Q9" s="15"/>
      <c r="R9" s="15"/>
      <c r="S9" s="15"/>
      <c r="T9" s="15"/>
      <c r="U9" s="15"/>
      <c r="V9" s="15"/>
      <c r="W9" s="15"/>
      <c r="X9" s="15"/>
      <c r="Y9" s="15"/>
      <c r="Z9" s="15"/>
    </row>
    <row r="10" spans="1:26" ht="15.75" x14ac:dyDescent="0.25">
      <c r="A10" s="869"/>
      <c r="B10" s="869"/>
      <c r="C10" s="33">
        <v>2024</v>
      </c>
      <c r="D10" s="34">
        <v>2025</v>
      </c>
      <c r="E10" s="35">
        <v>2025</v>
      </c>
      <c r="F10" s="34">
        <v>2025</v>
      </c>
      <c r="G10" s="36" t="s">
        <v>2668</v>
      </c>
      <c r="H10" s="15"/>
      <c r="I10" s="15"/>
      <c r="J10" s="15"/>
      <c r="K10" s="15"/>
      <c r="L10" s="15"/>
      <c r="M10" s="15"/>
      <c r="N10" s="15"/>
      <c r="O10" s="15"/>
      <c r="P10" s="15"/>
      <c r="Q10" s="15"/>
      <c r="R10" s="15"/>
      <c r="S10" s="15"/>
      <c r="T10" s="15"/>
      <c r="U10" s="15"/>
      <c r="V10" s="15"/>
      <c r="W10" s="15"/>
      <c r="X10" s="15"/>
      <c r="Y10" s="15"/>
      <c r="Z10" s="15"/>
    </row>
    <row r="11" spans="1:26" ht="15.75" x14ac:dyDescent="0.25">
      <c r="A11" s="17" t="s">
        <v>364</v>
      </c>
      <c r="B11" s="172"/>
      <c r="C11" s="43"/>
      <c r="D11" s="43"/>
      <c r="E11" s="43"/>
      <c r="F11" s="43"/>
      <c r="G11" s="43"/>
      <c r="H11" s="7"/>
    </row>
    <row r="12" spans="1:26" ht="15.75" x14ac:dyDescent="0.25">
      <c r="A12" s="42" t="s">
        <v>391</v>
      </c>
      <c r="B12" s="199"/>
      <c r="C12" s="43"/>
      <c r="D12" s="43"/>
      <c r="E12" s="43"/>
      <c r="F12" s="43"/>
      <c r="G12" s="43"/>
      <c r="H12" s="7"/>
    </row>
    <row r="13" spans="1:26" ht="15.75" x14ac:dyDescent="0.25">
      <c r="A13" s="42" t="s">
        <v>499</v>
      </c>
      <c r="B13" s="199"/>
      <c r="C13" s="43"/>
      <c r="D13" s="43"/>
      <c r="E13" s="43"/>
      <c r="F13" s="43"/>
      <c r="G13" s="440"/>
      <c r="H13" s="7"/>
    </row>
    <row r="14" spans="1:26" ht="15.75" x14ac:dyDescent="0.25">
      <c r="A14" s="48" t="s">
        <v>400</v>
      </c>
      <c r="B14" s="49" t="s">
        <v>221</v>
      </c>
      <c r="C14" s="43">
        <v>0</v>
      </c>
      <c r="D14" s="43">
        <v>0</v>
      </c>
      <c r="E14" s="43">
        <f t="shared" ref="E14" si="0">F14-D14</f>
        <v>12500</v>
      </c>
      <c r="F14" s="43">
        <v>12500</v>
      </c>
      <c r="G14" s="440">
        <v>112000</v>
      </c>
      <c r="H14" s="7"/>
    </row>
    <row r="15" spans="1:26" ht="15.75" x14ac:dyDescent="0.25">
      <c r="A15" s="17" t="s">
        <v>662</v>
      </c>
      <c r="B15" s="172"/>
      <c r="C15" s="43"/>
      <c r="D15" s="43"/>
      <c r="E15" s="43"/>
      <c r="F15" s="43"/>
      <c r="G15" s="440"/>
      <c r="H15" s="7"/>
    </row>
    <row r="16" spans="1:26" ht="15.75" x14ac:dyDescent="0.25">
      <c r="A16" s="44" t="s">
        <v>414</v>
      </c>
      <c r="B16" s="41" t="s">
        <v>335</v>
      </c>
      <c r="C16" s="43">
        <v>1363052.6</v>
      </c>
      <c r="D16" s="43">
        <v>646800</v>
      </c>
      <c r="E16" s="43">
        <f>F16-D16</f>
        <v>764400</v>
      </c>
      <c r="F16" s="43">
        <v>1411200</v>
      </c>
      <c r="G16" s="440">
        <v>1431936</v>
      </c>
      <c r="H16" s="7"/>
    </row>
    <row r="17" spans="1:26" ht="15.75" x14ac:dyDescent="0.25">
      <c r="A17" s="17" t="s">
        <v>1371</v>
      </c>
      <c r="B17" s="172"/>
      <c r="C17" s="43"/>
      <c r="D17" s="43"/>
      <c r="E17" s="43"/>
      <c r="F17" s="43"/>
      <c r="G17" s="440"/>
      <c r="H17" s="7"/>
    </row>
    <row r="18" spans="1:26" ht="15.75" x14ac:dyDescent="0.25">
      <c r="A18" s="44" t="s">
        <v>1372</v>
      </c>
      <c r="B18" s="172"/>
      <c r="C18" s="43"/>
      <c r="D18" s="43"/>
      <c r="E18" s="43"/>
      <c r="F18" s="43"/>
      <c r="G18" s="43"/>
      <c r="H18" s="14">
        <v>264</v>
      </c>
      <c r="I18" s="14">
        <v>678</v>
      </c>
      <c r="J18" s="14">
        <v>8</v>
      </c>
      <c r="K18" s="167">
        <f>H18*I18*J18</f>
        <v>1431936</v>
      </c>
    </row>
    <row r="19" spans="1:26" ht="15.75" x14ac:dyDescent="0.25">
      <c r="A19" s="42" t="s">
        <v>672</v>
      </c>
      <c r="B19" s="172"/>
      <c r="C19" s="54">
        <f>SUM(C14:C16)</f>
        <v>1363052.6</v>
      </c>
      <c r="D19" s="54">
        <f>SUM(D14:D16)</f>
        <v>646800</v>
      </c>
      <c r="E19" s="54">
        <f>F19-D19</f>
        <v>776900</v>
      </c>
      <c r="F19" s="54">
        <f>SUM(F14:F16)</f>
        <v>1423700</v>
      </c>
      <c r="G19" s="54">
        <f>SUM(G14:G16)</f>
        <v>1543936</v>
      </c>
      <c r="H19" s="7"/>
    </row>
    <row r="20" spans="1:26" ht="15.75" x14ac:dyDescent="0.25">
      <c r="A20" s="17"/>
      <c r="B20" s="172"/>
      <c r="C20" s="55"/>
      <c r="D20" s="55"/>
      <c r="E20" s="43"/>
      <c r="F20" s="55"/>
      <c r="G20" s="55"/>
      <c r="H20" s="7"/>
    </row>
    <row r="21" spans="1:26" ht="15.75" x14ac:dyDescent="0.25">
      <c r="A21" s="42" t="s">
        <v>467</v>
      </c>
      <c r="B21" s="41"/>
      <c r="C21" s="43">
        <f t="shared" ref="C21:D21" si="1">+C19</f>
        <v>1363052.6</v>
      </c>
      <c r="D21" s="43">
        <f t="shared" si="1"/>
        <v>646800</v>
      </c>
      <c r="E21" s="43">
        <f>F21-D21</f>
        <v>776900</v>
      </c>
      <c r="F21" s="43">
        <f t="shared" ref="F21:G21" si="2">+F19</f>
        <v>1423700</v>
      </c>
      <c r="G21" s="43">
        <f t="shared" si="2"/>
        <v>1543936</v>
      </c>
      <c r="H21" s="7"/>
    </row>
    <row r="22" spans="1:26" ht="15.75" x14ac:dyDescent="0.25">
      <c r="A22" s="42"/>
      <c r="B22" s="94"/>
      <c r="C22" s="43"/>
      <c r="D22" s="43"/>
      <c r="E22" s="43"/>
      <c r="F22" s="43"/>
      <c r="G22" s="43"/>
      <c r="H22" s="7"/>
    </row>
    <row r="23" spans="1:26" ht="15.75" x14ac:dyDescent="0.25">
      <c r="A23" s="50" t="s">
        <v>487</v>
      </c>
      <c r="B23" s="133" t="s">
        <v>488</v>
      </c>
      <c r="C23" s="54" t="e">
        <f>+#REF!+C21</f>
        <v>#REF!</v>
      </c>
      <c r="D23" s="54" t="e">
        <f>+#REF!+D21</f>
        <v>#REF!</v>
      </c>
      <c r="E23" s="54" t="e">
        <f>F23-D23</f>
        <v>#REF!</v>
      </c>
      <c r="F23" s="54" t="e">
        <f>+#REF!+F21</f>
        <v>#REF!</v>
      </c>
      <c r="G23" s="54">
        <f>+G21</f>
        <v>1543936</v>
      </c>
      <c r="H23" s="7"/>
    </row>
    <row r="24" spans="1:26" ht="15.75" x14ac:dyDescent="0.25">
      <c r="A24" s="24"/>
      <c r="B24" s="174"/>
      <c r="C24" s="26"/>
      <c r="D24" s="26"/>
      <c r="E24" s="26"/>
      <c r="F24" s="26"/>
      <c r="G24" s="26"/>
      <c r="H24" s="7"/>
    </row>
    <row r="25" spans="1:26" ht="15.75" x14ac:dyDescent="0.25">
      <c r="A25" s="24"/>
      <c r="B25" s="25"/>
      <c r="C25" s="24"/>
      <c r="D25" s="24"/>
      <c r="E25" s="24"/>
      <c r="F25" s="15"/>
      <c r="G25" s="15"/>
      <c r="H25" s="15"/>
      <c r="I25" s="15"/>
      <c r="J25" s="15"/>
      <c r="K25" s="15"/>
      <c r="L25" s="15"/>
      <c r="M25" s="15"/>
      <c r="N25" s="15"/>
      <c r="O25" s="15"/>
      <c r="P25" s="15"/>
      <c r="Q25" s="15"/>
      <c r="R25" s="15"/>
      <c r="S25" s="15"/>
      <c r="T25" s="15"/>
      <c r="U25" s="15"/>
      <c r="V25" s="15"/>
      <c r="W25" s="15"/>
      <c r="X25" s="15"/>
      <c r="Y25" s="15"/>
      <c r="Z25" s="15"/>
    </row>
    <row r="26" spans="1:26" ht="15.75" x14ac:dyDescent="0.25">
      <c r="A26" s="9"/>
      <c r="B26" s="104"/>
      <c r="C26" s="105"/>
      <c r="D26" s="105"/>
      <c r="E26" s="105"/>
      <c r="F26" s="10"/>
      <c r="G26" s="180"/>
      <c r="H26" s="15"/>
      <c r="I26" s="15"/>
      <c r="J26" s="15"/>
      <c r="K26" s="15"/>
      <c r="L26" s="15"/>
      <c r="M26" s="15"/>
      <c r="N26" s="15"/>
      <c r="O26" s="15"/>
      <c r="P26" s="15"/>
      <c r="Q26" s="15"/>
      <c r="R26" s="15"/>
      <c r="S26" s="15"/>
      <c r="T26" s="15"/>
      <c r="U26" s="15"/>
      <c r="V26" s="15"/>
      <c r="W26" s="15"/>
      <c r="X26" s="15"/>
      <c r="Y26" s="15"/>
      <c r="Z26" s="15"/>
    </row>
    <row r="27" spans="1:26" ht="15.75" x14ac:dyDescent="0.25">
      <c r="A27" s="108" t="s">
        <v>1373</v>
      </c>
      <c r="B27" s="25"/>
      <c r="C27" s="26"/>
      <c r="D27" s="26"/>
      <c r="E27" s="26"/>
      <c r="F27" s="14"/>
      <c r="G27" s="181"/>
      <c r="H27" s="15"/>
      <c r="I27" s="15"/>
      <c r="J27" s="15"/>
      <c r="K27" s="15"/>
      <c r="L27" s="15"/>
      <c r="M27" s="15"/>
      <c r="N27" s="15"/>
      <c r="O27" s="15"/>
      <c r="P27" s="15"/>
      <c r="Q27" s="15"/>
      <c r="R27" s="15"/>
      <c r="S27" s="15"/>
      <c r="T27" s="15"/>
      <c r="U27" s="15"/>
      <c r="V27" s="15"/>
      <c r="W27" s="15"/>
      <c r="X27" s="15"/>
      <c r="Y27" s="15"/>
      <c r="Z27" s="15"/>
    </row>
    <row r="28" spans="1:26" ht="15.75" x14ac:dyDescent="0.25">
      <c r="A28" s="44"/>
      <c r="B28" s="25"/>
      <c r="C28" s="26"/>
      <c r="D28" s="26"/>
      <c r="E28" s="26"/>
      <c r="F28" s="14"/>
      <c r="G28" s="181"/>
      <c r="H28" s="15"/>
      <c r="I28" s="15"/>
      <c r="J28" s="15"/>
      <c r="K28" s="15"/>
      <c r="L28" s="15"/>
      <c r="M28" s="15"/>
      <c r="N28" s="15"/>
      <c r="O28" s="15"/>
      <c r="P28" s="15"/>
      <c r="Q28" s="15"/>
      <c r="R28" s="15"/>
      <c r="S28" s="15"/>
      <c r="T28" s="15"/>
      <c r="U28" s="15"/>
      <c r="V28" s="15"/>
      <c r="W28" s="15"/>
      <c r="X28" s="15"/>
      <c r="Y28" s="15"/>
      <c r="Z28" s="15"/>
    </row>
    <row r="29" spans="1:26" ht="15.75" x14ac:dyDescent="0.25">
      <c r="A29" s="865" t="s">
        <v>352</v>
      </c>
      <c r="B29" s="866"/>
      <c r="C29" s="866"/>
      <c r="D29" s="866"/>
      <c r="E29" s="866"/>
      <c r="F29" s="866"/>
      <c r="G29" s="867"/>
      <c r="H29" s="15"/>
      <c r="I29" s="15"/>
      <c r="J29" s="15"/>
      <c r="K29" s="15"/>
      <c r="L29" s="15"/>
      <c r="M29" s="15"/>
      <c r="N29" s="15"/>
      <c r="O29" s="15"/>
      <c r="P29" s="15"/>
      <c r="Q29" s="15"/>
      <c r="R29" s="15"/>
      <c r="S29" s="15"/>
      <c r="T29" s="15"/>
      <c r="U29" s="15"/>
      <c r="V29" s="15"/>
      <c r="W29" s="15"/>
      <c r="X29" s="15"/>
      <c r="Y29" s="15"/>
      <c r="Z29" s="15"/>
    </row>
    <row r="30" spans="1:26" ht="15.75" x14ac:dyDescent="0.25">
      <c r="A30" s="868" t="s">
        <v>353</v>
      </c>
      <c r="B30" s="857" t="s">
        <v>354</v>
      </c>
      <c r="C30" s="870" t="s">
        <v>355</v>
      </c>
      <c r="D30" s="872" t="s">
        <v>356</v>
      </c>
      <c r="E30" s="873"/>
      <c r="F30" s="874"/>
      <c r="G30" s="857" t="s">
        <v>357</v>
      </c>
      <c r="H30" s="15"/>
      <c r="I30" s="15"/>
      <c r="J30" s="15"/>
      <c r="K30" s="15"/>
      <c r="L30" s="15"/>
      <c r="M30" s="15"/>
      <c r="N30" s="15"/>
      <c r="O30" s="15"/>
      <c r="P30" s="15"/>
      <c r="Q30" s="15"/>
      <c r="R30" s="15"/>
      <c r="S30" s="15"/>
      <c r="T30" s="15"/>
      <c r="U30" s="15"/>
      <c r="V30" s="15"/>
      <c r="W30" s="15"/>
      <c r="X30" s="15"/>
      <c r="Y30" s="15"/>
      <c r="Z30" s="15"/>
    </row>
    <row r="31" spans="1:26" ht="18" customHeight="1" x14ac:dyDescent="0.25">
      <c r="A31" s="858"/>
      <c r="B31" s="858"/>
      <c r="C31" s="871"/>
      <c r="D31" s="28" t="s">
        <v>358</v>
      </c>
      <c r="E31" s="29" t="s">
        <v>359</v>
      </c>
      <c r="F31" s="875" t="s">
        <v>360</v>
      </c>
      <c r="G31" s="858"/>
      <c r="H31" s="15"/>
      <c r="I31" s="15"/>
      <c r="J31" s="15"/>
      <c r="K31" s="15"/>
      <c r="L31" s="15"/>
      <c r="M31" s="15"/>
      <c r="N31" s="15"/>
      <c r="O31" s="15"/>
      <c r="P31" s="15"/>
      <c r="Q31" s="15"/>
      <c r="R31" s="15"/>
      <c r="S31" s="15"/>
      <c r="T31" s="15"/>
      <c r="U31" s="15"/>
      <c r="V31" s="15"/>
      <c r="W31" s="15"/>
      <c r="X31" s="15"/>
      <c r="Y31" s="15"/>
      <c r="Z31" s="15"/>
    </row>
    <row r="32" spans="1:26" ht="15.75" x14ac:dyDescent="0.25">
      <c r="A32" s="858"/>
      <c r="B32" s="858"/>
      <c r="C32" s="30" t="s">
        <v>361</v>
      </c>
      <c r="D32" s="31" t="s">
        <v>361</v>
      </c>
      <c r="E32" s="32" t="s">
        <v>362</v>
      </c>
      <c r="F32" s="860"/>
      <c r="G32" s="442" t="s">
        <v>2717</v>
      </c>
      <c r="H32" s="15"/>
      <c r="I32" s="15"/>
      <c r="J32" s="15"/>
      <c r="K32" s="15"/>
      <c r="L32" s="15"/>
      <c r="M32" s="15"/>
      <c r="N32" s="15"/>
      <c r="O32" s="15"/>
      <c r="P32" s="15"/>
      <c r="Q32" s="15"/>
      <c r="R32" s="15"/>
      <c r="S32" s="15"/>
      <c r="T32" s="15"/>
      <c r="U32" s="15"/>
      <c r="V32" s="15"/>
      <c r="W32" s="15"/>
      <c r="X32" s="15"/>
      <c r="Y32" s="15"/>
      <c r="Z32" s="15"/>
    </row>
    <row r="33" spans="1:26" ht="15.75" x14ac:dyDescent="0.25">
      <c r="A33" s="869"/>
      <c r="B33" s="869"/>
      <c r="C33" s="33">
        <v>2024</v>
      </c>
      <c r="D33" s="34">
        <v>2025</v>
      </c>
      <c r="E33" s="35">
        <v>2025</v>
      </c>
      <c r="F33" s="34">
        <v>2025</v>
      </c>
      <c r="G33" s="36" t="s">
        <v>2668</v>
      </c>
      <c r="H33" s="15"/>
      <c r="I33" s="15"/>
      <c r="J33" s="15"/>
      <c r="K33" s="15"/>
      <c r="L33" s="15"/>
      <c r="M33" s="15"/>
      <c r="N33" s="15"/>
      <c r="O33" s="15"/>
      <c r="P33" s="15"/>
      <c r="Q33" s="15"/>
      <c r="R33" s="15"/>
      <c r="S33" s="15"/>
      <c r="T33" s="15"/>
      <c r="U33" s="15"/>
      <c r="V33" s="15"/>
      <c r="W33" s="15"/>
      <c r="X33" s="15"/>
      <c r="Y33" s="15"/>
      <c r="Z33" s="15"/>
    </row>
    <row r="34" spans="1:26" ht="15.75" x14ac:dyDescent="0.25">
      <c r="A34" s="17" t="s">
        <v>364</v>
      </c>
      <c r="B34" s="172"/>
      <c r="C34" s="43"/>
      <c r="D34" s="43"/>
      <c r="E34" s="43"/>
      <c r="F34" s="43"/>
      <c r="G34" s="43"/>
      <c r="H34" s="7"/>
    </row>
    <row r="35" spans="1:26" ht="15.75" x14ac:dyDescent="0.25">
      <c r="A35" s="42" t="s">
        <v>1463</v>
      </c>
      <c r="B35" s="199"/>
      <c r="C35" s="43"/>
      <c r="D35" s="43"/>
      <c r="E35" s="43"/>
      <c r="F35" s="43"/>
      <c r="G35" s="43"/>
      <c r="H35" s="7"/>
    </row>
    <row r="36" spans="1:26" ht="15.75" x14ac:dyDescent="0.25">
      <c r="A36" s="17" t="s">
        <v>662</v>
      </c>
      <c r="B36" s="172"/>
      <c r="C36" s="43"/>
      <c r="D36" s="43"/>
      <c r="E36" s="43"/>
      <c r="F36" s="43"/>
      <c r="G36" s="43"/>
      <c r="H36" s="7"/>
    </row>
    <row r="37" spans="1:26" ht="15.75" x14ac:dyDescent="0.25">
      <c r="A37" s="44" t="s">
        <v>414</v>
      </c>
      <c r="B37" s="41" t="s">
        <v>335</v>
      </c>
      <c r="C37" s="43">
        <v>1086330.3999999999</v>
      </c>
      <c r="D37" s="43">
        <v>497840</v>
      </c>
      <c r="E37" s="43">
        <f>F37-D37</f>
        <v>631120</v>
      </c>
      <c r="F37" s="43">
        <v>1128960</v>
      </c>
      <c r="G37" s="440">
        <v>1073952</v>
      </c>
      <c r="H37" s="7"/>
    </row>
    <row r="38" spans="1:26" ht="15.75" x14ac:dyDescent="0.25">
      <c r="A38" s="17" t="s">
        <v>1374</v>
      </c>
      <c r="B38" s="172"/>
      <c r="C38" s="43"/>
      <c r="D38" s="43"/>
      <c r="E38" s="43"/>
      <c r="F38" s="43"/>
      <c r="G38" s="43"/>
      <c r="H38" s="7"/>
    </row>
    <row r="39" spans="1:26" ht="15.75" x14ac:dyDescent="0.25">
      <c r="A39" s="44" t="s">
        <v>1375</v>
      </c>
      <c r="B39" s="172"/>
      <c r="C39" s="43"/>
      <c r="D39" s="43"/>
      <c r="E39" s="43"/>
      <c r="F39" s="43"/>
      <c r="G39" s="43"/>
      <c r="H39" s="14">
        <v>264</v>
      </c>
      <c r="I39" s="14">
        <v>678</v>
      </c>
      <c r="J39" s="14">
        <v>6</v>
      </c>
      <c r="K39" s="167">
        <f>H39*I39*J39</f>
        <v>1073952</v>
      </c>
    </row>
    <row r="40" spans="1:26" ht="15.75" x14ac:dyDescent="0.25">
      <c r="A40" s="42" t="s">
        <v>672</v>
      </c>
      <c r="B40" s="172"/>
      <c r="C40" s="54">
        <f>SUM(C36:C37)</f>
        <v>1086330.3999999999</v>
      </c>
      <c r="D40" s="54">
        <f>SUM(D36:D37)</f>
        <v>497840</v>
      </c>
      <c r="E40" s="54">
        <f>F40-D40</f>
        <v>631120</v>
      </c>
      <c r="F40" s="54">
        <f>SUM(F36:F37)</f>
        <v>1128960</v>
      </c>
      <c r="G40" s="54">
        <f>SUM(G36:G37)</f>
        <v>1073952</v>
      </c>
      <c r="H40" s="7"/>
    </row>
    <row r="41" spans="1:26" ht="15.75" x14ac:dyDescent="0.25">
      <c r="A41" s="17"/>
      <c r="B41" s="172"/>
      <c r="C41" s="55"/>
      <c r="D41" s="55"/>
      <c r="E41" s="43"/>
      <c r="F41" s="55"/>
      <c r="G41" s="55"/>
      <c r="H41" s="7"/>
    </row>
    <row r="42" spans="1:26" ht="15.75" x14ac:dyDescent="0.25">
      <c r="A42" s="17" t="s">
        <v>467</v>
      </c>
      <c r="B42" s="172"/>
      <c r="C42" s="43">
        <f t="shared" ref="C42:D42" si="3">+C40</f>
        <v>1086330.3999999999</v>
      </c>
      <c r="D42" s="43">
        <f t="shared" si="3"/>
        <v>497840</v>
      </c>
      <c r="E42" s="43">
        <f>F42-D42</f>
        <v>631120</v>
      </c>
      <c r="F42" s="43">
        <f t="shared" ref="F42:G42" si="4">+F40</f>
        <v>1128960</v>
      </c>
      <c r="G42" s="43">
        <f t="shared" si="4"/>
        <v>1073952</v>
      </c>
      <c r="H42" s="7"/>
    </row>
    <row r="43" spans="1:26" ht="15.75" x14ac:dyDescent="0.25">
      <c r="A43" s="17"/>
      <c r="B43" s="172"/>
      <c r="C43" s="43"/>
      <c r="D43" s="43"/>
      <c r="E43" s="43"/>
      <c r="F43" s="43"/>
      <c r="G43" s="43"/>
      <c r="H43" s="7"/>
    </row>
    <row r="44" spans="1:26" ht="15.75" x14ac:dyDescent="0.25">
      <c r="A44" s="50" t="s">
        <v>487</v>
      </c>
      <c r="B44" s="133" t="s">
        <v>488</v>
      </c>
      <c r="C44" s="54">
        <f t="shared" ref="C44:D44" si="5">+C42</f>
        <v>1086330.3999999999</v>
      </c>
      <c r="D44" s="54">
        <f t="shared" si="5"/>
        <v>497840</v>
      </c>
      <c r="E44" s="54">
        <f>F44-D44</f>
        <v>631120</v>
      </c>
      <c r="F44" s="54">
        <f t="shared" ref="F44:G44" si="6">+F42</f>
        <v>1128960</v>
      </c>
      <c r="G44" s="54">
        <f t="shared" si="6"/>
        <v>1073952</v>
      </c>
      <c r="H44" s="7"/>
    </row>
    <row r="45" spans="1:26" x14ac:dyDescent="0.25">
      <c r="H45" s="7"/>
    </row>
    <row r="46" spans="1:26" x14ac:dyDescent="0.25">
      <c r="H46" s="7"/>
    </row>
    <row r="47" spans="1:26" x14ac:dyDescent="0.25">
      <c r="H47" s="7"/>
    </row>
    <row r="48" spans="1:26" x14ac:dyDescent="0.25">
      <c r="H48" s="7"/>
    </row>
    <row r="49" spans="8:8" x14ac:dyDescent="0.25">
      <c r="H49" s="7"/>
    </row>
    <row r="50" spans="8:8" x14ac:dyDescent="0.25">
      <c r="H50" s="7"/>
    </row>
    <row r="51" spans="8:8" x14ac:dyDescent="0.25">
      <c r="H51" s="7"/>
    </row>
    <row r="52" spans="8:8" x14ac:dyDescent="0.25">
      <c r="H52" s="7"/>
    </row>
    <row r="53" spans="8:8" x14ac:dyDescent="0.25">
      <c r="H53" s="7"/>
    </row>
    <row r="54" spans="8:8" x14ac:dyDescent="0.25">
      <c r="H54" s="7"/>
    </row>
    <row r="55" spans="8:8" x14ac:dyDescent="0.25">
      <c r="H55" s="7"/>
    </row>
    <row r="56" spans="8:8" x14ac:dyDescent="0.25">
      <c r="H56" s="7"/>
    </row>
    <row r="57" spans="8:8" x14ac:dyDescent="0.25">
      <c r="H57" s="7"/>
    </row>
    <row r="58" spans="8:8" x14ac:dyDescent="0.25">
      <c r="H58" s="7"/>
    </row>
    <row r="59" spans="8:8" x14ac:dyDescent="0.25">
      <c r="H59" s="7"/>
    </row>
    <row r="60" spans="8:8" x14ac:dyDescent="0.25">
      <c r="H60" s="7"/>
    </row>
    <row r="61" spans="8:8" x14ac:dyDescent="0.25">
      <c r="H61" s="7"/>
    </row>
    <row r="62" spans="8:8" x14ac:dyDescent="0.25">
      <c r="H62" s="7"/>
    </row>
    <row r="63" spans="8:8" x14ac:dyDescent="0.25">
      <c r="H63" s="7"/>
    </row>
    <row r="64" spans="8:8" x14ac:dyDescent="0.25">
      <c r="H64" s="7"/>
    </row>
    <row r="65" spans="8:8" x14ac:dyDescent="0.25">
      <c r="H65" s="7"/>
    </row>
    <row r="66" spans="8:8" x14ac:dyDescent="0.25">
      <c r="H66" s="7"/>
    </row>
    <row r="67" spans="8:8" x14ac:dyDescent="0.25">
      <c r="H67" s="7"/>
    </row>
    <row r="68" spans="8:8" x14ac:dyDescent="0.25">
      <c r="H68" s="7"/>
    </row>
    <row r="69" spans="8:8" x14ac:dyDescent="0.25">
      <c r="H69" s="7"/>
    </row>
    <row r="70" spans="8:8" x14ac:dyDescent="0.25">
      <c r="H70" s="7"/>
    </row>
    <row r="71" spans="8:8" x14ac:dyDescent="0.25">
      <c r="H71" s="7"/>
    </row>
    <row r="72" spans="8:8" x14ac:dyDescent="0.25">
      <c r="H72" s="7"/>
    </row>
    <row r="73" spans="8:8" x14ac:dyDescent="0.25">
      <c r="H73" s="7"/>
    </row>
    <row r="74" spans="8:8" x14ac:dyDescent="0.25">
      <c r="H74" s="7"/>
    </row>
    <row r="75" spans="8:8" x14ac:dyDescent="0.25">
      <c r="H75" s="7"/>
    </row>
    <row r="76" spans="8:8" x14ac:dyDescent="0.25">
      <c r="H76" s="7"/>
    </row>
    <row r="77" spans="8:8" x14ac:dyDescent="0.25">
      <c r="H77" s="7"/>
    </row>
    <row r="78" spans="8:8" x14ac:dyDescent="0.25">
      <c r="H78" s="7"/>
    </row>
    <row r="79" spans="8:8" x14ac:dyDescent="0.25">
      <c r="H79" s="7"/>
    </row>
    <row r="80" spans="8:8" x14ac:dyDescent="0.25">
      <c r="H80" s="7"/>
    </row>
    <row r="81" spans="8:8" x14ac:dyDescent="0.25">
      <c r="H81" s="7"/>
    </row>
    <row r="82" spans="8:8" x14ac:dyDescent="0.25">
      <c r="H82" s="7"/>
    </row>
    <row r="83" spans="8:8" x14ac:dyDescent="0.25">
      <c r="H83" s="7"/>
    </row>
    <row r="84" spans="8:8" x14ac:dyDescent="0.25">
      <c r="H84" s="7"/>
    </row>
    <row r="85" spans="8:8" x14ac:dyDescent="0.25">
      <c r="H85" s="7"/>
    </row>
    <row r="86" spans="8:8" x14ac:dyDescent="0.25">
      <c r="H86" s="7"/>
    </row>
    <row r="87" spans="8:8" x14ac:dyDescent="0.25">
      <c r="H87" s="7"/>
    </row>
    <row r="88" spans="8:8" x14ac:dyDescent="0.25">
      <c r="H88" s="7"/>
    </row>
    <row r="89" spans="8:8" x14ac:dyDescent="0.25">
      <c r="H89" s="7"/>
    </row>
    <row r="90" spans="8:8" x14ac:dyDescent="0.25">
      <c r="H90" s="7"/>
    </row>
    <row r="91" spans="8:8" x14ac:dyDescent="0.25">
      <c r="H91" s="7"/>
    </row>
    <row r="92" spans="8:8" x14ac:dyDescent="0.25">
      <c r="H92" s="7"/>
    </row>
    <row r="93" spans="8:8" x14ac:dyDescent="0.25">
      <c r="H93" s="7"/>
    </row>
    <row r="94" spans="8:8" x14ac:dyDescent="0.25">
      <c r="H94" s="7"/>
    </row>
    <row r="95" spans="8:8" x14ac:dyDescent="0.25">
      <c r="H95" s="7"/>
    </row>
    <row r="96" spans="8:8" x14ac:dyDescent="0.25">
      <c r="H96" s="7"/>
    </row>
    <row r="97" spans="8:8" x14ac:dyDescent="0.25">
      <c r="H97" s="7"/>
    </row>
    <row r="98" spans="8:8" x14ac:dyDescent="0.25">
      <c r="H98" s="7"/>
    </row>
    <row r="99" spans="8:8" x14ac:dyDescent="0.25">
      <c r="H99" s="7"/>
    </row>
    <row r="100" spans="8:8" x14ac:dyDescent="0.25">
      <c r="H100" s="7"/>
    </row>
    <row r="101" spans="8:8" x14ac:dyDescent="0.25">
      <c r="H101" s="7"/>
    </row>
    <row r="102" spans="8:8" x14ac:dyDescent="0.25">
      <c r="H102" s="7"/>
    </row>
    <row r="103" spans="8:8" x14ac:dyDescent="0.25">
      <c r="H103" s="7"/>
    </row>
    <row r="104" spans="8:8" x14ac:dyDescent="0.25">
      <c r="H104" s="7"/>
    </row>
    <row r="105" spans="8:8" x14ac:dyDescent="0.25">
      <c r="H105" s="7"/>
    </row>
    <row r="106" spans="8:8" x14ac:dyDescent="0.25">
      <c r="H106" s="7"/>
    </row>
    <row r="107" spans="8:8" x14ac:dyDescent="0.25">
      <c r="H107" s="7"/>
    </row>
    <row r="108" spans="8:8" x14ac:dyDescent="0.25">
      <c r="H108" s="7"/>
    </row>
    <row r="109" spans="8:8" x14ac:dyDescent="0.25">
      <c r="H109" s="7"/>
    </row>
    <row r="110" spans="8:8" x14ac:dyDescent="0.25">
      <c r="H110" s="7"/>
    </row>
    <row r="111" spans="8:8" x14ac:dyDescent="0.25">
      <c r="H111" s="7"/>
    </row>
    <row r="112" spans="8:8" x14ac:dyDescent="0.25">
      <c r="H112" s="7"/>
    </row>
    <row r="113" spans="8:8" x14ac:dyDescent="0.25">
      <c r="H113" s="7"/>
    </row>
    <row r="114" spans="8:8" x14ac:dyDescent="0.25">
      <c r="H114" s="7"/>
    </row>
    <row r="115" spans="8:8" x14ac:dyDescent="0.25">
      <c r="H115" s="7"/>
    </row>
    <row r="116" spans="8:8" x14ac:dyDescent="0.25">
      <c r="H116" s="7"/>
    </row>
    <row r="117" spans="8:8" x14ac:dyDescent="0.25">
      <c r="H117" s="7"/>
    </row>
    <row r="118" spans="8:8" x14ac:dyDescent="0.25">
      <c r="H118" s="7"/>
    </row>
    <row r="119" spans="8:8" x14ac:dyDescent="0.25">
      <c r="H119" s="7"/>
    </row>
    <row r="120" spans="8:8" x14ac:dyDescent="0.25">
      <c r="H120" s="7"/>
    </row>
    <row r="121" spans="8:8" x14ac:dyDescent="0.25">
      <c r="H121" s="7"/>
    </row>
    <row r="122" spans="8:8" x14ac:dyDescent="0.25">
      <c r="H122" s="7"/>
    </row>
    <row r="123" spans="8:8" x14ac:dyDescent="0.25">
      <c r="H123" s="7"/>
    </row>
    <row r="124" spans="8:8" x14ac:dyDescent="0.25">
      <c r="H124" s="7"/>
    </row>
    <row r="125" spans="8:8" x14ac:dyDescent="0.25">
      <c r="H125" s="7"/>
    </row>
    <row r="126" spans="8:8" x14ac:dyDescent="0.25">
      <c r="H126" s="7"/>
    </row>
    <row r="127" spans="8:8" x14ac:dyDescent="0.25">
      <c r="H127" s="7"/>
    </row>
    <row r="128" spans="8:8" x14ac:dyDescent="0.25">
      <c r="H128" s="7"/>
    </row>
    <row r="129" spans="8:8" x14ac:dyDescent="0.25">
      <c r="H129" s="7"/>
    </row>
    <row r="130" spans="8:8" x14ac:dyDescent="0.25">
      <c r="H130" s="7"/>
    </row>
    <row r="131" spans="8:8" x14ac:dyDescent="0.25">
      <c r="H131" s="7"/>
    </row>
    <row r="132" spans="8:8" x14ac:dyDescent="0.25">
      <c r="H132" s="7"/>
    </row>
    <row r="133" spans="8:8" x14ac:dyDescent="0.25">
      <c r="H133" s="7"/>
    </row>
    <row r="134" spans="8:8" x14ac:dyDescent="0.25">
      <c r="H134" s="7"/>
    </row>
    <row r="135" spans="8:8" x14ac:dyDescent="0.25">
      <c r="H135" s="7"/>
    </row>
    <row r="136" spans="8:8" x14ac:dyDescent="0.25">
      <c r="H136" s="7"/>
    </row>
    <row r="137" spans="8:8" x14ac:dyDescent="0.25">
      <c r="H137" s="7"/>
    </row>
    <row r="138" spans="8:8" x14ac:dyDescent="0.25">
      <c r="H138" s="7"/>
    </row>
    <row r="139" spans="8:8" x14ac:dyDescent="0.25">
      <c r="H139" s="7"/>
    </row>
    <row r="140" spans="8:8" x14ac:dyDescent="0.25">
      <c r="H140" s="7"/>
    </row>
    <row r="141" spans="8:8" x14ac:dyDescent="0.25">
      <c r="H141" s="7"/>
    </row>
    <row r="142" spans="8:8" x14ac:dyDescent="0.25">
      <c r="H142" s="7"/>
    </row>
    <row r="143" spans="8:8" x14ac:dyDescent="0.25">
      <c r="H143" s="7"/>
    </row>
    <row r="144" spans="8:8" x14ac:dyDescent="0.25">
      <c r="H144" s="7"/>
    </row>
    <row r="145" spans="8:8" x14ac:dyDescent="0.25">
      <c r="H145" s="7"/>
    </row>
    <row r="146" spans="8:8" x14ac:dyDescent="0.25">
      <c r="H146" s="7"/>
    </row>
    <row r="147" spans="8:8" x14ac:dyDescent="0.25">
      <c r="H147" s="7"/>
    </row>
    <row r="148" spans="8:8" x14ac:dyDescent="0.25">
      <c r="H148" s="7"/>
    </row>
    <row r="149" spans="8:8" x14ac:dyDescent="0.25">
      <c r="H149" s="7"/>
    </row>
    <row r="150" spans="8:8" x14ac:dyDescent="0.25">
      <c r="H150" s="7"/>
    </row>
    <row r="151" spans="8:8" x14ac:dyDescent="0.25">
      <c r="H151" s="7"/>
    </row>
    <row r="152" spans="8:8" x14ac:dyDescent="0.25">
      <c r="H152" s="7"/>
    </row>
    <row r="153" spans="8:8" x14ac:dyDescent="0.25">
      <c r="H153" s="7"/>
    </row>
    <row r="154" spans="8:8" x14ac:dyDescent="0.25">
      <c r="H154" s="7"/>
    </row>
    <row r="155" spans="8:8" x14ac:dyDescent="0.25">
      <c r="H155" s="7"/>
    </row>
    <row r="156" spans="8:8" x14ac:dyDescent="0.25">
      <c r="H156" s="7"/>
    </row>
    <row r="157" spans="8:8" x14ac:dyDescent="0.25">
      <c r="H157" s="7"/>
    </row>
    <row r="158" spans="8:8" x14ac:dyDescent="0.25">
      <c r="H158" s="7"/>
    </row>
    <row r="159" spans="8:8" x14ac:dyDescent="0.25">
      <c r="H159" s="7"/>
    </row>
    <row r="160" spans="8:8" x14ac:dyDescent="0.25">
      <c r="H160" s="7"/>
    </row>
    <row r="161" spans="8:8" x14ac:dyDescent="0.25">
      <c r="H161" s="7"/>
    </row>
    <row r="162" spans="8:8" x14ac:dyDescent="0.25">
      <c r="H162" s="7"/>
    </row>
    <row r="163" spans="8:8" x14ac:dyDescent="0.25">
      <c r="H163" s="7"/>
    </row>
    <row r="164" spans="8:8" x14ac:dyDescent="0.25">
      <c r="H164" s="7"/>
    </row>
    <row r="165" spans="8:8" x14ac:dyDescent="0.25">
      <c r="H165" s="7"/>
    </row>
    <row r="166" spans="8:8" x14ac:dyDescent="0.25">
      <c r="H166" s="7"/>
    </row>
    <row r="167" spans="8:8" x14ac:dyDescent="0.25">
      <c r="H167" s="7"/>
    </row>
    <row r="168" spans="8:8" x14ac:dyDescent="0.25">
      <c r="H168" s="7"/>
    </row>
    <row r="169" spans="8:8" x14ac:dyDescent="0.25">
      <c r="H169" s="7"/>
    </row>
    <row r="170" spans="8:8" x14ac:dyDescent="0.25">
      <c r="H170" s="7"/>
    </row>
    <row r="171" spans="8:8" x14ac:dyDescent="0.25">
      <c r="H171" s="7"/>
    </row>
    <row r="172" spans="8:8" x14ac:dyDescent="0.25">
      <c r="H172" s="7"/>
    </row>
    <row r="173" spans="8:8" x14ac:dyDescent="0.25">
      <c r="H173" s="7"/>
    </row>
    <row r="174" spans="8:8" x14ac:dyDescent="0.25">
      <c r="H174" s="7"/>
    </row>
    <row r="175" spans="8:8" x14ac:dyDescent="0.25">
      <c r="H175" s="7"/>
    </row>
    <row r="176" spans="8:8" x14ac:dyDescent="0.25">
      <c r="H176" s="7"/>
    </row>
    <row r="177" spans="8:8" x14ac:dyDescent="0.25">
      <c r="H177" s="7"/>
    </row>
    <row r="178" spans="8:8" x14ac:dyDescent="0.25">
      <c r="H178" s="7"/>
    </row>
    <row r="179" spans="8:8" x14ac:dyDescent="0.25">
      <c r="H179" s="7"/>
    </row>
    <row r="180" spans="8:8" x14ac:dyDescent="0.25">
      <c r="H180" s="7"/>
    </row>
    <row r="181" spans="8:8" x14ac:dyDescent="0.25">
      <c r="H181" s="7"/>
    </row>
    <row r="182" spans="8:8" x14ac:dyDescent="0.25">
      <c r="H182" s="7"/>
    </row>
    <row r="183" spans="8:8" x14ac:dyDescent="0.25">
      <c r="H183" s="7"/>
    </row>
    <row r="184" spans="8:8" x14ac:dyDescent="0.25">
      <c r="H184" s="7"/>
    </row>
    <row r="185" spans="8:8" x14ac:dyDescent="0.25">
      <c r="H185" s="7"/>
    </row>
    <row r="186" spans="8:8" x14ac:dyDescent="0.25">
      <c r="H186" s="7"/>
    </row>
    <row r="187" spans="8:8" x14ac:dyDescent="0.25">
      <c r="H187" s="7"/>
    </row>
    <row r="188" spans="8:8" x14ac:dyDescent="0.25">
      <c r="H188" s="7"/>
    </row>
    <row r="189" spans="8:8" x14ac:dyDescent="0.25">
      <c r="H189" s="7"/>
    </row>
    <row r="190" spans="8:8" x14ac:dyDescent="0.25">
      <c r="H190" s="7"/>
    </row>
    <row r="191" spans="8:8" x14ac:dyDescent="0.25">
      <c r="H191" s="7"/>
    </row>
    <row r="192" spans="8:8" x14ac:dyDescent="0.25">
      <c r="H192" s="7"/>
    </row>
    <row r="193" spans="8:8" x14ac:dyDescent="0.25">
      <c r="H193" s="7"/>
    </row>
    <row r="194" spans="8:8" x14ac:dyDescent="0.25">
      <c r="H194" s="7"/>
    </row>
    <row r="195" spans="8:8" x14ac:dyDescent="0.25">
      <c r="H195" s="7"/>
    </row>
    <row r="196" spans="8:8" x14ac:dyDescent="0.25">
      <c r="H196" s="7"/>
    </row>
    <row r="197" spans="8:8" x14ac:dyDescent="0.25">
      <c r="H197" s="7"/>
    </row>
    <row r="198" spans="8:8" x14ac:dyDescent="0.25">
      <c r="H198" s="7"/>
    </row>
    <row r="199" spans="8:8" x14ac:dyDescent="0.25">
      <c r="H199" s="7"/>
    </row>
    <row r="200" spans="8:8" x14ac:dyDescent="0.25">
      <c r="H200" s="7"/>
    </row>
    <row r="201" spans="8:8" x14ac:dyDescent="0.25">
      <c r="H201" s="7"/>
    </row>
    <row r="202" spans="8:8" x14ac:dyDescent="0.25">
      <c r="H202" s="7"/>
    </row>
    <row r="203" spans="8:8" x14ac:dyDescent="0.25">
      <c r="H203" s="7"/>
    </row>
    <row r="204" spans="8:8" x14ac:dyDescent="0.25">
      <c r="H204" s="7"/>
    </row>
    <row r="205" spans="8:8" x14ac:dyDescent="0.25">
      <c r="H205" s="7"/>
    </row>
    <row r="206" spans="8:8" x14ac:dyDescent="0.25">
      <c r="H206" s="7"/>
    </row>
    <row r="207" spans="8:8" x14ac:dyDescent="0.25">
      <c r="H207" s="7"/>
    </row>
    <row r="208" spans="8:8" x14ac:dyDescent="0.25">
      <c r="H208" s="7"/>
    </row>
    <row r="209" spans="8:8" x14ac:dyDescent="0.25">
      <c r="H209" s="7"/>
    </row>
    <row r="210" spans="8:8" x14ac:dyDescent="0.25">
      <c r="H210" s="7"/>
    </row>
    <row r="211" spans="8:8" x14ac:dyDescent="0.25">
      <c r="H211" s="7"/>
    </row>
    <row r="212" spans="8:8" x14ac:dyDescent="0.25">
      <c r="H212" s="7"/>
    </row>
    <row r="213" spans="8:8" x14ac:dyDescent="0.25">
      <c r="H213" s="7"/>
    </row>
    <row r="214" spans="8:8" x14ac:dyDescent="0.25">
      <c r="H214" s="7"/>
    </row>
    <row r="215" spans="8:8" x14ac:dyDescent="0.25">
      <c r="H215" s="7"/>
    </row>
    <row r="216" spans="8:8" x14ac:dyDescent="0.25">
      <c r="H216" s="7"/>
    </row>
    <row r="217" spans="8:8" x14ac:dyDescent="0.25">
      <c r="H217" s="7"/>
    </row>
    <row r="218" spans="8:8" x14ac:dyDescent="0.25">
      <c r="H218" s="7"/>
    </row>
    <row r="219" spans="8:8" x14ac:dyDescent="0.25">
      <c r="H219" s="7"/>
    </row>
    <row r="220" spans="8:8" x14ac:dyDescent="0.25">
      <c r="H220" s="7"/>
    </row>
    <row r="221" spans="8:8" x14ac:dyDescent="0.25">
      <c r="H221" s="7"/>
    </row>
    <row r="222" spans="8:8" x14ac:dyDescent="0.25">
      <c r="H222" s="7"/>
    </row>
    <row r="223" spans="8:8" x14ac:dyDescent="0.25">
      <c r="H223" s="7"/>
    </row>
    <row r="224" spans="8:8" x14ac:dyDescent="0.25">
      <c r="H224" s="7"/>
    </row>
    <row r="225" spans="8:8" x14ac:dyDescent="0.25">
      <c r="H225" s="7"/>
    </row>
    <row r="226" spans="8:8" x14ac:dyDescent="0.25">
      <c r="H226" s="7"/>
    </row>
    <row r="227" spans="8:8" x14ac:dyDescent="0.25">
      <c r="H227" s="7"/>
    </row>
    <row r="228" spans="8:8" x14ac:dyDescent="0.25">
      <c r="H228" s="7"/>
    </row>
    <row r="229" spans="8:8" x14ac:dyDescent="0.25">
      <c r="H229" s="7"/>
    </row>
    <row r="230" spans="8:8" x14ac:dyDescent="0.25">
      <c r="H230" s="7"/>
    </row>
    <row r="231" spans="8:8" x14ac:dyDescent="0.25">
      <c r="H231" s="7"/>
    </row>
    <row r="232" spans="8:8" x14ac:dyDescent="0.25">
      <c r="H232" s="7"/>
    </row>
    <row r="233" spans="8:8" x14ac:dyDescent="0.25">
      <c r="H233" s="7"/>
    </row>
    <row r="234" spans="8:8" x14ac:dyDescent="0.25">
      <c r="H234" s="7"/>
    </row>
    <row r="235" spans="8:8" x14ac:dyDescent="0.25">
      <c r="H235" s="7"/>
    </row>
    <row r="236" spans="8:8" x14ac:dyDescent="0.25">
      <c r="H236" s="7"/>
    </row>
    <row r="237" spans="8:8" x14ac:dyDescent="0.25">
      <c r="H237" s="7"/>
    </row>
    <row r="238" spans="8:8" x14ac:dyDescent="0.25">
      <c r="H238" s="7"/>
    </row>
    <row r="239" spans="8:8" x14ac:dyDescent="0.25">
      <c r="H239" s="7"/>
    </row>
    <row r="240" spans="8:8" x14ac:dyDescent="0.25">
      <c r="H240" s="7"/>
    </row>
    <row r="241" spans="8:8" x14ac:dyDescent="0.25">
      <c r="H241" s="7"/>
    </row>
    <row r="242" spans="8:8" x14ac:dyDescent="0.25">
      <c r="H242" s="7"/>
    </row>
    <row r="243" spans="8:8" x14ac:dyDescent="0.25">
      <c r="H243" s="7"/>
    </row>
  </sheetData>
  <mergeCells count="14">
    <mergeCell ref="A6:G6"/>
    <mergeCell ref="A7:A10"/>
    <mergeCell ref="B7:B10"/>
    <mergeCell ref="C7:C8"/>
    <mergeCell ref="D7:F7"/>
    <mergeCell ref="G7:G8"/>
    <mergeCell ref="F8:F9"/>
    <mergeCell ref="A29:G29"/>
    <mergeCell ref="A30:A33"/>
    <mergeCell ref="B30:B33"/>
    <mergeCell ref="C30:C31"/>
    <mergeCell ref="D30:F30"/>
    <mergeCell ref="G30:G31"/>
    <mergeCell ref="F31:F32"/>
  </mergeCells>
  <pageMargins left="0.39370078740157483" right="0.39370078740157483" top="0.39370078740157483" bottom="0.39370078740157483" header="0" footer="0"/>
  <pageSetup paperSize="9" scale="9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27"/>
  <sheetViews>
    <sheetView view="pageBreakPreview" topLeftCell="A24" zoomScale="115" zoomScaleNormal="100" zoomScaleSheetLayoutView="115" workbookViewId="0">
      <selection activeCell="A51" sqref="A51"/>
    </sheetView>
  </sheetViews>
  <sheetFormatPr defaultColWidth="14.42578125" defaultRowHeight="15" customHeight="1" x14ac:dyDescent="0.25"/>
  <cols>
    <col min="1" max="1" width="74.28515625" customWidth="1"/>
    <col min="2" max="2" width="17.140625" customWidth="1"/>
    <col min="3" max="6" width="19.28515625" hidden="1" customWidth="1"/>
    <col min="7" max="7" width="19.28515625" customWidth="1"/>
    <col min="8" max="8" width="16.42578125" customWidth="1"/>
    <col min="9" max="9" width="15.28515625" customWidth="1"/>
    <col min="10" max="10" width="10.5703125" customWidth="1"/>
    <col min="11" max="11" width="13.28515625" customWidth="1"/>
    <col min="12" max="26" width="10.28515625" customWidth="1"/>
  </cols>
  <sheetData>
    <row r="1" spans="1:26" ht="15.75" customHeight="1" x14ac:dyDescent="0.25">
      <c r="A1" s="9"/>
      <c r="B1" s="10"/>
      <c r="C1" s="11"/>
      <c r="D1" s="11"/>
      <c r="E1" s="11"/>
      <c r="F1" s="10"/>
      <c r="G1" s="13"/>
      <c r="H1" s="269"/>
      <c r="I1" s="269"/>
      <c r="J1" s="269"/>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269"/>
      <c r="I2" s="269"/>
      <c r="J2" s="269"/>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269"/>
      <c r="I3" s="269"/>
      <c r="J3" s="269"/>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269"/>
      <c r="I4" s="269"/>
      <c r="J4" s="269"/>
      <c r="K4" s="167"/>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269"/>
      <c r="I5" s="269"/>
      <c r="J5" s="269"/>
      <c r="K5" s="167"/>
      <c r="L5" s="15"/>
      <c r="M5" s="15"/>
      <c r="N5" s="15"/>
      <c r="O5" s="15"/>
      <c r="P5" s="15"/>
      <c r="Q5" s="15"/>
      <c r="R5" s="15"/>
      <c r="S5" s="15"/>
      <c r="T5" s="15"/>
      <c r="U5" s="15"/>
      <c r="V5" s="15"/>
      <c r="W5" s="15"/>
      <c r="X5" s="15"/>
      <c r="Y5" s="15"/>
      <c r="Z5" s="15"/>
    </row>
    <row r="6" spans="1:26" ht="15.75" customHeight="1" x14ac:dyDescent="0.25">
      <c r="A6" s="17" t="s">
        <v>1376</v>
      </c>
      <c r="B6" s="24"/>
      <c r="C6" s="25"/>
      <c r="D6" s="25"/>
      <c r="E6" s="25"/>
      <c r="F6" s="24"/>
      <c r="G6" s="19"/>
      <c r="H6" s="269"/>
      <c r="I6" s="269"/>
      <c r="J6" s="269"/>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269"/>
      <c r="I7" s="269"/>
      <c r="J7" s="269"/>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269"/>
      <c r="I8" s="269"/>
      <c r="J8" s="269"/>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269"/>
      <c r="I9" s="269"/>
      <c r="J9" s="269"/>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269"/>
      <c r="I10" s="269"/>
      <c r="J10" s="269"/>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269"/>
      <c r="I11" s="269"/>
      <c r="J11" s="269"/>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269"/>
      <c r="I12" s="269"/>
      <c r="J12" s="269"/>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270"/>
      <c r="I13" s="270"/>
      <c r="J13" s="270"/>
      <c r="K13" s="212"/>
      <c r="L13" s="114"/>
      <c r="M13" s="114"/>
      <c r="N13" s="114"/>
      <c r="O13" s="114"/>
      <c r="P13" s="114"/>
      <c r="Q13" s="114"/>
      <c r="R13" s="114"/>
      <c r="S13" s="114"/>
      <c r="T13" s="114"/>
      <c r="U13" s="114"/>
      <c r="V13" s="114"/>
      <c r="W13" s="114"/>
      <c r="X13" s="114"/>
      <c r="Y13" s="114"/>
      <c r="Z13" s="114"/>
    </row>
    <row r="14" spans="1:26" ht="15.75" customHeight="1" x14ac:dyDescent="0.25">
      <c r="A14" s="17" t="s">
        <v>365</v>
      </c>
      <c r="B14" s="172"/>
      <c r="C14" s="42"/>
      <c r="D14" s="42"/>
      <c r="E14" s="42"/>
      <c r="F14" s="42"/>
      <c r="G14" s="42"/>
      <c r="H14" s="270"/>
      <c r="I14" s="270"/>
      <c r="J14" s="270"/>
      <c r="K14" s="212"/>
      <c r="L14" s="114"/>
      <c r="M14" s="114"/>
      <c r="N14" s="114"/>
      <c r="O14" s="114"/>
      <c r="P14" s="114"/>
      <c r="Q14" s="114"/>
      <c r="R14" s="114"/>
      <c r="S14" s="114"/>
      <c r="T14" s="114"/>
      <c r="U14" s="114"/>
      <c r="V14" s="114"/>
      <c r="W14" s="114"/>
      <c r="X14" s="114"/>
      <c r="Y14" s="114"/>
      <c r="Z14" s="114"/>
    </row>
    <row r="15" spans="1:26" ht="15.75" customHeight="1" x14ac:dyDescent="0.25">
      <c r="A15" s="17" t="s">
        <v>366</v>
      </c>
      <c r="B15" s="172"/>
      <c r="C15" s="42"/>
      <c r="D15" s="42"/>
      <c r="E15" s="42"/>
      <c r="F15" s="42"/>
      <c r="G15" s="42"/>
      <c r="H15" s="270"/>
      <c r="I15" s="270"/>
      <c r="J15" s="270"/>
      <c r="K15" s="212"/>
      <c r="L15" s="114"/>
      <c r="M15" s="114"/>
      <c r="N15" s="114"/>
      <c r="O15" s="114"/>
      <c r="P15" s="114"/>
      <c r="Q15" s="114"/>
      <c r="R15" s="114"/>
      <c r="S15" s="114"/>
      <c r="T15" s="114"/>
      <c r="U15" s="114"/>
      <c r="V15" s="114"/>
      <c r="W15" s="114"/>
      <c r="X15" s="114"/>
      <c r="Y15" s="114"/>
      <c r="Z15" s="114"/>
    </row>
    <row r="16" spans="1:26" ht="15.75" customHeight="1" x14ac:dyDescent="0.25">
      <c r="A16" s="44" t="s">
        <v>367</v>
      </c>
      <c r="B16" s="41" t="s">
        <v>121</v>
      </c>
      <c r="C16" s="43">
        <v>13457825.199999999</v>
      </c>
      <c r="D16" s="43">
        <v>7653246.5999999996</v>
      </c>
      <c r="E16" s="43">
        <f>F16-D16</f>
        <v>9507569.4000000004</v>
      </c>
      <c r="F16" s="43">
        <v>17160816</v>
      </c>
      <c r="G16" s="43">
        <v>17860896</v>
      </c>
      <c r="H16" s="270"/>
      <c r="I16" s="270"/>
      <c r="J16" s="270"/>
      <c r="K16" s="212"/>
      <c r="L16" s="114"/>
      <c r="M16" s="114"/>
      <c r="N16" s="114"/>
      <c r="O16" s="114"/>
      <c r="P16" s="114"/>
      <c r="Q16" s="114"/>
      <c r="R16" s="114"/>
      <c r="S16" s="114"/>
      <c r="T16" s="114"/>
      <c r="U16" s="114"/>
      <c r="V16" s="114"/>
      <c r="W16" s="114"/>
      <c r="X16" s="114"/>
      <c r="Y16" s="114"/>
      <c r="Z16" s="114"/>
    </row>
    <row r="17" spans="1:26" ht="15.75" customHeight="1" x14ac:dyDescent="0.25">
      <c r="A17" s="17" t="s">
        <v>368</v>
      </c>
      <c r="B17" s="172"/>
      <c r="C17" s="43"/>
      <c r="D17" s="43"/>
      <c r="E17" s="43"/>
      <c r="F17" s="43"/>
      <c r="G17" s="43"/>
      <c r="H17" s="270"/>
      <c r="I17" s="270"/>
      <c r="J17" s="270"/>
      <c r="K17" s="212"/>
      <c r="L17" s="114"/>
      <c r="M17" s="114"/>
      <c r="N17" s="114"/>
      <c r="O17" s="114"/>
      <c r="P17" s="114"/>
      <c r="Q17" s="114"/>
      <c r="R17" s="114"/>
      <c r="S17" s="114"/>
      <c r="T17" s="114"/>
      <c r="U17" s="114"/>
      <c r="V17" s="114"/>
      <c r="W17" s="114"/>
      <c r="X17" s="114"/>
      <c r="Y17" s="114"/>
      <c r="Z17" s="114"/>
    </row>
    <row r="18" spans="1:26" ht="15.75" customHeight="1" x14ac:dyDescent="0.25">
      <c r="A18" s="44" t="s">
        <v>369</v>
      </c>
      <c r="B18" s="41" t="s">
        <v>125</v>
      </c>
      <c r="C18" s="43">
        <v>1320639.6000000001</v>
      </c>
      <c r="D18" s="43">
        <v>724540.44</v>
      </c>
      <c r="E18" s="43">
        <f t="shared" ref="E18:E23" si="0">F18-D18</f>
        <v>907459.56</v>
      </c>
      <c r="F18" s="43">
        <v>1632000</v>
      </c>
      <c r="G18" s="43">
        <v>1632000</v>
      </c>
      <c r="H18" s="269"/>
      <c r="I18" s="269"/>
      <c r="J18" s="269"/>
      <c r="K18" s="167"/>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188375</v>
      </c>
      <c r="D19" s="43">
        <v>51000</v>
      </c>
      <c r="E19" s="43">
        <f t="shared" si="0"/>
        <v>165000</v>
      </c>
      <c r="F19" s="43">
        <v>216000</v>
      </c>
      <c r="G19" s="43">
        <v>216000</v>
      </c>
      <c r="H19" s="269"/>
      <c r="I19" s="269"/>
      <c r="J19" s="269"/>
      <c r="K19" s="167"/>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188375</v>
      </c>
      <c r="D20" s="43">
        <v>51000</v>
      </c>
      <c r="E20" s="43">
        <f t="shared" si="0"/>
        <v>165000</v>
      </c>
      <c r="F20" s="43">
        <v>216000</v>
      </c>
      <c r="G20" s="43">
        <v>216000</v>
      </c>
      <c r="H20" s="269"/>
      <c r="I20" s="269"/>
      <c r="J20" s="269"/>
      <c r="K20" s="167"/>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406000</v>
      </c>
      <c r="D21" s="43">
        <v>427000</v>
      </c>
      <c r="E21" s="43">
        <f t="shared" si="0"/>
        <v>49000</v>
      </c>
      <c r="F21" s="43">
        <v>476000</v>
      </c>
      <c r="G21" s="43">
        <v>476000</v>
      </c>
      <c r="H21" s="269"/>
      <c r="I21" s="269"/>
      <c r="J21" s="269"/>
      <c r="K21" s="167"/>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1194488.3999999999</v>
      </c>
      <c r="D22" s="43">
        <v>0</v>
      </c>
      <c r="E22" s="43">
        <f t="shared" si="0"/>
        <v>1430068</v>
      </c>
      <c r="F22" s="43">
        <v>1430068</v>
      </c>
      <c r="G22" s="43">
        <v>1488408</v>
      </c>
      <c r="H22" s="269"/>
      <c r="I22" s="269"/>
      <c r="J22" s="269"/>
      <c r="K22" s="167"/>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281000</v>
      </c>
      <c r="D23" s="43">
        <v>0</v>
      </c>
      <c r="E23" s="43">
        <f t="shared" si="0"/>
        <v>340000</v>
      </c>
      <c r="F23" s="43">
        <v>340000</v>
      </c>
      <c r="G23" s="43">
        <v>340000</v>
      </c>
      <c r="H23" s="269"/>
      <c r="I23" s="269"/>
      <c r="J23" s="269"/>
      <c r="K23" s="167"/>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269"/>
      <c r="I24" s="269"/>
      <c r="J24" s="269"/>
      <c r="K24" s="167"/>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10000</v>
      </c>
      <c r="D25" s="43">
        <v>25000</v>
      </c>
      <c r="E25" s="43">
        <f t="shared" ref="E25:E27" si="1">F25-D25</f>
        <v>60000</v>
      </c>
      <c r="F25" s="43">
        <v>85000</v>
      </c>
      <c r="G25" s="43">
        <v>45000</v>
      </c>
      <c r="H25" s="269"/>
      <c r="I25" s="269"/>
      <c r="J25" s="269"/>
      <c r="K25" s="167"/>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141000</v>
      </c>
      <c r="E26" s="43">
        <f t="shared" si="1"/>
        <v>63000</v>
      </c>
      <c r="F26" s="43">
        <v>204000</v>
      </c>
      <c r="G26" s="43">
        <v>0</v>
      </c>
      <c r="H26" s="269"/>
      <c r="I26" s="269"/>
      <c r="J26" s="269"/>
      <c r="K26" s="167"/>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1094107.75</v>
      </c>
      <c r="D27" s="43">
        <v>1270031</v>
      </c>
      <c r="E27" s="43">
        <f t="shared" si="1"/>
        <v>160037</v>
      </c>
      <c r="F27" s="43">
        <v>1430068</v>
      </c>
      <c r="G27" s="43">
        <v>1488408</v>
      </c>
      <c r="H27" s="269"/>
      <c r="I27" s="269"/>
      <c r="J27" s="269"/>
      <c r="K27" s="167"/>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269"/>
      <c r="I28" s="269"/>
      <c r="J28" s="269"/>
      <c r="K28" s="167"/>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1627431.44</v>
      </c>
      <c r="D29" s="43">
        <v>919775.42</v>
      </c>
      <c r="E29" s="43">
        <f t="shared" ref="E29:E32" si="2">F29-D29</f>
        <v>1139522.58</v>
      </c>
      <c r="F29" s="43">
        <v>2059298</v>
      </c>
      <c r="G29" s="43">
        <v>2143308</v>
      </c>
      <c r="H29" s="269"/>
      <c r="I29" s="269"/>
      <c r="J29" s="269"/>
      <c r="K29" s="167"/>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270962.84999999998</v>
      </c>
      <c r="D30" s="43">
        <v>153295.89000000001</v>
      </c>
      <c r="E30" s="43">
        <f t="shared" si="2"/>
        <v>189921.11</v>
      </c>
      <c r="F30" s="43">
        <v>343217</v>
      </c>
      <c r="G30" s="43">
        <v>357218</v>
      </c>
      <c r="H30" s="269"/>
      <c r="I30" s="269"/>
      <c r="J30" s="269"/>
      <c r="K30" s="167"/>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333573.19</v>
      </c>
      <c r="D31" s="43">
        <v>188449.25</v>
      </c>
      <c r="E31" s="43">
        <f t="shared" si="2"/>
        <v>234263.75</v>
      </c>
      <c r="F31" s="43">
        <v>422713</v>
      </c>
      <c r="G31" s="43">
        <v>438085</v>
      </c>
      <c r="H31" s="269"/>
      <c r="I31" s="269"/>
      <c r="J31" s="269"/>
      <c r="K31" s="167"/>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67319.23</v>
      </c>
      <c r="D32" s="43">
        <v>36300</v>
      </c>
      <c r="E32" s="43">
        <f t="shared" si="2"/>
        <v>45300</v>
      </c>
      <c r="F32" s="43">
        <v>81600</v>
      </c>
      <c r="G32" s="43">
        <v>81600</v>
      </c>
      <c r="H32" s="269"/>
      <c r="I32" s="269"/>
      <c r="J32" s="269"/>
      <c r="K32" s="167"/>
      <c r="L32" s="15"/>
      <c r="M32" s="15"/>
      <c r="N32" s="15"/>
      <c r="O32" s="15"/>
      <c r="P32" s="15"/>
      <c r="Q32" s="15"/>
      <c r="R32" s="15"/>
      <c r="S32" s="15"/>
      <c r="T32" s="15"/>
      <c r="U32" s="15"/>
      <c r="V32" s="15"/>
      <c r="W32" s="15"/>
      <c r="X32" s="15"/>
      <c r="Y32" s="15"/>
      <c r="Z32" s="15"/>
    </row>
    <row r="33" spans="1:26" ht="15.75" customHeight="1" x14ac:dyDescent="0.25">
      <c r="A33" s="17" t="s">
        <v>624</v>
      </c>
      <c r="B33" s="41"/>
      <c r="C33" s="43"/>
      <c r="D33" s="43"/>
      <c r="E33" s="43"/>
      <c r="F33" s="43"/>
      <c r="G33" s="43"/>
      <c r="H33" s="269"/>
      <c r="I33" s="269"/>
      <c r="J33" s="269"/>
      <c r="K33" s="167"/>
      <c r="L33" s="15"/>
      <c r="M33" s="15"/>
      <c r="N33" s="15"/>
      <c r="O33" s="15"/>
      <c r="P33" s="15"/>
      <c r="Q33" s="15"/>
      <c r="R33" s="15"/>
      <c r="S33" s="15"/>
      <c r="T33" s="15"/>
      <c r="U33" s="15"/>
      <c r="V33" s="15"/>
      <c r="W33" s="15"/>
      <c r="X33" s="15"/>
      <c r="Y33" s="15"/>
      <c r="Z33" s="15"/>
    </row>
    <row r="34" spans="1:26" ht="15.75" customHeight="1" x14ac:dyDescent="0.25">
      <c r="A34" s="44" t="s">
        <v>386</v>
      </c>
      <c r="B34" s="41" t="s">
        <v>179</v>
      </c>
      <c r="C34" s="43">
        <v>330821.33</v>
      </c>
      <c r="D34" s="43">
        <v>0</v>
      </c>
      <c r="E34" s="43">
        <f t="shared" ref="E34:E36" si="3">F34-D34</f>
        <v>248978</v>
      </c>
      <c r="F34" s="43">
        <v>248978</v>
      </c>
      <c r="G34" s="43">
        <v>61714</v>
      </c>
      <c r="H34" s="269"/>
      <c r="I34" s="269"/>
      <c r="J34" s="269"/>
      <c r="K34" s="167"/>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374011.14</v>
      </c>
      <c r="D35" s="43">
        <v>276650.92</v>
      </c>
      <c r="E35" s="43">
        <f t="shared" si="3"/>
        <v>412538.08</v>
      </c>
      <c r="F35" s="56">
        <v>689189</v>
      </c>
      <c r="G35" s="43">
        <v>717305</v>
      </c>
      <c r="H35" s="269"/>
      <c r="I35" s="269"/>
      <c r="J35" s="269"/>
      <c r="K35" s="167"/>
      <c r="L35" s="15"/>
      <c r="M35" s="15"/>
      <c r="N35" s="15"/>
      <c r="O35" s="15"/>
      <c r="P35" s="15"/>
      <c r="Q35" s="15"/>
      <c r="R35" s="15"/>
      <c r="S35" s="15"/>
      <c r="T35" s="15"/>
      <c r="U35" s="15"/>
      <c r="V35" s="15"/>
      <c r="W35" s="15"/>
      <c r="X35" s="15"/>
      <c r="Y35" s="15"/>
      <c r="Z35" s="15"/>
    </row>
    <row r="36" spans="1:26" ht="15.75" customHeight="1" x14ac:dyDescent="0.25">
      <c r="A36" s="44" t="s">
        <v>388</v>
      </c>
      <c r="B36" s="20" t="s">
        <v>183</v>
      </c>
      <c r="C36" s="43">
        <v>270500</v>
      </c>
      <c r="D36" s="43">
        <v>0</v>
      </c>
      <c r="E36" s="43">
        <f t="shared" si="3"/>
        <v>340000</v>
      </c>
      <c r="F36" s="43">
        <v>340000</v>
      </c>
      <c r="G36" s="43">
        <v>340000</v>
      </c>
      <c r="H36" s="269"/>
      <c r="I36" s="269"/>
      <c r="J36" s="269"/>
      <c r="K36" s="167"/>
      <c r="L36" s="15"/>
      <c r="M36" s="15"/>
      <c r="N36" s="15"/>
      <c r="O36" s="15"/>
      <c r="P36" s="15"/>
      <c r="Q36" s="15"/>
      <c r="R36" s="15"/>
      <c r="S36" s="15"/>
      <c r="T36" s="15"/>
      <c r="U36" s="15"/>
      <c r="V36" s="15"/>
      <c r="W36" s="15"/>
      <c r="X36" s="15"/>
      <c r="Y36" s="15"/>
      <c r="Z36" s="15"/>
    </row>
    <row r="37" spans="1:26" ht="31.5" x14ac:dyDescent="0.25">
      <c r="A37" s="117" t="s">
        <v>625</v>
      </c>
      <c r="B37" s="20"/>
      <c r="C37" s="43"/>
      <c r="D37" s="43"/>
      <c r="E37" s="43"/>
      <c r="F37" s="43"/>
      <c r="G37" s="43">
        <v>456475</v>
      </c>
      <c r="H37" s="269"/>
      <c r="I37" s="269"/>
      <c r="J37" s="269"/>
      <c r="K37" s="167"/>
      <c r="L37" s="15"/>
      <c r="M37" s="15"/>
      <c r="N37" s="15"/>
      <c r="O37" s="15"/>
      <c r="P37" s="15"/>
      <c r="Q37" s="15"/>
      <c r="R37" s="15"/>
      <c r="S37" s="15"/>
      <c r="T37" s="15"/>
      <c r="U37" s="15"/>
      <c r="V37" s="15"/>
      <c r="W37" s="15"/>
      <c r="X37" s="15"/>
      <c r="Y37" s="15"/>
      <c r="Z37" s="15"/>
    </row>
    <row r="38" spans="1:26" ht="15.75" customHeight="1" x14ac:dyDescent="0.25">
      <c r="A38" s="456" t="s">
        <v>390</v>
      </c>
      <c r="B38" s="454"/>
      <c r="C38" s="453">
        <f t="shared" ref="C38:D38" si="4">+SUM(C16:C36)</f>
        <v>21415430.130000003</v>
      </c>
      <c r="D38" s="54">
        <f t="shared" si="4"/>
        <v>11917289.52</v>
      </c>
      <c r="E38" s="54">
        <f>F38-D38</f>
        <v>15457657.48</v>
      </c>
      <c r="F38" s="54">
        <f>+SUM(F16:F36)</f>
        <v>27374947</v>
      </c>
      <c r="G38" s="54">
        <f>+SUM(G16:G37)</f>
        <v>28358417</v>
      </c>
      <c r="H38" s="271"/>
      <c r="I38" s="271"/>
      <c r="J38" s="271"/>
      <c r="K38" s="263"/>
      <c r="L38" s="232"/>
      <c r="M38" s="232"/>
      <c r="N38" s="232"/>
      <c r="O38" s="232"/>
      <c r="P38" s="232"/>
      <c r="Q38" s="232"/>
      <c r="R38" s="232"/>
      <c r="S38" s="232"/>
      <c r="T38" s="232"/>
      <c r="U38" s="232"/>
      <c r="V38" s="232"/>
      <c r="W38" s="232"/>
      <c r="X38" s="232"/>
      <c r="Y38" s="232"/>
      <c r="Z38" s="232"/>
    </row>
    <row r="39" spans="1:26" ht="15.75" customHeight="1" x14ac:dyDescent="0.25">
      <c r="A39" s="456"/>
      <c r="B39" s="454"/>
      <c r="C39" s="449"/>
      <c r="D39" s="448"/>
      <c r="E39" s="448"/>
      <c r="F39" s="448"/>
      <c r="G39" s="448"/>
      <c r="H39" s="544"/>
      <c r="I39" s="544"/>
      <c r="J39" s="544"/>
      <c r="K39" s="524"/>
      <c r="L39" s="515"/>
      <c r="M39" s="515"/>
      <c r="N39" s="515"/>
      <c r="O39" s="515"/>
      <c r="P39" s="515"/>
      <c r="Q39" s="515"/>
      <c r="R39" s="515"/>
      <c r="S39" s="515"/>
      <c r="T39" s="515"/>
      <c r="U39" s="515"/>
      <c r="V39" s="515"/>
      <c r="W39" s="515"/>
      <c r="X39" s="515"/>
      <c r="Y39" s="515"/>
      <c r="Z39" s="515"/>
    </row>
    <row r="40" spans="1:26" ht="15.75" customHeight="1" x14ac:dyDescent="0.25">
      <c r="A40" s="456" t="s">
        <v>391</v>
      </c>
      <c r="B40" s="454"/>
      <c r="C40" s="449"/>
      <c r="D40" s="55"/>
      <c r="E40" s="55"/>
      <c r="F40" s="513"/>
      <c r="G40" s="462"/>
      <c r="H40" s="272"/>
      <c r="I40" s="272"/>
      <c r="J40" s="272"/>
      <c r="K40" s="265"/>
      <c r="L40" s="10"/>
      <c r="M40" s="10"/>
      <c r="N40" s="10"/>
      <c r="O40" s="10"/>
      <c r="P40" s="10"/>
      <c r="Q40" s="10"/>
      <c r="R40" s="10"/>
      <c r="S40" s="10"/>
      <c r="T40" s="10"/>
      <c r="U40" s="10"/>
      <c r="V40" s="10"/>
      <c r="W40" s="10"/>
      <c r="X40" s="10"/>
      <c r="Y40" s="10"/>
      <c r="Z40" s="10"/>
    </row>
    <row r="41" spans="1:26" ht="15.75" customHeight="1" x14ac:dyDescent="0.25">
      <c r="A41" s="456" t="s">
        <v>642</v>
      </c>
      <c r="B41" s="487"/>
      <c r="C41" s="43"/>
      <c r="D41" s="43"/>
      <c r="E41" s="43"/>
      <c r="F41" s="43"/>
      <c r="G41" s="43"/>
      <c r="H41" s="269"/>
      <c r="I41" s="269"/>
      <c r="J41" s="269"/>
      <c r="K41" s="167"/>
      <c r="L41" s="15"/>
      <c r="M41" s="15"/>
      <c r="N41" s="15"/>
      <c r="O41" s="15"/>
      <c r="P41" s="15"/>
      <c r="Q41" s="15"/>
      <c r="R41" s="15"/>
      <c r="S41" s="15"/>
      <c r="T41" s="15"/>
      <c r="U41" s="15"/>
      <c r="V41" s="15"/>
      <c r="W41" s="15"/>
      <c r="X41" s="15"/>
      <c r="Y41" s="15"/>
      <c r="Z41" s="15"/>
    </row>
    <row r="42" spans="1:26" ht="15.75" customHeight="1" x14ac:dyDescent="0.25">
      <c r="A42" s="48" t="s">
        <v>393</v>
      </c>
      <c r="B42" s="49" t="s">
        <v>187</v>
      </c>
      <c r="C42" s="45">
        <v>190162.76</v>
      </c>
      <c r="D42" s="45">
        <v>129060</v>
      </c>
      <c r="E42" s="45">
        <f>F42-D42</f>
        <v>70940</v>
      </c>
      <c r="F42" s="45">
        <v>200000</v>
      </c>
      <c r="G42" s="45">
        <v>400000</v>
      </c>
      <c r="H42" s="269"/>
      <c r="I42" s="269"/>
      <c r="J42" s="269"/>
      <c r="K42" s="167"/>
      <c r="L42" s="15"/>
      <c r="M42" s="15"/>
      <c r="N42" s="15"/>
      <c r="O42" s="15"/>
      <c r="P42" s="15"/>
      <c r="Q42" s="15"/>
      <c r="R42" s="15"/>
      <c r="S42" s="15"/>
      <c r="T42" s="15"/>
      <c r="U42" s="15"/>
      <c r="V42" s="15"/>
      <c r="W42" s="15"/>
      <c r="X42" s="15"/>
      <c r="Y42" s="15"/>
      <c r="Z42" s="15"/>
    </row>
    <row r="43" spans="1:26" ht="15.75" customHeight="1" x14ac:dyDescent="0.25">
      <c r="A43" s="42" t="s">
        <v>493</v>
      </c>
      <c r="B43" s="49"/>
      <c r="C43" s="45"/>
      <c r="D43" s="45"/>
      <c r="E43" s="45"/>
      <c r="F43" s="45"/>
      <c r="G43" s="45"/>
      <c r="H43" s="269"/>
      <c r="I43" s="269"/>
      <c r="J43" s="269"/>
      <c r="K43" s="167"/>
      <c r="L43" s="15"/>
      <c r="M43" s="15"/>
      <c r="N43" s="15"/>
      <c r="O43" s="15"/>
      <c r="P43" s="15"/>
      <c r="Q43" s="15"/>
      <c r="R43" s="15"/>
      <c r="S43" s="15"/>
      <c r="T43" s="15"/>
      <c r="U43" s="15"/>
      <c r="V43" s="15"/>
      <c r="W43" s="15"/>
      <c r="X43" s="15"/>
      <c r="Y43" s="15"/>
      <c r="Z43" s="15"/>
    </row>
    <row r="44" spans="1:26" ht="15.75" customHeight="1" x14ac:dyDescent="0.25">
      <c r="A44" s="48" t="s">
        <v>396</v>
      </c>
      <c r="B44" s="41" t="s">
        <v>191</v>
      </c>
      <c r="C44" s="43">
        <v>106559.36</v>
      </c>
      <c r="D44" s="43">
        <v>54407.6</v>
      </c>
      <c r="E44" s="43">
        <f>F44-D44</f>
        <v>125592.4</v>
      </c>
      <c r="F44" s="43">
        <v>180000</v>
      </c>
      <c r="G44" s="43">
        <v>200000</v>
      </c>
      <c r="H44" s="269"/>
      <c r="I44" s="269"/>
      <c r="J44" s="269"/>
      <c r="K44" s="167"/>
      <c r="L44" s="15"/>
      <c r="M44" s="15"/>
      <c r="N44" s="15"/>
      <c r="O44" s="15"/>
      <c r="P44" s="15"/>
      <c r="Q44" s="15"/>
      <c r="R44" s="15"/>
      <c r="S44" s="15"/>
      <c r="T44" s="15"/>
      <c r="U44" s="15"/>
      <c r="V44" s="15"/>
      <c r="W44" s="15"/>
      <c r="X44" s="15"/>
      <c r="Y44" s="15"/>
      <c r="Z44" s="15"/>
    </row>
    <row r="45" spans="1:26" ht="15.75" customHeight="1" x14ac:dyDescent="0.25">
      <c r="A45" s="42" t="s">
        <v>499</v>
      </c>
      <c r="B45" s="41"/>
      <c r="C45" s="43"/>
      <c r="D45" s="43"/>
      <c r="E45" s="43"/>
      <c r="F45" s="43"/>
      <c r="G45" s="43"/>
      <c r="H45" s="269"/>
      <c r="I45" s="269"/>
      <c r="J45" s="269"/>
      <c r="K45" s="167"/>
      <c r="L45" s="15"/>
      <c r="M45" s="15"/>
      <c r="N45" s="15"/>
      <c r="O45" s="15"/>
      <c r="P45" s="15"/>
      <c r="Q45" s="15"/>
      <c r="R45" s="15"/>
      <c r="S45" s="15"/>
      <c r="T45" s="15"/>
      <c r="U45" s="15"/>
      <c r="V45" s="15"/>
      <c r="W45" s="15"/>
      <c r="X45" s="15"/>
      <c r="Y45" s="15"/>
      <c r="Z45" s="15"/>
    </row>
    <row r="46" spans="1:26" ht="15.75" customHeight="1" x14ac:dyDescent="0.25">
      <c r="A46" s="44" t="s">
        <v>398</v>
      </c>
      <c r="B46" s="41" t="s">
        <v>195</v>
      </c>
      <c r="C46" s="43">
        <v>1645348.23</v>
      </c>
      <c r="D46" s="43">
        <v>675635.98</v>
      </c>
      <c r="E46" s="43">
        <f t="shared" ref="E46:E50" si="5">F46-D46</f>
        <v>705499.02</v>
      </c>
      <c r="F46" s="43">
        <v>1381135</v>
      </c>
      <c r="G46" s="43">
        <v>1279283</v>
      </c>
      <c r="H46" s="269"/>
      <c r="I46" s="269"/>
      <c r="J46" s="269"/>
      <c r="K46" s="167"/>
      <c r="L46" s="15"/>
      <c r="M46" s="15"/>
      <c r="N46" s="15"/>
      <c r="O46" s="15"/>
      <c r="P46" s="15"/>
      <c r="Q46" s="15"/>
      <c r="R46" s="15"/>
      <c r="S46" s="15"/>
      <c r="T46" s="15"/>
      <c r="U46" s="15"/>
      <c r="V46" s="15"/>
      <c r="W46" s="15"/>
      <c r="X46" s="15"/>
      <c r="Y46" s="15"/>
      <c r="Z46" s="15"/>
    </row>
    <row r="47" spans="1:26" ht="15.75" customHeight="1" x14ac:dyDescent="0.25">
      <c r="A47" s="44" t="s">
        <v>399</v>
      </c>
      <c r="B47" s="20" t="s">
        <v>211</v>
      </c>
      <c r="C47" s="56">
        <v>3247570</v>
      </c>
      <c r="D47" s="43">
        <v>2381394</v>
      </c>
      <c r="E47" s="43">
        <f t="shared" si="5"/>
        <v>2383391</v>
      </c>
      <c r="F47" s="43">
        <v>4764785</v>
      </c>
      <c r="G47" s="43">
        <v>5104681</v>
      </c>
      <c r="H47" s="269"/>
      <c r="I47" s="269"/>
      <c r="J47" s="269"/>
      <c r="K47" s="167"/>
      <c r="L47" s="15"/>
      <c r="M47" s="15"/>
      <c r="N47" s="15"/>
      <c r="O47" s="15"/>
      <c r="P47" s="15"/>
      <c r="Q47" s="15"/>
      <c r="R47" s="15"/>
      <c r="S47" s="15"/>
      <c r="T47" s="15"/>
      <c r="U47" s="15"/>
      <c r="V47" s="15"/>
      <c r="W47" s="15"/>
      <c r="X47" s="15"/>
      <c r="Y47" s="15"/>
      <c r="Z47" s="15"/>
    </row>
    <row r="48" spans="1:26" ht="15.75" customHeight="1" x14ac:dyDescent="0.25">
      <c r="A48" s="96" t="s">
        <v>400</v>
      </c>
      <c r="B48" s="20" t="s">
        <v>221</v>
      </c>
      <c r="C48" s="56">
        <v>0</v>
      </c>
      <c r="D48" s="43">
        <v>2912121</v>
      </c>
      <c r="E48" s="43">
        <f t="shared" si="5"/>
        <v>3798</v>
      </c>
      <c r="F48" s="43">
        <v>2915919</v>
      </c>
      <c r="G48" s="239">
        <v>808130</v>
      </c>
      <c r="H48" s="269"/>
      <c r="I48" s="269"/>
      <c r="J48" s="269"/>
      <c r="K48" s="167"/>
      <c r="L48" s="15"/>
      <c r="M48" s="15"/>
      <c r="N48" s="15"/>
      <c r="O48" s="15"/>
      <c r="P48" s="15"/>
      <c r="Q48" s="15"/>
      <c r="R48" s="15"/>
      <c r="S48" s="15"/>
      <c r="T48" s="15"/>
      <c r="U48" s="15"/>
      <c r="V48" s="15"/>
      <c r="W48" s="15"/>
      <c r="X48" s="15"/>
      <c r="Y48" s="15"/>
      <c r="Z48" s="15"/>
    </row>
    <row r="49" spans="1:26" ht="15.75" customHeight="1" x14ac:dyDescent="0.25">
      <c r="A49" s="96" t="s">
        <v>1377</v>
      </c>
      <c r="B49" s="20" t="s">
        <v>223</v>
      </c>
      <c r="C49" s="56">
        <v>0</v>
      </c>
      <c r="D49" s="43">
        <v>1321446</v>
      </c>
      <c r="E49" s="43">
        <f t="shared" si="5"/>
        <v>2429</v>
      </c>
      <c r="F49" s="43">
        <v>1323875</v>
      </c>
      <c r="G49" s="43">
        <v>125000</v>
      </c>
      <c r="H49" s="269"/>
      <c r="I49" s="269"/>
      <c r="J49" s="269"/>
      <c r="K49" s="167"/>
      <c r="L49" s="15"/>
      <c r="M49" s="15"/>
      <c r="N49" s="15"/>
      <c r="O49" s="15"/>
      <c r="P49" s="15"/>
      <c r="Q49" s="15"/>
      <c r="R49" s="15"/>
      <c r="S49" s="15"/>
      <c r="T49" s="15"/>
      <c r="U49" s="15"/>
      <c r="V49" s="15"/>
      <c r="W49" s="15"/>
      <c r="X49" s="15"/>
      <c r="Y49" s="15"/>
      <c r="Z49" s="15"/>
    </row>
    <row r="50" spans="1:26" ht="15.75" customHeight="1" x14ac:dyDescent="0.25">
      <c r="A50" s="44" t="s">
        <v>402</v>
      </c>
      <c r="B50" s="20" t="s">
        <v>225</v>
      </c>
      <c r="C50" s="56">
        <v>10104684.5</v>
      </c>
      <c r="D50" s="43">
        <v>5592333.5</v>
      </c>
      <c r="E50" s="43">
        <f t="shared" si="5"/>
        <v>5614995.5</v>
      </c>
      <c r="F50" s="43">
        <v>11207329</v>
      </c>
      <c r="G50" s="43">
        <v>15372000</v>
      </c>
      <c r="H50" s="269"/>
      <c r="I50" s="269"/>
      <c r="J50" s="269"/>
      <c r="K50" s="167"/>
      <c r="L50" s="15"/>
      <c r="M50" s="15"/>
      <c r="N50" s="15"/>
      <c r="O50" s="15"/>
      <c r="P50" s="15"/>
      <c r="Q50" s="15"/>
      <c r="R50" s="15"/>
      <c r="S50" s="15"/>
      <c r="T50" s="15"/>
      <c r="U50" s="15"/>
      <c r="V50" s="15"/>
      <c r="W50" s="15"/>
      <c r="X50" s="15"/>
      <c r="Y50" s="15"/>
      <c r="Z50" s="15"/>
    </row>
    <row r="51" spans="1:26" ht="15.75" customHeight="1" x14ac:dyDescent="0.25">
      <c r="A51" s="42" t="s">
        <v>813</v>
      </c>
      <c r="B51" s="41"/>
      <c r="C51" s="43"/>
      <c r="D51" s="43"/>
      <c r="E51" s="43"/>
      <c r="F51" s="43"/>
      <c r="G51" s="43"/>
      <c r="H51" s="273"/>
      <c r="I51" s="269"/>
      <c r="J51" s="269"/>
      <c r="K51" s="167"/>
      <c r="L51" s="15"/>
      <c r="M51" s="15"/>
      <c r="N51" s="15"/>
      <c r="O51" s="15"/>
      <c r="P51" s="15"/>
      <c r="Q51" s="15"/>
      <c r="R51" s="15"/>
      <c r="S51" s="15"/>
      <c r="T51" s="15"/>
      <c r="U51" s="15"/>
      <c r="V51" s="15"/>
      <c r="W51" s="15"/>
      <c r="X51" s="15"/>
      <c r="Y51" s="15"/>
      <c r="Z51" s="15"/>
    </row>
    <row r="52" spans="1:26" ht="15.75" customHeight="1" x14ac:dyDescent="0.25">
      <c r="A52" s="44" t="s">
        <v>814</v>
      </c>
      <c r="B52" s="41" t="s">
        <v>227</v>
      </c>
      <c r="C52" s="43">
        <v>7573747.0899999999</v>
      </c>
      <c r="D52" s="43">
        <v>1944698.3</v>
      </c>
      <c r="E52" s="43">
        <f t="shared" ref="E52:E53" si="6">F52-D52</f>
        <v>8055301.7000000002</v>
      </c>
      <c r="F52" s="43">
        <v>10000000</v>
      </c>
      <c r="G52" s="43">
        <v>7000000</v>
      </c>
      <c r="H52" s="269"/>
      <c r="I52" s="269"/>
      <c r="J52" s="269"/>
      <c r="K52" s="167"/>
      <c r="L52" s="15"/>
      <c r="M52" s="15"/>
      <c r="N52" s="15"/>
      <c r="O52" s="15"/>
      <c r="P52" s="15"/>
      <c r="Q52" s="15"/>
      <c r="R52" s="15"/>
      <c r="S52" s="15"/>
      <c r="T52" s="15"/>
      <c r="U52" s="15"/>
      <c r="V52" s="15"/>
      <c r="W52" s="15"/>
      <c r="X52" s="15"/>
      <c r="Y52" s="15"/>
      <c r="Z52" s="15"/>
    </row>
    <row r="53" spans="1:26" ht="15.75" customHeight="1" x14ac:dyDescent="0.25">
      <c r="A53" s="44" t="s">
        <v>815</v>
      </c>
      <c r="B53" s="41" t="s">
        <v>229</v>
      </c>
      <c r="C53" s="43">
        <v>113894415.31</v>
      </c>
      <c r="D53" s="43">
        <v>32300727.420000002</v>
      </c>
      <c r="E53" s="43">
        <f t="shared" si="6"/>
        <v>107699272.58</v>
      </c>
      <c r="F53" s="43">
        <v>140000000</v>
      </c>
      <c r="G53" s="43">
        <v>125000000</v>
      </c>
      <c r="H53" s="269"/>
      <c r="I53" s="269"/>
      <c r="J53" s="269"/>
      <c r="K53" s="167"/>
      <c r="L53" s="15"/>
      <c r="M53" s="15"/>
      <c r="N53" s="15"/>
      <c r="O53" s="15"/>
      <c r="P53" s="15"/>
      <c r="Q53" s="15"/>
      <c r="R53" s="15"/>
      <c r="S53" s="15"/>
      <c r="T53" s="15"/>
      <c r="U53" s="15"/>
      <c r="V53" s="15"/>
      <c r="W53" s="15"/>
      <c r="X53" s="15"/>
      <c r="Y53" s="15"/>
      <c r="Z53" s="15"/>
    </row>
    <row r="54" spans="1:26" ht="15.75" customHeight="1" x14ac:dyDescent="0.25">
      <c r="A54" s="42" t="s">
        <v>503</v>
      </c>
      <c r="B54" s="41"/>
      <c r="C54" s="43"/>
      <c r="D54" s="43"/>
      <c r="E54" s="43"/>
      <c r="F54" s="43"/>
      <c r="G54" s="43"/>
      <c r="H54" s="269"/>
      <c r="I54" s="269"/>
      <c r="J54" s="269"/>
      <c r="K54" s="167"/>
      <c r="L54" s="15"/>
      <c r="M54" s="15"/>
      <c r="N54" s="15"/>
      <c r="O54" s="15"/>
      <c r="P54" s="15"/>
      <c r="Q54" s="15"/>
      <c r="R54" s="15"/>
      <c r="S54" s="15"/>
      <c r="T54" s="15"/>
      <c r="U54" s="15"/>
      <c r="V54" s="15"/>
      <c r="W54" s="15"/>
      <c r="X54" s="15"/>
      <c r="Y54" s="15"/>
      <c r="Z54" s="15"/>
    </row>
    <row r="55" spans="1:26" ht="15.75" customHeight="1" x14ac:dyDescent="0.25">
      <c r="A55" s="610" t="s">
        <v>405</v>
      </c>
      <c r="B55" s="483" t="s">
        <v>235</v>
      </c>
      <c r="C55" s="457">
        <v>37500</v>
      </c>
      <c r="D55" s="457">
        <v>12000</v>
      </c>
      <c r="E55" s="457">
        <f>F55-D55</f>
        <v>42000</v>
      </c>
      <c r="F55" s="457">
        <v>54000</v>
      </c>
      <c r="G55" s="457">
        <f>(2000+2500)*12</f>
        <v>54000</v>
      </c>
      <c r="H55" s="269"/>
      <c r="I55" s="269"/>
      <c r="J55" s="269"/>
      <c r="K55" s="167"/>
      <c r="L55" s="15"/>
      <c r="M55" s="15"/>
      <c r="N55" s="15"/>
      <c r="O55" s="15"/>
      <c r="P55" s="15"/>
      <c r="Q55" s="15"/>
      <c r="R55" s="15"/>
      <c r="S55" s="15"/>
      <c r="T55" s="15"/>
      <c r="U55" s="15"/>
      <c r="V55" s="15"/>
      <c r="W55" s="15"/>
      <c r="X55" s="15"/>
      <c r="Y55" s="15"/>
      <c r="Z55" s="15"/>
    </row>
    <row r="56" spans="1:26" ht="15.75" customHeight="1" x14ac:dyDescent="0.25">
      <c r="A56" s="625" t="s">
        <v>1378</v>
      </c>
      <c r="B56" s="601"/>
      <c r="C56" s="448"/>
      <c r="D56" s="448"/>
      <c r="E56" s="448"/>
      <c r="F56" s="448"/>
      <c r="G56" s="448"/>
      <c r="H56" s="269"/>
      <c r="I56" s="269"/>
      <c r="J56" s="269"/>
      <c r="K56" s="167"/>
      <c r="L56" s="15"/>
      <c r="M56" s="15"/>
      <c r="N56" s="15"/>
      <c r="O56" s="15"/>
      <c r="P56" s="15"/>
      <c r="Q56" s="15"/>
      <c r="R56" s="15"/>
      <c r="S56" s="15"/>
      <c r="T56" s="15"/>
      <c r="U56" s="15"/>
      <c r="V56" s="15"/>
      <c r="W56" s="15"/>
      <c r="X56" s="15"/>
      <c r="Y56" s="15"/>
      <c r="Z56" s="15"/>
    </row>
    <row r="57" spans="1:26" ht="15.75" customHeight="1" x14ac:dyDescent="0.25">
      <c r="A57" s="44" t="s">
        <v>1379</v>
      </c>
      <c r="B57" s="41" t="s">
        <v>269</v>
      </c>
      <c r="C57" s="43">
        <v>66124800</v>
      </c>
      <c r="D57" s="43">
        <v>20160000</v>
      </c>
      <c r="E57" s="43">
        <f>F57-D57</f>
        <v>41160000</v>
      </c>
      <c r="F57" s="43">
        <v>61320000</v>
      </c>
      <c r="G57" s="43">
        <v>65408000</v>
      </c>
      <c r="H57" s="269"/>
      <c r="I57" s="269"/>
      <c r="J57" s="269"/>
      <c r="K57" s="167"/>
      <c r="L57" s="15"/>
      <c r="M57" s="15"/>
      <c r="N57" s="15"/>
      <c r="O57" s="15"/>
      <c r="P57" s="15"/>
      <c r="Q57" s="15"/>
      <c r="R57" s="15"/>
      <c r="S57" s="15"/>
      <c r="T57" s="15"/>
      <c r="U57" s="15"/>
      <c r="V57" s="15"/>
      <c r="W57" s="15"/>
      <c r="X57" s="15"/>
      <c r="Y57" s="15"/>
      <c r="Z57" s="15"/>
    </row>
    <row r="58" spans="1:26" ht="15.75" customHeight="1" x14ac:dyDescent="0.25">
      <c r="A58" s="42" t="s">
        <v>506</v>
      </c>
      <c r="B58" s="41"/>
      <c r="C58" s="43"/>
      <c r="D58" s="43"/>
      <c r="E58" s="43"/>
      <c r="F58" s="43"/>
      <c r="G58" s="43"/>
      <c r="H58" s="269"/>
      <c r="I58" s="269"/>
      <c r="J58" s="269"/>
      <c r="K58" s="167"/>
      <c r="L58" s="15"/>
      <c r="M58" s="15"/>
      <c r="N58" s="15"/>
      <c r="O58" s="15"/>
      <c r="P58" s="15"/>
      <c r="Q58" s="15"/>
      <c r="R58" s="15"/>
      <c r="S58" s="15"/>
      <c r="T58" s="15"/>
      <c r="U58" s="15"/>
      <c r="V58" s="15"/>
      <c r="W58" s="15"/>
      <c r="X58" s="15"/>
      <c r="Y58" s="15"/>
      <c r="Z58" s="15"/>
    </row>
    <row r="59" spans="1:26" ht="15.75" customHeight="1" x14ac:dyDescent="0.25">
      <c r="A59" s="44" t="s">
        <v>725</v>
      </c>
      <c r="B59" s="41" t="s">
        <v>283</v>
      </c>
      <c r="C59" s="43">
        <v>783620</v>
      </c>
      <c r="D59" s="43">
        <v>2863860</v>
      </c>
      <c r="E59" s="43">
        <f t="shared" ref="E59:E61" si="7">F59-D59</f>
        <v>301750</v>
      </c>
      <c r="F59" s="43">
        <v>3165610</v>
      </c>
      <c r="G59" s="43">
        <v>2923360</v>
      </c>
      <c r="H59" s="269"/>
      <c r="I59" s="269"/>
      <c r="J59" s="269"/>
      <c r="K59" s="167"/>
      <c r="L59" s="15"/>
      <c r="M59" s="15"/>
      <c r="N59" s="15"/>
      <c r="O59" s="15"/>
      <c r="P59" s="15"/>
      <c r="Q59" s="15"/>
      <c r="R59" s="15"/>
      <c r="S59" s="15"/>
      <c r="T59" s="15"/>
      <c r="U59" s="15"/>
      <c r="V59" s="15"/>
      <c r="W59" s="15"/>
      <c r="X59" s="15"/>
      <c r="Y59" s="15"/>
      <c r="Z59" s="15"/>
    </row>
    <row r="60" spans="1:26" ht="15.75" customHeight="1" x14ac:dyDescent="0.25">
      <c r="A60" s="44" t="s">
        <v>838</v>
      </c>
      <c r="B60" s="41" t="s">
        <v>285</v>
      </c>
      <c r="C60" s="43">
        <v>12899012</v>
      </c>
      <c r="D60" s="43">
        <v>3743943</v>
      </c>
      <c r="E60" s="43">
        <f t="shared" si="7"/>
        <v>16256057</v>
      </c>
      <c r="F60" s="43">
        <v>20000000</v>
      </c>
      <c r="G60" s="165">
        <v>20000000</v>
      </c>
      <c r="H60" s="269"/>
      <c r="I60" s="269"/>
      <c r="J60" s="269"/>
      <c r="K60" s="167"/>
      <c r="L60" s="15"/>
      <c r="M60" s="15"/>
      <c r="N60" s="15"/>
      <c r="O60" s="15"/>
      <c r="P60" s="15"/>
      <c r="Q60" s="15"/>
      <c r="R60" s="15"/>
      <c r="S60" s="15"/>
      <c r="T60" s="15"/>
      <c r="U60" s="15"/>
      <c r="V60" s="15"/>
      <c r="W60" s="15"/>
      <c r="X60" s="15"/>
      <c r="Y60" s="15"/>
      <c r="Z60" s="15"/>
    </row>
    <row r="61" spans="1:26" ht="15.75" customHeight="1" x14ac:dyDescent="0.25">
      <c r="A61" s="44" t="s">
        <v>817</v>
      </c>
      <c r="B61" s="41" t="s">
        <v>287</v>
      </c>
      <c r="C61" s="43">
        <v>13098686</v>
      </c>
      <c r="D61" s="43">
        <v>737251</v>
      </c>
      <c r="E61" s="43">
        <f t="shared" si="7"/>
        <v>14262749</v>
      </c>
      <c r="F61" s="43">
        <v>15000000</v>
      </c>
      <c r="G61" s="165">
        <v>15000000</v>
      </c>
      <c r="H61" s="269"/>
      <c r="I61" s="269"/>
      <c r="J61" s="269"/>
      <c r="K61" s="167"/>
      <c r="L61" s="15"/>
      <c r="M61" s="15"/>
      <c r="N61" s="15"/>
      <c r="O61" s="15"/>
      <c r="P61" s="15"/>
      <c r="Q61" s="15"/>
      <c r="R61" s="15"/>
      <c r="S61" s="15"/>
      <c r="T61" s="15"/>
      <c r="U61" s="15"/>
      <c r="V61" s="15"/>
      <c r="W61" s="15"/>
      <c r="X61" s="15"/>
      <c r="Y61" s="15"/>
      <c r="Z61" s="15"/>
    </row>
    <row r="62" spans="1:26" ht="15.75" customHeight="1" x14ac:dyDescent="0.25">
      <c r="A62" s="42" t="s">
        <v>1380</v>
      </c>
      <c r="B62" s="41"/>
      <c r="C62" s="43"/>
      <c r="D62" s="43"/>
      <c r="E62" s="43"/>
      <c r="F62" s="43"/>
      <c r="G62" s="43"/>
      <c r="H62" s="269"/>
      <c r="I62" s="269"/>
      <c r="J62" s="269"/>
      <c r="K62" s="167"/>
      <c r="L62" s="15"/>
      <c r="M62" s="15"/>
      <c r="N62" s="15"/>
      <c r="O62" s="15"/>
      <c r="P62" s="15"/>
      <c r="Q62" s="15"/>
      <c r="R62" s="15"/>
      <c r="S62" s="15"/>
      <c r="T62" s="15"/>
      <c r="U62" s="15"/>
      <c r="V62" s="15"/>
      <c r="W62" s="15"/>
      <c r="X62" s="15"/>
      <c r="Y62" s="15"/>
      <c r="Z62" s="15"/>
    </row>
    <row r="63" spans="1:26" ht="15.75" customHeight="1" x14ac:dyDescent="0.25">
      <c r="A63" s="44" t="s">
        <v>413</v>
      </c>
      <c r="B63" s="437" t="s">
        <v>315</v>
      </c>
      <c r="C63" s="438"/>
      <c r="D63" s="438"/>
      <c r="E63" s="438"/>
      <c r="F63" s="438"/>
      <c r="G63" s="438">
        <v>500000</v>
      </c>
      <c r="H63" s="269"/>
      <c r="I63" s="269"/>
      <c r="J63" s="269"/>
      <c r="K63" s="167"/>
      <c r="L63" s="15"/>
      <c r="M63" s="15"/>
      <c r="N63" s="15"/>
      <c r="O63" s="15"/>
      <c r="P63" s="15"/>
      <c r="Q63" s="15"/>
      <c r="R63" s="15"/>
      <c r="S63" s="15"/>
      <c r="T63" s="15"/>
      <c r="U63" s="15"/>
      <c r="V63" s="15"/>
      <c r="W63" s="15"/>
      <c r="X63" s="15"/>
      <c r="Y63" s="15"/>
      <c r="Z63" s="15"/>
    </row>
    <row r="64" spans="1:26" ht="15.75" customHeight="1" x14ac:dyDescent="0.25">
      <c r="A64" s="44" t="s">
        <v>1381</v>
      </c>
      <c r="B64" s="41" t="s">
        <v>317</v>
      </c>
      <c r="C64" s="43">
        <v>13135813.43</v>
      </c>
      <c r="D64" s="43">
        <v>1852472.31</v>
      </c>
      <c r="E64" s="43">
        <f>F64-D64</f>
        <v>18147527.690000001</v>
      </c>
      <c r="F64" s="43">
        <v>20000000</v>
      </c>
      <c r="G64" s="545">
        <v>15000000</v>
      </c>
      <c r="H64" s="167">
        <f>SUM(G42:G64)+K68</f>
        <v>274276454</v>
      </c>
      <c r="I64" s="269"/>
      <c r="J64" s="274"/>
      <c r="K64" s="167"/>
      <c r="L64" s="15"/>
      <c r="M64" s="15"/>
      <c r="N64" s="15"/>
      <c r="O64" s="15"/>
      <c r="P64" s="15"/>
      <c r="Q64" s="15"/>
      <c r="R64" s="15"/>
      <c r="S64" s="15"/>
      <c r="T64" s="15"/>
      <c r="U64" s="15"/>
      <c r="V64" s="15"/>
      <c r="W64" s="15"/>
      <c r="X64" s="15"/>
      <c r="Y64" s="15"/>
      <c r="Z64" s="15"/>
    </row>
    <row r="65" spans="1:26" ht="15.75" customHeight="1" x14ac:dyDescent="0.25">
      <c r="A65" s="17" t="s">
        <v>511</v>
      </c>
      <c r="B65" s="172"/>
      <c r="C65" s="43"/>
      <c r="D65" s="43"/>
      <c r="E65" s="43"/>
      <c r="F65" s="43"/>
      <c r="G65" s="440"/>
      <c r="H65" s="269"/>
      <c r="I65" s="269"/>
      <c r="J65" s="274"/>
      <c r="K65" s="167"/>
      <c r="L65" s="15"/>
      <c r="M65" s="15"/>
      <c r="N65" s="15"/>
      <c r="O65" s="15"/>
      <c r="P65" s="15"/>
      <c r="Q65" s="15"/>
      <c r="R65" s="15"/>
      <c r="S65" s="15"/>
      <c r="T65" s="15"/>
      <c r="U65" s="15"/>
      <c r="V65" s="15"/>
      <c r="W65" s="15"/>
      <c r="X65" s="15"/>
      <c r="Y65" s="15"/>
      <c r="Z65" s="15"/>
    </row>
    <row r="66" spans="1:26" ht="15.75" customHeight="1" x14ac:dyDescent="0.25">
      <c r="A66" s="44" t="s">
        <v>424</v>
      </c>
      <c r="B66" s="41" t="s">
        <v>335</v>
      </c>
      <c r="C66" s="43">
        <v>113469.9</v>
      </c>
      <c r="D66" s="43">
        <v>1718672</v>
      </c>
      <c r="E66" s="43">
        <f>F66-D66</f>
        <v>3675328</v>
      </c>
      <c r="F66" s="43">
        <v>5394000</v>
      </c>
      <c r="G66" s="440">
        <v>5377144</v>
      </c>
      <c r="H66" s="167">
        <f>SUM(K68:K90)</f>
        <v>5377144</v>
      </c>
      <c r="I66" s="269"/>
      <c r="J66" s="274"/>
      <c r="K66" s="167"/>
      <c r="L66" s="15"/>
      <c r="M66" s="15"/>
      <c r="N66" s="15"/>
      <c r="O66" s="15"/>
      <c r="P66" s="15"/>
      <c r="Q66" s="15"/>
      <c r="R66" s="15"/>
      <c r="S66" s="15"/>
      <c r="T66" s="15"/>
      <c r="U66" s="15"/>
      <c r="V66" s="15"/>
      <c r="W66" s="15"/>
      <c r="X66" s="15"/>
      <c r="Y66" s="15"/>
      <c r="Z66" s="15"/>
    </row>
    <row r="67" spans="1:26" ht="15.75" customHeight="1" x14ac:dyDescent="0.25">
      <c r="A67" s="44" t="s">
        <v>1382</v>
      </c>
      <c r="B67" s="41"/>
      <c r="C67" s="43"/>
      <c r="D67" s="43"/>
      <c r="E67" s="43"/>
      <c r="F67" s="43"/>
      <c r="G67" s="440"/>
      <c r="H67" s="269"/>
      <c r="I67" s="269"/>
      <c r="J67" s="275"/>
      <c r="K67" s="167"/>
      <c r="L67" s="15"/>
      <c r="M67" s="15"/>
      <c r="N67" s="15"/>
      <c r="O67" s="15"/>
      <c r="P67" s="15"/>
      <c r="Q67" s="15"/>
      <c r="R67" s="15"/>
      <c r="S67" s="15"/>
      <c r="T67" s="15"/>
      <c r="U67" s="15"/>
      <c r="V67" s="15"/>
      <c r="W67" s="15"/>
      <c r="X67" s="15"/>
      <c r="Y67" s="15"/>
      <c r="Z67" s="15"/>
    </row>
    <row r="68" spans="1:26" ht="15.75" customHeight="1" x14ac:dyDescent="0.25">
      <c r="A68" s="44" t="s">
        <v>1383</v>
      </c>
      <c r="B68" s="41"/>
      <c r="C68" s="43"/>
      <c r="D68" s="43"/>
      <c r="E68" s="43"/>
      <c r="F68" s="43"/>
      <c r="G68" s="43"/>
      <c r="H68" s="269"/>
      <c r="I68" s="269"/>
      <c r="J68" s="269"/>
      <c r="K68" s="167">
        <v>102000</v>
      </c>
      <c r="L68" s="15"/>
      <c r="M68" s="15"/>
      <c r="N68" s="15"/>
      <c r="O68" s="15"/>
      <c r="P68" s="15"/>
      <c r="Q68" s="15"/>
      <c r="R68" s="15"/>
      <c r="S68" s="15"/>
      <c r="T68" s="15"/>
      <c r="U68" s="15"/>
      <c r="V68" s="15"/>
      <c r="W68" s="15"/>
      <c r="X68" s="15"/>
      <c r="Y68" s="15"/>
      <c r="Z68" s="15"/>
    </row>
    <row r="69" spans="1:26" ht="15.75" customHeight="1" x14ac:dyDescent="0.25">
      <c r="A69" s="44" t="s">
        <v>1384</v>
      </c>
      <c r="B69" s="41"/>
      <c r="C69" s="43"/>
      <c r="D69" s="43"/>
      <c r="E69" s="43"/>
      <c r="F69" s="43"/>
      <c r="G69" s="43"/>
      <c r="H69" s="269"/>
      <c r="I69" s="269"/>
      <c r="J69" s="269"/>
      <c r="K69" s="167"/>
      <c r="L69" s="15"/>
      <c r="M69" s="15"/>
      <c r="N69" s="15"/>
      <c r="O69" s="15"/>
      <c r="P69" s="15"/>
      <c r="Q69" s="15"/>
      <c r="R69" s="15"/>
      <c r="S69" s="15"/>
      <c r="T69" s="15"/>
      <c r="U69" s="15"/>
      <c r="V69" s="15"/>
      <c r="W69" s="15"/>
      <c r="X69" s="15"/>
      <c r="Y69" s="15"/>
      <c r="Z69" s="15"/>
    </row>
    <row r="70" spans="1:26" ht="15.75" customHeight="1" x14ac:dyDescent="0.25">
      <c r="A70" s="44" t="s">
        <v>1385</v>
      </c>
      <c r="B70" s="41"/>
      <c r="C70" s="43"/>
      <c r="D70" s="43"/>
      <c r="E70" s="43"/>
      <c r="F70" s="43"/>
      <c r="G70" s="43"/>
      <c r="H70" s="269"/>
      <c r="I70" s="269"/>
      <c r="J70" s="269"/>
      <c r="K70" s="167">
        <v>50000</v>
      </c>
      <c r="L70" s="15"/>
      <c r="M70" s="15"/>
      <c r="N70" s="15"/>
      <c r="O70" s="15"/>
      <c r="P70" s="15"/>
      <c r="Q70" s="15"/>
      <c r="R70" s="15"/>
      <c r="S70" s="15"/>
      <c r="T70" s="15"/>
      <c r="U70" s="15"/>
      <c r="V70" s="15"/>
      <c r="W70" s="15"/>
      <c r="X70" s="15"/>
      <c r="Y70" s="15"/>
      <c r="Z70" s="15"/>
    </row>
    <row r="71" spans="1:26" ht="15.75" customHeight="1" x14ac:dyDescent="0.25">
      <c r="A71" s="44" t="s">
        <v>1386</v>
      </c>
      <c r="B71" s="41"/>
      <c r="C71" s="43"/>
      <c r="D71" s="43"/>
      <c r="E71" s="43"/>
      <c r="F71" s="43"/>
      <c r="G71" s="43"/>
      <c r="H71" s="269"/>
      <c r="I71" s="269"/>
      <c r="J71" s="269"/>
      <c r="K71" s="167"/>
      <c r="L71" s="15"/>
      <c r="M71" s="15"/>
      <c r="N71" s="15"/>
      <c r="O71" s="15"/>
      <c r="P71" s="15"/>
      <c r="Q71" s="15"/>
      <c r="R71" s="15"/>
      <c r="S71" s="15"/>
      <c r="T71" s="15"/>
      <c r="U71" s="15"/>
      <c r="V71" s="15"/>
      <c r="W71" s="15"/>
      <c r="X71" s="15"/>
      <c r="Y71" s="15"/>
      <c r="Z71" s="15"/>
    </row>
    <row r="72" spans="1:26" ht="15.75" customHeight="1" x14ac:dyDescent="0.25">
      <c r="A72" s="188" t="s">
        <v>1387</v>
      </c>
      <c r="B72" s="41"/>
      <c r="C72" s="43"/>
      <c r="D72" s="43"/>
      <c r="E72" s="43"/>
      <c r="F72" s="43"/>
      <c r="G72" s="43"/>
      <c r="H72" s="269"/>
      <c r="I72" s="269"/>
      <c r="J72" s="269"/>
      <c r="K72" s="167">
        <v>50000</v>
      </c>
      <c r="L72" s="15"/>
      <c r="M72" s="15"/>
      <c r="N72" s="15"/>
      <c r="O72" s="15"/>
      <c r="P72" s="15"/>
      <c r="Q72" s="15"/>
      <c r="R72" s="15"/>
      <c r="S72" s="15"/>
      <c r="T72" s="15"/>
      <c r="U72" s="15"/>
      <c r="V72" s="15"/>
      <c r="W72" s="15"/>
      <c r="X72" s="15"/>
      <c r="Y72" s="15"/>
      <c r="Z72" s="15"/>
    </row>
    <row r="73" spans="1:26" ht="15.75" customHeight="1" x14ac:dyDescent="0.25">
      <c r="A73" s="44" t="s">
        <v>1388</v>
      </c>
      <c r="B73" s="41"/>
      <c r="C73" s="43"/>
      <c r="D73" s="43"/>
      <c r="E73" s="43"/>
      <c r="F73" s="43"/>
      <c r="G73" s="43"/>
      <c r="H73" s="269"/>
      <c r="I73" s="269"/>
      <c r="J73" s="269"/>
      <c r="K73" s="167"/>
      <c r="L73" s="15"/>
      <c r="M73" s="15"/>
      <c r="N73" s="15"/>
      <c r="O73" s="15"/>
      <c r="P73" s="15"/>
      <c r="Q73" s="15"/>
      <c r="R73" s="15"/>
      <c r="S73" s="15"/>
      <c r="T73" s="15"/>
      <c r="U73" s="15"/>
      <c r="V73" s="15"/>
      <c r="W73" s="15"/>
      <c r="X73" s="15"/>
      <c r="Y73" s="15"/>
      <c r="Z73" s="15"/>
    </row>
    <row r="74" spans="1:26" ht="15.75" customHeight="1" x14ac:dyDescent="0.25">
      <c r="A74" s="44" t="s">
        <v>1389</v>
      </c>
      <c r="B74" s="41"/>
      <c r="C74" s="43"/>
      <c r="D74" s="43"/>
      <c r="E74" s="43"/>
      <c r="F74" s="43"/>
      <c r="G74" s="43"/>
      <c r="H74" s="269"/>
      <c r="I74" s="269"/>
      <c r="J74" s="269"/>
      <c r="K74" s="167"/>
      <c r="L74" s="15"/>
      <c r="M74" s="15"/>
      <c r="N74" s="15"/>
      <c r="O74" s="15"/>
      <c r="P74" s="15"/>
      <c r="Q74" s="15"/>
      <c r="R74" s="15"/>
      <c r="S74" s="15"/>
      <c r="T74" s="15"/>
      <c r="U74" s="15"/>
      <c r="V74" s="15"/>
      <c r="W74" s="15"/>
      <c r="X74" s="15"/>
      <c r="Y74" s="15"/>
      <c r="Z74" s="15"/>
    </row>
    <row r="75" spans="1:26" ht="15.75" customHeight="1" x14ac:dyDescent="0.25">
      <c r="A75" s="188" t="s">
        <v>1390</v>
      </c>
      <c r="B75" s="41"/>
      <c r="C75" s="43"/>
      <c r="D75" s="43"/>
      <c r="E75" s="43"/>
      <c r="F75" s="43"/>
      <c r="G75" s="43"/>
      <c r="H75" s="269"/>
      <c r="I75" s="269"/>
      <c r="J75" s="269"/>
      <c r="K75" s="167">
        <v>15000</v>
      </c>
      <c r="L75" s="15"/>
      <c r="M75" s="15"/>
      <c r="N75" s="15"/>
      <c r="O75" s="15"/>
      <c r="P75" s="15"/>
      <c r="Q75" s="15"/>
      <c r="R75" s="15"/>
      <c r="S75" s="15"/>
      <c r="T75" s="15"/>
      <c r="U75" s="15"/>
      <c r="V75" s="15"/>
      <c r="W75" s="15"/>
      <c r="X75" s="15"/>
      <c r="Y75" s="15"/>
      <c r="Z75" s="15"/>
    </row>
    <row r="76" spans="1:26" ht="15.75" customHeight="1" x14ac:dyDescent="0.25">
      <c r="A76" s="44" t="s">
        <v>1391</v>
      </c>
      <c r="B76" s="41"/>
      <c r="C76" s="43"/>
      <c r="D76" s="43"/>
      <c r="E76" s="43"/>
      <c r="F76" s="43"/>
      <c r="G76" s="43"/>
      <c r="H76" s="269"/>
      <c r="I76" s="269"/>
      <c r="J76" s="269"/>
      <c r="K76" s="167"/>
      <c r="L76" s="15"/>
      <c r="M76" s="15"/>
      <c r="N76" s="15"/>
      <c r="O76" s="15"/>
      <c r="P76" s="15"/>
      <c r="Q76" s="15"/>
      <c r="R76" s="15"/>
      <c r="S76" s="15"/>
      <c r="T76" s="15"/>
      <c r="U76" s="15"/>
      <c r="V76" s="15"/>
      <c r="W76" s="15"/>
      <c r="X76" s="15"/>
      <c r="Y76" s="15"/>
      <c r="Z76" s="15"/>
    </row>
    <row r="77" spans="1:26" ht="15.75" customHeight="1" x14ac:dyDescent="0.25">
      <c r="A77" s="44" t="s">
        <v>1392</v>
      </c>
      <c r="B77" s="41"/>
      <c r="C77" s="43"/>
      <c r="D77" s="43"/>
      <c r="E77" s="43"/>
      <c r="F77" s="43"/>
      <c r="G77" s="43"/>
      <c r="H77" s="269"/>
      <c r="I77" s="269"/>
      <c r="J77" s="269"/>
      <c r="K77" s="167"/>
      <c r="L77" s="15"/>
      <c r="M77" s="15"/>
      <c r="N77" s="15"/>
      <c r="O77" s="15"/>
      <c r="P77" s="15"/>
      <c r="Q77" s="15"/>
      <c r="R77" s="15"/>
      <c r="S77" s="15"/>
      <c r="T77" s="15"/>
      <c r="U77" s="15"/>
      <c r="V77" s="15"/>
      <c r="W77" s="15"/>
      <c r="X77" s="15"/>
      <c r="Y77" s="15"/>
      <c r="Z77" s="15"/>
    </row>
    <row r="78" spans="1:26" ht="15.75" customHeight="1" x14ac:dyDescent="0.25">
      <c r="A78" s="44" t="s">
        <v>1393</v>
      </c>
      <c r="B78" s="41"/>
      <c r="C78" s="43"/>
      <c r="D78" s="43"/>
      <c r="E78" s="43"/>
      <c r="F78" s="43"/>
      <c r="G78" s="43"/>
      <c r="H78" s="269">
        <v>264</v>
      </c>
      <c r="I78" s="269">
        <v>1466</v>
      </c>
      <c r="J78" s="269">
        <v>1</v>
      </c>
      <c r="K78" s="167">
        <f t="shared" ref="K78:K90" si="8">H78*I78*J78</f>
        <v>387024</v>
      </c>
      <c r="L78" s="15"/>
      <c r="M78" s="15"/>
      <c r="N78" s="15"/>
      <c r="O78" s="15"/>
      <c r="P78" s="15"/>
      <c r="Q78" s="15"/>
      <c r="R78" s="15"/>
      <c r="S78" s="15"/>
      <c r="T78" s="15"/>
      <c r="U78" s="15"/>
      <c r="V78" s="15"/>
      <c r="W78" s="15"/>
      <c r="X78" s="15"/>
      <c r="Y78" s="15"/>
      <c r="Z78" s="15"/>
    </row>
    <row r="79" spans="1:26" ht="15.75" customHeight="1" x14ac:dyDescent="0.25">
      <c r="A79" s="460" t="s">
        <v>1394</v>
      </c>
      <c r="B79" s="454"/>
      <c r="C79" s="443"/>
      <c r="D79" s="443"/>
      <c r="E79" s="443"/>
      <c r="F79" s="443"/>
      <c r="G79" s="462"/>
      <c r="H79" s="269">
        <v>264</v>
      </c>
      <c r="I79" s="269">
        <v>1466</v>
      </c>
      <c r="J79" s="269">
        <v>1</v>
      </c>
      <c r="K79" s="167">
        <f t="shared" si="8"/>
        <v>387024</v>
      </c>
      <c r="L79" s="15"/>
      <c r="M79" s="15"/>
      <c r="N79" s="15"/>
      <c r="O79" s="15"/>
      <c r="P79" s="15"/>
      <c r="Q79" s="15"/>
      <c r="R79" s="15"/>
      <c r="S79" s="15"/>
      <c r="T79" s="15"/>
      <c r="U79" s="15"/>
      <c r="V79" s="15"/>
      <c r="W79" s="15"/>
      <c r="X79" s="15"/>
      <c r="Y79" s="15"/>
      <c r="Z79" s="15"/>
    </row>
    <row r="80" spans="1:26" ht="15.75" customHeight="1" x14ac:dyDescent="0.25">
      <c r="A80" s="546" t="s">
        <v>1395</v>
      </c>
      <c r="B80" s="454"/>
      <c r="C80" s="443"/>
      <c r="D80" s="443"/>
      <c r="E80" s="443"/>
      <c r="F80" s="443"/>
      <c r="G80" s="462"/>
      <c r="H80" s="269">
        <v>264</v>
      </c>
      <c r="I80" s="269"/>
      <c r="J80" s="269"/>
      <c r="K80" s="167">
        <f t="shared" si="8"/>
        <v>0</v>
      </c>
      <c r="L80" s="15"/>
      <c r="M80" s="15"/>
      <c r="N80" s="15"/>
      <c r="O80" s="15"/>
      <c r="P80" s="15"/>
      <c r="Q80" s="15"/>
      <c r="R80" s="15"/>
      <c r="S80" s="15"/>
      <c r="T80" s="15"/>
      <c r="U80" s="15"/>
      <c r="V80" s="15"/>
      <c r="W80" s="15"/>
      <c r="X80" s="15"/>
      <c r="Y80" s="15"/>
      <c r="Z80" s="15"/>
    </row>
    <row r="81" spans="1:26" ht="15.75" customHeight="1" x14ac:dyDescent="0.25">
      <c r="A81" s="44" t="s">
        <v>1396</v>
      </c>
      <c r="B81" s="41"/>
      <c r="C81" s="43"/>
      <c r="D81" s="43"/>
      <c r="E81" s="43"/>
      <c r="F81" s="43"/>
      <c r="G81" s="43"/>
      <c r="H81" s="269">
        <v>264</v>
      </c>
      <c r="I81" s="269">
        <v>639</v>
      </c>
      <c r="J81" s="269">
        <v>7</v>
      </c>
      <c r="K81" s="167">
        <f t="shared" si="8"/>
        <v>1180872</v>
      </c>
      <c r="L81" s="15"/>
      <c r="M81" s="15"/>
      <c r="N81" s="15"/>
      <c r="O81" s="15"/>
      <c r="P81" s="15"/>
      <c r="Q81" s="15"/>
      <c r="R81" s="15"/>
      <c r="S81" s="15"/>
      <c r="T81" s="15"/>
      <c r="U81" s="15"/>
      <c r="V81" s="15"/>
      <c r="W81" s="15"/>
      <c r="X81" s="15"/>
      <c r="Y81" s="15"/>
      <c r="Z81" s="15"/>
    </row>
    <row r="82" spans="1:26" ht="15.75" customHeight="1" x14ac:dyDescent="0.25">
      <c r="A82" s="44" t="s">
        <v>1397</v>
      </c>
      <c r="B82" s="41"/>
      <c r="C82" s="43"/>
      <c r="D82" s="43"/>
      <c r="E82" s="43"/>
      <c r="F82" s="43"/>
      <c r="G82" s="43"/>
      <c r="H82" s="269">
        <v>264</v>
      </c>
      <c r="I82" s="269"/>
      <c r="J82" s="269"/>
      <c r="K82" s="167">
        <f t="shared" si="8"/>
        <v>0</v>
      </c>
      <c r="L82" s="15"/>
      <c r="M82" s="15"/>
      <c r="N82" s="15"/>
      <c r="O82" s="15"/>
      <c r="P82" s="15"/>
      <c r="Q82" s="15"/>
      <c r="R82" s="15"/>
      <c r="S82" s="15"/>
      <c r="T82" s="15"/>
      <c r="U82" s="15"/>
      <c r="V82" s="15"/>
      <c r="W82" s="15"/>
      <c r="X82" s="15"/>
      <c r="Y82" s="15"/>
      <c r="Z82" s="15"/>
    </row>
    <row r="83" spans="1:26" ht="15.75" customHeight="1" x14ac:dyDescent="0.25">
      <c r="A83" s="44" t="s">
        <v>1398</v>
      </c>
      <c r="B83" s="41"/>
      <c r="C83" s="43"/>
      <c r="D83" s="43"/>
      <c r="E83" s="43"/>
      <c r="F83" s="43"/>
      <c r="G83" s="43"/>
      <c r="H83" s="269">
        <v>264</v>
      </c>
      <c r="I83" s="269">
        <v>678</v>
      </c>
      <c r="J83" s="269">
        <v>10</v>
      </c>
      <c r="K83" s="167">
        <f t="shared" si="8"/>
        <v>1789920</v>
      </c>
      <c r="L83" s="15"/>
      <c r="M83" s="15"/>
      <c r="N83" s="15"/>
      <c r="O83" s="15"/>
      <c r="P83" s="15"/>
      <c r="Q83" s="15"/>
      <c r="R83" s="15"/>
      <c r="S83" s="15"/>
      <c r="T83" s="15"/>
      <c r="U83" s="15"/>
      <c r="V83" s="15"/>
      <c r="W83" s="15"/>
      <c r="X83" s="15"/>
      <c r="Y83" s="15"/>
      <c r="Z83" s="15"/>
    </row>
    <row r="84" spans="1:26" ht="15.75" customHeight="1" x14ac:dyDescent="0.25">
      <c r="A84" s="188" t="s">
        <v>1399</v>
      </c>
      <c r="B84" s="41"/>
      <c r="C84" s="43"/>
      <c r="D84" s="43"/>
      <c r="E84" s="43"/>
      <c r="F84" s="43"/>
      <c r="G84" s="43"/>
      <c r="H84" s="269">
        <v>264</v>
      </c>
      <c r="I84" s="269"/>
      <c r="J84" s="269"/>
      <c r="K84" s="167">
        <f t="shared" si="8"/>
        <v>0</v>
      </c>
      <c r="L84" s="15"/>
      <c r="M84" s="15"/>
      <c r="N84" s="15"/>
      <c r="O84" s="15"/>
      <c r="P84" s="15"/>
      <c r="Q84" s="15"/>
      <c r="R84" s="15"/>
      <c r="S84" s="15"/>
      <c r="T84" s="15"/>
      <c r="U84" s="15"/>
      <c r="V84" s="15"/>
      <c r="W84" s="15"/>
      <c r="X84" s="15"/>
      <c r="Y84" s="15"/>
      <c r="Z84" s="15"/>
    </row>
    <row r="85" spans="1:26" ht="15.75" customHeight="1" x14ac:dyDescent="0.25">
      <c r="A85" s="44" t="s">
        <v>1400</v>
      </c>
      <c r="B85" s="41"/>
      <c r="C85" s="43"/>
      <c r="D85" s="43"/>
      <c r="E85" s="43"/>
      <c r="F85" s="43"/>
      <c r="G85" s="43"/>
      <c r="H85" s="269">
        <v>264</v>
      </c>
      <c r="I85" s="269">
        <v>861</v>
      </c>
      <c r="J85" s="269">
        <v>1</v>
      </c>
      <c r="K85" s="167">
        <f t="shared" si="8"/>
        <v>227304</v>
      </c>
      <c r="L85" s="15"/>
      <c r="M85" s="15"/>
      <c r="N85" s="15"/>
      <c r="O85" s="15"/>
      <c r="P85" s="15"/>
      <c r="Q85" s="15"/>
      <c r="R85" s="15"/>
      <c r="S85" s="15"/>
      <c r="T85" s="15"/>
      <c r="U85" s="15"/>
      <c r="V85" s="15"/>
      <c r="W85" s="15"/>
      <c r="X85" s="15"/>
      <c r="Y85" s="15"/>
      <c r="Z85" s="15"/>
    </row>
    <row r="86" spans="1:26" ht="15.75" customHeight="1" x14ac:dyDescent="0.25">
      <c r="A86" s="44" t="s">
        <v>1401</v>
      </c>
      <c r="B86" s="41"/>
      <c r="C86" s="43"/>
      <c r="D86" s="43"/>
      <c r="E86" s="43"/>
      <c r="F86" s="43"/>
      <c r="G86" s="43"/>
      <c r="H86" s="269">
        <v>264</v>
      </c>
      <c r="I86" s="269"/>
      <c r="J86" s="269"/>
      <c r="K86" s="167">
        <f t="shared" si="8"/>
        <v>0</v>
      </c>
      <c r="L86" s="15"/>
      <c r="M86" s="15"/>
      <c r="N86" s="15"/>
      <c r="O86" s="15"/>
      <c r="P86" s="15"/>
      <c r="Q86" s="15"/>
      <c r="R86" s="15"/>
      <c r="S86" s="15"/>
      <c r="T86" s="15"/>
      <c r="U86" s="15"/>
      <c r="V86" s="15"/>
      <c r="W86" s="15"/>
      <c r="X86" s="15"/>
      <c r="Y86" s="15"/>
      <c r="Z86" s="15"/>
    </row>
    <row r="87" spans="1:26" ht="15.75" customHeight="1" x14ac:dyDescent="0.25">
      <c r="A87" s="44" t="s">
        <v>1402</v>
      </c>
      <c r="B87" s="41"/>
      <c r="C87" s="43"/>
      <c r="D87" s="43"/>
      <c r="E87" s="43"/>
      <c r="F87" s="43"/>
      <c r="G87" s="43"/>
      <c r="H87" s="269">
        <v>264</v>
      </c>
      <c r="I87" s="269">
        <v>765</v>
      </c>
      <c r="J87" s="269">
        <v>4</v>
      </c>
      <c r="K87" s="167">
        <f t="shared" si="8"/>
        <v>807840</v>
      </c>
      <c r="L87" s="15"/>
      <c r="M87" s="15"/>
      <c r="N87" s="15"/>
      <c r="O87" s="15"/>
      <c r="P87" s="15"/>
      <c r="Q87" s="15"/>
      <c r="R87" s="15"/>
      <c r="S87" s="15"/>
      <c r="T87" s="15"/>
      <c r="U87" s="15"/>
      <c r="V87" s="15"/>
      <c r="W87" s="15"/>
      <c r="X87" s="15"/>
      <c r="Y87" s="15"/>
      <c r="Z87" s="15"/>
    </row>
    <row r="88" spans="1:26" ht="15.75" customHeight="1" x14ac:dyDescent="0.25">
      <c r="A88" s="188" t="s">
        <v>1403</v>
      </c>
      <c r="B88" s="41"/>
      <c r="C88" s="43"/>
      <c r="D88" s="43"/>
      <c r="E88" s="43"/>
      <c r="F88" s="43"/>
      <c r="G88" s="43"/>
      <c r="H88" s="269">
        <v>264</v>
      </c>
      <c r="I88" s="269"/>
      <c r="J88" s="269"/>
      <c r="K88" s="167">
        <f t="shared" si="8"/>
        <v>0</v>
      </c>
      <c r="L88" s="15"/>
      <c r="M88" s="15"/>
      <c r="N88" s="15"/>
      <c r="O88" s="15"/>
      <c r="P88" s="15"/>
      <c r="Q88" s="15"/>
      <c r="R88" s="15"/>
      <c r="S88" s="15"/>
      <c r="T88" s="15"/>
      <c r="U88" s="15"/>
      <c r="V88" s="15"/>
      <c r="W88" s="15"/>
      <c r="X88" s="15"/>
      <c r="Y88" s="15"/>
      <c r="Z88" s="15"/>
    </row>
    <row r="89" spans="1:26" ht="15.75" customHeight="1" x14ac:dyDescent="0.25">
      <c r="A89" s="44" t="s">
        <v>1404</v>
      </c>
      <c r="B89" s="41"/>
      <c r="C89" s="43"/>
      <c r="D89" s="43"/>
      <c r="E89" s="43"/>
      <c r="F89" s="43"/>
      <c r="G89" s="43"/>
      <c r="H89" s="269">
        <v>264</v>
      </c>
      <c r="I89" s="269">
        <v>720</v>
      </c>
      <c r="J89" s="269">
        <v>2</v>
      </c>
      <c r="K89" s="167">
        <f t="shared" si="8"/>
        <v>380160</v>
      </c>
      <c r="L89" s="15"/>
      <c r="M89" s="15"/>
      <c r="N89" s="15"/>
      <c r="O89" s="15"/>
      <c r="P89" s="15"/>
      <c r="Q89" s="15"/>
      <c r="R89" s="15"/>
      <c r="S89" s="15"/>
      <c r="T89" s="15"/>
      <c r="U89" s="15"/>
      <c r="V89" s="15"/>
      <c r="W89" s="15"/>
      <c r="X89" s="15"/>
      <c r="Y89" s="15"/>
      <c r="Z89" s="15"/>
    </row>
    <row r="90" spans="1:26" ht="15.75" customHeight="1" x14ac:dyDescent="0.25">
      <c r="A90" s="44" t="s">
        <v>1405</v>
      </c>
      <c r="B90" s="41"/>
      <c r="C90" s="43"/>
      <c r="D90" s="43"/>
      <c r="E90" s="43"/>
      <c r="F90" s="43"/>
      <c r="G90" s="43"/>
      <c r="H90" s="269">
        <v>264</v>
      </c>
      <c r="I90" s="269"/>
      <c r="J90" s="269"/>
      <c r="K90" s="167">
        <f t="shared" si="8"/>
        <v>0</v>
      </c>
      <c r="L90" s="15"/>
      <c r="M90" s="15"/>
      <c r="N90" s="15"/>
      <c r="O90" s="15"/>
      <c r="P90" s="15"/>
      <c r="Q90" s="15"/>
      <c r="R90" s="15"/>
      <c r="S90" s="15"/>
      <c r="T90" s="15"/>
      <c r="U90" s="15"/>
      <c r="V90" s="15"/>
      <c r="W90" s="15"/>
      <c r="X90" s="15"/>
      <c r="Y90" s="15"/>
      <c r="Z90" s="15"/>
    </row>
    <row r="91" spans="1:26" ht="15.75" customHeight="1" x14ac:dyDescent="0.25">
      <c r="A91" s="42" t="s">
        <v>466</v>
      </c>
      <c r="B91" s="41"/>
      <c r="C91" s="54">
        <f t="shared" ref="C91:D91" si="9">+SUM(C42:C66)</f>
        <v>242955388.58000001</v>
      </c>
      <c r="D91" s="54">
        <f t="shared" si="9"/>
        <v>78400022.110000014</v>
      </c>
      <c r="E91" s="54">
        <f>F91-D91</f>
        <v>218506630.88999999</v>
      </c>
      <c r="F91" s="54">
        <f t="shared" ref="F91:G91" si="10">+SUM(F42:F66)</f>
        <v>296906653</v>
      </c>
      <c r="G91" s="54">
        <f t="shared" si="10"/>
        <v>279551598</v>
      </c>
      <c r="H91" s="269"/>
      <c r="I91" s="269"/>
      <c r="J91" s="269"/>
      <c r="K91" s="167">
        <f>SUM(K78:K90)</f>
        <v>5160144</v>
      </c>
      <c r="L91" s="15"/>
      <c r="M91" s="15"/>
      <c r="N91" s="15"/>
      <c r="O91" s="15"/>
      <c r="P91" s="15"/>
      <c r="Q91" s="15"/>
      <c r="R91" s="15"/>
      <c r="S91" s="15"/>
      <c r="T91" s="15"/>
      <c r="U91" s="15"/>
      <c r="V91" s="15"/>
      <c r="W91" s="15"/>
      <c r="X91" s="15"/>
      <c r="Y91" s="15"/>
      <c r="Z91" s="15"/>
    </row>
    <row r="92" spans="1:26" ht="15.75" customHeight="1" x14ac:dyDescent="0.25">
      <c r="A92" s="17"/>
      <c r="B92" s="41"/>
      <c r="C92" s="43"/>
      <c r="D92" s="43"/>
      <c r="E92" s="43"/>
      <c r="F92" s="43"/>
      <c r="G92" s="43"/>
      <c r="H92" s="269"/>
      <c r="I92" s="269"/>
      <c r="J92" s="269"/>
      <c r="K92" s="167"/>
      <c r="L92" s="15"/>
      <c r="M92" s="15"/>
      <c r="N92" s="15"/>
      <c r="O92" s="15"/>
      <c r="P92" s="15"/>
      <c r="Q92" s="15"/>
      <c r="R92" s="15"/>
      <c r="S92" s="15"/>
      <c r="T92" s="15"/>
      <c r="U92" s="15"/>
      <c r="V92" s="15"/>
      <c r="W92" s="15"/>
      <c r="X92" s="15"/>
      <c r="Y92" s="15"/>
      <c r="Z92" s="15"/>
    </row>
    <row r="93" spans="1:26" ht="15.75" customHeight="1" x14ac:dyDescent="0.25">
      <c r="A93" s="17" t="s">
        <v>467</v>
      </c>
      <c r="B93" s="20"/>
      <c r="C93" s="56">
        <f t="shared" ref="C93:D93" si="11">+C91+C38</f>
        <v>264370818.71000001</v>
      </c>
      <c r="D93" s="56">
        <f t="shared" si="11"/>
        <v>90317311.63000001</v>
      </c>
      <c r="E93" s="43">
        <f>F93-D93</f>
        <v>233964288.37</v>
      </c>
      <c r="F93" s="56">
        <f t="shared" ref="F93:G93" si="12">+F91+F38</f>
        <v>324281600</v>
      </c>
      <c r="G93" s="43">
        <f t="shared" si="12"/>
        <v>307910015</v>
      </c>
      <c r="H93" s="269"/>
      <c r="I93" s="269"/>
      <c r="J93" s="269"/>
      <c r="K93" s="167"/>
      <c r="L93" s="15"/>
      <c r="M93" s="15"/>
      <c r="N93" s="15"/>
      <c r="O93" s="15"/>
      <c r="P93" s="15"/>
      <c r="Q93" s="15"/>
      <c r="R93" s="15"/>
      <c r="S93" s="15"/>
      <c r="T93" s="15"/>
      <c r="U93" s="15"/>
      <c r="V93" s="15"/>
      <c r="W93" s="15"/>
      <c r="X93" s="15"/>
      <c r="Y93" s="15"/>
      <c r="Z93" s="15"/>
    </row>
    <row r="94" spans="1:26" ht="15.75" customHeight="1" x14ac:dyDescent="0.25">
      <c r="A94" s="17"/>
      <c r="B94" s="20"/>
      <c r="C94" s="56"/>
      <c r="D94" s="56"/>
      <c r="E94" s="43"/>
      <c r="F94" s="56"/>
      <c r="G94" s="43"/>
      <c r="H94" s="269"/>
      <c r="I94" s="269"/>
      <c r="J94" s="269"/>
      <c r="K94" s="167"/>
      <c r="L94" s="15"/>
      <c r="M94" s="15"/>
      <c r="N94" s="15"/>
      <c r="O94" s="15"/>
      <c r="P94" s="15"/>
      <c r="Q94" s="15"/>
      <c r="R94" s="15"/>
      <c r="S94" s="15"/>
      <c r="T94" s="15"/>
      <c r="U94" s="15"/>
      <c r="V94" s="15"/>
      <c r="W94" s="15"/>
      <c r="X94" s="15"/>
      <c r="Y94" s="15"/>
      <c r="Z94" s="15"/>
    </row>
    <row r="95" spans="1:26" ht="15.75" customHeight="1" x14ac:dyDescent="0.25">
      <c r="A95" s="42" t="s">
        <v>529</v>
      </c>
      <c r="B95" s="94"/>
      <c r="C95" s="43"/>
      <c r="D95" s="43"/>
      <c r="E95" s="43"/>
      <c r="F95" s="43"/>
      <c r="G95" s="43"/>
      <c r="H95" s="269"/>
      <c r="I95" s="269"/>
      <c r="J95" s="269"/>
      <c r="K95" s="167"/>
      <c r="L95" s="15"/>
      <c r="M95" s="15"/>
      <c r="N95" s="15"/>
      <c r="O95" s="15"/>
      <c r="P95" s="15"/>
      <c r="Q95" s="15"/>
      <c r="R95" s="15"/>
      <c r="S95" s="15"/>
      <c r="T95" s="15"/>
      <c r="U95" s="15"/>
      <c r="V95" s="15"/>
      <c r="W95" s="15"/>
      <c r="X95" s="15"/>
      <c r="Y95" s="15"/>
      <c r="Z95" s="15"/>
    </row>
    <row r="96" spans="1:26" ht="15.75" customHeight="1" x14ac:dyDescent="0.25">
      <c r="A96" s="17" t="s">
        <v>1159</v>
      </c>
      <c r="B96" s="94"/>
      <c r="C96" s="43"/>
      <c r="D96" s="43"/>
      <c r="E96" s="43"/>
      <c r="F96" s="43"/>
      <c r="G96" s="43"/>
      <c r="H96" s="269"/>
      <c r="I96" s="269"/>
      <c r="J96" s="269"/>
      <c r="K96" s="167"/>
      <c r="L96" s="15"/>
      <c r="M96" s="15"/>
      <c r="N96" s="15"/>
      <c r="O96" s="15"/>
      <c r="P96" s="15"/>
      <c r="Q96" s="15"/>
      <c r="R96" s="15"/>
      <c r="S96" s="15"/>
      <c r="T96" s="15"/>
      <c r="U96" s="15"/>
      <c r="V96" s="15"/>
      <c r="W96" s="15"/>
      <c r="X96" s="15"/>
      <c r="Y96" s="15"/>
      <c r="Z96" s="15"/>
    </row>
    <row r="97" spans="1:26" ht="15.75" customHeight="1" x14ac:dyDescent="0.25">
      <c r="A97" s="96" t="s">
        <v>1406</v>
      </c>
      <c r="B97" s="41" t="s">
        <v>17</v>
      </c>
      <c r="C97" s="43">
        <v>588000</v>
      </c>
      <c r="D97" s="56">
        <v>0</v>
      </c>
      <c r="E97" s="43">
        <f>F97-D97</f>
        <v>0</v>
      </c>
      <c r="F97" s="45">
        <v>0</v>
      </c>
      <c r="G97" s="165">
        <v>900000</v>
      </c>
      <c r="H97" s="269"/>
      <c r="I97" s="269"/>
      <c r="J97" s="269"/>
      <c r="K97" s="167"/>
      <c r="L97" s="15"/>
      <c r="M97" s="15"/>
      <c r="N97" s="15"/>
      <c r="O97" s="15"/>
      <c r="P97" s="15"/>
      <c r="Q97" s="15"/>
      <c r="R97" s="15"/>
      <c r="S97" s="15"/>
      <c r="T97" s="15"/>
      <c r="U97" s="15"/>
      <c r="V97" s="15"/>
      <c r="W97" s="15"/>
      <c r="X97" s="15"/>
      <c r="Y97" s="15"/>
      <c r="Z97" s="15"/>
    </row>
    <row r="98" spans="1:26" ht="15.75" customHeight="1" x14ac:dyDescent="0.25">
      <c r="A98" s="17" t="s">
        <v>1407</v>
      </c>
      <c r="B98" s="94"/>
      <c r="C98" s="43"/>
      <c r="D98" s="56"/>
      <c r="E98" s="43"/>
      <c r="F98" s="45"/>
      <c r="G98" s="43"/>
      <c r="H98" s="269"/>
      <c r="I98" s="269"/>
      <c r="J98" s="269"/>
      <c r="K98" s="167"/>
      <c r="L98" s="15"/>
      <c r="M98" s="15"/>
      <c r="N98" s="15"/>
      <c r="O98" s="15"/>
      <c r="P98" s="15"/>
      <c r="Q98" s="15"/>
      <c r="R98" s="15"/>
      <c r="S98" s="15"/>
      <c r="T98" s="15"/>
      <c r="U98" s="15"/>
      <c r="V98" s="15"/>
      <c r="W98" s="15"/>
      <c r="X98" s="15"/>
      <c r="Y98" s="15"/>
      <c r="Z98" s="15"/>
    </row>
    <row r="99" spans="1:26" ht="15.75" customHeight="1" x14ac:dyDescent="0.25">
      <c r="A99" s="17" t="s">
        <v>673</v>
      </c>
      <c r="B99" s="94"/>
      <c r="C99" s="43"/>
      <c r="D99" s="43"/>
      <c r="E99" s="43"/>
      <c r="F99" s="43"/>
      <c r="G99" s="43"/>
      <c r="H99" s="269"/>
      <c r="I99" s="269"/>
      <c r="J99" s="269"/>
      <c r="K99" s="167"/>
      <c r="L99" s="15"/>
      <c r="M99" s="15"/>
      <c r="N99" s="15"/>
      <c r="O99" s="15"/>
      <c r="P99" s="15"/>
      <c r="Q99" s="15"/>
      <c r="R99" s="15"/>
      <c r="S99" s="15"/>
      <c r="T99" s="15"/>
      <c r="U99" s="15"/>
      <c r="V99" s="15"/>
      <c r="W99" s="15"/>
      <c r="X99" s="15"/>
      <c r="Y99" s="15"/>
      <c r="Z99" s="15"/>
    </row>
    <row r="100" spans="1:26" ht="15.75" customHeight="1" x14ac:dyDescent="0.25">
      <c r="A100" s="44" t="s">
        <v>1352</v>
      </c>
      <c r="B100" s="41" t="s">
        <v>45</v>
      </c>
      <c r="C100" s="43">
        <v>3509910</v>
      </c>
      <c r="D100" s="43">
        <v>61500</v>
      </c>
      <c r="E100" s="43">
        <f>F100-D100</f>
        <v>10500</v>
      </c>
      <c r="F100" s="43">
        <v>72000</v>
      </c>
      <c r="G100" s="43">
        <v>4666000</v>
      </c>
      <c r="H100" s="269"/>
      <c r="I100" s="269"/>
      <c r="J100" s="269"/>
      <c r="K100" s="167"/>
      <c r="L100" s="15"/>
      <c r="M100" s="15"/>
      <c r="N100" s="15"/>
      <c r="O100" s="15"/>
      <c r="P100" s="15"/>
      <c r="Q100" s="15"/>
      <c r="R100" s="15"/>
      <c r="S100" s="15"/>
      <c r="T100" s="15"/>
      <c r="U100" s="15"/>
      <c r="V100" s="15"/>
      <c r="W100" s="15"/>
      <c r="X100" s="15"/>
      <c r="Y100" s="15"/>
      <c r="Z100" s="15"/>
    </row>
    <row r="101" spans="1:26" ht="15.75" customHeight="1" x14ac:dyDescent="0.25">
      <c r="A101" s="96" t="s">
        <v>1408</v>
      </c>
      <c r="B101" s="41"/>
      <c r="C101" s="43"/>
      <c r="D101" s="43"/>
      <c r="E101" s="43"/>
      <c r="F101" s="43"/>
      <c r="G101" s="43"/>
      <c r="H101" s="269"/>
      <c r="I101" s="269"/>
      <c r="J101" s="269"/>
      <c r="K101" s="167"/>
      <c r="L101" s="15"/>
      <c r="M101" s="15"/>
      <c r="N101" s="15"/>
      <c r="O101" s="15"/>
      <c r="P101" s="15"/>
      <c r="Q101" s="15"/>
      <c r="R101" s="15"/>
      <c r="S101" s="15"/>
      <c r="T101" s="15"/>
      <c r="U101" s="15"/>
      <c r="V101" s="15"/>
      <c r="W101" s="15"/>
      <c r="X101" s="15"/>
      <c r="Y101" s="15"/>
      <c r="Z101" s="15"/>
    </row>
    <row r="102" spans="1:26" ht="15.75" customHeight="1" x14ac:dyDescent="0.25">
      <c r="A102" s="96" t="s">
        <v>1409</v>
      </c>
      <c r="B102" s="41"/>
      <c r="C102" s="43"/>
      <c r="D102" s="43"/>
      <c r="E102" s="43"/>
      <c r="F102" s="43"/>
      <c r="G102" s="43"/>
      <c r="H102" s="269"/>
      <c r="I102" s="269"/>
      <c r="J102" s="269"/>
      <c r="K102" s="167"/>
      <c r="L102" s="15"/>
      <c r="M102" s="15"/>
      <c r="N102" s="15"/>
      <c r="O102" s="15"/>
      <c r="P102" s="15"/>
      <c r="Q102" s="15"/>
      <c r="R102" s="15"/>
      <c r="S102" s="15"/>
      <c r="T102" s="15"/>
      <c r="U102" s="15"/>
      <c r="V102" s="15"/>
      <c r="W102" s="15"/>
      <c r="X102" s="15"/>
      <c r="Y102" s="15"/>
      <c r="Z102" s="15"/>
    </row>
    <row r="103" spans="1:26" ht="15.75" customHeight="1" x14ac:dyDescent="0.25">
      <c r="A103" s="276" t="s">
        <v>1410</v>
      </c>
      <c r="B103" s="41"/>
      <c r="C103" s="43"/>
      <c r="D103" s="43"/>
      <c r="E103" s="43"/>
      <c r="F103" s="43"/>
      <c r="G103" s="43"/>
      <c r="H103" s="269"/>
      <c r="I103" s="269"/>
      <c r="J103" s="269"/>
      <c r="K103" s="167"/>
      <c r="L103" s="15"/>
      <c r="M103" s="15"/>
      <c r="N103" s="15"/>
      <c r="O103" s="15"/>
      <c r="P103" s="15"/>
      <c r="Q103" s="15"/>
      <c r="R103" s="15"/>
      <c r="S103" s="15"/>
      <c r="T103" s="15"/>
      <c r="U103" s="15"/>
      <c r="V103" s="15"/>
      <c r="W103" s="15"/>
      <c r="X103" s="15"/>
      <c r="Y103" s="15"/>
      <c r="Z103" s="15"/>
    </row>
    <row r="104" spans="1:26" ht="15.75" customHeight="1" x14ac:dyDescent="0.25">
      <c r="A104" s="96" t="s">
        <v>1411</v>
      </c>
      <c r="B104" s="41"/>
      <c r="C104" s="43"/>
      <c r="D104" s="43"/>
      <c r="E104" s="43"/>
      <c r="F104" s="484"/>
      <c r="G104" s="444"/>
      <c r="H104" s="269"/>
      <c r="I104" s="269"/>
      <c r="J104" s="269"/>
      <c r="K104" s="167"/>
      <c r="L104" s="15"/>
      <c r="M104" s="15"/>
      <c r="N104" s="15"/>
      <c r="O104" s="15"/>
      <c r="P104" s="15"/>
      <c r="Q104" s="15"/>
      <c r="R104" s="15"/>
      <c r="S104" s="15"/>
      <c r="T104" s="15"/>
      <c r="U104" s="15"/>
      <c r="V104" s="15"/>
      <c r="W104" s="15"/>
      <c r="X104" s="15"/>
      <c r="Y104" s="15"/>
      <c r="Z104" s="15"/>
    </row>
    <row r="105" spans="1:26" ht="15.75" customHeight="1" x14ac:dyDescent="0.25">
      <c r="A105" s="17" t="s">
        <v>820</v>
      </c>
      <c r="B105" s="17"/>
      <c r="C105" s="42"/>
      <c r="D105" s="26"/>
      <c r="E105" s="43"/>
      <c r="F105" s="443"/>
      <c r="G105" s="444"/>
      <c r="H105" s="270"/>
      <c r="I105" s="270"/>
      <c r="J105" s="270"/>
      <c r="K105" s="212"/>
      <c r="L105" s="114"/>
      <c r="M105" s="114"/>
      <c r="N105" s="114"/>
      <c r="O105" s="114"/>
      <c r="P105" s="114"/>
      <c r="Q105" s="114"/>
      <c r="R105" s="114"/>
      <c r="S105" s="114"/>
      <c r="T105" s="114"/>
      <c r="U105" s="114"/>
      <c r="V105" s="114"/>
      <c r="W105" s="114"/>
      <c r="X105" s="114"/>
      <c r="Y105" s="114"/>
      <c r="Z105" s="114"/>
    </row>
    <row r="106" spans="1:26" ht="15.75" customHeight="1" x14ac:dyDescent="0.25">
      <c r="A106" s="44" t="s">
        <v>1412</v>
      </c>
      <c r="B106" s="41" t="s">
        <v>55</v>
      </c>
      <c r="C106" s="43">
        <v>0</v>
      </c>
      <c r="D106" s="56">
        <v>0</v>
      </c>
      <c r="E106" s="43">
        <f>F106-D106</f>
        <v>0</v>
      </c>
      <c r="F106" s="484">
        <v>0</v>
      </c>
      <c r="G106" s="444">
        <v>300000</v>
      </c>
      <c r="H106" s="270"/>
      <c r="I106" s="270"/>
      <c r="J106" s="270"/>
      <c r="K106" s="212"/>
      <c r="L106" s="114"/>
      <c r="M106" s="114"/>
      <c r="N106" s="114"/>
      <c r="O106" s="114"/>
      <c r="P106" s="114"/>
      <c r="Q106" s="114"/>
      <c r="R106" s="114"/>
      <c r="S106" s="114"/>
      <c r="T106" s="114"/>
      <c r="U106" s="114"/>
      <c r="V106" s="114"/>
      <c r="W106" s="114"/>
      <c r="X106" s="114"/>
      <c r="Y106" s="114"/>
      <c r="Z106" s="114"/>
    </row>
    <row r="107" spans="1:26" ht="15.75" customHeight="1" x14ac:dyDescent="0.25">
      <c r="A107" s="44" t="s">
        <v>1413</v>
      </c>
      <c r="B107" s="17"/>
      <c r="C107" s="42"/>
      <c r="D107" s="26"/>
      <c r="E107" s="43"/>
      <c r="F107" s="443"/>
      <c r="G107" s="444"/>
      <c r="H107" s="270"/>
      <c r="I107" s="270"/>
      <c r="J107" s="270"/>
      <c r="K107" s="212"/>
      <c r="L107" s="114"/>
      <c r="M107" s="114"/>
      <c r="N107" s="114"/>
      <c r="O107" s="114"/>
      <c r="P107" s="114"/>
      <c r="Q107" s="114"/>
      <c r="R107" s="114"/>
      <c r="S107" s="114"/>
      <c r="T107" s="114"/>
      <c r="U107" s="114"/>
      <c r="V107" s="114"/>
      <c r="W107" s="114"/>
      <c r="X107" s="114"/>
      <c r="Y107" s="114"/>
      <c r="Z107" s="114"/>
    </row>
    <row r="108" spans="1:26" ht="15.75" customHeight="1" x14ac:dyDescent="0.25">
      <c r="A108" s="56" t="s">
        <v>1414</v>
      </c>
      <c r="B108" s="205" t="s">
        <v>107</v>
      </c>
      <c r="C108" s="43">
        <v>0</v>
      </c>
      <c r="D108" s="56">
        <v>0</v>
      </c>
      <c r="E108" s="43">
        <f>F108-D108</f>
        <v>0</v>
      </c>
      <c r="F108" s="484">
        <v>0</v>
      </c>
      <c r="G108" s="547">
        <v>1800000</v>
      </c>
      <c r="H108" s="270"/>
      <c r="I108" s="270"/>
      <c r="J108" s="270"/>
      <c r="K108" s="212"/>
      <c r="L108" s="114"/>
      <c r="M108" s="114"/>
      <c r="N108" s="114"/>
      <c r="O108" s="114"/>
      <c r="P108" s="114"/>
      <c r="Q108" s="114"/>
      <c r="R108" s="114"/>
      <c r="S108" s="114"/>
      <c r="T108" s="114"/>
      <c r="U108" s="114"/>
      <c r="V108" s="114"/>
      <c r="W108" s="114"/>
      <c r="X108" s="114"/>
      <c r="Y108" s="114"/>
      <c r="Z108" s="114"/>
    </row>
    <row r="109" spans="1:26" ht="15.75" customHeight="1" x14ac:dyDescent="0.25">
      <c r="A109" s="44" t="s">
        <v>1415</v>
      </c>
      <c r="B109" s="17"/>
      <c r="C109" s="42"/>
      <c r="D109" s="26"/>
      <c r="E109" s="43"/>
      <c r="F109" s="443"/>
      <c r="G109" s="444"/>
      <c r="H109" s="270"/>
      <c r="I109" s="270"/>
      <c r="J109" s="270"/>
      <c r="K109" s="212"/>
      <c r="L109" s="114"/>
      <c r="M109" s="114"/>
      <c r="N109" s="114"/>
      <c r="O109" s="114"/>
      <c r="P109" s="114"/>
      <c r="Q109" s="114"/>
      <c r="R109" s="114"/>
      <c r="S109" s="114"/>
      <c r="T109" s="114"/>
      <c r="U109" s="114"/>
      <c r="V109" s="114"/>
      <c r="W109" s="114"/>
      <c r="X109" s="114"/>
      <c r="Y109" s="114"/>
      <c r="Z109" s="114"/>
    </row>
    <row r="110" spans="1:26" ht="15.75" customHeight="1" x14ac:dyDescent="0.25">
      <c r="A110" s="17" t="s">
        <v>1214</v>
      </c>
      <c r="B110" s="172"/>
      <c r="C110" s="79">
        <f>+SUM(C97:C104)</f>
        <v>4097910</v>
      </c>
      <c r="D110" s="79">
        <f>+SUM(D97:D104)</f>
        <v>61500</v>
      </c>
      <c r="E110" s="54">
        <f>F110-D110</f>
        <v>10500</v>
      </c>
      <c r="F110" s="496">
        <f>+SUM(F97:F104)</f>
        <v>72000</v>
      </c>
      <c r="G110" s="491">
        <f>+SUM(G97:G109)</f>
        <v>7666000</v>
      </c>
      <c r="H110" s="270"/>
      <c r="I110" s="270"/>
      <c r="J110" s="270"/>
      <c r="K110" s="212"/>
      <c r="L110" s="114"/>
      <c r="M110" s="114"/>
      <c r="N110" s="114"/>
      <c r="O110" s="114"/>
      <c r="P110" s="114"/>
      <c r="Q110" s="114"/>
      <c r="R110" s="114"/>
      <c r="S110" s="114"/>
      <c r="T110" s="114"/>
      <c r="U110" s="114"/>
      <c r="V110" s="114"/>
      <c r="W110" s="114"/>
      <c r="X110" s="114"/>
      <c r="Y110" s="114"/>
      <c r="Z110" s="114"/>
    </row>
    <row r="111" spans="1:26" ht="15.75" customHeight="1" x14ac:dyDescent="0.25">
      <c r="A111" s="17"/>
      <c r="B111" s="172"/>
      <c r="C111" s="39"/>
      <c r="D111" s="55"/>
      <c r="E111" s="43"/>
      <c r="F111" s="55"/>
      <c r="G111" s="55"/>
      <c r="H111" s="270"/>
      <c r="I111" s="270"/>
      <c r="J111" s="270"/>
      <c r="K111" s="212"/>
      <c r="L111" s="114"/>
      <c r="M111" s="114"/>
      <c r="N111" s="114"/>
      <c r="O111" s="114"/>
      <c r="P111" s="114"/>
      <c r="Q111" s="114"/>
      <c r="R111" s="114"/>
      <c r="S111" s="114"/>
      <c r="T111" s="114"/>
      <c r="U111" s="114"/>
      <c r="V111" s="114"/>
      <c r="W111" s="114"/>
      <c r="X111" s="114"/>
      <c r="Y111" s="114"/>
      <c r="Z111" s="114"/>
    </row>
    <row r="112" spans="1:26" ht="15.75" customHeight="1" x14ac:dyDescent="0.25">
      <c r="A112" s="160" t="s">
        <v>487</v>
      </c>
      <c r="B112" s="278" t="s">
        <v>488</v>
      </c>
      <c r="C112" s="97">
        <f>+C110+C93</f>
        <v>268468728.71000004</v>
      </c>
      <c r="D112" s="97">
        <f>+D110+D93</f>
        <v>90378811.63000001</v>
      </c>
      <c r="E112" s="54">
        <f>F112-D112</f>
        <v>233974788.37</v>
      </c>
      <c r="F112" s="97">
        <f>+F110+F93</f>
        <v>324353600</v>
      </c>
      <c r="G112" s="54">
        <f>+G110+G93</f>
        <v>315576015</v>
      </c>
      <c r="H112" s="279" t="s">
        <v>488</v>
      </c>
      <c r="I112" s="279" t="s">
        <v>488</v>
      </c>
      <c r="J112" s="279"/>
      <c r="K112" s="280"/>
      <c r="L112" s="176"/>
      <c r="M112" s="176"/>
      <c r="N112" s="176"/>
      <c r="O112" s="176"/>
      <c r="P112" s="176"/>
      <c r="Q112" s="176"/>
      <c r="R112" s="176"/>
      <c r="S112" s="176"/>
      <c r="T112" s="176"/>
      <c r="U112" s="176"/>
      <c r="V112" s="176"/>
      <c r="W112" s="176"/>
      <c r="X112" s="176"/>
      <c r="Y112" s="176"/>
      <c r="Z112" s="176"/>
    </row>
    <row r="113" spans="1:26" ht="15.75" customHeight="1" x14ac:dyDescent="0.25">
      <c r="A113" s="24"/>
      <c r="B113" s="174"/>
      <c r="C113" s="99"/>
      <c r="D113" s="99"/>
      <c r="E113" s="99"/>
      <c r="F113" s="60"/>
      <c r="G113" s="60"/>
      <c r="H113" s="270"/>
      <c r="I113" s="270"/>
      <c r="J113" s="270"/>
      <c r="K113" s="212"/>
      <c r="L113" s="114"/>
      <c r="M113" s="114"/>
      <c r="N113" s="114"/>
      <c r="O113" s="114"/>
      <c r="P113" s="114"/>
      <c r="Q113" s="114"/>
      <c r="R113" s="114"/>
      <c r="S113" s="114"/>
      <c r="T113" s="114"/>
      <c r="U113" s="114"/>
      <c r="V113" s="114"/>
      <c r="W113" s="114"/>
      <c r="X113" s="114"/>
      <c r="Y113" s="114"/>
      <c r="Z113" s="114"/>
    </row>
    <row r="114" spans="1:26" ht="15.75" customHeight="1" x14ac:dyDescent="0.25">
      <c r="A114" s="24"/>
      <c r="B114" s="98"/>
      <c r="C114" s="24"/>
      <c r="D114" s="24"/>
      <c r="E114" s="24"/>
      <c r="F114" s="15"/>
      <c r="G114" s="24"/>
      <c r="H114" s="269"/>
      <c r="I114" s="269"/>
      <c r="J114" s="269"/>
      <c r="K114" s="167"/>
      <c r="L114" s="15"/>
      <c r="M114" s="15"/>
      <c r="N114" s="15"/>
      <c r="O114" s="15"/>
      <c r="P114" s="15"/>
      <c r="Q114" s="15"/>
      <c r="R114" s="15"/>
      <c r="S114" s="15"/>
      <c r="T114" s="15"/>
      <c r="U114" s="15"/>
      <c r="V114" s="15"/>
      <c r="W114" s="15"/>
      <c r="X114" s="15"/>
      <c r="Y114" s="15"/>
      <c r="Z114" s="15"/>
    </row>
    <row r="115" spans="1:26" ht="15.75" customHeight="1" x14ac:dyDescent="0.25">
      <c r="A115" s="24"/>
      <c r="B115" s="174"/>
      <c r="C115" s="24"/>
      <c r="D115" s="24"/>
      <c r="E115" s="24"/>
      <c r="F115" s="114"/>
      <c r="G115" s="7"/>
      <c r="H115" s="270"/>
      <c r="I115" s="270"/>
      <c r="J115" s="270"/>
      <c r="K115" s="212"/>
      <c r="L115" s="114"/>
      <c r="M115" s="114"/>
      <c r="N115" s="114"/>
      <c r="O115" s="114"/>
      <c r="P115" s="114"/>
      <c r="Q115" s="114"/>
      <c r="R115" s="114"/>
      <c r="S115" s="114"/>
      <c r="T115" s="114"/>
      <c r="U115" s="114"/>
      <c r="V115" s="114"/>
      <c r="W115" s="114"/>
      <c r="X115" s="114"/>
      <c r="Y115" s="114"/>
      <c r="Z115" s="114"/>
    </row>
    <row r="116" spans="1:26" ht="15.75" customHeight="1" x14ac:dyDescent="0.25">
      <c r="A116" s="24"/>
      <c r="B116" s="174"/>
      <c r="C116" s="24"/>
      <c r="D116" s="24"/>
      <c r="E116" s="24"/>
      <c r="F116" s="114"/>
      <c r="G116" s="114"/>
      <c r="H116" s="270"/>
      <c r="I116" s="270"/>
      <c r="J116" s="270"/>
      <c r="K116" s="212"/>
      <c r="L116" s="114"/>
      <c r="M116" s="114"/>
      <c r="N116" s="114"/>
      <c r="O116" s="114"/>
      <c r="P116" s="114"/>
      <c r="Q116" s="114"/>
      <c r="R116" s="114"/>
      <c r="S116" s="114"/>
      <c r="T116" s="114"/>
      <c r="U116" s="114"/>
      <c r="V116" s="114"/>
      <c r="W116" s="114"/>
      <c r="X116" s="114"/>
      <c r="Y116" s="114"/>
      <c r="Z116" s="114"/>
    </row>
    <row r="117" spans="1:26" ht="15.75" customHeight="1" x14ac:dyDescent="0.25">
      <c r="A117" s="24"/>
      <c r="B117" s="174"/>
      <c r="C117" s="24"/>
      <c r="D117" s="24"/>
      <c r="E117" s="24"/>
      <c r="F117" s="24"/>
      <c r="G117" s="24"/>
      <c r="H117" s="270"/>
      <c r="I117" s="270"/>
      <c r="J117" s="270"/>
      <c r="K117" s="212"/>
      <c r="L117" s="114"/>
      <c r="M117" s="114"/>
      <c r="N117" s="114"/>
      <c r="O117" s="114"/>
      <c r="P117" s="114"/>
      <c r="Q117" s="114"/>
      <c r="R117" s="114"/>
      <c r="S117" s="114"/>
      <c r="T117" s="114"/>
      <c r="U117" s="114"/>
      <c r="V117" s="114"/>
      <c r="W117" s="114"/>
      <c r="X117" s="114"/>
      <c r="Y117" s="114"/>
      <c r="Z117" s="114"/>
    </row>
    <row r="118" spans="1:26" ht="15.75" customHeight="1" x14ac:dyDescent="0.25">
      <c r="A118" s="24"/>
      <c r="B118" s="174"/>
      <c r="C118" s="24"/>
      <c r="D118" s="24"/>
      <c r="E118" s="24"/>
      <c r="F118" s="114"/>
      <c r="G118" s="114"/>
      <c r="H118" s="270"/>
      <c r="I118" s="270"/>
      <c r="J118" s="270"/>
      <c r="K118" s="212"/>
      <c r="L118" s="114"/>
      <c r="M118" s="114"/>
      <c r="N118" s="114"/>
      <c r="O118" s="114"/>
      <c r="P118" s="114"/>
      <c r="Q118" s="114"/>
      <c r="R118" s="114"/>
      <c r="S118" s="114"/>
      <c r="T118" s="114"/>
      <c r="U118" s="114"/>
      <c r="V118" s="114"/>
      <c r="W118" s="114"/>
      <c r="X118" s="114"/>
      <c r="Y118" s="114"/>
      <c r="Z118" s="114"/>
    </row>
    <row r="119" spans="1:26" ht="15.75" customHeight="1" x14ac:dyDescent="0.25">
      <c r="A119" s="24"/>
      <c r="B119" s="174"/>
      <c r="C119" s="24"/>
      <c r="D119" s="24"/>
      <c r="E119" s="24"/>
      <c r="F119" s="114"/>
      <c r="G119" s="114"/>
      <c r="H119" s="270"/>
      <c r="I119" s="270"/>
      <c r="J119" s="270"/>
      <c r="K119" s="212"/>
      <c r="L119" s="114"/>
      <c r="M119" s="114"/>
      <c r="N119" s="114"/>
      <c r="O119" s="114"/>
      <c r="P119" s="114"/>
      <c r="Q119" s="114"/>
      <c r="R119" s="114"/>
      <c r="S119" s="114"/>
      <c r="T119" s="114"/>
      <c r="U119" s="114"/>
      <c r="V119" s="114"/>
      <c r="W119" s="114"/>
      <c r="X119" s="114"/>
      <c r="Y119" s="114"/>
      <c r="Z119" s="114"/>
    </row>
    <row r="120" spans="1:26" ht="15.75" customHeight="1" x14ac:dyDescent="0.25">
      <c r="A120" s="24"/>
      <c r="B120" s="174"/>
      <c r="C120" s="24"/>
      <c r="D120" s="24"/>
      <c r="E120" s="24"/>
      <c r="F120" s="114"/>
      <c r="G120" s="114"/>
      <c r="H120" s="270"/>
      <c r="I120" s="270"/>
      <c r="J120" s="270"/>
      <c r="K120" s="212"/>
      <c r="L120" s="114"/>
      <c r="M120" s="114"/>
      <c r="N120" s="114"/>
      <c r="O120" s="114"/>
      <c r="P120" s="114"/>
      <c r="Q120" s="114"/>
      <c r="R120" s="114"/>
      <c r="S120" s="114"/>
      <c r="T120" s="114"/>
      <c r="U120" s="114"/>
      <c r="V120" s="114"/>
      <c r="W120" s="114"/>
      <c r="X120" s="114"/>
      <c r="Y120" s="114"/>
      <c r="Z120" s="114"/>
    </row>
    <row r="121" spans="1:26" ht="15.75" customHeight="1" x14ac:dyDescent="0.25">
      <c r="A121" s="24"/>
      <c r="B121" s="174"/>
      <c r="C121" s="24"/>
      <c r="D121" s="24"/>
      <c r="E121" s="24"/>
      <c r="F121" s="114"/>
      <c r="G121" s="114"/>
      <c r="H121" s="270"/>
      <c r="I121" s="270"/>
      <c r="J121" s="270"/>
      <c r="K121" s="212"/>
      <c r="L121" s="114"/>
      <c r="M121" s="114"/>
      <c r="N121" s="114"/>
      <c r="O121" s="114"/>
      <c r="P121" s="114"/>
      <c r="Q121" s="114"/>
      <c r="R121" s="114"/>
      <c r="S121" s="114"/>
      <c r="T121" s="114"/>
      <c r="U121" s="114"/>
      <c r="V121" s="114"/>
      <c r="W121" s="114"/>
      <c r="X121" s="114"/>
      <c r="Y121" s="114"/>
      <c r="Z121" s="114"/>
    </row>
    <row r="122" spans="1:26" ht="15.75" customHeight="1" x14ac:dyDescent="0.25">
      <c r="A122" s="24"/>
      <c r="B122" s="174"/>
      <c r="C122" s="24"/>
      <c r="D122" s="24"/>
      <c r="E122" s="24"/>
      <c r="F122" s="114"/>
      <c r="G122" s="114"/>
      <c r="H122" s="270"/>
      <c r="I122" s="270"/>
      <c r="J122" s="270"/>
      <c r="K122" s="212"/>
      <c r="L122" s="114"/>
      <c r="M122" s="114"/>
      <c r="N122" s="114"/>
      <c r="O122" s="114"/>
      <c r="P122" s="114"/>
      <c r="Q122" s="114"/>
      <c r="R122" s="114"/>
      <c r="S122" s="114"/>
      <c r="T122" s="114"/>
      <c r="U122" s="114"/>
      <c r="V122" s="114"/>
      <c r="W122" s="114"/>
      <c r="X122" s="114"/>
      <c r="Y122" s="114"/>
      <c r="Z122" s="114"/>
    </row>
    <row r="123" spans="1:26" ht="15.75" customHeight="1" x14ac:dyDescent="0.25">
      <c r="A123" s="24"/>
      <c r="B123" s="174"/>
      <c r="C123" s="24"/>
      <c r="D123" s="24"/>
      <c r="E123" s="24"/>
      <c r="F123" s="114"/>
      <c r="G123" s="114"/>
      <c r="H123" s="270"/>
      <c r="I123" s="270"/>
      <c r="J123" s="270"/>
      <c r="K123" s="212"/>
      <c r="L123" s="114"/>
      <c r="M123" s="114"/>
      <c r="N123" s="114"/>
      <c r="O123" s="114"/>
      <c r="P123" s="114"/>
      <c r="Q123" s="114"/>
      <c r="R123" s="114"/>
      <c r="S123" s="114"/>
      <c r="T123" s="114"/>
      <c r="U123" s="114"/>
      <c r="V123" s="114"/>
      <c r="W123" s="114"/>
      <c r="X123" s="114"/>
      <c r="Y123" s="114"/>
      <c r="Z123" s="114"/>
    </row>
    <row r="124" spans="1:26" ht="15.75" customHeight="1" x14ac:dyDescent="0.25">
      <c r="A124" s="24"/>
      <c r="B124" s="174"/>
      <c r="C124" s="24"/>
      <c r="D124" s="24"/>
      <c r="E124" s="24"/>
      <c r="F124" s="114"/>
      <c r="G124" s="114"/>
      <c r="H124" s="270"/>
      <c r="I124" s="270"/>
      <c r="J124" s="270"/>
      <c r="K124" s="212"/>
      <c r="L124" s="114"/>
      <c r="M124" s="114"/>
      <c r="N124" s="114"/>
      <c r="O124" s="114"/>
      <c r="P124" s="114"/>
      <c r="Q124" s="114"/>
      <c r="R124" s="114"/>
      <c r="S124" s="114"/>
      <c r="T124" s="114"/>
      <c r="U124" s="114"/>
      <c r="V124" s="114"/>
      <c r="W124" s="114"/>
      <c r="X124" s="114"/>
      <c r="Y124" s="114"/>
      <c r="Z124" s="114"/>
    </row>
    <row r="125" spans="1:26" ht="15.75" customHeight="1" x14ac:dyDescent="0.25">
      <c r="A125" s="24"/>
      <c r="B125" s="174"/>
      <c r="C125" s="24"/>
      <c r="D125" s="24"/>
      <c r="E125" s="24"/>
      <c r="F125" s="114"/>
      <c r="G125" s="114"/>
      <c r="H125" s="270"/>
      <c r="I125" s="270"/>
      <c r="J125" s="270"/>
      <c r="K125" s="212"/>
      <c r="L125" s="114"/>
      <c r="M125" s="114"/>
      <c r="N125" s="114"/>
      <c r="O125" s="114"/>
      <c r="P125" s="114"/>
      <c r="Q125" s="114"/>
      <c r="R125" s="114"/>
      <c r="S125" s="114"/>
      <c r="T125" s="114"/>
      <c r="U125" s="114"/>
      <c r="V125" s="114"/>
      <c r="W125" s="114"/>
      <c r="X125" s="114"/>
      <c r="Y125" s="114"/>
      <c r="Z125" s="114"/>
    </row>
    <row r="126" spans="1:26" ht="15.75" customHeight="1" x14ac:dyDescent="0.25">
      <c r="A126" s="24"/>
      <c r="B126" s="174"/>
      <c r="C126" s="24"/>
      <c r="D126" s="24"/>
      <c r="E126" s="24"/>
      <c r="F126" s="114"/>
      <c r="G126" s="114"/>
      <c r="H126" s="270"/>
      <c r="I126" s="270"/>
      <c r="J126" s="270"/>
      <c r="K126" s="212"/>
      <c r="L126" s="114"/>
      <c r="M126" s="114"/>
      <c r="N126" s="114"/>
      <c r="O126" s="114"/>
      <c r="P126" s="114"/>
      <c r="Q126" s="114"/>
      <c r="R126" s="114"/>
      <c r="S126" s="114"/>
      <c r="T126" s="114"/>
      <c r="U126" s="114"/>
      <c r="V126" s="114"/>
      <c r="W126" s="114"/>
      <c r="X126" s="114"/>
      <c r="Y126" s="114"/>
      <c r="Z126" s="114"/>
    </row>
    <row r="127" spans="1:26" ht="15.75" customHeight="1" x14ac:dyDescent="0.25">
      <c r="A127" s="24"/>
      <c r="B127" s="174"/>
      <c r="C127" s="24"/>
      <c r="D127" s="24"/>
      <c r="E127" s="24"/>
      <c r="F127" s="114"/>
      <c r="G127" s="114"/>
      <c r="H127" s="270"/>
      <c r="I127" s="270"/>
      <c r="J127" s="270"/>
      <c r="K127" s="212"/>
      <c r="L127" s="114"/>
      <c r="M127" s="114"/>
      <c r="N127" s="114"/>
      <c r="O127" s="114"/>
      <c r="P127" s="114"/>
      <c r="Q127" s="114"/>
      <c r="R127" s="114"/>
      <c r="S127" s="114"/>
      <c r="T127" s="114"/>
      <c r="U127" s="114"/>
      <c r="V127" s="114"/>
      <c r="W127" s="114"/>
      <c r="X127" s="114"/>
      <c r="Y127" s="114"/>
      <c r="Z127" s="114"/>
    </row>
    <row r="128" spans="1:26" ht="15.75" customHeight="1" x14ac:dyDescent="0.25">
      <c r="A128" s="24"/>
      <c r="B128" s="174"/>
      <c r="C128" s="24"/>
      <c r="D128" s="24"/>
      <c r="E128" s="24"/>
      <c r="F128" s="114"/>
      <c r="G128" s="114"/>
      <c r="H128" s="270"/>
      <c r="I128" s="270"/>
      <c r="J128" s="270"/>
      <c r="K128" s="212"/>
      <c r="L128" s="114"/>
      <c r="M128" s="114"/>
      <c r="N128" s="114"/>
      <c r="O128" s="114"/>
      <c r="P128" s="114"/>
      <c r="Q128" s="114"/>
      <c r="R128" s="114"/>
      <c r="S128" s="114"/>
      <c r="T128" s="114"/>
      <c r="U128" s="114"/>
      <c r="V128" s="114"/>
      <c r="W128" s="114"/>
      <c r="X128" s="114"/>
      <c r="Y128" s="114"/>
      <c r="Z128" s="114"/>
    </row>
    <row r="129" spans="1:26" ht="15.75" customHeight="1" x14ac:dyDescent="0.25">
      <c r="A129" s="24"/>
      <c r="B129" s="174"/>
      <c r="C129" s="24"/>
      <c r="D129" s="24"/>
      <c r="E129" s="24"/>
      <c r="F129" s="114"/>
      <c r="G129" s="114"/>
      <c r="H129" s="270"/>
      <c r="I129" s="270"/>
      <c r="J129" s="270"/>
      <c r="K129" s="212"/>
      <c r="L129" s="114"/>
      <c r="M129" s="114"/>
      <c r="N129" s="114"/>
      <c r="O129" s="114"/>
      <c r="P129" s="114"/>
      <c r="Q129" s="114"/>
      <c r="R129" s="114"/>
      <c r="S129" s="114"/>
      <c r="T129" s="114"/>
      <c r="U129" s="114"/>
      <c r="V129" s="114"/>
      <c r="W129" s="114"/>
      <c r="X129" s="114"/>
      <c r="Y129" s="114"/>
      <c r="Z129" s="114"/>
    </row>
    <row r="130" spans="1:26" ht="15.75" customHeight="1" x14ac:dyDescent="0.25">
      <c r="A130" s="24"/>
      <c r="B130" s="174"/>
      <c r="C130" s="24"/>
      <c r="D130" s="24"/>
      <c r="E130" s="24"/>
      <c r="F130" s="114"/>
      <c r="G130" s="114"/>
      <c r="H130" s="270"/>
      <c r="I130" s="270"/>
      <c r="J130" s="270"/>
      <c r="K130" s="212"/>
      <c r="L130" s="114"/>
      <c r="M130" s="114"/>
      <c r="N130" s="114"/>
      <c r="O130" s="114"/>
      <c r="P130" s="114"/>
      <c r="Q130" s="114"/>
      <c r="R130" s="114"/>
      <c r="S130" s="114"/>
      <c r="T130" s="114"/>
      <c r="U130" s="114"/>
      <c r="V130" s="114"/>
      <c r="W130" s="114"/>
      <c r="X130" s="114"/>
      <c r="Y130" s="114"/>
      <c r="Z130" s="114"/>
    </row>
    <row r="131" spans="1:26" ht="15.75" customHeight="1" x14ac:dyDescent="0.25">
      <c r="A131" s="24"/>
      <c r="B131" s="174"/>
      <c r="C131" s="24"/>
      <c r="D131" s="24"/>
      <c r="E131" s="24"/>
      <c r="F131" s="114"/>
      <c r="G131" s="114"/>
      <c r="H131" s="270"/>
      <c r="I131" s="270"/>
      <c r="J131" s="270"/>
      <c r="K131" s="212"/>
      <c r="L131" s="114"/>
      <c r="M131" s="114"/>
      <c r="N131" s="114"/>
      <c r="O131" s="114"/>
      <c r="P131" s="114"/>
      <c r="Q131" s="114"/>
      <c r="R131" s="114"/>
      <c r="S131" s="114"/>
      <c r="T131" s="114"/>
      <c r="U131" s="114"/>
      <c r="V131" s="114"/>
      <c r="W131" s="114"/>
      <c r="X131" s="114"/>
      <c r="Y131" s="114"/>
      <c r="Z131" s="114"/>
    </row>
    <row r="132" spans="1:26" ht="15.75" customHeight="1" x14ac:dyDescent="0.25">
      <c r="A132" s="24"/>
      <c r="B132" s="174"/>
      <c r="C132" s="24"/>
      <c r="D132" s="24"/>
      <c r="E132" s="24"/>
      <c r="F132" s="114"/>
      <c r="G132" s="114"/>
      <c r="H132" s="270"/>
      <c r="I132" s="270"/>
      <c r="J132" s="270"/>
      <c r="K132" s="212"/>
      <c r="L132" s="114"/>
      <c r="M132" s="114"/>
      <c r="N132" s="114"/>
      <c r="O132" s="114"/>
      <c r="P132" s="114"/>
      <c r="Q132" s="114"/>
      <c r="R132" s="114"/>
      <c r="S132" s="114"/>
      <c r="T132" s="114"/>
      <c r="U132" s="114"/>
      <c r="V132" s="114"/>
      <c r="W132" s="114"/>
      <c r="X132" s="114"/>
      <c r="Y132" s="114"/>
      <c r="Z132" s="114"/>
    </row>
    <row r="133" spans="1:26" ht="15.75" customHeight="1" x14ac:dyDescent="0.25">
      <c r="A133" s="24"/>
      <c r="B133" s="174"/>
      <c r="C133" s="24"/>
      <c r="D133" s="24"/>
      <c r="E133" s="24"/>
      <c r="F133" s="114"/>
      <c r="G133" s="114"/>
      <c r="H133" s="270"/>
      <c r="I133" s="270"/>
      <c r="J133" s="270"/>
      <c r="K133" s="212"/>
      <c r="L133" s="114"/>
      <c r="M133" s="114"/>
      <c r="N133" s="114"/>
      <c r="O133" s="114"/>
      <c r="P133" s="114"/>
      <c r="Q133" s="114"/>
      <c r="R133" s="114"/>
      <c r="S133" s="114"/>
      <c r="T133" s="114"/>
      <c r="U133" s="114"/>
      <c r="V133" s="114"/>
      <c r="W133" s="114"/>
      <c r="X133" s="114"/>
      <c r="Y133" s="114"/>
      <c r="Z133" s="114"/>
    </row>
    <row r="134" spans="1:26" ht="15.75" customHeight="1" x14ac:dyDescent="0.25">
      <c r="A134" s="24"/>
      <c r="B134" s="174"/>
      <c r="C134" s="24"/>
      <c r="D134" s="24"/>
      <c r="E134" s="24"/>
      <c r="F134" s="114"/>
      <c r="G134" s="114"/>
      <c r="H134" s="270"/>
      <c r="I134" s="270"/>
      <c r="J134" s="270"/>
      <c r="K134" s="212"/>
      <c r="L134" s="114"/>
      <c r="M134" s="114"/>
      <c r="N134" s="114"/>
      <c r="O134" s="114"/>
      <c r="P134" s="114"/>
      <c r="Q134" s="114"/>
      <c r="R134" s="114"/>
      <c r="S134" s="114"/>
      <c r="T134" s="114"/>
      <c r="U134" s="114"/>
      <c r="V134" s="114"/>
      <c r="W134" s="114"/>
      <c r="X134" s="114"/>
      <c r="Y134" s="114"/>
      <c r="Z134" s="114"/>
    </row>
    <row r="135" spans="1:26" ht="15.75" customHeight="1" x14ac:dyDescent="0.25">
      <c r="A135" s="24"/>
      <c r="B135" s="174"/>
      <c r="C135" s="24"/>
      <c r="D135" s="24"/>
      <c r="E135" s="24"/>
      <c r="F135" s="114"/>
      <c r="G135" s="114"/>
      <c r="H135" s="270"/>
      <c r="I135" s="270"/>
      <c r="J135" s="270"/>
      <c r="K135" s="212"/>
      <c r="L135" s="114"/>
      <c r="M135" s="114"/>
      <c r="N135" s="114"/>
      <c r="O135" s="114"/>
      <c r="P135" s="114"/>
      <c r="Q135" s="114"/>
      <c r="R135" s="114"/>
      <c r="S135" s="114"/>
      <c r="T135" s="114"/>
      <c r="U135" s="114"/>
      <c r="V135" s="114"/>
      <c r="W135" s="114"/>
      <c r="X135" s="114"/>
      <c r="Y135" s="114"/>
      <c r="Z135" s="114"/>
    </row>
    <row r="136" spans="1:26" ht="15.75" customHeight="1" x14ac:dyDescent="0.25">
      <c r="A136" s="24"/>
      <c r="B136" s="174"/>
      <c r="C136" s="24"/>
      <c r="D136" s="24"/>
      <c r="E136" s="24"/>
      <c r="F136" s="114"/>
      <c r="G136" s="114"/>
      <c r="H136" s="270"/>
      <c r="I136" s="270"/>
      <c r="J136" s="270"/>
      <c r="K136" s="212"/>
      <c r="L136" s="114"/>
      <c r="M136" s="114"/>
      <c r="N136" s="114"/>
      <c r="O136" s="114"/>
      <c r="P136" s="114"/>
      <c r="Q136" s="114"/>
      <c r="R136" s="114"/>
      <c r="S136" s="114"/>
      <c r="T136" s="114"/>
      <c r="U136" s="114"/>
      <c r="V136" s="114"/>
      <c r="W136" s="114"/>
      <c r="X136" s="114"/>
      <c r="Y136" s="114"/>
      <c r="Z136" s="114"/>
    </row>
    <row r="137" spans="1:26" ht="15.75" customHeight="1" x14ac:dyDescent="0.25">
      <c r="A137" s="24"/>
      <c r="B137" s="174"/>
      <c r="C137" s="24"/>
      <c r="D137" s="24"/>
      <c r="E137" s="24"/>
      <c r="F137" s="114"/>
      <c r="G137" s="114"/>
      <c r="H137" s="270"/>
      <c r="I137" s="270"/>
      <c r="J137" s="270"/>
      <c r="K137" s="212"/>
      <c r="L137" s="114"/>
      <c r="M137" s="114"/>
      <c r="N137" s="114"/>
      <c r="O137" s="114"/>
      <c r="P137" s="114"/>
      <c r="Q137" s="114"/>
      <c r="R137" s="114"/>
      <c r="S137" s="114"/>
      <c r="T137" s="114"/>
      <c r="U137" s="114"/>
      <c r="V137" s="114"/>
      <c r="W137" s="114"/>
      <c r="X137" s="114"/>
      <c r="Y137" s="114"/>
      <c r="Z137" s="114"/>
    </row>
    <row r="138" spans="1:26" ht="15.75" customHeight="1" x14ac:dyDescent="0.25">
      <c r="A138" s="24"/>
      <c r="B138" s="174"/>
      <c r="C138" s="24"/>
      <c r="D138" s="24"/>
      <c r="E138" s="24"/>
      <c r="F138" s="114"/>
      <c r="G138" s="114"/>
      <c r="H138" s="270"/>
      <c r="I138" s="270"/>
      <c r="J138" s="270"/>
      <c r="K138" s="212"/>
      <c r="L138" s="114"/>
      <c r="M138" s="114"/>
      <c r="N138" s="114"/>
      <c r="O138" s="114"/>
      <c r="P138" s="114"/>
      <c r="Q138" s="114"/>
      <c r="R138" s="114"/>
      <c r="S138" s="114"/>
      <c r="T138" s="114"/>
      <c r="U138" s="114"/>
      <c r="V138" s="114"/>
      <c r="W138" s="114"/>
      <c r="X138" s="114"/>
      <c r="Y138" s="114"/>
      <c r="Z138" s="114"/>
    </row>
    <row r="139" spans="1:26" ht="15.75" customHeight="1" x14ac:dyDescent="0.25">
      <c r="A139" s="24"/>
      <c r="B139" s="174"/>
      <c r="C139" s="24"/>
      <c r="D139" s="24"/>
      <c r="E139" s="24"/>
      <c r="F139" s="114"/>
      <c r="G139" s="114"/>
      <c r="H139" s="270"/>
      <c r="I139" s="270"/>
      <c r="J139" s="270"/>
      <c r="K139" s="212"/>
      <c r="L139" s="114"/>
      <c r="M139" s="114"/>
      <c r="N139" s="114"/>
      <c r="O139" s="114"/>
      <c r="P139" s="114"/>
      <c r="Q139" s="114"/>
      <c r="R139" s="114"/>
      <c r="S139" s="114"/>
      <c r="T139" s="114"/>
      <c r="U139" s="114"/>
      <c r="V139" s="114"/>
      <c r="W139" s="114"/>
      <c r="X139" s="114"/>
      <c r="Y139" s="114"/>
      <c r="Z139" s="114"/>
    </row>
    <row r="140" spans="1:26" ht="15.75" customHeight="1" x14ac:dyDescent="0.25">
      <c r="A140" s="24"/>
      <c r="B140" s="174"/>
      <c r="C140" s="24"/>
      <c r="D140" s="24"/>
      <c r="E140" s="24"/>
      <c r="F140" s="114"/>
      <c r="G140" s="114"/>
      <c r="H140" s="270"/>
      <c r="I140" s="270"/>
      <c r="J140" s="270"/>
      <c r="K140" s="212"/>
      <c r="L140" s="114"/>
      <c r="M140" s="114"/>
      <c r="N140" s="114"/>
      <c r="O140" s="114"/>
      <c r="P140" s="114"/>
      <c r="Q140" s="114"/>
      <c r="R140" s="114"/>
      <c r="S140" s="114"/>
      <c r="T140" s="114"/>
      <c r="U140" s="114"/>
      <c r="V140" s="114"/>
      <c r="W140" s="114"/>
      <c r="X140" s="114"/>
      <c r="Y140" s="114"/>
      <c r="Z140" s="114"/>
    </row>
    <row r="141" spans="1:26" ht="15.75" customHeight="1" x14ac:dyDescent="0.25">
      <c r="A141" s="24"/>
      <c r="B141" s="174"/>
      <c r="C141" s="24"/>
      <c r="D141" s="24"/>
      <c r="E141" s="24"/>
      <c r="F141" s="114"/>
      <c r="G141" s="114"/>
      <c r="H141" s="270"/>
      <c r="I141" s="270"/>
      <c r="J141" s="270"/>
      <c r="K141" s="212"/>
      <c r="L141" s="114"/>
      <c r="M141" s="114"/>
      <c r="N141" s="114"/>
      <c r="O141" s="114"/>
      <c r="P141" s="114"/>
      <c r="Q141" s="114"/>
      <c r="R141" s="114"/>
      <c r="S141" s="114"/>
      <c r="T141" s="114"/>
      <c r="U141" s="114"/>
      <c r="V141" s="114"/>
      <c r="W141" s="114"/>
      <c r="X141" s="114"/>
      <c r="Y141" s="114"/>
      <c r="Z141" s="114"/>
    </row>
    <row r="142" spans="1:26" ht="15.75" customHeight="1" x14ac:dyDescent="0.25">
      <c r="A142" s="24"/>
      <c r="B142" s="174"/>
      <c r="C142" s="24"/>
      <c r="D142" s="24"/>
      <c r="E142" s="24"/>
      <c r="F142" s="114"/>
      <c r="G142" s="114"/>
      <c r="H142" s="270"/>
      <c r="I142" s="270"/>
      <c r="J142" s="270"/>
      <c r="K142" s="212"/>
      <c r="L142" s="114"/>
      <c r="M142" s="114"/>
      <c r="N142" s="114"/>
      <c r="O142" s="114"/>
      <c r="P142" s="114"/>
      <c r="Q142" s="114"/>
      <c r="R142" s="114"/>
      <c r="S142" s="114"/>
      <c r="T142" s="114"/>
      <c r="U142" s="114"/>
      <c r="V142" s="114"/>
      <c r="W142" s="114"/>
      <c r="X142" s="114"/>
      <c r="Y142" s="114"/>
      <c r="Z142" s="114"/>
    </row>
    <row r="143" spans="1:26" ht="15.75" customHeight="1" x14ac:dyDescent="0.25">
      <c r="A143" s="24"/>
      <c r="B143" s="174"/>
      <c r="C143" s="24"/>
      <c r="D143" s="24"/>
      <c r="E143" s="24"/>
      <c r="F143" s="114"/>
      <c r="G143" s="114"/>
      <c r="H143" s="270"/>
      <c r="I143" s="270"/>
      <c r="J143" s="270"/>
      <c r="K143" s="212"/>
      <c r="L143" s="114"/>
      <c r="M143" s="114"/>
      <c r="N143" s="114"/>
      <c r="O143" s="114"/>
      <c r="P143" s="114"/>
      <c r="Q143" s="114"/>
      <c r="R143" s="114"/>
      <c r="S143" s="114"/>
      <c r="T143" s="114"/>
      <c r="U143" s="114"/>
      <c r="V143" s="114"/>
      <c r="W143" s="114"/>
      <c r="X143" s="114"/>
      <c r="Y143" s="114"/>
      <c r="Z143" s="114"/>
    </row>
    <row r="144" spans="1:26" ht="15.75" customHeight="1" x14ac:dyDescent="0.25">
      <c r="A144" s="24"/>
      <c r="B144" s="174"/>
      <c r="C144" s="24"/>
      <c r="D144" s="24"/>
      <c r="E144" s="24"/>
      <c r="F144" s="114"/>
      <c r="G144" s="114"/>
      <c r="H144" s="270"/>
      <c r="I144" s="270"/>
      <c r="J144" s="270"/>
      <c r="K144" s="212"/>
      <c r="L144" s="114"/>
      <c r="M144" s="114"/>
      <c r="N144" s="114"/>
      <c r="O144" s="114"/>
      <c r="P144" s="114"/>
      <c r="Q144" s="114"/>
      <c r="R144" s="114"/>
      <c r="S144" s="114"/>
      <c r="T144" s="114"/>
      <c r="U144" s="114"/>
      <c r="V144" s="114"/>
      <c r="W144" s="114"/>
      <c r="X144" s="114"/>
      <c r="Y144" s="114"/>
      <c r="Z144" s="114"/>
    </row>
    <row r="145" spans="1:26" ht="15.75" customHeight="1" x14ac:dyDescent="0.25">
      <c r="A145" s="24"/>
      <c r="B145" s="174"/>
      <c r="C145" s="24"/>
      <c r="D145" s="24"/>
      <c r="E145" s="24"/>
      <c r="F145" s="114"/>
      <c r="G145" s="114"/>
      <c r="H145" s="270"/>
      <c r="I145" s="270"/>
      <c r="J145" s="270"/>
      <c r="K145" s="212"/>
      <c r="L145" s="114"/>
      <c r="M145" s="114"/>
      <c r="N145" s="114"/>
      <c r="O145" s="114"/>
      <c r="P145" s="114"/>
      <c r="Q145" s="114"/>
      <c r="R145" s="114"/>
      <c r="S145" s="114"/>
      <c r="T145" s="114"/>
      <c r="U145" s="114"/>
      <c r="V145" s="114"/>
      <c r="W145" s="114"/>
      <c r="X145" s="114"/>
      <c r="Y145" s="114"/>
      <c r="Z145" s="114"/>
    </row>
    <row r="146" spans="1:26" ht="15.75" customHeight="1" x14ac:dyDescent="0.25">
      <c r="A146" s="24"/>
      <c r="B146" s="174"/>
      <c r="C146" s="24"/>
      <c r="D146" s="24"/>
      <c r="E146" s="24"/>
      <c r="F146" s="114"/>
      <c r="G146" s="114"/>
      <c r="H146" s="270"/>
      <c r="I146" s="270"/>
      <c r="J146" s="270"/>
      <c r="K146" s="212"/>
      <c r="L146" s="114"/>
      <c r="M146" s="114"/>
      <c r="N146" s="114"/>
      <c r="O146" s="114"/>
      <c r="P146" s="114"/>
      <c r="Q146" s="114"/>
      <c r="R146" s="114"/>
      <c r="S146" s="114"/>
      <c r="T146" s="114"/>
      <c r="U146" s="114"/>
      <c r="V146" s="114"/>
      <c r="W146" s="114"/>
      <c r="X146" s="114"/>
      <c r="Y146" s="114"/>
      <c r="Z146" s="114"/>
    </row>
    <row r="147" spans="1:26" ht="15.75" customHeight="1" x14ac:dyDescent="0.25">
      <c r="A147" s="24"/>
      <c r="B147" s="174"/>
      <c r="C147" s="24"/>
      <c r="D147" s="24"/>
      <c r="E147" s="24"/>
      <c r="F147" s="114"/>
      <c r="G147" s="114"/>
      <c r="H147" s="270"/>
      <c r="I147" s="270"/>
      <c r="J147" s="270"/>
      <c r="K147" s="212"/>
      <c r="L147" s="114"/>
      <c r="M147" s="114"/>
      <c r="N147" s="114"/>
      <c r="O147" s="114"/>
      <c r="P147" s="114"/>
      <c r="Q147" s="114"/>
      <c r="R147" s="114"/>
      <c r="S147" s="114"/>
      <c r="T147" s="114"/>
      <c r="U147" s="114"/>
      <c r="V147" s="114"/>
      <c r="W147" s="114"/>
      <c r="X147" s="114"/>
      <c r="Y147" s="114"/>
      <c r="Z147" s="114"/>
    </row>
    <row r="148" spans="1:26" ht="15.75" customHeight="1" x14ac:dyDescent="0.25">
      <c r="A148" s="24"/>
      <c r="B148" s="174"/>
      <c r="C148" s="24"/>
      <c r="D148" s="24"/>
      <c r="E148" s="24"/>
      <c r="F148" s="114"/>
      <c r="G148" s="114"/>
      <c r="H148" s="270"/>
      <c r="I148" s="270"/>
      <c r="J148" s="270"/>
      <c r="K148" s="212"/>
      <c r="L148" s="114"/>
      <c r="M148" s="114"/>
      <c r="N148" s="114"/>
      <c r="O148" s="114"/>
      <c r="P148" s="114"/>
      <c r="Q148" s="114"/>
      <c r="R148" s="114"/>
      <c r="S148" s="114"/>
      <c r="T148" s="114"/>
      <c r="U148" s="114"/>
      <c r="V148" s="114"/>
      <c r="W148" s="114"/>
      <c r="X148" s="114"/>
      <c r="Y148" s="114"/>
      <c r="Z148" s="114"/>
    </row>
    <row r="149" spans="1:26" ht="15.75" customHeight="1" x14ac:dyDescent="0.25">
      <c r="A149" s="24"/>
      <c r="B149" s="174"/>
      <c r="C149" s="24"/>
      <c r="D149" s="24"/>
      <c r="E149" s="24"/>
      <c r="F149" s="114"/>
      <c r="G149" s="114"/>
      <c r="H149" s="270"/>
      <c r="I149" s="270"/>
      <c r="J149" s="270"/>
      <c r="K149" s="212"/>
      <c r="L149" s="114"/>
      <c r="M149" s="114"/>
      <c r="N149" s="114"/>
      <c r="O149" s="114"/>
      <c r="P149" s="114"/>
      <c r="Q149" s="114"/>
      <c r="R149" s="114"/>
      <c r="S149" s="114"/>
      <c r="T149" s="114"/>
      <c r="U149" s="114"/>
      <c r="V149" s="114"/>
      <c r="W149" s="114"/>
      <c r="X149" s="114"/>
      <c r="Y149" s="114"/>
      <c r="Z149" s="114"/>
    </row>
    <row r="150" spans="1:26" ht="15.75" customHeight="1" x14ac:dyDescent="0.25">
      <c r="A150" s="24"/>
      <c r="B150" s="174"/>
      <c r="C150" s="24"/>
      <c r="D150" s="24"/>
      <c r="E150" s="24"/>
      <c r="F150" s="114"/>
      <c r="G150" s="114"/>
      <c r="H150" s="270"/>
      <c r="I150" s="270"/>
      <c r="J150" s="270"/>
      <c r="K150" s="212"/>
      <c r="L150" s="114"/>
      <c r="M150" s="114"/>
      <c r="N150" s="114"/>
      <c r="O150" s="114"/>
      <c r="P150" s="114"/>
      <c r="Q150" s="114"/>
      <c r="R150" s="114"/>
      <c r="S150" s="114"/>
      <c r="T150" s="114"/>
      <c r="U150" s="114"/>
      <c r="V150" s="114"/>
      <c r="W150" s="114"/>
      <c r="X150" s="114"/>
      <c r="Y150" s="114"/>
      <c r="Z150" s="114"/>
    </row>
    <row r="151" spans="1:26" ht="15.75" customHeight="1" x14ac:dyDescent="0.25">
      <c r="A151" s="24"/>
      <c r="B151" s="174"/>
      <c r="C151" s="24"/>
      <c r="D151" s="24"/>
      <c r="E151" s="24"/>
      <c r="F151" s="114"/>
      <c r="G151" s="114"/>
      <c r="H151" s="270"/>
      <c r="I151" s="270"/>
      <c r="J151" s="270"/>
      <c r="K151" s="212"/>
      <c r="L151" s="114"/>
      <c r="M151" s="114"/>
      <c r="N151" s="114"/>
      <c r="O151" s="114"/>
      <c r="P151" s="114"/>
      <c r="Q151" s="114"/>
      <c r="R151" s="114"/>
      <c r="S151" s="114"/>
      <c r="T151" s="114"/>
      <c r="U151" s="114"/>
      <c r="V151" s="114"/>
      <c r="W151" s="114"/>
      <c r="X151" s="114"/>
      <c r="Y151" s="114"/>
      <c r="Z151" s="114"/>
    </row>
    <row r="152" spans="1:26" ht="15.75" customHeight="1" x14ac:dyDescent="0.25">
      <c r="A152" s="24"/>
      <c r="B152" s="174"/>
      <c r="C152" s="24"/>
      <c r="D152" s="24"/>
      <c r="E152" s="24"/>
      <c r="F152" s="114"/>
      <c r="G152" s="114"/>
      <c r="H152" s="270"/>
      <c r="I152" s="270"/>
      <c r="J152" s="270"/>
      <c r="K152" s="212"/>
      <c r="L152" s="114"/>
      <c r="M152" s="114"/>
      <c r="N152" s="114"/>
      <c r="O152" s="114"/>
      <c r="P152" s="114"/>
      <c r="Q152" s="114"/>
      <c r="R152" s="114"/>
      <c r="S152" s="114"/>
      <c r="T152" s="114"/>
      <c r="U152" s="114"/>
      <c r="V152" s="114"/>
      <c r="W152" s="114"/>
      <c r="X152" s="114"/>
      <c r="Y152" s="114"/>
      <c r="Z152" s="114"/>
    </row>
    <row r="153" spans="1:26" ht="15.75" customHeight="1" x14ac:dyDescent="0.25">
      <c r="A153" s="24"/>
      <c r="B153" s="174"/>
      <c r="C153" s="24"/>
      <c r="D153" s="24"/>
      <c r="E153" s="24"/>
      <c r="F153" s="114"/>
      <c r="G153" s="114"/>
      <c r="H153" s="270"/>
      <c r="I153" s="270"/>
      <c r="J153" s="270"/>
      <c r="K153" s="212"/>
      <c r="L153" s="114"/>
      <c r="M153" s="114"/>
      <c r="N153" s="114"/>
      <c r="O153" s="114"/>
      <c r="P153" s="114"/>
      <c r="Q153" s="114"/>
      <c r="R153" s="114"/>
      <c r="S153" s="114"/>
      <c r="T153" s="114"/>
      <c r="U153" s="114"/>
      <c r="V153" s="114"/>
      <c r="W153" s="114"/>
      <c r="X153" s="114"/>
      <c r="Y153" s="114"/>
      <c r="Z153" s="114"/>
    </row>
    <row r="154" spans="1:26" ht="15.75" customHeight="1" x14ac:dyDescent="0.25">
      <c r="A154" s="24"/>
      <c r="B154" s="174"/>
      <c r="C154" s="24"/>
      <c r="D154" s="24"/>
      <c r="E154" s="24"/>
      <c r="F154" s="114"/>
      <c r="G154" s="114"/>
      <c r="H154" s="270"/>
      <c r="I154" s="270"/>
      <c r="J154" s="270"/>
      <c r="K154" s="212"/>
      <c r="L154" s="114"/>
      <c r="M154" s="114"/>
      <c r="N154" s="114"/>
      <c r="O154" s="114"/>
      <c r="P154" s="114"/>
      <c r="Q154" s="114"/>
      <c r="R154" s="114"/>
      <c r="S154" s="114"/>
      <c r="T154" s="114"/>
      <c r="U154" s="114"/>
      <c r="V154" s="114"/>
      <c r="W154" s="114"/>
      <c r="X154" s="114"/>
      <c r="Y154" s="114"/>
      <c r="Z154" s="114"/>
    </row>
    <row r="155" spans="1:26" ht="15.75" customHeight="1" x14ac:dyDescent="0.25">
      <c r="A155" s="24"/>
      <c r="B155" s="174"/>
      <c r="C155" s="24"/>
      <c r="D155" s="24"/>
      <c r="E155" s="24"/>
      <c r="F155" s="114"/>
      <c r="G155" s="114"/>
      <c r="H155" s="270"/>
      <c r="I155" s="270"/>
      <c r="J155" s="270"/>
      <c r="K155" s="212"/>
      <c r="L155" s="114"/>
      <c r="M155" s="114"/>
      <c r="N155" s="114"/>
      <c r="O155" s="114"/>
      <c r="P155" s="114"/>
      <c r="Q155" s="114"/>
      <c r="R155" s="114"/>
      <c r="S155" s="114"/>
      <c r="T155" s="114"/>
      <c r="U155" s="114"/>
      <c r="V155" s="114"/>
      <c r="W155" s="114"/>
      <c r="X155" s="114"/>
      <c r="Y155" s="114"/>
      <c r="Z155" s="114"/>
    </row>
    <row r="156" spans="1:26" ht="15.75" customHeight="1" x14ac:dyDescent="0.25">
      <c r="A156" s="24"/>
      <c r="B156" s="174"/>
      <c r="C156" s="24"/>
      <c r="D156" s="24"/>
      <c r="E156" s="24"/>
      <c r="F156" s="114"/>
      <c r="G156" s="114"/>
      <c r="H156" s="270"/>
      <c r="I156" s="270"/>
      <c r="J156" s="270"/>
      <c r="K156" s="212"/>
      <c r="L156" s="114"/>
      <c r="M156" s="114"/>
      <c r="N156" s="114"/>
      <c r="O156" s="114"/>
      <c r="P156" s="114"/>
      <c r="Q156" s="114"/>
      <c r="R156" s="114"/>
      <c r="S156" s="114"/>
      <c r="T156" s="114"/>
      <c r="U156" s="114"/>
      <c r="V156" s="114"/>
      <c r="W156" s="114"/>
      <c r="X156" s="114"/>
      <c r="Y156" s="114"/>
      <c r="Z156" s="114"/>
    </row>
    <row r="157" spans="1:26" ht="15.75" customHeight="1" x14ac:dyDescent="0.25">
      <c r="A157" s="24"/>
      <c r="B157" s="174"/>
      <c r="C157" s="24"/>
      <c r="D157" s="24"/>
      <c r="E157" s="24"/>
      <c r="F157" s="114"/>
      <c r="G157" s="114"/>
      <c r="H157" s="270"/>
      <c r="I157" s="270"/>
      <c r="J157" s="270"/>
      <c r="K157" s="212"/>
      <c r="L157" s="114"/>
      <c r="M157" s="114"/>
      <c r="N157" s="114"/>
      <c r="O157" s="114"/>
      <c r="P157" s="114"/>
      <c r="Q157" s="114"/>
      <c r="R157" s="114"/>
      <c r="S157" s="114"/>
      <c r="T157" s="114"/>
      <c r="U157" s="114"/>
      <c r="V157" s="114"/>
      <c r="W157" s="114"/>
      <c r="X157" s="114"/>
      <c r="Y157" s="114"/>
      <c r="Z157" s="114"/>
    </row>
    <row r="158" spans="1:26" ht="15.75" customHeight="1" x14ac:dyDescent="0.25">
      <c r="A158" s="24"/>
      <c r="B158" s="174"/>
      <c r="C158" s="24"/>
      <c r="D158" s="24"/>
      <c r="E158" s="24"/>
      <c r="F158" s="114"/>
      <c r="G158" s="114"/>
      <c r="H158" s="270"/>
      <c r="I158" s="270"/>
      <c r="J158" s="270"/>
      <c r="K158" s="212"/>
      <c r="L158" s="114"/>
      <c r="M158" s="114"/>
      <c r="N158" s="114"/>
      <c r="O158" s="114"/>
      <c r="P158" s="114"/>
      <c r="Q158" s="114"/>
      <c r="R158" s="114"/>
      <c r="S158" s="114"/>
      <c r="T158" s="114"/>
      <c r="U158" s="114"/>
      <c r="V158" s="114"/>
      <c r="W158" s="114"/>
      <c r="X158" s="114"/>
      <c r="Y158" s="114"/>
      <c r="Z158" s="114"/>
    </row>
    <row r="159" spans="1:26" ht="15.75" customHeight="1" x14ac:dyDescent="0.25">
      <c r="A159" s="24"/>
      <c r="B159" s="174"/>
      <c r="C159" s="24"/>
      <c r="D159" s="24"/>
      <c r="E159" s="24"/>
      <c r="F159" s="114"/>
      <c r="G159" s="114"/>
      <c r="H159" s="270"/>
      <c r="I159" s="270"/>
      <c r="J159" s="270"/>
      <c r="K159" s="212"/>
      <c r="L159" s="114"/>
      <c r="M159" s="114"/>
      <c r="N159" s="114"/>
      <c r="O159" s="114"/>
      <c r="P159" s="114"/>
      <c r="Q159" s="114"/>
      <c r="R159" s="114"/>
      <c r="S159" s="114"/>
      <c r="T159" s="114"/>
      <c r="U159" s="114"/>
      <c r="V159" s="114"/>
      <c r="W159" s="114"/>
      <c r="X159" s="114"/>
      <c r="Y159" s="114"/>
      <c r="Z159" s="114"/>
    </row>
    <row r="160" spans="1:26" ht="15.75" customHeight="1" x14ac:dyDescent="0.25">
      <c r="A160" s="24"/>
      <c r="B160" s="174"/>
      <c r="C160" s="24"/>
      <c r="D160" s="24"/>
      <c r="E160" s="24"/>
      <c r="F160" s="114"/>
      <c r="G160" s="114"/>
      <c r="H160" s="270"/>
      <c r="I160" s="270"/>
      <c r="J160" s="270"/>
      <c r="K160" s="212"/>
      <c r="L160" s="114"/>
      <c r="M160" s="114"/>
      <c r="N160" s="114"/>
      <c r="O160" s="114"/>
      <c r="P160" s="114"/>
      <c r="Q160" s="114"/>
      <c r="R160" s="114"/>
      <c r="S160" s="114"/>
      <c r="T160" s="114"/>
      <c r="U160" s="114"/>
      <c r="V160" s="114"/>
      <c r="W160" s="114"/>
      <c r="X160" s="114"/>
      <c r="Y160" s="114"/>
      <c r="Z160" s="114"/>
    </row>
    <row r="161" spans="1:26" ht="15.75" customHeight="1" x14ac:dyDescent="0.25">
      <c r="A161" s="24"/>
      <c r="B161" s="174"/>
      <c r="C161" s="24"/>
      <c r="D161" s="24"/>
      <c r="E161" s="24"/>
      <c r="F161" s="114"/>
      <c r="G161" s="114"/>
      <c r="H161" s="270"/>
      <c r="I161" s="270"/>
      <c r="J161" s="270"/>
      <c r="K161" s="212"/>
      <c r="L161" s="114"/>
      <c r="M161" s="114"/>
      <c r="N161" s="114"/>
      <c r="O161" s="114"/>
      <c r="P161" s="114"/>
      <c r="Q161" s="114"/>
      <c r="R161" s="114"/>
      <c r="S161" s="114"/>
      <c r="T161" s="114"/>
      <c r="U161" s="114"/>
      <c r="V161" s="114"/>
      <c r="W161" s="114"/>
      <c r="X161" s="114"/>
      <c r="Y161" s="114"/>
      <c r="Z161" s="114"/>
    </row>
    <row r="162" spans="1:26" ht="15.75" customHeight="1" x14ac:dyDescent="0.25">
      <c r="A162" s="24"/>
      <c r="B162" s="174"/>
      <c r="C162" s="24"/>
      <c r="D162" s="24"/>
      <c r="E162" s="24"/>
      <c r="F162" s="114"/>
      <c r="G162" s="114"/>
      <c r="H162" s="270"/>
      <c r="I162" s="270"/>
      <c r="J162" s="270"/>
      <c r="K162" s="212"/>
      <c r="L162" s="114"/>
      <c r="M162" s="114"/>
      <c r="N162" s="114"/>
      <c r="O162" s="114"/>
      <c r="P162" s="114"/>
      <c r="Q162" s="114"/>
      <c r="R162" s="114"/>
      <c r="S162" s="114"/>
      <c r="T162" s="114"/>
      <c r="U162" s="114"/>
      <c r="V162" s="114"/>
      <c r="W162" s="114"/>
      <c r="X162" s="114"/>
      <c r="Y162" s="114"/>
      <c r="Z162" s="114"/>
    </row>
    <row r="163" spans="1:26" ht="15.75" customHeight="1" x14ac:dyDescent="0.25">
      <c r="A163" s="24"/>
      <c r="B163" s="174"/>
      <c r="C163" s="24"/>
      <c r="D163" s="24"/>
      <c r="E163" s="24"/>
      <c r="F163" s="114"/>
      <c r="G163" s="114"/>
      <c r="H163" s="270"/>
      <c r="I163" s="270"/>
      <c r="J163" s="270"/>
      <c r="K163" s="212"/>
      <c r="L163" s="114"/>
      <c r="M163" s="114"/>
      <c r="N163" s="114"/>
      <c r="O163" s="114"/>
      <c r="P163" s="114"/>
      <c r="Q163" s="114"/>
      <c r="R163" s="114"/>
      <c r="S163" s="114"/>
      <c r="T163" s="114"/>
      <c r="U163" s="114"/>
      <c r="V163" s="114"/>
      <c r="W163" s="114"/>
      <c r="X163" s="114"/>
      <c r="Y163" s="114"/>
      <c r="Z163" s="114"/>
    </row>
    <row r="164" spans="1:26" ht="15.75" customHeight="1" x14ac:dyDescent="0.25">
      <c r="A164" s="24"/>
      <c r="B164" s="174"/>
      <c r="C164" s="24"/>
      <c r="D164" s="24"/>
      <c r="E164" s="24"/>
      <c r="F164" s="114"/>
      <c r="G164" s="114"/>
      <c r="H164" s="270"/>
      <c r="I164" s="270"/>
      <c r="J164" s="270"/>
      <c r="K164" s="212"/>
      <c r="L164" s="114"/>
      <c r="M164" s="114"/>
      <c r="N164" s="114"/>
      <c r="O164" s="114"/>
      <c r="P164" s="114"/>
      <c r="Q164" s="114"/>
      <c r="R164" s="114"/>
      <c r="S164" s="114"/>
      <c r="T164" s="114"/>
      <c r="U164" s="114"/>
      <c r="V164" s="114"/>
      <c r="W164" s="114"/>
      <c r="X164" s="114"/>
      <c r="Y164" s="114"/>
      <c r="Z164" s="114"/>
    </row>
    <row r="165" spans="1:26" ht="15.75" customHeight="1" x14ac:dyDescent="0.25">
      <c r="A165" s="24"/>
      <c r="B165" s="174"/>
      <c r="C165" s="24"/>
      <c r="D165" s="24"/>
      <c r="E165" s="24"/>
      <c r="F165" s="114"/>
      <c r="G165" s="114"/>
      <c r="H165" s="270"/>
      <c r="I165" s="270"/>
      <c r="J165" s="270"/>
      <c r="K165" s="212"/>
      <c r="L165" s="114"/>
      <c r="M165" s="114"/>
      <c r="N165" s="114"/>
      <c r="O165" s="114"/>
      <c r="P165" s="114"/>
      <c r="Q165" s="114"/>
      <c r="R165" s="114"/>
      <c r="S165" s="114"/>
      <c r="T165" s="114"/>
      <c r="U165" s="114"/>
      <c r="V165" s="114"/>
      <c r="W165" s="114"/>
      <c r="X165" s="114"/>
      <c r="Y165" s="114"/>
      <c r="Z165" s="114"/>
    </row>
    <row r="166" spans="1:26" ht="15.75" customHeight="1" x14ac:dyDescent="0.25">
      <c r="A166" s="24"/>
      <c r="B166" s="174"/>
      <c r="C166" s="24"/>
      <c r="D166" s="24"/>
      <c r="E166" s="24"/>
      <c r="F166" s="114"/>
      <c r="G166" s="114"/>
      <c r="H166" s="270"/>
      <c r="I166" s="270"/>
      <c r="J166" s="270"/>
      <c r="K166" s="212"/>
      <c r="L166" s="114"/>
      <c r="M166" s="114"/>
      <c r="N166" s="114"/>
      <c r="O166" s="114"/>
      <c r="P166" s="114"/>
      <c r="Q166" s="114"/>
      <c r="R166" s="114"/>
      <c r="S166" s="114"/>
      <c r="T166" s="114"/>
      <c r="U166" s="114"/>
      <c r="V166" s="114"/>
      <c r="W166" s="114"/>
      <c r="X166" s="114"/>
      <c r="Y166" s="114"/>
      <c r="Z166" s="114"/>
    </row>
    <row r="167" spans="1:26" ht="15.75" customHeight="1" x14ac:dyDescent="0.25">
      <c r="A167" s="24"/>
      <c r="B167" s="174"/>
      <c r="C167" s="24"/>
      <c r="D167" s="24"/>
      <c r="E167" s="24"/>
      <c r="F167" s="114"/>
      <c r="G167" s="114"/>
      <c r="H167" s="270"/>
      <c r="I167" s="270"/>
      <c r="J167" s="270"/>
      <c r="K167" s="212"/>
      <c r="L167" s="114"/>
      <c r="M167" s="114"/>
      <c r="N167" s="114"/>
      <c r="O167" s="114"/>
      <c r="P167" s="114"/>
      <c r="Q167" s="114"/>
      <c r="R167" s="114"/>
      <c r="S167" s="114"/>
      <c r="T167" s="114"/>
      <c r="U167" s="114"/>
      <c r="V167" s="114"/>
      <c r="W167" s="114"/>
      <c r="X167" s="114"/>
      <c r="Y167" s="114"/>
      <c r="Z167" s="114"/>
    </row>
    <row r="168" spans="1:26" ht="15.75" customHeight="1" x14ac:dyDescent="0.25">
      <c r="A168" s="24"/>
      <c r="B168" s="174"/>
      <c r="C168" s="24"/>
      <c r="D168" s="24"/>
      <c r="E168" s="24"/>
      <c r="F168" s="114"/>
      <c r="G168" s="114"/>
      <c r="H168" s="270"/>
      <c r="I168" s="270"/>
      <c r="J168" s="270"/>
      <c r="K168" s="212"/>
      <c r="L168" s="114"/>
      <c r="M168" s="114"/>
      <c r="N168" s="114"/>
      <c r="O168" s="114"/>
      <c r="P168" s="114"/>
      <c r="Q168" s="114"/>
      <c r="R168" s="114"/>
      <c r="S168" s="114"/>
      <c r="T168" s="114"/>
      <c r="U168" s="114"/>
      <c r="V168" s="114"/>
      <c r="W168" s="114"/>
      <c r="X168" s="114"/>
      <c r="Y168" s="114"/>
      <c r="Z168" s="114"/>
    </row>
    <row r="169" spans="1:26" ht="15.75" customHeight="1" x14ac:dyDescent="0.25">
      <c r="A169" s="24"/>
      <c r="B169" s="174"/>
      <c r="C169" s="24"/>
      <c r="D169" s="24"/>
      <c r="E169" s="24"/>
      <c r="F169" s="114"/>
      <c r="G169" s="114"/>
      <c r="H169" s="270"/>
      <c r="I169" s="270"/>
      <c r="J169" s="270"/>
      <c r="K169" s="212"/>
      <c r="L169" s="114"/>
      <c r="M169" s="114"/>
      <c r="N169" s="114"/>
      <c r="O169" s="114"/>
      <c r="P169" s="114"/>
      <c r="Q169" s="114"/>
      <c r="R169" s="114"/>
      <c r="S169" s="114"/>
      <c r="T169" s="114"/>
      <c r="U169" s="114"/>
      <c r="V169" s="114"/>
      <c r="W169" s="114"/>
      <c r="X169" s="114"/>
      <c r="Y169" s="114"/>
      <c r="Z169" s="114"/>
    </row>
    <row r="170" spans="1:26" ht="15.75" customHeight="1" x14ac:dyDescent="0.25">
      <c r="A170" s="24"/>
      <c r="B170" s="174"/>
      <c r="C170" s="24"/>
      <c r="D170" s="24"/>
      <c r="E170" s="24"/>
      <c r="F170" s="114"/>
      <c r="G170" s="114"/>
      <c r="H170" s="270"/>
      <c r="I170" s="270"/>
      <c r="J170" s="270"/>
      <c r="K170" s="212"/>
      <c r="L170" s="114"/>
      <c r="M170" s="114"/>
      <c r="N170" s="114"/>
      <c r="O170" s="114"/>
      <c r="P170" s="114"/>
      <c r="Q170" s="114"/>
      <c r="R170" s="114"/>
      <c r="S170" s="114"/>
      <c r="T170" s="114"/>
      <c r="U170" s="114"/>
      <c r="V170" s="114"/>
      <c r="W170" s="114"/>
      <c r="X170" s="114"/>
      <c r="Y170" s="114"/>
      <c r="Z170" s="114"/>
    </row>
    <row r="171" spans="1:26" ht="15.75" customHeight="1" x14ac:dyDescent="0.25">
      <c r="A171" s="24"/>
      <c r="B171" s="174"/>
      <c r="C171" s="24"/>
      <c r="D171" s="24"/>
      <c r="E171" s="24"/>
      <c r="F171" s="114"/>
      <c r="G171" s="114"/>
      <c r="H171" s="270"/>
      <c r="I171" s="270"/>
      <c r="J171" s="270"/>
      <c r="K171" s="212"/>
      <c r="L171" s="114"/>
      <c r="M171" s="114"/>
      <c r="N171" s="114"/>
      <c r="O171" s="114"/>
      <c r="P171" s="114"/>
      <c r="Q171" s="114"/>
      <c r="R171" s="114"/>
      <c r="S171" s="114"/>
      <c r="T171" s="114"/>
      <c r="U171" s="114"/>
      <c r="V171" s="114"/>
      <c r="W171" s="114"/>
      <c r="X171" s="114"/>
      <c r="Y171" s="114"/>
      <c r="Z171" s="114"/>
    </row>
    <row r="172" spans="1:26" ht="15.75" customHeight="1" x14ac:dyDescent="0.25">
      <c r="A172" s="24"/>
      <c r="B172" s="174"/>
      <c r="C172" s="24"/>
      <c r="D172" s="24"/>
      <c r="E172" s="24"/>
      <c r="F172" s="114"/>
      <c r="G172" s="114"/>
      <c r="H172" s="270"/>
      <c r="I172" s="270"/>
      <c r="J172" s="270"/>
      <c r="K172" s="212"/>
      <c r="L172" s="114"/>
      <c r="M172" s="114"/>
      <c r="N172" s="114"/>
      <c r="O172" s="114"/>
      <c r="P172" s="114"/>
      <c r="Q172" s="114"/>
      <c r="R172" s="114"/>
      <c r="S172" s="114"/>
      <c r="T172" s="114"/>
      <c r="U172" s="114"/>
      <c r="V172" s="114"/>
      <c r="W172" s="114"/>
      <c r="X172" s="114"/>
      <c r="Y172" s="114"/>
      <c r="Z172" s="114"/>
    </row>
    <row r="173" spans="1:26" ht="15.75" customHeight="1" x14ac:dyDescent="0.25">
      <c r="A173" s="24"/>
      <c r="B173" s="174"/>
      <c r="C173" s="24"/>
      <c r="D173" s="24"/>
      <c r="E173" s="24"/>
      <c r="F173" s="114"/>
      <c r="G173" s="114"/>
      <c r="H173" s="270"/>
      <c r="I173" s="270"/>
      <c r="J173" s="270"/>
      <c r="K173" s="212"/>
      <c r="L173" s="114"/>
      <c r="M173" s="114"/>
      <c r="N173" s="114"/>
      <c r="O173" s="114"/>
      <c r="P173" s="114"/>
      <c r="Q173" s="114"/>
      <c r="R173" s="114"/>
      <c r="S173" s="114"/>
      <c r="T173" s="114"/>
      <c r="U173" s="114"/>
      <c r="V173" s="114"/>
      <c r="W173" s="114"/>
      <c r="X173" s="114"/>
      <c r="Y173" s="114"/>
      <c r="Z173" s="114"/>
    </row>
    <row r="174" spans="1:26" ht="15.75" customHeight="1" x14ac:dyDescent="0.25">
      <c r="A174" s="24"/>
      <c r="B174" s="174"/>
      <c r="C174" s="24"/>
      <c r="D174" s="24"/>
      <c r="E174" s="24"/>
      <c r="F174" s="114"/>
      <c r="G174" s="114"/>
      <c r="H174" s="270"/>
      <c r="I174" s="270"/>
      <c r="J174" s="270"/>
      <c r="K174" s="212"/>
      <c r="L174" s="114"/>
      <c r="M174" s="114"/>
      <c r="N174" s="114"/>
      <c r="O174" s="114"/>
      <c r="P174" s="114"/>
      <c r="Q174" s="114"/>
      <c r="R174" s="114"/>
      <c r="S174" s="114"/>
      <c r="T174" s="114"/>
      <c r="U174" s="114"/>
      <c r="V174" s="114"/>
      <c r="W174" s="114"/>
      <c r="X174" s="114"/>
      <c r="Y174" s="114"/>
      <c r="Z174" s="114"/>
    </row>
    <row r="175" spans="1:26" ht="15.75" customHeight="1" x14ac:dyDescent="0.25">
      <c r="A175" s="24"/>
      <c r="B175" s="174"/>
      <c r="C175" s="24"/>
      <c r="D175" s="24"/>
      <c r="E175" s="24"/>
      <c r="F175" s="114"/>
      <c r="G175" s="114"/>
      <c r="H175" s="270"/>
      <c r="I175" s="270"/>
      <c r="J175" s="270"/>
      <c r="K175" s="212"/>
      <c r="L175" s="114"/>
      <c r="M175" s="114"/>
      <c r="N175" s="114"/>
      <c r="O175" s="114"/>
      <c r="P175" s="114"/>
      <c r="Q175" s="114"/>
      <c r="R175" s="114"/>
      <c r="S175" s="114"/>
      <c r="T175" s="114"/>
      <c r="U175" s="114"/>
      <c r="V175" s="114"/>
      <c r="W175" s="114"/>
      <c r="X175" s="114"/>
      <c r="Y175" s="114"/>
      <c r="Z175" s="114"/>
    </row>
    <row r="176" spans="1:26" ht="15.75" customHeight="1" x14ac:dyDescent="0.25">
      <c r="A176" s="24"/>
      <c r="B176" s="174"/>
      <c r="C176" s="24"/>
      <c r="D176" s="24"/>
      <c r="E176" s="24"/>
      <c r="F176" s="114"/>
      <c r="G176" s="114"/>
      <c r="H176" s="270"/>
      <c r="I176" s="270"/>
      <c r="J176" s="270"/>
      <c r="K176" s="212"/>
      <c r="L176" s="114"/>
      <c r="M176" s="114"/>
      <c r="N176" s="114"/>
      <c r="O176" s="114"/>
      <c r="P176" s="114"/>
      <c r="Q176" s="114"/>
      <c r="R176" s="114"/>
      <c r="S176" s="114"/>
      <c r="T176" s="114"/>
      <c r="U176" s="114"/>
      <c r="V176" s="114"/>
      <c r="W176" s="114"/>
      <c r="X176" s="114"/>
      <c r="Y176" s="114"/>
      <c r="Z176" s="114"/>
    </row>
    <row r="177" spans="1:26" ht="15.75" customHeight="1" x14ac:dyDescent="0.25">
      <c r="A177" s="24"/>
      <c r="B177" s="174"/>
      <c r="C177" s="24"/>
      <c r="D177" s="24"/>
      <c r="E177" s="24"/>
      <c r="F177" s="114"/>
      <c r="G177" s="114"/>
      <c r="H177" s="270"/>
      <c r="I177" s="270"/>
      <c r="J177" s="270"/>
      <c r="K177" s="212"/>
      <c r="L177" s="114"/>
      <c r="M177" s="114"/>
      <c r="N177" s="114"/>
      <c r="O177" s="114"/>
      <c r="P177" s="114"/>
      <c r="Q177" s="114"/>
      <c r="R177" s="114"/>
      <c r="S177" s="114"/>
      <c r="T177" s="114"/>
      <c r="U177" s="114"/>
      <c r="V177" s="114"/>
      <c r="W177" s="114"/>
      <c r="X177" s="114"/>
      <c r="Y177" s="114"/>
      <c r="Z177" s="114"/>
    </row>
    <row r="178" spans="1:26" ht="15.75" customHeight="1" x14ac:dyDescent="0.25">
      <c r="A178" s="24"/>
      <c r="B178" s="174"/>
      <c r="C178" s="24"/>
      <c r="D178" s="24"/>
      <c r="E178" s="24"/>
      <c r="F178" s="114"/>
      <c r="G178" s="114"/>
      <c r="H178" s="270"/>
      <c r="I178" s="270"/>
      <c r="J178" s="270"/>
      <c r="K178" s="212"/>
      <c r="L178" s="114"/>
      <c r="M178" s="114"/>
      <c r="N178" s="114"/>
      <c r="O178" s="114"/>
      <c r="P178" s="114"/>
      <c r="Q178" s="114"/>
      <c r="R178" s="114"/>
      <c r="S178" s="114"/>
      <c r="T178" s="114"/>
      <c r="U178" s="114"/>
      <c r="V178" s="114"/>
      <c r="W178" s="114"/>
      <c r="X178" s="114"/>
      <c r="Y178" s="114"/>
      <c r="Z178" s="114"/>
    </row>
    <row r="179" spans="1:26" ht="15.75" customHeight="1" x14ac:dyDescent="0.25">
      <c r="A179" s="24"/>
      <c r="B179" s="174"/>
      <c r="C179" s="24"/>
      <c r="D179" s="24"/>
      <c r="E179" s="24"/>
      <c r="F179" s="114"/>
      <c r="G179" s="114"/>
      <c r="H179" s="270"/>
      <c r="I179" s="270"/>
      <c r="J179" s="270"/>
      <c r="K179" s="212"/>
      <c r="L179" s="114"/>
      <c r="M179" s="114"/>
      <c r="N179" s="114"/>
      <c r="O179" s="114"/>
      <c r="P179" s="114"/>
      <c r="Q179" s="114"/>
      <c r="R179" s="114"/>
      <c r="S179" s="114"/>
      <c r="T179" s="114"/>
      <c r="U179" s="114"/>
      <c r="V179" s="114"/>
      <c r="W179" s="114"/>
      <c r="X179" s="114"/>
      <c r="Y179" s="114"/>
      <c r="Z179" s="114"/>
    </row>
    <row r="180" spans="1:26" ht="15.75" customHeight="1" x14ac:dyDescent="0.25">
      <c r="A180" s="24"/>
      <c r="B180" s="174"/>
      <c r="C180" s="24"/>
      <c r="D180" s="24"/>
      <c r="E180" s="24"/>
      <c r="F180" s="114"/>
      <c r="G180" s="114"/>
      <c r="H180" s="270"/>
      <c r="I180" s="270"/>
      <c r="J180" s="270"/>
      <c r="K180" s="212"/>
      <c r="L180" s="114"/>
      <c r="M180" s="114"/>
      <c r="N180" s="114"/>
      <c r="O180" s="114"/>
      <c r="P180" s="114"/>
      <c r="Q180" s="114"/>
      <c r="R180" s="114"/>
      <c r="S180" s="114"/>
      <c r="T180" s="114"/>
      <c r="U180" s="114"/>
      <c r="V180" s="114"/>
      <c r="W180" s="114"/>
      <c r="X180" s="114"/>
      <c r="Y180" s="114"/>
      <c r="Z180" s="114"/>
    </row>
    <row r="181" spans="1:26" ht="15.75" customHeight="1" x14ac:dyDescent="0.25">
      <c r="A181" s="24"/>
      <c r="B181" s="174"/>
      <c r="C181" s="24"/>
      <c r="D181" s="24"/>
      <c r="E181" s="24"/>
      <c r="F181" s="114"/>
      <c r="G181" s="114"/>
      <c r="H181" s="270"/>
      <c r="I181" s="270"/>
      <c r="J181" s="270"/>
      <c r="K181" s="212"/>
      <c r="L181" s="114"/>
      <c r="M181" s="114"/>
      <c r="N181" s="114"/>
      <c r="O181" s="114"/>
      <c r="P181" s="114"/>
      <c r="Q181" s="114"/>
      <c r="R181" s="114"/>
      <c r="S181" s="114"/>
      <c r="T181" s="114"/>
      <c r="U181" s="114"/>
      <c r="V181" s="114"/>
      <c r="W181" s="114"/>
      <c r="X181" s="114"/>
      <c r="Y181" s="114"/>
      <c r="Z181" s="114"/>
    </row>
    <row r="182" spans="1:26" ht="15.75" customHeight="1" x14ac:dyDescent="0.25">
      <c r="A182" s="24"/>
      <c r="B182" s="174"/>
      <c r="C182" s="24"/>
      <c r="D182" s="24"/>
      <c r="E182" s="24"/>
      <c r="F182" s="114"/>
      <c r="G182" s="114"/>
      <c r="H182" s="270"/>
      <c r="I182" s="270"/>
      <c r="J182" s="270"/>
      <c r="K182" s="212"/>
      <c r="L182" s="114"/>
      <c r="M182" s="114"/>
      <c r="N182" s="114"/>
      <c r="O182" s="114"/>
      <c r="P182" s="114"/>
      <c r="Q182" s="114"/>
      <c r="R182" s="114"/>
      <c r="S182" s="114"/>
      <c r="T182" s="114"/>
      <c r="U182" s="114"/>
      <c r="V182" s="114"/>
      <c r="W182" s="114"/>
      <c r="X182" s="114"/>
      <c r="Y182" s="114"/>
      <c r="Z182" s="114"/>
    </row>
    <row r="183" spans="1:26" ht="15.75" customHeight="1" x14ac:dyDescent="0.25">
      <c r="A183" s="24"/>
      <c r="B183" s="174"/>
      <c r="C183" s="24"/>
      <c r="D183" s="24"/>
      <c r="E183" s="24"/>
      <c r="F183" s="114"/>
      <c r="G183" s="114"/>
      <c r="H183" s="270"/>
      <c r="I183" s="270"/>
      <c r="J183" s="270"/>
      <c r="K183" s="212"/>
      <c r="L183" s="114"/>
      <c r="M183" s="114"/>
      <c r="N183" s="114"/>
      <c r="O183" s="114"/>
      <c r="P183" s="114"/>
      <c r="Q183" s="114"/>
      <c r="R183" s="114"/>
      <c r="S183" s="114"/>
      <c r="T183" s="114"/>
      <c r="U183" s="114"/>
      <c r="V183" s="114"/>
      <c r="W183" s="114"/>
      <c r="X183" s="114"/>
      <c r="Y183" s="114"/>
      <c r="Z183" s="114"/>
    </row>
    <row r="184" spans="1:26" ht="15.75" customHeight="1" x14ac:dyDescent="0.25">
      <c r="A184" s="24"/>
      <c r="B184" s="174"/>
      <c r="C184" s="24"/>
      <c r="D184" s="24"/>
      <c r="E184" s="24"/>
      <c r="F184" s="114"/>
      <c r="G184" s="114"/>
      <c r="H184" s="270"/>
      <c r="I184" s="270"/>
      <c r="J184" s="270"/>
      <c r="K184" s="212"/>
      <c r="L184" s="114"/>
      <c r="M184" s="114"/>
      <c r="N184" s="114"/>
      <c r="O184" s="114"/>
      <c r="P184" s="114"/>
      <c r="Q184" s="114"/>
      <c r="R184" s="114"/>
      <c r="S184" s="114"/>
      <c r="T184" s="114"/>
      <c r="U184" s="114"/>
      <c r="V184" s="114"/>
      <c r="W184" s="114"/>
      <c r="X184" s="114"/>
      <c r="Y184" s="114"/>
      <c r="Z184" s="114"/>
    </row>
    <row r="185" spans="1:26" ht="15.75" customHeight="1" x14ac:dyDescent="0.25">
      <c r="A185" s="24"/>
      <c r="B185" s="174"/>
      <c r="C185" s="24"/>
      <c r="D185" s="24"/>
      <c r="E185" s="24"/>
      <c r="F185" s="114"/>
      <c r="G185" s="114"/>
      <c r="H185" s="270"/>
      <c r="I185" s="270"/>
      <c r="J185" s="270"/>
      <c r="K185" s="212"/>
      <c r="L185" s="114"/>
      <c r="M185" s="114"/>
      <c r="N185" s="114"/>
      <c r="O185" s="114"/>
      <c r="P185" s="114"/>
      <c r="Q185" s="114"/>
      <c r="R185" s="114"/>
      <c r="S185" s="114"/>
      <c r="T185" s="114"/>
      <c r="U185" s="114"/>
      <c r="V185" s="114"/>
      <c r="W185" s="114"/>
      <c r="X185" s="114"/>
      <c r="Y185" s="114"/>
      <c r="Z185" s="114"/>
    </row>
    <row r="186" spans="1:26" ht="15.75" customHeight="1" x14ac:dyDescent="0.25">
      <c r="A186" s="24"/>
      <c r="B186" s="174"/>
      <c r="C186" s="24"/>
      <c r="D186" s="24"/>
      <c r="E186" s="24"/>
      <c r="F186" s="114"/>
      <c r="G186" s="114"/>
      <c r="H186" s="270"/>
      <c r="I186" s="270"/>
      <c r="J186" s="270"/>
      <c r="K186" s="212"/>
      <c r="L186" s="114"/>
      <c r="M186" s="114"/>
      <c r="N186" s="114"/>
      <c r="O186" s="114"/>
      <c r="P186" s="114"/>
      <c r="Q186" s="114"/>
      <c r="R186" s="114"/>
      <c r="S186" s="114"/>
      <c r="T186" s="114"/>
      <c r="U186" s="114"/>
      <c r="V186" s="114"/>
      <c r="W186" s="114"/>
      <c r="X186" s="114"/>
      <c r="Y186" s="114"/>
      <c r="Z186" s="114"/>
    </row>
    <row r="187" spans="1:26" ht="15.75" customHeight="1" x14ac:dyDescent="0.25">
      <c r="A187" s="24"/>
      <c r="B187" s="174"/>
      <c r="C187" s="24"/>
      <c r="D187" s="24"/>
      <c r="E187" s="24"/>
      <c r="F187" s="114"/>
      <c r="G187" s="114"/>
      <c r="H187" s="270"/>
      <c r="I187" s="270"/>
      <c r="J187" s="270"/>
      <c r="K187" s="212"/>
      <c r="L187" s="114"/>
      <c r="M187" s="114"/>
      <c r="N187" s="114"/>
      <c r="O187" s="114"/>
      <c r="P187" s="114"/>
      <c r="Q187" s="114"/>
      <c r="R187" s="114"/>
      <c r="S187" s="114"/>
      <c r="T187" s="114"/>
      <c r="U187" s="114"/>
      <c r="V187" s="114"/>
      <c r="W187" s="114"/>
      <c r="X187" s="114"/>
      <c r="Y187" s="114"/>
      <c r="Z187" s="114"/>
    </row>
    <row r="188" spans="1:26" ht="15.75" customHeight="1" x14ac:dyDescent="0.25">
      <c r="A188" s="24"/>
      <c r="B188" s="174"/>
      <c r="C188" s="24"/>
      <c r="D188" s="24"/>
      <c r="E188" s="24"/>
      <c r="F188" s="114"/>
      <c r="G188" s="114"/>
      <c r="H188" s="270"/>
      <c r="I188" s="270"/>
      <c r="J188" s="270"/>
      <c r="K188" s="212"/>
      <c r="L188" s="114"/>
      <c r="M188" s="114"/>
      <c r="N188" s="114"/>
      <c r="O188" s="114"/>
      <c r="P188" s="114"/>
      <c r="Q188" s="114"/>
      <c r="R188" s="114"/>
      <c r="S188" s="114"/>
      <c r="T188" s="114"/>
      <c r="U188" s="114"/>
      <c r="V188" s="114"/>
      <c r="W188" s="114"/>
      <c r="X188" s="114"/>
      <c r="Y188" s="114"/>
      <c r="Z188" s="114"/>
    </row>
    <row r="189" spans="1:26" ht="15.75" customHeight="1" x14ac:dyDescent="0.25">
      <c r="A189" s="24"/>
      <c r="B189" s="174"/>
      <c r="C189" s="24"/>
      <c r="D189" s="24"/>
      <c r="E189" s="24"/>
      <c r="F189" s="114"/>
      <c r="G189" s="114"/>
      <c r="H189" s="270"/>
      <c r="I189" s="270"/>
      <c r="J189" s="270"/>
      <c r="K189" s="212"/>
      <c r="L189" s="114"/>
      <c r="M189" s="114"/>
      <c r="N189" s="114"/>
      <c r="O189" s="114"/>
      <c r="P189" s="114"/>
      <c r="Q189" s="114"/>
      <c r="R189" s="114"/>
      <c r="S189" s="114"/>
      <c r="T189" s="114"/>
      <c r="U189" s="114"/>
      <c r="V189" s="114"/>
      <c r="W189" s="114"/>
      <c r="X189" s="114"/>
      <c r="Y189" s="114"/>
      <c r="Z189" s="114"/>
    </row>
    <row r="190" spans="1:26" ht="15.75" customHeight="1" x14ac:dyDescent="0.25">
      <c r="A190" s="24"/>
      <c r="B190" s="174"/>
      <c r="C190" s="24"/>
      <c r="D190" s="24"/>
      <c r="E190" s="24"/>
      <c r="F190" s="114"/>
      <c r="G190" s="114"/>
      <c r="H190" s="270"/>
      <c r="I190" s="270"/>
      <c r="J190" s="270"/>
      <c r="K190" s="212"/>
      <c r="L190" s="114"/>
      <c r="M190" s="114"/>
      <c r="N190" s="114"/>
      <c r="O190" s="114"/>
      <c r="P190" s="114"/>
      <c r="Q190" s="114"/>
      <c r="R190" s="114"/>
      <c r="S190" s="114"/>
      <c r="T190" s="114"/>
      <c r="U190" s="114"/>
      <c r="V190" s="114"/>
      <c r="W190" s="114"/>
      <c r="X190" s="114"/>
      <c r="Y190" s="114"/>
      <c r="Z190" s="114"/>
    </row>
    <row r="191" spans="1:26" ht="15.75" customHeight="1" x14ac:dyDescent="0.25">
      <c r="A191" s="24"/>
      <c r="B191" s="174"/>
      <c r="C191" s="24"/>
      <c r="D191" s="24"/>
      <c r="E191" s="24"/>
      <c r="F191" s="114"/>
      <c r="G191" s="114"/>
      <c r="H191" s="270"/>
      <c r="I191" s="270"/>
      <c r="J191" s="270"/>
      <c r="K191" s="212"/>
      <c r="L191" s="114"/>
      <c r="M191" s="114"/>
      <c r="N191" s="114"/>
      <c r="O191" s="114"/>
      <c r="P191" s="114"/>
      <c r="Q191" s="114"/>
      <c r="R191" s="114"/>
      <c r="S191" s="114"/>
      <c r="T191" s="114"/>
      <c r="U191" s="114"/>
      <c r="V191" s="114"/>
      <c r="W191" s="114"/>
      <c r="X191" s="114"/>
      <c r="Y191" s="114"/>
      <c r="Z191" s="114"/>
    </row>
    <row r="192" spans="1:26" ht="15.75" customHeight="1" x14ac:dyDescent="0.25">
      <c r="A192" s="24"/>
      <c r="B192" s="174"/>
      <c r="C192" s="24"/>
      <c r="D192" s="24"/>
      <c r="E192" s="24"/>
      <c r="F192" s="114"/>
      <c r="G192" s="114"/>
      <c r="H192" s="270"/>
      <c r="I192" s="270"/>
      <c r="J192" s="270"/>
      <c r="K192" s="212"/>
      <c r="L192" s="114"/>
      <c r="M192" s="114"/>
      <c r="N192" s="114"/>
      <c r="O192" s="114"/>
      <c r="P192" s="114"/>
      <c r="Q192" s="114"/>
      <c r="R192" s="114"/>
      <c r="S192" s="114"/>
      <c r="T192" s="114"/>
      <c r="U192" s="114"/>
      <c r="V192" s="114"/>
      <c r="W192" s="114"/>
      <c r="X192" s="114"/>
      <c r="Y192" s="114"/>
      <c r="Z192" s="114"/>
    </row>
    <row r="193" spans="1:26" ht="15.75" customHeight="1" x14ac:dyDescent="0.25">
      <c r="A193" s="24"/>
      <c r="B193" s="174"/>
      <c r="C193" s="24"/>
      <c r="D193" s="24"/>
      <c r="E193" s="24"/>
      <c r="F193" s="114"/>
      <c r="G193" s="114"/>
      <c r="H193" s="270"/>
      <c r="I193" s="270"/>
      <c r="J193" s="270"/>
      <c r="K193" s="212"/>
      <c r="L193" s="114"/>
      <c r="M193" s="114"/>
      <c r="N193" s="114"/>
      <c r="O193" s="114"/>
      <c r="P193" s="114"/>
      <c r="Q193" s="114"/>
      <c r="R193" s="114"/>
      <c r="S193" s="114"/>
      <c r="T193" s="114"/>
      <c r="U193" s="114"/>
      <c r="V193" s="114"/>
      <c r="W193" s="114"/>
      <c r="X193" s="114"/>
      <c r="Y193" s="114"/>
      <c r="Z193" s="114"/>
    </row>
    <row r="194" spans="1:26" ht="15.75" customHeight="1" x14ac:dyDescent="0.25">
      <c r="A194" s="24"/>
      <c r="B194" s="174"/>
      <c r="C194" s="24"/>
      <c r="D194" s="24"/>
      <c r="E194" s="24"/>
      <c r="F194" s="114"/>
      <c r="G194" s="114"/>
      <c r="H194" s="270"/>
      <c r="I194" s="270"/>
      <c r="J194" s="270"/>
      <c r="K194" s="212"/>
      <c r="L194" s="114"/>
      <c r="M194" s="114"/>
      <c r="N194" s="114"/>
      <c r="O194" s="114"/>
      <c r="P194" s="114"/>
      <c r="Q194" s="114"/>
      <c r="R194" s="114"/>
      <c r="S194" s="114"/>
      <c r="T194" s="114"/>
      <c r="U194" s="114"/>
      <c r="V194" s="114"/>
      <c r="W194" s="114"/>
      <c r="X194" s="114"/>
      <c r="Y194" s="114"/>
      <c r="Z194" s="114"/>
    </row>
    <row r="195" spans="1:26" ht="15.75" customHeight="1" x14ac:dyDescent="0.25">
      <c r="A195" s="24"/>
      <c r="B195" s="174"/>
      <c r="C195" s="24"/>
      <c r="D195" s="24"/>
      <c r="E195" s="24"/>
      <c r="F195" s="114"/>
      <c r="G195" s="114"/>
      <c r="H195" s="270"/>
      <c r="I195" s="270"/>
      <c r="J195" s="270"/>
      <c r="K195" s="212"/>
      <c r="L195" s="114"/>
      <c r="M195" s="114"/>
      <c r="N195" s="114"/>
      <c r="O195" s="114"/>
      <c r="P195" s="114"/>
      <c r="Q195" s="114"/>
      <c r="R195" s="114"/>
      <c r="S195" s="114"/>
      <c r="T195" s="114"/>
      <c r="U195" s="114"/>
      <c r="V195" s="114"/>
      <c r="W195" s="114"/>
      <c r="X195" s="114"/>
      <c r="Y195" s="114"/>
      <c r="Z195" s="114"/>
    </row>
    <row r="196" spans="1:26" ht="15.75" customHeight="1" x14ac:dyDescent="0.25">
      <c r="A196" s="24"/>
      <c r="B196" s="174"/>
      <c r="C196" s="24"/>
      <c r="D196" s="24"/>
      <c r="E196" s="24"/>
      <c r="F196" s="114"/>
      <c r="G196" s="114"/>
      <c r="H196" s="270"/>
      <c r="I196" s="270"/>
      <c r="J196" s="270"/>
      <c r="K196" s="212"/>
      <c r="L196" s="114"/>
      <c r="M196" s="114"/>
      <c r="N196" s="114"/>
      <c r="O196" s="114"/>
      <c r="P196" s="114"/>
      <c r="Q196" s="114"/>
      <c r="R196" s="114"/>
      <c r="S196" s="114"/>
      <c r="T196" s="114"/>
      <c r="U196" s="114"/>
      <c r="V196" s="114"/>
      <c r="W196" s="114"/>
      <c r="X196" s="114"/>
      <c r="Y196" s="114"/>
      <c r="Z196" s="114"/>
    </row>
    <row r="197" spans="1:26" ht="15.75" customHeight="1" x14ac:dyDescent="0.25">
      <c r="A197" s="24"/>
      <c r="B197" s="174"/>
      <c r="C197" s="24"/>
      <c r="D197" s="24"/>
      <c r="E197" s="24"/>
      <c r="F197" s="114"/>
      <c r="G197" s="114"/>
      <c r="H197" s="270"/>
      <c r="I197" s="270"/>
      <c r="J197" s="270"/>
      <c r="K197" s="212"/>
      <c r="L197" s="114"/>
      <c r="M197" s="114"/>
      <c r="N197" s="114"/>
      <c r="O197" s="114"/>
      <c r="P197" s="114"/>
      <c r="Q197" s="114"/>
      <c r="R197" s="114"/>
      <c r="S197" s="114"/>
      <c r="T197" s="114"/>
      <c r="U197" s="114"/>
      <c r="V197" s="114"/>
      <c r="W197" s="114"/>
      <c r="X197" s="114"/>
      <c r="Y197" s="114"/>
      <c r="Z197" s="114"/>
    </row>
    <row r="198" spans="1:26" ht="15.75" customHeight="1" x14ac:dyDescent="0.25">
      <c r="A198" s="24"/>
      <c r="B198" s="174"/>
      <c r="C198" s="24"/>
      <c r="D198" s="24"/>
      <c r="E198" s="24"/>
      <c r="F198" s="114"/>
      <c r="G198" s="114"/>
      <c r="H198" s="270"/>
      <c r="I198" s="270"/>
      <c r="J198" s="270"/>
      <c r="K198" s="212"/>
      <c r="L198" s="114"/>
      <c r="M198" s="114"/>
      <c r="N198" s="114"/>
      <c r="O198" s="114"/>
      <c r="P198" s="114"/>
      <c r="Q198" s="114"/>
      <c r="R198" s="114"/>
      <c r="S198" s="114"/>
      <c r="T198" s="114"/>
      <c r="U198" s="114"/>
      <c r="V198" s="114"/>
      <c r="W198" s="114"/>
      <c r="X198" s="114"/>
      <c r="Y198" s="114"/>
      <c r="Z198" s="114"/>
    </row>
    <row r="199" spans="1:26" ht="15.75" customHeight="1" x14ac:dyDescent="0.25">
      <c r="A199" s="24"/>
      <c r="B199" s="174"/>
      <c r="C199" s="24"/>
      <c r="D199" s="24"/>
      <c r="E199" s="24"/>
      <c r="F199" s="114"/>
      <c r="G199" s="114"/>
      <c r="H199" s="270"/>
      <c r="I199" s="270"/>
      <c r="J199" s="270"/>
      <c r="K199" s="212"/>
      <c r="L199" s="114"/>
      <c r="M199" s="114"/>
      <c r="N199" s="114"/>
      <c r="O199" s="114"/>
      <c r="P199" s="114"/>
      <c r="Q199" s="114"/>
      <c r="R199" s="114"/>
      <c r="S199" s="114"/>
      <c r="T199" s="114"/>
      <c r="U199" s="114"/>
      <c r="V199" s="114"/>
      <c r="W199" s="114"/>
      <c r="X199" s="114"/>
      <c r="Y199" s="114"/>
      <c r="Z199" s="114"/>
    </row>
    <row r="200" spans="1:26" ht="15.75" customHeight="1" x14ac:dyDescent="0.25">
      <c r="A200" s="24"/>
      <c r="B200" s="174"/>
      <c r="C200" s="24"/>
      <c r="D200" s="24"/>
      <c r="E200" s="24"/>
      <c r="F200" s="114"/>
      <c r="G200" s="114"/>
      <c r="H200" s="270"/>
      <c r="I200" s="270"/>
      <c r="J200" s="270"/>
      <c r="K200" s="212"/>
      <c r="L200" s="114"/>
      <c r="M200" s="114"/>
      <c r="N200" s="114"/>
      <c r="O200" s="114"/>
      <c r="P200" s="114"/>
      <c r="Q200" s="114"/>
      <c r="R200" s="114"/>
      <c r="S200" s="114"/>
      <c r="T200" s="114"/>
      <c r="U200" s="114"/>
      <c r="V200" s="114"/>
      <c r="W200" s="114"/>
      <c r="X200" s="114"/>
      <c r="Y200" s="114"/>
      <c r="Z200" s="114"/>
    </row>
    <row r="201" spans="1:26" ht="15.75" customHeight="1" x14ac:dyDescent="0.25">
      <c r="A201" s="24"/>
      <c r="B201" s="174"/>
      <c r="C201" s="24"/>
      <c r="D201" s="24"/>
      <c r="E201" s="24"/>
      <c r="F201" s="114"/>
      <c r="G201" s="114"/>
      <c r="H201" s="270"/>
      <c r="I201" s="270"/>
      <c r="J201" s="270"/>
      <c r="K201" s="212"/>
      <c r="L201" s="114"/>
      <c r="M201" s="114"/>
      <c r="N201" s="114"/>
      <c r="O201" s="114"/>
      <c r="P201" s="114"/>
      <c r="Q201" s="114"/>
      <c r="R201" s="114"/>
      <c r="S201" s="114"/>
      <c r="T201" s="114"/>
      <c r="U201" s="114"/>
      <c r="V201" s="114"/>
      <c r="W201" s="114"/>
      <c r="X201" s="114"/>
      <c r="Y201" s="114"/>
      <c r="Z201" s="114"/>
    </row>
    <row r="202" spans="1:26" ht="15.75" customHeight="1" x14ac:dyDescent="0.25">
      <c r="A202" s="24"/>
      <c r="B202" s="174"/>
      <c r="C202" s="24"/>
      <c r="D202" s="24"/>
      <c r="E202" s="24"/>
      <c r="F202" s="114"/>
      <c r="G202" s="114"/>
      <c r="H202" s="270"/>
      <c r="I202" s="270"/>
      <c r="J202" s="270"/>
      <c r="K202" s="212"/>
      <c r="L202" s="114"/>
      <c r="M202" s="114"/>
      <c r="N202" s="114"/>
      <c r="O202" s="114"/>
      <c r="P202" s="114"/>
      <c r="Q202" s="114"/>
      <c r="R202" s="114"/>
      <c r="S202" s="114"/>
      <c r="T202" s="114"/>
      <c r="U202" s="114"/>
      <c r="V202" s="114"/>
      <c r="W202" s="114"/>
      <c r="X202" s="114"/>
      <c r="Y202" s="114"/>
      <c r="Z202" s="114"/>
    </row>
    <row r="203" spans="1:26" ht="15.75" customHeight="1" x14ac:dyDescent="0.25">
      <c r="A203" s="24"/>
      <c r="B203" s="174"/>
      <c r="C203" s="24"/>
      <c r="D203" s="24"/>
      <c r="E203" s="24"/>
      <c r="F203" s="114"/>
      <c r="G203" s="114"/>
      <c r="H203" s="270"/>
      <c r="I203" s="270"/>
      <c r="J203" s="270"/>
      <c r="K203" s="212"/>
      <c r="L203" s="114"/>
      <c r="M203" s="114"/>
      <c r="N203" s="114"/>
      <c r="O203" s="114"/>
      <c r="P203" s="114"/>
      <c r="Q203" s="114"/>
      <c r="R203" s="114"/>
      <c r="S203" s="114"/>
      <c r="T203" s="114"/>
      <c r="U203" s="114"/>
      <c r="V203" s="114"/>
      <c r="W203" s="114"/>
      <c r="X203" s="114"/>
      <c r="Y203" s="114"/>
      <c r="Z203" s="114"/>
    </row>
    <row r="204" spans="1:26" ht="15.75" customHeight="1" x14ac:dyDescent="0.25">
      <c r="A204" s="24"/>
      <c r="B204" s="174"/>
      <c r="C204" s="24"/>
      <c r="D204" s="24"/>
      <c r="E204" s="24"/>
      <c r="F204" s="114"/>
      <c r="G204" s="114"/>
      <c r="H204" s="270"/>
      <c r="I204" s="270"/>
      <c r="J204" s="270"/>
      <c r="K204" s="212"/>
      <c r="L204" s="114"/>
      <c r="M204" s="114"/>
      <c r="N204" s="114"/>
      <c r="O204" s="114"/>
      <c r="P204" s="114"/>
      <c r="Q204" s="114"/>
      <c r="R204" s="114"/>
      <c r="S204" s="114"/>
      <c r="T204" s="114"/>
      <c r="U204" s="114"/>
      <c r="V204" s="114"/>
      <c r="W204" s="114"/>
      <c r="X204" s="114"/>
      <c r="Y204" s="114"/>
      <c r="Z204" s="114"/>
    </row>
    <row r="205" spans="1:26" ht="15.75" customHeight="1" x14ac:dyDescent="0.25">
      <c r="A205" s="24"/>
      <c r="B205" s="174"/>
      <c r="C205" s="24"/>
      <c r="D205" s="24"/>
      <c r="E205" s="24"/>
      <c r="F205" s="114"/>
      <c r="G205" s="114"/>
      <c r="H205" s="270"/>
      <c r="I205" s="270"/>
      <c r="J205" s="270"/>
      <c r="K205" s="212"/>
      <c r="L205" s="114"/>
      <c r="M205" s="114"/>
      <c r="N205" s="114"/>
      <c r="O205" s="114"/>
      <c r="P205" s="114"/>
      <c r="Q205" s="114"/>
      <c r="R205" s="114"/>
      <c r="S205" s="114"/>
      <c r="T205" s="114"/>
      <c r="U205" s="114"/>
      <c r="V205" s="114"/>
      <c r="W205" s="114"/>
      <c r="X205" s="114"/>
      <c r="Y205" s="114"/>
      <c r="Z205" s="114"/>
    </row>
    <row r="206" spans="1:26" ht="15.75" customHeight="1" x14ac:dyDescent="0.25">
      <c r="A206" s="24"/>
      <c r="B206" s="174"/>
      <c r="C206" s="24"/>
      <c r="D206" s="24"/>
      <c r="E206" s="24"/>
      <c r="F206" s="114"/>
      <c r="G206" s="114"/>
      <c r="H206" s="270"/>
      <c r="I206" s="270"/>
      <c r="J206" s="270"/>
      <c r="K206" s="212"/>
      <c r="L206" s="114"/>
      <c r="M206" s="114"/>
      <c r="N206" s="114"/>
      <c r="O206" s="114"/>
      <c r="P206" s="114"/>
      <c r="Q206" s="114"/>
      <c r="R206" s="114"/>
      <c r="S206" s="114"/>
      <c r="T206" s="114"/>
      <c r="U206" s="114"/>
      <c r="V206" s="114"/>
      <c r="W206" s="114"/>
      <c r="X206" s="114"/>
      <c r="Y206" s="114"/>
      <c r="Z206" s="114"/>
    </row>
    <row r="207" spans="1:26" ht="15.75" customHeight="1" x14ac:dyDescent="0.25">
      <c r="A207" s="24"/>
      <c r="B207" s="174"/>
      <c r="C207" s="24"/>
      <c r="D207" s="24"/>
      <c r="E207" s="24"/>
      <c r="F207" s="114"/>
      <c r="G207" s="114"/>
      <c r="H207" s="270"/>
      <c r="I207" s="270"/>
      <c r="J207" s="270"/>
      <c r="K207" s="212"/>
      <c r="L207" s="114"/>
      <c r="M207" s="114"/>
      <c r="N207" s="114"/>
      <c r="O207" s="114"/>
      <c r="P207" s="114"/>
      <c r="Q207" s="114"/>
      <c r="R207" s="114"/>
      <c r="S207" s="114"/>
      <c r="T207" s="114"/>
      <c r="U207" s="114"/>
      <c r="V207" s="114"/>
      <c r="W207" s="114"/>
      <c r="X207" s="114"/>
      <c r="Y207" s="114"/>
      <c r="Z207" s="114"/>
    </row>
    <row r="208" spans="1:26" ht="15.75" customHeight="1" x14ac:dyDescent="0.25">
      <c r="A208" s="24"/>
      <c r="B208" s="174"/>
      <c r="C208" s="24"/>
      <c r="D208" s="24"/>
      <c r="E208" s="24"/>
      <c r="F208" s="114"/>
      <c r="G208" s="114"/>
      <c r="H208" s="270"/>
      <c r="I208" s="270"/>
      <c r="J208" s="270"/>
      <c r="K208" s="212"/>
      <c r="L208" s="114"/>
      <c r="M208" s="114"/>
      <c r="N208" s="114"/>
      <c r="O208" s="114"/>
      <c r="P208" s="114"/>
      <c r="Q208" s="114"/>
      <c r="R208" s="114"/>
      <c r="S208" s="114"/>
      <c r="T208" s="114"/>
      <c r="U208" s="114"/>
      <c r="V208" s="114"/>
      <c r="W208" s="114"/>
      <c r="X208" s="114"/>
      <c r="Y208" s="114"/>
      <c r="Z208" s="114"/>
    </row>
    <row r="209" spans="1:26" ht="15.75" customHeight="1" x14ac:dyDescent="0.25">
      <c r="A209" s="24"/>
      <c r="B209" s="174"/>
      <c r="C209" s="24"/>
      <c r="D209" s="24"/>
      <c r="E209" s="24"/>
      <c r="F209" s="114"/>
      <c r="G209" s="114"/>
      <c r="H209" s="270"/>
      <c r="I209" s="270"/>
      <c r="J209" s="270"/>
      <c r="K209" s="212"/>
      <c r="L209" s="114"/>
      <c r="M209" s="114"/>
      <c r="N209" s="114"/>
      <c r="O209" s="114"/>
      <c r="P209" s="114"/>
      <c r="Q209" s="114"/>
      <c r="R209" s="114"/>
      <c r="S209" s="114"/>
      <c r="T209" s="114"/>
      <c r="U209" s="114"/>
      <c r="V209" s="114"/>
      <c r="W209" s="114"/>
      <c r="X209" s="114"/>
      <c r="Y209" s="114"/>
      <c r="Z209" s="114"/>
    </row>
    <row r="210" spans="1:26" ht="15.75" customHeight="1" x14ac:dyDescent="0.25">
      <c r="A210" s="24"/>
      <c r="B210" s="174"/>
      <c r="C210" s="24"/>
      <c r="D210" s="24"/>
      <c r="E210" s="24"/>
      <c r="F210" s="114"/>
      <c r="G210" s="114"/>
      <c r="H210" s="270"/>
      <c r="I210" s="270"/>
      <c r="J210" s="270"/>
      <c r="K210" s="212"/>
      <c r="L210" s="114"/>
      <c r="M210" s="114"/>
      <c r="N210" s="114"/>
      <c r="O210" s="114"/>
      <c r="P210" s="114"/>
      <c r="Q210" s="114"/>
      <c r="R210" s="114"/>
      <c r="S210" s="114"/>
      <c r="T210" s="114"/>
      <c r="U210" s="114"/>
      <c r="V210" s="114"/>
      <c r="W210" s="114"/>
      <c r="X210" s="114"/>
      <c r="Y210" s="114"/>
      <c r="Z210" s="114"/>
    </row>
    <row r="211" spans="1:26" ht="15.75" customHeight="1" x14ac:dyDescent="0.25">
      <c r="A211" s="24"/>
      <c r="B211" s="174"/>
      <c r="C211" s="24"/>
      <c r="D211" s="24"/>
      <c r="E211" s="24"/>
      <c r="F211" s="114"/>
      <c r="G211" s="114"/>
      <c r="H211" s="270"/>
      <c r="I211" s="270"/>
      <c r="J211" s="270"/>
      <c r="K211" s="212"/>
      <c r="L211" s="114"/>
      <c r="M211" s="114"/>
      <c r="N211" s="114"/>
      <c r="O211" s="114"/>
      <c r="P211" s="114"/>
      <c r="Q211" s="114"/>
      <c r="R211" s="114"/>
      <c r="S211" s="114"/>
      <c r="T211" s="114"/>
      <c r="U211" s="114"/>
      <c r="V211" s="114"/>
      <c r="W211" s="114"/>
      <c r="X211" s="114"/>
      <c r="Y211" s="114"/>
      <c r="Z211" s="114"/>
    </row>
    <row r="212" spans="1:26" ht="15.75" customHeight="1" x14ac:dyDescent="0.25">
      <c r="A212" s="24"/>
      <c r="B212" s="174"/>
      <c r="C212" s="24"/>
      <c r="D212" s="24"/>
      <c r="E212" s="24"/>
      <c r="F212" s="114"/>
      <c r="G212" s="114"/>
      <c r="H212" s="270"/>
      <c r="I212" s="270"/>
      <c r="J212" s="270"/>
      <c r="K212" s="212"/>
      <c r="L212" s="114"/>
      <c r="M212" s="114"/>
      <c r="N212" s="114"/>
      <c r="O212" s="114"/>
      <c r="P212" s="114"/>
      <c r="Q212" s="114"/>
      <c r="R212" s="114"/>
      <c r="S212" s="114"/>
      <c r="T212" s="114"/>
      <c r="U212" s="114"/>
      <c r="V212" s="114"/>
      <c r="W212" s="114"/>
      <c r="X212" s="114"/>
      <c r="Y212" s="114"/>
      <c r="Z212" s="114"/>
    </row>
    <row r="213" spans="1:26" ht="15.75" customHeight="1" x14ac:dyDescent="0.25">
      <c r="A213" s="24"/>
      <c r="B213" s="174"/>
      <c r="C213" s="24"/>
      <c r="D213" s="24"/>
      <c r="E213" s="24"/>
      <c r="F213" s="114"/>
      <c r="G213" s="114"/>
      <c r="H213" s="270"/>
      <c r="I213" s="270"/>
      <c r="J213" s="270"/>
      <c r="K213" s="212"/>
      <c r="L213" s="114"/>
      <c r="M213" s="114"/>
      <c r="N213" s="114"/>
      <c r="O213" s="114"/>
      <c r="P213" s="114"/>
      <c r="Q213" s="114"/>
      <c r="R213" s="114"/>
      <c r="S213" s="114"/>
      <c r="T213" s="114"/>
      <c r="U213" s="114"/>
      <c r="V213" s="114"/>
      <c r="W213" s="114"/>
      <c r="X213" s="114"/>
      <c r="Y213" s="114"/>
      <c r="Z213" s="114"/>
    </row>
    <row r="214" spans="1:26" ht="15.75" customHeight="1" x14ac:dyDescent="0.25">
      <c r="A214" s="24"/>
      <c r="B214" s="174"/>
      <c r="C214" s="24"/>
      <c r="D214" s="24"/>
      <c r="E214" s="24"/>
      <c r="F214" s="114"/>
      <c r="G214" s="114"/>
      <c r="H214" s="270"/>
      <c r="I214" s="270"/>
      <c r="J214" s="270"/>
      <c r="K214" s="212"/>
      <c r="L214" s="114"/>
      <c r="M214" s="114"/>
      <c r="N214" s="114"/>
      <c r="O214" s="114"/>
      <c r="P214" s="114"/>
      <c r="Q214" s="114"/>
      <c r="R214" s="114"/>
      <c r="S214" s="114"/>
      <c r="T214" s="114"/>
      <c r="U214" s="114"/>
      <c r="V214" s="114"/>
      <c r="W214" s="114"/>
      <c r="X214" s="114"/>
      <c r="Y214" s="114"/>
      <c r="Z214" s="114"/>
    </row>
    <row r="215" spans="1:26" ht="15.75" customHeight="1" x14ac:dyDescent="0.25">
      <c r="A215" s="24"/>
      <c r="B215" s="174"/>
      <c r="C215" s="24"/>
      <c r="D215" s="24"/>
      <c r="E215" s="24"/>
      <c r="F215" s="114"/>
      <c r="G215" s="114"/>
      <c r="H215" s="270"/>
      <c r="I215" s="270"/>
      <c r="J215" s="270"/>
      <c r="K215" s="212"/>
      <c r="L215" s="114"/>
      <c r="M215" s="114"/>
      <c r="N215" s="114"/>
      <c r="O215" s="114"/>
      <c r="P215" s="114"/>
      <c r="Q215" s="114"/>
      <c r="R215" s="114"/>
      <c r="S215" s="114"/>
      <c r="T215" s="114"/>
      <c r="U215" s="114"/>
      <c r="V215" s="114"/>
      <c r="W215" s="114"/>
      <c r="X215" s="114"/>
      <c r="Y215" s="114"/>
      <c r="Z215" s="114"/>
    </row>
    <row r="216" spans="1:26" ht="15.75" customHeight="1" x14ac:dyDescent="0.25">
      <c r="A216" s="24"/>
      <c r="B216" s="174"/>
      <c r="C216" s="24"/>
      <c r="D216" s="24"/>
      <c r="E216" s="24"/>
      <c r="F216" s="114"/>
      <c r="G216" s="114"/>
      <c r="H216" s="270"/>
      <c r="I216" s="270"/>
      <c r="J216" s="270"/>
      <c r="K216" s="212"/>
      <c r="L216" s="114"/>
      <c r="M216" s="114"/>
      <c r="N216" s="114"/>
      <c r="O216" s="114"/>
      <c r="P216" s="114"/>
      <c r="Q216" s="114"/>
      <c r="R216" s="114"/>
      <c r="S216" s="114"/>
      <c r="T216" s="114"/>
      <c r="U216" s="114"/>
      <c r="V216" s="114"/>
      <c r="W216" s="114"/>
      <c r="X216" s="114"/>
      <c r="Y216" s="114"/>
      <c r="Z216" s="114"/>
    </row>
    <row r="217" spans="1:26" ht="15.75" customHeight="1" x14ac:dyDescent="0.25">
      <c r="A217" s="24"/>
      <c r="B217" s="174"/>
      <c r="C217" s="24"/>
      <c r="D217" s="24"/>
      <c r="E217" s="24"/>
      <c r="F217" s="114"/>
      <c r="G217" s="114"/>
      <c r="H217" s="270"/>
      <c r="I217" s="270"/>
      <c r="J217" s="270"/>
      <c r="K217" s="212"/>
      <c r="L217" s="114"/>
      <c r="M217" s="114"/>
      <c r="N217" s="114"/>
      <c r="O217" s="114"/>
      <c r="P217" s="114"/>
      <c r="Q217" s="114"/>
      <c r="R217" s="114"/>
      <c r="S217" s="114"/>
      <c r="T217" s="114"/>
      <c r="U217" s="114"/>
      <c r="V217" s="114"/>
      <c r="W217" s="114"/>
      <c r="X217" s="114"/>
      <c r="Y217" s="114"/>
      <c r="Z217" s="114"/>
    </row>
    <row r="218" spans="1:26" ht="15.75" customHeight="1" x14ac:dyDescent="0.25">
      <c r="A218" s="24"/>
      <c r="B218" s="174"/>
      <c r="C218" s="24"/>
      <c r="D218" s="24"/>
      <c r="E218" s="24"/>
      <c r="F218" s="114"/>
      <c r="G218" s="114"/>
      <c r="H218" s="270"/>
      <c r="I218" s="270"/>
      <c r="J218" s="270"/>
      <c r="K218" s="212"/>
      <c r="L218" s="114"/>
      <c r="M218" s="114"/>
      <c r="N218" s="114"/>
      <c r="O218" s="114"/>
      <c r="P218" s="114"/>
      <c r="Q218" s="114"/>
      <c r="R218" s="114"/>
      <c r="S218" s="114"/>
      <c r="T218" s="114"/>
      <c r="U218" s="114"/>
      <c r="V218" s="114"/>
      <c r="W218" s="114"/>
      <c r="X218" s="114"/>
      <c r="Y218" s="114"/>
      <c r="Z218" s="114"/>
    </row>
    <row r="219" spans="1:26" ht="15.75" customHeight="1" x14ac:dyDescent="0.25">
      <c r="A219" s="24"/>
      <c r="B219" s="174"/>
      <c r="C219" s="24"/>
      <c r="D219" s="24"/>
      <c r="E219" s="24"/>
      <c r="F219" s="114"/>
      <c r="G219" s="114"/>
      <c r="H219" s="270"/>
      <c r="I219" s="270"/>
      <c r="J219" s="270"/>
      <c r="K219" s="212"/>
      <c r="L219" s="114"/>
      <c r="M219" s="114"/>
      <c r="N219" s="114"/>
      <c r="O219" s="114"/>
      <c r="P219" s="114"/>
      <c r="Q219" s="114"/>
      <c r="R219" s="114"/>
      <c r="S219" s="114"/>
      <c r="T219" s="114"/>
      <c r="U219" s="114"/>
      <c r="V219" s="114"/>
      <c r="W219" s="114"/>
      <c r="X219" s="114"/>
      <c r="Y219" s="114"/>
      <c r="Z219" s="114"/>
    </row>
    <row r="220" spans="1:26" ht="15.75" customHeight="1" x14ac:dyDescent="0.25">
      <c r="A220" s="24"/>
      <c r="B220" s="174"/>
      <c r="C220" s="24"/>
      <c r="D220" s="24"/>
      <c r="E220" s="24"/>
      <c r="F220" s="114"/>
      <c r="G220" s="114"/>
      <c r="H220" s="270"/>
      <c r="I220" s="270"/>
      <c r="J220" s="270"/>
      <c r="K220" s="212"/>
      <c r="L220" s="114"/>
      <c r="M220" s="114"/>
      <c r="N220" s="114"/>
      <c r="O220" s="114"/>
      <c r="P220" s="114"/>
      <c r="Q220" s="114"/>
      <c r="R220" s="114"/>
      <c r="S220" s="114"/>
      <c r="T220" s="114"/>
      <c r="U220" s="114"/>
      <c r="V220" s="114"/>
      <c r="W220" s="114"/>
      <c r="X220" s="114"/>
      <c r="Y220" s="114"/>
      <c r="Z220" s="114"/>
    </row>
    <row r="221" spans="1:26" ht="15.75" customHeight="1" x14ac:dyDescent="0.25">
      <c r="A221" s="24"/>
      <c r="B221" s="174"/>
      <c r="C221" s="24"/>
      <c r="D221" s="24"/>
      <c r="E221" s="24"/>
      <c r="F221" s="114"/>
      <c r="G221" s="114"/>
      <c r="H221" s="270"/>
      <c r="I221" s="270"/>
      <c r="J221" s="270"/>
      <c r="K221" s="212"/>
      <c r="L221" s="114"/>
      <c r="M221" s="114"/>
      <c r="N221" s="114"/>
      <c r="O221" s="114"/>
      <c r="P221" s="114"/>
      <c r="Q221" s="114"/>
      <c r="R221" s="114"/>
      <c r="S221" s="114"/>
      <c r="T221" s="114"/>
      <c r="U221" s="114"/>
      <c r="V221" s="114"/>
      <c r="W221" s="114"/>
      <c r="X221" s="114"/>
      <c r="Y221" s="114"/>
      <c r="Z221" s="114"/>
    </row>
    <row r="222" spans="1:26" ht="15.75" customHeight="1" x14ac:dyDescent="0.25">
      <c r="A222" s="24"/>
      <c r="B222" s="174"/>
      <c r="C222" s="24"/>
      <c r="D222" s="24"/>
      <c r="E222" s="24"/>
      <c r="F222" s="114"/>
      <c r="G222" s="114"/>
      <c r="H222" s="270"/>
      <c r="I222" s="270"/>
      <c r="J222" s="270"/>
      <c r="K222" s="212"/>
      <c r="L222" s="114"/>
      <c r="M222" s="114"/>
      <c r="N222" s="114"/>
      <c r="O222" s="114"/>
      <c r="P222" s="114"/>
      <c r="Q222" s="114"/>
      <c r="R222" s="114"/>
      <c r="S222" s="114"/>
      <c r="T222" s="114"/>
      <c r="U222" s="114"/>
      <c r="V222" s="114"/>
      <c r="W222" s="114"/>
      <c r="X222" s="114"/>
      <c r="Y222" s="114"/>
      <c r="Z222" s="114"/>
    </row>
    <row r="223" spans="1:26" ht="15.75" customHeight="1" x14ac:dyDescent="0.25">
      <c r="A223" s="24"/>
      <c r="B223" s="174"/>
      <c r="C223" s="24"/>
      <c r="D223" s="24"/>
      <c r="E223" s="24"/>
      <c r="F223" s="114"/>
      <c r="G223" s="114"/>
      <c r="H223" s="270"/>
      <c r="I223" s="270"/>
      <c r="J223" s="270"/>
      <c r="K223" s="212"/>
      <c r="L223" s="114"/>
      <c r="M223" s="114"/>
      <c r="N223" s="114"/>
      <c r="O223" s="114"/>
      <c r="P223" s="114"/>
      <c r="Q223" s="114"/>
      <c r="R223" s="114"/>
      <c r="S223" s="114"/>
      <c r="T223" s="114"/>
      <c r="U223" s="114"/>
      <c r="V223" s="114"/>
      <c r="W223" s="114"/>
      <c r="X223" s="114"/>
      <c r="Y223" s="114"/>
      <c r="Z223" s="114"/>
    </row>
    <row r="224" spans="1:26" ht="15.75" customHeight="1" x14ac:dyDescent="0.25">
      <c r="A224" s="24"/>
      <c r="B224" s="174"/>
      <c r="C224" s="24"/>
      <c r="D224" s="24"/>
      <c r="E224" s="24"/>
      <c r="F224" s="114"/>
      <c r="G224" s="114"/>
      <c r="H224" s="270"/>
      <c r="I224" s="270"/>
      <c r="J224" s="270"/>
      <c r="K224" s="212"/>
      <c r="L224" s="114"/>
      <c r="M224" s="114"/>
      <c r="N224" s="114"/>
      <c r="O224" s="114"/>
      <c r="P224" s="114"/>
      <c r="Q224" s="114"/>
      <c r="R224" s="114"/>
      <c r="S224" s="114"/>
      <c r="T224" s="114"/>
      <c r="U224" s="114"/>
      <c r="V224" s="114"/>
      <c r="W224" s="114"/>
      <c r="X224" s="114"/>
      <c r="Y224" s="114"/>
      <c r="Z224" s="114"/>
    </row>
    <row r="225" spans="1:26" ht="15.75" customHeight="1" x14ac:dyDescent="0.25">
      <c r="A225" s="24"/>
      <c r="B225" s="174"/>
      <c r="C225" s="24"/>
      <c r="D225" s="24"/>
      <c r="E225" s="24"/>
      <c r="F225" s="114"/>
      <c r="G225" s="114"/>
      <c r="H225" s="270"/>
      <c r="I225" s="270"/>
      <c r="J225" s="270"/>
      <c r="K225" s="212"/>
      <c r="L225" s="114"/>
      <c r="M225" s="114"/>
      <c r="N225" s="114"/>
      <c r="O225" s="114"/>
      <c r="P225" s="114"/>
      <c r="Q225" s="114"/>
      <c r="R225" s="114"/>
      <c r="S225" s="114"/>
      <c r="T225" s="114"/>
      <c r="U225" s="114"/>
      <c r="V225" s="114"/>
      <c r="W225" s="114"/>
      <c r="X225" s="114"/>
      <c r="Y225" s="114"/>
      <c r="Z225" s="114"/>
    </row>
    <row r="226" spans="1:26" ht="15.75" customHeight="1" x14ac:dyDescent="0.25">
      <c r="A226" s="24"/>
      <c r="B226" s="174"/>
      <c r="C226" s="24"/>
      <c r="D226" s="24"/>
      <c r="E226" s="24"/>
      <c r="F226" s="114"/>
      <c r="G226" s="114"/>
      <c r="H226" s="270"/>
      <c r="I226" s="270"/>
      <c r="J226" s="270"/>
      <c r="K226" s="212"/>
      <c r="L226" s="114"/>
      <c r="M226" s="114"/>
      <c r="N226" s="114"/>
      <c r="O226" s="114"/>
      <c r="P226" s="114"/>
      <c r="Q226" s="114"/>
      <c r="R226" s="114"/>
      <c r="S226" s="114"/>
      <c r="T226" s="114"/>
      <c r="U226" s="114"/>
      <c r="V226" s="114"/>
      <c r="W226" s="114"/>
      <c r="X226" s="114"/>
      <c r="Y226" s="114"/>
      <c r="Z226" s="114"/>
    </row>
    <row r="227" spans="1:26" ht="15.75" customHeight="1" x14ac:dyDescent="0.25">
      <c r="A227" s="24"/>
      <c r="B227" s="174"/>
      <c r="C227" s="24"/>
      <c r="D227" s="24"/>
      <c r="E227" s="24"/>
      <c r="F227" s="114"/>
      <c r="G227" s="114"/>
      <c r="H227" s="270"/>
      <c r="I227" s="270"/>
      <c r="J227" s="270"/>
      <c r="K227" s="212"/>
      <c r="L227" s="114"/>
      <c r="M227" s="114"/>
      <c r="N227" s="114"/>
      <c r="O227" s="114"/>
      <c r="P227" s="114"/>
      <c r="Q227" s="114"/>
      <c r="R227" s="114"/>
      <c r="S227" s="114"/>
      <c r="T227" s="114"/>
      <c r="U227" s="114"/>
      <c r="V227" s="114"/>
      <c r="W227" s="114"/>
      <c r="X227" s="114"/>
      <c r="Y227" s="114"/>
      <c r="Z227" s="114"/>
    </row>
    <row r="228" spans="1:26" ht="15.75" customHeight="1" x14ac:dyDescent="0.25">
      <c r="A228" s="24"/>
      <c r="B228" s="174"/>
      <c r="C228" s="24"/>
      <c r="D228" s="24"/>
      <c r="E228" s="24"/>
      <c r="F228" s="114"/>
      <c r="G228" s="114"/>
      <c r="H228" s="270"/>
      <c r="I228" s="270"/>
      <c r="J228" s="270"/>
      <c r="K228" s="212"/>
      <c r="L228" s="114"/>
      <c r="M228" s="114"/>
      <c r="N228" s="114"/>
      <c r="O228" s="114"/>
      <c r="P228" s="114"/>
      <c r="Q228" s="114"/>
      <c r="R228" s="114"/>
      <c r="S228" s="114"/>
      <c r="T228" s="114"/>
      <c r="U228" s="114"/>
      <c r="V228" s="114"/>
      <c r="W228" s="114"/>
      <c r="X228" s="114"/>
      <c r="Y228" s="114"/>
      <c r="Z228" s="114"/>
    </row>
    <row r="229" spans="1:26" ht="15.75" customHeight="1" x14ac:dyDescent="0.25">
      <c r="A229" s="24"/>
      <c r="B229" s="174"/>
      <c r="C229" s="24"/>
      <c r="D229" s="24"/>
      <c r="E229" s="24"/>
      <c r="F229" s="114"/>
      <c r="G229" s="114"/>
      <c r="H229" s="270"/>
      <c r="I229" s="270"/>
      <c r="J229" s="270"/>
      <c r="K229" s="212"/>
      <c r="L229" s="114"/>
      <c r="M229" s="114"/>
      <c r="N229" s="114"/>
      <c r="O229" s="114"/>
      <c r="P229" s="114"/>
      <c r="Q229" s="114"/>
      <c r="R229" s="114"/>
      <c r="S229" s="114"/>
      <c r="T229" s="114"/>
      <c r="U229" s="114"/>
      <c r="V229" s="114"/>
      <c r="W229" s="114"/>
      <c r="X229" s="114"/>
      <c r="Y229" s="114"/>
      <c r="Z229" s="114"/>
    </row>
    <row r="230" spans="1:26" ht="15.75" customHeight="1" x14ac:dyDescent="0.25">
      <c r="A230" s="24"/>
      <c r="B230" s="174"/>
      <c r="C230" s="24"/>
      <c r="D230" s="24"/>
      <c r="E230" s="24"/>
      <c r="F230" s="114"/>
      <c r="G230" s="114"/>
      <c r="H230" s="270"/>
      <c r="I230" s="270"/>
      <c r="J230" s="270"/>
      <c r="K230" s="212"/>
      <c r="L230" s="114"/>
      <c r="M230" s="114"/>
      <c r="N230" s="114"/>
      <c r="O230" s="114"/>
      <c r="P230" s="114"/>
      <c r="Q230" s="114"/>
      <c r="R230" s="114"/>
      <c r="S230" s="114"/>
      <c r="T230" s="114"/>
      <c r="U230" s="114"/>
      <c r="V230" s="114"/>
      <c r="W230" s="114"/>
      <c r="X230" s="114"/>
      <c r="Y230" s="114"/>
      <c r="Z230" s="114"/>
    </row>
    <row r="231" spans="1:26" ht="15.75" customHeight="1" x14ac:dyDescent="0.25">
      <c r="A231" s="24"/>
      <c r="B231" s="174"/>
      <c r="C231" s="24"/>
      <c r="D231" s="24"/>
      <c r="E231" s="24"/>
      <c r="F231" s="114"/>
      <c r="G231" s="114"/>
      <c r="H231" s="270"/>
      <c r="I231" s="270"/>
      <c r="J231" s="270"/>
      <c r="K231" s="212"/>
      <c r="L231" s="114"/>
      <c r="M231" s="114"/>
      <c r="N231" s="114"/>
      <c r="O231" s="114"/>
      <c r="P231" s="114"/>
      <c r="Q231" s="114"/>
      <c r="R231" s="114"/>
      <c r="S231" s="114"/>
      <c r="T231" s="114"/>
      <c r="U231" s="114"/>
      <c r="V231" s="114"/>
      <c r="W231" s="114"/>
      <c r="X231" s="114"/>
      <c r="Y231" s="114"/>
      <c r="Z231" s="114"/>
    </row>
    <row r="232" spans="1:26" ht="15.75" customHeight="1" x14ac:dyDescent="0.25">
      <c r="A232" s="24"/>
      <c r="B232" s="174"/>
      <c r="C232" s="24"/>
      <c r="D232" s="24"/>
      <c r="E232" s="24"/>
      <c r="F232" s="114"/>
      <c r="G232" s="114"/>
      <c r="H232" s="270"/>
      <c r="I232" s="270"/>
      <c r="J232" s="270"/>
      <c r="K232" s="212"/>
      <c r="L232" s="114"/>
      <c r="M232" s="114"/>
      <c r="N232" s="114"/>
      <c r="O232" s="114"/>
      <c r="P232" s="114"/>
      <c r="Q232" s="114"/>
      <c r="R232" s="114"/>
      <c r="S232" s="114"/>
      <c r="T232" s="114"/>
      <c r="U232" s="114"/>
      <c r="V232" s="114"/>
      <c r="W232" s="114"/>
      <c r="X232" s="114"/>
      <c r="Y232" s="114"/>
      <c r="Z232" s="114"/>
    </row>
    <row r="233" spans="1:26" ht="15.75" customHeight="1" x14ac:dyDescent="0.25">
      <c r="A233" s="24"/>
      <c r="B233" s="174"/>
      <c r="C233" s="24"/>
      <c r="D233" s="24"/>
      <c r="E233" s="24"/>
      <c r="F233" s="114"/>
      <c r="G233" s="114"/>
      <c r="H233" s="270"/>
      <c r="I233" s="270"/>
      <c r="J233" s="270"/>
      <c r="K233" s="212"/>
      <c r="L233" s="114"/>
      <c r="M233" s="114"/>
      <c r="N233" s="114"/>
      <c r="O233" s="114"/>
      <c r="P233" s="114"/>
      <c r="Q233" s="114"/>
      <c r="R233" s="114"/>
      <c r="S233" s="114"/>
      <c r="T233" s="114"/>
      <c r="U233" s="114"/>
      <c r="V233" s="114"/>
      <c r="W233" s="114"/>
      <c r="X233" s="114"/>
      <c r="Y233" s="114"/>
      <c r="Z233" s="114"/>
    </row>
    <row r="234" spans="1:26" ht="15.75" customHeight="1" x14ac:dyDescent="0.25">
      <c r="A234" s="24"/>
      <c r="B234" s="174"/>
      <c r="C234" s="24"/>
      <c r="D234" s="24"/>
      <c r="E234" s="24"/>
      <c r="F234" s="114"/>
      <c r="G234" s="114"/>
      <c r="H234" s="270"/>
      <c r="I234" s="270"/>
      <c r="J234" s="270"/>
      <c r="K234" s="212"/>
      <c r="L234" s="114"/>
      <c r="M234" s="114"/>
      <c r="N234" s="114"/>
      <c r="O234" s="114"/>
      <c r="P234" s="114"/>
      <c r="Q234" s="114"/>
      <c r="R234" s="114"/>
      <c r="S234" s="114"/>
      <c r="T234" s="114"/>
      <c r="U234" s="114"/>
      <c r="V234" s="114"/>
      <c r="W234" s="114"/>
      <c r="X234" s="114"/>
      <c r="Y234" s="114"/>
      <c r="Z234" s="114"/>
    </row>
    <row r="235" spans="1:26" ht="15.75" customHeight="1" x14ac:dyDescent="0.25">
      <c r="A235" s="24"/>
      <c r="B235" s="174"/>
      <c r="C235" s="24"/>
      <c r="D235" s="24"/>
      <c r="E235" s="24"/>
      <c r="F235" s="114"/>
      <c r="G235" s="114"/>
      <c r="H235" s="270"/>
      <c r="I235" s="270"/>
      <c r="J235" s="270"/>
      <c r="K235" s="212"/>
      <c r="L235" s="114"/>
      <c r="M235" s="114"/>
      <c r="N235" s="114"/>
      <c r="O235" s="114"/>
      <c r="P235" s="114"/>
      <c r="Q235" s="114"/>
      <c r="R235" s="114"/>
      <c r="S235" s="114"/>
      <c r="T235" s="114"/>
      <c r="U235" s="114"/>
      <c r="V235" s="114"/>
      <c r="W235" s="114"/>
      <c r="X235" s="114"/>
      <c r="Y235" s="114"/>
      <c r="Z235" s="114"/>
    </row>
    <row r="236" spans="1:26" ht="15.75" customHeight="1" x14ac:dyDescent="0.25">
      <c r="A236" s="24"/>
      <c r="B236" s="174"/>
      <c r="C236" s="24"/>
      <c r="D236" s="24"/>
      <c r="E236" s="24"/>
      <c r="F236" s="114"/>
      <c r="G236" s="114"/>
      <c r="H236" s="270"/>
      <c r="I236" s="270"/>
      <c r="J236" s="270"/>
      <c r="K236" s="212"/>
      <c r="L236" s="114"/>
      <c r="M236" s="114"/>
      <c r="N236" s="114"/>
      <c r="O236" s="114"/>
      <c r="P236" s="114"/>
      <c r="Q236" s="114"/>
      <c r="R236" s="114"/>
      <c r="S236" s="114"/>
      <c r="T236" s="114"/>
      <c r="U236" s="114"/>
      <c r="V236" s="114"/>
      <c r="W236" s="114"/>
      <c r="X236" s="114"/>
      <c r="Y236" s="114"/>
      <c r="Z236" s="114"/>
    </row>
    <row r="237" spans="1:26" ht="15.75" customHeight="1" x14ac:dyDescent="0.25">
      <c r="A237" s="24"/>
      <c r="B237" s="174"/>
      <c r="C237" s="24"/>
      <c r="D237" s="24"/>
      <c r="E237" s="24"/>
      <c r="F237" s="114"/>
      <c r="G237" s="114"/>
      <c r="H237" s="270"/>
      <c r="I237" s="270"/>
      <c r="J237" s="270"/>
      <c r="K237" s="212"/>
      <c r="L237" s="114"/>
      <c r="M237" s="114"/>
      <c r="N237" s="114"/>
      <c r="O237" s="114"/>
      <c r="P237" s="114"/>
      <c r="Q237" s="114"/>
      <c r="R237" s="114"/>
      <c r="S237" s="114"/>
      <c r="T237" s="114"/>
      <c r="U237" s="114"/>
      <c r="V237" s="114"/>
      <c r="W237" s="114"/>
      <c r="X237" s="114"/>
      <c r="Y237" s="114"/>
      <c r="Z237" s="114"/>
    </row>
    <row r="238" spans="1:26" ht="15.75" customHeight="1" x14ac:dyDescent="0.25">
      <c r="A238" s="24"/>
      <c r="B238" s="174"/>
      <c r="C238" s="24"/>
      <c r="D238" s="24"/>
      <c r="E238" s="24"/>
      <c r="F238" s="114"/>
      <c r="G238" s="114"/>
      <c r="H238" s="270"/>
      <c r="I238" s="270"/>
      <c r="J238" s="270"/>
      <c r="K238" s="212"/>
      <c r="L238" s="114"/>
      <c r="M238" s="114"/>
      <c r="N238" s="114"/>
      <c r="O238" s="114"/>
      <c r="P238" s="114"/>
      <c r="Q238" s="114"/>
      <c r="R238" s="114"/>
      <c r="S238" s="114"/>
      <c r="T238" s="114"/>
      <c r="U238" s="114"/>
      <c r="V238" s="114"/>
      <c r="W238" s="114"/>
      <c r="X238" s="114"/>
      <c r="Y238" s="114"/>
      <c r="Z238" s="114"/>
    </row>
    <row r="239" spans="1:26" ht="15.75" customHeight="1" x14ac:dyDescent="0.25">
      <c r="A239" s="24"/>
      <c r="B239" s="174"/>
      <c r="C239" s="24"/>
      <c r="D239" s="24"/>
      <c r="E239" s="24"/>
      <c r="F239" s="114"/>
      <c r="G239" s="114"/>
      <c r="H239" s="270"/>
      <c r="I239" s="270"/>
      <c r="J239" s="270"/>
      <c r="K239" s="212"/>
      <c r="L239" s="114"/>
      <c r="M239" s="114"/>
      <c r="N239" s="114"/>
      <c r="O239" s="114"/>
      <c r="P239" s="114"/>
      <c r="Q239" s="114"/>
      <c r="R239" s="114"/>
      <c r="S239" s="114"/>
      <c r="T239" s="114"/>
      <c r="U239" s="114"/>
      <c r="V239" s="114"/>
      <c r="W239" s="114"/>
      <c r="X239" s="114"/>
      <c r="Y239" s="114"/>
      <c r="Z239" s="114"/>
    </row>
    <row r="240" spans="1:26" ht="15.75" customHeight="1" x14ac:dyDescent="0.25">
      <c r="A240" s="24"/>
      <c r="B240" s="174"/>
      <c r="C240" s="24"/>
      <c r="D240" s="24"/>
      <c r="E240" s="24"/>
      <c r="F240" s="114"/>
      <c r="G240" s="114"/>
      <c r="H240" s="270"/>
      <c r="I240" s="270"/>
      <c r="J240" s="270"/>
      <c r="K240" s="212"/>
      <c r="L240" s="114"/>
      <c r="M240" s="114"/>
      <c r="N240" s="114"/>
      <c r="O240" s="114"/>
      <c r="P240" s="114"/>
      <c r="Q240" s="114"/>
      <c r="R240" s="114"/>
      <c r="S240" s="114"/>
      <c r="T240" s="114"/>
      <c r="U240" s="114"/>
      <c r="V240" s="114"/>
      <c r="W240" s="114"/>
      <c r="X240" s="114"/>
      <c r="Y240" s="114"/>
      <c r="Z240" s="114"/>
    </row>
    <row r="241" spans="1:26" ht="15.75" customHeight="1" x14ac:dyDescent="0.25">
      <c r="A241" s="24"/>
      <c r="B241" s="174"/>
      <c r="C241" s="24"/>
      <c r="D241" s="24"/>
      <c r="E241" s="24"/>
      <c r="F241" s="114"/>
      <c r="G241" s="114"/>
      <c r="H241" s="270"/>
      <c r="I241" s="270"/>
      <c r="J241" s="270"/>
      <c r="K241" s="212"/>
      <c r="L241" s="114"/>
      <c r="M241" s="114"/>
      <c r="N241" s="114"/>
      <c r="O241" s="114"/>
      <c r="P241" s="114"/>
      <c r="Q241" s="114"/>
      <c r="R241" s="114"/>
      <c r="S241" s="114"/>
      <c r="T241" s="114"/>
      <c r="U241" s="114"/>
      <c r="V241" s="114"/>
      <c r="W241" s="114"/>
      <c r="X241" s="114"/>
      <c r="Y241" s="114"/>
      <c r="Z241" s="114"/>
    </row>
    <row r="242" spans="1:26" ht="15.75" customHeight="1" x14ac:dyDescent="0.25">
      <c r="A242" s="24"/>
      <c r="B242" s="174"/>
      <c r="C242" s="24"/>
      <c r="D242" s="24"/>
      <c r="E242" s="24"/>
      <c r="F242" s="114"/>
      <c r="G242" s="114"/>
      <c r="H242" s="270"/>
      <c r="I242" s="270"/>
      <c r="J242" s="270"/>
      <c r="K242" s="212"/>
      <c r="L242" s="114"/>
      <c r="M242" s="114"/>
      <c r="N242" s="114"/>
      <c r="O242" s="114"/>
      <c r="P242" s="114"/>
      <c r="Q242" s="114"/>
      <c r="R242" s="114"/>
      <c r="S242" s="114"/>
      <c r="T242" s="114"/>
      <c r="U242" s="114"/>
      <c r="V242" s="114"/>
      <c r="W242" s="114"/>
      <c r="X242" s="114"/>
      <c r="Y242" s="114"/>
      <c r="Z242" s="114"/>
    </row>
    <row r="243" spans="1:26" ht="15.75" customHeight="1" x14ac:dyDescent="0.25">
      <c r="A243" s="24"/>
      <c r="B243" s="174"/>
      <c r="C243" s="24"/>
      <c r="D243" s="24"/>
      <c r="E243" s="24"/>
      <c r="F243" s="114"/>
      <c r="G243" s="114"/>
      <c r="H243" s="270"/>
      <c r="I243" s="270"/>
      <c r="J243" s="270"/>
      <c r="K243" s="212"/>
      <c r="L243" s="114"/>
      <c r="M243" s="114"/>
      <c r="N243" s="114"/>
      <c r="O243" s="114"/>
      <c r="P243" s="114"/>
      <c r="Q243" s="114"/>
      <c r="R243" s="114"/>
      <c r="S243" s="114"/>
      <c r="T243" s="114"/>
      <c r="U243" s="114"/>
      <c r="V243" s="114"/>
      <c r="W243" s="114"/>
      <c r="X243" s="114"/>
      <c r="Y243" s="114"/>
      <c r="Z243" s="114"/>
    </row>
    <row r="244" spans="1:26" ht="15.75" customHeight="1" x14ac:dyDescent="0.25">
      <c r="A244" s="24"/>
      <c r="B244" s="174"/>
      <c r="C244" s="24"/>
      <c r="D244" s="24"/>
      <c r="E244" s="24"/>
      <c r="F244" s="114"/>
      <c r="G244" s="114"/>
      <c r="H244" s="270"/>
      <c r="I244" s="270"/>
      <c r="J244" s="270"/>
      <c r="K244" s="212"/>
      <c r="L244" s="114"/>
      <c r="M244" s="114"/>
      <c r="N244" s="114"/>
      <c r="O244" s="114"/>
      <c r="P244" s="114"/>
      <c r="Q244" s="114"/>
      <c r="R244" s="114"/>
      <c r="S244" s="114"/>
      <c r="T244" s="114"/>
      <c r="U244" s="114"/>
      <c r="V244" s="114"/>
      <c r="W244" s="114"/>
      <c r="X244" s="114"/>
      <c r="Y244" s="114"/>
      <c r="Z244" s="114"/>
    </row>
    <row r="245" spans="1:26" ht="15.75" customHeight="1" x14ac:dyDescent="0.25">
      <c r="A245" s="24"/>
      <c r="B245" s="174"/>
      <c r="C245" s="24"/>
      <c r="D245" s="24"/>
      <c r="E245" s="24"/>
      <c r="F245" s="114"/>
      <c r="G245" s="114"/>
      <c r="H245" s="270"/>
      <c r="I245" s="270"/>
      <c r="J245" s="270"/>
      <c r="K245" s="212"/>
      <c r="L245" s="114"/>
      <c r="M245" s="114"/>
      <c r="N245" s="114"/>
      <c r="O245" s="114"/>
      <c r="P245" s="114"/>
      <c r="Q245" s="114"/>
      <c r="R245" s="114"/>
      <c r="S245" s="114"/>
      <c r="T245" s="114"/>
      <c r="U245" s="114"/>
      <c r="V245" s="114"/>
      <c r="W245" s="114"/>
      <c r="X245" s="114"/>
      <c r="Y245" s="114"/>
      <c r="Z245" s="114"/>
    </row>
    <row r="246" spans="1:26" ht="15.75" customHeight="1" x14ac:dyDescent="0.25">
      <c r="A246" s="24"/>
      <c r="B246" s="174"/>
      <c r="C246" s="24"/>
      <c r="D246" s="24"/>
      <c r="E246" s="24"/>
      <c r="F246" s="114"/>
      <c r="G246" s="114"/>
      <c r="H246" s="270"/>
      <c r="I246" s="270"/>
      <c r="J246" s="270"/>
      <c r="K246" s="212"/>
      <c r="L246" s="114"/>
      <c r="M246" s="114"/>
      <c r="N246" s="114"/>
      <c r="O246" s="114"/>
      <c r="P246" s="114"/>
      <c r="Q246" s="114"/>
      <c r="R246" s="114"/>
      <c r="S246" s="114"/>
      <c r="T246" s="114"/>
      <c r="U246" s="114"/>
      <c r="V246" s="114"/>
      <c r="W246" s="114"/>
      <c r="X246" s="114"/>
      <c r="Y246" s="114"/>
      <c r="Z246" s="114"/>
    </row>
    <row r="247" spans="1:26" ht="15.75" customHeight="1" x14ac:dyDescent="0.25">
      <c r="A247" s="24"/>
      <c r="B247" s="174"/>
      <c r="C247" s="24"/>
      <c r="D247" s="24"/>
      <c r="E247" s="24"/>
      <c r="F247" s="114"/>
      <c r="G247" s="114"/>
      <c r="H247" s="270"/>
      <c r="I247" s="270"/>
      <c r="J247" s="270"/>
      <c r="K247" s="212"/>
      <c r="L247" s="114"/>
      <c r="M247" s="114"/>
      <c r="N247" s="114"/>
      <c r="O247" s="114"/>
      <c r="P247" s="114"/>
      <c r="Q247" s="114"/>
      <c r="R247" s="114"/>
      <c r="S247" s="114"/>
      <c r="T247" s="114"/>
      <c r="U247" s="114"/>
      <c r="V247" s="114"/>
      <c r="W247" s="114"/>
      <c r="X247" s="114"/>
      <c r="Y247" s="114"/>
      <c r="Z247" s="114"/>
    </row>
    <row r="248" spans="1:26" ht="15.75" customHeight="1" x14ac:dyDescent="0.25">
      <c r="A248" s="24"/>
      <c r="B248" s="174"/>
      <c r="C248" s="24"/>
      <c r="D248" s="24"/>
      <c r="E248" s="24"/>
      <c r="F248" s="114"/>
      <c r="G248" s="114"/>
      <c r="H248" s="270"/>
      <c r="I248" s="270"/>
      <c r="J248" s="270"/>
      <c r="K248" s="212"/>
      <c r="L248" s="114"/>
      <c r="M248" s="114"/>
      <c r="N248" s="114"/>
      <c r="O248" s="114"/>
      <c r="P248" s="114"/>
      <c r="Q248" s="114"/>
      <c r="R248" s="114"/>
      <c r="S248" s="114"/>
      <c r="T248" s="114"/>
      <c r="U248" s="114"/>
      <c r="V248" s="114"/>
      <c r="W248" s="114"/>
      <c r="X248" s="114"/>
      <c r="Y248" s="114"/>
      <c r="Z248" s="114"/>
    </row>
    <row r="249" spans="1:26" ht="15.75" customHeight="1" x14ac:dyDescent="0.25">
      <c r="A249" s="24"/>
      <c r="B249" s="174"/>
      <c r="C249" s="24"/>
      <c r="D249" s="24"/>
      <c r="E249" s="24"/>
      <c r="F249" s="114"/>
      <c r="G249" s="114"/>
      <c r="H249" s="270"/>
      <c r="I249" s="270"/>
      <c r="J249" s="270"/>
      <c r="K249" s="212"/>
      <c r="L249" s="114"/>
      <c r="M249" s="114"/>
      <c r="N249" s="114"/>
      <c r="O249" s="114"/>
      <c r="P249" s="114"/>
      <c r="Q249" s="114"/>
      <c r="R249" s="114"/>
      <c r="S249" s="114"/>
      <c r="T249" s="114"/>
      <c r="U249" s="114"/>
      <c r="V249" s="114"/>
      <c r="W249" s="114"/>
      <c r="X249" s="114"/>
      <c r="Y249" s="114"/>
      <c r="Z249" s="114"/>
    </row>
    <row r="250" spans="1:26" ht="15.75" customHeight="1" x14ac:dyDescent="0.25">
      <c r="A250" s="24"/>
      <c r="B250" s="174"/>
      <c r="C250" s="24"/>
      <c r="D250" s="24"/>
      <c r="E250" s="24"/>
      <c r="F250" s="114"/>
      <c r="G250" s="114"/>
      <c r="H250" s="270"/>
      <c r="I250" s="270"/>
      <c r="J250" s="270"/>
      <c r="K250" s="212"/>
      <c r="L250" s="114"/>
      <c r="M250" s="114"/>
      <c r="N250" s="114"/>
      <c r="O250" s="114"/>
      <c r="P250" s="114"/>
      <c r="Q250" s="114"/>
      <c r="R250" s="114"/>
      <c r="S250" s="114"/>
      <c r="T250" s="114"/>
      <c r="U250" s="114"/>
      <c r="V250" s="114"/>
      <c r="W250" s="114"/>
      <c r="X250" s="114"/>
      <c r="Y250" s="114"/>
      <c r="Z250" s="114"/>
    </row>
    <row r="251" spans="1:26" ht="15.75" customHeight="1" x14ac:dyDescent="0.25">
      <c r="A251" s="24"/>
      <c r="B251" s="174"/>
      <c r="C251" s="24"/>
      <c r="D251" s="24"/>
      <c r="E251" s="24"/>
      <c r="F251" s="114"/>
      <c r="G251" s="114"/>
      <c r="H251" s="270"/>
      <c r="I251" s="270"/>
      <c r="J251" s="270"/>
      <c r="K251" s="212"/>
      <c r="L251" s="114"/>
      <c r="M251" s="114"/>
      <c r="N251" s="114"/>
      <c r="O251" s="114"/>
      <c r="P251" s="114"/>
      <c r="Q251" s="114"/>
      <c r="R251" s="114"/>
      <c r="S251" s="114"/>
      <c r="T251" s="114"/>
      <c r="U251" s="114"/>
      <c r="V251" s="114"/>
      <c r="W251" s="114"/>
      <c r="X251" s="114"/>
      <c r="Y251" s="114"/>
      <c r="Z251" s="114"/>
    </row>
    <row r="252" spans="1:26" ht="15.75" customHeight="1" x14ac:dyDescent="0.25">
      <c r="A252" s="24"/>
      <c r="B252" s="174"/>
      <c r="C252" s="24"/>
      <c r="D252" s="24"/>
      <c r="E252" s="24"/>
      <c r="F252" s="114"/>
      <c r="G252" s="114"/>
      <c r="H252" s="270"/>
      <c r="I252" s="270"/>
      <c r="J252" s="270"/>
      <c r="K252" s="212"/>
      <c r="L252" s="114"/>
      <c r="M252" s="114"/>
      <c r="N252" s="114"/>
      <c r="O252" s="114"/>
      <c r="P252" s="114"/>
      <c r="Q252" s="114"/>
      <c r="R252" s="114"/>
      <c r="S252" s="114"/>
      <c r="T252" s="114"/>
      <c r="U252" s="114"/>
      <c r="V252" s="114"/>
      <c r="W252" s="114"/>
      <c r="X252" s="114"/>
      <c r="Y252" s="114"/>
      <c r="Z252" s="114"/>
    </row>
    <row r="253" spans="1:26" ht="15.75" customHeight="1" x14ac:dyDescent="0.25">
      <c r="A253" s="24"/>
      <c r="B253" s="174"/>
      <c r="C253" s="24"/>
      <c r="D253" s="24"/>
      <c r="E253" s="24"/>
      <c r="F253" s="114"/>
      <c r="G253" s="114"/>
      <c r="H253" s="270"/>
      <c r="I253" s="270"/>
      <c r="J253" s="270"/>
      <c r="K253" s="212"/>
      <c r="L253" s="114"/>
      <c r="M253" s="114"/>
      <c r="N253" s="114"/>
      <c r="O253" s="114"/>
      <c r="P253" s="114"/>
      <c r="Q253" s="114"/>
      <c r="R253" s="114"/>
      <c r="S253" s="114"/>
      <c r="T253" s="114"/>
      <c r="U253" s="114"/>
      <c r="V253" s="114"/>
      <c r="W253" s="114"/>
      <c r="X253" s="114"/>
      <c r="Y253" s="114"/>
      <c r="Z253" s="114"/>
    </row>
    <row r="254" spans="1:26" ht="15.75" customHeight="1" x14ac:dyDescent="0.25">
      <c r="A254" s="24"/>
      <c r="B254" s="174"/>
      <c r="C254" s="24"/>
      <c r="D254" s="24"/>
      <c r="E254" s="24"/>
      <c r="F254" s="114"/>
      <c r="G254" s="114"/>
      <c r="H254" s="270"/>
      <c r="I254" s="270"/>
      <c r="J254" s="270"/>
      <c r="K254" s="212"/>
      <c r="L254" s="114"/>
      <c r="M254" s="114"/>
      <c r="N254" s="114"/>
      <c r="O254" s="114"/>
      <c r="P254" s="114"/>
      <c r="Q254" s="114"/>
      <c r="R254" s="114"/>
      <c r="S254" s="114"/>
      <c r="T254" s="114"/>
      <c r="U254" s="114"/>
      <c r="V254" s="114"/>
      <c r="W254" s="114"/>
      <c r="X254" s="114"/>
      <c r="Y254" s="114"/>
      <c r="Z254" s="114"/>
    </row>
    <row r="255" spans="1:26" ht="15.75" customHeight="1" x14ac:dyDescent="0.25">
      <c r="A255" s="24"/>
      <c r="B255" s="174"/>
      <c r="C255" s="24"/>
      <c r="D255" s="24"/>
      <c r="E255" s="24"/>
      <c r="F255" s="114"/>
      <c r="G255" s="114"/>
      <c r="H255" s="270"/>
      <c r="I255" s="270"/>
      <c r="J255" s="270"/>
      <c r="K255" s="212"/>
      <c r="L255" s="114"/>
      <c r="M255" s="114"/>
      <c r="N255" s="114"/>
      <c r="O255" s="114"/>
      <c r="P255" s="114"/>
      <c r="Q255" s="114"/>
      <c r="R255" s="114"/>
      <c r="S255" s="114"/>
      <c r="T255" s="114"/>
      <c r="U255" s="114"/>
      <c r="V255" s="114"/>
      <c r="W255" s="114"/>
      <c r="X255" s="114"/>
      <c r="Y255" s="114"/>
      <c r="Z255" s="114"/>
    </row>
    <row r="256" spans="1:26" ht="15.75" customHeight="1" x14ac:dyDescent="0.25">
      <c r="A256" s="24"/>
      <c r="B256" s="174"/>
      <c r="C256" s="24"/>
      <c r="D256" s="24"/>
      <c r="E256" s="24"/>
      <c r="F256" s="114"/>
      <c r="G256" s="114"/>
      <c r="H256" s="270"/>
      <c r="I256" s="270"/>
      <c r="J256" s="270"/>
      <c r="K256" s="212"/>
      <c r="L256" s="114"/>
      <c r="M256" s="114"/>
      <c r="N256" s="114"/>
      <c r="O256" s="114"/>
      <c r="P256" s="114"/>
      <c r="Q256" s="114"/>
      <c r="R256" s="114"/>
      <c r="S256" s="114"/>
      <c r="T256" s="114"/>
      <c r="U256" s="114"/>
      <c r="V256" s="114"/>
      <c r="W256" s="114"/>
      <c r="X256" s="114"/>
      <c r="Y256" s="114"/>
      <c r="Z256" s="114"/>
    </row>
    <row r="257" spans="1:26" ht="15.75" customHeight="1" x14ac:dyDescent="0.25">
      <c r="A257" s="24"/>
      <c r="B257" s="174"/>
      <c r="C257" s="24"/>
      <c r="D257" s="24"/>
      <c r="E257" s="24"/>
      <c r="F257" s="114"/>
      <c r="G257" s="114"/>
      <c r="H257" s="270"/>
      <c r="I257" s="270"/>
      <c r="J257" s="270"/>
      <c r="K257" s="212"/>
      <c r="L257" s="114"/>
      <c r="M257" s="114"/>
      <c r="N257" s="114"/>
      <c r="O257" s="114"/>
      <c r="P257" s="114"/>
      <c r="Q257" s="114"/>
      <c r="R257" s="114"/>
      <c r="S257" s="114"/>
      <c r="T257" s="114"/>
      <c r="U257" s="114"/>
      <c r="V257" s="114"/>
      <c r="W257" s="114"/>
      <c r="X257" s="114"/>
      <c r="Y257" s="114"/>
      <c r="Z257" s="114"/>
    </row>
    <row r="258" spans="1:26" ht="15.75" customHeight="1" x14ac:dyDescent="0.25">
      <c r="A258" s="24"/>
      <c r="B258" s="174"/>
      <c r="C258" s="24"/>
      <c r="D258" s="24"/>
      <c r="E258" s="24"/>
      <c r="F258" s="114"/>
      <c r="G258" s="114"/>
      <c r="H258" s="270"/>
      <c r="I258" s="270"/>
      <c r="J258" s="270"/>
      <c r="K258" s="212"/>
      <c r="L258" s="114"/>
      <c r="M258" s="114"/>
      <c r="N258" s="114"/>
      <c r="O258" s="114"/>
      <c r="P258" s="114"/>
      <c r="Q258" s="114"/>
      <c r="R258" s="114"/>
      <c r="S258" s="114"/>
      <c r="T258" s="114"/>
      <c r="U258" s="114"/>
      <c r="V258" s="114"/>
      <c r="W258" s="114"/>
      <c r="X258" s="114"/>
      <c r="Y258" s="114"/>
      <c r="Z258" s="114"/>
    </row>
    <row r="259" spans="1:26" ht="15.75" customHeight="1" x14ac:dyDescent="0.25">
      <c r="A259" s="24"/>
      <c r="B259" s="174"/>
      <c r="C259" s="24"/>
      <c r="D259" s="24"/>
      <c r="E259" s="24"/>
      <c r="F259" s="114"/>
      <c r="G259" s="114"/>
      <c r="H259" s="270"/>
      <c r="I259" s="270"/>
      <c r="J259" s="270"/>
      <c r="K259" s="212"/>
      <c r="L259" s="114"/>
      <c r="M259" s="114"/>
      <c r="N259" s="114"/>
      <c r="O259" s="114"/>
      <c r="P259" s="114"/>
      <c r="Q259" s="114"/>
      <c r="R259" s="114"/>
      <c r="S259" s="114"/>
      <c r="T259" s="114"/>
      <c r="U259" s="114"/>
      <c r="V259" s="114"/>
      <c r="W259" s="114"/>
      <c r="X259" s="114"/>
      <c r="Y259" s="114"/>
      <c r="Z259" s="114"/>
    </row>
    <row r="260" spans="1:26" ht="15.75" customHeight="1" x14ac:dyDescent="0.25">
      <c r="A260" s="24"/>
      <c r="B260" s="174"/>
      <c r="C260" s="24"/>
      <c r="D260" s="24"/>
      <c r="E260" s="24"/>
      <c r="F260" s="114"/>
      <c r="G260" s="114"/>
      <c r="H260" s="270"/>
      <c r="I260" s="270"/>
      <c r="J260" s="270"/>
      <c r="K260" s="212"/>
      <c r="L260" s="114"/>
      <c r="M260" s="114"/>
      <c r="N260" s="114"/>
      <c r="O260" s="114"/>
      <c r="P260" s="114"/>
      <c r="Q260" s="114"/>
      <c r="R260" s="114"/>
      <c r="S260" s="114"/>
      <c r="T260" s="114"/>
      <c r="U260" s="114"/>
      <c r="V260" s="114"/>
      <c r="W260" s="114"/>
      <c r="X260" s="114"/>
      <c r="Y260" s="114"/>
      <c r="Z260" s="114"/>
    </row>
    <row r="261" spans="1:26" ht="15.75" customHeight="1" x14ac:dyDescent="0.25">
      <c r="A261" s="24"/>
      <c r="B261" s="174"/>
      <c r="C261" s="24"/>
      <c r="D261" s="24"/>
      <c r="E261" s="24"/>
      <c r="F261" s="114"/>
      <c r="G261" s="114"/>
      <c r="H261" s="270"/>
      <c r="I261" s="270"/>
      <c r="J261" s="270"/>
      <c r="K261" s="212"/>
      <c r="L261" s="114"/>
      <c r="M261" s="114"/>
      <c r="N261" s="114"/>
      <c r="O261" s="114"/>
      <c r="P261" s="114"/>
      <c r="Q261" s="114"/>
      <c r="R261" s="114"/>
      <c r="S261" s="114"/>
      <c r="T261" s="114"/>
      <c r="U261" s="114"/>
      <c r="V261" s="114"/>
      <c r="W261" s="114"/>
      <c r="X261" s="114"/>
      <c r="Y261" s="114"/>
      <c r="Z261" s="114"/>
    </row>
    <row r="262" spans="1:26" ht="15.75" customHeight="1" x14ac:dyDescent="0.25">
      <c r="A262" s="24"/>
      <c r="B262" s="174"/>
      <c r="C262" s="24"/>
      <c r="D262" s="24"/>
      <c r="E262" s="24"/>
      <c r="F262" s="114"/>
      <c r="G262" s="114"/>
      <c r="H262" s="270"/>
      <c r="I262" s="270"/>
      <c r="J262" s="270"/>
      <c r="K262" s="212"/>
      <c r="L262" s="114"/>
      <c r="M262" s="114"/>
      <c r="N262" s="114"/>
      <c r="O262" s="114"/>
      <c r="P262" s="114"/>
      <c r="Q262" s="114"/>
      <c r="R262" s="114"/>
      <c r="S262" s="114"/>
      <c r="T262" s="114"/>
      <c r="U262" s="114"/>
      <c r="V262" s="114"/>
      <c r="W262" s="114"/>
      <c r="X262" s="114"/>
      <c r="Y262" s="114"/>
      <c r="Z262" s="114"/>
    </row>
    <row r="263" spans="1:26" ht="15.75" customHeight="1" x14ac:dyDescent="0.25">
      <c r="A263" s="24"/>
      <c r="B263" s="174"/>
      <c r="C263" s="24"/>
      <c r="D263" s="24"/>
      <c r="E263" s="24"/>
      <c r="F263" s="114"/>
      <c r="G263" s="114"/>
      <c r="H263" s="270"/>
      <c r="I263" s="270"/>
      <c r="J263" s="270"/>
      <c r="K263" s="212"/>
      <c r="L263" s="114"/>
      <c r="M263" s="114"/>
      <c r="N263" s="114"/>
      <c r="O263" s="114"/>
      <c r="P263" s="114"/>
      <c r="Q263" s="114"/>
      <c r="R263" s="114"/>
      <c r="S263" s="114"/>
      <c r="T263" s="114"/>
      <c r="U263" s="114"/>
      <c r="V263" s="114"/>
      <c r="W263" s="114"/>
      <c r="X263" s="114"/>
      <c r="Y263" s="114"/>
      <c r="Z263" s="114"/>
    </row>
    <row r="264" spans="1:26" ht="15.75" customHeight="1" x14ac:dyDescent="0.25">
      <c r="A264" s="24"/>
      <c r="B264" s="174"/>
      <c r="C264" s="24"/>
      <c r="D264" s="24"/>
      <c r="E264" s="24"/>
      <c r="F264" s="114"/>
      <c r="G264" s="114"/>
      <c r="H264" s="270"/>
      <c r="I264" s="270"/>
      <c r="J264" s="270"/>
      <c r="K264" s="212"/>
      <c r="L264" s="114"/>
      <c r="M264" s="114"/>
      <c r="N264" s="114"/>
      <c r="O264" s="114"/>
      <c r="P264" s="114"/>
      <c r="Q264" s="114"/>
      <c r="R264" s="114"/>
      <c r="S264" s="114"/>
      <c r="T264" s="114"/>
      <c r="U264" s="114"/>
      <c r="V264" s="114"/>
      <c r="W264" s="114"/>
      <c r="X264" s="114"/>
      <c r="Y264" s="114"/>
      <c r="Z264" s="114"/>
    </row>
    <row r="265" spans="1:26" ht="15.75" customHeight="1" x14ac:dyDescent="0.25">
      <c r="A265" s="24"/>
      <c r="B265" s="174"/>
      <c r="C265" s="24"/>
      <c r="D265" s="24"/>
      <c r="E265" s="24"/>
      <c r="F265" s="114"/>
      <c r="G265" s="114"/>
      <c r="H265" s="270"/>
      <c r="I265" s="270"/>
      <c r="J265" s="270"/>
      <c r="K265" s="212"/>
      <c r="L265" s="114"/>
      <c r="M265" s="114"/>
      <c r="N265" s="114"/>
      <c r="O265" s="114"/>
      <c r="P265" s="114"/>
      <c r="Q265" s="114"/>
      <c r="R265" s="114"/>
      <c r="S265" s="114"/>
      <c r="T265" s="114"/>
      <c r="U265" s="114"/>
      <c r="V265" s="114"/>
      <c r="W265" s="114"/>
      <c r="X265" s="114"/>
      <c r="Y265" s="114"/>
      <c r="Z265" s="114"/>
    </row>
    <row r="266" spans="1:26" ht="15.75" customHeight="1" x14ac:dyDescent="0.25">
      <c r="A266" s="24"/>
      <c r="B266" s="174"/>
      <c r="C266" s="24"/>
      <c r="D266" s="24"/>
      <c r="E266" s="24"/>
      <c r="F266" s="114"/>
      <c r="G266" s="114"/>
      <c r="H266" s="270"/>
      <c r="I266" s="270"/>
      <c r="J266" s="270"/>
      <c r="K266" s="212"/>
      <c r="L266" s="114"/>
      <c r="M266" s="114"/>
      <c r="N266" s="114"/>
      <c r="O266" s="114"/>
      <c r="P266" s="114"/>
      <c r="Q266" s="114"/>
      <c r="R266" s="114"/>
      <c r="S266" s="114"/>
      <c r="T266" s="114"/>
      <c r="U266" s="114"/>
      <c r="V266" s="114"/>
      <c r="W266" s="114"/>
      <c r="X266" s="114"/>
      <c r="Y266" s="114"/>
      <c r="Z266" s="114"/>
    </row>
    <row r="267" spans="1:26" ht="15.75" customHeight="1" x14ac:dyDescent="0.25">
      <c r="A267" s="24"/>
      <c r="B267" s="174"/>
      <c r="C267" s="24"/>
      <c r="D267" s="24"/>
      <c r="E267" s="24"/>
      <c r="F267" s="114"/>
      <c r="G267" s="114"/>
      <c r="H267" s="270"/>
      <c r="I267" s="270"/>
      <c r="J267" s="270"/>
      <c r="K267" s="212"/>
      <c r="L267" s="114"/>
      <c r="M267" s="114"/>
      <c r="N267" s="114"/>
      <c r="O267" s="114"/>
      <c r="P267" s="114"/>
      <c r="Q267" s="114"/>
      <c r="R267" s="114"/>
      <c r="S267" s="114"/>
      <c r="T267" s="114"/>
      <c r="U267" s="114"/>
      <c r="V267" s="114"/>
      <c r="W267" s="114"/>
      <c r="X267" s="114"/>
      <c r="Y267" s="114"/>
      <c r="Z267" s="114"/>
    </row>
    <row r="268" spans="1:26" ht="15.75" customHeight="1" x14ac:dyDescent="0.25">
      <c r="A268" s="24"/>
      <c r="B268" s="174"/>
      <c r="C268" s="24"/>
      <c r="D268" s="24"/>
      <c r="E268" s="24"/>
      <c r="F268" s="114"/>
      <c r="G268" s="114"/>
      <c r="H268" s="270"/>
      <c r="I268" s="270"/>
      <c r="J268" s="270"/>
      <c r="K268" s="212"/>
      <c r="L268" s="114"/>
      <c r="M268" s="114"/>
      <c r="N268" s="114"/>
      <c r="O268" s="114"/>
      <c r="P268" s="114"/>
      <c r="Q268" s="114"/>
      <c r="R268" s="114"/>
      <c r="S268" s="114"/>
      <c r="T268" s="114"/>
      <c r="U268" s="114"/>
      <c r="V268" s="114"/>
      <c r="W268" s="114"/>
      <c r="X268" s="114"/>
      <c r="Y268" s="114"/>
      <c r="Z268" s="114"/>
    </row>
    <row r="269" spans="1:26" ht="15.75" customHeight="1" x14ac:dyDescent="0.25">
      <c r="A269" s="24"/>
      <c r="B269" s="174"/>
      <c r="C269" s="24"/>
      <c r="D269" s="24"/>
      <c r="E269" s="24"/>
      <c r="F269" s="114"/>
      <c r="G269" s="114"/>
      <c r="H269" s="270"/>
      <c r="I269" s="270"/>
      <c r="J269" s="270"/>
      <c r="K269" s="212"/>
      <c r="L269" s="114"/>
      <c r="M269" s="114"/>
      <c r="N269" s="114"/>
      <c r="O269" s="114"/>
      <c r="P269" s="114"/>
      <c r="Q269" s="114"/>
      <c r="R269" s="114"/>
      <c r="S269" s="114"/>
      <c r="T269" s="114"/>
      <c r="U269" s="114"/>
      <c r="V269" s="114"/>
      <c r="W269" s="114"/>
      <c r="X269" s="114"/>
      <c r="Y269" s="114"/>
      <c r="Z269" s="114"/>
    </row>
    <row r="270" spans="1:26" ht="15.75" customHeight="1" x14ac:dyDescent="0.25">
      <c r="A270" s="24"/>
      <c r="B270" s="174"/>
      <c r="C270" s="24"/>
      <c r="D270" s="24"/>
      <c r="E270" s="24"/>
      <c r="F270" s="114"/>
      <c r="G270" s="114"/>
      <c r="H270" s="270"/>
      <c r="I270" s="270"/>
      <c r="J270" s="270"/>
      <c r="K270" s="212"/>
      <c r="L270" s="114"/>
      <c r="M270" s="114"/>
      <c r="N270" s="114"/>
      <c r="O270" s="114"/>
      <c r="P270" s="114"/>
      <c r="Q270" s="114"/>
      <c r="R270" s="114"/>
      <c r="S270" s="114"/>
      <c r="T270" s="114"/>
      <c r="U270" s="114"/>
      <c r="V270" s="114"/>
      <c r="W270" s="114"/>
      <c r="X270" s="114"/>
      <c r="Y270" s="114"/>
      <c r="Z270" s="114"/>
    </row>
    <row r="271" spans="1:26" ht="15.75" customHeight="1" x14ac:dyDescent="0.25">
      <c r="A271" s="24"/>
      <c r="B271" s="174"/>
      <c r="C271" s="24"/>
      <c r="D271" s="24"/>
      <c r="E271" s="24"/>
      <c r="F271" s="114"/>
      <c r="G271" s="114"/>
      <c r="H271" s="270"/>
      <c r="I271" s="270"/>
      <c r="J271" s="270"/>
      <c r="K271" s="212"/>
      <c r="L271" s="114"/>
      <c r="M271" s="114"/>
      <c r="N271" s="114"/>
      <c r="O271" s="114"/>
      <c r="P271" s="114"/>
      <c r="Q271" s="114"/>
      <c r="R271" s="114"/>
      <c r="S271" s="114"/>
      <c r="T271" s="114"/>
      <c r="U271" s="114"/>
      <c r="V271" s="114"/>
      <c r="W271" s="114"/>
      <c r="X271" s="114"/>
      <c r="Y271" s="114"/>
      <c r="Z271" s="114"/>
    </row>
    <row r="272" spans="1:26" ht="15.75" customHeight="1" x14ac:dyDescent="0.25">
      <c r="A272" s="24"/>
      <c r="B272" s="174"/>
      <c r="C272" s="24"/>
      <c r="D272" s="24"/>
      <c r="E272" s="24"/>
      <c r="F272" s="114"/>
      <c r="G272" s="114"/>
      <c r="H272" s="270"/>
      <c r="I272" s="270"/>
      <c r="J272" s="270"/>
      <c r="K272" s="212"/>
      <c r="L272" s="114"/>
      <c r="M272" s="114"/>
      <c r="N272" s="114"/>
      <c r="O272" s="114"/>
      <c r="P272" s="114"/>
      <c r="Q272" s="114"/>
      <c r="R272" s="114"/>
      <c r="S272" s="114"/>
      <c r="T272" s="114"/>
      <c r="U272" s="114"/>
      <c r="V272" s="114"/>
      <c r="W272" s="114"/>
      <c r="X272" s="114"/>
      <c r="Y272" s="114"/>
      <c r="Z272" s="114"/>
    </row>
    <row r="273" spans="1:26" ht="15.75" customHeight="1" x14ac:dyDescent="0.25">
      <c r="A273" s="24"/>
      <c r="B273" s="174"/>
      <c r="C273" s="24"/>
      <c r="D273" s="24"/>
      <c r="E273" s="24"/>
      <c r="F273" s="114"/>
      <c r="G273" s="114"/>
      <c r="H273" s="270"/>
      <c r="I273" s="270"/>
      <c r="J273" s="270"/>
      <c r="K273" s="212"/>
      <c r="L273" s="114"/>
      <c r="M273" s="114"/>
      <c r="N273" s="114"/>
      <c r="O273" s="114"/>
      <c r="P273" s="114"/>
      <c r="Q273" s="114"/>
      <c r="R273" s="114"/>
      <c r="S273" s="114"/>
      <c r="T273" s="114"/>
      <c r="U273" s="114"/>
      <c r="V273" s="114"/>
      <c r="W273" s="114"/>
      <c r="X273" s="114"/>
      <c r="Y273" s="114"/>
      <c r="Z273" s="114"/>
    </row>
    <row r="274" spans="1:26" ht="15.75" customHeight="1" x14ac:dyDescent="0.25">
      <c r="A274" s="24"/>
      <c r="B274" s="174"/>
      <c r="C274" s="24"/>
      <c r="D274" s="24"/>
      <c r="E274" s="24"/>
      <c r="F274" s="114"/>
      <c r="G274" s="114"/>
      <c r="H274" s="270"/>
      <c r="I274" s="270"/>
      <c r="J274" s="270"/>
      <c r="K274" s="212"/>
      <c r="L274" s="114"/>
      <c r="M274" s="114"/>
      <c r="N274" s="114"/>
      <c r="O274" s="114"/>
      <c r="P274" s="114"/>
      <c r="Q274" s="114"/>
      <c r="R274" s="114"/>
      <c r="S274" s="114"/>
      <c r="T274" s="114"/>
      <c r="U274" s="114"/>
      <c r="V274" s="114"/>
      <c r="W274" s="114"/>
      <c r="X274" s="114"/>
      <c r="Y274" s="114"/>
      <c r="Z274" s="114"/>
    </row>
    <row r="275" spans="1:26" ht="15.75" customHeight="1" x14ac:dyDescent="0.25">
      <c r="A275" s="24"/>
      <c r="B275" s="174"/>
      <c r="C275" s="24"/>
      <c r="D275" s="24"/>
      <c r="E275" s="24"/>
      <c r="F275" s="114"/>
      <c r="G275" s="114"/>
      <c r="H275" s="270"/>
      <c r="I275" s="270"/>
      <c r="J275" s="270"/>
      <c r="K275" s="212"/>
      <c r="L275" s="114"/>
      <c r="M275" s="114"/>
      <c r="N275" s="114"/>
      <c r="O275" s="114"/>
      <c r="P275" s="114"/>
      <c r="Q275" s="114"/>
      <c r="R275" s="114"/>
      <c r="S275" s="114"/>
      <c r="T275" s="114"/>
      <c r="U275" s="114"/>
      <c r="V275" s="114"/>
      <c r="W275" s="114"/>
      <c r="X275" s="114"/>
      <c r="Y275" s="114"/>
      <c r="Z275" s="114"/>
    </row>
    <row r="276" spans="1:26" ht="15.75" customHeight="1" x14ac:dyDescent="0.25">
      <c r="A276" s="24"/>
      <c r="B276" s="174"/>
      <c r="C276" s="24"/>
      <c r="D276" s="24"/>
      <c r="E276" s="24"/>
      <c r="F276" s="114"/>
      <c r="G276" s="114"/>
      <c r="H276" s="270"/>
      <c r="I276" s="270"/>
      <c r="J276" s="270"/>
      <c r="K276" s="212"/>
      <c r="L276" s="114"/>
      <c r="M276" s="114"/>
      <c r="N276" s="114"/>
      <c r="O276" s="114"/>
      <c r="P276" s="114"/>
      <c r="Q276" s="114"/>
      <c r="R276" s="114"/>
      <c r="S276" s="114"/>
      <c r="T276" s="114"/>
      <c r="U276" s="114"/>
      <c r="V276" s="114"/>
      <c r="W276" s="114"/>
      <c r="X276" s="114"/>
      <c r="Y276" s="114"/>
      <c r="Z276" s="114"/>
    </row>
    <row r="277" spans="1:26" ht="15.75" customHeight="1" x14ac:dyDescent="0.25">
      <c r="A277" s="24"/>
      <c r="B277" s="174"/>
      <c r="C277" s="24"/>
      <c r="D277" s="24"/>
      <c r="E277" s="24"/>
      <c r="F277" s="114"/>
      <c r="G277" s="114"/>
      <c r="H277" s="270"/>
      <c r="I277" s="270"/>
      <c r="J277" s="270"/>
      <c r="K277" s="212"/>
      <c r="L277" s="114"/>
      <c r="M277" s="114"/>
      <c r="N277" s="114"/>
      <c r="O277" s="114"/>
      <c r="P277" s="114"/>
      <c r="Q277" s="114"/>
      <c r="R277" s="114"/>
      <c r="S277" s="114"/>
      <c r="T277" s="114"/>
      <c r="U277" s="114"/>
      <c r="V277" s="114"/>
      <c r="W277" s="114"/>
      <c r="X277" s="114"/>
      <c r="Y277" s="114"/>
      <c r="Z277" s="114"/>
    </row>
    <row r="278" spans="1:26" ht="15.75" customHeight="1" x14ac:dyDescent="0.25">
      <c r="A278" s="24"/>
      <c r="B278" s="174"/>
      <c r="C278" s="24"/>
      <c r="D278" s="24"/>
      <c r="E278" s="24"/>
      <c r="F278" s="114"/>
      <c r="G278" s="114"/>
      <c r="H278" s="270"/>
      <c r="I278" s="270"/>
      <c r="J278" s="270"/>
      <c r="K278" s="212"/>
      <c r="L278" s="114"/>
      <c r="M278" s="114"/>
      <c r="N278" s="114"/>
      <c r="O278" s="114"/>
      <c r="P278" s="114"/>
      <c r="Q278" s="114"/>
      <c r="R278" s="114"/>
      <c r="S278" s="114"/>
      <c r="T278" s="114"/>
      <c r="U278" s="114"/>
      <c r="V278" s="114"/>
      <c r="W278" s="114"/>
      <c r="X278" s="114"/>
      <c r="Y278" s="114"/>
      <c r="Z278" s="114"/>
    </row>
    <row r="279" spans="1:26" ht="15.75" customHeight="1" x14ac:dyDescent="0.25">
      <c r="A279" s="24"/>
      <c r="B279" s="174"/>
      <c r="C279" s="24"/>
      <c r="D279" s="24"/>
      <c r="E279" s="24"/>
      <c r="F279" s="114"/>
      <c r="G279" s="114"/>
      <c r="H279" s="270"/>
      <c r="I279" s="270"/>
      <c r="J279" s="270"/>
      <c r="K279" s="212"/>
      <c r="L279" s="114"/>
      <c r="M279" s="114"/>
      <c r="N279" s="114"/>
      <c r="O279" s="114"/>
      <c r="P279" s="114"/>
      <c r="Q279" s="114"/>
      <c r="R279" s="114"/>
      <c r="S279" s="114"/>
      <c r="T279" s="114"/>
      <c r="U279" s="114"/>
      <c r="V279" s="114"/>
      <c r="W279" s="114"/>
      <c r="X279" s="114"/>
      <c r="Y279" s="114"/>
      <c r="Z279" s="114"/>
    </row>
    <row r="280" spans="1:26" ht="15.75" customHeight="1" x14ac:dyDescent="0.25">
      <c r="A280" s="24"/>
      <c r="B280" s="174"/>
      <c r="C280" s="24"/>
      <c r="D280" s="24"/>
      <c r="E280" s="24"/>
      <c r="F280" s="114"/>
      <c r="G280" s="114"/>
      <c r="H280" s="270"/>
      <c r="I280" s="270"/>
      <c r="J280" s="270"/>
      <c r="K280" s="212"/>
      <c r="L280" s="114"/>
      <c r="M280" s="114"/>
      <c r="N280" s="114"/>
      <c r="O280" s="114"/>
      <c r="P280" s="114"/>
      <c r="Q280" s="114"/>
      <c r="R280" s="114"/>
      <c r="S280" s="114"/>
      <c r="T280" s="114"/>
      <c r="U280" s="114"/>
      <c r="V280" s="114"/>
      <c r="W280" s="114"/>
      <c r="X280" s="114"/>
      <c r="Y280" s="114"/>
      <c r="Z280" s="114"/>
    </row>
    <row r="281" spans="1:26" ht="15.75" customHeight="1" x14ac:dyDescent="0.25">
      <c r="A281" s="24"/>
      <c r="B281" s="174"/>
      <c r="C281" s="24"/>
      <c r="D281" s="24"/>
      <c r="E281" s="24"/>
      <c r="F281" s="114"/>
      <c r="G281" s="114"/>
      <c r="H281" s="270"/>
      <c r="I281" s="270"/>
      <c r="J281" s="270"/>
      <c r="K281" s="212"/>
      <c r="L281" s="114"/>
      <c r="M281" s="114"/>
      <c r="N281" s="114"/>
      <c r="O281" s="114"/>
      <c r="P281" s="114"/>
      <c r="Q281" s="114"/>
      <c r="R281" s="114"/>
      <c r="S281" s="114"/>
      <c r="T281" s="114"/>
      <c r="U281" s="114"/>
      <c r="V281" s="114"/>
      <c r="W281" s="114"/>
      <c r="X281" s="114"/>
      <c r="Y281" s="114"/>
      <c r="Z281" s="114"/>
    </row>
    <row r="282" spans="1:26" ht="15.75" customHeight="1" x14ac:dyDescent="0.25">
      <c r="A282" s="24"/>
      <c r="B282" s="174"/>
      <c r="C282" s="24"/>
      <c r="D282" s="24"/>
      <c r="E282" s="24"/>
      <c r="F282" s="114"/>
      <c r="G282" s="114"/>
      <c r="H282" s="270"/>
      <c r="I282" s="270"/>
      <c r="J282" s="270"/>
      <c r="K282" s="212"/>
      <c r="L282" s="114"/>
      <c r="M282" s="114"/>
      <c r="N282" s="114"/>
      <c r="O282" s="114"/>
      <c r="P282" s="114"/>
      <c r="Q282" s="114"/>
      <c r="R282" s="114"/>
      <c r="S282" s="114"/>
      <c r="T282" s="114"/>
      <c r="U282" s="114"/>
      <c r="V282" s="114"/>
      <c r="W282" s="114"/>
      <c r="X282" s="114"/>
      <c r="Y282" s="114"/>
      <c r="Z282" s="114"/>
    </row>
    <row r="283" spans="1:26" ht="15.75" customHeight="1" x14ac:dyDescent="0.25">
      <c r="A283" s="24"/>
      <c r="B283" s="174"/>
      <c r="C283" s="24"/>
      <c r="D283" s="24"/>
      <c r="E283" s="24"/>
      <c r="F283" s="114"/>
      <c r="G283" s="114"/>
      <c r="H283" s="270"/>
      <c r="I283" s="270"/>
      <c r="J283" s="270"/>
      <c r="K283" s="212"/>
      <c r="L283" s="114"/>
      <c r="M283" s="114"/>
      <c r="N283" s="114"/>
      <c r="O283" s="114"/>
      <c r="P283" s="114"/>
      <c r="Q283" s="114"/>
      <c r="R283" s="114"/>
      <c r="S283" s="114"/>
      <c r="T283" s="114"/>
      <c r="U283" s="114"/>
      <c r="V283" s="114"/>
      <c r="W283" s="114"/>
      <c r="X283" s="114"/>
      <c r="Y283" s="114"/>
      <c r="Z283" s="114"/>
    </row>
    <row r="284" spans="1:26" ht="15.75" customHeight="1" x14ac:dyDescent="0.25">
      <c r="A284" s="24"/>
      <c r="B284" s="174"/>
      <c r="C284" s="24"/>
      <c r="D284" s="24"/>
      <c r="E284" s="24"/>
      <c r="F284" s="114"/>
      <c r="G284" s="114"/>
      <c r="H284" s="270"/>
      <c r="I284" s="270"/>
      <c r="J284" s="270"/>
      <c r="K284" s="212"/>
      <c r="L284" s="114"/>
      <c r="M284" s="114"/>
      <c r="N284" s="114"/>
      <c r="O284" s="114"/>
      <c r="P284" s="114"/>
      <c r="Q284" s="114"/>
      <c r="R284" s="114"/>
      <c r="S284" s="114"/>
      <c r="T284" s="114"/>
      <c r="U284" s="114"/>
      <c r="V284" s="114"/>
      <c r="W284" s="114"/>
      <c r="X284" s="114"/>
      <c r="Y284" s="114"/>
      <c r="Z284" s="114"/>
    </row>
    <row r="285" spans="1:26" ht="15.75" customHeight="1" x14ac:dyDescent="0.25">
      <c r="A285" s="24"/>
      <c r="B285" s="174"/>
      <c r="C285" s="24"/>
      <c r="D285" s="24"/>
      <c r="E285" s="24"/>
      <c r="F285" s="114"/>
      <c r="G285" s="114"/>
      <c r="H285" s="270"/>
      <c r="I285" s="270"/>
      <c r="J285" s="270"/>
      <c r="K285" s="212"/>
      <c r="L285" s="114"/>
      <c r="M285" s="114"/>
      <c r="N285" s="114"/>
      <c r="O285" s="114"/>
      <c r="P285" s="114"/>
      <c r="Q285" s="114"/>
      <c r="R285" s="114"/>
      <c r="S285" s="114"/>
      <c r="T285" s="114"/>
      <c r="U285" s="114"/>
      <c r="V285" s="114"/>
      <c r="W285" s="114"/>
      <c r="X285" s="114"/>
      <c r="Y285" s="114"/>
      <c r="Z285" s="114"/>
    </row>
    <row r="286" spans="1:26" ht="15.75" customHeight="1" x14ac:dyDescent="0.25">
      <c r="A286" s="24"/>
      <c r="B286" s="174"/>
      <c r="C286" s="24"/>
      <c r="D286" s="24"/>
      <c r="E286" s="24"/>
      <c r="F286" s="114"/>
      <c r="G286" s="114"/>
      <c r="H286" s="270"/>
      <c r="I286" s="270"/>
      <c r="J286" s="270"/>
      <c r="K286" s="212"/>
      <c r="L286" s="114"/>
      <c r="M286" s="114"/>
      <c r="N286" s="114"/>
      <c r="O286" s="114"/>
      <c r="P286" s="114"/>
      <c r="Q286" s="114"/>
      <c r="R286" s="114"/>
      <c r="S286" s="114"/>
      <c r="T286" s="114"/>
      <c r="U286" s="114"/>
      <c r="V286" s="114"/>
      <c r="W286" s="114"/>
      <c r="X286" s="114"/>
      <c r="Y286" s="114"/>
      <c r="Z286" s="114"/>
    </row>
    <row r="287" spans="1:26" ht="15.75" customHeight="1" x14ac:dyDescent="0.25">
      <c r="A287" s="24"/>
      <c r="B287" s="174"/>
      <c r="C287" s="24"/>
      <c r="D287" s="24"/>
      <c r="E287" s="24"/>
      <c r="F287" s="114"/>
      <c r="G287" s="114"/>
      <c r="H287" s="270"/>
      <c r="I287" s="270"/>
      <c r="J287" s="270"/>
      <c r="K287" s="212"/>
      <c r="L287" s="114"/>
      <c r="M287" s="114"/>
      <c r="N287" s="114"/>
      <c r="O287" s="114"/>
      <c r="P287" s="114"/>
      <c r="Q287" s="114"/>
      <c r="R287" s="114"/>
      <c r="S287" s="114"/>
      <c r="T287" s="114"/>
      <c r="U287" s="114"/>
      <c r="V287" s="114"/>
      <c r="W287" s="114"/>
      <c r="X287" s="114"/>
      <c r="Y287" s="114"/>
      <c r="Z287" s="114"/>
    </row>
    <row r="288" spans="1:26" ht="15.75" customHeight="1" x14ac:dyDescent="0.25">
      <c r="A288" s="24"/>
      <c r="B288" s="174"/>
      <c r="C288" s="24"/>
      <c r="D288" s="24"/>
      <c r="E288" s="24"/>
      <c r="F288" s="114"/>
      <c r="G288" s="114"/>
      <c r="H288" s="270"/>
      <c r="I288" s="270"/>
      <c r="J288" s="270"/>
      <c r="K288" s="212"/>
      <c r="L288" s="114"/>
      <c r="M288" s="114"/>
      <c r="N288" s="114"/>
      <c r="O288" s="114"/>
      <c r="P288" s="114"/>
      <c r="Q288" s="114"/>
      <c r="R288" s="114"/>
      <c r="S288" s="114"/>
      <c r="T288" s="114"/>
      <c r="U288" s="114"/>
      <c r="V288" s="114"/>
      <c r="W288" s="114"/>
      <c r="X288" s="114"/>
      <c r="Y288" s="114"/>
      <c r="Z288" s="114"/>
    </row>
    <row r="289" spans="1:26" ht="15.75" customHeight="1" x14ac:dyDescent="0.25">
      <c r="A289" s="24"/>
      <c r="B289" s="174"/>
      <c r="C289" s="24"/>
      <c r="D289" s="24"/>
      <c r="E289" s="24"/>
      <c r="F289" s="114"/>
      <c r="G289" s="114"/>
      <c r="H289" s="270"/>
      <c r="I289" s="270"/>
      <c r="J289" s="270"/>
      <c r="K289" s="212"/>
      <c r="L289" s="114"/>
      <c r="M289" s="114"/>
      <c r="N289" s="114"/>
      <c r="O289" s="114"/>
      <c r="P289" s="114"/>
      <c r="Q289" s="114"/>
      <c r="R289" s="114"/>
      <c r="S289" s="114"/>
      <c r="T289" s="114"/>
      <c r="U289" s="114"/>
      <c r="V289" s="114"/>
      <c r="W289" s="114"/>
      <c r="X289" s="114"/>
      <c r="Y289" s="114"/>
      <c r="Z289" s="114"/>
    </row>
    <row r="290" spans="1:26" ht="15.75" customHeight="1" x14ac:dyDescent="0.25">
      <c r="A290" s="24"/>
      <c r="B290" s="174"/>
      <c r="C290" s="24"/>
      <c r="D290" s="24"/>
      <c r="E290" s="24"/>
      <c r="F290" s="114"/>
      <c r="G290" s="114"/>
      <c r="H290" s="270"/>
      <c r="I290" s="270"/>
      <c r="J290" s="270"/>
      <c r="K290" s="212"/>
      <c r="L290" s="114"/>
      <c r="M290" s="114"/>
      <c r="N290" s="114"/>
      <c r="O290" s="114"/>
      <c r="P290" s="114"/>
      <c r="Q290" s="114"/>
      <c r="R290" s="114"/>
      <c r="S290" s="114"/>
      <c r="T290" s="114"/>
      <c r="U290" s="114"/>
      <c r="V290" s="114"/>
      <c r="W290" s="114"/>
      <c r="X290" s="114"/>
      <c r="Y290" s="114"/>
      <c r="Z290" s="114"/>
    </row>
    <row r="291" spans="1:26" ht="15.75" customHeight="1" x14ac:dyDescent="0.25">
      <c r="A291" s="24"/>
      <c r="B291" s="174"/>
      <c r="C291" s="24"/>
      <c r="D291" s="24"/>
      <c r="E291" s="24"/>
      <c r="F291" s="114"/>
      <c r="G291" s="114"/>
      <c r="H291" s="270"/>
      <c r="I291" s="270"/>
      <c r="J291" s="270"/>
      <c r="K291" s="212"/>
      <c r="L291" s="114"/>
      <c r="M291" s="114"/>
      <c r="N291" s="114"/>
      <c r="O291" s="114"/>
      <c r="P291" s="114"/>
      <c r="Q291" s="114"/>
      <c r="R291" s="114"/>
      <c r="S291" s="114"/>
      <c r="T291" s="114"/>
      <c r="U291" s="114"/>
      <c r="V291" s="114"/>
      <c r="W291" s="114"/>
      <c r="X291" s="114"/>
      <c r="Y291" s="114"/>
      <c r="Z291" s="114"/>
    </row>
    <row r="292" spans="1:26" ht="15.75" customHeight="1" x14ac:dyDescent="0.25">
      <c r="A292" s="24"/>
      <c r="B292" s="174"/>
      <c r="C292" s="24"/>
      <c r="D292" s="24"/>
      <c r="E292" s="24"/>
      <c r="F292" s="114"/>
      <c r="G292" s="114"/>
      <c r="H292" s="270"/>
      <c r="I292" s="270"/>
      <c r="J292" s="270"/>
      <c r="K292" s="212"/>
      <c r="L292" s="114"/>
      <c r="M292" s="114"/>
      <c r="N292" s="114"/>
      <c r="O292" s="114"/>
      <c r="P292" s="114"/>
      <c r="Q292" s="114"/>
      <c r="R292" s="114"/>
      <c r="S292" s="114"/>
      <c r="T292" s="114"/>
      <c r="U292" s="114"/>
      <c r="V292" s="114"/>
      <c r="W292" s="114"/>
      <c r="X292" s="114"/>
      <c r="Y292" s="114"/>
      <c r="Z292" s="114"/>
    </row>
    <row r="293" spans="1:26" ht="15.75" customHeight="1" x14ac:dyDescent="0.25">
      <c r="A293" s="24"/>
      <c r="B293" s="174"/>
      <c r="C293" s="24"/>
      <c r="D293" s="24"/>
      <c r="E293" s="24"/>
      <c r="F293" s="114"/>
      <c r="G293" s="114"/>
      <c r="H293" s="270"/>
      <c r="I293" s="270"/>
      <c r="J293" s="270"/>
      <c r="K293" s="212"/>
      <c r="L293" s="114"/>
      <c r="M293" s="114"/>
      <c r="N293" s="114"/>
      <c r="O293" s="114"/>
      <c r="P293" s="114"/>
      <c r="Q293" s="114"/>
      <c r="R293" s="114"/>
      <c r="S293" s="114"/>
      <c r="T293" s="114"/>
      <c r="U293" s="114"/>
      <c r="V293" s="114"/>
      <c r="W293" s="114"/>
      <c r="X293" s="114"/>
      <c r="Y293" s="114"/>
      <c r="Z293" s="114"/>
    </row>
    <row r="294" spans="1:26" ht="15.75" customHeight="1" x14ac:dyDescent="0.25">
      <c r="A294" s="24"/>
      <c r="B294" s="174"/>
      <c r="C294" s="24"/>
      <c r="D294" s="24"/>
      <c r="E294" s="24"/>
      <c r="F294" s="114"/>
      <c r="G294" s="114"/>
      <c r="H294" s="270"/>
      <c r="I294" s="270"/>
      <c r="J294" s="270"/>
      <c r="K294" s="212"/>
      <c r="L294" s="114"/>
      <c r="M294" s="114"/>
      <c r="N294" s="114"/>
      <c r="O294" s="114"/>
      <c r="P294" s="114"/>
      <c r="Q294" s="114"/>
      <c r="R294" s="114"/>
      <c r="S294" s="114"/>
      <c r="T294" s="114"/>
      <c r="U294" s="114"/>
      <c r="V294" s="114"/>
      <c r="W294" s="114"/>
      <c r="X294" s="114"/>
      <c r="Y294" s="114"/>
      <c r="Z294" s="114"/>
    </row>
    <row r="295" spans="1:26" ht="15.75" customHeight="1" x14ac:dyDescent="0.25">
      <c r="A295" s="24"/>
      <c r="B295" s="174"/>
      <c r="C295" s="24"/>
      <c r="D295" s="24"/>
      <c r="E295" s="24"/>
      <c r="F295" s="114"/>
      <c r="G295" s="114"/>
      <c r="H295" s="270"/>
      <c r="I295" s="270"/>
      <c r="J295" s="270"/>
      <c r="K295" s="212"/>
      <c r="L295" s="114"/>
      <c r="M295" s="114"/>
      <c r="N295" s="114"/>
      <c r="O295" s="114"/>
      <c r="P295" s="114"/>
      <c r="Q295" s="114"/>
      <c r="R295" s="114"/>
      <c r="S295" s="114"/>
      <c r="T295" s="114"/>
      <c r="U295" s="114"/>
      <c r="V295" s="114"/>
      <c r="W295" s="114"/>
      <c r="X295" s="114"/>
      <c r="Y295" s="114"/>
      <c r="Z295" s="114"/>
    </row>
    <row r="296" spans="1:26" ht="15.75" customHeight="1" x14ac:dyDescent="0.25">
      <c r="A296" s="24"/>
      <c r="B296" s="174"/>
      <c r="C296" s="24"/>
      <c r="D296" s="24"/>
      <c r="E296" s="24"/>
      <c r="F296" s="114"/>
      <c r="G296" s="114"/>
      <c r="H296" s="270"/>
      <c r="I296" s="270"/>
      <c r="J296" s="270"/>
      <c r="K296" s="212"/>
      <c r="L296" s="114"/>
      <c r="M296" s="114"/>
      <c r="N296" s="114"/>
      <c r="O296" s="114"/>
      <c r="P296" s="114"/>
      <c r="Q296" s="114"/>
      <c r="R296" s="114"/>
      <c r="S296" s="114"/>
      <c r="T296" s="114"/>
      <c r="U296" s="114"/>
      <c r="V296" s="114"/>
      <c r="W296" s="114"/>
      <c r="X296" s="114"/>
      <c r="Y296" s="114"/>
      <c r="Z296" s="114"/>
    </row>
    <row r="297" spans="1:26" ht="15.75" customHeight="1" x14ac:dyDescent="0.25">
      <c r="A297" s="24"/>
      <c r="B297" s="174"/>
      <c r="C297" s="24"/>
      <c r="D297" s="24"/>
      <c r="E297" s="24"/>
      <c r="F297" s="114"/>
      <c r="G297" s="114"/>
      <c r="H297" s="270"/>
      <c r="I297" s="270"/>
      <c r="J297" s="270"/>
      <c r="K297" s="212"/>
      <c r="L297" s="114"/>
      <c r="M297" s="114"/>
      <c r="N297" s="114"/>
      <c r="O297" s="114"/>
      <c r="P297" s="114"/>
      <c r="Q297" s="114"/>
      <c r="R297" s="114"/>
      <c r="S297" s="114"/>
      <c r="T297" s="114"/>
      <c r="U297" s="114"/>
      <c r="V297" s="114"/>
      <c r="W297" s="114"/>
      <c r="X297" s="114"/>
      <c r="Y297" s="114"/>
      <c r="Z297" s="114"/>
    </row>
    <row r="298" spans="1:26" ht="15.75" customHeight="1" x14ac:dyDescent="0.25">
      <c r="A298" s="24"/>
      <c r="B298" s="174"/>
      <c r="C298" s="24"/>
      <c r="D298" s="24"/>
      <c r="E298" s="24"/>
      <c r="F298" s="114"/>
      <c r="G298" s="114"/>
      <c r="H298" s="270"/>
      <c r="I298" s="270"/>
      <c r="J298" s="270"/>
      <c r="K298" s="212"/>
      <c r="L298" s="114"/>
      <c r="M298" s="114"/>
      <c r="N298" s="114"/>
      <c r="O298" s="114"/>
      <c r="P298" s="114"/>
      <c r="Q298" s="114"/>
      <c r="R298" s="114"/>
      <c r="S298" s="114"/>
      <c r="T298" s="114"/>
      <c r="U298" s="114"/>
      <c r="V298" s="114"/>
      <c r="W298" s="114"/>
      <c r="X298" s="114"/>
      <c r="Y298" s="114"/>
      <c r="Z298" s="114"/>
    </row>
    <row r="299" spans="1:26" ht="15.75" customHeight="1" x14ac:dyDescent="0.25">
      <c r="A299" s="24"/>
      <c r="B299" s="174"/>
      <c r="C299" s="24"/>
      <c r="D299" s="24"/>
      <c r="E299" s="24"/>
      <c r="F299" s="114"/>
      <c r="G299" s="114"/>
      <c r="H299" s="270"/>
      <c r="I299" s="270"/>
      <c r="J299" s="270"/>
      <c r="K299" s="212"/>
      <c r="L299" s="114"/>
      <c r="M299" s="114"/>
      <c r="N299" s="114"/>
      <c r="O299" s="114"/>
      <c r="P299" s="114"/>
      <c r="Q299" s="114"/>
      <c r="R299" s="114"/>
      <c r="S299" s="114"/>
      <c r="T299" s="114"/>
      <c r="U299" s="114"/>
      <c r="V299" s="114"/>
      <c r="W299" s="114"/>
      <c r="X299" s="114"/>
      <c r="Y299" s="114"/>
      <c r="Z299" s="114"/>
    </row>
    <row r="300" spans="1:26" ht="15.75" customHeight="1" x14ac:dyDescent="0.25">
      <c r="A300" s="24"/>
      <c r="B300" s="174"/>
      <c r="C300" s="24"/>
      <c r="D300" s="24"/>
      <c r="E300" s="24"/>
      <c r="F300" s="114"/>
      <c r="G300" s="114"/>
      <c r="H300" s="270"/>
      <c r="I300" s="270"/>
      <c r="J300" s="270"/>
      <c r="K300" s="212"/>
      <c r="L300" s="114"/>
      <c r="M300" s="114"/>
      <c r="N300" s="114"/>
      <c r="O300" s="114"/>
      <c r="P300" s="114"/>
      <c r="Q300" s="114"/>
      <c r="R300" s="114"/>
      <c r="S300" s="114"/>
      <c r="T300" s="114"/>
      <c r="U300" s="114"/>
      <c r="V300" s="114"/>
      <c r="W300" s="114"/>
      <c r="X300" s="114"/>
      <c r="Y300" s="114"/>
      <c r="Z300" s="114"/>
    </row>
    <row r="301" spans="1:26" ht="15.75" customHeight="1" x14ac:dyDescent="0.25">
      <c r="A301" s="24"/>
      <c r="B301" s="174"/>
      <c r="C301" s="24"/>
      <c r="D301" s="24"/>
      <c r="E301" s="24"/>
      <c r="F301" s="114"/>
      <c r="G301" s="114"/>
      <c r="H301" s="270"/>
      <c r="I301" s="270"/>
      <c r="J301" s="270"/>
      <c r="K301" s="212"/>
      <c r="L301" s="114"/>
      <c r="M301" s="114"/>
      <c r="N301" s="114"/>
      <c r="O301" s="114"/>
      <c r="P301" s="114"/>
      <c r="Q301" s="114"/>
      <c r="R301" s="114"/>
      <c r="S301" s="114"/>
      <c r="T301" s="114"/>
      <c r="U301" s="114"/>
      <c r="V301" s="114"/>
      <c r="W301" s="114"/>
      <c r="X301" s="114"/>
      <c r="Y301" s="114"/>
      <c r="Z301" s="114"/>
    </row>
    <row r="302" spans="1:26" ht="15.75" customHeight="1" x14ac:dyDescent="0.25">
      <c r="A302" s="24"/>
      <c r="B302" s="174"/>
      <c r="C302" s="24"/>
      <c r="D302" s="24"/>
      <c r="E302" s="24"/>
      <c r="F302" s="114"/>
      <c r="G302" s="114"/>
      <c r="H302" s="270"/>
      <c r="I302" s="270"/>
      <c r="J302" s="270"/>
      <c r="K302" s="212"/>
      <c r="L302" s="114"/>
      <c r="M302" s="114"/>
      <c r="N302" s="114"/>
      <c r="O302" s="114"/>
      <c r="P302" s="114"/>
      <c r="Q302" s="114"/>
      <c r="R302" s="114"/>
      <c r="S302" s="114"/>
      <c r="T302" s="114"/>
      <c r="U302" s="114"/>
      <c r="V302" s="114"/>
      <c r="W302" s="114"/>
      <c r="X302" s="114"/>
      <c r="Y302" s="114"/>
      <c r="Z302" s="114"/>
    </row>
    <row r="303" spans="1:26" ht="15.75" customHeight="1" x14ac:dyDescent="0.25">
      <c r="A303" s="24"/>
      <c r="B303" s="174"/>
      <c r="C303" s="24"/>
      <c r="D303" s="24"/>
      <c r="E303" s="24"/>
      <c r="F303" s="114"/>
      <c r="G303" s="114"/>
      <c r="H303" s="270"/>
      <c r="I303" s="270"/>
      <c r="J303" s="270"/>
      <c r="K303" s="212"/>
      <c r="L303" s="114"/>
      <c r="M303" s="114"/>
      <c r="N303" s="114"/>
      <c r="O303" s="114"/>
      <c r="P303" s="114"/>
      <c r="Q303" s="114"/>
      <c r="R303" s="114"/>
      <c r="S303" s="114"/>
      <c r="T303" s="114"/>
      <c r="U303" s="114"/>
      <c r="V303" s="114"/>
      <c r="W303" s="114"/>
      <c r="X303" s="114"/>
      <c r="Y303" s="114"/>
      <c r="Z303" s="114"/>
    </row>
    <row r="304" spans="1:26" ht="15.75" customHeight="1" x14ac:dyDescent="0.25">
      <c r="A304" s="24"/>
      <c r="B304" s="174"/>
      <c r="C304" s="24"/>
      <c r="D304" s="24"/>
      <c r="E304" s="24"/>
      <c r="F304" s="114"/>
      <c r="G304" s="114"/>
      <c r="H304" s="270"/>
      <c r="I304" s="270"/>
      <c r="J304" s="270"/>
      <c r="K304" s="212"/>
      <c r="L304" s="114"/>
      <c r="M304" s="114"/>
      <c r="N304" s="114"/>
      <c r="O304" s="114"/>
      <c r="P304" s="114"/>
      <c r="Q304" s="114"/>
      <c r="R304" s="114"/>
      <c r="S304" s="114"/>
      <c r="T304" s="114"/>
      <c r="U304" s="114"/>
      <c r="V304" s="114"/>
      <c r="W304" s="114"/>
      <c r="X304" s="114"/>
      <c r="Y304" s="114"/>
      <c r="Z304" s="114"/>
    </row>
    <row r="305" spans="1:26" ht="15.75" customHeight="1" x14ac:dyDescent="0.25">
      <c r="A305" s="24"/>
      <c r="B305" s="174"/>
      <c r="C305" s="24"/>
      <c r="D305" s="24"/>
      <c r="E305" s="24"/>
      <c r="F305" s="114"/>
      <c r="G305" s="114"/>
      <c r="H305" s="270"/>
      <c r="I305" s="270"/>
      <c r="J305" s="270"/>
      <c r="K305" s="212"/>
      <c r="L305" s="114"/>
      <c r="M305" s="114"/>
      <c r="N305" s="114"/>
      <c r="O305" s="114"/>
      <c r="P305" s="114"/>
      <c r="Q305" s="114"/>
      <c r="R305" s="114"/>
      <c r="S305" s="114"/>
      <c r="T305" s="114"/>
      <c r="U305" s="114"/>
      <c r="V305" s="114"/>
      <c r="W305" s="114"/>
      <c r="X305" s="114"/>
      <c r="Y305" s="114"/>
      <c r="Z305" s="114"/>
    </row>
    <row r="306" spans="1:26" ht="15.75" customHeight="1" x14ac:dyDescent="0.25">
      <c r="A306" s="24"/>
      <c r="B306" s="174"/>
      <c r="C306" s="24"/>
      <c r="D306" s="24"/>
      <c r="E306" s="24"/>
      <c r="F306" s="114"/>
      <c r="G306" s="114"/>
      <c r="H306" s="270"/>
      <c r="I306" s="270"/>
      <c r="J306" s="270"/>
      <c r="K306" s="212"/>
      <c r="L306" s="114"/>
      <c r="M306" s="114"/>
      <c r="N306" s="114"/>
      <c r="O306" s="114"/>
      <c r="P306" s="114"/>
      <c r="Q306" s="114"/>
      <c r="R306" s="114"/>
      <c r="S306" s="114"/>
      <c r="T306" s="114"/>
      <c r="U306" s="114"/>
      <c r="V306" s="114"/>
      <c r="W306" s="114"/>
      <c r="X306" s="114"/>
      <c r="Y306" s="114"/>
      <c r="Z306" s="114"/>
    </row>
    <row r="307" spans="1:26" ht="15.75" customHeight="1" x14ac:dyDescent="0.25">
      <c r="A307" s="24"/>
      <c r="B307" s="174"/>
      <c r="C307" s="24"/>
      <c r="D307" s="24"/>
      <c r="E307" s="24"/>
      <c r="F307" s="114"/>
      <c r="G307" s="114"/>
      <c r="H307" s="270"/>
      <c r="I307" s="270"/>
      <c r="J307" s="270"/>
      <c r="K307" s="212"/>
      <c r="L307" s="114"/>
      <c r="M307" s="114"/>
      <c r="N307" s="114"/>
      <c r="O307" s="114"/>
      <c r="P307" s="114"/>
      <c r="Q307" s="114"/>
      <c r="R307" s="114"/>
      <c r="S307" s="114"/>
      <c r="T307" s="114"/>
      <c r="U307" s="114"/>
      <c r="V307" s="114"/>
      <c r="W307" s="114"/>
      <c r="X307" s="114"/>
      <c r="Y307" s="114"/>
      <c r="Z307" s="114"/>
    </row>
    <row r="308" spans="1:26" ht="15.75" customHeight="1" x14ac:dyDescent="0.25">
      <c r="A308" s="24"/>
      <c r="B308" s="174"/>
      <c r="C308" s="24"/>
      <c r="D308" s="24"/>
      <c r="E308" s="24"/>
      <c r="F308" s="114"/>
      <c r="G308" s="114"/>
      <c r="H308" s="270"/>
      <c r="I308" s="270"/>
      <c r="J308" s="270"/>
      <c r="K308" s="212"/>
      <c r="L308" s="114"/>
      <c r="M308" s="114"/>
      <c r="N308" s="114"/>
      <c r="O308" s="114"/>
      <c r="P308" s="114"/>
      <c r="Q308" s="114"/>
      <c r="R308" s="114"/>
      <c r="S308" s="114"/>
      <c r="T308" s="114"/>
      <c r="U308" s="114"/>
      <c r="V308" s="114"/>
      <c r="W308" s="114"/>
      <c r="X308" s="114"/>
      <c r="Y308" s="114"/>
      <c r="Z308" s="114"/>
    </row>
    <row r="309" spans="1:26" ht="15.75" customHeight="1" x14ac:dyDescent="0.25">
      <c r="A309" s="24"/>
      <c r="B309" s="174"/>
      <c r="C309" s="24"/>
      <c r="D309" s="24"/>
      <c r="E309" s="24"/>
      <c r="F309" s="114"/>
      <c r="G309" s="114"/>
      <c r="H309" s="270"/>
      <c r="I309" s="270"/>
      <c r="J309" s="270"/>
      <c r="K309" s="212"/>
      <c r="L309" s="114"/>
      <c r="M309" s="114"/>
      <c r="N309" s="114"/>
      <c r="O309" s="114"/>
      <c r="P309" s="114"/>
      <c r="Q309" s="114"/>
      <c r="R309" s="114"/>
      <c r="S309" s="114"/>
      <c r="T309" s="114"/>
      <c r="U309" s="114"/>
      <c r="V309" s="114"/>
      <c r="W309" s="114"/>
      <c r="X309" s="114"/>
      <c r="Y309" s="114"/>
      <c r="Z309" s="114"/>
    </row>
    <row r="310" spans="1:26" ht="15.75" customHeight="1" x14ac:dyDescent="0.25">
      <c r="A310" s="24"/>
      <c r="B310" s="174"/>
      <c r="C310" s="24"/>
      <c r="D310" s="24"/>
      <c r="E310" s="24"/>
      <c r="F310" s="114"/>
      <c r="G310" s="114"/>
      <c r="H310" s="270"/>
      <c r="I310" s="270"/>
      <c r="J310" s="270"/>
      <c r="K310" s="212"/>
      <c r="L310" s="114"/>
      <c r="M310" s="114"/>
      <c r="N310" s="114"/>
      <c r="O310" s="114"/>
      <c r="P310" s="114"/>
      <c r="Q310" s="114"/>
      <c r="R310" s="114"/>
      <c r="S310" s="114"/>
      <c r="T310" s="114"/>
      <c r="U310" s="114"/>
      <c r="V310" s="114"/>
      <c r="W310" s="114"/>
      <c r="X310" s="114"/>
      <c r="Y310" s="114"/>
      <c r="Z310" s="114"/>
    </row>
    <row r="311" spans="1:26" ht="15.75" customHeight="1" x14ac:dyDescent="0.25">
      <c r="A311" s="24"/>
      <c r="B311" s="174"/>
      <c r="C311" s="24"/>
      <c r="D311" s="24"/>
      <c r="E311" s="24"/>
      <c r="F311" s="114"/>
      <c r="G311" s="114"/>
      <c r="H311" s="270"/>
      <c r="I311" s="270"/>
      <c r="J311" s="270"/>
      <c r="K311" s="212"/>
      <c r="L311" s="114"/>
      <c r="M311" s="114"/>
      <c r="N311" s="114"/>
      <c r="O311" s="114"/>
      <c r="P311" s="114"/>
      <c r="Q311" s="114"/>
      <c r="R311" s="114"/>
      <c r="S311" s="114"/>
      <c r="T311" s="114"/>
      <c r="U311" s="114"/>
      <c r="V311" s="114"/>
      <c r="W311" s="114"/>
      <c r="X311" s="114"/>
      <c r="Y311" s="114"/>
      <c r="Z311" s="114"/>
    </row>
    <row r="312" spans="1:26" ht="15.75" customHeight="1" x14ac:dyDescent="0.25">
      <c r="A312" s="24"/>
      <c r="B312" s="174"/>
      <c r="C312" s="24"/>
      <c r="D312" s="24"/>
      <c r="E312" s="24"/>
      <c r="F312" s="114"/>
      <c r="G312" s="114"/>
      <c r="H312" s="270"/>
      <c r="I312" s="270"/>
      <c r="J312" s="270"/>
      <c r="K312" s="212"/>
      <c r="L312" s="114"/>
      <c r="M312" s="114"/>
      <c r="N312" s="114"/>
      <c r="O312" s="114"/>
      <c r="P312" s="114"/>
      <c r="Q312" s="114"/>
      <c r="R312" s="114"/>
      <c r="S312" s="114"/>
      <c r="T312" s="114"/>
      <c r="U312" s="114"/>
      <c r="V312" s="114"/>
      <c r="W312" s="114"/>
      <c r="X312" s="114"/>
      <c r="Y312" s="114"/>
      <c r="Z312" s="114"/>
    </row>
    <row r="313" spans="1:26" ht="15.75" customHeight="1" x14ac:dyDescent="0.25">
      <c r="H313" s="281"/>
      <c r="I313" s="281"/>
      <c r="J313" s="281"/>
      <c r="K313" s="168"/>
    </row>
    <row r="314" spans="1:26" ht="15.75" customHeight="1" x14ac:dyDescent="0.25">
      <c r="H314" s="281"/>
      <c r="I314" s="281"/>
      <c r="J314" s="281"/>
      <c r="K314" s="168"/>
    </row>
    <row r="315" spans="1:26" ht="15.75" customHeight="1" x14ac:dyDescent="0.25">
      <c r="H315" s="281"/>
      <c r="I315" s="281"/>
      <c r="J315" s="281"/>
      <c r="K315" s="168"/>
    </row>
    <row r="316" spans="1:26" ht="15.75" customHeight="1" x14ac:dyDescent="0.25">
      <c r="H316" s="281"/>
      <c r="I316" s="281"/>
      <c r="J316" s="281"/>
      <c r="K316" s="168"/>
    </row>
    <row r="317" spans="1:26" ht="15.75" customHeight="1" x14ac:dyDescent="0.25">
      <c r="H317" s="281"/>
      <c r="I317" s="281"/>
      <c r="J317" s="281"/>
      <c r="K317" s="168"/>
    </row>
    <row r="318" spans="1:26" ht="15.75" customHeight="1" x14ac:dyDescent="0.25">
      <c r="H318" s="281"/>
      <c r="I318" s="281"/>
      <c r="J318" s="281"/>
      <c r="K318" s="168"/>
    </row>
    <row r="319" spans="1:26" ht="15.75" customHeight="1" x14ac:dyDescent="0.25">
      <c r="H319" s="281"/>
      <c r="I319" s="281"/>
      <c r="J319" s="281"/>
      <c r="K319" s="168"/>
    </row>
    <row r="320" spans="1:26" ht="15.75" customHeight="1" x14ac:dyDescent="0.25">
      <c r="H320" s="281"/>
      <c r="I320" s="281"/>
      <c r="J320" s="281"/>
      <c r="K320" s="168"/>
    </row>
    <row r="321" spans="8:11" ht="15.75" customHeight="1" x14ac:dyDescent="0.25">
      <c r="H321" s="281"/>
      <c r="I321" s="281"/>
      <c r="J321" s="281"/>
      <c r="K321" s="168"/>
    </row>
    <row r="322" spans="8:11" ht="15.75" customHeight="1" x14ac:dyDescent="0.25">
      <c r="H322" s="281"/>
      <c r="I322" s="281"/>
      <c r="J322" s="281"/>
      <c r="K322" s="168"/>
    </row>
    <row r="323" spans="8:11" ht="15.75" customHeight="1" x14ac:dyDescent="0.25">
      <c r="H323" s="281"/>
      <c r="I323" s="281"/>
      <c r="J323" s="281"/>
      <c r="K323" s="168"/>
    </row>
    <row r="324" spans="8:11" ht="15.75" customHeight="1" x14ac:dyDescent="0.25">
      <c r="H324" s="281"/>
      <c r="I324" s="281"/>
      <c r="J324" s="281"/>
      <c r="K324" s="168"/>
    </row>
    <row r="325" spans="8:11" ht="15.75" customHeight="1" x14ac:dyDescent="0.25">
      <c r="H325" s="281"/>
      <c r="I325" s="281"/>
      <c r="J325" s="281"/>
      <c r="K325" s="168"/>
    </row>
    <row r="326" spans="8:11" ht="15.75" customHeight="1" x14ac:dyDescent="0.25">
      <c r="H326" s="281"/>
      <c r="I326" s="281"/>
      <c r="J326" s="281"/>
      <c r="K326" s="168"/>
    </row>
    <row r="327" spans="8:11" ht="15.75" customHeight="1" x14ac:dyDescent="0.25">
      <c r="H327" s="281"/>
      <c r="I327" s="281"/>
      <c r="J327" s="281"/>
      <c r="K327" s="168"/>
    </row>
    <row r="328" spans="8:11" ht="15.75" customHeight="1" x14ac:dyDescent="0.25">
      <c r="H328" s="281"/>
      <c r="I328" s="281"/>
      <c r="J328" s="281"/>
      <c r="K328" s="168"/>
    </row>
    <row r="329" spans="8:11" ht="15.75" customHeight="1" x14ac:dyDescent="0.25">
      <c r="H329" s="281"/>
      <c r="I329" s="281"/>
      <c r="J329" s="281"/>
      <c r="K329" s="168"/>
    </row>
    <row r="330" spans="8:11" ht="15.75" customHeight="1" x14ac:dyDescent="0.25">
      <c r="H330" s="281"/>
      <c r="I330" s="281"/>
      <c r="J330" s="281"/>
      <c r="K330" s="168"/>
    </row>
    <row r="331" spans="8:11" ht="15.75" customHeight="1" x14ac:dyDescent="0.25">
      <c r="H331" s="281"/>
      <c r="I331" s="281"/>
      <c r="J331" s="281"/>
      <c r="K331" s="168"/>
    </row>
    <row r="332" spans="8:11" ht="15.75" customHeight="1" x14ac:dyDescent="0.25">
      <c r="H332" s="281"/>
      <c r="I332" s="281"/>
      <c r="J332" s="281"/>
      <c r="K332" s="168"/>
    </row>
    <row r="333" spans="8:11" ht="15.75" customHeight="1" x14ac:dyDescent="0.25">
      <c r="H333" s="281"/>
      <c r="I333" s="281"/>
      <c r="J333" s="281"/>
      <c r="K333" s="168"/>
    </row>
    <row r="334" spans="8:11" ht="15.75" customHeight="1" x14ac:dyDescent="0.25">
      <c r="H334" s="281"/>
      <c r="I334" s="281"/>
      <c r="J334" s="281"/>
      <c r="K334" s="168"/>
    </row>
    <row r="335" spans="8:11" ht="15.75" customHeight="1" x14ac:dyDescent="0.25">
      <c r="H335" s="281"/>
      <c r="I335" s="281"/>
      <c r="J335" s="281"/>
      <c r="K335" s="168"/>
    </row>
    <row r="336" spans="8:11" ht="15.75" customHeight="1" x14ac:dyDescent="0.25">
      <c r="H336" s="281"/>
      <c r="I336" s="281"/>
      <c r="J336" s="281"/>
      <c r="K336" s="168"/>
    </row>
    <row r="337" spans="8:11" ht="15.75" customHeight="1" x14ac:dyDescent="0.25">
      <c r="H337" s="281"/>
      <c r="I337" s="281"/>
      <c r="J337" s="281"/>
      <c r="K337" s="168"/>
    </row>
    <row r="338" spans="8:11" ht="15.75" customHeight="1" x14ac:dyDescent="0.25">
      <c r="H338" s="281"/>
      <c r="I338" s="281"/>
      <c r="J338" s="281"/>
      <c r="K338" s="168"/>
    </row>
    <row r="339" spans="8:11" ht="15.75" customHeight="1" x14ac:dyDescent="0.25">
      <c r="H339" s="281"/>
      <c r="I339" s="281"/>
      <c r="J339" s="281"/>
      <c r="K339" s="168"/>
    </row>
    <row r="340" spans="8:11" ht="15.75" customHeight="1" x14ac:dyDescent="0.25">
      <c r="H340" s="281"/>
      <c r="I340" s="281"/>
      <c r="J340" s="281"/>
      <c r="K340" s="168"/>
    </row>
    <row r="341" spans="8:11" ht="15.75" customHeight="1" x14ac:dyDescent="0.25">
      <c r="H341" s="281"/>
      <c r="I341" s="281"/>
      <c r="J341" s="281"/>
      <c r="K341" s="168"/>
    </row>
    <row r="342" spans="8:11" ht="15.75" customHeight="1" x14ac:dyDescent="0.25">
      <c r="H342" s="281"/>
      <c r="I342" s="281"/>
      <c r="J342" s="281"/>
      <c r="K342" s="168"/>
    </row>
    <row r="343" spans="8:11" ht="15.75" customHeight="1" x14ac:dyDescent="0.25">
      <c r="H343" s="281"/>
      <c r="I343" s="281"/>
      <c r="J343" s="281"/>
      <c r="K343" s="168"/>
    </row>
    <row r="344" spans="8:11" ht="15.75" customHeight="1" x14ac:dyDescent="0.25">
      <c r="H344" s="281"/>
      <c r="I344" s="281"/>
      <c r="J344" s="281"/>
      <c r="K344" s="168"/>
    </row>
    <row r="345" spans="8:11" ht="15.75" customHeight="1" x14ac:dyDescent="0.25">
      <c r="H345" s="281"/>
      <c r="I345" s="281"/>
      <c r="J345" s="281"/>
      <c r="K345" s="168"/>
    </row>
    <row r="346" spans="8:11" ht="15.75" customHeight="1" x14ac:dyDescent="0.25">
      <c r="H346" s="281"/>
      <c r="I346" s="281"/>
      <c r="J346" s="281"/>
      <c r="K346" s="168"/>
    </row>
    <row r="347" spans="8:11" ht="15.75" customHeight="1" x14ac:dyDescent="0.25">
      <c r="H347" s="281"/>
      <c r="I347" s="281"/>
      <c r="J347" s="281"/>
      <c r="K347" s="168"/>
    </row>
    <row r="348" spans="8:11" ht="15.75" customHeight="1" x14ac:dyDescent="0.25">
      <c r="H348" s="281"/>
      <c r="I348" s="281"/>
      <c r="J348" s="281"/>
      <c r="K348" s="168"/>
    </row>
    <row r="349" spans="8:11" ht="15.75" customHeight="1" x14ac:dyDescent="0.25">
      <c r="H349" s="281"/>
      <c r="I349" s="281"/>
      <c r="J349" s="281"/>
      <c r="K349" s="168"/>
    </row>
    <row r="350" spans="8:11" ht="15.75" customHeight="1" x14ac:dyDescent="0.25">
      <c r="H350" s="281"/>
      <c r="I350" s="281"/>
      <c r="J350" s="281"/>
      <c r="K350" s="168"/>
    </row>
    <row r="351" spans="8:11" ht="15.75" customHeight="1" x14ac:dyDescent="0.25">
      <c r="H351" s="281"/>
      <c r="I351" s="281"/>
      <c r="J351" s="281"/>
      <c r="K351" s="168"/>
    </row>
    <row r="352" spans="8:11" ht="15.75" customHeight="1" x14ac:dyDescent="0.25">
      <c r="H352" s="281"/>
      <c r="I352" s="281"/>
      <c r="J352" s="281"/>
      <c r="K352" s="168"/>
    </row>
    <row r="353" spans="8:11" ht="15.75" customHeight="1" x14ac:dyDescent="0.25">
      <c r="H353" s="281"/>
      <c r="I353" s="281"/>
      <c r="J353" s="281"/>
      <c r="K353" s="168"/>
    </row>
    <row r="354" spans="8:11" ht="15.75" customHeight="1" x14ac:dyDescent="0.25">
      <c r="H354" s="281"/>
      <c r="I354" s="281"/>
      <c r="J354" s="281"/>
      <c r="K354" s="168"/>
    </row>
    <row r="355" spans="8:11" ht="15.75" customHeight="1" x14ac:dyDescent="0.25">
      <c r="H355" s="281"/>
      <c r="I355" s="281"/>
      <c r="J355" s="281"/>
      <c r="K355" s="168"/>
    </row>
    <row r="356" spans="8:11" ht="15.75" customHeight="1" x14ac:dyDescent="0.25">
      <c r="H356" s="281"/>
      <c r="I356" s="281"/>
      <c r="J356" s="281"/>
      <c r="K356" s="168"/>
    </row>
    <row r="357" spans="8:11" ht="15.75" customHeight="1" x14ac:dyDescent="0.25">
      <c r="H357" s="281"/>
      <c r="I357" s="281"/>
      <c r="J357" s="281"/>
      <c r="K357" s="168"/>
    </row>
    <row r="358" spans="8:11" ht="15.75" customHeight="1" x14ac:dyDescent="0.25">
      <c r="H358" s="281"/>
      <c r="I358" s="281"/>
      <c r="J358" s="281"/>
      <c r="K358" s="168"/>
    </row>
    <row r="359" spans="8:11" ht="15.75" customHeight="1" x14ac:dyDescent="0.25">
      <c r="H359" s="281"/>
      <c r="I359" s="281"/>
      <c r="J359" s="281"/>
      <c r="K359" s="168"/>
    </row>
    <row r="360" spans="8:11" ht="15.75" customHeight="1" x14ac:dyDescent="0.25">
      <c r="H360" s="281"/>
      <c r="I360" s="281"/>
      <c r="J360" s="281"/>
      <c r="K360" s="168"/>
    </row>
    <row r="361" spans="8:11" ht="15.75" customHeight="1" x14ac:dyDescent="0.25">
      <c r="H361" s="281"/>
      <c r="I361" s="281"/>
      <c r="J361" s="281"/>
      <c r="K361" s="168"/>
    </row>
    <row r="362" spans="8:11" ht="15.75" customHeight="1" x14ac:dyDescent="0.25">
      <c r="H362" s="281"/>
      <c r="I362" s="281"/>
      <c r="J362" s="281"/>
      <c r="K362" s="168"/>
    </row>
    <row r="363" spans="8:11" ht="15.75" customHeight="1" x14ac:dyDescent="0.25">
      <c r="H363" s="281"/>
      <c r="I363" s="281"/>
      <c r="J363" s="281"/>
      <c r="K363" s="168"/>
    </row>
    <row r="364" spans="8:11" ht="15.75" customHeight="1" x14ac:dyDescent="0.25">
      <c r="H364" s="281"/>
      <c r="I364" s="281"/>
      <c r="J364" s="281"/>
      <c r="K364" s="168"/>
    </row>
    <row r="365" spans="8:11" ht="15.75" customHeight="1" x14ac:dyDescent="0.25">
      <c r="H365" s="281"/>
      <c r="I365" s="281"/>
      <c r="J365" s="281"/>
      <c r="K365" s="168"/>
    </row>
    <row r="366" spans="8:11" ht="15.75" customHeight="1" x14ac:dyDescent="0.25">
      <c r="H366" s="281"/>
      <c r="I366" s="281"/>
      <c r="J366" s="281"/>
      <c r="K366" s="168"/>
    </row>
    <row r="367" spans="8:11" ht="15.75" customHeight="1" x14ac:dyDescent="0.25">
      <c r="H367" s="281"/>
      <c r="I367" s="281"/>
      <c r="J367" s="281"/>
      <c r="K367" s="168"/>
    </row>
    <row r="368" spans="8:11" ht="15.75" customHeight="1" x14ac:dyDescent="0.25">
      <c r="H368" s="281"/>
      <c r="I368" s="281"/>
      <c r="J368" s="281"/>
      <c r="K368" s="168"/>
    </row>
    <row r="369" spans="8:11" ht="15.75" customHeight="1" x14ac:dyDescent="0.25">
      <c r="H369" s="281"/>
      <c r="I369" s="281"/>
      <c r="J369" s="281"/>
      <c r="K369" s="168"/>
    </row>
    <row r="370" spans="8:11" ht="15.75" customHeight="1" x14ac:dyDescent="0.25">
      <c r="H370" s="281"/>
      <c r="I370" s="281"/>
      <c r="J370" s="281"/>
      <c r="K370" s="168"/>
    </row>
    <row r="371" spans="8:11" ht="15.75" customHeight="1" x14ac:dyDescent="0.25">
      <c r="H371" s="281"/>
      <c r="I371" s="281"/>
      <c r="J371" s="281"/>
      <c r="K371" s="168"/>
    </row>
    <row r="372" spans="8:11" ht="15.75" customHeight="1" x14ac:dyDescent="0.25">
      <c r="H372" s="281"/>
      <c r="I372" s="281"/>
      <c r="J372" s="281"/>
      <c r="K372" s="168"/>
    </row>
    <row r="373" spans="8:11" ht="15.75" customHeight="1" x14ac:dyDescent="0.25">
      <c r="H373" s="281"/>
      <c r="I373" s="281"/>
      <c r="J373" s="281"/>
      <c r="K373" s="168"/>
    </row>
    <row r="374" spans="8:11" ht="15.75" customHeight="1" x14ac:dyDescent="0.25">
      <c r="H374" s="281"/>
      <c r="I374" s="281"/>
      <c r="J374" s="281"/>
      <c r="K374" s="168"/>
    </row>
    <row r="375" spans="8:11" ht="15.75" customHeight="1" x14ac:dyDescent="0.25">
      <c r="H375" s="281"/>
      <c r="I375" s="281"/>
      <c r="J375" s="281"/>
      <c r="K375" s="168"/>
    </row>
    <row r="376" spans="8:11" ht="15.75" customHeight="1" x14ac:dyDescent="0.25">
      <c r="H376" s="281"/>
      <c r="I376" s="281"/>
      <c r="J376" s="281"/>
      <c r="K376" s="168"/>
    </row>
    <row r="377" spans="8:11" ht="15.75" customHeight="1" x14ac:dyDescent="0.25">
      <c r="H377" s="281"/>
      <c r="I377" s="281"/>
      <c r="J377" s="281"/>
      <c r="K377" s="168"/>
    </row>
    <row r="378" spans="8:11" ht="15.75" customHeight="1" x14ac:dyDescent="0.25">
      <c r="H378" s="281"/>
      <c r="I378" s="281"/>
      <c r="J378" s="281"/>
      <c r="K378" s="168"/>
    </row>
    <row r="379" spans="8:11" ht="15.75" customHeight="1" x14ac:dyDescent="0.25">
      <c r="H379" s="281"/>
      <c r="I379" s="281"/>
      <c r="J379" s="281"/>
      <c r="K379" s="168"/>
    </row>
    <row r="380" spans="8:11" ht="15.75" customHeight="1" x14ac:dyDescent="0.25">
      <c r="H380" s="281"/>
      <c r="I380" s="281"/>
      <c r="J380" s="281"/>
      <c r="K380" s="168"/>
    </row>
    <row r="381" spans="8:11" ht="15.75" customHeight="1" x14ac:dyDescent="0.25">
      <c r="H381" s="281"/>
      <c r="I381" s="281"/>
      <c r="J381" s="281"/>
      <c r="K381" s="168"/>
    </row>
    <row r="382" spans="8:11" ht="15.75" customHeight="1" x14ac:dyDescent="0.25">
      <c r="H382" s="281"/>
      <c r="I382" s="281"/>
      <c r="J382" s="281"/>
      <c r="K382" s="168"/>
    </row>
    <row r="383" spans="8:11" ht="15.75" customHeight="1" x14ac:dyDescent="0.25">
      <c r="H383" s="281"/>
      <c r="I383" s="281"/>
      <c r="J383" s="281"/>
      <c r="K383" s="168"/>
    </row>
    <row r="384" spans="8:11" ht="15.75" customHeight="1" x14ac:dyDescent="0.25">
      <c r="H384" s="281"/>
      <c r="I384" s="281"/>
      <c r="J384" s="281"/>
      <c r="K384" s="168"/>
    </row>
    <row r="385" spans="8:11" ht="15.75" customHeight="1" x14ac:dyDescent="0.25">
      <c r="H385" s="281"/>
      <c r="I385" s="281"/>
      <c r="J385" s="281"/>
      <c r="K385" s="168"/>
    </row>
    <row r="386" spans="8:11" ht="15.75" customHeight="1" x14ac:dyDescent="0.25">
      <c r="H386" s="281"/>
      <c r="I386" s="281"/>
      <c r="J386" s="281"/>
      <c r="K386" s="168"/>
    </row>
    <row r="387" spans="8:11" ht="15.75" customHeight="1" x14ac:dyDescent="0.25">
      <c r="H387" s="281"/>
      <c r="I387" s="281"/>
      <c r="J387" s="281"/>
      <c r="K387" s="168"/>
    </row>
    <row r="388" spans="8:11" ht="15.75" customHeight="1" x14ac:dyDescent="0.25">
      <c r="H388" s="281"/>
      <c r="I388" s="281"/>
      <c r="J388" s="281"/>
      <c r="K388" s="168"/>
    </row>
    <row r="389" spans="8:11" ht="15.75" customHeight="1" x14ac:dyDescent="0.25">
      <c r="H389" s="281"/>
      <c r="I389" s="281"/>
      <c r="J389" s="281"/>
      <c r="K389" s="168"/>
    </row>
    <row r="390" spans="8:11" ht="15.75" customHeight="1" x14ac:dyDescent="0.25">
      <c r="H390" s="281"/>
      <c r="I390" s="281"/>
      <c r="J390" s="281"/>
      <c r="K390" s="168"/>
    </row>
    <row r="391" spans="8:11" ht="15.75" customHeight="1" x14ac:dyDescent="0.25">
      <c r="H391" s="281"/>
      <c r="I391" s="281"/>
      <c r="J391" s="281"/>
      <c r="K391" s="168"/>
    </row>
    <row r="392" spans="8:11" ht="15.75" customHeight="1" x14ac:dyDescent="0.25">
      <c r="H392" s="281"/>
      <c r="I392" s="281"/>
      <c r="J392" s="281"/>
      <c r="K392" s="168"/>
    </row>
    <row r="393" spans="8:11" ht="15.75" customHeight="1" x14ac:dyDescent="0.25">
      <c r="H393" s="281"/>
      <c r="I393" s="281"/>
      <c r="J393" s="281"/>
      <c r="K393" s="168"/>
    </row>
    <row r="394" spans="8:11" ht="15.75" customHeight="1" x14ac:dyDescent="0.25">
      <c r="H394" s="281"/>
      <c r="I394" s="281"/>
      <c r="J394" s="281"/>
      <c r="K394" s="168"/>
    </row>
    <row r="395" spans="8:11" ht="15.75" customHeight="1" x14ac:dyDescent="0.25">
      <c r="H395" s="281"/>
      <c r="I395" s="281"/>
      <c r="J395" s="281"/>
      <c r="K395" s="168"/>
    </row>
    <row r="396" spans="8:11" ht="15.75" customHeight="1" x14ac:dyDescent="0.25">
      <c r="H396" s="281"/>
      <c r="I396" s="281"/>
      <c r="J396" s="281"/>
      <c r="K396" s="168"/>
    </row>
    <row r="397" spans="8:11" ht="15.75" customHeight="1" x14ac:dyDescent="0.25">
      <c r="H397" s="281"/>
      <c r="I397" s="281"/>
      <c r="J397" s="281"/>
      <c r="K397" s="168"/>
    </row>
    <row r="398" spans="8:11" ht="15.75" customHeight="1" x14ac:dyDescent="0.25">
      <c r="H398" s="281"/>
      <c r="I398" s="281"/>
      <c r="J398" s="281"/>
      <c r="K398" s="168"/>
    </row>
    <row r="399" spans="8:11" ht="15.75" customHeight="1" x14ac:dyDescent="0.25">
      <c r="H399" s="281"/>
      <c r="I399" s="281"/>
      <c r="J399" s="281"/>
      <c r="K399" s="168"/>
    </row>
    <row r="400" spans="8:11" ht="15.75" customHeight="1" x14ac:dyDescent="0.25">
      <c r="H400" s="281"/>
      <c r="I400" s="281"/>
      <c r="J400" s="281"/>
      <c r="K400" s="168"/>
    </row>
    <row r="401" spans="8:11" ht="15.75" customHeight="1" x14ac:dyDescent="0.25">
      <c r="H401" s="281"/>
      <c r="I401" s="281"/>
      <c r="J401" s="281"/>
      <c r="K401" s="168"/>
    </row>
    <row r="402" spans="8:11" ht="15.75" customHeight="1" x14ac:dyDescent="0.25">
      <c r="H402" s="281"/>
      <c r="I402" s="281"/>
      <c r="J402" s="281"/>
      <c r="K402" s="168"/>
    </row>
    <row r="403" spans="8:11" ht="15.75" customHeight="1" x14ac:dyDescent="0.25">
      <c r="H403" s="281"/>
      <c r="I403" s="281"/>
      <c r="J403" s="281"/>
      <c r="K403" s="168"/>
    </row>
    <row r="404" spans="8:11" ht="15.75" customHeight="1" x14ac:dyDescent="0.25">
      <c r="H404" s="281"/>
      <c r="I404" s="281"/>
      <c r="J404" s="281"/>
      <c r="K404" s="168"/>
    </row>
    <row r="405" spans="8:11" ht="15.75" customHeight="1" x14ac:dyDescent="0.25">
      <c r="H405" s="281"/>
      <c r="I405" s="281"/>
      <c r="J405" s="281"/>
      <c r="K405" s="168"/>
    </row>
    <row r="406" spans="8:11" ht="15.75" customHeight="1" x14ac:dyDescent="0.25">
      <c r="H406" s="281"/>
      <c r="I406" s="281"/>
      <c r="J406" s="281"/>
      <c r="K406" s="168"/>
    </row>
    <row r="407" spans="8:11" ht="15.75" customHeight="1" x14ac:dyDescent="0.25">
      <c r="H407" s="281"/>
      <c r="I407" s="281"/>
      <c r="J407" s="281"/>
      <c r="K407" s="168"/>
    </row>
    <row r="408" spans="8:11" ht="15.75" customHeight="1" x14ac:dyDescent="0.25">
      <c r="H408" s="281"/>
      <c r="I408" s="281"/>
      <c r="J408" s="281"/>
      <c r="K408" s="168"/>
    </row>
    <row r="409" spans="8:11" ht="15.75" customHeight="1" x14ac:dyDescent="0.25">
      <c r="H409" s="281"/>
      <c r="I409" s="281"/>
      <c r="J409" s="281"/>
      <c r="K409" s="168"/>
    </row>
    <row r="410" spans="8:11" ht="15.75" customHeight="1" x14ac:dyDescent="0.25">
      <c r="H410" s="281"/>
      <c r="I410" s="281"/>
      <c r="J410" s="281"/>
      <c r="K410" s="168"/>
    </row>
    <row r="411" spans="8:11" ht="15.75" customHeight="1" x14ac:dyDescent="0.25">
      <c r="H411" s="281"/>
      <c r="I411" s="281"/>
      <c r="J411" s="281"/>
      <c r="K411" s="168"/>
    </row>
    <row r="412" spans="8:11" ht="15.75" customHeight="1" x14ac:dyDescent="0.25">
      <c r="H412" s="281"/>
      <c r="I412" s="281"/>
      <c r="J412" s="281"/>
      <c r="K412" s="168"/>
    </row>
    <row r="413" spans="8:11" ht="15.75" customHeight="1" x14ac:dyDescent="0.25">
      <c r="H413" s="281"/>
      <c r="I413" s="281"/>
      <c r="J413" s="281"/>
      <c r="K413" s="168"/>
    </row>
    <row r="414" spans="8:11" ht="15.75" customHeight="1" x14ac:dyDescent="0.25">
      <c r="H414" s="281"/>
      <c r="I414" s="281"/>
      <c r="J414" s="281"/>
      <c r="K414" s="168"/>
    </row>
    <row r="415" spans="8:11" ht="15.75" customHeight="1" x14ac:dyDescent="0.25">
      <c r="H415" s="281"/>
      <c r="I415" s="281"/>
      <c r="J415" s="281"/>
      <c r="K415" s="168"/>
    </row>
    <row r="416" spans="8:11" ht="15.75" customHeight="1" x14ac:dyDescent="0.25">
      <c r="H416" s="281"/>
      <c r="I416" s="281"/>
      <c r="J416" s="281"/>
      <c r="K416" s="168"/>
    </row>
    <row r="417" spans="8:11" ht="15.75" customHeight="1" x14ac:dyDescent="0.25">
      <c r="H417" s="281"/>
      <c r="I417" s="281"/>
      <c r="J417" s="281"/>
      <c r="K417" s="168"/>
    </row>
    <row r="418" spans="8:11" ht="15.75" customHeight="1" x14ac:dyDescent="0.25">
      <c r="H418" s="281"/>
      <c r="I418" s="281"/>
      <c r="J418" s="281"/>
      <c r="K418" s="168"/>
    </row>
    <row r="419" spans="8:11" ht="15.75" customHeight="1" x14ac:dyDescent="0.25">
      <c r="H419" s="281"/>
      <c r="I419" s="281"/>
      <c r="J419" s="281"/>
      <c r="K419" s="168"/>
    </row>
    <row r="420" spans="8:11" ht="15.75" customHeight="1" x14ac:dyDescent="0.25">
      <c r="H420" s="281"/>
      <c r="I420" s="281"/>
      <c r="J420" s="281"/>
      <c r="K420" s="168"/>
    </row>
    <row r="421" spans="8:11" ht="15.75" customHeight="1" x14ac:dyDescent="0.25">
      <c r="H421" s="281"/>
      <c r="I421" s="281"/>
      <c r="J421" s="281"/>
      <c r="K421" s="168"/>
    </row>
    <row r="422" spans="8:11" ht="15.75" customHeight="1" x14ac:dyDescent="0.25">
      <c r="H422" s="281"/>
      <c r="I422" s="281"/>
      <c r="J422" s="281"/>
      <c r="K422" s="168"/>
    </row>
    <row r="423" spans="8:11" ht="15.75" customHeight="1" x14ac:dyDescent="0.25">
      <c r="H423" s="281"/>
      <c r="I423" s="281"/>
      <c r="J423" s="281"/>
      <c r="K423" s="168"/>
    </row>
    <row r="424" spans="8:11" ht="15.75" customHeight="1" x14ac:dyDescent="0.25">
      <c r="H424" s="281"/>
      <c r="I424" s="281"/>
      <c r="J424" s="281"/>
      <c r="K424" s="168"/>
    </row>
    <row r="425" spans="8:11" ht="15.75" customHeight="1" x14ac:dyDescent="0.25">
      <c r="H425" s="281"/>
      <c r="I425" s="281"/>
      <c r="J425" s="281"/>
      <c r="K425" s="168"/>
    </row>
    <row r="426" spans="8:11" ht="15.75" customHeight="1" x14ac:dyDescent="0.25">
      <c r="H426" s="281"/>
      <c r="I426" s="281"/>
      <c r="J426" s="281"/>
      <c r="K426" s="168"/>
    </row>
    <row r="427" spans="8:11" ht="15.75" customHeight="1" x14ac:dyDescent="0.25">
      <c r="H427" s="281"/>
      <c r="I427" s="281"/>
      <c r="J427" s="281"/>
      <c r="K427" s="168"/>
    </row>
    <row r="428" spans="8:11" ht="15.75" customHeight="1" x14ac:dyDescent="0.25">
      <c r="H428" s="281"/>
      <c r="I428" s="281"/>
      <c r="J428" s="281"/>
      <c r="K428" s="168"/>
    </row>
    <row r="429" spans="8:11" ht="15.75" customHeight="1" x14ac:dyDescent="0.25">
      <c r="H429" s="281"/>
      <c r="I429" s="281"/>
      <c r="J429" s="281"/>
      <c r="K429" s="168"/>
    </row>
    <row r="430" spans="8:11" ht="15.75" customHeight="1" x14ac:dyDescent="0.25">
      <c r="H430" s="281"/>
      <c r="I430" s="281"/>
      <c r="J430" s="281"/>
      <c r="K430" s="168"/>
    </row>
    <row r="431" spans="8:11" ht="15.75" customHeight="1" x14ac:dyDescent="0.25">
      <c r="H431" s="281"/>
      <c r="I431" s="281"/>
      <c r="J431" s="281"/>
      <c r="K431" s="168"/>
    </row>
    <row r="432" spans="8:11" ht="15.75" customHeight="1" x14ac:dyDescent="0.25">
      <c r="H432" s="281"/>
      <c r="I432" s="281"/>
      <c r="J432" s="281"/>
      <c r="K432" s="168"/>
    </row>
    <row r="433" spans="8:11" ht="15.75" customHeight="1" x14ac:dyDescent="0.25">
      <c r="H433" s="281"/>
      <c r="I433" s="281"/>
      <c r="J433" s="281"/>
      <c r="K433" s="168"/>
    </row>
    <row r="434" spans="8:11" ht="15.75" customHeight="1" x14ac:dyDescent="0.25">
      <c r="H434" s="281"/>
      <c r="I434" s="281"/>
      <c r="J434" s="281"/>
      <c r="K434" s="168"/>
    </row>
    <row r="435" spans="8:11" ht="15.75" customHeight="1" x14ac:dyDescent="0.25">
      <c r="H435" s="281"/>
      <c r="I435" s="281"/>
      <c r="J435" s="281"/>
      <c r="K435" s="168"/>
    </row>
    <row r="436" spans="8:11" ht="15.75" customHeight="1" x14ac:dyDescent="0.25">
      <c r="H436" s="281"/>
      <c r="I436" s="281"/>
      <c r="J436" s="281"/>
      <c r="K436" s="168"/>
    </row>
    <row r="437" spans="8:11" ht="15.75" customHeight="1" x14ac:dyDescent="0.25">
      <c r="H437" s="281"/>
      <c r="I437" s="281"/>
      <c r="J437" s="281"/>
      <c r="K437" s="168"/>
    </row>
    <row r="438" spans="8:11" ht="15.75" customHeight="1" x14ac:dyDescent="0.25">
      <c r="H438" s="281"/>
      <c r="I438" s="281"/>
      <c r="J438" s="281"/>
      <c r="K438" s="168"/>
    </row>
    <row r="439" spans="8:11" ht="15.75" customHeight="1" x14ac:dyDescent="0.25">
      <c r="H439" s="281"/>
      <c r="I439" s="281"/>
      <c r="J439" s="281"/>
      <c r="K439" s="168"/>
    </row>
    <row r="440" spans="8:11" ht="15.75" customHeight="1" x14ac:dyDescent="0.25">
      <c r="H440" s="281"/>
      <c r="I440" s="281"/>
      <c r="J440" s="281"/>
      <c r="K440" s="168"/>
    </row>
    <row r="441" spans="8:11" ht="15.75" customHeight="1" x14ac:dyDescent="0.25">
      <c r="H441" s="281"/>
      <c r="I441" s="281"/>
      <c r="J441" s="281"/>
      <c r="K441" s="168"/>
    </row>
    <row r="442" spans="8:11" ht="15.75" customHeight="1" x14ac:dyDescent="0.25">
      <c r="H442" s="281"/>
      <c r="I442" s="281"/>
      <c r="J442" s="281"/>
      <c r="K442" s="168"/>
    </row>
    <row r="443" spans="8:11" ht="15.75" customHeight="1" x14ac:dyDescent="0.25">
      <c r="H443" s="281"/>
      <c r="I443" s="281"/>
      <c r="J443" s="281"/>
      <c r="K443" s="168"/>
    </row>
    <row r="444" spans="8:11" ht="15.75" customHeight="1" x14ac:dyDescent="0.25">
      <c r="H444" s="281"/>
      <c r="I444" s="281"/>
      <c r="J444" s="281"/>
      <c r="K444" s="168"/>
    </row>
    <row r="445" spans="8:11" ht="15.75" customHeight="1" x14ac:dyDescent="0.25">
      <c r="H445" s="281"/>
      <c r="I445" s="281"/>
      <c r="J445" s="281"/>
      <c r="K445" s="168"/>
    </row>
    <row r="446" spans="8:11" ht="15.75" customHeight="1" x14ac:dyDescent="0.25">
      <c r="H446" s="281"/>
      <c r="I446" s="281"/>
      <c r="J446" s="281"/>
      <c r="K446" s="168"/>
    </row>
    <row r="447" spans="8:11" ht="15.75" customHeight="1" x14ac:dyDescent="0.25">
      <c r="H447" s="281"/>
      <c r="I447" s="281"/>
      <c r="J447" s="281"/>
      <c r="K447" s="168"/>
    </row>
    <row r="448" spans="8:11" ht="15.75" customHeight="1" x14ac:dyDescent="0.25">
      <c r="H448" s="281"/>
      <c r="I448" s="281"/>
      <c r="J448" s="281"/>
      <c r="K448" s="168"/>
    </row>
    <row r="449" spans="8:11" ht="15.75" customHeight="1" x14ac:dyDescent="0.25">
      <c r="H449" s="281"/>
      <c r="I449" s="281"/>
      <c r="J449" s="281"/>
      <c r="K449" s="168"/>
    </row>
    <row r="450" spans="8:11" ht="15.75" customHeight="1" x14ac:dyDescent="0.25">
      <c r="H450" s="281"/>
      <c r="I450" s="281"/>
      <c r="J450" s="281"/>
      <c r="K450" s="168"/>
    </row>
    <row r="451" spans="8:11" ht="15.75" customHeight="1" x14ac:dyDescent="0.25">
      <c r="H451" s="281"/>
      <c r="I451" s="281"/>
      <c r="J451" s="281"/>
      <c r="K451" s="168"/>
    </row>
    <row r="452" spans="8:11" ht="15.75" customHeight="1" x14ac:dyDescent="0.25">
      <c r="H452" s="281"/>
      <c r="I452" s="281"/>
      <c r="J452" s="281"/>
      <c r="K452" s="168"/>
    </row>
    <row r="453" spans="8:11" ht="15.75" customHeight="1" x14ac:dyDescent="0.25">
      <c r="H453" s="281"/>
      <c r="I453" s="281"/>
      <c r="J453" s="281"/>
      <c r="K453" s="168"/>
    </row>
    <row r="454" spans="8:11" ht="15.75" customHeight="1" x14ac:dyDescent="0.25">
      <c r="H454" s="281"/>
      <c r="I454" s="281"/>
      <c r="J454" s="281"/>
      <c r="K454" s="168"/>
    </row>
    <row r="455" spans="8:11" ht="15.75" customHeight="1" x14ac:dyDescent="0.25">
      <c r="H455" s="281"/>
      <c r="I455" s="281"/>
      <c r="J455" s="281"/>
      <c r="K455" s="168"/>
    </row>
    <row r="456" spans="8:11" ht="15.75" customHeight="1" x14ac:dyDescent="0.25">
      <c r="H456" s="281"/>
      <c r="I456" s="281"/>
      <c r="J456" s="281"/>
      <c r="K456" s="168"/>
    </row>
    <row r="457" spans="8:11" ht="15.75" customHeight="1" x14ac:dyDescent="0.25">
      <c r="H457" s="281"/>
      <c r="I457" s="281"/>
      <c r="J457" s="281"/>
      <c r="K457" s="168"/>
    </row>
    <row r="458" spans="8:11" ht="15.75" customHeight="1" x14ac:dyDescent="0.25">
      <c r="H458" s="281"/>
      <c r="I458" s="281"/>
      <c r="J458" s="281"/>
      <c r="K458" s="168"/>
    </row>
    <row r="459" spans="8:11" ht="15.75" customHeight="1" x14ac:dyDescent="0.25">
      <c r="H459" s="281"/>
      <c r="I459" s="281"/>
      <c r="J459" s="281"/>
      <c r="K459" s="168"/>
    </row>
    <row r="460" spans="8:11" ht="15.75" customHeight="1" x14ac:dyDescent="0.25">
      <c r="H460" s="281"/>
      <c r="I460" s="281"/>
      <c r="J460" s="281"/>
      <c r="K460" s="168"/>
    </row>
    <row r="461" spans="8:11" ht="15.75" customHeight="1" x14ac:dyDescent="0.25">
      <c r="H461" s="281"/>
      <c r="I461" s="281"/>
      <c r="J461" s="281"/>
      <c r="K461" s="168"/>
    </row>
    <row r="462" spans="8:11" ht="15.75" customHeight="1" x14ac:dyDescent="0.25">
      <c r="H462" s="281"/>
      <c r="I462" s="281"/>
      <c r="J462" s="281"/>
      <c r="K462" s="168"/>
    </row>
    <row r="463" spans="8:11" ht="15.75" customHeight="1" x14ac:dyDescent="0.25">
      <c r="H463" s="281"/>
      <c r="I463" s="281"/>
      <c r="J463" s="281"/>
      <c r="K463" s="168"/>
    </row>
    <row r="464" spans="8:11" ht="15.75" customHeight="1" x14ac:dyDescent="0.25">
      <c r="H464" s="281"/>
      <c r="I464" s="281"/>
      <c r="J464" s="281"/>
      <c r="K464" s="168"/>
    </row>
    <row r="465" spans="8:11" ht="15.75" customHeight="1" x14ac:dyDescent="0.25">
      <c r="H465" s="281"/>
      <c r="I465" s="281"/>
      <c r="J465" s="281"/>
      <c r="K465" s="168"/>
    </row>
    <row r="466" spans="8:11" ht="15.75" customHeight="1" x14ac:dyDescent="0.25">
      <c r="H466" s="281"/>
      <c r="I466" s="281"/>
      <c r="J466" s="281"/>
      <c r="K466" s="168"/>
    </row>
    <row r="467" spans="8:11" ht="15.75" customHeight="1" x14ac:dyDescent="0.25">
      <c r="H467" s="281"/>
      <c r="I467" s="281"/>
      <c r="J467" s="281"/>
      <c r="K467" s="168"/>
    </row>
    <row r="468" spans="8:11" ht="15.75" customHeight="1" x14ac:dyDescent="0.25">
      <c r="H468" s="281"/>
      <c r="I468" s="281"/>
      <c r="J468" s="281"/>
      <c r="K468" s="168"/>
    </row>
    <row r="469" spans="8:11" ht="15.75" customHeight="1" x14ac:dyDescent="0.25">
      <c r="H469" s="281"/>
      <c r="I469" s="281"/>
      <c r="J469" s="281"/>
      <c r="K469" s="168"/>
    </row>
    <row r="470" spans="8:11" ht="15.75" customHeight="1" x14ac:dyDescent="0.25">
      <c r="H470" s="281"/>
      <c r="I470" s="281"/>
      <c r="J470" s="281"/>
      <c r="K470" s="168"/>
    </row>
    <row r="471" spans="8:11" ht="15.75" customHeight="1" x14ac:dyDescent="0.25">
      <c r="H471" s="281"/>
      <c r="I471" s="281"/>
      <c r="J471" s="281"/>
      <c r="K471" s="168"/>
    </row>
    <row r="472" spans="8:11" ht="15.75" customHeight="1" x14ac:dyDescent="0.25">
      <c r="H472" s="281"/>
      <c r="I472" s="281"/>
      <c r="J472" s="281"/>
      <c r="K472" s="168"/>
    </row>
    <row r="473" spans="8:11" ht="15.75" customHeight="1" x14ac:dyDescent="0.25">
      <c r="H473" s="281"/>
      <c r="I473" s="281"/>
      <c r="J473" s="281"/>
      <c r="K473" s="168"/>
    </row>
    <row r="474" spans="8:11" ht="15.75" customHeight="1" x14ac:dyDescent="0.25">
      <c r="H474" s="281"/>
      <c r="I474" s="281"/>
      <c r="J474" s="281"/>
      <c r="K474" s="168"/>
    </row>
    <row r="475" spans="8:11" ht="15.75" customHeight="1" x14ac:dyDescent="0.25">
      <c r="H475" s="281"/>
      <c r="I475" s="281"/>
      <c r="J475" s="281"/>
      <c r="K475" s="168"/>
    </row>
    <row r="476" spans="8:11" ht="15.75" customHeight="1" x14ac:dyDescent="0.25">
      <c r="H476" s="281"/>
      <c r="I476" s="281"/>
      <c r="J476" s="281"/>
      <c r="K476" s="168"/>
    </row>
    <row r="477" spans="8:11" ht="15.75" customHeight="1" x14ac:dyDescent="0.25">
      <c r="H477" s="281"/>
      <c r="I477" s="281"/>
      <c r="J477" s="281"/>
      <c r="K477" s="168"/>
    </row>
    <row r="478" spans="8:11" ht="15.75" customHeight="1" x14ac:dyDescent="0.25">
      <c r="H478" s="281"/>
      <c r="I478" s="281"/>
      <c r="J478" s="281"/>
      <c r="K478" s="168"/>
    </row>
    <row r="479" spans="8:11" ht="15.75" customHeight="1" x14ac:dyDescent="0.25">
      <c r="H479" s="281"/>
      <c r="I479" s="281"/>
      <c r="J479" s="281"/>
      <c r="K479" s="168"/>
    </row>
    <row r="480" spans="8:11" ht="15.75" customHeight="1" x14ac:dyDescent="0.25">
      <c r="H480" s="281"/>
      <c r="I480" s="281"/>
      <c r="J480" s="281"/>
      <c r="K480" s="168"/>
    </row>
    <row r="481" spans="8:11" ht="15.75" customHeight="1" x14ac:dyDescent="0.25">
      <c r="H481" s="281"/>
      <c r="I481" s="281"/>
      <c r="J481" s="281"/>
      <c r="K481" s="168"/>
    </row>
    <row r="482" spans="8:11" ht="15.75" customHeight="1" x14ac:dyDescent="0.25">
      <c r="H482" s="281"/>
      <c r="I482" s="281"/>
      <c r="J482" s="281"/>
      <c r="K482" s="168"/>
    </row>
    <row r="483" spans="8:11" ht="15.75" customHeight="1" x14ac:dyDescent="0.25">
      <c r="H483" s="281"/>
      <c r="I483" s="281"/>
      <c r="J483" s="281"/>
      <c r="K483" s="168"/>
    </row>
    <row r="484" spans="8:11" ht="15.75" customHeight="1" x14ac:dyDescent="0.25">
      <c r="H484" s="281"/>
      <c r="I484" s="281"/>
      <c r="J484" s="281"/>
      <c r="K484" s="168"/>
    </row>
    <row r="485" spans="8:11" ht="15.75" customHeight="1" x14ac:dyDescent="0.25">
      <c r="H485" s="281"/>
      <c r="I485" s="281"/>
      <c r="J485" s="281"/>
      <c r="K485" s="168"/>
    </row>
    <row r="486" spans="8:11" ht="15.75" customHeight="1" x14ac:dyDescent="0.25">
      <c r="H486" s="281"/>
      <c r="I486" s="281"/>
      <c r="J486" s="281"/>
      <c r="K486" s="168"/>
    </row>
    <row r="487" spans="8:11" ht="15.75" customHeight="1" x14ac:dyDescent="0.25">
      <c r="H487" s="281"/>
      <c r="I487" s="281"/>
      <c r="J487" s="281"/>
      <c r="K487" s="168"/>
    </row>
    <row r="488" spans="8:11" ht="15.75" customHeight="1" x14ac:dyDescent="0.25">
      <c r="H488" s="281"/>
      <c r="I488" s="281"/>
      <c r="J488" s="281"/>
      <c r="K488" s="168"/>
    </row>
    <row r="489" spans="8:11" ht="15.75" customHeight="1" x14ac:dyDescent="0.25">
      <c r="H489" s="281"/>
      <c r="I489" s="281"/>
      <c r="J489" s="281"/>
      <c r="K489" s="168"/>
    </row>
    <row r="490" spans="8:11" ht="15.75" customHeight="1" x14ac:dyDescent="0.25">
      <c r="H490" s="281"/>
      <c r="I490" s="281"/>
      <c r="J490" s="281"/>
      <c r="K490" s="168"/>
    </row>
    <row r="491" spans="8:11" ht="15.75" customHeight="1" x14ac:dyDescent="0.25">
      <c r="H491" s="281"/>
      <c r="I491" s="281"/>
      <c r="J491" s="281"/>
      <c r="K491" s="168"/>
    </row>
    <row r="492" spans="8:11" ht="15.75" customHeight="1" x14ac:dyDescent="0.25">
      <c r="H492" s="281"/>
      <c r="I492" s="281"/>
      <c r="J492" s="281"/>
      <c r="K492" s="168"/>
    </row>
    <row r="493" spans="8:11" ht="15.75" customHeight="1" x14ac:dyDescent="0.25">
      <c r="H493" s="281"/>
      <c r="I493" s="281"/>
      <c r="J493" s="281"/>
      <c r="K493" s="168"/>
    </row>
    <row r="494" spans="8:11" ht="15.75" customHeight="1" x14ac:dyDescent="0.25">
      <c r="H494" s="281"/>
      <c r="I494" s="281"/>
      <c r="J494" s="281"/>
      <c r="K494" s="168"/>
    </row>
    <row r="495" spans="8:11" ht="15.75" customHeight="1" x14ac:dyDescent="0.25">
      <c r="H495" s="281"/>
      <c r="I495" s="281"/>
      <c r="J495" s="281"/>
      <c r="K495" s="168"/>
    </row>
    <row r="496" spans="8:11" ht="15.75" customHeight="1" x14ac:dyDescent="0.25">
      <c r="H496" s="281"/>
      <c r="I496" s="281"/>
      <c r="J496" s="281"/>
      <c r="K496" s="168"/>
    </row>
    <row r="497" spans="8:11" ht="15.75" customHeight="1" x14ac:dyDescent="0.25">
      <c r="H497" s="281"/>
      <c r="I497" s="281"/>
      <c r="J497" s="281"/>
      <c r="K497" s="168"/>
    </row>
    <row r="498" spans="8:11" ht="15.75" customHeight="1" x14ac:dyDescent="0.25">
      <c r="H498" s="281"/>
      <c r="I498" s="281"/>
      <c r="J498" s="281"/>
      <c r="K498" s="168"/>
    </row>
    <row r="499" spans="8:11" ht="15.75" customHeight="1" x14ac:dyDescent="0.25">
      <c r="H499" s="281"/>
      <c r="I499" s="281"/>
      <c r="J499" s="281"/>
      <c r="K499" s="168"/>
    </row>
    <row r="500" spans="8:11" ht="15.75" customHeight="1" x14ac:dyDescent="0.25">
      <c r="H500" s="281"/>
      <c r="I500" s="281"/>
      <c r="J500" s="281"/>
      <c r="K500" s="168"/>
    </row>
    <row r="501" spans="8:11" ht="15.75" customHeight="1" x14ac:dyDescent="0.25">
      <c r="H501" s="281"/>
      <c r="I501" s="281"/>
      <c r="J501" s="281"/>
      <c r="K501" s="168"/>
    </row>
    <row r="502" spans="8:11" ht="15.75" customHeight="1" x14ac:dyDescent="0.25">
      <c r="H502" s="281"/>
      <c r="I502" s="281"/>
      <c r="J502" s="281"/>
      <c r="K502" s="168"/>
    </row>
    <row r="503" spans="8:11" ht="15.75" customHeight="1" x14ac:dyDescent="0.25">
      <c r="H503" s="281"/>
      <c r="I503" s="281"/>
      <c r="J503" s="281"/>
      <c r="K503" s="168"/>
    </row>
    <row r="504" spans="8:11" ht="15.75" customHeight="1" x14ac:dyDescent="0.25">
      <c r="H504" s="281"/>
      <c r="I504" s="281"/>
      <c r="J504" s="281"/>
      <c r="K504" s="168"/>
    </row>
    <row r="505" spans="8:11" ht="15.75" customHeight="1" x14ac:dyDescent="0.25">
      <c r="H505" s="281"/>
      <c r="I505" s="281"/>
      <c r="J505" s="281"/>
      <c r="K505" s="168"/>
    </row>
    <row r="506" spans="8:11" ht="15.75" customHeight="1" x14ac:dyDescent="0.25">
      <c r="H506" s="281"/>
      <c r="I506" s="281"/>
      <c r="J506" s="281"/>
      <c r="K506" s="168"/>
    </row>
    <row r="507" spans="8:11" ht="15.75" customHeight="1" x14ac:dyDescent="0.25">
      <c r="H507" s="281"/>
      <c r="I507" s="281"/>
      <c r="J507" s="281"/>
      <c r="K507" s="168"/>
    </row>
    <row r="508" spans="8:11" ht="15.75" customHeight="1" x14ac:dyDescent="0.25">
      <c r="H508" s="281"/>
      <c r="I508" s="281"/>
      <c r="J508" s="281"/>
      <c r="K508" s="168"/>
    </row>
    <row r="509" spans="8:11" ht="15.75" customHeight="1" x14ac:dyDescent="0.25">
      <c r="H509" s="281"/>
      <c r="I509" s="281"/>
      <c r="J509" s="281"/>
      <c r="K509" s="168"/>
    </row>
    <row r="510" spans="8:11" ht="15.75" customHeight="1" x14ac:dyDescent="0.25">
      <c r="H510" s="281"/>
      <c r="I510" s="281"/>
      <c r="J510" s="281"/>
      <c r="K510" s="168"/>
    </row>
    <row r="511" spans="8:11" ht="15.75" customHeight="1" x14ac:dyDescent="0.25">
      <c r="H511" s="281"/>
      <c r="I511" s="281"/>
      <c r="J511" s="281"/>
      <c r="K511" s="168"/>
    </row>
    <row r="512" spans="8:11" ht="15.75" customHeight="1" x14ac:dyDescent="0.25">
      <c r="H512" s="281"/>
      <c r="I512" s="281"/>
      <c r="J512" s="281"/>
      <c r="K512" s="168"/>
    </row>
    <row r="513" spans="8:11" ht="15.75" customHeight="1" x14ac:dyDescent="0.25">
      <c r="H513" s="281"/>
      <c r="I513" s="281"/>
      <c r="J513" s="281"/>
      <c r="K513" s="168"/>
    </row>
    <row r="514" spans="8:11" ht="15.75" customHeight="1" x14ac:dyDescent="0.25">
      <c r="H514" s="281"/>
      <c r="I514" s="281"/>
      <c r="J514" s="281"/>
      <c r="K514" s="168"/>
    </row>
    <row r="515" spans="8:11" ht="15.75" customHeight="1" x14ac:dyDescent="0.25">
      <c r="H515" s="281"/>
      <c r="I515" s="281"/>
      <c r="J515" s="281"/>
      <c r="K515" s="168"/>
    </row>
    <row r="516" spans="8:11" ht="15.75" customHeight="1" x14ac:dyDescent="0.25">
      <c r="H516" s="281"/>
      <c r="I516" s="281"/>
      <c r="J516" s="281"/>
      <c r="K516" s="168"/>
    </row>
    <row r="517" spans="8:11" ht="15.75" customHeight="1" x14ac:dyDescent="0.25">
      <c r="H517" s="281"/>
      <c r="I517" s="281"/>
      <c r="J517" s="281"/>
      <c r="K517" s="168"/>
    </row>
    <row r="518" spans="8:11" ht="15.75" customHeight="1" x14ac:dyDescent="0.25">
      <c r="H518" s="281"/>
      <c r="I518" s="281"/>
      <c r="J518" s="281"/>
      <c r="K518" s="168"/>
    </row>
    <row r="519" spans="8:11" ht="15.75" customHeight="1" x14ac:dyDescent="0.25">
      <c r="H519" s="281"/>
      <c r="I519" s="281"/>
      <c r="J519" s="281"/>
      <c r="K519" s="168"/>
    </row>
    <row r="520" spans="8:11" ht="15.75" customHeight="1" x14ac:dyDescent="0.25">
      <c r="H520" s="281"/>
      <c r="I520" s="281"/>
      <c r="J520" s="281"/>
      <c r="K520" s="168"/>
    </row>
    <row r="521" spans="8:11" ht="15.75" customHeight="1" x14ac:dyDescent="0.25">
      <c r="H521" s="281"/>
      <c r="I521" s="281"/>
      <c r="J521" s="281"/>
      <c r="K521" s="168"/>
    </row>
    <row r="522" spans="8:11" ht="15.75" customHeight="1" x14ac:dyDescent="0.25">
      <c r="H522" s="281"/>
      <c r="I522" s="281"/>
      <c r="J522" s="281"/>
      <c r="K522" s="168"/>
    </row>
    <row r="523" spans="8:11" ht="15.75" customHeight="1" x14ac:dyDescent="0.25">
      <c r="H523" s="281"/>
      <c r="I523" s="281"/>
      <c r="J523" s="281"/>
      <c r="K523" s="168"/>
    </row>
    <row r="524" spans="8:11" ht="15.75" customHeight="1" x14ac:dyDescent="0.25">
      <c r="H524" s="281"/>
      <c r="I524" s="281"/>
      <c r="J524" s="281"/>
      <c r="K524" s="168"/>
    </row>
    <row r="525" spans="8:11" ht="15.75" customHeight="1" x14ac:dyDescent="0.25">
      <c r="H525" s="281"/>
      <c r="I525" s="281"/>
      <c r="J525" s="281"/>
      <c r="K525" s="168"/>
    </row>
    <row r="526" spans="8:11" ht="15.75" customHeight="1" x14ac:dyDescent="0.25">
      <c r="H526" s="281"/>
      <c r="I526" s="281"/>
      <c r="J526" s="281"/>
      <c r="K526" s="168"/>
    </row>
    <row r="527" spans="8:11" ht="15.75" customHeight="1" x14ac:dyDescent="0.25">
      <c r="H527" s="281"/>
      <c r="I527" s="281"/>
      <c r="J527" s="281"/>
      <c r="K527" s="168"/>
    </row>
    <row r="528" spans="8:11" ht="15.75" customHeight="1" x14ac:dyDescent="0.25">
      <c r="H528" s="281"/>
      <c r="I528" s="281"/>
      <c r="J528" s="281"/>
      <c r="K528" s="168"/>
    </row>
    <row r="529" spans="8:11" ht="15.75" customHeight="1" x14ac:dyDescent="0.25">
      <c r="H529" s="281"/>
      <c r="I529" s="281"/>
      <c r="J529" s="281"/>
      <c r="K529" s="168"/>
    </row>
    <row r="530" spans="8:11" ht="15.75" customHeight="1" x14ac:dyDescent="0.25">
      <c r="H530" s="281"/>
      <c r="I530" s="281"/>
      <c r="J530" s="281"/>
      <c r="K530" s="168"/>
    </row>
    <row r="531" spans="8:11" ht="15.75" customHeight="1" x14ac:dyDescent="0.25">
      <c r="H531" s="281"/>
      <c r="I531" s="281"/>
      <c r="J531" s="281"/>
      <c r="K531" s="168"/>
    </row>
    <row r="532" spans="8:11" ht="15.75" customHeight="1" x14ac:dyDescent="0.25">
      <c r="H532" s="281"/>
      <c r="I532" s="281"/>
      <c r="J532" s="281"/>
      <c r="K532" s="168"/>
    </row>
    <row r="533" spans="8:11" ht="15.75" customHeight="1" x14ac:dyDescent="0.25">
      <c r="H533" s="281"/>
      <c r="I533" s="281"/>
      <c r="J533" s="281"/>
      <c r="K533" s="168"/>
    </row>
    <row r="534" spans="8:11" ht="15.75" customHeight="1" x14ac:dyDescent="0.25">
      <c r="H534" s="281"/>
      <c r="I534" s="281"/>
      <c r="J534" s="281"/>
      <c r="K534" s="168"/>
    </row>
    <row r="535" spans="8:11" ht="15.75" customHeight="1" x14ac:dyDescent="0.25">
      <c r="H535" s="281"/>
      <c r="I535" s="281"/>
      <c r="J535" s="281"/>
      <c r="K535" s="168"/>
    </row>
    <row r="536" spans="8:11" ht="15.75" customHeight="1" x14ac:dyDescent="0.25">
      <c r="H536" s="281"/>
      <c r="I536" s="281"/>
      <c r="J536" s="281"/>
      <c r="K536" s="168"/>
    </row>
    <row r="537" spans="8:11" ht="15.75" customHeight="1" x14ac:dyDescent="0.25">
      <c r="H537" s="281"/>
      <c r="I537" s="281"/>
      <c r="J537" s="281"/>
      <c r="K537" s="168"/>
    </row>
    <row r="538" spans="8:11" ht="15.75" customHeight="1" x14ac:dyDescent="0.25">
      <c r="H538" s="281"/>
      <c r="I538" s="281"/>
      <c r="J538" s="281"/>
      <c r="K538" s="168"/>
    </row>
    <row r="539" spans="8:11" ht="15.75" customHeight="1" x14ac:dyDescent="0.25">
      <c r="H539" s="281"/>
      <c r="I539" s="281"/>
      <c r="J539" s="281"/>
      <c r="K539" s="168"/>
    </row>
    <row r="540" spans="8:11" ht="15.75" customHeight="1" x14ac:dyDescent="0.25">
      <c r="H540" s="281"/>
      <c r="I540" s="281"/>
      <c r="J540" s="281"/>
      <c r="K540" s="168"/>
    </row>
    <row r="541" spans="8:11" ht="15.75" customHeight="1" x14ac:dyDescent="0.25">
      <c r="H541" s="281"/>
      <c r="I541" s="281"/>
      <c r="J541" s="281"/>
      <c r="K541" s="168"/>
    </row>
    <row r="542" spans="8:11" ht="15.75" customHeight="1" x14ac:dyDescent="0.25">
      <c r="H542" s="281"/>
      <c r="I542" s="281"/>
      <c r="J542" s="281"/>
      <c r="K542" s="168"/>
    </row>
    <row r="543" spans="8:11" ht="15.75" customHeight="1" x14ac:dyDescent="0.25">
      <c r="H543" s="281"/>
      <c r="I543" s="281"/>
      <c r="J543" s="281"/>
      <c r="K543" s="168"/>
    </row>
    <row r="544" spans="8:11" ht="15.75" customHeight="1" x14ac:dyDescent="0.25">
      <c r="H544" s="281"/>
      <c r="I544" s="281"/>
      <c r="J544" s="281"/>
      <c r="K544" s="168"/>
    </row>
    <row r="545" spans="8:11" ht="15.75" customHeight="1" x14ac:dyDescent="0.25">
      <c r="H545" s="281"/>
      <c r="I545" s="281"/>
      <c r="J545" s="281"/>
      <c r="K545" s="168"/>
    </row>
    <row r="546" spans="8:11" ht="15.75" customHeight="1" x14ac:dyDescent="0.25">
      <c r="H546" s="281"/>
      <c r="I546" s="281"/>
      <c r="J546" s="281"/>
      <c r="K546" s="168"/>
    </row>
    <row r="547" spans="8:11" ht="15.75" customHeight="1" x14ac:dyDescent="0.25">
      <c r="H547" s="281"/>
      <c r="I547" s="281"/>
      <c r="J547" s="281"/>
      <c r="K547" s="168"/>
    </row>
    <row r="548" spans="8:11" ht="15.75" customHeight="1" x14ac:dyDescent="0.25">
      <c r="H548" s="281"/>
      <c r="I548" s="281"/>
      <c r="J548" s="281"/>
      <c r="K548" s="168"/>
    </row>
    <row r="549" spans="8:11" ht="15.75" customHeight="1" x14ac:dyDescent="0.25">
      <c r="H549" s="281"/>
      <c r="I549" s="281"/>
      <c r="J549" s="281"/>
      <c r="K549" s="168"/>
    </row>
    <row r="550" spans="8:11" ht="15.75" customHeight="1" x14ac:dyDescent="0.25">
      <c r="H550" s="281"/>
      <c r="I550" s="281"/>
      <c r="J550" s="281"/>
      <c r="K550" s="168"/>
    </row>
    <row r="551" spans="8:11" ht="15.75" customHeight="1" x14ac:dyDescent="0.25">
      <c r="H551" s="281"/>
      <c r="I551" s="281"/>
      <c r="J551" s="281"/>
      <c r="K551" s="168"/>
    </row>
    <row r="552" spans="8:11" ht="15.75" customHeight="1" x14ac:dyDescent="0.25">
      <c r="H552" s="281"/>
      <c r="I552" s="281"/>
      <c r="J552" s="281"/>
      <c r="K552" s="168"/>
    </row>
    <row r="553" spans="8:11" ht="15.75" customHeight="1" x14ac:dyDescent="0.25">
      <c r="H553" s="281"/>
      <c r="I553" s="281"/>
      <c r="J553" s="281"/>
      <c r="K553" s="168"/>
    </row>
    <row r="554" spans="8:11" ht="15.75" customHeight="1" x14ac:dyDescent="0.25">
      <c r="H554" s="281"/>
      <c r="I554" s="281"/>
      <c r="J554" s="281"/>
      <c r="K554" s="168"/>
    </row>
    <row r="555" spans="8:11" ht="15.75" customHeight="1" x14ac:dyDescent="0.25">
      <c r="H555" s="281"/>
      <c r="I555" s="281"/>
      <c r="J555" s="281"/>
      <c r="K555" s="168"/>
    </row>
    <row r="556" spans="8:11" ht="15.75" customHeight="1" x14ac:dyDescent="0.25">
      <c r="H556" s="281"/>
      <c r="I556" s="281"/>
      <c r="J556" s="281"/>
      <c r="K556" s="168"/>
    </row>
    <row r="557" spans="8:11" ht="15.75" customHeight="1" x14ac:dyDescent="0.25">
      <c r="H557" s="281"/>
      <c r="I557" s="281"/>
      <c r="J557" s="281"/>
      <c r="K557" s="168"/>
    </row>
    <row r="558" spans="8:11" ht="15.75" customHeight="1" x14ac:dyDescent="0.25">
      <c r="H558" s="281"/>
      <c r="I558" s="281"/>
      <c r="J558" s="281"/>
      <c r="K558" s="168"/>
    </row>
    <row r="559" spans="8:11" ht="15.75" customHeight="1" x14ac:dyDescent="0.25">
      <c r="H559" s="281"/>
      <c r="I559" s="281"/>
      <c r="J559" s="281"/>
      <c r="K559" s="168"/>
    </row>
    <row r="560" spans="8:11" ht="15.75" customHeight="1" x14ac:dyDescent="0.25">
      <c r="H560" s="281"/>
      <c r="I560" s="281"/>
      <c r="J560" s="281"/>
      <c r="K560" s="168"/>
    </row>
    <row r="561" spans="8:11" ht="15.75" customHeight="1" x14ac:dyDescent="0.25">
      <c r="H561" s="281"/>
      <c r="I561" s="281"/>
      <c r="J561" s="281"/>
      <c r="K561" s="168"/>
    </row>
    <row r="562" spans="8:11" ht="15.75" customHeight="1" x14ac:dyDescent="0.25">
      <c r="H562" s="281"/>
      <c r="I562" s="281"/>
      <c r="J562" s="281"/>
      <c r="K562" s="168"/>
    </row>
    <row r="563" spans="8:11" ht="15.75" customHeight="1" x14ac:dyDescent="0.25">
      <c r="H563" s="281"/>
      <c r="I563" s="281"/>
      <c r="J563" s="281"/>
      <c r="K563" s="168"/>
    </row>
    <row r="564" spans="8:11" ht="15.75" customHeight="1" x14ac:dyDescent="0.25">
      <c r="H564" s="281"/>
      <c r="I564" s="281"/>
      <c r="J564" s="281"/>
      <c r="K564" s="168"/>
    </row>
    <row r="565" spans="8:11" ht="15.75" customHeight="1" x14ac:dyDescent="0.25">
      <c r="H565" s="281"/>
      <c r="I565" s="281"/>
      <c r="J565" s="281"/>
      <c r="K565" s="168"/>
    </row>
    <row r="566" spans="8:11" ht="15.75" customHeight="1" x14ac:dyDescent="0.25">
      <c r="H566" s="281"/>
      <c r="I566" s="281"/>
      <c r="J566" s="281"/>
      <c r="K566" s="168"/>
    </row>
    <row r="567" spans="8:11" ht="15.75" customHeight="1" x14ac:dyDescent="0.25">
      <c r="H567" s="281"/>
      <c r="I567" s="281"/>
      <c r="J567" s="281"/>
      <c r="K567" s="168"/>
    </row>
    <row r="568" spans="8:11" ht="15.75" customHeight="1" x14ac:dyDescent="0.25">
      <c r="H568" s="281"/>
      <c r="I568" s="281"/>
      <c r="J568" s="281"/>
      <c r="K568" s="168"/>
    </row>
    <row r="569" spans="8:11" ht="15.75" customHeight="1" x14ac:dyDescent="0.25">
      <c r="H569" s="281"/>
      <c r="I569" s="281"/>
      <c r="J569" s="281"/>
      <c r="K569" s="168"/>
    </row>
    <row r="570" spans="8:11" ht="15.75" customHeight="1" x14ac:dyDescent="0.25">
      <c r="H570" s="281"/>
      <c r="I570" s="281"/>
      <c r="J570" s="281"/>
      <c r="K570" s="168"/>
    </row>
    <row r="571" spans="8:11" ht="15.75" customHeight="1" x14ac:dyDescent="0.25">
      <c r="H571" s="281"/>
      <c r="I571" s="281"/>
      <c r="J571" s="281"/>
      <c r="K571" s="168"/>
    </row>
    <row r="572" spans="8:11" ht="15.75" customHeight="1" x14ac:dyDescent="0.25">
      <c r="H572" s="281"/>
      <c r="I572" s="281"/>
      <c r="J572" s="281"/>
      <c r="K572" s="168"/>
    </row>
    <row r="573" spans="8:11" ht="15.75" customHeight="1" x14ac:dyDescent="0.25">
      <c r="H573" s="281"/>
      <c r="I573" s="281"/>
      <c r="J573" s="281"/>
      <c r="K573" s="168"/>
    </row>
    <row r="574" spans="8:11" ht="15.75" customHeight="1" x14ac:dyDescent="0.25">
      <c r="H574" s="281"/>
      <c r="I574" s="281"/>
      <c r="J574" s="281"/>
      <c r="K574" s="168"/>
    </row>
    <row r="575" spans="8:11" ht="15.75" customHeight="1" x14ac:dyDescent="0.25">
      <c r="H575" s="281"/>
      <c r="I575" s="281"/>
      <c r="J575" s="281"/>
      <c r="K575" s="168"/>
    </row>
    <row r="576" spans="8:11" ht="15.75" customHeight="1" x14ac:dyDescent="0.25">
      <c r="H576" s="281"/>
      <c r="I576" s="281"/>
      <c r="J576" s="281"/>
      <c r="K576" s="168"/>
    </row>
    <row r="577" spans="8:11" ht="15.75" customHeight="1" x14ac:dyDescent="0.25">
      <c r="H577" s="281"/>
      <c r="I577" s="281"/>
      <c r="J577" s="281"/>
      <c r="K577" s="168"/>
    </row>
    <row r="578" spans="8:11" ht="15.75" customHeight="1" x14ac:dyDescent="0.25">
      <c r="H578" s="281"/>
      <c r="I578" s="281"/>
      <c r="J578" s="281"/>
      <c r="K578" s="168"/>
    </row>
    <row r="579" spans="8:11" ht="15.75" customHeight="1" x14ac:dyDescent="0.25">
      <c r="H579" s="281"/>
      <c r="I579" s="281"/>
      <c r="J579" s="281"/>
      <c r="K579" s="168"/>
    </row>
    <row r="580" spans="8:11" ht="15.75" customHeight="1" x14ac:dyDescent="0.25">
      <c r="H580" s="281"/>
      <c r="I580" s="281"/>
      <c r="J580" s="281"/>
      <c r="K580" s="168"/>
    </row>
    <row r="581" spans="8:11" ht="15.75" customHeight="1" x14ac:dyDescent="0.25">
      <c r="H581" s="281"/>
      <c r="I581" s="281"/>
      <c r="J581" s="281"/>
      <c r="K581" s="168"/>
    </row>
    <row r="582" spans="8:11" ht="15.75" customHeight="1" x14ac:dyDescent="0.25">
      <c r="H582" s="281"/>
      <c r="I582" s="281"/>
      <c r="J582" s="281"/>
      <c r="K582" s="168"/>
    </row>
    <row r="583" spans="8:11" ht="15.75" customHeight="1" x14ac:dyDescent="0.25">
      <c r="H583" s="281"/>
      <c r="I583" s="281"/>
      <c r="J583" s="281"/>
      <c r="K583" s="168"/>
    </row>
    <row r="584" spans="8:11" ht="15.75" customHeight="1" x14ac:dyDescent="0.25">
      <c r="H584" s="281"/>
      <c r="I584" s="281"/>
      <c r="J584" s="281"/>
      <c r="K584" s="168"/>
    </row>
    <row r="585" spans="8:11" ht="15.75" customHeight="1" x14ac:dyDescent="0.25">
      <c r="H585" s="281"/>
      <c r="I585" s="281"/>
      <c r="J585" s="281"/>
      <c r="K585" s="168"/>
    </row>
    <row r="586" spans="8:11" ht="15.75" customHeight="1" x14ac:dyDescent="0.25">
      <c r="H586" s="281"/>
      <c r="I586" s="281"/>
      <c r="J586" s="281"/>
      <c r="K586" s="168"/>
    </row>
    <row r="587" spans="8:11" ht="15.75" customHeight="1" x14ac:dyDescent="0.25">
      <c r="H587" s="281"/>
      <c r="I587" s="281"/>
      <c r="J587" s="281"/>
      <c r="K587" s="168"/>
    </row>
    <row r="588" spans="8:11" ht="15.75" customHeight="1" x14ac:dyDescent="0.25">
      <c r="H588" s="281"/>
      <c r="I588" s="281"/>
      <c r="J588" s="281"/>
      <c r="K588" s="168"/>
    </row>
    <row r="589" spans="8:11" ht="15.75" customHeight="1" x14ac:dyDescent="0.25">
      <c r="H589" s="281"/>
      <c r="I589" s="281"/>
      <c r="J589" s="281"/>
      <c r="K589" s="168"/>
    </row>
    <row r="590" spans="8:11" ht="15.75" customHeight="1" x14ac:dyDescent="0.25">
      <c r="H590" s="281"/>
      <c r="I590" s="281"/>
      <c r="J590" s="281"/>
      <c r="K590" s="168"/>
    </row>
    <row r="591" spans="8:11" ht="15.75" customHeight="1" x14ac:dyDescent="0.25">
      <c r="H591" s="281"/>
      <c r="I591" s="281"/>
      <c r="J591" s="281"/>
      <c r="K591" s="168"/>
    </row>
    <row r="592" spans="8:11" ht="15.75" customHeight="1" x14ac:dyDescent="0.25">
      <c r="H592" s="281"/>
      <c r="I592" s="281"/>
      <c r="J592" s="281"/>
      <c r="K592" s="168"/>
    </row>
    <row r="593" spans="8:11" ht="15.75" customHeight="1" x14ac:dyDescent="0.25">
      <c r="H593" s="281"/>
      <c r="I593" s="281"/>
      <c r="J593" s="281"/>
      <c r="K593" s="168"/>
    </row>
    <row r="594" spans="8:11" ht="15.75" customHeight="1" x14ac:dyDescent="0.25">
      <c r="H594" s="281"/>
      <c r="I594" s="281"/>
      <c r="J594" s="281"/>
      <c r="K594" s="168"/>
    </row>
    <row r="595" spans="8:11" ht="15.75" customHeight="1" x14ac:dyDescent="0.25">
      <c r="H595" s="281"/>
      <c r="I595" s="281"/>
      <c r="J595" s="281"/>
      <c r="K595" s="168"/>
    </row>
    <row r="596" spans="8:11" ht="15.75" customHeight="1" x14ac:dyDescent="0.25">
      <c r="H596" s="281"/>
      <c r="I596" s="281"/>
      <c r="J596" s="281"/>
      <c r="K596" s="168"/>
    </row>
    <row r="597" spans="8:11" ht="15.75" customHeight="1" x14ac:dyDescent="0.25">
      <c r="H597" s="281"/>
      <c r="I597" s="281"/>
      <c r="J597" s="281"/>
      <c r="K597" s="168"/>
    </row>
    <row r="598" spans="8:11" ht="15.75" customHeight="1" x14ac:dyDescent="0.25">
      <c r="H598" s="281"/>
      <c r="I598" s="281"/>
      <c r="J598" s="281"/>
      <c r="K598" s="168"/>
    </row>
    <row r="599" spans="8:11" ht="15.75" customHeight="1" x14ac:dyDescent="0.25">
      <c r="H599" s="281"/>
      <c r="I599" s="281"/>
      <c r="J599" s="281"/>
      <c r="K599" s="168"/>
    </row>
    <row r="600" spans="8:11" ht="15.75" customHeight="1" x14ac:dyDescent="0.25">
      <c r="H600" s="281"/>
      <c r="I600" s="281"/>
      <c r="J600" s="281"/>
      <c r="K600" s="168"/>
    </row>
    <row r="601" spans="8:11" ht="15.75" customHeight="1" x14ac:dyDescent="0.25">
      <c r="H601" s="281"/>
      <c r="I601" s="281"/>
      <c r="J601" s="281"/>
      <c r="K601" s="168"/>
    </row>
    <row r="602" spans="8:11" ht="15.75" customHeight="1" x14ac:dyDescent="0.25">
      <c r="H602" s="281"/>
      <c r="I602" s="281"/>
      <c r="J602" s="281"/>
      <c r="K602" s="168"/>
    </row>
    <row r="603" spans="8:11" ht="15.75" customHeight="1" x14ac:dyDescent="0.25">
      <c r="H603" s="281"/>
      <c r="I603" s="281"/>
      <c r="J603" s="281"/>
      <c r="K603" s="168"/>
    </row>
    <row r="604" spans="8:11" ht="15.75" customHeight="1" x14ac:dyDescent="0.25">
      <c r="H604" s="281"/>
      <c r="I604" s="281"/>
      <c r="J604" s="281"/>
      <c r="K604" s="168"/>
    </row>
    <row r="605" spans="8:11" ht="15.75" customHeight="1" x14ac:dyDescent="0.25">
      <c r="H605" s="281"/>
      <c r="I605" s="281"/>
      <c r="J605" s="281"/>
      <c r="K605" s="168"/>
    </row>
    <row r="606" spans="8:11" ht="15.75" customHeight="1" x14ac:dyDescent="0.25">
      <c r="H606" s="281"/>
      <c r="I606" s="281"/>
      <c r="J606" s="281"/>
      <c r="K606" s="168"/>
    </row>
    <row r="607" spans="8:11" ht="15.75" customHeight="1" x14ac:dyDescent="0.25">
      <c r="H607" s="281"/>
      <c r="I607" s="281"/>
      <c r="J607" s="281"/>
      <c r="K607" s="168"/>
    </row>
    <row r="608" spans="8:11" ht="15.75" customHeight="1" x14ac:dyDescent="0.25">
      <c r="H608" s="281"/>
      <c r="I608" s="281"/>
      <c r="J608" s="281"/>
      <c r="K608" s="168"/>
    </row>
    <row r="609" spans="8:11" ht="15.75" customHeight="1" x14ac:dyDescent="0.25">
      <c r="H609" s="281"/>
      <c r="I609" s="281"/>
      <c r="J609" s="281"/>
      <c r="K609" s="168"/>
    </row>
    <row r="610" spans="8:11" ht="15.75" customHeight="1" x14ac:dyDescent="0.25">
      <c r="H610" s="281"/>
      <c r="I610" s="281"/>
      <c r="J610" s="281"/>
      <c r="K610" s="168"/>
    </row>
    <row r="611" spans="8:11" ht="15.75" customHeight="1" x14ac:dyDescent="0.25">
      <c r="H611" s="281"/>
      <c r="I611" s="281"/>
      <c r="J611" s="281"/>
      <c r="K611" s="168"/>
    </row>
    <row r="612" spans="8:11" ht="15.75" customHeight="1" x14ac:dyDescent="0.25">
      <c r="H612" s="281"/>
      <c r="I612" s="281"/>
      <c r="J612" s="281"/>
      <c r="K612" s="168"/>
    </row>
    <row r="613" spans="8:11" ht="15.75" customHeight="1" x14ac:dyDescent="0.25">
      <c r="H613" s="281"/>
      <c r="I613" s="281"/>
      <c r="J613" s="281"/>
      <c r="K613" s="168"/>
    </row>
    <row r="614" spans="8:11" ht="15.75" customHeight="1" x14ac:dyDescent="0.25">
      <c r="H614" s="281"/>
      <c r="I614" s="281"/>
      <c r="J614" s="281"/>
      <c r="K614" s="168"/>
    </row>
    <row r="615" spans="8:11" ht="15.75" customHeight="1" x14ac:dyDescent="0.25">
      <c r="H615" s="281"/>
      <c r="I615" s="281"/>
      <c r="J615" s="281"/>
      <c r="K615" s="168"/>
    </row>
    <row r="616" spans="8:11" ht="15.75" customHeight="1" x14ac:dyDescent="0.25">
      <c r="H616" s="281"/>
      <c r="I616" s="281"/>
      <c r="J616" s="281"/>
      <c r="K616" s="168"/>
    </row>
    <row r="617" spans="8:11" ht="15.75" customHeight="1" x14ac:dyDescent="0.25">
      <c r="H617" s="281"/>
      <c r="I617" s="281"/>
      <c r="J617" s="281"/>
      <c r="K617" s="168"/>
    </row>
    <row r="618" spans="8:11" ht="15.75" customHeight="1" x14ac:dyDescent="0.25">
      <c r="H618" s="281"/>
      <c r="I618" s="281"/>
      <c r="J618" s="281"/>
      <c r="K618" s="168"/>
    </row>
    <row r="619" spans="8:11" ht="15.75" customHeight="1" x14ac:dyDescent="0.25">
      <c r="H619" s="281"/>
      <c r="I619" s="281"/>
      <c r="J619" s="281"/>
      <c r="K619" s="168"/>
    </row>
    <row r="620" spans="8:11" ht="15.75" customHeight="1" x14ac:dyDescent="0.25">
      <c r="H620" s="281"/>
      <c r="I620" s="281"/>
      <c r="J620" s="281"/>
      <c r="K620" s="168"/>
    </row>
    <row r="621" spans="8:11" ht="15.75" customHeight="1" x14ac:dyDescent="0.25">
      <c r="H621" s="281"/>
      <c r="I621" s="281"/>
      <c r="J621" s="281"/>
      <c r="K621" s="168"/>
    </row>
    <row r="622" spans="8:11" ht="15.75" customHeight="1" x14ac:dyDescent="0.25">
      <c r="H622" s="281"/>
      <c r="I622" s="281"/>
      <c r="J622" s="281"/>
      <c r="K622" s="168"/>
    </row>
    <row r="623" spans="8:11" ht="15.75" customHeight="1" x14ac:dyDescent="0.25">
      <c r="H623" s="281"/>
      <c r="I623" s="281"/>
      <c r="J623" s="281"/>
      <c r="K623" s="168"/>
    </row>
    <row r="624" spans="8:11" ht="15.75" customHeight="1" x14ac:dyDescent="0.25">
      <c r="H624" s="281"/>
      <c r="I624" s="281"/>
      <c r="J624" s="281"/>
      <c r="K624" s="168"/>
    </row>
    <row r="625" spans="8:11" ht="15.75" customHeight="1" x14ac:dyDescent="0.25">
      <c r="H625" s="281"/>
      <c r="I625" s="281"/>
      <c r="J625" s="281"/>
      <c r="K625" s="168"/>
    </row>
    <row r="626" spans="8:11" ht="15.75" customHeight="1" x14ac:dyDescent="0.25">
      <c r="H626" s="281"/>
      <c r="I626" s="281"/>
      <c r="J626" s="281"/>
      <c r="K626" s="168"/>
    </row>
    <row r="627" spans="8:11" ht="15.75" customHeight="1" x14ac:dyDescent="0.25">
      <c r="H627" s="281"/>
      <c r="I627" s="281"/>
      <c r="J627" s="281"/>
      <c r="K627" s="168"/>
    </row>
    <row r="628" spans="8:11" ht="15.75" customHeight="1" x14ac:dyDescent="0.25">
      <c r="H628" s="281"/>
      <c r="I628" s="281"/>
      <c r="J628" s="281"/>
      <c r="K628" s="168"/>
    </row>
    <row r="629" spans="8:11" ht="15.75" customHeight="1" x14ac:dyDescent="0.25">
      <c r="H629" s="281"/>
      <c r="I629" s="281"/>
      <c r="J629" s="281"/>
      <c r="K629" s="168"/>
    </row>
    <row r="630" spans="8:11" ht="15.75" customHeight="1" x14ac:dyDescent="0.25">
      <c r="H630" s="281"/>
      <c r="I630" s="281"/>
      <c r="J630" s="281"/>
      <c r="K630" s="168"/>
    </row>
    <row r="631" spans="8:11" ht="15.75" customHeight="1" x14ac:dyDescent="0.25">
      <c r="H631" s="281"/>
      <c r="I631" s="281"/>
      <c r="J631" s="281"/>
      <c r="K631" s="168"/>
    </row>
    <row r="632" spans="8:11" ht="15.75" customHeight="1" x14ac:dyDescent="0.25">
      <c r="H632" s="281"/>
      <c r="I632" s="281"/>
      <c r="J632" s="281"/>
      <c r="K632" s="168"/>
    </row>
    <row r="633" spans="8:11" ht="15.75" customHeight="1" x14ac:dyDescent="0.25">
      <c r="H633" s="281"/>
      <c r="I633" s="281"/>
      <c r="J633" s="281"/>
      <c r="K633" s="168"/>
    </row>
    <row r="634" spans="8:11" ht="15.75" customHeight="1" x14ac:dyDescent="0.25">
      <c r="H634" s="281"/>
      <c r="I634" s="281"/>
      <c r="J634" s="281"/>
      <c r="K634" s="168"/>
    </row>
    <row r="635" spans="8:11" ht="15.75" customHeight="1" x14ac:dyDescent="0.25">
      <c r="H635" s="281"/>
      <c r="I635" s="281"/>
      <c r="J635" s="281"/>
      <c r="K635" s="168"/>
    </row>
    <row r="636" spans="8:11" ht="15.75" customHeight="1" x14ac:dyDescent="0.25">
      <c r="H636" s="281"/>
      <c r="I636" s="281"/>
      <c r="J636" s="281"/>
      <c r="K636" s="168"/>
    </row>
    <row r="637" spans="8:11" ht="15.75" customHeight="1" x14ac:dyDescent="0.25">
      <c r="H637" s="281"/>
      <c r="I637" s="281"/>
      <c r="J637" s="281"/>
      <c r="K637" s="168"/>
    </row>
    <row r="638" spans="8:11" ht="15.75" customHeight="1" x14ac:dyDescent="0.25">
      <c r="H638" s="281"/>
      <c r="I638" s="281"/>
      <c r="J638" s="281"/>
      <c r="K638" s="168"/>
    </row>
    <row r="639" spans="8:11" ht="15.75" customHeight="1" x14ac:dyDescent="0.25">
      <c r="H639" s="281"/>
      <c r="I639" s="281"/>
      <c r="J639" s="281"/>
      <c r="K639" s="168"/>
    </row>
    <row r="640" spans="8:11" ht="15.75" customHeight="1" x14ac:dyDescent="0.25">
      <c r="H640" s="281"/>
      <c r="I640" s="281"/>
      <c r="J640" s="281"/>
      <c r="K640" s="168"/>
    </row>
    <row r="641" spans="8:11" ht="15.75" customHeight="1" x14ac:dyDescent="0.25">
      <c r="H641" s="281"/>
      <c r="I641" s="281"/>
      <c r="J641" s="281"/>
      <c r="K641" s="168"/>
    </row>
    <row r="642" spans="8:11" ht="15.75" customHeight="1" x14ac:dyDescent="0.25">
      <c r="H642" s="281"/>
      <c r="I642" s="281"/>
      <c r="J642" s="281"/>
      <c r="K642" s="168"/>
    </row>
    <row r="643" spans="8:11" ht="15.75" customHeight="1" x14ac:dyDescent="0.25">
      <c r="H643" s="281"/>
      <c r="I643" s="281"/>
      <c r="J643" s="281"/>
      <c r="K643" s="168"/>
    </row>
    <row r="644" spans="8:11" ht="15.75" customHeight="1" x14ac:dyDescent="0.25">
      <c r="H644" s="281"/>
      <c r="I644" s="281"/>
      <c r="J644" s="281"/>
      <c r="K644" s="168"/>
    </row>
    <row r="645" spans="8:11" ht="15.75" customHeight="1" x14ac:dyDescent="0.25">
      <c r="H645" s="281"/>
      <c r="I645" s="281"/>
      <c r="J645" s="281"/>
      <c r="K645" s="168"/>
    </row>
    <row r="646" spans="8:11" ht="15.75" customHeight="1" x14ac:dyDescent="0.25">
      <c r="H646" s="281"/>
      <c r="I646" s="281"/>
      <c r="J646" s="281"/>
      <c r="K646" s="168"/>
    </row>
    <row r="647" spans="8:11" ht="15.75" customHeight="1" x14ac:dyDescent="0.25">
      <c r="H647" s="281"/>
      <c r="I647" s="281"/>
      <c r="J647" s="281"/>
      <c r="K647" s="168"/>
    </row>
    <row r="648" spans="8:11" ht="15.75" customHeight="1" x14ac:dyDescent="0.25">
      <c r="H648" s="281"/>
      <c r="I648" s="281"/>
      <c r="J648" s="281"/>
      <c r="K648" s="168"/>
    </row>
    <row r="649" spans="8:11" ht="15.75" customHeight="1" x14ac:dyDescent="0.25">
      <c r="H649" s="281"/>
      <c r="I649" s="281"/>
      <c r="J649" s="281"/>
      <c r="K649" s="168"/>
    </row>
    <row r="650" spans="8:11" ht="15.75" customHeight="1" x14ac:dyDescent="0.25">
      <c r="H650" s="281"/>
      <c r="I650" s="281"/>
      <c r="J650" s="281"/>
      <c r="K650" s="168"/>
    </row>
    <row r="651" spans="8:11" ht="15.75" customHeight="1" x14ac:dyDescent="0.25">
      <c r="H651" s="281"/>
      <c r="I651" s="281"/>
      <c r="J651" s="281"/>
      <c r="K651" s="168"/>
    </row>
    <row r="652" spans="8:11" ht="15.75" customHeight="1" x14ac:dyDescent="0.25">
      <c r="H652" s="281"/>
      <c r="I652" s="281"/>
      <c r="J652" s="281"/>
      <c r="K652" s="168"/>
    </row>
    <row r="653" spans="8:11" ht="15.75" customHeight="1" x14ac:dyDescent="0.25">
      <c r="H653" s="281"/>
      <c r="I653" s="281"/>
      <c r="J653" s="281"/>
      <c r="K653" s="168"/>
    </row>
    <row r="654" spans="8:11" ht="15.75" customHeight="1" x14ac:dyDescent="0.25">
      <c r="H654" s="281"/>
      <c r="I654" s="281"/>
      <c r="J654" s="281"/>
      <c r="K654" s="168"/>
    </row>
    <row r="655" spans="8:11" ht="15.75" customHeight="1" x14ac:dyDescent="0.25">
      <c r="H655" s="281"/>
      <c r="I655" s="281"/>
      <c r="J655" s="281"/>
      <c r="K655" s="168"/>
    </row>
    <row r="656" spans="8:11" ht="15.75" customHeight="1" x14ac:dyDescent="0.25">
      <c r="H656" s="281"/>
      <c r="I656" s="281"/>
      <c r="J656" s="281"/>
      <c r="K656" s="168"/>
    </row>
    <row r="657" spans="8:11" ht="15.75" customHeight="1" x14ac:dyDescent="0.25">
      <c r="H657" s="281"/>
      <c r="I657" s="281"/>
      <c r="J657" s="281"/>
      <c r="K657" s="168"/>
    </row>
    <row r="658" spans="8:11" ht="15.75" customHeight="1" x14ac:dyDescent="0.25">
      <c r="H658" s="281"/>
      <c r="I658" s="281"/>
      <c r="J658" s="281"/>
      <c r="K658" s="168"/>
    </row>
    <row r="659" spans="8:11" ht="15.75" customHeight="1" x14ac:dyDescent="0.25">
      <c r="H659" s="281"/>
      <c r="I659" s="281"/>
      <c r="J659" s="281"/>
      <c r="K659" s="168"/>
    </row>
    <row r="660" spans="8:11" ht="15.75" customHeight="1" x14ac:dyDescent="0.25">
      <c r="H660" s="281"/>
      <c r="I660" s="281"/>
      <c r="J660" s="281"/>
      <c r="K660" s="168"/>
    </row>
    <row r="661" spans="8:11" ht="15.75" customHeight="1" x14ac:dyDescent="0.25">
      <c r="H661" s="281"/>
      <c r="I661" s="281"/>
      <c r="J661" s="281"/>
      <c r="K661" s="168"/>
    </row>
    <row r="662" spans="8:11" ht="15.75" customHeight="1" x14ac:dyDescent="0.25">
      <c r="H662" s="281"/>
      <c r="I662" s="281"/>
      <c r="J662" s="281"/>
      <c r="K662" s="168"/>
    </row>
    <row r="663" spans="8:11" ht="15.75" customHeight="1" x14ac:dyDescent="0.25">
      <c r="H663" s="281"/>
      <c r="I663" s="281"/>
      <c r="J663" s="281"/>
      <c r="K663" s="168"/>
    </row>
    <row r="664" spans="8:11" ht="15.75" customHeight="1" x14ac:dyDescent="0.25">
      <c r="H664" s="281"/>
      <c r="I664" s="281"/>
      <c r="J664" s="281"/>
      <c r="K664" s="168"/>
    </row>
    <row r="665" spans="8:11" ht="15.75" customHeight="1" x14ac:dyDescent="0.25">
      <c r="H665" s="281"/>
      <c r="I665" s="281"/>
      <c r="J665" s="281"/>
      <c r="K665" s="168"/>
    </row>
    <row r="666" spans="8:11" ht="15.75" customHeight="1" x14ac:dyDescent="0.25">
      <c r="H666" s="281"/>
      <c r="I666" s="281"/>
      <c r="J666" s="281"/>
      <c r="K666" s="168"/>
    </row>
    <row r="667" spans="8:11" ht="15.75" customHeight="1" x14ac:dyDescent="0.25">
      <c r="H667" s="281"/>
      <c r="I667" s="281"/>
      <c r="J667" s="281"/>
      <c r="K667" s="168"/>
    </row>
    <row r="668" spans="8:11" ht="15.75" customHeight="1" x14ac:dyDescent="0.25">
      <c r="H668" s="281"/>
      <c r="I668" s="281"/>
      <c r="J668" s="281"/>
      <c r="K668" s="168"/>
    </row>
    <row r="669" spans="8:11" ht="15.75" customHeight="1" x14ac:dyDescent="0.25">
      <c r="H669" s="281"/>
      <c r="I669" s="281"/>
      <c r="J669" s="281"/>
      <c r="K669" s="168"/>
    </row>
    <row r="670" spans="8:11" ht="15.75" customHeight="1" x14ac:dyDescent="0.25">
      <c r="H670" s="281"/>
      <c r="I670" s="281"/>
      <c r="J670" s="281"/>
      <c r="K670" s="168"/>
    </row>
    <row r="671" spans="8:11" ht="15.75" customHeight="1" x14ac:dyDescent="0.25">
      <c r="H671" s="281"/>
      <c r="I671" s="281"/>
      <c r="J671" s="281"/>
      <c r="K671" s="168"/>
    </row>
    <row r="672" spans="8:11" ht="15.75" customHeight="1" x14ac:dyDescent="0.25">
      <c r="H672" s="281"/>
      <c r="I672" s="281"/>
      <c r="J672" s="281"/>
      <c r="K672" s="168"/>
    </row>
    <row r="673" spans="8:11" ht="15.75" customHeight="1" x14ac:dyDescent="0.25">
      <c r="H673" s="281"/>
      <c r="I673" s="281"/>
      <c r="J673" s="281"/>
      <c r="K673" s="168"/>
    </row>
    <row r="674" spans="8:11" ht="15.75" customHeight="1" x14ac:dyDescent="0.25">
      <c r="H674" s="281"/>
      <c r="I674" s="281"/>
      <c r="J674" s="281"/>
      <c r="K674" s="168"/>
    </row>
    <row r="675" spans="8:11" ht="15.75" customHeight="1" x14ac:dyDescent="0.25">
      <c r="H675" s="281"/>
      <c r="I675" s="281"/>
      <c r="J675" s="281"/>
      <c r="K675" s="168"/>
    </row>
    <row r="676" spans="8:11" ht="15.75" customHeight="1" x14ac:dyDescent="0.25">
      <c r="H676" s="281"/>
      <c r="I676" s="281"/>
      <c r="J676" s="281"/>
      <c r="K676" s="168"/>
    </row>
    <row r="677" spans="8:11" ht="15.75" customHeight="1" x14ac:dyDescent="0.25">
      <c r="H677" s="281"/>
      <c r="I677" s="281"/>
      <c r="J677" s="281"/>
      <c r="K677" s="168"/>
    </row>
    <row r="678" spans="8:11" ht="15.75" customHeight="1" x14ac:dyDescent="0.25">
      <c r="H678" s="281"/>
      <c r="I678" s="281"/>
      <c r="J678" s="281"/>
      <c r="K678" s="168"/>
    </row>
    <row r="679" spans="8:11" ht="15.75" customHeight="1" x14ac:dyDescent="0.25">
      <c r="H679" s="281"/>
      <c r="I679" s="281"/>
      <c r="J679" s="281"/>
      <c r="K679" s="168"/>
    </row>
    <row r="680" spans="8:11" ht="15.75" customHeight="1" x14ac:dyDescent="0.25">
      <c r="H680" s="281"/>
      <c r="I680" s="281"/>
      <c r="J680" s="281"/>
      <c r="K680" s="168"/>
    </row>
    <row r="681" spans="8:11" ht="15.75" customHeight="1" x14ac:dyDescent="0.25">
      <c r="H681" s="281"/>
      <c r="I681" s="281"/>
      <c r="J681" s="281"/>
      <c r="K681" s="168"/>
    </row>
    <row r="682" spans="8:11" ht="15.75" customHeight="1" x14ac:dyDescent="0.25">
      <c r="H682" s="281"/>
      <c r="I682" s="281"/>
      <c r="J682" s="281"/>
      <c r="K682" s="168"/>
    </row>
    <row r="683" spans="8:11" ht="15.75" customHeight="1" x14ac:dyDescent="0.25">
      <c r="H683" s="281"/>
      <c r="I683" s="281"/>
      <c r="J683" s="281"/>
      <c r="K683" s="168"/>
    </row>
    <row r="684" spans="8:11" ht="15.75" customHeight="1" x14ac:dyDescent="0.25">
      <c r="H684" s="281"/>
      <c r="I684" s="281"/>
      <c r="J684" s="281"/>
      <c r="K684" s="168"/>
    </row>
    <row r="685" spans="8:11" ht="15.75" customHeight="1" x14ac:dyDescent="0.25">
      <c r="H685" s="281"/>
      <c r="I685" s="281"/>
      <c r="J685" s="281"/>
      <c r="K685" s="168"/>
    </row>
    <row r="686" spans="8:11" ht="15.75" customHeight="1" x14ac:dyDescent="0.25">
      <c r="H686" s="281"/>
      <c r="I686" s="281"/>
      <c r="J686" s="281"/>
      <c r="K686" s="168"/>
    </row>
    <row r="687" spans="8:11" ht="15.75" customHeight="1" x14ac:dyDescent="0.25">
      <c r="H687" s="281"/>
      <c r="I687" s="281"/>
      <c r="J687" s="281"/>
      <c r="K687" s="168"/>
    </row>
    <row r="688" spans="8:11" ht="15.75" customHeight="1" x14ac:dyDescent="0.25">
      <c r="H688" s="281"/>
      <c r="I688" s="281"/>
      <c r="J688" s="281"/>
      <c r="K688" s="168"/>
    </row>
    <row r="689" spans="8:11" ht="15.75" customHeight="1" x14ac:dyDescent="0.25">
      <c r="H689" s="281"/>
      <c r="I689" s="281"/>
      <c r="J689" s="281"/>
      <c r="K689" s="168"/>
    </row>
    <row r="690" spans="8:11" ht="15.75" customHeight="1" x14ac:dyDescent="0.25">
      <c r="H690" s="281"/>
      <c r="I690" s="281"/>
      <c r="J690" s="281"/>
      <c r="K690" s="168"/>
    </row>
    <row r="691" spans="8:11" ht="15.75" customHeight="1" x14ac:dyDescent="0.25">
      <c r="H691" s="281"/>
      <c r="I691" s="281"/>
      <c r="J691" s="281"/>
      <c r="K691" s="168"/>
    </row>
    <row r="692" spans="8:11" ht="15.75" customHeight="1" x14ac:dyDescent="0.25">
      <c r="H692" s="281"/>
      <c r="I692" s="281"/>
      <c r="J692" s="281"/>
      <c r="K692" s="168"/>
    </row>
    <row r="693" spans="8:11" ht="15.75" customHeight="1" x14ac:dyDescent="0.25">
      <c r="H693" s="281"/>
      <c r="I693" s="281"/>
      <c r="J693" s="281"/>
      <c r="K693" s="168"/>
    </row>
    <row r="694" spans="8:11" ht="15.75" customHeight="1" x14ac:dyDescent="0.25">
      <c r="H694" s="281"/>
      <c r="I694" s="281"/>
      <c r="J694" s="281"/>
      <c r="K694" s="168"/>
    </row>
    <row r="695" spans="8:11" ht="15.75" customHeight="1" x14ac:dyDescent="0.25">
      <c r="H695" s="281"/>
      <c r="I695" s="281"/>
      <c r="J695" s="281"/>
      <c r="K695" s="168"/>
    </row>
    <row r="696" spans="8:11" ht="15.75" customHeight="1" x14ac:dyDescent="0.25">
      <c r="H696" s="281"/>
      <c r="I696" s="281"/>
      <c r="J696" s="281"/>
      <c r="K696" s="168"/>
    </row>
    <row r="697" spans="8:11" ht="15.75" customHeight="1" x14ac:dyDescent="0.25">
      <c r="H697" s="281"/>
      <c r="I697" s="281"/>
      <c r="J697" s="281"/>
      <c r="K697" s="168"/>
    </row>
    <row r="698" spans="8:11" ht="15.75" customHeight="1" x14ac:dyDescent="0.25">
      <c r="H698" s="281"/>
      <c r="I698" s="281"/>
      <c r="J698" s="281"/>
      <c r="K698" s="168"/>
    </row>
    <row r="699" spans="8:11" ht="15.75" customHeight="1" x14ac:dyDescent="0.25">
      <c r="H699" s="281"/>
      <c r="I699" s="281"/>
      <c r="J699" s="281"/>
      <c r="K699" s="168"/>
    </row>
    <row r="700" spans="8:11" ht="15.75" customHeight="1" x14ac:dyDescent="0.25">
      <c r="H700" s="281"/>
      <c r="I700" s="281"/>
      <c r="J700" s="281"/>
      <c r="K700" s="168"/>
    </row>
    <row r="701" spans="8:11" ht="15.75" customHeight="1" x14ac:dyDescent="0.25">
      <c r="H701" s="281"/>
      <c r="I701" s="281"/>
      <c r="J701" s="281"/>
      <c r="K701" s="168"/>
    </row>
    <row r="702" spans="8:11" ht="15.75" customHeight="1" x14ac:dyDescent="0.25">
      <c r="H702" s="281"/>
      <c r="I702" s="281"/>
      <c r="J702" s="281"/>
      <c r="K702" s="168"/>
    </row>
    <row r="703" spans="8:11" ht="15.75" customHeight="1" x14ac:dyDescent="0.25">
      <c r="H703" s="281"/>
      <c r="I703" s="281"/>
      <c r="J703" s="281"/>
      <c r="K703" s="168"/>
    </row>
    <row r="704" spans="8:11" ht="15.75" customHeight="1" x14ac:dyDescent="0.25">
      <c r="H704" s="281"/>
      <c r="I704" s="281"/>
      <c r="J704" s="281"/>
      <c r="K704" s="168"/>
    </row>
    <row r="705" spans="8:11" ht="15.75" customHeight="1" x14ac:dyDescent="0.25">
      <c r="H705" s="281"/>
      <c r="I705" s="281"/>
      <c r="J705" s="281"/>
      <c r="K705" s="168"/>
    </row>
    <row r="706" spans="8:11" ht="15.75" customHeight="1" x14ac:dyDescent="0.25">
      <c r="H706" s="281"/>
      <c r="I706" s="281"/>
      <c r="J706" s="281"/>
      <c r="K706" s="168"/>
    </row>
    <row r="707" spans="8:11" ht="15.75" customHeight="1" x14ac:dyDescent="0.25">
      <c r="H707" s="281"/>
      <c r="I707" s="281"/>
      <c r="J707" s="281"/>
      <c r="K707" s="168"/>
    </row>
    <row r="708" spans="8:11" ht="15.75" customHeight="1" x14ac:dyDescent="0.25">
      <c r="H708" s="281"/>
      <c r="I708" s="281"/>
      <c r="J708" s="281"/>
      <c r="K708" s="168"/>
    </row>
    <row r="709" spans="8:11" ht="15.75" customHeight="1" x14ac:dyDescent="0.25">
      <c r="H709" s="281"/>
      <c r="I709" s="281"/>
      <c r="J709" s="281"/>
      <c r="K709" s="168"/>
    </row>
    <row r="710" spans="8:11" ht="15.75" customHeight="1" x14ac:dyDescent="0.25">
      <c r="H710" s="281"/>
      <c r="I710" s="281"/>
      <c r="J710" s="281"/>
      <c r="K710" s="168"/>
    </row>
    <row r="711" spans="8:11" ht="15.75" customHeight="1" x14ac:dyDescent="0.25">
      <c r="H711" s="281"/>
      <c r="I711" s="281"/>
      <c r="J711" s="281"/>
      <c r="K711" s="168"/>
    </row>
    <row r="712" spans="8:11" ht="15.75" customHeight="1" x14ac:dyDescent="0.25">
      <c r="H712" s="281"/>
      <c r="I712" s="281"/>
      <c r="J712" s="281"/>
      <c r="K712" s="168"/>
    </row>
    <row r="713" spans="8:11" ht="15.75" customHeight="1" x14ac:dyDescent="0.25">
      <c r="H713" s="281"/>
      <c r="I713" s="281"/>
      <c r="J713" s="281"/>
      <c r="K713" s="168"/>
    </row>
    <row r="714" spans="8:11" ht="15.75" customHeight="1" x14ac:dyDescent="0.25">
      <c r="H714" s="281"/>
      <c r="I714" s="281"/>
      <c r="J714" s="281"/>
      <c r="K714" s="168"/>
    </row>
    <row r="715" spans="8:11" ht="15.75" customHeight="1" x14ac:dyDescent="0.25">
      <c r="H715" s="281"/>
      <c r="I715" s="281"/>
      <c r="J715" s="281"/>
      <c r="K715" s="168"/>
    </row>
    <row r="716" spans="8:11" ht="15.75" customHeight="1" x14ac:dyDescent="0.25">
      <c r="H716" s="281"/>
      <c r="I716" s="281"/>
      <c r="J716" s="281"/>
      <c r="K716" s="168"/>
    </row>
    <row r="717" spans="8:11" ht="15.75" customHeight="1" x14ac:dyDescent="0.25">
      <c r="H717" s="281"/>
      <c r="I717" s="281"/>
      <c r="J717" s="281"/>
      <c r="K717" s="168"/>
    </row>
    <row r="718" spans="8:11" ht="15.75" customHeight="1" x14ac:dyDescent="0.25">
      <c r="H718" s="281"/>
      <c r="I718" s="281"/>
      <c r="J718" s="281"/>
      <c r="K718" s="168"/>
    </row>
    <row r="719" spans="8:11" ht="15.75" customHeight="1" x14ac:dyDescent="0.25">
      <c r="H719" s="281"/>
      <c r="I719" s="281"/>
      <c r="J719" s="281"/>
      <c r="K719" s="168"/>
    </row>
    <row r="720" spans="8:11" ht="15.75" customHeight="1" x14ac:dyDescent="0.25">
      <c r="H720" s="281"/>
      <c r="I720" s="281"/>
      <c r="J720" s="281"/>
      <c r="K720" s="168"/>
    </row>
    <row r="721" spans="8:11" ht="15.75" customHeight="1" x14ac:dyDescent="0.25">
      <c r="H721" s="281"/>
      <c r="I721" s="281"/>
      <c r="J721" s="281"/>
      <c r="K721" s="168"/>
    </row>
    <row r="722" spans="8:11" ht="15.75" customHeight="1" x14ac:dyDescent="0.25">
      <c r="H722" s="281"/>
      <c r="I722" s="281"/>
      <c r="J722" s="281"/>
      <c r="K722" s="168"/>
    </row>
    <row r="723" spans="8:11" ht="15.75" customHeight="1" x14ac:dyDescent="0.25">
      <c r="H723" s="281"/>
      <c r="I723" s="281"/>
      <c r="J723" s="281"/>
      <c r="K723" s="168"/>
    </row>
    <row r="724" spans="8:11" ht="15.75" customHeight="1" x14ac:dyDescent="0.25">
      <c r="H724" s="281"/>
      <c r="I724" s="281"/>
      <c r="J724" s="281"/>
      <c r="K724" s="168"/>
    </row>
    <row r="725" spans="8:11" ht="15.75" customHeight="1" x14ac:dyDescent="0.25">
      <c r="H725" s="281"/>
      <c r="I725" s="281"/>
      <c r="J725" s="281"/>
      <c r="K725" s="168"/>
    </row>
    <row r="726" spans="8:11" ht="15.75" customHeight="1" x14ac:dyDescent="0.25">
      <c r="H726" s="281"/>
      <c r="I726" s="281"/>
      <c r="J726" s="281"/>
      <c r="K726" s="168"/>
    </row>
    <row r="727" spans="8:11" ht="15.75" customHeight="1" x14ac:dyDescent="0.25">
      <c r="H727" s="281"/>
      <c r="I727" s="281"/>
      <c r="J727" s="281"/>
      <c r="K727" s="168"/>
    </row>
    <row r="728" spans="8:11" ht="15.75" customHeight="1" x14ac:dyDescent="0.25">
      <c r="H728" s="281"/>
      <c r="I728" s="281"/>
      <c r="J728" s="281"/>
      <c r="K728" s="168"/>
    </row>
    <row r="729" spans="8:11" ht="15.75" customHeight="1" x14ac:dyDescent="0.25">
      <c r="H729" s="281"/>
      <c r="I729" s="281"/>
      <c r="J729" s="281"/>
      <c r="K729" s="168"/>
    </row>
    <row r="730" spans="8:11" ht="15.75" customHeight="1" x14ac:dyDescent="0.25">
      <c r="H730" s="281"/>
      <c r="I730" s="281"/>
      <c r="J730" s="281"/>
      <c r="K730" s="168"/>
    </row>
    <row r="731" spans="8:11" ht="15.75" customHeight="1" x14ac:dyDescent="0.25">
      <c r="H731" s="281"/>
      <c r="I731" s="281"/>
      <c r="J731" s="281"/>
      <c r="K731" s="168"/>
    </row>
    <row r="732" spans="8:11" ht="15.75" customHeight="1" x14ac:dyDescent="0.25">
      <c r="H732" s="281"/>
      <c r="I732" s="281"/>
      <c r="J732" s="281"/>
      <c r="K732" s="168"/>
    </row>
    <row r="733" spans="8:11" ht="15.75" customHeight="1" x14ac:dyDescent="0.25">
      <c r="H733" s="281"/>
      <c r="I733" s="281"/>
      <c r="J733" s="281"/>
      <c r="K733" s="168"/>
    </row>
    <row r="734" spans="8:11" ht="15.75" customHeight="1" x14ac:dyDescent="0.25">
      <c r="H734" s="281"/>
      <c r="I734" s="281"/>
      <c r="J734" s="281"/>
      <c r="K734" s="168"/>
    </row>
    <row r="735" spans="8:11" ht="15.75" customHeight="1" x14ac:dyDescent="0.25">
      <c r="H735" s="281"/>
      <c r="I735" s="281"/>
      <c r="J735" s="281"/>
      <c r="K735" s="168"/>
    </row>
    <row r="736" spans="8:11" ht="15.75" customHeight="1" x14ac:dyDescent="0.25">
      <c r="H736" s="281"/>
      <c r="I736" s="281"/>
      <c r="J736" s="281"/>
      <c r="K736" s="168"/>
    </row>
    <row r="737" spans="8:11" ht="15.75" customHeight="1" x14ac:dyDescent="0.25">
      <c r="H737" s="281"/>
      <c r="I737" s="281"/>
      <c r="J737" s="281"/>
      <c r="K737" s="168"/>
    </row>
    <row r="738" spans="8:11" ht="15.75" customHeight="1" x14ac:dyDescent="0.25">
      <c r="H738" s="281"/>
      <c r="I738" s="281"/>
      <c r="J738" s="281"/>
      <c r="K738" s="168"/>
    </row>
    <row r="739" spans="8:11" ht="15.75" customHeight="1" x14ac:dyDescent="0.25">
      <c r="H739" s="281"/>
      <c r="I739" s="281"/>
      <c r="J739" s="281"/>
      <c r="K739" s="168"/>
    </row>
    <row r="740" spans="8:11" ht="15.75" customHeight="1" x14ac:dyDescent="0.25">
      <c r="H740" s="281"/>
      <c r="I740" s="281"/>
      <c r="J740" s="281"/>
      <c r="K740" s="168"/>
    </row>
    <row r="741" spans="8:11" ht="15.75" customHeight="1" x14ac:dyDescent="0.25">
      <c r="H741" s="281"/>
      <c r="I741" s="281"/>
      <c r="J741" s="281"/>
      <c r="K741" s="168"/>
    </row>
    <row r="742" spans="8:11" ht="15.75" customHeight="1" x14ac:dyDescent="0.25">
      <c r="H742" s="281"/>
      <c r="I742" s="281"/>
      <c r="J742" s="281"/>
      <c r="K742" s="168"/>
    </row>
    <row r="743" spans="8:11" ht="15.75" customHeight="1" x14ac:dyDescent="0.25">
      <c r="H743" s="281"/>
      <c r="I743" s="281"/>
      <c r="J743" s="281"/>
      <c r="K743" s="168"/>
    </row>
    <row r="744" spans="8:11" ht="15.75" customHeight="1" x14ac:dyDescent="0.25">
      <c r="H744" s="281"/>
      <c r="I744" s="281"/>
      <c r="J744" s="281"/>
      <c r="K744" s="168"/>
    </row>
    <row r="745" spans="8:11" ht="15.75" customHeight="1" x14ac:dyDescent="0.25">
      <c r="H745" s="281"/>
      <c r="I745" s="281"/>
      <c r="J745" s="281"/>
      <c r="K745" s="168"/>
    </row>
    <row r="746" spans="8:11" ht="15.75" customHeight="1" x14ac:dyDescent="0.25">
      <c r="H746" s="281"/>
      <c r="I746" s="281"/>
      <c r="J746" s="281"/>
      <c r="K746" s="168"/>
    </row>
    <row r="747" spans="8:11" ht="15.75" customHeight="1" x14ac:dyDescent="0.25">
      <c r="H747" s="281"/>
      <c r="I747" s="281"/>
      <c r="J747" s="281"/>
      <c r="K747" s="168"/>
    </row>
    <row r="748" spans="8:11" ht="15.75" customHeight="1" x14ac:dyDescent="0.25">
      <c r="H748" s="281"/>
      <c r="I748" s="281"/>
      <c r="J748" s="281"/>
      <c r="K748" s="168"/>
    </row>
    <row r="749" spans="8:11" ht="15.75" customHeight="1" x14ac:dyDescent="0.25">
      <c r="H749" s="281"/>
      <c r="I749" s="281"/>
      <c r="J749" s="281"/>
      <c r="K749" s="168"/>
    </row>
    <row r="750" spans="8:11" ht="15.75" customHeight="1" x14ac:dyDescent="0.25">
      <c r="H750" s="281"/>
      <c r="I750" s="281"/>
      <c r="J750" s="281"/>
      <c r="K750" s="168"/>
    </row>
    <row r="751" spans="8:11" ht="15.75" customHeight="1" x14ac:dyDescent="0.25">
      <c r="H751" s="281"/>
      <c r="I751" s="281"/>
      <c r="J751" s="281"/>
      <c r="K751" s="168"/>
    </row>
    <row r="752" spans="8:11" ht="15.75" customHeight="1" x14ac:dyDescent="0.25">
      <c r="H752" s="281"/>
      <c r="I752" s="281"/>
      <c r="J752" s="281"/>
      <c r="K752" s="168"/>
    </row>
    <row r="753" spans="8:11" ht="15.75" customHeight="1" x14ac:dyDescent="0.25">
      <c r="H753" s="281"/>
      <c r="I753" s="281"/>
      <c r="J753" s="281"/>
      <c r="K753" s="168"/>
    </row>
    <row r="754" spans="8:11" ht="15.75" customHeight="1" x14ac:dyDescent="0.25">
      <c r="H754" s="281"/>
      <c r="I754" s="281"/>
      <c r="J754" s="281"/>
      <c r="K754" s="168"/>
    </row>
    <row r="755" spans="8:11" ht="15.75" customHeight="1" x14ac:dyDescent="0.25">
      <c r="H755" s="281"/>
      <c r="I755" s="281"/>
      <c r="J755" s="281"/>
      <c r="K755" s="168"/>
    </row>
    <row r="756" spans="8:11" ht="15.75" customHeight="1" x14ac:dyDescent="0.25">
      <c r="H756" s="281"/>
      <c r="I756" s="281"/>
      <c r="J756" s="281"/>
      <c r="K756" s="168"/>
    </row>
    <row r="757" spans="8:11" ht="15.75" customHeight="1" x14ac:dyDescent="0.25">
      <c r="H757" s="281"/>
      <c r="I757" s="281"/>
      <c r="J757" s="281"/>
      <c r="K757" s="168"/>
    </row>
    <row r="758" spans="8:11" ht="15.75" customHeight="1" x14ac:dyDescent="0.25">
      <c r="H758" s="281"/>
      <c r="I758" s="281"/>
      <c r="J758" s="281"/>
      <c r="K758" s="168"/>
    </row>
    <row r="759" spans="8:11" ht="15.75" customHeight="1" x14ac:dyDescent="0.25">
      <c r="H759" s="281"/>
      <c r="I759" s="281"/>
      <c r="J759" s="281"/>
      <c r="K759" s="168"/>
    </row>
    <row r="760" spans="8:11" ht="15.75" customHeight="1" x14ac:dyDescent="0.25">
      <c r="H760" s="281"/>
      <c r="I760" s="281"/>
      <c r="J760" s="281"/>
      <c r="K760" s="168"/>
    </row>
    <row r="761" spans="8:11" ht="15.75" customHeight="1" x14ac:dyDescent="0.25">
      <c r="H761" s="281"/>
      <c r="I761" s="281"/>
      <c r="J761" s="281"/>
      <c r="K761" s="168"/>
    </row>
    <row r="762" spans="8:11" ht="15.75" customHeight="1" x14ac:dyDescent="0.25">
      <c r="H762" s="281"/>
      <c r="I762" s="281"/>
      <c r="J762" s="281"/>
      <c r="K762" s="168"/>
    </row>
    <row r="763" spans="8:11" ht="15.75" customHeight="1" x14ac:dyDescent="0.25">
      <c r="H763" s="281"/>
      <c r="I763" s="281"/>
      <c r="J763" s="281"/>
      <c r="K763" s="168"/>
    </row>
    <row r="764" spans="8:11" ht="15.75" customHeight="1" x14ac:dyDescent="0.25">
      <c r="H764" s="281"/>
      <c r="I764" s="281"/>
      <c r="J764" s="281"/>
      <c r="K764" s="168"/>
    </row>
    <row r="765" spans="8:11" ht="15.75" customHeight="1" x14ac:dyDescent="0.25">
      <c r="H765" s="281"/>
      <c r="I765" s="281"/>
      <c r="J765" s="281"/>
      <c r="K765" s="168"/>
    </row>
    <row r="766" spans="8:11" ht="15.75" customHeight="1" x14ac:dyDescent="0.25">
      <c r="H766" s="281"/>
      <c r="I766" s="281"/>
      <c r="J766" s="281"/>
      <c r="K766" s="168"/>
    </row>
    <row r="767" spans="8:11" ht="15.75" customHeight="1" x14ac:dyDescent="0.25">
      <c r="H767" s="281"/>
      <c r="I767" s="281"/>
      <c r="J767" s="281"/>
      <c r="K767" s="168"/>
    </row>
    <row r="768" spans="8:11" ht="15.75" customHeight="1" x14ac:dyDescent="0.25">
      <c r="H768" s="281"/>
      <c r="I768" s="281"/>
      <c r="J768" s="281"/>
      <c r="K768" s="168"/>
    </row>
    <row r="769" spans="8:11" ht="15.75" customHeight="1" x14ac:dyDescent="0.25">
      <c r="H769" s="281"/>
      <c r="I769" s="281"/>
      <c r="J769" s="281"/>
      <c r="K769" s="168"/>
    </row>
    <row r="770" spans="8:11" ht="15.75" customHeight="1" x14ac:dyDescent="0.25">
      <c r="H770" s="281"/>
      <c r="I770" s="281"/>
      <c r="J770" s="281"/>
      <c r="K770" s="168"/>
    </row>
    <row r="771" spans="8:11" ht="15.75" customHeight="1" x14ac:dyDescent="0.25">
      <c r="H771" s="281"/>
      <c r="I771" s="281"/>
      <c r="J771" s="281"/>
      <c r="K771" s="168"/>
    </row>
    <row r="772" spans="8:11" ht="15.75" customHeight="1" x14ac:dyDescent="0.25">
      <c r="H772" s="281"/>
      <c r="I772" s="281"/>
      <c r="J772" s="281"/>
      <c r="K772" s="168"/>
    </row>
    <row r="773" spans="8:11" ht="15.75" customHeight="1" x14ac:dyDescent="0.25">
      <c r="H773" s="281"/>
      <c r="I773" s="281"/>
      <c r="J773" s="281"/>
      <c r="K773" s="168"/>
    </row>
    <row r="774" spans="8:11" ht="15.75" customHeight="1" x14ac:dyDescent="0.25">
      <c r="H774" s="281"/>
      <c r="I774" s="281"/>
      <c r="J774" s="281"/>
      <c r="K774" s="168"/>
    </row>
    <row r="775" spans="8:11" ht="15.75" customHeight="1" x14ac:dyDescent="0.25">
      <c r="H775" s="281"/>
      <c r="I775" s="281"/>
      <c r="J775" s="281"/>
      <c r="K775" s="168"/>
    </row>
    <row r="776" spans="8:11" ht="15.75" customHeight="1" x14ac:dyDescent="0.25">
      <c r="H776" s="281"/>
      <c r="I776" s="281"/>
      <c r="J776" s="281"/>
      <c r="K776" s="168"/>
    </row>
    <row r="777" spans="8:11" ht="15.75" customHeight="1" x14ac:dyDescent="0.25">
      <c r="H777" s="281"/>
      <c r="I777" s="281"/>
      <c r="J777" s="281"/>
      <c r="K777" s="168"/>
    </row>
    <row r="778" spans="8:11" ht="15.75" customHeight="1" x14ac:dyDescent="0.25">
      <c r="H778" s="281"/>
      <c r="I778" s="281"/>
      <c r="J778" s="281"/>
      <c r="K778" s="168"/>
    </row>
    <row r="779" spans="8:11" ht="15.75" customHeight="1" x14ac:dyDescent="0.25">
      <c r="H779" s="281"/>
      <c r="I779" s="281"/>
      <c r="J779" s="281"/>
      <c r="K779" s="168"/>
    </row>
    <row r="780" spans="8:11" ht="15.75" customHeight="1" x14ac:dyDescent="0.25">
      <c r="H780" s="281"/>
      <c r="I780" s="281"/>
      <c r="J780" s="281"/>
      <c r="K780" s="168"/>
    </row>
    <row r="781" spans="8:11" ht="15.75" customHeight="1" x14ac:dyDescent="0.25">
      <c r="H781" s="281"/>
      <c r="I781" s="281"/>
      <c r="J781" s="281"/>
      <c r="K781" s="168"/>
    </row>
    <row r="782" spans="8:11" ht="15.75" customHeight="1" x14ac:dyDescent="0.25">
      <c r="H782" s="281"/>
      <c r="I782" s="281"/>
      <c r="J782" s="281"/>
      <c r="K782" s="168"/>
    </row>
    <row r="783" spans="8:11" ht="15.75" customHeight="1" x14ac:dyDescent="0.25">
      <c r="H783" s="281"/>
      <c r="I783" s="281"/>
      <c r="J783" s="281"/>
      <c r="K783" s="168"/>
    </row>
    <row r="784" spans="8:11" ht="15.75" customHeight="1" x14ac:dyDescent="0.25">
      <c r="H784" s="281"/>
      <c r="I784" s="281"/>
      <c r="J784" s="281"/>
      <c r="K784" s="168"/>
    </row>
    <row r="785" spans="8:11" ht="15.75" customHeight="1" x14ac:dyDescent="0.25">
      <c r="H785" s="281"/>
      <c r="I785" s="281"/>
      <c r="J785" s="281"/>
      <c r="K785" s="168"/>
    </row>
    <row r="786" spans="8:11" ht="15.75" customHeight="1" x14ac:dyDescent="0.25">
      <c r="H786" s="281"/>
      <c r="I786" s="281"/>
      <c r="J786" s="281"/>
      <c r="K786" s="168"/>
    </row>
    <row r="787" spans="8:11" ht="15.75" customHeight="1" x14ac:dyDescent="0.25">
      <c r="H787" s="281"/>
      <c r="I787" s="281"/>
      <c r="J787" s="281"/>
      <c r="K787" s="168"/>
    </row>
    <row r="788" spans="8:11" ht="15.75" customHeight="1" x14ac:dyDescent="0.25">
      <c r="H788" s="281"/>
      <c r="I788" s="281"/>
      <c r="J788" s="281"/>
      <c r="K788" s="168"/>
    </row>
    <row r="789" spans="8:11" ht="15.75" customHeight="1" x14ac:dyDescent="0.25">
      <c r="H789" s="281"/>
      <c r="I789" s="281"/>
      <c r="J789" s="281"/>
      <c r="K789" s="168"/>
    </row>
    <row r="790" spans="8:11" ht="15.75" customHeight="1" x14ac:dyDescent="0.25">
      <c r="H790" s="281"/>
      <c r="I790" s="281"/>
      <c r="J790" s="281"/>
      <c r="K790" s="168"/>
    </row>
    <row r="791" spans="8:11" ht="15.75" customHeight="1" x14ac:dyDescent="0.25">
      <c r="H791" s="281"/>
      <c r="I791" s="281"/>
      <c r="J791" s="281"/>
      <c r="K791" s="168"/>
    </row>
    <row r="792" spans="8:11" ht="15.75" customHeight="1" x14ac:dyDescent="0.25">
      <c r="H792" s="281"/>
      <c r="I792" s="281"/>
      <c r="J792" s="281"/>
      <c r="K792" s="168"/>
    </row>
    <row r="793" spans="8:11" ht="15.75" customHeight="1" x14ac:dyDescent="0.25">
      <c r="H793" s="281"/>
      <c r="I793" s="281"/>
      <c r="J793" s="281"/>
      <c r="K793" s="168"/>
    </row>
    <row r="794" spans="8:11" ht="15.75" customHeight="1" x14ac:dyDescent="0.25">
      <c r="H794" s="281"/>
      <c r="I794" s="281"/>
      <c r="J794" s="281"/>
      <c r="K794" s="168"/>
    </row>
    <row r="795" spans="8:11" ht="15.75" customHeight="1" x14ac:dyDescent="0.25">
      <c r="H795" s="281"/>
      <c r="I795" s="281"/>
      <c r="J795" s="281"/>
      <c r="K795" s="168"/>
    </row>
    <row r="796" spans="8:11" ht="15.75" customHeight="1" x14ac:dyDescent="0.25">
      <c r="H796" s="281"/>
      <c r="I796" s="281"/>
      <c r="J796" s="281"/>
      <c r="K796" s="168"/>
    </row>
    <row r="797" spans="8:11" ht="15.75" customHeight="1" x14ac:dyDescent="0.25">
      <c r="H797" s="281"/>
      <c r="I797" s="281"/>
      <c r="J797" s="281"/>
      <c r="K797" s="168"/>
    </row>
    <row r="798" spans="8:11" ht="15.75" customHeight="1" x14ac:dyDescent="0.25">
      <c r="H798" s="281"/>
      <c r="I798" s="281"/>
      <c r="J798" s="281"/>
      <c r="K798" s="168"/>
    </row>
    <row r="799" spans="8:11" ht="15.75" customHeight="1" x14ac:dyDescent="0.25">
      <c r="H799" s="281"/>
      <c r="I799" s="281"/>
      <c r="J799" s="281"/>
      <c r="K799" s="168"/>
    </row>
    <row r="800" spans="8:11" ht="15.75" customHeight="1" x14ac:dyDescent="0.25">
      <c r="H800" s="281"/>
      <c r="I800" s="281"/>
      <c r="J800" s="281"/>
      <c r="K800" s="168"/>
    </row>
    <row r="801" spans="8:11" ht="15.75" customHeight="1" x14ac:dyDescent="0.25">
      <c r="H801" s="281"/>
      <c r="I801" s="281"/>
      <c r="J801" s="281"/>
      <c r="K801" s="168"/>
    </row>
    <row r="802" spans="8:11" ht="15.75" customHeight="1" x14ac:dyDescent="0.25">
      <c r="H802" s="281"/>
      <c r="I802" s="281"/>
      <c r="J802" s="281"/>
      <c r="K802" s="168"/>
    </row>
    <row r="803" spans="8:11" ht="15.75" customHeight="1" x14ac:dyDescent="0.25">
      <c r="H803" s="281"/>
      <c r="I803" s="281"/>
      <c r="J803" s="281"/>
      <c r="K803" s="168"/>
    </row>
    <row r="804" spans="8:11" ht="15.75" customHeight="1" x14ac:dyDescent="0.25">
      <c r="H804" s="281"/>
      <c r="I804" s="281"/>
      <c r="J804" s="281"/>
      <c r="K804" s="168"/>
    </row>
    <row r="805" spans="8:11" ht="15.75" customHeight="1" x14ac:dyDescent="0.25">
      <c r="H805" s="281"/>
      <c r="I805" s="281"/>
      <c r="J805" s="281"/>
      <c r="K805" s="168"/>
    </row>
    <row r="806" spans="8:11" ht="15.75" customHeight="1" x14ac:dyDescent="0.25">
      <c r="H806" s="281"/>
      <c r="I806" s="281"/>
      <c r="J806" s="281"/>
      <c r="K806" s="168"/>
    </row>
    <row r="807" spans="8:11" ht="15.75" customHeight="1" x14ac:dyDescent="0.25">
      <c r="H807" s="281"/>
      <c r="I807" s="281"/>
      <c r="J807" s="281"/>
      <c r="K807" s="168"/>
    </row>
    <row r="808" spans="8:11" ht="15.75" customHeight="1" x14ac:dyDescent="0.25">
      <c r="H808" s="281"/>
      <c r="I808" s="281"/>
      <c r="J808" s="281"/>
      <c r="K808" s="168"/>
    </row>
    <row r="809" spans="8:11" ht="15.75" customHeight="1" x14ac:dyDescent="0.25">
      <c r="H809" s="281"/>
      <c r="I809" s="281"/>
      <c r="J809" s="281"/>
      <c r="K809" s="168"/>
    </row>
    <row r="810" spans="8:11" ht="15.75" customHeight="1" x14ac:dyDescent="0.25">
      <c r="H810" s="281"/>
      <c r="I810" s="281"/>
      <c r="J810" s="281"/>
      <c r="K810" s="168"/>
    </row>
    <row r="811" spans="8:11" ht="15.75" customHeight="1" x14ac:dyDescent="0.25">
      <c r="H811" s="281"/>
      <c r="I811" s="281"/>
      <c r="J811" s="281"/>
      <c r="K811" s="168"/>
    </row>
    <row r="812" spans="8:11" ht="15.75" customHeight="1" x14ac:dyDescent="0.25">
      <c r="H812" s="281"/>
      <c r="I812" s="281"/>
      <c r="J812" s="281"/>
      <c r="K812" s="168"/>
    </row>
    <row r="813" spans="8:11" ht="15.75" customHeight="1" x14ac:dyDescent="0.25">
      <c r="H813" s="281"/>
      <c r="I813" s="281"/>
      <c r="J813" s="281"/>
      <c r="K813" s="168"/>
    </row>
    <row r="814" spans="8:11" ht="15.75" customHeight="1" x14ac:dyDescent="0.25">
      <c r="H814" s="281"/>
      <c r="I814" s="281"/>
      <c r="J814" s="281"/>
      <c r="K814" s="168"/>
    </row>
    <row r="815" spans="8:11" ht="15.75" customHeight="1" x14ac:dyDescent="0.25">
      <c r="H815" s="281"/>
      <c r="I815" s="281"/>
      <c r="J815" s="281"/>
      <c r="K815" s="168"/>
    </row>
    <row r="816" spans="8:11" ht="15.75" customHeight="1" x14ac:dyDescent="0.25">
      <c r="H816" s="281"/>
      <c r="I816" s="281"/>
      <c r="J816" s="281"/>
      <c r="K816" s="168"/>
    </row>
    <row r="817" spans="8:11" ht="15.75" customHeight="1" x14ac:dyDescent="0.25">
      <c r="H817" s="281"/>
      <c r="I817" s="281"/>
      <c r="J817" s="281"/>
      <c r="K817" s="168"/>
    </row>
    <row r="818" spans="8:11" ht="15.75" customHeight="1" x14ac:dyDescent="0.25">
      <c r="H818" s="281"/>
      <c r="I818" s="281"/>
      <c r="J818" s="281"/>
      <c r="K818" s="168"/>
    </row>
    <row r="819" spans="8:11" ht="15.75" customHeight="1" x14ac:dyDescent="0.25">
      <c r="H819" s="281"/>
      <c r="I819" s="281"/>
      <c r="J819" s="281"/>
      <c r="K819" s="168"/>
    </row>
    <row r="820" spans="8:11" ht="15.75" customHeight="1" x14ac:dyDescent="0.25">
      <c r="H820" s="281"/>
      <c r="I820" s="281"/>
      <c r="J820" s="281"/>
      <c r="K820" s="168"/>
    </row>
    <row r="821" spans="8:11" ht="15.75" customHeight="1" x14ac:dyDescent="0.25">
      <c r="H821" s="281"/>
      <c r="I821" s="281"/>
      <c r="J821" s="281"/>
      <c r="K821" s="168"/>
    </row>
    <row r="822" spans="8:11" ht="15.75" customHeight="1" x14ac:dyDescent="0.25">
      <c r="H822" s="281"/>
      <c r="I822" s="281"/>
      <c r="J822" s="281"/>
      <c r="K822" s="168"/>
    </row>
    <row r="823" spans="8:11" ht="15.75" customHeight="1" x14ac:dyDescent="0.25">
      <c r="H823" s="281"/>
      <c r="I823" s="281"/>
      <c r="J823" s="281"/>
      <c r="K823" s="168"/>
    </row>
    <row r="824" spans="8:11" ht="15.75" customHeight="1" x14ac:dyDescent="0.25">
      <c r="H824" s="281"/>
      <c r="I824" s="281"/>
      <c r="J824" s="281"/>
      <c r="K824" s="168"/>
    </row>
    <row r="825" spans="8:11" ht="15.75" customHeight="1" x14ac:dyDescent="0.25">
      <c r="H825" s="281"/>
      <c r="I825" s="281"/>
      <c r="J825" s="281"/>
      <c r="K825" s="168"/>
    </row>
    <row r="826" spans="8:11" ht="15.75" customHeight="1" x14ac:dyDescent="0.25">
      <c r="H826" s="281"/>
      <c r="I826" s="281"/>
      <c r="J826" s="281"/>
      <c r="K826" s="168"/>
    </row>
    <row r="827" spans="8:11" ht="15.75" customHeight="1" x14ac:dyDescent="0.25">
      <c r="H827" s="281"/>
      <c r="I827" s="281"/>
      <c r="J827" s="281"/>
      <c r="K827" s="168"/>
    </row>
    <row r="828" spans="8:11" ht="15.75" customHeight="1" x14ac:dyDescent="0.25">
      <c r="H828" s="281"/>
      <c r="I828" s="281"/>
      <c r="J828" s="281"/>
      <c r="K828" s="168"/>
    </row>
    <row r="829" spans="8:11" ht="15.75" customHeight="1" x14ac:dyDescent="0.25">
      <c r="H829" s="281"/>
      <c r="I829" s="281"/>
      <c r="J829" s="281"/>
      <c r="K829" s="168"/>
    </row>
    <row r="830" spans="8:11" ht="15.75" customHeight="1" x14ac:dyDescent="0.25">
      <c r="H830" s="281"/>
      <c r="I830" s="281"/>
      <c r="J830" s="281"/>
      <c r="K830" s="168"/>
    </row>
    <row r="831" spans="8:11" ht="15.75" customHeight="1" x14ac:dyDescent="0.25">
      <c r="H831" s="281"/>
      <c r="I831" s="281"/>
      <c r="J831" s="281"/>
      <c r="K831" s="168"/>
    </row>
    <row r="832" spans="8:11" ht="15.75" customHeight="1" x14ac:dyDescent="0.25">
      <c r="H832" s="281"/>
      <c r="I832" s="281"/>
      <c r="J832" s="281"/>
      <c r="K832" s="168"/>
    </row>
    <row r="833" spans="8:11" ht="15.75" customHeight="1" x14ac:dyDescent="0.25">
      <c r="H833" s="281"/>
      <c r="I833" s="281"/>
      <c r="J833" s="281"/>
      <c r="K833" s="168"/>
    </row>
    <row r="834" spans="8:11" ht="15.75" customHeight="1" x14ac:dyDescent="0.25">
      <c r="H834" s="281"/>
      <c r="I834" s="281"/>
      <c r="J834" s="281"/>
      <c r="K834" s="168"/>
    </row>
    <row r="835" spans="8:11" ht="15.75" customHeight="1" x14ac:dyDescent="0.25">
      <c r="H835" s="281"/>
      <c r="I835" s="281"/>
      <c r="J835" s="281"/>
      <c r="K835" s="168"/>
    </row>
    <row r="836" spans="8:11" ht="15.75" customHeight="1" x14ac:dyDescent="0.25">
      <c r="H836" s="281"/>
      <c r="I836" s="281"/>
      <c r="J836" s="281"/>
      <c r="K836" s="168"/>
    </row>
    <row r="837" spans="8:11" ht="15.75" customHeight="1" x14ac:dyDescent="0.25">
      <c r="H837" s="281"/>
      <c r="I837" s="281"/>
      <c r="J837" s="281"/>
      <c r="K837" s="168"/>
    </row>
    <row r="838" spans="8:11" ht="15.75" customHeight="1" x14ac:dyDescent="0.25">
      <c r="H838" s="281"/>
      <c r="I838" s="281"/>
      <c r="J838" s="281"/>
      <c r="K838" s="168"/>
    </row>
    <row r="839" spans="8:11" ht="15.75" customHeight="1" x14ac:dyDescent="0.25">
      <c r="H839" s="281"/>
      <c r="I839" s="281"/>
      <c r="J839" s="281"/>
      <c r="K839" s="168"/>
    </row>
    <row r="840" spans="8:11" ht="15.75" customHeight="1" x14ac:dyDescent="0.25">
      <c r="H840" s="281"/>
      <c r="I840" s="281"/>
      <c r="J840" s="281"/>
      <c r="K840" s="168"/>
    </row>
    <row r="841" spans="8:11" ht="15.75" customHeight="1" x14ac:dyDescent="0.25">
      <c r="H841" s="281"/>
      <c r="I841" s="281"/>
      <c r="J841" s="281"/>
      <c r="K841" s="168"/>
    </row>
    <row r="842" spans="8:11" ht="15.75" customHeight="1" x14ac:dyDescent="0.25">
      <c r="H842" s="281"/>
      <c r="I842" s="281"/>
      <c r="J842" s="281"/>
      <c r="K842" s="168"/>
    </row>
    <row r="843" spans="8:11" ht="15.75" customHeight="1" x14ac:dyDescent="0.25">
      <c r="H843" s="281"/>
      <c r="I843" s="281"/>
      <c r="J843" s="281"/>
      <c r="K843" s="168"/>
    </row>
    <row r="844" spans="8:11" ht="15.75" customHeight="1" x14ac:dyDescent="0.25">
      <c r="H844" s="281"/>
      <c r="I844" s="281"/>
      <c r="J844" s="281"/>
      <c r="K844" s="168"/>
    </row>
    <row r="845" spans="8:11" ht="15.75" customHeight="1" x14ac:dyDescent="0.25">
      <c r="H845" s="281"/>
      <c r="I845" s="281"/>
      <c r="J845" s="281"/>
      <c r="K845" s="168"/>
    </row>
    <row r="846" spans="8:11" ht="15.75" customHeight="1" x14ac:dyDescent="0.25">
      <c r="H846" s="281"/>
      <c r="I846" s="281"/>
      <c r="J846" s="281"/>
      <c r="K846" s="168"/>
    </row>
    <row r="847" spans="8:11" ht="15.75" customHeight="1" x14ac:dyDescent="0.25">
      <c r="H847" s="281"/>
      <c r="I847" s="281"/>
      <c r="J847" s="281"/>
      <c r="K847" s="168"/>
    </row>
    <row r="848" spans="8:11" ht="15.75" customHeight="1" x14ac:dyDescent="0.25">
      <c r="H848" s="281"/>
      <c r="I848" s="281"/>
      <c r="J848" s="281"/>
      <c r="K848" s="168"/>
    </row>
    <row r="849" spans="8:11" ht="15.75" customHeight="1" x14ac:dyDescent="0.25">
      <c r="H849" s="281"/>
      <c r="I849" s="281"/>
      <c r="J849" s="281"/>
      <c r="K849" s="168"/>
    </row>
    <row r="850" spans="8:11" ht="15.75" customHeight="1" x14ac:dyDescent="0.25">
      <c r="H850" s="281"/>
      <c r="I850" s="281"/>
      <c r="J850" s="281"/>
      <c r="K850" s="168"/>
    </row>
    <row r="851" spans="8:11" ht="15.75" customHeight="1" x14ac:dyDescent="0.25">
      <c r="H851" s="281"/>
      <c r="I851" s="281"/>
      <c r="J851" s="281"/>
      <c r="K851" s="168"/>
    </row>
    <row r="852" spans="8:11" ht="15.75" customHeight="1" x14ac:dyDescent="0.25">
      <c r="H852" s="281"/>
      <c r="I852" s="281"/>
      <c r="J852" s="281"/>
      <c r="K852" s="168"/>
    </row>
    <row r="853" spans="8:11" ht="15.75" customHeight="1" x14ac:dyDescent="0.25">
      <c r="H853" s="281"/>
      <c r="I853" s="281"/>
      <c r="J853" s="281"/>
      <c r="K853" s="168"/>
    </row>
    <row r="854" spans="8:11" ht="15.75" customHeight="1" x14ac:dyDescent="0.25">
      <c r="H854" s="281"/>
      <c r="I854" s="281"/>
      <c r="J854" s="281"/>
      <c r="K854" s="168"/>
    </row>
    <row r="855" spans="8:11" ht="15.75" customHeight="1" x14ac:dyDescent="0.25">
      <c r="H855" s="281"/>
      <c r="I855" s="281"/>
      <c r="J855" s="281"/>
      <c r="K855" s="168"/>
    </row>
    <row r="856" spans="8:11" ht="15.75" customHeight="1" x14ac:dyDescent="0.25">
      <c r="H856" s="281"/>
      <c r="I856" s="281"/>
      <c r="J856" s="281"/>
      <c r="K856" s="168"/>
    </row>
    <row r="857" spans="8:11" ht="15.75" customHeight="1" x14ac:dyDescent="0.25">
      <c r="H857" s="281"/>
      <c r="I857" s="281"/>
      <c r="J857" s="281"/>
      <c r="K857" s="168"/>
    </row>
    <row r="858" spans="8:11" ht="15.75" customHeight="1" x14ac:dyDescent="0.25">
      <c r="H858" s="281"/>
      <c r="I858" s="281"/>
      <c r="J858" s="281"/>
      <c r="K858" s="168"/>
    </row>
    <row r="859" spans="8:11" ht="15.75" customHeight="1" x14ac:dyDescent="0.25">
      <c r="H859" s="281"/>
      <c r="I859" s="281"/>
      <c r="J859" s="281"/>
      <c r="K859" s="168"/>
    </row>
    <row r="860" spans="8:11" ht="15.75" customHeight="1" x14ac:dyDescent="0.25">
      <c r="H860" s="281"/>
      <c r="I860" s="281"/>
      <c r="J860" s="281"/>
      <c r="K860" s="168"/>
    </row>
    <row r="861" spans="8:11" ht="15.75" customHeight="1" x14ac:dyDescent="0.25">
      <c r="H861" s="281"/>
      <c r="I861" s="281"/>
      <c r="J861" s="281"/>
      <c r="K861" s="168"/>
    </row>
    <row r="862" spans="8:11" ht="15.75" customHeight="1" x14ac:dyDescent="0.25">
      <c r="H862" s="281"/>
      <c r="I862" s="281"/>
      <c r="J862" s="281"/>
      <c r="K862" s="168"/>
    </row>
    <row r="863" spans="8:11" ht="15.75" customHeight="1" x14ac:dyDescent="0.25">
      <c r="H863" s="281"/>
      <c r="I863" s="281"/>
      <c r="J863" s="281"/>
      <c r="K863" s="168"/>
    </row>
    <row r="864" spans="8:11" ht="15.75" customHeight="1" x14ac:dyDescent="0.25">
      <c r="H864" s="281"/>
      <c r="I864" s="281"/>
      <c r="J864" s="281"/>
      <c r="K864" s="168"/>
    </row>
    <row r="865" spans="8:11" ht="15.75" customHeight="1" x14ac:dyDescent="0.25">
      <c r="H865" s="281"/>
      <c r="I865" s="281"/>
      <c r="J865" s="281"/>
      <c r="K865" s="168"/>
    </row>
    <row r="866" spans="8:11" ht="15.75" customHeight="1" x14ac:dyDescent="0.25">
      <c r="H866" s="281"/>
      <c r="I866" s="281"/>
      <c r="J866" s="281"/>
      <c r="K866" s="168"/>
    </row>
    <row r="867" spans="8:11" ht="15.75" customHeight="1" x14ac:dyDescent="0.25">
      <c r="H867" s="281"/>
      <c r="I867" s="281"/>
      <c r="J867" s="281"/>
      <c r="K867" s="168"/>
    </row>
    <row r="868" spans="8:11" ht="15.75" customHeight="1" x14ac:dyDescent="0.25">
      <c r="H868" s="281"/>
      <c r="I868" s="281"/>
      <c r="J868" s="281"/>
      <c r="K868" s="168"/>
    </row>
    <row r="869" spans="8:11" ht="15.75" customHeight="1" x14ac:dyDescent="0.25">
      <c r="H869" s="281"/>
      <c r="I869" s="281"/>
      <c r="J869" s="281"/>
      <c r="K869" s="168"/>
    </row>
    <row r="870" spans="8:11" ht="15.75" customHeight="1" x14ac:dyDescent="0.25">
      <c r="H870" s="281"/>
      <c r="I870" s="281"/>
      <c r="J870" s="281"/>
      <c r="K870" s="168"/>
    </row>
    <row r="871" spans="8:11" ht="15.75" customHeight="1" x14ac:dyDescent="0.25">
      <c r="H871" s="281"/>
      <c r="I871" s="281"/>
      <c r="J871" s="281"/>
      <c r="K871" s="168"/>
    </row>
    <row r="872" spans="8:11" ht="15.75" customHeight="1" x14ac:dyDescent="0.25">
      <c r="H872" s="281"/>
      <c r="I872" s="281"/>
      <c r="J872" s="281"/>
      <c r="K872" s="168"/>
    </row>
    <row r="873" spans="8:11" ht="15.75" customHeight="1" x14ac:dyDescent="0.25">
      <c r="H873" s="281"/>
      <c r="I873" s="281"/>
      <c r="J873" s="281"/>
      <c r="K873" s="168"/>
    </row>
    <row r="874" spans="8:11" ht="15.75" customHeight="1" x14ac:dyDescent="0.25">
      <c r="H874" s="281"/>
      <c r="I874" s="281"/>
      <c r="J874" s="281"/>
      <c r="K874" s="168"/>
    </row>
    <row r="875" spans="8:11" ht="15.75" customHeight="1" x14ac:dyDescent="0.25">
      <c r="H875" s="281"/>
      <c r="I875" s="281"/>
      <c r="J875" s="281"/>
      <c r="K875" s="168"/>
    </row>
    <row r="876" spans="8:11" ht="15.75" customHeight="1" x14ac:dyDescent="0.25">
      <c r="H876" s="281"/>
      <c r="I876" s="281"/>
      <c r="J876" s="281"/>
      <c r="K876" s="168"/>
    </row>
    <row r="877" spans="8:11" ht="15.75" customHeight="1" x14ac:dyDescent="0.25">
      <c r="H877" s="281"/>
      <c r="I877" s="281"/>
      <c r="J877" s="281"/>
      <c r="K877" s="168"/>
    </row>
    <row r="878" spans="8:11" ht="15.75" customHeight="1" x14ac:dyDescent="0.25">
      <c r="H878" s="281"/>
      <c r="I878" s="281"/>
      <c r="J878" s="281"/>
      <c r="K878" s="168"/>
    </row>
    <row r="879" spans="8:11" ht="15.75" customHeight="1" x14ac:dyDescent="0.25">
      <c r="H879" s="281"/>
      <c r="I879" s="281"/>
      <c r="J879" s="281"/>
      <c r="K879" s="168"/>
    </row>
    <row r="880" spans="8:11" ht="15.75" customHeight="1" x14ac:dyDescent="0.25">
      <c r="H880" s="281"/>
      <c r="I880" s="281"/>
      <c r="J880" s="281"/>
      <c r="K880" s="168"/>
    </row>
    <row r="881" spans="8:11" ht="15.75" customHeight="1" x14ac:dyDescent="0.25">
      <c r="H881" s="281"/>
      <c r="I881" s="281"/>
      <c r="J881" s="281"/>
      <c r="K881" s="168"/>
    </row>
    <row r="882" spans="8:11" ht="15.75" customHeight="1" x14ac:dyDescent="0.25">
      <c r="H882" s="281"/>
      <c r="I882" s="281"/>
      <c r="J882" s="281"/>
      <c r="K882" s="168"/>
    </row>
    <row r="883" spans="8:11" ht="15.75" customHeight="1" x14ac:dyDescent="0.25">
      <c r="H883" s="281"/>
      <c r="I883" s="281"/>
      <c r="J883" s="281"/>
      <c r="K883" s="168"/>
    </row>
    <row r="884" spans="8:11" ht="15.75" customHeight="1" x14ac:dyDescent="0.25">
      <c r="H884" s="281"/>
      <c r="I884" s="281"/>
      <c r="J884" s="281"/>
      <c r="K884" s="168"/>
    </row>
    <row r="885" spans="8:11" ht="15.75" customHeight="1" x14ac:dyDescent="0.25">
      <c r="H885" s="281"/>
      <c r="I885" s="281"/>
      <c r="J885" s="281"/>
      <c r="K885" s="168"/>
    </row>
    <row r="886" spans="8:11" ht="15.75" customHeight="1" x14ac:dyDescent="0.25">
      <c r="H886" s="281"/>
      <c r="I886" s="281"/>
      <c r="J886" s="281"/>
      <c r="K886" s="168"/>
    </row>
    <row r="887" spans="8:11" ht="15.75" customHeight="1" x14ac:dyDescent="0.25">
      <c r="H887" s="281"/>
      <c r="I887" s="281"/>
      <c r="J887" s="281"/>
      <c r="K887" s="168"/>
    </row>
    <row r="888" spans="8:11" ht="15.75" customHeight="1" x14ac:dyDescent="0.25">
      <c r="H888" s="281"/>
      <c r="I888" s="281"/>
      <c r="J888" s="281"/>
      <c r="K888" s="168"/>
    </row>
    <row r="889" spans="8:11" ht="15.75" customHeight="1" x14ac:dyDescent="0.25">
      <c r="H889" s="281"/>
      <c r="I889" s="281"/>
      <c r="J889" s="281"/>
      <c r="K889" s="168"/>
    </row>
    <row r="890" spans="8:11" ht="15.75" customHeight="1" x14ac:dyDescent="0.25">
      <c r="H890" s="281"/>
      <c r="I890" s="281"/>
      <c r="J890" s="281"/>
      <c r="K890" s="168"/>
    </row>
    <row r="891" spans="8:11" ht="15.75" customHeight="1" x14ac:dyDescent="0.25">
      <c r="H891" s="281"/>
      <c r="I891" s="281"/>
      <c r="J891" s="281"/>
      <c r="K891" s="168"/>
    </row>
    <row r="892" spans="8:11" ht="15.75" customHeight="1" x14ac:dyDescent="0.25">
      <c r="H892" s="281"/>
      <c r="I892" s="281"/>
      <c r="J892" s="281"/>
      <c r="K892" s="168"/>
    </row>
    <row r="893" spans="8:11" ht="15.75" customHeight="1" x14ac:dyDescent="0.25">
      <c r="H893" s="281"/>
      <c r="I893" s="281"/>
      <c r="J893" s="281"/>
      <c r="K893" s="168"/>
    </row>
    <row r="894" spans="8:11" ht="15.75" customHeight="1" x14ac:dyDescent="0.25">
      <c r="H894" s="281"/>
      <c r="I894" s="281"/>
      <c r="J894" s="281"/>
      <c r="K894" s="168"/>
    </row>
    <row r="895" spans="8:11" ht="15.75" customHeight="1" x14ac:dyDescent="0.25">
      <c r="H895" s="281"/>
      <c r="I895" s="281"/>
      <c r="J895" s="281"/>
      <c r="K895" s="168"/>
    </row>
    <row r="896" spans="8:11" ht="15.75" customHeight="1" x14ac:dyDescent="0.25">
      <c r="H896" s="281"/>
      <c r="I896" s="281"/>
      <c r="J896" s="281"/>
      <c r="K896" s="168"/>
    </row>
    <row r="897" spans="8:11" ht="15.75" customHeight="1" x14ac:dyDescent="0.25">
      <c r="H897" s="281"/>
      <c r="I897" s="281"/>
      <c r="J897" s="281"/>
      <c r="K897" s="168"/>
    </row>
    <row r="898" spans="8:11" ht="15.75" customHeight="1" x14ac:dyDescent="0.25">
      <c r="H898" s="281"/>
      <c r="I898" s="281"/>
      <c r="J898" s="281"/>
      <c r="K898" s="168"/>
    </row>
    <row r="899" spans="8:11" ht="15.75" customHeight="1" x14ac:dyDescent="0.25">
      <c r="H899" s="281"/>
      <c r="I899" s="281"/>
      <c r="J899" s="281"/>
      <c r="K899" s="168"/>
    </row>
    <row r="900" spans="8:11" ht="15.75" customHeight="1" x14ac:dyDescent="0.25">
      <c r="H900" s="281"/>
      <c r="I900" s="281"/>
      <c r="J900" s="281"/>
      <c r="K900" s="168"/>
    </row>
    <row r="901" spans="8:11" ht="15.75" customHeight="1" x14ac:dyDescent="0.25">
      <c r="H901" s="281"/>
      <c r="I901" s="281"/>
      <c r="J901" s="281"/>
      <c r="K901" s="168"/>
    </row>
    <row r="902" spans="8:11" ht="15.75" customHeight="1" x14ac:dyDescent="0.25">
      <c r="H902" s="281"/>
      <c r="I902" s="281"/>
      <c r="J902" s="281"/>
      <c r="K902" s="168"/>
    </row>
    <row r="903" spans="8:11" ht="15.75" customHeight="1" x14ac:dyDescent="0.25">
      <c r="H903" s="281"/>
      <c r="I903" s="281"/>
      <c r="J903" s="281"/>
      <c r="K903" s="168"/>
    </row>
    <row r="904" spans="8:11" ht="15.75" customHeight="1" x14ac:dyDescent="0.25">
      <c r="H904" s="281"/>
      <c r="I904" s="281"/>
      <c r="J904" s="281"/>
      <c r="K904" s="168"/>
    </row>
    <row r="905" spans="8:11" ht="15.75" customHeight="1" x14ac:dyDescent="0.25">
      <c r="H905" s="281"/>
      <c r="I905" s="281"/>
      <c r="J905" s="281"/>
      <c r="K905" s="168"/>
    </row>
    <row r="906" spans="8:11" ht="15.75" customHeight="1" x14ac:dyDescent="0.25">
      <c r="H906" s="281"/>
      <c r="I906" s="281"/>
      <c r="J906" s="281"/>
      <c r="K906" s="168"/>
    </row>
    <row r="907" spans="8:11" ht="15.75" customHeight="1" x14ac:dyDescent="0.25">
      <c r="H907" s="281"/>
      <c r="I907" s="281"/>
      <c r="J907" s="281"/>
      <c r="K907" s="168"/>
    </row>
    <row r="908" spans="8:11" ht="15.75" customHeight="1" x14ac:dyDescent="0.25">
      <c r="H908" s="281"/>
      <c r="I908" s="281"/>
      <c r="J908" s="281"/>
      <c r="K908" s="168"/>
    </row>
    <row r="909" spans="8:11" ht="15.75" customHeight="1" x14ac:dyDescent="0.25">
      <c r="H909" s="281"/>
      <c r="I909" s="281"/>
      <c r="J909" s="281"/>
      <c r="K909" s="168"/>
    </row>
    <row r="910" spans="8:11" ht="15.75" customHeight="1" x14ac:dyDescent="0.25">
      <c r="H910" s="281"/>
      <c r="I910" s="281"/>
      <c r="J910" s="281"/>
      <c r="K910" s="168"/>
    </row>
    <row r="911" spans="8:11" ht="15.75" customHeight="1" x14ac:dyDescent="0.25">
      <c r="H911" s="281"/>
      <c r="I911" s="281"/>
      <c r="J911" s="281"/>
      <c r="K911" s="168"/>
    </row>
    <row r="912" spans="8:11" ht="15.75" customHeight="1" x14ac:dyDescent="0.25">
      <c r="H912" s="281"/>
      <c r="I912" s="281"/>
      <c r="J912" s="281"/>
      <c r="K912" s="168"/>
    </row>
    <row r="913" spans="8:11" ht="15.75" customHeight="1" x14ac:dyDescent="0.25">
      <c r="H913" s="281"/>
      <c r="I913" s="281"/>
      <c r="J913" s="281"/>
      <c r="K913" s="168"/>
    </row>
    <row r="914" spans="8:11" ht="15.75" customHeight="1" x14ac:dyDescent="0.25">
      <c r="H914" s="281"/>
      <c r="I914" s="281"/>
      <c r="J914" s="281"/>
      <c r="K914" s="168"/>
    </row>
    <row r="915" spans="8:11" ht="15.75" customHeight="1" x14ac:dyDescent="0.25">
      <c r="H915" s="281"/>
      <c r="I915" s="281"/>
      <c r="J915" s="281"/>
      <c r="K915" s="168"/>
    </row>
    <row r="916" spans="8:11" ht="15.75" customHeight="1" x14ac:dyDescent="0.25">
      <c r="H916" s="281"/>
      <c r="I916" s="281"/>
      <c r="J916" s="281"/>
      <c r="K916" s="168"/>
    </row>
    <row r="917" spans="8:11" ht="15.75" customHeight="1" x14ac:dyDescent="0.25">
      <c r="H917" s="281"/>
      <c r="I917" s="281"/>
      <c r="J917" s="281"/>
      <c r="K917" s="168"/>
    </row>
    <row r="918" spans="8:11" ht="15.75" customHeight="1" x14ac:dyDescent="0.25">
      <c r="H918" s="281"/>
      <c r="I918" s="281"/>
      <c r="J918" s="281"/>
      <c r="K918" s="168"/>
    </row>
    <row r="919" spans="8:11" ht="15.75" customHeight="1" x14ac:dyDescent="0.25">
      <c r="H919" s="281"/>
      <c r="I919" s="281"/>
      <c r="J919" s="281"/>
      <c r="K919" s="168"/>
    </row>
    <row r="920" spans="8:11" ht="15.75" customHeight="1" x14ac:dyDescent="0.25">
      <c r="H920" s="281"/>
      <c r="I920" s="281"/>
      <c r="J920" s="281"/>
      <c r="K920" s="168"/>
    </row>
    <row r="921" spans="8:11" ht="15.75" customHeight="1" x14ac:dyDescent="0.25">
      <c r="H921" s="281"/>
      <c r="I921" s="281"/>
      <c r="J921" s="281"/>
      <c r="K921" s="168"/>
    </row>
    <row r="922" spans="8:11" ht="15.75" customHeight="1" x14ac:dyDescent="0.25">
      <c r="H922" s="281"/>
      <c r="I922" s="281"/>
      <c r="J922" s="281"/>
      <c r="K922" s="168"/>
    </row>
    <row r="923" spans="8:11" ht="15.75" customHeight="1" x14ac:dyDescent="0.25">
      <c r="H923" s="281"/>
      <c r="I923" s="281"/>
      <c r="J923" s="281"/>
      <c r="K923" s="168"/>
    </row>
    <row r="924" spans="8:11" ht="15.75" customHeight="1" x14ac:dyDescent="0.25">
      <c r="H924" s="281"/>
      <c r="I924" s="281"/>
      <c r="J924" s="281"/>
      <c r="K924" s="168"/>
    </row>
    <row r="925" spans="8:11" ht="15.75" customHeight="1" x14ac:dyDescent="0.25">
      <c r="H925" s="281"/>
      <c r="I925" s="281"/>
      <c r="J925" s="281"/>
      <c r="K925" s="168"/>
    </row>
    <row r="926" spans="8:11" ht="15.75" customHeight="1" x14ac:dyDescent="0.25">
      <c r="H926" s="281"/>
      <c r="I926" s="281"/>
      <c r="J926" s="281"/>
      <c r="K926" s="168"/>
    </row>
    <row r="927" spans="8:11" ht="15.75" customHeight="1" x14ac:dyDescent="0.25">
      <c r="H927" s="281"/>
      <c r="I927" s="281"/>
      <c r="J927" s="281"/>
      <c r="K927" s="168"/>
    </row>
    <row r="928" spans="8:11" ht="15.75" customHeight="1" x14ac:dyDescent="0.25">
      <c r="H928" s="281"/>
      <c r="I928" s="281"/>
      <c r="J928" s="281"/>
      <c r="K928" s="168"/>
    </row>
    <row r="929" spans="8:11" ht="15.75" customHeight="1" x14ac:dyDescent="0.25">
      <c r="H929" s="281"/>
      <c r="I929" s="281"/>
      <c r="J929" s="281"/>
      <c r="K929" s="168"/>
    </row>
    <row r="930" spans="8:11" ht="15.75" customHeight="1" x14ac:dyDescent="0.25">
      <c r="H930" s="281"/>
      <c r="I930" s="281"/>
      <c r="J930" s="281"/>
      <c r="K930" s="168"/>
    </row>
    <row r="931" spans="8:11" ht="15.75" customHeight="1" x14ac:dyDescent="0.25">
      <c r="H931" s="281"/>
      <c r="I931" s="281"/>
      <c r="J931" s="281"/>
      <c r="K931" s="168"/>
    </row>
    <row r="932" spans="8:11" ht="15.75" customHeight="1" x14ac:dyDescent="0.25">
      <c r="H932" s="281"/>
      <c r="I932" s="281"/>
      <c r="J932" s="281"/>
      <c r="K932" s="168"/>
    </row>
    <row r="933" spans="8:11" ht="15.75" customHeight="1" x14ac:dyDescent="0.25">
      <c r="H933" s="281"/>
      <c r="I933" s="281"/>
      <c r="J933" s="281"/>
      <c r="K933" s="168"/>
    </row>
    <row r="934" spans="8:11" ht="15.75" customHeight="1" x14ac:dyDescent="0.25">
      <c r="H934" s="281"/>
      <c r="I934" s="281"/>
      <c r="J934" s="281"/>
      <c r="K934" s="168"/>
    </row>
    <row r="935" spans="8:11" ht="15.75" customHeight="1" x14ac:dyDescent="0.25">
      <c r="H935" s="281"/>
      <c r="I935" s="281"/>
      <c r="J935" s="281"/>
      <c r="K935" s="168"/>
    </row>
    <row r="936" spans="8:11" ht="15.75" customHeight="1" x14ac:dyDescent="0.25">
      <c r="H936" s="281"/>
      <c r="I936" s="281"/>
      <c r="J936" s="281"/>
      <c r="K936" s="168"/>
    </row>
    <row r="937" spans="8:11" ht="15.75" customHeight="1" x14ac:dyDescent="0.25">
      <c r="H937" s="281"/>
      <c r="I937" s="281"/>
      <c r="J937" s="281"/>
      <c r="K937" s="168"/>
    </row>
    <row r="938" spans="8:11" ht="15.75" customHeight="1" x14ac:dyDescent="0.25">
      <c r="H938" s="281"/>
      <c r="I938" s="281"/>
      <c r="J938" s="281"/>
      <c r="K938" s="168"/>
    </row>
    <row r="939" spans="8:11" ht="15.75" customHeight="1" x14ac:dyDescent="0.25">
      <c r="H939" s="281"/>
      <c r="I939" s="281"/>
      <c r="J939" s="281"/>
      <c r="K939" s="168"/>
    </row>
    <row r="940" spans="8:11" ht="15.75" customHeight="1" x14ac:dyDescent="0.25">
      <c r="H940" s="281"/>
      <c r="I940" s="281"/>
      <c r="J940" s="281"/>
      <c r="K940" s="168"/>
    </row>
    <row r="941" spans="8:11" ht="15.75" customHeight="1" x14ac:dyDescent="0.25">
      <c r="H941" s="281"/>
      <c r="I941" s="281"/>
      <c r="J941" s="281"/>
      <c r="K941" s="168"/>
    </row>
    <row r="942" spans="8:11" ht="15.75" customHeight="1" x14ac:dyDescent="0.25">
      <c r="H942" s="281"/>
      <c r="I942" s="281"/>
      <c r="J942" s="281"/>
      <c r="K942" s="168"/>
    </row>
    <row r="943" spans="8:11" ht="15.75" customHeight="1" x14ac:dyDescent="0.25">
      <c r="H943" s="281"/>
      <c r="I943" s="281"/>
      <c r="J943" s="281"/>
      <c r="K943" s="168"/>
    </row>
    <row r="944" spans="8:11" ht="15.75" customHeight="1" x14ac:dyDescent="0.25">
      <c r="H944" s="281"/>
      <c r="I944" s="281"/>
      <c r="J944" s="281"/>
      <c r="K944" s="168"/>
    </row>
    <row r="945" spans="8:11" ht="15.75" customHeight="1" x14ac:dyDescent="0.25">
      <c r="H945" s="281"/>
      <c r="I945" s="281"/>
      <c r="J945" s="281"/>
      <c r="K945" s="168"/>
    </row>
    <row r="946" spans="8:11" ht="15.75" customHeight="1" x14ac:dyDescent="0.25">
      <c r="H946" s="281"/>
      <c r="I946" s="281"/>
      <c r="J946" s="281"/>
      <c r="K946" s="168"/>
    </row>
    <row r="947" spans="8:11" ht="15.75" customHeight="1" x14ac:dyDescent="0.25">
      <c r="H947" s="281"/>
      <c r="I947" s="281"/>
      <c r="J947" s="281"/>
      <c r="K947" s="168"/>
    </row>
    <row r="948" spans="8:11" ht="15.75" customHeight="1" x14ac:dyDescent="0.25">
      <c r="H948" s="281"/>
      <c r="I948" s="281"/>
      <c r="J948" s="281"/>
      <c r="K948" s="168"/>
    </row>
    <row r="949" spans="8:11" ht="15.75" customHeight="1" x14ac:dyDescent="0.25">
      <c r="H949" s="281"/>
      <c r="I949" s="281"/>
      <c r="J949" s="281"/>
      <c r="K949" s="168"/>
    </row>
    <row r="950" spans="8:11" ht="15.75" customHeight="1" x14ac:dyDescent="0.25">
      <c r="H950" s="281"/>
      <c r="I950" s="281"/>
      <c r="J950" s="281"/>
      <c r="K950" s="168"/>
    </row>
    <row r="951" spans="8:11" ht="15.75" customHeight="1" x14ac:dyDescent="0.25">
      <c r="H951" s="281"/>
      <c r="I951" s="281"/>
      <c r="J951" s="281"/>
      <c r="K951" s="168"/>
    </row>
    <row r="952" spans="8:11" ht="15.75" customHeight="1" x14ac:dyDescent="0.25">
      <c r="H952" s="281"/>
      <c r="I952" s="281"/>
      <c r="J952" s="281"/>
      <c r="K952" s="168"/>
    </row>
    <row r="953" spans="8:11" ht="15.75" customHeight="1" x14ac:dyDescent="0.25">
      <c r="H953" s="281"/>
      <c r="I953" s="281"/>
      <c r="J953" s="281"/>
      <c r="K953" s="168"/>
    </row>
    <row r="954" spans="8:11" ht="15.75" customHeight="1" x14ac:dyDescent="0.25">
      <c r="H954" s="281"/>
      <c r="I954" s="281"/>
      <c r="J954" s="281"/>
      <c r="K954" s="168"/>
    </row>
    <row r="955" spans="8:11" ht="15.75" customHeight="1" x14ac:dyDescent="0.25">
      <c r="H955" s="281"/>
      <c r="I955" s="281"/>
      <c r="J955" s="281"/>
      <c r="K955" s="168"/>
    </row>
    <row r="956" spans="8:11" ht="15.75" customHeight="1" x14ac:dyDescent="0.25">
      <c r="H956" s="281"/>
      <c r="I956" s="281"/>
      <c r="J956" s="281"/>
      <c r="K956" s="168"/>
    </row>
    <row r="957" spans="8:11" ht="15.75" customHeight="1" x14ac:dyDescent="0.25">
      <c r="H957" s="281"/>
      <c r="I957" s="281"/>
      <c r="J957" s="281"/>
      <c r="K957" s="168"/>
    </row>
    <row r="958" spans="8:11" ht="15.75" customHeight="1" x14ac:dyDescent="0.25">
      <c r="H958" s="281"/>
      <c r="I958" s="281"/>
      <c r="J958" s="281"/>
      <c r="K958" s="168"/>
    </row>
    <row r="959" spans="8:11" ht="15.75" customHeight="1" x14ac:dyDescent="0.25">
      <c r="H959" s="281"/>
      <c r="I959" s="281"/>
      <c r="J959" s="281"/>
      <c r="K959" s="168"/>
    </row>
    <row r="960" spans="8:11" ht="15.75" customHeight="1" x14ac:dyDescent="0.25">
      <c r="H960" s="281"/>
      <c r="I960" s="281"/>
      <c r="J960" s="281"/>
      <c r="K960" s="168"/>
    </row>
    <row r="961" spans="8:11" ht="15.75" customHeight="1" x14ac:dyDescent="0.25">
      <c r="H961" s="281"/>
      <c r="I961" s="281"/>
      <c r="J961" s="281"/>
      <c r="K961" s="168"/>
    </row>
    <row r="962" spans="8:11" ht="15.75" customHeight="1" x14ac:dyDescent="0.25">
      <c r="H962" s="281"/>
      <c r="I962" s="281"/>
      <c r="J962" s="281"/>
      <c r="K962" s="168"/>
    </row>
    <row r="963" spans="8:11" ht="15.75" customHeight="1" x14ac:dyDescent="0.25">
      <c r="H963" s="281"/>
      <c r="I963" s="281"/>
      <c r="J963" s="281"/>
      <c r="K963" s="168"/>
    </row>
    <row r="964" spans="8:11" ht="15.75" customHeight="1" x14ac:dyDescent="0.25">
      <c r="H964" s="281"/>
      <c r="I964" s="281"/>
      <c r="J964" s="281"/>
      <c r="K964" s="168"/>
    </row>
    <row r="965" spans="8:11" ht="15.75" customHeight="1" x14ac:dyDescent="0.25">
      <c r="H965" s="281"/>
      <c r="I965" s="281"/>
      <c r="J965" s="281"/>
      <c r="K965" s="168"/>
    </row>
    <row r="966" spans="8:11" ht="15.75" customHeight="1" x14ac:dyDescent="0.25">
      <c r="H966" s="281"/>
      <c r="I966" s="281"/>
      <c r="J966" s="281"/>
      <c r="K966" s="168"/>
    </row>
    <row r="967" spans="8:11" ht="15.75" customHeight="1" x14ac:dyDescent="0.25">
      <c r="H967" s="281"/>
      <c r="I967" s="281"/>
      <c r="J967" s="281"/>
      <c r="K967" s="168"/>
    </row>
    <row r="968" spans="8:11" ht="15.75" customHeight="1" x14ac:dyDescent="0.25">
      <c r="H968" s="281"/>
      <c r="I968" s="281"/>
      <c r="J968" s="281"/>
      <c r="K968" s="168"/>
    </row>
    <row r="969" spans="8:11" ht="15.75" customHeight="1" x14ac:dyDescent="0.25">
      <c r="H969" s="281"/>
      <c r="I969" s="281"/>
      <c r="J969" s="281"/>
      <c r="K969" s="168"/>
    </row>
    <row r="970" spans="8:11" ht="15.75" customHeight="1" x14ac:dyDescent="0.25">
      <c r="H970" s="281"/>
      <c r="I970" s="281"/>
      <c r="J970" s="281"/>
      <c r="K970" s="168"/>
    </row>
    <row r="971" spans="8:11" ht="15.75" customHeight="1" x14ac:dyDescent="0.25">
      <c r="H971" s="281"/>
      <c r="I971" s="281"/>
      <c r="J971" s="281"/>
      <c r="K971" s="168"/>
    </row>
    <row r="972" spans="8:11" ht="15.75" customHeight="1" x14ac:dyDescent="0.25">
      <c r="H972" s="281"/>
      <c r="I972" s="281"/>
      <c r="J972" s="281"/>
      <c r="K972" s="168"/>
    </row>
    <row r="973" spans="8:11" ht="15.75" customHeight="1" x14ac:dyDescent="0.25">
      <c r="H973" s="281"/>
      <c r="I973" s="281"/>
      <c r="J973" s="281"/>
      <c r="K973" s="168"/>
    </row>
    <row r="974" spans="8:11" ht="15.75" customHeight="1" x14ac:dyDescent="0.25">
      <c r="H974" s="281"/>
      <c r="I974" s="281"/>
      <c r="J974" s="281"/>
      <c r="K974" s="168"/>
    </row>
    <row r="975" spans="8:11" ht="15.75" customHeight="1" x14ac:dyDescent="0.25">
      <c r="H975" s="281"/>
      <c r="I975" s="281"/>
      <c r="J975" s="281"/>
      <c r="K975" s="168"/>
    </row>
    <row r="976" spans="8:11" ht="15.75" customHeight="1" x14ac:dyDescent="0.25">
      <c r="H976" s="281"/>
      <c r="I976" s="281"/>
      <c r="J976" s="281"/>
      <c r="K976" s="168"/>
    </row>
    <row r="977" spans="8:11" ht="15.75" customHeight="1" x14ac:dyDescent="0.25">
      <c r="H977" s="281"/>
      <c r="I977" s="281"/>
      <c r="J977" s="281"/>
      <c r="K977" s="168"/>
    </row>
    <row r="978" spans="8:11" ht="15.75" customHeight="1" x14ac:dyDescent="0.25">
      <c r="H978" s="281"/>
      <c r="I978" s="281"/>
      <c r="J978" s="281"/>
      <c r="K978" s="168"/>
    </row>
    <row r="979" spans="8:11" ht="15.75" customHeight="1" x14ac:dyDescent="0.25">
      <c r="H979" s="281"/>
      <c r="I979" s="281"/>
      <c r="J979" s="281"/>
      <c r="K979" s="168"/>
    </row>
    <row r="980" spans="8:11" ht="15.75" customHeight="1" x14ac:dyDescent="0.25">
      <c r="H980" s="281"/>
      <c r="I980" s="281"/>
      <c r="J980" s="281"/>
      <c r="K980" s="168"/>
    </row>
    <row r="981" spans="8:11" ht="15.75" customHeight="1" x14ac:dyDescent="0.25">
      <c r="H981" s="281"/>
      <c r="I981" s="281"/>
      <c r="J981" s="281"/>
      <c r="K981" s="168"/>
    </row>
    <row r="982" spans="8:11" ht="15.75" customHeight="1" x14ac:dyDescent="0.25">
      <c r="H982" s="281"/>
      <c r="I982" s="281"/>
      <c r="J982" s="281"/>
      <c r="K982" s="168"/>
    </row>
    <row r="983" spans="8:11" ht="15.75" customHeight="1" x14ac:dyDescent="0.25">
      <c r="H983" s="281"/>
      <c r="I983" s="281"/>
      <c r="J983" s="281"/>
      <c r="K983" s="168"/>
    </row>
    <row r="984" spans="8:11" ht="15.75" customHeight="1" x14ac:dyDescent="0.25">
      <c r="H984" s="281"/>
      <c r="I984" s="281"/>
      <c r="J984" s="281"/>
      <c r="K984" s="168"/>
    </row>
    <row r="985" spans="8:11" ht="15.75" customHeight="1" x14ac:dyDescent="0.25">
      <c r="H985" s="281"/>
      <c r="I985" s="281"/>
      <c r="J985" s="281"/>
      <c r="K985" s="168"/>
    </row>
    <row r="986" spans="8:11" ht="15.75" customHeight="1" x14ac:dyDescent="0.25">
      <c r="H986" s="281"/>
      <c r="I986" s="281"/>
      <c r="J986" s="281"/>
      <c r="K986" s="168"/>
    </row>
    <row r="987" spans="8:11" ht="15.75" customHeight="1" x14ac:dyDescent="0.25">
      <c r="H987" s="281"/>
      <c r="I987" s="281"/>
      <c r="J987" s="281"/>
      <c r="K987" s="168"/>
    </row>
    <row r="988" spans="8:11" ht="15.75" customHeight="1" x14ac:dyDescent="0.25">
      <c r="H988" s="281"/>
      <c r="I988" s="281"/>
      <c r="J988" s="281"/>
      <c r="K988" s="168"/>
    </row>
    <row r="989" spans="8:11" ht="15.75" customHeight="1" x14ac:dyDescent="0.25">
      <c r="H989" s="281"/>
      <c r="I989" s="281"/>
      <c r="J989" s="281"/>
      <c r="K989" s="168"/>
    </row>
    <row r="990" spans="8:11" ht="15.75" customHeight="1" x14ac:dyDescent="0.25">
      <c r="H990" s="281"/>
      <c r="I990" s="281"/>
      <c r="J990" s="281"/>
      <c r="K990" s="168"/>
    </row>
    <row r="991" spans="8:11" ht="15.75" customHeight="1" x14ac:dyDescent="0.25">
      <c r="H991" s="281"/>
      <c r="I991" s="281"/>
      <c r="J991" s="281"/>
      <c r="K991" s="168"/>
    </row>
    <row r="992" spans="8:11" ht="15.75" customHeight="1" x14ac:dyDescent="0.25">
      <c r="H992" s="281"/>
      <c r="I992" s="281"/>
      <c r="J992" s="281"/>
      <c r="K992" s="168"/>
    </row>
    <row r="993" spans="8:11" ht="15.75" customHeight="1" x14ac:dyDescent="0.25">
      <c r="H993" s="281"/>
      <c r="I993" s="281"/>
      <c r="J993" s="281"/>
      <c r="K993" s="168"/>
    </row>
    <row r="994" spans="8:11" ht="15.75" customHeight="1" x14ac:dyDescent="0.25">
      <c r="H994" s="281"/>
      <c r="I994" s="281"/>
      <c r="J994" s="281"/>
      <c r="K994" s="168"/>
    </row>
    <row r="995" spans="8:11" ht="15.75" customHeight="1" x14ac:dyDescent="0.25">
      <c r="H995" s="281"/>
      <c r="I995" s="281"/>
      <c r="J995" s="281"/>
      <c r="K995" s="168"/>
    </row>
    <row r="996" spans="8:11" ht="15.75" customHeight="1" x14ac:dyDescent="0.25">
      <c r="H996" s="281"/>
      <c r="I996" s="281"/>
      <c r="J996" s="281"/>
      <c r="K996" s="168"/>
    </row>
    <row r="997" spans="8:11" ht="15.75" customHeight="1" x14ac:dyDescent="0.25">
      <c r="H997" s="281"/>
      <c r="I997" s="281"/>
      <c r="J997" s="281"/>
      <c r="K997" s="168"/>
    </row>
    <row r="998" spans="8:11" ht="15.75" customHeight="1" x14ac:dyDescent="0.25">
      <c r="H998" s="281"/>
      <c r="I998" s="281"/>
      <c r="J998" s="281"/>
      <c r="K998" s="168"/>
    </row>
    <row r="999" spans="8:11" ht="15.75" customHeight="1" x14ac:dyDescent="0.25">
      <c r="H999" s="281"/>
      <c r="I999" s="281"/>
      <c r="J999" s="281"/>
      <c r="K999" s="168"/>
    </row>
    <row r="1000" spans="8:11" ht="15.75" customHeight="1" x14ac:dyDescent="0.25">
      <c r="H1000" s="281"/>
      <c r="I1000" s="281"/>
      <c r="J1000" s="281"/>
      <c r="K1000" s="168"/>
    </row>
    <row r="1001" spans="8:11" ht="15.75" customHeight="1" x14ac:dyDescent="0.25">
      <c r="H1001" s="281"/>
      <c r="I1001" s="281"/>
      <c r="J1001" s="281"/>
      <c r="K1001" s="168"/>
    </row>
    <row r="1002" spans="8:11" ht="15.75" customHeight="1" x14ac:dyDescent="0.25">
      <c r="H1002" s="281"/>
      <c r="I1002" s="281"/>
      <c r="J1002" s="281"/>
      <c r="K1002" s="168"/>
    </row>
    <row r="1003" spans="8:11" ht="15.75" customHeight="1" x14ac:dyDescent="0.25">
      <c r="H1003" s="281"/>
      <c r="I1003" s="281"/>
      <c r="J1003" s="281"/>
      <c r="K1003" s="168"/>
    </row>
    <row r="1004" spans="8:11" ht="15.75" customHeight="1" x14ac:dyDescent="0.25">
      <c r="H1004" s="281"/>
      <c r="I1004" s="281"/>
      <c r="J1004" s="281"/>
      <c r="K1004" s="168"/>
    </row>
    <row r="1005" spans="8:11" ht="15.75" customHeight="1" x14ac:dyDescent="0.25">
      <c r="H1005" s="281"/>
      <c r="I1005" s="281"/>
      <c r="J1005" s="281"/>
      <c r="K1005" s="168"/>
    </row>
    <row r="1006" spans="8:11" ht="15.75" customHeight="1" x14ac:dyDescent="0.25">
      <c r="H1006" s="281"/>
      <c r="I1006" s="281"/>
      <c r="J1006" s="281"/>
      <c r="K1006" s="168"/>
    </row>
    <row r="1007" spans="8:11" ht="15.75" customHeight="1" x14ac:dyDescent="0.25">
      <c r="H1007" s="281"/>
      <c r="I1007" s="281"/>
      <c r="J1007" s="281"/>
      <c r="K1007" s="168"/>
    </row>
    <row r="1008" spans="8:11" ht="15.75" customHeight="1" x14ac:dyDescent="0.25">
      <c r="H1008" s="281"/>
      <c r="I1008" s="281"/>
      <c r="J1008" s="281"/>
      <c r="K1008" s="168"/>
    </row>
    <row r="1009" spans="8:11" ht="15.75" customHeight="1" x14ac:dyDescent="0.25">
      <c r="H1009" s="281"/>
      <c r="I1009" s="281"/>
      <c r="J1009" s="281"/>
      <c r="K1009" s="168"/>
    </row>
    <row r="1010" spans="8:11" ht="15.75" customHeight="1" x14ac:dyDescent="0.25">
      <c r="H1010" s="281"/>
      <c r="I1010" s="281"/>
      <c r="J1010" s="281"/>
      <c r="K1010" s="168"/>
    </row>
    <row r="1011" spans="8:11" ht="15.75" customHeight="1" x14ac:dyDescent="0.25">
      <c r="H1011" s="281"/>
      <c r="I1011" s="281"/>
      <c r="J1011" s="281"/>
      <c r="K1011" s="168"/>
    </row>
    <row r="1012" spans="8:11" ht="15.75" customHeight="1" x14ac:dyDescent="0.25">
      <c r="H1012" s="281"/>
      <c r="I1012" s="281"/>
      <c r="J1012" s="281"/>
      <c r="K1012" s="168"/>
    </row>
    <row r="1013" spans="8:11" ht="15.75" customHeight="1" x14ac:dyDescent="0.25">
      <c r="H1013" s="281"/>
      <c r="I1013" s="281"/>
      <c r="J1013" s="281"/>
      <c r="K1013" s="168"/>
    </row>
    <row r="1014" spans="8:11" ht="15.75" customHeight="1" x14ac:dyDescent="0.25">
      <c r="H1014" s="281"/>
      <c r="I1014" s="281"/>
      <c r="J1014" s="281"/>
      <c r="K1014" s="168"/>
    </row>
    <row r="1015" spans="8:11" ht="15.75" customHeight="1" x14ac:dyDescent="0.25">
      <c r="H1015" s="281"/>
      <c r="I1015" s="281"/>
      <c r="J1015" s="281"/>
      <c r="K1015" s="168"/>
    </row>
    <row r="1016" spans="8:11" ht="15.75" customHeight="1" x14ac:dyDescent="0.25">
      <c r="H1016" s="281"/>
      <c r="I1016" s="281"/>
      <c r="J1016" s="281"/>
      <c r="K1016" s="168"/>
    </row>
    <row r="1017" spans="8:11" ht="15.75" customHeight="1" x14ac:dyDescent="0.25">
      <c r="H1017" s="281"/>
      <c r="I1017" s="281"/>
      <c r="J1017" s="281"/>
      <c r="K1017" s="168"/>
    </row>
    <row r="1018" spans="8:11" ht="15.75" customHeight="1" x14ac:dyDescent="0.25">
      <c r="H1018" s="281"/>
      <c r="I1018" s="281"/>
      <c r="J1018" s="281"/>
      <c r="K1018" s="168"/>
    </row>
    <row r="1019" spans="8:11" ht="15.75" customHeight="1" x14ac:dyDescent="0.25">
      <c r="H1019" s="281"/>
      <c r="I1019" s="281"/>
      <c r="J1019" s="281"/>
      <c r="K1019" s="168"/>
    </row>
    <row r="1020" spans="8:11" ht="15.75" customHeight="1" x14ac:dyDescent="0.25">
      <c r="H1020" s="281"/>
      <c r="I1020" s="281"/>
      <c r="J1020" s="281"/>
      <c r="K1020" s="168"/>
    </row>
    <row r="1021" spans="8:11" ht="15.75" customHeight="1" x14ac:dyDescent="0.25">
      <c r="H1021" s="281"/>
      <c r="I1021" s="281"/>
      <c r="J1021" s="281"/>
      <c r="K1021" s="168"/>
    </row>
    <row r="1022" spans="8:11" ht="15.75" customHeight="1" x14ac:dyDescent="0.25">
      <c r="H1022" s="281"/>
      <c r="I1022" s="281"/>
      <c r="J1022" s="281"/>
      <c r="K1022" s="168"/>
    </row>
    <row r="1023" spans="8:11" ht="15.75" customHeight="1" x14ac:dyDescent="0.25">
      <c r="H1023" s="281"/>
      <c r="I1023" s="281"/>
      <c r="J1023" s="281"/>
      <c r="K1023" s="168"/>
    </row>
    <row r="1024" spans="8:11" ht="15.75" customHeight="1" x14ac:dyDescent="0.25">
      <c r="H1024" s="281"/>
      <c r="I1024" s="281"/>
      <c r="J1024" s="281"/>
      <c r="K1024" s="168"/>
    </row>
    <row r="1025" spans="8:11" ht="15.75" customHeight="1" x14ac:dyDescent="0.25">
      <c r="H1025" s="281"/>
      <c r="I1025" s="281"/>
      <c r="J1025" s="281"/>
      <c r="K1025" s="168"/>
    </row>
    <row r="1026" spans="8:11" ht="15.75" customHeight="1" x14ac:dyDescent="0.25">
      <c r="H1026" s="281"/>
      <c r="I1026" s="281"/>
      <c r="J1026" s="281"/>
      <c r="K1026" s="168"/>
    </row>
    <row r="1027" spans="8:11" ht="15.75" customHeight="1" x14ac:dyDescent="0.25">
      <c r="H1027" s="281"/>
      <c r="I1027" s="281"/>
      <c r="J1027" s="281"/>
      <c r="K1027"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55"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2"/>
  <sheetViews>
    <sheetView view="pageBreakPreview" topLeftCell="A24" zoomScale="130" zoomScaleNormal="120" zoomScaleSheetLayoutView="130" workbookViewId="0">
      <selection activeCell="G35" sqref="G35"/>
    </sheetView>
  </sheetViews>
  <sheetFormatPr defaultColWidth="14.42578125" defaultRowHeight="15" customHeight="1" x14ac:dyDescent="0.25"/>
  <cols>
    <col min="1" max="1" width="75.85546875" customWidth="1"/>
    <col min="2" max="2" width="17.28515625" customWidth="1"/>
    <col min="3" max="6" width="17.28515625" hidden="1" customWidth="1"/>
    <col min="7" max="7" width="17.28515625" customWidth="1"/>
    <col min="8" max="8" width="17.140625" customWidth="1"/>
    <col min="9" max="9" width="14.7109375" customWidth="1"/>
    <col min="10" max="12" width="10.28515625" customWidth="1"/>
    <col min="13" max="13" width="13.140625" customWidth="1"/>
    <col min="14" max="14" width="13.28515625" customWidth="1"/>
    <col min="15" max="26" width="10.28515625" customWidth="1"/>
  </cols>
  <sheetData>
    <row r="1" spans="1:26" ht="15.75" customHeight="1" x14ac:dyDescent="0.25">
      <c r="A1" s="9"/>
      <c r="B1" s="10"/>
      <c r="C1" s="11"/>
      <c r="D1" s="11"/>
      <c r="E1" s="11"/>
      <c r="F1" s="10"/>
      <c r="G1" s="13"/>
      <c r="H1" s="14"/>
      <c r="I1" s="16"/>
      <c r="J1" s="16"/>
      <c r="K1" s="15"/>
      <c r="L1" s="15"/>
      <c r="M1" s="16"/>
      <c r="N1" s="16"/>
      <c r="O1" s="15"/>
      <c r="P1" s="15"/>
      <c r="Q1" s="15"/>
      <c r="R1" s="15"/>
      <c r="S1" s="15"/>
      <c r="T1" s="15"/>
      <c r="U1" s="15"/>
      <c r="V1" s="15"/>
      <c r="W1" s="15"/>
      <c r="X1" s="15"/>
      <c r="Y1" s="15"/>
      <c r="Z1" s="15"/>
    </row>
    <row r="2" spans="1:26" ht="15.75" customHeight="1" x14ac:dyDescent="0.25">
      <c r="A2" s="17"/>
      <c r="B2" s="15"/>
      <c r="C2" s="18"/>
      <c r="D2" s="18"/>
      <c r="E2" s="18"/>
      <c r="F2" s="15"/>
      <c r="G2" s="19"/>
      <c r="H2" s="14"/>
      <c r="I2" s="16"/>
      <c r="J2" s="16"/>
      <c r="K2" s="15"/>
      <c r="L2" s="15"/>
      <c r="M2" s="16"/>
      <c r="N2" s="16"/>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6"/>
      <c r="J3" s="16"/>
      <c r="K3" s="15"/>
      <c r="L3" s="15"/>
      <c r="M3" s="16"/>
      <c r="N3" s="16"/>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6"/>
      <c r="J4" s="16"/>
      <c r="K4" s="15"/>
      <c r="L4" s="15"/>
      <c r="M4" s="16"/>
      <c r="N4" s="16"/>
      <c r="O4" s="15"/>
      <c r="P4" s="15"/>
      <c r="Q4" s="15"/>
      <c r="R4" s="15"/>
      <c r="S4" s="15"/>
      <c r="T4" s="15"/>
      <c r="U4" s="15"/>
      <c r="V4" s="15"/>
      <c r="W4" s="15"/>
      <c r="X4" s="15"/>
      <c r="Y4" s="15"/>
      <c r="Z4" s="15"/>
    </row>
    <row r="5" spans="1:26" ht="13.5" customHeight="1" x14ac:dyDescent="0.25">
      <c r="A5" s="21"/>
      <c r="B5" s="18"/>
      <c r="C5" s="18"/>
      <c r="D5" s="18"/>
      <c r="E5" s="18"/>
      <c r="F5" s="18"/>
      <c r="G5" s="23"/>
      <c r="H5" s="14"/>
      <c r="I5" s="16"/>
      <c r="J5" s="16"/>
      <c r="K5" s="15"/>
      <c r="L5" s="15"/>
      <c r="M5" s="16"/>
      <c r="N5" s="16"/>
      <c r="O5" s="15"/>
      <c r="P5" s="15"/>
      <c r="Q5" s="15"/>
      <c r="R5" s="15"/>
      <c r="S5" s="15"/>
      <c r="T5" s="15"/>
      <c r="U5" s="15"/>
      <c r="V5" s="15"/>
      <c r="W5" s="15"/>
      <c r="X5" s="15"/>
      <c r="Y5" s="15"/>
      <c r="Z5" s="15"/>
    </row>
    <row r="6" spans="1:26" ht="15.75" customHeight="1" x14ac:dyDescent="0.25">
      <c r="A6" s="17" t="s">
        <v>1416</v>
      </c>
      <c r="B6" s="24"/>
      <c r="C6" s="25"/>
      <c r="D6" s="25"/>
      <c r="E6" s="25"/>
      <c r="F6" s="24"/>
      <c r="G6" s="19"/>
      <c r="H6" s="14"/>
      <c r="I6" s="16"/>
      <c r="J6" s="16"/>
      <c r="K6" s="15"/>
      <c r="L6" s="15"/>
      <c r="M6" s="16"/>
      <c r="N6" s="16"/>
      <c r="O6" s="15"/>
      <c r="P6" s="15"/>
      <c r="Q6" s="15"/>
      <c r="R6" s="15"/>
      <c r="S6" s="15"/>
      <c r="T6" s="15"/>
      <c r="U6" s="15"/>
      <c r="V6" s="15"/>
      <c r="W6" s="15"/>
      <c r="X6" s="15"/>
      <c r="Y6" s="15"/>
      <c r="Z6" s="15"/>
    </row>
    <row r="7" spans="1:26" ht="15.75" customHeight="1" x14ac:dyDescent="0.25">
      <c r="A7" s="17"/>
      <c r="B7" s="24"/>
      <c r="C7" s="25"/>
      <c r="D7" s="25"/>
      <c r="E7" s="25"/>
      <c r="F7" s="24"/>
      <c r="G7" s="19"/>
      <c r="H7" s="14"/>
      <c r="I7" s="16"/>
      <c r="J7" s="16"/>
      <c r="K7" s="15"/>
      <c r="L7" s="15"/>
      <c r="M7" s="16"/>
      <c r="N7" s="16"/>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6"/>
      <c r="J8" s="16"/>
      <c r="K8" s="15"/>
      <c r="L8" s="15"/>
      <c r="M8" s="16"/>
      <c r="N8" s="16"/>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6"/>
      <c r="J9" s="16"/>
      <c r="K9" s="15"/>
      <c r="L9" s="15"/>
      <c r="M9" s="16"/>
      <c r="N9" s="16"/>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6"/>
      <c r="J10" s="16"/>
      <c r="K10" s="15"/>
      <c r="L10" s="15"/>
      <c r="M10" s="16"/>
      <c r="N10" s="16"/>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6"/>
      <c r="J11" s="16"/>
      <c r="K11" s="15"/>
      <c r="L11" s="15"/>
      <c r="M11" s="16"/>
      <c r="N11" s="16"/>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6"/>
      <c r="J12" s="16"/>
      <c r="K12" s="15"/>
      <c r="L12" s="15"/>
      <c r="M12" s="16"/>
      <c r="N12" s="16"/>
      <c r="O12" s="15"/>
      <c r="P12" s="15"/>
      <c r="Q12" s="15"/>
      <c r="R12" s="15"/>
      <c r="S12" s="15"/>
      <c r="T12" s="15"/>
      <c r="U12" s="15"/>
      <c r="V12" s="15"/>
      <c r="W12" s="15"/>
      <c r="X12" s="15"/>
      <c r="Y12" s="15"/>
      <c r="Z12" s="15"/>
    </row>
    <row r="13" spans="1:26" ht="15.75" customHeight="1" x14ac:dyDescent="0.25">
      <c r="A13" s="17" t="s">
        <v>364</v>
      </c>
      <c r="B13" s="548"/>
      <c r="C13" s="109"/>
      <c r="D13" s="110"/>
      <c r="E13" s="549"/>
      <c r="F13" s="110"/>
      <c r="G13" s="550"/>
      <c r="H13" s="15"/>
      <c r="I13" s="16"/>
      <c r="J13" s="16"/>
      <c r="K13" s="15"/>
      <c r="L13" s="15"/>
      <c r="M13" s="16"/>
      <c r="N13" s="16"/>
      <c r="O13" s="15"/>
      <c r="P13" s="15"/>
      <c r="Q13" s="15"/>
      <c r="R13" s="15"/>
      <c r="S13" s="15"/>
      <c r="T13" s="15"/>
      <c r="U13" s="15"/>
      <c r="V13" s="15"/>
      <c r="W13" s="15"/>
      <c r="X13" s="15"/>
      <c r="Y13" s="15"/>
      <c r="Z13" s="15"/>
    </row>
    <row r="14" spans="1:26" ht="15.75" customHeight="1" x14ac:dyDescent="0.25">
      <c r="A14" s="17" t="s">
        <v>365</v>
      </c>
      <c r="B14" s="172"/>
      <c r="C14" s="42"/>
      <c r="D14" s="42"/>
      <c r="E14" s="42"/>
      <c r="F14" s="42"/>
      <c r="G14" s="42"/>
      <c r="I14" s="40"/>
      <c r="J14" s="40"/>
      <c r="M14" s="40"/>
      <c r="N14" s="40"/>
    </row>
    <row r="15" spans="1:26" ht="15.75" customHeight="1" x14ac:dyDescent="0.25">
      <c r="A15" s="17" t="s">
        <v>366</v>
      </c>
      <c r="B15" s="172"/>
      <c r="C15" s="42"/>
      <c r="D15" s="42"/>
      <c r="E15" s="42"/>
      <c r="F15" s="42"/>
      <c r="G15" s="42"/>
      <c r="I15" s="40"/>
      <c r="J15" s="40"/>
      <c r="M15" s="40"/>
      <c r="N15" s="40"/>
    </row>
    <row r="16" spans="1:26" ht="15.75" customHeight="1" x14ac:dyDescent="0.25">
      <c r="A16" s="44" t="s">
        <v>367</v>
      </c>
      <c r="B16" s="41" t="s">
        <v>121</v>
      </c>
      <c r="C16" s="43">
        <v>7619904.9800000004</v>
      </c>
      <c r="D16" s="43">
        <v>4198158</v>
      </c>
      <c r="E16" s="43">
        <f>F16-D16</f>
        <v>4779906</v>
      </c>
      <c r="F16" s="43">
        <v>8978064</v>
      </c>
      <c r="G16" s="43">
        <v>9386136</v>
      </c>
      <c r="I16" s="40"/>
      <c r="J16" s="40"/>
      <c r="M16" s="40"/>
      <c r="N16" s="40"/>
    </row>
    <row r="17" spans="1:26" ht="15.75" customHeight="1" x14ac:dyDescent="0.25">
      <c r="A17" s="17" t="s">
        <v>368</v>
      </c>
      <c r="B17" s="172"/>
      <c r="C17" s="43"/>
      <c r="D17" s="43"/>
      <c r="E17" s="43"/>
      <c r="F17" s="43"/>
      <c r="G17" s="43"/>
      <c r="I17" s="40"/>
      <c r="J17" s="40"/>
      <c r="M17" s="40"/>
      <c r="N17" s="40"/>
    </row>
    <row r="18" spans="1:26" ht="15.75" customHeight="1" x14ac:dyDescent="0.25">
      <c r="A18" s="44" t="s">
        <v>369</v>
      </c>
      <c r="B18" s="41" t="s">
        <v>125</v>
      </c>
      <c r="C18" s="43">
        <v>327093.84000000003</v>
      </c>
      <c r="D18" s="43">
        <v>180000</v>
      </c>
      <c r="E18" s="43">
        <f t="shared" ref="E18:E24" si="0">F18-D18</f>
        <v>228000</v>
      </c>
      <c r="F18" s="43">
        <v>408000</v>
      </c>
      <c r="G18" s="43">
        <v>408000</v>
      </c>
      <c r="H18" s="15"/>
      <c r="I18" s="16"/>
      <c r="J18" s="16"/>
      <c r="K18" s="15"/>
      <c r="L18" s="15"/>
      <c r="M18" s="16"/>
      <c r="N18" s="16"/>
      <c r="O18" s="15"/>
      <c r="P18" s="15"/>
      <c r="Q18" s="15"/>
      <c r="R18" s="15"/>
      <c r="S18" s="15"/>
      <c r="T18" s="15"/>
      <c r="U18" s="15"/>
      <c r="V18" s="15"/>
      <c r="W18" s="15"/>
      <c r="X18" s="15"/>
      <c r="Y18" s="15"/>
      <c r="Z18" s="15"/>
    </row>
    <row r="19" spans="1:26" ht="15.75" customHeight="1" x14ac:dyDescent="0.25">
      <c r="A19" s="44" t="s">
        <v>370</v>
      </c>
      <c r="B19" s="41" t="s">
        <v>127</v>
      </c>
      <c r="C19" s="43">
        <v>213625</v>
      </c>
      <c r="D19" s="43">
        <v>108000</v>
      </c>
      <c r="E19" s="43">
        <f t="shared" si="0"/>
        <v>108000</v>
      </c>
      <c r="F19" s="43">
        <v>216000</v>
      </c>
      <c r="G19" s="43">
        <v>216000</v>
      </c>
      <c r="H19" s="15"/>
      <c r="I19" s="16"/>
      <c r="J19" s="16"/>
      <c r="K19" s="15"/>
      <c r="L19" s="15"/>
      <c r="M19" s="16"/>
      <c r="N19" s="16"/>
      <c r="O19" s="15"/>
      <c r="P19" s="15"/>
      <c r="Q19" s="15"/>
      <c r="R19" s="15"/>
      <c r="S19" s="15"/>
      <c r="T19" s="15"/>
      <c r="U19" s="15"/>
      <c r="V19" s="15"/>
      <c r="W19" s="15"/>
      <c r="X19" s="15"/>
      <c r="Y19" s="15"/>
      <c r="Z19" s="15"/>
    </row>
    <row r="20" spans="1:26" ht="15.75" customHeight="1" x14ac:dyDescent="0.25">
      <c r="A20" s="44" t="s">
        <v>371</v>
      </c>
      <c r="B20" s="41" t="s">
        <v>372</v>
      </c>
      <c r="C20" s="43">
        <v>213625</v>
      </c>
      <c r="D20" s="43">
        <v>108000</v>
      </c>
      <c r="E20" s="43">
        <f t="shared" si="0"/>
        <v>108000</v>
      </c>
      <c r="F20" s="43">
        <v>216000</v>
      </c>
      <c r="G20" s="43">
        <v>216000</v>
      </c>
      <c r="H20" s="15"/>
      <c r="I20" s="16"/>
      <c r="J20" s="16"/>
      <c r="K20" s="15"/>
      <c r="L20" s="15"/>
      <c r="M20" s="16"/>
      <c r="N20" s="16"/>
      <c r="O20" s="15"/>
      <c r="P20" s="15"/>
      <c r="Q20" s="15"/>
      <c r="R20" s="15"/>
      <c r="S20" s="15"/>
      <c r="T20" s="15"/>
      <c r="U20" s="15"/>
      <c r="V20" s="15"/>
      <c r="W20" s="15"/>
      <c r="X20" s="15"/>
      <c r="Y20" s="15"/>
      <c r="Z20" s="15"/>
    </row>
    <row r="21" spans="1:26" ht="15.75" customHeight="1" x14ac:dyDescent="0.25">
      <c r="A21" s="44" t="s">
        <v>373</v>
      </c>
      <c r="B21" s="41" t="s">
        <v>131</v>
      </c>
      <c r="C21" s="43">
        <v>98000</v>
      </c>
      <c r="D21" s="43">
        <v>105000</v>
      </c>
      <c r="E21" s="43">
        <f t="shared" si="0"/>
        <v>14000</v>
      </c>
      <c r="F21" s="43">
        <v>119000</v>
      </c>
      <c r="G21" s="43">
        <v>119000</v>
      </c>
      <c r="H21" s="15"/>
      <c r="I21" s="16"/>
      <c r="J21" s="16"/>
      <c r="K21" s="15"/>
      <c r="L21" s="15"/>
      <c r="M21" s="16"/>
      <c r="N21" s="16"/>
      <c r="O21" s="15"/>
      <c r="P21" s="15"/>
      <c r="Q21" s="15"/>
      <c r="R21" s="15"/>
      <c r="S21" s="15"/>
      <c r="T21" s="15"/>
      <c r="U21" s="15"/>
      <c r="V21" s="15"/>
      <c r="W21" s="15"/>
      <c r="X21" s="15"/>
      <c r="Y21" s="15"/>
      <c r="Z21" s="15"/>
    </row>
    <row r="22" spans="1:26" ht="15.75" customHeight="1" x14ac:dyDescent="0.25">
      <c r="A22" s="44" t="s">
        <v>690</v>
      </c>
      <c r="B22" s="41" t="s">
        <v>149</v>
      </c>
      <c r="C22" s="43">
        <v>84913.97</v>
      </c>
      <c r="D22" s="43">
        <v>0</v>
      </c>
      <c r="E22" s="43">
        <f t="shared" si="0"/>
        <v>130000</v>
      </c>
      <c r="F22" s="43">
        <v>130000</v>
      </c>
      <c r="G22" s="43">
        <v>130000</v>
      </c>
      <c r="H22" s="15"/>
      <c r="I22" s="16"/>
      <c r="J22" s="16"/>
      <c r="K22" s="15"/>
      <c r="L22" s="15"/>
      <c r="M22" s="16"/>
      <c r="N22" s="16"/>
      <c r="O22" s="15"/>
      <c r="P22" s="15"/>
      <c r="Q22" s="15"/>
      <c r="R22" s="15"/>
      <c r="S22" s="15"/>
      <c r="T22" s="15"/>
      <c r="U22" s="15"/>
      <c r="V22" s="15"/>
      <c r="W22" s="15"/>
      <c r="X22" s="15"/>
      <c r="Y22" s="15"/>
      <c r="Z22" s="15"/>
    </row>
    <row r="23" spans="1:26" ht="15.75" customHeight="1" x14ac:dyDescent="0.25">
      <c r="A23" s="44" t="s">
        <v>374</v>
      </c>
      <c r="B23" s="41" t="s">
        <v>151</v>
      </c>
      <c r="C23" s="43">
        <v>668001</v>
      </c>
      <c r="D23" s="43">
        <v>0</v>
      </c>
      <c r="E23" s="43">
        <f t="shared" si="0"/>
        <v>748172</v>
      </c>
      <c r="F23" s="43">
        <v>748172</v>
      </c>
      <c r="G23" s="43">
        <v>782178</v>
      </c>
      <c r="H23" s="15"/>
      <c r="I23" s="16"/>
      <c r="J23" s="16"/>
      <c r="K23" s="15"/>
      <c r="L23" s="15"/>
      <c r="M23" s="16"/>
      <c r="N23" s="16"/>
      <c r="O23" s="15"/>
      <c r="P23" s="15"/>
      <c r="Q23" s="15"/>
      <c r="R23" s="15"/>
      <c r="S23" s="15"/>
      <c r="T23" s="15"/>
      <c r="U23" s="15"/>
      <c r="V23" s="15"/>
      <c r="W23" s="15"/>
      <c r="X23" s="15"/>
      <c r="Y23" s="15"/>
      <c r="Z23" s="15"/>
    </row>
    <row r="24" spans="1:26" ht="15.75" customHeight="1" x14ac:dyDescent="0.25">
      <c r="A24" s="44" t="s">
        <v>375</v>
      </c>
      <c r="B24" s="41" t="s">
        <v>153</v>
      </c>
      <c r="C24" s="43">
        <v>70500</v>
      </c>
      <c r="D24" s="43">
        <v>0</v>
      </c>
      <c r="E24" s="43">
        <f t="shared" si="0"/>
        <v>85000</v>
      </c>
      <c r="F24" s="43">
        <v>85000</v>
      </c>
      <c r="G24" s="43">
        <v>85000</v>
      </c>
      <c r="H24" s="15"/>
      <c r="I24" s="16"/>
      <c r="J24" s="16"/>
      <c r="K24" s="15"/>
      <c r="L24" s="15"/>
      <c r="M24" s="16"/>
      <c r="N24" s="16"/>
      <c r="O24" s="15"/>
      <c r="P24" s="15"/>
      <c r="Q24" s="15"/>
      <c r="R24" s="15"/>
      <c r="S24" s="15"/>
      <c r="T24" s="15"/>
      <c r="U24" s="15"/>
      <c r="V24" s="15"/>
      <c r="W24" s="15"/>
      <c r="X24" s="15"/>
      <c r="Y24" s="15"/>
      <c r="Z24" s="15"/>
    </row>
    <row r="25" spans="1:26" ht="15.75" customHeight="1" x14ac:dyDescent="0.25">
      <c r="A25" s="44" t="s">
        <v>376</v>
      </c>
      <c r="B25" s="41" t="s">
        <v>155</v>
      </c>
      <c r="C25" s="43"/>
      <c r="D25" s="43"/>
      <c r="E25" s="43"/>
      <c r="F25" s="43"/>
      <c r="G25" s="43"/>
      <c r="H25" s="15"/>
      <c r="I25" s="16"/>
      <c r="J25" s="16"/>
      <c r="K25" s="15"/>
      <c r="L25" s="15"/>
      <c r="M25" s="16"/>
      <c r="N25" s="16"/>
      <c r="O25" s="15"/>
      <c r="P25" s="15"/>
      <c r="Q25" s="15"/>
      <c r="R25" s="15"/>
      <c r="S25" s="15"/>
      <c r="T25" s="15"/>
      <c r="U25" s="15"/>
      <c r="V25" s="15"/>
      <c r="W25" s="15"/>
      <c r="X25" s="15"/>
      <c r="Y25" s="15"/>
      <c r="Z25" s="15"/>
    </row>
    <row r="26" spans="1:26" ht="15.75" customHeight="1" x14ac:dyDescent="0.25">
      <c r="A26" s="44" t="s">
        <v>377</v>
      </c>
      <c r="B26" s="41" t="s">
        <v>157</v>
      </c>
      <c r="C26" s="43">
        <v>10000</v>
      </c>
      <c r="D26" s="43">
        <v>5000</v>
      </c>
      <c r="E26" s="43">
        <f t="shared" ref="E26:E28" si="1">F26-D26</f>
        <v>10000</v>
      </c>
      <c r="F26" s="43">
        <v>15000</v>
      </c>
      <c r="G26" s="43">
        <v>0</v>
      </c>
      <c r="H26" s="15"/>
      <c r="I26" s="16"/>
      <c r="J26" s="16"/>
      <c r="K26" s="15"/>
      <c r="L26" s="15"/>
      <c r="M26" s="16"/>
      <c r="N26" s="16"/>
      <c r="O26" s="15"/>
      <c r="P26" s="15"/>
      <c r="Q26" s="15"/>
      <c r="R26" s="15"/>
      <c r="S26" s="15"/>
      <c r="T26" s="15"/>
      <c r="U26" s="15"/>
      <c r="V26" s="15"/>
      <c r="W26" s="15"/>
      <c r="X26" s="15"/>
      <c r="Y26" s="15"/>
      <c r="Z26" s="15"/>
    </row>
    <row r="27" spans="1:26" ht="15.75" customHeight="1" x14ac:dyDescent="0.25">
      <c r="A27" s="44" t="s">
        <v>1227</v>
      </c>
      <c r="B27" s="41" t="s">
        <v>159</v>
      </c>
      <c r="C27" s="43"/>
      <c r="D27" s="43">
        <v>39000</v>
      </c>
      <c r="E27" s="43">
        <f t="shared" si="1"/>
        <v>12000</v>
      </c>
      <c r="F27" s="43">
        <v>51000</v>
      </c>
      <c r="G27" s="43">
        <v>0</v>
      </c>
      <c r="H27" s="15"/>
      <c r="I27" s="16"/>
      <c r="J27" s="16"/>
      <c r="K27" s="15"/>
      <c r="L27" s="15"/>
      <c r="M27" s="16"/>
      <c r="N27" s="16"/>
      <c r="O27" s="15"/>
      <c r="P27" s="15"/>
      <c r="Q27" s="15"/>
      <c r="R27" s="15"/>
      <c r="S27" s="15"/>
      <c r="T27" s="15"/>
      <c r="U27" s="15"/>
      <c r="V27" s="15"/>
      <c r="W27" s="15"/>
      <c r="X27" s="15"/>
      <c r="Y27" s="15"/>
      <c r="Z27" s="15"/>
    </row>
    <row r="28" spans="1:26" ht="15.75" customHeight="1" x14ac:dyDescent="0.25">
      <c r="A28" s="44" t="s">
        <v>379</v>
      </c>
      <c r="B28" s="41" t="s">
        <v>161</v>
      </c>
      <c r="C28" s="43">
        <v>613850</v>
      </c>
      <c r="D28" s="43">
        <v>699705</v>
      </c>
      <c r="E28" s="43">
        <f t="shared" si="1"/>
        <v>48467</v>
      </c>
      <c r="F28" s="43">
        <v>748172</v>
      </c>
      <c r="G28" s="43">
        <v>782178</v>
      </c>
      <c r="H28" s="15"/>
      <c r="I28" s="16"/>
      <c r="J28" s="16"/>
      <c r="K28" s="15"/>
      <c r="L28" s="15"/>
      <c r="M28" s="16"/>
      <c r="N28" s="16"/>
      <c r="O28" s="15"/>
      <c r="P28" s="15"/>
      <c r="Q28" s="15"/>
      <c r="R28" s="15"/>
      <c r="S28" s="15"/>
      <c r="T28" s="15"/>
      <c r="U28" s="15"/>
      <c r="V28" s="15"/>
      <c r="W28" s="15"/>
      <c r="X28" s="15"/>
      <c r="Y28" s="15"/>
      <c r="Z28" s="15"/>
    </row>
    <row r="29" spans="1:26" ht="15.75" customHeight="1" x14ac:dyDescent="0.25">
      <c r="A29" s="17" t="s">
        <v>380</v>
      </c>
      <c r="B29" s="41"/>
      <c r="C29" s="43"/>
      <c r="D29" s="43"/>
      <c r="E29" s="43"/>
      <c r="F29" s="43"/>
      <c r="G29" s="43"/>
      <c r="H29" s="15"/>
      <c r="I29" s="16"/>
      <c r="J29" s="16"/>
      <c r="K29" s="15"/>
      <c r="L29" s="15"/>
      <c r="M29" s="16"/>
      <c r="N29" s="16"/>
      <c r="O29" s="15"/>
      <c r="P29" s="15"/>
      <c r="Q29" s="15"/>
      <c r="R29" s="15"/>
      <c r="S29" s="15"/>
      <c r="T29" s="15"/>
      <c r="U29" s="15"/>
      <c r="V29" s="15"/>
      <c r="W29" s="15"/>
      <c r="X29" s="15"/>
      <c r="Y29" s="15"/>
      <c r="Z29" s="15"/>
    </row>
    <row r="30" spans="1:26" ht="15.75" customHeight="1" x14ac:dyDescent="0.25">
      <c r="A30" s="44" t="s">
        <v>381</v>
      </c>
      <c r="B30" s="41" t="s">
        <v>165</v>
      </c>
      <c r="C30" s="43">
        <v>914813.67</v>
      </c>
      <c r="D30" s="43">
        <v>503778.96</v>
      </c>
      <c r="E30" s="43">
        <f t="shared" ref="E30:E33" si="2">F30-D30</f>
        <v>573589.04</v>
      </c>
      <c r="F30" s="43">
        <v>1077368</v>
      </c>
      <c r="G30" s="43">
        <v>1126337</v>
      </c>
      <c r="H30" s="15"/>
      <c r="I30" s="16"/>
      <c r="J30" s="16"/>
      <c r="K30" s="15"/>
      <c r="L30" s="15"/>
      <c r="M30" s="16"/>
      <c r="N30" s="16"/>
      <c r="O30" s="15"/>
      <c r="P30" s="15"/>
      <c r="Q30" s="15"/>
      <c r="R30" s="15"/>
      <c r="S30" s="15"/>
      <c r="T30" s="15"/>
      <c r="U30" s="15"/>
      <c r="V30" s="15"/>
      <c r="W30" s="15"/>
      <c r="X30" s="15"/>
      <c r="Y30" s="15"/>
      <c r="Z30" s="15"/>
    </row>
    <row r="31" spans="1:26" ht="15.75" customHeight="1" x14ac:dyDescent="0.25">
      <c r="A31" s="44" t="s">
        <v>382</v>
      </c>
      <c r="B31" s="41" t="s">
        <v>167</v>
      </c>
      <c r="C31" s="43">
        <v>152468.924</v>
      </c>
      <c r="D31" s="43">
        <v>83963.16</v>
      </c>
      <c r="E31" s="43">
        <f t="shared" si="2"/>
        <v>95598.84</v>
      </c>
      <c r="F31" s="43">
        <v>179562</v>
      </c>
      <c r="G31" s="43">
        <v>187723</v>
      </c>
      <c r="H31" s="15"/>
      <c r="I31" s="16"/>
      <c r="J31" s="16"/>
      <c r="K31" s="15"/>
      <c r="L31" s="15"/>
      <c r="M31" s="16"/>
      <c r="N31" s="16"/>
      <c r="O31" s="15"/>
      <c r="P31" s="15"/>
      <c r="Q31" s="15"/>
      <c r="R31" s="15"/>
      <c r="S31" s="15"/>
      <c r="T31" s="15"/>
      <c r="U31" s="15"/>
      <c r="V31" s="15"/>
      <c r="W31" s="15"/>
      <c r="X31" s="15"/>
      <c r="Y31" s="15"/>
      <c r="Z31" s="15"/>
    </row>
    <row r="32" spans="1:26" ht="15.75" customHeight="1" x14ac:dyDescent="0.25">
      <c r="A32" s="44" t="s">
        <v>383</v>
      </c>
      <c r="B32" s="41" t="s">
        <v>169</v>
      </c>
      <c r="C32" s="43">
        <v>183328.14</v>
      </c>
      <c r="D32" s="43">
        <v>100566.67</v>
      </c>
      <c r="E32" s="43">
        <f t="shared" si="2"/>
        <v>115117.33</v>
      </c>
      <c r="F32" s="43">
        <v>215684</v>
      </c>
      <c r="G32" s="43">
        <v>224356</v>
      </c>
      <c r="H32" s="15"/>
      <c r="I32" s="16"/>
      <c r="J32" s="16"/>
      <c r="K32" s="15"/>
      <c r="L32" s="15"/>
      <c r="M32" s="16"/>
      <c r="N32" s="16"/>
      <c r="O32" s="15"/>
      <c r="P32" s="15"/>
      <c r="Q32" s="15"/>
      <c r="R32" s="15"/>
      <c r="S32" s="15"/>
      <c r="T32" s="15"/>
      <c r="U32" s="15"/>
      <c r="V32" s="15"/>
      <c r="W32" s="15"/>
      <c r="X32" s="15"/>
      <c r="Y32" s="15"/>
      <c r="Z32" s="15"/>
    </row>
    <row r="33" spans="1:26" ht="15.75" customHeight="1" x14ac:dyDescent="0.25">
      <c r="A33" s="44" t="s">
        <v>384</v>
      </c>
      <c r="B33" s="41" t="s">
        <v>171</v>
      </c>
      <c r="C33" s="43">
        <v>16470.39</v>
      </c>
      <c r="D33" s="43">
        <v>9000</v>
      </c>
      <c r="E33" s="43">
        <f t="shared" si="2"/>
        <v>11400</v>
      </c>
      <c r="F33" s="43">
        <v>20400</v>
      </c>
      <c r="G33" s="43">
        <v>20400</v>
      </c>
      <c r="H33" s="15"/>
      <c r="I33" s="16"/>
      <c r="J33" s="16"/>
      <c r="K33" s="15"/>
      <c r="L33" s="15"/>
      <c r="M33" s="16"/>
      <c r="N33" s="16"/>
      <c r="O33" s="15"/>
      <c r="P33" s="15"/>
      <c r="Q33" s="15"/>
      <c r="R33" s="15"/>
      <c r="S33" s="15"/>
      <c r="T33" s="15"/>
      <c r="U33" s="15"/>
      <c r="V33" s="15"/>
      <c r="W33" s="15"/>
      <c r="X33" s="15"/>
      <c r="Y33" s="15"/>
      <c r="Z33" s="15"/>
    </row>
    <row r="34" spans="1:26" ht="15.75" customHeight="1" x14ac:dyDescent="0.25">
      <c r="A34" s="17" t="s">
        <v>624</v>
      </c>
      <c r="B34" s="41"/>
      <c r="C34" s="43"/>
      <c r="D34" s="43"/>
      <c r="E34" s="43"/>
      <c r="F34" s="43"/>
      <c r="G34" s="43"/>
      <c r="H34" s="15"/>
      <c r="I34" s="16"/>
      <c r="J34" s="16"/>
      <c r="K34" s="15"/>
      <c r="L34" s="15"/>
      <c r="M34" s="16"/>
      <c r="N34" s="16"/>
      <c r="O34" s="15"/>
      <c r="P34" s="15"/>
      <c r="Q34" s="15"/>
      <c r="R34" s="15"/>
      <c r="S34" s="15"/>
      <c r="T34" s="15"/>
      <c r="U34" s="15"/>
      <c r="V34" s="15"/>
      <c r="W34" s="15"/>
      <c r="X34" s="15"/>
      <c r="Y34" s="15"/>
      <c r="Z34" s="15"/>
    </row>
    <row r="35" spans="1:26" ht="15.75" customHeight="1" x14ac:dyDescent="0.25">
      <c r="A35" s="44" t="s">
        <v>386</v>
      </c>
      <c r="B35" s="41" t="s">
        <v>179</v>
      </c>
      <c r="C35" s="43">
        <v>218010.96</v>
      </c>
      <c r="D35" s="43"/>
      <c r="E35" s="43">
        <f t="shared" ref="E35:E37" si="3">F35-D35</f>
        <v>677521</v>
      </c>
      <c r="F35" s="43">
        <v>677521</v>
      </c>
      <c r="G35" s="43">
        <v>1612451</v>
      </c>
      <c r="H35" s="15"/>
      <c r="I35" s="16"/>
      <c r="J35" s="16"/>
      <c r="K35" s="15"/>
      <c r="L35" s="15"/>
      <c r="M35" s="16"/>
      <c r="N35" s="16"/>
      <c r="O35" s="15"/>
      <c r="P35" s="15"/>
      <c r="Q35" s="15"/>
      <c r="R35" s="15"/>
      <c r="S35" s="15"/>
      <c r="T35" s="15"/>
      <c r="U35" s="15"/>
      <c r="V35" s="15"/>
      <c r="W35" s="15"/>
      <c r="X35" s="15"/>
      <c r="Y35" s="15"/>
      <c r="Z35" s="15"/>
    </row>
    <row r="36" spans="1:26" ht="15.75" customHeight="1" x14ac:dyDescent="0.25">
      <c r="A36" s="44" t="s">
        <v>387</v>
      </c>
      <c r="B36" s="41" t="s">
        <v>181</v>
      </c>
      <c r="C36" s="43">
        <v>247958.56</v>
      </c>
      <c r="D36" s="43">
        <v>58210.76</v>
      </c>
      <c r="E36" s="43">
        <f t="shared" si="3"/>
        <v>302354.24</v>
      </c>
      <c r="F36" s="43">
        <v>360565</v>
      </c>
      <c r="G36" s="43">
        <v>376953</v>
      </c>
      <c r="H36" s="15"/>
      <c r="I36" s="16"/>
      <c r="J36" s="16"/>
      <c r="K36" s="15"/>
      <c r="L36" s="15"/>
      <c r="M36" s="16"/>
      <c r="N36" s="16"/>
      <c r="O36" s="15"/>
      <c r="P36" s="15"/>
      <c r="Q36" s="15"/>
      <c r="R36" s="15"/>
      <c r="S36" s="15"/>
      <c r="T36" s="15"/>
      <c r="U36" s="15"/>
      <c r="V36" s="15"/>
      <c r="W36" s="15"/>
      <c r="X36" s="15"/>
      <c r="Y36" s="15"/>
      <c r="Z36" s="15"/>
    </row>
    <row r="37" spans="1:26" ht="15.75" customHeight="1" x14ac:dyDescent="0.25">
      <c r="A37" s="460" t="s">
        <v>388</v>
      </c>
      <c r="B37" s="461" t="s">
        <v>183</v>
      </c>
      <c r="C37" s="443">
        <v>71500</v>
      </c>
      <c r="D37" s="443">
        <v>0</v>
      </c>
      <c r="E37" s="443">
        <f t="shared" si="3"/>
        <v>85000</v>
      </c>
      <c r="F37" s="443">
        <v>85000</v>
      </c>
      <c r="G37" s="462">
        <v>85000</v>
      </c>
      <c r="H37" s="515"/>
      <c r="I37" s="16"/>
      <c r="J37" s="16"/>
      <c r="K37" s="15"/>
      <c r="L37" s="15"/>
      <c r="M37" s="16"/>
      <c r="N37" s="16"/>
      <c r="O37" s="15"/>
      <c r="P37" s="15"/>
      <c r="Q37" s="15"/>
      <c r="R37" s="15"/>
      <c r="S37" s="15"/>
      <c r="T37" s="15"/>
      <c r="U37" s="15"/>
      <c r="V37" s="15"/>
      <c r="W37" s="15"/>
      <c r="X37" s="15"/>
      <c r="Y37" s="15"/>
      <c r="Z37" s="15"/>
    </row>
    <row r="38" spans="1:26" ht="31.5" x14ac:dyDescent="0.25">
      <c r="A38" s="88" t="s">
        <v>625</v>
      </c>
      <c r="B38" s="49"/>
      <c r="C38" s="43">
        <v>0</v>
      </c>
      <c r="D38" s="43">
        <v>0</v>
      </c>
      <c r="E38" s="43">
        <v>0</v>
      </c>
      <c r="F38" s="43">
        <v>0</v>
      </c>
      <c r="G38" s="43">
        <v>267266</v>
      </c>
      <c r="H38" s="15"/>
      <c r="I38" s="16"/>
      <c r="J38" s="16"/>
      <c r="K38" s="15"/>
      <c r="L38" s="15"/>
      <c r="M38" s="16"/>
      <c r="N38" s="16"/>
      <c r="O38" s="15"/>
      <c r="P38" s="15"/>
      <c r="Q38" s="15"/>
      <c r="R38" s="15"/>
      <c r="S38" s="15"/>
      <c r="T38" s="15"/>
      <c r="U38" s="15"/>
      <c r="V38" s="15"/>
      <c r="W38" s="15"/>
      <c r="X38" s="15"/>
      <c r="Y38" s="15"/>
      <c r="Z38" s="15"/>
    </row>
    <row r="39" spans="1:26" ht="15.75" customHeight="1" x14ac:dyDescent="0.25">
      <c r="A39" s="42" t="s">
        <v>632</v>
      </c>
      <c r="B39" s="41"/>
      <c r="C39" s="79">
        <f t="shared" ref="C39:D39" si="4">+SUM(C16:C37)</f>
        <v>11724064.434000004</v>
      </c>
      <c r="D39" s="54">
        <f t="shared" si="4"/>
        <v>6198382.5499999998</v>
      </c>
      <c r="E39" s="54">
        <f>F39-D39</f>
        <v>8132125.4500000002</v>
      </c>
      <c r="F39" s="54">
        <f>+SUM(F16:F37)</f>
        <v>14330508</v>
      </c>
      <c r="G39" s="54">
        <f>+SUM(G16:G38)</f>
        <v>16024978</v>
      </c>
      <c r="H39" s="232"/>
      <c r="I39" s="203"/>
      <c r="J39" s="203"/>
      <c r="K39" s="232"/>
      <c r="L39" s="232"/>
      <c r="M39" s="203"/>
      <c r="N39" s="203"/>
      <c r="O39" s="232"/>
      <c r="P39" s="232"/>
      <c r="Q39" s="232"/>
      <c r="R39" s="232"/>
      <c r="S39" s="232"/>
      <c r="T39" s="232"/>
      <c r="U39" s="232"/>
      <c r="V39" s="232"/>
      <c r="W39" s="232"/>
      <c r="X39" s="232"/>
      <c r="Y39" s="232"/>
      <c r="Z39" s="232"/>
    </row>
    <row r="40" spans="1:26" ht="15.75" customHeight="1" x14ac:dyDescent="0.25">
      <c r="A40" s="42" t="s">
        <v>391</v>
      </c>
      <c r="B40" s="41"/>
      <c r="C40" s="268"/>
      <c r="D40" s="81"/>
      <c r="E40" s="43"/>
      <c r="F40" s="38"/>
      <c r="G40" s="38"/>
      <c r="H40" s="10"/>
      <c r="I40" s="282"/>
      <c r="J40" s="282"/>
      <c r="K40" s="10"/>
      <c r="L40" s="10"/>
      <c r="M40" s="282"/>
      <c r="N40" s="282"/>
      <c r="O40" s="10"/>
      <c r="P40" s="10"/>
      <c r="Q40" s="10"/>
      <c r="R40" s="10"/>
      <c r="S40" s="10"/>
      <c r="T40" s="10"/>
      <c r="U40" s="10"/>
      <c r="V40" s="10"/>
      <c r="W40" s="10"/>
      <c r="X40" s="10"/>
      <c r="Y40" s="10"/>
      <c r="Z40" s="10"/>
    </row>
    <row r="41" spans="1:26" ht="15.75" customHeight="1" x14ac:dyDescent="0.25">
      <c r="A41" s="42" t="s">
        <v>392</v>
      </c>
      <c r="B41" s="41"/>
      <c r="C41" s="43"/>
      <c r="D41" s="43"/>
      <c r="E41" s="43"/>
      <c r="F41" s="43"/>
      <c r="G41" s="43"/>
      <c r="H41" s="15"/>
      <c r="I41" s="16"/>
      <c r="J41" s="16"/>
      <c r="K41" s="15"/>
      <c r="L41" s="15"/>
      <c r="M41" s="16"/>
      <c r="N41" s="16"/>
      <c r="O41" s="15"/>
      <c r="P41" s="15"/>
      <c r="Q41" s="15"/>
      <c r="R41" s="15"/>
      <c r="S41" s="15"/>
      <c r="T41" s="15"/>
      <c r="U41" s="15"/>
      <c r="V41" s="15"/>
      <c r="W41" s="15"/>
      <c r="X41" s="15"/>
      <c r="Y41" s="15"/>
      <c r="Z41" s="15"/>
    </row>
    <row r="42" spans="1:26" ht="15.75" customHeight="1" x14ac:dyDescent="0.25">
      <c r="A42" s="44" t="s">
        <v>1356</v>
      </c>
      <c r="B42" s="41" t="s">
        <v>187</v>
      </c>
      <c r="C42" s="43">
        <v>86848.24</v>
      </c>
      <c r="D42" s="43">
        <v>89476.28</v>
      </c>
      <c r="E42" s="43">
        <f>F42-D42</f>
        <v>60523.72</v>
      </c>
      <c r="F42" s="43">
        <v>150000</v>
      </c>
      <c r="G42" s="43">
        <v>150000</v>
      </c>
      <c r="H42" s="15"/>
      <c r="I42" s="16"/>
      <c r="J42" s="16"/>
      <c r="K42" s="15"/>
      <c r="L42" s="15"/>
      <c r="M42" s="16"/>
      <c r="N42" s="16"/>
      <c r="O42" s="15"/>
      <c r="P42" s="15"/>
      <c r="Q42" s="15"/>
      <c r="R42" s="15"/>
      <c r="S42" s="15"/>
      <c r="T42" s="15"/>
      <c r="U42" s="15"/>
      <c r="V42" s="15"/>
      <c r="W42" s="15"/>
      <c r="X42" s="15"/>
      <c r="Y42" s="15"/>
      <c r="Z42" s="15"/>
    </row>
    <row r="43" spans="1:26" ht="15.75" customHeight="1" x14ac:dyDescent="0.25">
      <c r="A43" s="17" t="s">
        <v>395</v>
      </c>
      <c r="B43" s="41"/>
      <c r="C43" s="43"/>
      <c r="D43" s="43"/>
      <c r="E43" s="43"/>
      <c r="F43" s="43"/>
      <c r="G43" s="43"/>
      <c r="H43" s="15"/>
      <c r="I43" s="16"/>
      <c r="J43" s="16"/>
      <c r="K43" s="15"/>
      <c r="L43" s="15"/>
      <c r="M43" s="16"/>
      <c r="N43" s="16"/>
      <c r="O43" s="15"/>
      <c r="P43" s="15"/>
      <c r="Q43" s="15"/>
      <c r="R43" s="15"/>
      <c r="S43" s="15"/>
      <c r="T43" s="15"/>
      <c r="U43" s="15"/>
      <c r="V43" s="15"/>
      <c r="W43" s="15"/>
      <c r="X43" s="15"/>
      <c r="Y43" s="15"/>
      <c r="Z43" s="15"/>
    </row>
    <row r="44" spans="1:26" ht="15.75" customHeight="1" x14ac:dyDescent="0.25">
      <c r="A44" s="44" t="s">
        <v>1357</v>
      </c>
      <c r="B44" s="41" t="s">
        <v>191</v>
      </c>
      <c r="C44" s="43">
        <v>499874.39</v>
      </c>
      <c r="D44" s="43">
        <v>397666.6</v>
      </c>
      <c r="E44" s="43">
        <f>F44-D44</f>
        <v>372333.4</v>
      </c>
      <c r="F44" s="43">
        <v>770000</v>
      </c>
      <c r="G44" s="43">
        <v>1220000</v>
      </c>
      <c r="H44" s="15"/>
      <c r="I44" s="16"/>
      <c r="J44" s="16"/>
      <c r="K44" s="15"/>
      <c r="L44" s="15"/>
      <c r="M44" s="16"/>
      <c r="N44" s="16"/>
      <c r="O44" s="15"/>
      <c r="P44" s="15"/>
      <c r="Q44" s="15"/>
      <c r="R44" s="15"/>
      <c r="S44" s="15"/>
      <c r="T44" s="15"/>
      <c r="U44" s="15"/>
      <c r="V44" s="15"/>
      <c r="W44" s="15"/>
      <c r="X44" s="15"/>
      <c r="Y44" s="15"/>
      <c r="Z44" s="15"/>
    </row>
    <row r="45" spans="1:26" ht="15.75" customHeight="1" x14ac:dyDescent="0.25">
      <c r="A45" s="44" t="s">
        <v>1417</v>
      </c>
      <c r="B45" s="41"/>
      <c r="C45" s="43"/>
      <c r="D45" s="43"/>
      <c r="E45" s="43"/>
      <c r="F45" s="43"/>
      <c r="G45" s="43"/>
      <c r="H45" s="15"/>
      <c r="I45" s="16">
        <v>1120000</v>
      </c>
      <c r="J45" s="16"/>
      <c r="K45" s="15"/>
      <c r="L45" s="15"/>
      <c r="M45" s="16"/>
      <c r="N45" s="16"/>
      <c r="O45" s="15"/>
      <c r="P45" s="15"/>
      <c r="Q45" s="15"/>
      <c r="R45" s="15"/>
      <c r="S45" s="15"/>
      <c r="T45" s="15"/>
      <c r="U45" s="15"/>
      <c r="V45" s="15"/>
      <c r="W45" s="15"/>
      <c r="X45" s="15"/>
      <c r="Y45" s="15"/>
      <c r="Z45" s="15"/>
    </row>
    <row r="46" spans="1:26" ht="31.5" x14ac:dyDescent="0.25">
      <c r="A46" s="118" t="s">
        <v>1418</v>
      </c>
      <c r="B46" s="41"/>
      <c r="C46" s="43"/>
      <c r="D46" s="43"/>
      <c r="E46" s="43"/>
      <c r="F46" s="43"/>
      <c r="G46" s="43"/>
      <c r="H46" s="15"/>
      <c r="I46" s="16">
        <v>100000</v>
      </c>
      <c r="J46" s="16">
        <f>I45+I46</f>
        <v>1220000</v>
      </c>
      <c r="K46" s="15"/>
      <c r="L46" s="15"/>
      <c r="M46" s="16"/>
      <c r="N46" s="16"/>
      <c r="O46" s="15"/>
      <c r="P46" s="15"/>
      <c r="Q46" s="15"/>
      <c r="R46" s="15"/>
      <c r="S46" s="15"/>
      <c r="T46" s="15"/>
      <c r="U46" s="15"/>
      <c r="V46" s="15"/>
      <c r="W46" s="15"/>
      <c r="X46" s="15"/>
      <c r="Y46" s="15"/>
      <c r="Z46" s="15"/>
    </row>
    <row r="47" spans="1:26" ht="15.75" customHeight="1" x14ac:dyDescent="0.25">
      <c r="A47" s="17" t="s">
        <v>397</v>
      </c>
      <c r="B47" s="41"/>
      <c r="C47" s="43"/>
      <c r="D47" s="43"/>
      <c r="E47" s="43"/>
      <c r="F47" s="43"/>
      <c r="G47" s="43"/>
      <c r="H47" s="15"/>
      <c r="I47" s="16"/>
      <c r="J47" s="16"/>
      <c r="K47" s="15"/>
      <c r="L47" s="15"/>
      <c r="M47" s="16"/>
      <c r="N47" s="16"/>
      <c r="O47" s="15"/>
      <c r="P47" s="15"/>
      <c r="Q47" s="15"/>
      <c r="R47" s="15"/>
      <c r="S47" s="15"/>
      <c r="T47" s="15"/>
      <c r="U47" s="15"/>
      <c r="V47" s="15"/>
      <c r="W47" s="15"/>
      <c r="X47" s="15"/>
      <c r="Y47" s="15"/>
      <c r="Z47" s="15"/>
    </row>
    <row r="48" spans="1:26" ht="15.75" customHeight="1" x14ac:dyDescent="0.25">
      <c r="A48" s="44" t="s">
        <v>1358</v>
      </c>
      <c r="B48" s="41" t="s">
        <v>195</v>
      </c>
      <c r="C48" s="43">
        <v>389779.34</v>
      </c>
      <c r="D48" s="43">
        <v>108287.41</v>
      </c>
      <c r="E48" s="43">
        <f t="shared" ref="E48:E49" si="5">F48-D48</f>
        <v>362522.58999999997</v>
      </c>
      <c r="F48" s="43">
        <v>470810</v>
      </c>
      <c r="G48" s="43">
        <v>540001</v>
      </c>
      <c r="H48" s="15"/>
      <c r="I48" s="16"/>
      <c r="J48" s="16"/>
      <c r="K48" s="15"/>
      <c r="L48" s="15"/>
      <c r="M48" s="16"/>
      <c r="N48" s="16"/>
      <c r="O48" s="15"/>
      <c r="P48" s="15"/>
      <c r="Q48" s="15"/>
      <c r="R48" s="15"/>
      <c r="S48" s="15"/>
      <c r="T48" s="15"/>
      <c r="U48" s="15"/>
      <c r="V48" s="15"/>
      <c r="W48" s="15"/>
      <c r="X48" s="15"/>
      <c r="Y48" s="15"/>
      <c r="Z48" s="15"/>
    </row>
    <row r="49" spans="1:26" ht="15.75" customHeight="1" x14ac:dyDescent="0.25">
      <c r="A49" s="96" t="s">
        <v>1359</v>
      </c>
      <c r="B49" s="41" t="s">
        <v>221</v>
      </c>
      <c r="C49" s="43">
        <v>0</v>
      </c>
      <c r="D49" s="43">
        <v>0</v>
      </c>
      <c r="E49" s="43">
        <f t="shared" si="5"/>
        <v>30000</v>
      </c>
      <c r="F49" s="43">
        <v>30000</v>
      </c>
      <c r="G49" s="43">
        <v>162021</v>
      </c>
      <c r="H49" s="15"/>
      <c r="I49" s="16"/>
      <c r="J49" s="16"/>
      <c r="K49" s="15"/>
      <c r="L49" s="15"/>
      <c r="M49" s="16"/>
      <c r="N49" s="16"/>
      <c r="O49" s="15"/>
      <c r="P49" s="15"/>
      <c r="Q49" s="15"/>
      <c r="R49" s="15"/>
      <c r="S49" s="15"/>
      <c r="T49" s="15"/>
      <c r="U49" s="15"/>
      <c r="V49" s="15"/>
      <c r="W49" s="15"/>
      <c r="X49" s="15"/>
      <c r="Y49" s="15"/>
      <c r="Z49" s="15"/>
    </row>
    <row r="50" spans="1:26" ht="15.75" customHeight="1" x14ac:dyDescent="0.25">
      <c r="A50" s="96" t="s">
        <v>1360</v>
      </c>
      <c r="B50" s="41" t="s">
        <v>223</v>
      </c>
      <c r="C50" s="43"/>
      <c r="D50" s="43"/>
      <c r="E50" s="43"/>
      <c r="F50" s="43"/>
      <c r="G50" s="43">
        <v>28050</v>
      </c>
      <c r="H50" s="15"/>
      <c r="I50" s="16"/>
      <c r="J50" s="16"/>
      <c r="K50" s="15"/>
      <c r="L50" s="15"/>
      <c r="M50" s="16"/>
      <c r="N50" s="16"/>
      <c r="O50" s="15"/>
      <c r="P50" s="15"/>
      <c r="Q50" s="15"/>
      <c r="R50" s="15"/>
      <c r="S50" s="15"/>
      <c r="T50" s="15"/>
      <c r="U50" s="15"/>
      <c r="V50" s="15"/>
      <c r="W50" s="15"/>
      <c r="X50" s="15"/>
      <c r="Y50" s="15"/>
      <c r="Z50" s="15"/>
    </row>
    <row r="51" spans="1:26" ht="15.75" customHeight="1" x14ac:dyDescent="0.25">
      <c r="A51" s="44" t="s">
        <v>1362</v>
      </c>
      <c r="B51" s="41" t="s">
        <v>225</v>
      </c>
      <c r="C51" s="43">
        <v>97625.86</v>
      </c>
      <c r="D51" s="43">
        <v>0</v>
      </c>
      <c r="E51" s="43">
        <f>F51-D51</f>
        <v>28386</v>
      </c>
      <c r="F51" s="43">
        <v>28386</v>
      </c>
      <c r="G51" s="43">
        <v>41556</v>
      </c>
      <c r="H51" s="15"/>
      <c r="I51" s="16"/>
      <c r="J51" s="16"/>
      <c r="K51" s="15"/>
      <c r="L51" s="15"/>
      <c r="M51" s="16"/>
      <c r="N51" s="16"/>
      <c r="O51" s="15"/>
      <c r="P51" s="15"/>
      <c r="Q51" s="15"/>
      <c r="R51" s="15"/>
      <c r="S51" s="15"/>
      <c r="T51" s="15"/>
      <c r="U51" s="15"/>
      <c r="V51" s="15"/>
      <c r="W51" s="15"/>
      <c r="X51" s="15"/>
      <c r="Y51" s="15"/>
      <c r="Z51" s="15"/>
    </row>
    <row r="52" spans="1:26" ht="15.75" customHeight="1" x14ac:dyDescent="0.25">
      <c r="A52" s="17" t="s">
        <v>403</v>
      </c>
      <c r="B52" s="41"/>
      <c r="C52" s="43"/>
      <c r="D52" s="43"/>
      <c r="E52" s="43"/>
      <c r="F52" s="43"/>
      <c r="G52" s="43"/>
      <c r="H52" s="15"/>
      <c r="I52" s="16"/>
      <c r="J52" s="16"/>
      <c r="K52" s="15"/>
      <c r="L52" s="15"/>
      <c r="M52" s="16"/>
      <c r="N52" s="16"/>
      <c r="O52" s="15"/>
      <c r="P52" s="15"/>
      <c r="Q52" s="15"/>
      <c r="R52" s="15"/>
      <c r="S52" s="15"/>
      <c r="T52" s="15"/>
      <c r="U52" s="15"/>
      <c r="V52" s="15"/>
      <c r="W52" s="15"/>
      <c r="X52" s="15"/>
      <c r="Y52" s="15"/>
      <c r="Z52" s="15"/>
    </row>
    <row r="53" spans="1:26" ht="15.75" customHeight="1" x14ac:dyDescent="0.25">
      <c r="A53" s="44" t="s">
        <v>1419</v>
      </c>
      <c r="B53" s="41" t="s">
        <v>231</v>
      </c>
      <c r="C53" s="43">
        <v>0</v>
      </c>
      <c r="D53" s="43">
        <v>0</v>
      </c>
      <c r="E53" s="43">
        <f t="shared" ref="E53:E54" si="6">F53-D53</f>
        <v>5000</v>
      </c>
      <c r="F53" s="43">
        <v>5000</v>
      </c>
      <c r="G53" s="43">
        <v>5000</v>
      </c>
      <c r="H53" s="15"/>
      <c r="I53" s="16"/>
      <c r="J53" s="16"/>
      <c r="K53" s="15"/>
      <c r="L53" s="15"/>
      <c r="M53" s="16"/>
      <c r="N53" s="16"/>
      <c r="O53" s="15"/>
      <c r="P53" s="15"/>
      <c r="Q53" s="15"/>
      <c r="R53" s="15"/>
      <c r="S53" s="15"/>
      <c r="T53" s="15"/>
      <c r="U53" s="15"/>
      <c r="V53" s="15"/>
      <c r="W53" s="15"/>
      <c r="X53" s="15"/>
      <c r="Y53" s="15"/>
      <c r="Z53" s="15"/>
    </row>
    <row r="54" spans="1:26" ht="15.75" customHeight="1" x14ac:dyDescent="0.25">
      <c r="A54" s="610" t="s">
        <v>1363</v>
      </c>
      <c r="B54" s="483" t="s">
        <v>235</v>
      </c>
      <c r="C54" s="457">
        <v>42000</v>
      </c>
      <c r="D54" s="457">
        <v>19500</v>
      </c>
      <c r="E54" s="457">
        <f t="shared" si="6"/>
        <v>34500</v>
      </c>
      <c r="F54" s="457">
        <v>54000</v>
      </c>
      <c r="G54" s="457">
        <f>(2000+2500)*12</f>
        <v>54000</v>
      </c>
      <c r="H54" s="15"/>
      <c r="I54" s="16"/>
      <c r="J54" s="16"/>
      <c r="K54" s="15"/>
      <c r="L54" s="15"/>
      <c r="M54" s="16"/>
      <c r="N54" s="16"/>
      <c r="O54" s="15"/>
      <c r="P54" s="15"/>
      <c r="Q54" s="15"/>
      <c r="R54" s="15"/>
      <c r="S54" s="15"/>
      <c r="T54" s="15"/>
      <c r="U54" s="15"/>
      <c r="V54" s="15"/>
      <c r="W54" s="15"/>
      <c r="X54" s="15"/>
      <c r="Y54" s="15"/>
      <c r="Z54" s="15"/>
    </row>
    <row r="55" spans="1:26" ht="15.75" customHeight="1" x14ac:dyDescent="0.25">
      <c r="A55" s="599" t="s">
        <v>662</v>
      </c>
      <c r="B55" s="601"/>
      <c r="C55" s="448"/>
      <c r="D55" s="448"/>
      <c r="E55" s="448"/>
      <c r="F55" s="448"/>
      <c r="G55" s="448"/>
      <c r="H55" s="15"/>
      <c r="I55" s="16"/>
      <c r="J55" s="16"/>
      <c r="K55" s="15"/>
      <c r="L55" s="15"/>
      <c r="M55" s="16"/>
      <c r="N55" s="16"/>
      <c r="O55" s="15"/>
      <c r="P55" s="15"/>
      <c r="Q55" s="15"/>
      <c r="R55" s="15"/>
      <c r="S55" s="15"/>
      <c r="T55" s="15"/>
      <c r="U55" s="15"/>
      <c r="V55" s="15"/>
      <c r="W55" s="15"/>
      <c r="X55" s="15"/>
      <c r="Y55" s="15"/>
      <c r="Z55" s="15"/>
    </row>
    <row r="56" spans="1:26" ht="15.75" customHeight="1" x14ac:dyDescent="0.25">
      <c r="A56" s="44" t="s">
        <v>1420</v>
      </c>
      <c r="B56" s="41" t="s">
        <v>331</v>
      </c>
      <c r="C56" s="43">
        <v>0</v>
      </c>
      <c r="D56" s="43">
        <v>0</v>
      </c>
      <c r="E56" s="43">
        <v>0</v>
      </c>
      <c r="F56" s="43">
        <v>0</v>
      </c>
      <c r="G56" s="43">
        <v>6000</v>
      </c>
      <c r="H56" s="15"/>
      <c r="I56" s="16"/>
      <c r="J56" s="16"/>
      <c r="K56" s="15"/>
      <c r="L56" s="15"/>
      <c r="M56" s="16"/>
      <c r="N56" s="16"/>
      <c r="O56" s="15"/>
      <c r="P56" s="15"/>
      <c r="Q56" s="15"/>
      <c r="R56" s="15"/>
      <c r="S56" s="15"/>
      <c r="T56" s="15"/>
      <c r="U56" s="15"/>
      <c r="V56" s="15"/>
      <c r="W56" s="15"/>
      <c r="X56" s="15"/>
      <c r="Y56" s="15"/>
      <c r="Z56" s="15"/>
    </row>
    <row r="57" spans="1:26" ht="15.75" customHeight="1" x14ac:dyDescent="0.25">
      <c r="A57" s="44" t="s">
        <v>414</v>
      </c>
      <c r="B57" s="41" t="s">
        <v>335</v>
      </c>
      <c r="C57" s="43">
        <v>583465.53</v>
      </c>
      <c r="D57" s="43">
        <v>286166.81</v>
      </c>
      <c r="E57" s="43">
        <f>F57-D57</f>
        <v>1057321.19</v>
      </c>
      <c r="F57" s="43">
        <v>1343488</v>
      </c>
      <c r="G57" s="43">
        <v>1070420</v>
      </c>
      <c r="H57" s="15"/>
      <c r="I57" s="99"/>
      <c r="J57" s="16"/>
      <c r="K57" s="15"/>
      <c r="L57" s="15"/>
      <c r="M57" s="16"/>
      <c r="N57" s="16"/>
      <c r="O57" s="15"/>
      <c r="P57" s="15"/>
      <c r="Q57" s="15"/>
      <c r="R57" s="15"/>
      <c r="S57" s="15"/>
      <c r="T57" s="15"/>
      <c r="U57" s="15"/>
      <c r="V57" s="15"/>
      <c r="W57" s="15"/>
      <c r="X57" s="15"/>
      <c r="Y57" s="15"/>
      <c r="Z57" s="15"/>
    </row>
    <row r="58" spans="1:26" ht="31.5" x14ac:dyDescent="0.25">
      <c r="A58" s="118" t="s">
        <v>1421</v>
      </c>
      <c r="B58" s="41"/>
      <c r="C58" s="43"/>
      <c r="D58" s="43"/>
      <c r="E58" s="43"/>
      <c r="F58" s="43"/>
      <c r="G58" s="43"/>
      <c r="H58" s="15"/>
      <c r="I58" s="99"/>
      <c r="J58" s="16"/>
      <c r="K58" s="15"/>
      <c r="L58" s="15"/>
      <c r="M58" s="16">
        <v>31500</v>
      </c>
      <c r="N58" s="16"/>
      <c r="O58" s="15"/>
      <c r="P58" s="15"/>
      <c r="Q58" s="15"/>
      <c r="R58" s="15"/>
      <c r="S58" s="15"/>
      <c r="T58" s="15"/>
      <c r="U58" s="15"/>
      <c r="V58" s="15"/>
      <c r="W58" s="15"/>
      <c r="X58" s="15"/>
      <c r="Y58" s="15"/>
      <c r="Z58" s="15"/>
    </row>
    <row r="59" spans="1:26" ht="15.75" customHeight="1" x14ac:dyDescent="0.25">
      <c r="A59" s="44" t="s">
        <v>1422</v>
      </c>
      <c r="B59" s="41"/>
      <c r="C59" s="43"/>
      <c r="D59" s="43"/>
      <c r="E59" s="43"/>
      <c r="F59" s="43"/>
      <c r="G59" s="43"/>
      <c r="H59" s="15"/>
      <c r="I59" s="99"/>
      <c r="J59" s="16"/>
      <c r="K59" s="15"/>
      <c r="L59" s="15"/>
      <c r="M59" s="16">
        <v>37000</v>
      </c>
      <c r="N59" s="16"/>
      <c r="O59" s="15"/>
      <c r="P59" s="15"/>
      <c r="Q59" s="15"/>
      <c r="R59" s="15"/>
      <c r="S59" s="15"/>
      <c r="T59" s="15"/>
      <c r="U59" s="15"/>
      <c r="V59" s="15"/>
      <c r="W59" s="15"/>
      <c r="X59" s="15"/>
      <c r="Y59" s="15"/>
      <c r="Z59" s="15"/>
    </row>
    <row r="60" spans="1:26" ht="31.5" x14ac:dyDescent="0.25">
      <c r="A60" s="118" t="s">
        <v>1423</v>
      </c>
      <c r="B60" s="41"/>
      <c r="C60" s="43"/>
      <c r="D60" s="43"/>
      <c r="E60" s="43"/>
      <c r="F60" s="43"/>
      <c r="G60" s="43"/>
      <c r="H60" s="15"/>
      <c r="I60" s="99"/>
      <c r="J60" s="16"/>
      <c r="K60" s="15"/>
      <c r="L60" s="15"/>
      <c r="M60" s="16">
        <v>450000</v>
      </c>
      <c r="N60" s="16"/>
      <c r="O60" s="15"/>
      <c r="P60" s="15"/>
      <c r="Q60" s="15"/>
      <c r="R60" s="15"/>
      <c r="S60" s="15"/>
      <c r="T60" s="15"/>
      <c r="U60" s="15"/>
      <c r="V60" s="15"/>
      <c r="W60" s="15"/>
      <c r="X60" s="15"/>
      <c r="Y60" s="15"/>
      <c r="Z60" s="15"/>
    </row>
    <row r="61" spans="1:26" ht="15.75" customHeight="1" x14ac:dyDescent="0.25">
      <c r="A61" s="44" t="s">
        <v>1424</v>
      </c>
      <c r="B61" s="41"/>
      <c r="C61" s="43"/>
      <c r="D61" s="43"/>
      <c r="E61" s="43"/>
      <c r="F61" s="43"/>
      <c r="G61" s="43"/>
      <c r="H61" s="15"/>
      <c r="I61" s="99"/>
      <c r="J61" s="16"/>
      <c r="K61" s="15"/>
      <c r="L61" s="15"/>
      <c r="M61" s="16"/>
      <c r="N61" s="16"/>
      <c r="O61" s="15"/>
      <c r="P61" s="15"/>
      <c r="Q61" s="15"/>
      <c r="R61" s="15"/>
      <c r="S61" s="15"/>
      <c r="T61" s="15"/>
      <c r="U61" s="15"/>
      <c r="V61" s="15"/>
      <c r="W61" s="15"/>
      <c r="X61" s="15"/>
      <c r="Y61" s="15"/>
      <c r="Z61" s="15"/>
    </row>
    <row r="62" spans="1:26" ht="15.75" customHeight="1" x14ac:dyDescent="0.25">
      <c r="A62" s="44" t="s">
        <v>1425</v>
      </c>
      <c r="B62" s="41"/>
      <c r="C62" s="43"/>
      <c r="D62" s="43"/>
      <c r="E62" s="43"/>
      <c r="F62" s="43"/>
      <c r="G62" s="43"/>
      <c r="H62" s="15"/>
      <c r="I62" s="99"/>
      <c r="J62" s="16"/>
      <c r="K62" s="15"/>
      <c r="L62" s="15"/>
      <c r="M62" s="16">
        <v>191600</v>
      </c>
      <c r="N62" s="16"/>
      <c r="O62" s="15"/>
      <c r="P62" s="15"/>
      <c r="Q62" s="15"/>
      <c r="R62" s="15"/>
      <c r="S62" s="15"/>
      <c r="T62" s="15"/>
      <c r="U62" s="15"/>
      <c r="V62" s="15"/>
      <c r="W62" s="15"/>
      <c r="X62" s="15"/>
      <c r="Y62" s="15"/>
      <c r="Z62" s="15"/>
    </row>
    <row r="63" spans="1:26" ht="15.75" customHeight="1" x14ac:dyDescent="0.25">
      <c r="A63" s="44" t="s">
        <v>1426</v>
      </c>
      <c r="B63" s="41"/>
      <c r="C63" s="43"/>
      <c r="D63" s="43"/>
      <c r="E63" s="43"/>
      <c r="F63" s="43"/>
      <c r="G63" s="43"/>
      <c r="H63" s="15"/>
      <c r="I63" s="99"/>
      <c r="J63" s="16"/>
      <c r="K63" s="15"/>
      <c r="L63" s="15"/>
      <c r="M63" s="16">
        <v>158360</v>
      </c>
      <c r="N63" s="16"/>
      <c r="O63" s="15"/>
      <c r="P63" s="15"/>
      <c r="Q63" s="15"/>
      <c r="R63" s="15"/>
      <c r="S63" s="15"/>
      <c r="T63" s="15"/>
      <c r="U63" s="15"/>
      <c r="V63" s="15"/>
      <c r="W63" s="15"/>
      <c r="X63" s="15"/>
      <c r="Y63" s="15"/>
      <c r="Z63" s="15"/>
    </row>
    <row r="64" spans="1:26" ht="15.75" customHeight="1" x14ac:dyDescent="0.25">
      <c r="A64" s="44" t="s">
        <v>885</v>
      </c>
      <c r="B64" s="41"/>
      <c r="C64" s="43"/>
      <c r="D64" s="43"/>
      <c r="E64" s="43"/>
      <c r="F64" s="43"/>
      <c r="G64" s="43"/>
      <c r="H64" s="15"/>
      <c r="I64" s="210" t="s">
        <v>877</v>
      </c>
      <c r="J64" s="211" t="s">
        <v>878</v>
      </c>
      <c r="K64" s="210" t="s">
        <v>879</v>
      </c>
      <c r="L64" s="8" t="s">
        <v>880</v>
      </c>
      <c r="M64" s="210" t="s">
        <v>881</v>
      </c>
      <c r="N64" s="16"/>
      <c r="O64" s="15"/>
      <c r="P64" s="15"/>
      <c r="Q64" s="15"/>
      <c r="R64" s="15"/>
      <c r="S64" s="15"/>
      <c r="T64" s="15"/>
      <c r="U64" s="15"/>
      <c r="V64" s="15"/>
      <c r="W64" s="15"/>
      <c r="X64" s="15"/>
      <c r="Y64" s="15"/>
      <c r="Z64" s="15"/>
    </row>
    <row r="65" spans="1:26" ht="31.5" x14ac:dyDescent="0.25">
      <c r="A65" s="118" t="s">
        <v>1427</v>
      </c>
      <c r="B65" s="41"/>
      <c r="C65" s="43"/>
      <c r="D65" s="43"/>
      <c r="E65" s="43"/>
      <c r="F65" s="43"/>
      <c r="G65" s="43"/>
      <c r="H65" s="15"/>
      <c r="I65" s="60">
        <v>765</v>
      </c>
      <c r="J65" s="211">
        <v>1</v>
      </c>
      <c r="K65" s="8">
        <v>22</v>
      </c>
      <c r="L65" s="8">
        <v>12</v>
      </c>
      <c r="M65" s="60">
        <f>I65*J65*K65*L65</f>
        <v>201960</v>
      </c>
      <c r="N65" s="16">
        <f>M58+M59+M60+M62+M63+M65</f>
        <v>1070420</v>
      </c>
      <c r="O65" s="15"/>
      <c r="P65" s="15"/>
      <c r="Q65" s="15"/>
      <c r="R65" s="15"/>
      <c r="S65" s="15"/>
      <c r="T65" s="15"/>
      <c r="U65" s="15"/>
      <c r="V65" s="15"/>
      <c r="W65" s="15"/>
      <c r="X65" s="15"/>
      <c r="Y65" s="15"/>
      <c r="Z65" s="15"/>
    </row>
    <row r="66" spans="1:26" ht="15.75" customHeight="1" x14ac:dyDescent="0.25">
      <c r="A66" s="42" t="s">
        <v>672</v>
      </c>
      <c r="B66" s="41"/>
      <c r="C66" s="54">
        <f>SUM(C42:C57)</f>
        <v>1699593.36</v>
      </c>
      <c r="D66" s="54">
        <f>+SUM(D42:D57)</f>
        <v>901097.10000000009</v>
      </c>
      <c r="E66" s="54">
        <f>F66-D66</f>
        <v>1950586.9</v>
      </c>
      <c r="F66" s="54">
        <f>+SUM(F42:F57)</f>
        <v>2851684</v>
      </c>
      <c r="G66" s="54">
        <f>SUM(G42:G57)</f>
        <v>3277048</v>
      </c>
      <c r="H66" s="15"/>
      <c r="M66" s="40"/>
      <c r="N66" s="16"/>
      <c r="O66" s="15"/>
      <c r="P66" s="15"/>
      <c r="Q66" s="15"/>
      <c r="R66" s="15"/>
      <c r="S66" s="15"/>
      <c r="T66" s="15"/>
      <c r="U66" s="15"/>
      <c r="V66" s="15"/>
      <c r="W66" s="15"/>
      <c r="X66" s="15"/>
      <c r="Y66" s="15"/>
      <c r="Z66" s="15"/>
    </row>
    <row r="67" spans="1:26" ht="15.75" customHeight="1" x14ac:dyDescent="0.25">
      <c r="A67" s="17"/>
      <c r="B67" s="41"/>
      <c r="C67" s="55"/>
      <c r="D67" s="55"/>
      <c r="E67" s="43"/>
      <c r="F67" s="55"/>
      <c r="G67" s="55"/>
      <c r="H67" s="15"/>
      <c r="I67" s="16"/>
      <c r="J67" s="16"/>
      <c r="K67" s="15"/>
      <c r="L67" s="15"/>
      <c r="M67" s="16"/>
      <c r="N67" s="16"/>
      <c r="O67" s="15"/>
      <c r="P67" s="15"/>
      <c r="Q67" s="15"/>
      <c r="R67" s="15"/>
      <c r="S67" s="15"/>
      <c r="T67" s="15"/>
      <c r="U67" s="15"/>
      <c r="V67" s="15"/>
      <c r="W67" s="15"/>
      <c r="X67" s="15"/>
      <c r="Y67" s="15"/>
      <c r="Z67" s="15"/>
    </row>
    <row r="68" spans="1:26" ht="15.75" customHeight="1" x14ac:dyDescent="0.25">
      <c r="A68" s="17" t="s">
        <v>467</v>
      </c>
      <c r="B68" s="41"/>
      <c r="C68" s="43">
        <f t="shared" ref="C68:D68" si="7">+C66+C39</f>
        <v>13423657.794000003</v>
      </c>
      <c r="D68" s="43">
        <f t="shared" si="7"/>
        <v>7099479.6500000004</v>
      </c>
      <c r="E68" s="43">
        <f>F68-D68</f>
        <v>10082712.35</v>
      </c>
      <c r="F68" s="43">
        <f t="shared" ref="F68:G68" si="8">+F66+F39</f>
        <v>17182192</v>
      </c>
      <c r="G68" s="43">
        <f t="shared" si="8"/>
        <v>19302026</v>
      </c>
      <c r="H68" s="15"/>
      <c r="I68" s="16"/>
      <c r="J68" s="16"/>
      <c r="K68" s="15"/>
      <c r="L68" s="15"/>
      <c r="M68" s="16"/>
      <c r="N68" s="16"/>
      <c r="O68" s="15"/>
      <c r="P68" s="15"/>
      <c r="Q68" s="15"/>
      <c r="R68" s="15"/>
      <c r="S68" s="15"/>
      <c r="T68" s="15"/>
      <c r="U68" s="15"/>
      <c r="V68" s="15"/>
      <c r="W68" s="15"/>
      <c r="X68" s="15"/>
      <c r="Y68" s="15"/>
      <c r="Z68" s="15"/>
    </row>
    <row r="69" spans="1:26" ht="15.75" customHeight="1" x14ac:dyDescent="0.25">
      <c r="A69" s="446"/>
      <c r="B69" s="437"/>
      <c r="C69" s="438"/>
      <c r="D69" s="438"/>
      <c r="E69" s="438"/>
      <c r="F69" s="438"/>
      <c r="G69" s="438"/>
      <c r="H69" s="15"/>
      <c r="I69" s="16"/>
      <c r="J69" s="16"/>
      <c r="K69" s="15"/>
      <c r="L69" s="15"/>
      <c r="M69" s="16"/>
      <c r="N69" s="16"/>
      <c r="O69" s="15"/>
      <c r="P69" s="15"/>
      <c r="Q69" s="15"/>
      <c r="R69" s="15"/>
      <c r="S69" s="15"/>
      <c r="T69" s="15"/>
      <c r="U69" s="15"/>
      <c r="V69" s="15"/>
      <c r="W69" s="15"/>
      <c r="X69" s="15"/>
      <c r="Y69" s="15"/>
      <c r="Z69" s="15"/>
    </row>
    <row r="70" spans="1:26" ht="15.75" customHeight="1" x14ac:dyDescent="0.25">
      <c r="A70" s="456" t="s">
        <v>529</v>
      </c>
      <c r="B70" s="461"/>
      <c r="C70" s="443"/>
      <c r="D70" s="443"/>
      <c r="E70" s="443"/>
      <c r="F70" s="443"/>
      <c r="G70" s="462"/>
      <c r="H70" s="515"/>
      <c r="I70" s="16"/>
      <c r="J70" s="16"/>
      <c r="K70" s="15"/>
      <c r="L70" s="15"/>
      <c r="M70" s="16"/>
      <c r="N70" s="16"/>
      <c r="O70" s="15"/>
      <c r="P70" s="15"/>
      <c r="Q70" s="15"/>
      <c r="R70" s="15"/>
      <c r="S70" s="15"/>
      <c r="T70" s="15"/>
      <c r="U70" s="15"/>
      <c r="V70" s="15"/>
      <c r="W70" s="15"/>
      <c r="X70" s="15"/>
      <c r="Y70" s="15"/>
      <c r="Z70" s="15"/>
    </row>
    <row r="71" spans="1:26" ht="15.75" customHeight="1" x14ac:dyDescent="0.25">
      <c r="A71" s="161" t="s">
        <v>673</v>
      </c>
      <c r="B71" s="41"/>
      <c r="C71" s="43"/>
      <c r="D71" s="43"/>
      <c r="E71" s="43"/>
      <c r="F71" s="43"/>
      <c r="G71" s="43"/>
      <c r="H71" s="15"/>
      <c r="I71" s="16"/>
      <c r="J71" s="16"/>
      <c r="K71" s="15"/>
      <c r="L71" s="15"/>
      <c r="M71" s="16"/>
      <c r="N71" s="16"/>
      <c r="O71" s="15"/>
      <c r="P71" s="15"/>
      <c r="Q71" s="15"/>
      <c r="R71" s="15"/>
      <c r="S71" s="15"/>
      <c r="T71" s="15"/>
      <c r="U71" s="15"/>
      <c r="V71" s="15"/>
      <c r="W71" s="15"/>
      <c r="X71" s="15"/>
      <c r="Y71" s="15"/>
      <c r="Z71" s="15"/>
    </row>
    <row r="72" spans="1:26" ht="15.75" customHeight="1" x14ac:dyDescent="0.25">
      <c r="A72" s="96" t="s">
        <v>941</v>
      </c>
      <c r="B72" s="41" t="s">
        <v>47</v>
      </c>
      <c r="C72" s="43">
        <v>0</v>
      </c>
      <c r="D72" s="43">
        <v>0</v>
      </c>
      <c r="E72" s="43">
        <v>0</v>
      </c>
      <c r="F72" s="43">
        <v>0</v>
      </c>
      <c r="G72" s="43">
        <v>175000</v>
      </c>
      <c r="H72" s="15"/>
      <c r="I72" s="16"/>
      <c r="J72" s="16"/>
      <c r="K72" s="15"/>
      <c r="L72" s="15"/>
      <c r="M72" s="16"/>
      <c r="N72" s="16"/>
      <c r="O72" s="15"/>
      <c r="P72" s="15"/>
      <c r="Q72" s="15"/>
      <c r="R72" s="15"/>
      <c r="S72" s="15"/>
      <c r="T72" s="15"/>
      <c r="U72" s="15"/>
      <c r="V72" s="15"/>
      <c r="W72" s="15"/>
      <c r="X72" s="15"/>
      <c r="Y72" s="15"/>
      <c r="Z72" s="15"/>
    </row>
    <row r="73" spans="1:26" ht="15.75" customHeight="1" x14ac:dyDescent="0.25">
      <c r="A73" s="44" t="s">
        <v>1428</v>
      </c>
      <c r="B73" s="41"/>
      <c r="C73" s="43"/>
      <c r="D73" s="43"/>
      <c r="E73" s="43"/>
      <c r="F73" s="43"/>
      <c r="G73" s="43"/>
      <c r="H73" s="15"/>
      <c r="I73" s="16"/>
      <c r="J73" s="16"/>
      <c r="K73" s="15"/>
      <c r="L73" s="15"/>
      <c r="M73" s="16"/>
      <c r="N73" s="16"/>
      <c r="O73" s="15"/>
      <c r="P73" s="15"/>
      <c r="Q73" s="15"/>
      <c r="R73" s="15"/>
      <c r="S73" s="15"/>
      <c r="T73" s="15"/>
      <c r="U73" s="15"/>
      <c r="V73" s="15"/>
      <c r="W73" s="15"/>
      <c r="X73" s="15"/>
      <c r="Y73" s="15"/>
      <c r="Z73" s="15"/>
    </row>
    <row r="74" spans="1:26" ht="15.75" customHeight="1" x14ac:dyDescent="0.25">
      <c r="A74" s="44" t="s">
        <v>1429</v>
      </c>
      <c r="B74" s="41"/>
      <c r="C74" s="43"/>
      <c r="D74" s="43"/>
      <c r="E74" s="43"/>
      <c r="F74" s="43"/>
      <c r="G74" s="43"/>
      <c r="H74" s="15"/>
      <c r="I74" s="16"/>
      <c r="J74" s="16"/>
      <c r="K74" s="15"/>
      <c r="L74" s="15"/>
      <c r="M74" s="16"/>
      <c r="N74" s="16"/>
      <c r="O74" s="15"/>
      <c r="P74" s="15"/>
      <c r="Q74" s="15"/>
      <c r="R74" s="15"/>
      <c r="S74" s="15"/>
      <c r="T74" s="15"/>
      <c r="U74" s="15"/>
      <c r="V74" s="15"/>
      <c r="W74" s="15"/>
      <c r="X74" s="15"/>
      <c r="Y74" s="15"/>
      <c r="Z74" s="15"/>
    </row>
    <row r="75" spans="1:26" ht="15.75" customHeight="1" x14ac:dyDescent="0.25">
      <c r="A75" s="17" t="s">
        <v>1214</v>
      </c>
      <c r="B75" s="172"/>
      <c r="C75" s="79">
        <f t="shared" ref="C75:D75" si="9">+SUM(C72:C74)</f>
        <v>0</v>
      </c>
      <c r="D75" s="79">
        <f t="shared" si="9"/>
        <v>0</v>
      </c>
      <c r="E75" s="79">
        <f>F75-D75</f>
        <v>0</v>
      </c>
      <c r="F75" s="79">
        <f t="shared" ref="F75:G75" si="10">+SUM(F72:F74)</f>
        <v>0</v>
      </c>
      <c r="G75" s="79">
        <f t="shared" si="10"/>
        <v>175000</v>
      </c>
      <c r="H75" s="15"/>
      <c r="I75" s="16"/>
      <c r="J75" s="16"/>
      <c r="K75" s="15"/>
      <c r="L75" s="15"/>
      <c r="M75" s="16"/>
      <c r="N75" s="16"/>
      <c r="O75" s="15"/>
      <c r="P75" s="15"/>
      <c r="Q75" s="15"/>
      <c r="R75" s="15"/>
      <c r="S75" s="15"/>
      <c r="T75" s="15"/>
      <c r="U75" s="15"/>
      <c r="V75" s="15"/>
      <c r="W75" s="15"/>
      <c r="X75" s="15"/>
      <c r="Y75" s="15"/>
      <c r="Z75" s="15"/>
    </row>
    <row r="76" spans="1:26" ht="15.75" customHeight="1" x14ac:dyDescent="0.25">
      <c r="A76" s="17"/>
      <c r="B76" s="41"/>
      <c r="C76" s="43"/>
      <c r="D76" s="43"/>
      <c r="E76" s="43"/>
      <c r="F76" s="43"/>
      <c r="G76" s="43"/>
      <c r="H76" s="15"/>
      <c r="I76" s="16"/>
      <c r="J76" s="16"/>
      <c r="K76" s="15"/>
      <c r="L76" s="15"/>
      <c r="M76" s="16"/>
      <c r="N76" s="16"/>
      <c r="O76" s="15"/>
      <c r="P76" s="15"/>
      <c r="Q76" s="15"/>
      <c r="R76" s="15"/>
      <c r="S76" s="15"/>
      <c r="T76" s="15"/>
      <c r="U76" s="15"/>
      <c r="V76" s="15"/>
      <c r="W76" s="15"/>
      <c r="X76" s="15"/>
      <c r="Y76" s="15"/>
      <c r="Z76" s="15"/>
    </row>
    <row r="77" spans="1:26" ht="15.75" customHeight="1" x14ac:dyDescent="0.25">
      <c r="A77" s="640" t="s">
        <v>487</v>
      </c>
      <c r="B77" s="641" t="s">
        <v>488</v>
      </c>
      <c r="C77" s="634">
        <f t="shared" ref="C77:D77" si="11">C68+C75</f>
        <v>13423657.794000003</v>
      </c>
      <c r="D77" s="634">
        <f t="shared" si="11"/>
        <v>7099479.6500000004</v>
      </c>
      <c r="E77" s="634">
        <f>F77-D77</f>
        <v>10082712.35</v>
      </c>
      <c r="F77" s="634">
        <f t="shared" ref="F77:G77" si="12">+F68+F75</f>
        <v>17182192</v>
      </c>
      <c r="G77" s="634">
        <f t="shared" si="12"/>
        <v>19477026</v>
      </c>
      <c r="H77" s="15"/>
      <c r="I77" s="16"/>
      <c r="J77" s="40"/>
      <c r="M77" s="40"/>
      <c r="N77" s="40"/>
    </row>
    <row r="78" spans="1:26" ht="15.75" customHeight="1" x14ac:dyDescent="0.25">
      <c r="A78" s="637"/>
      <c r="B78" s="666"/>
      <c r="C78" s="664"/>
      <c r="D78" s="664"/>
      <c r="E78" s="664"/>
      <c r="F78" s="667"/>
      <c r="G78" s="665"/>
      <c r="I78" s="40"/>
      <c r="J78" s="40"/>
      <c r="M78" s="40"/>
      <c r="N78" s="40"/>
    </row>
    <row r="79" spans="1:26" ht="15.75" customHeight="1" x14ac:dyDescent="0.25">
      <c r="A79" s="24"/>
      <c r="B79" s="174"/>
      <c r="C79" s="24"/>
      <c r="D79" s="24"/>
      <c r="E79" s="24"/>
      <c r="I79" s="40"/>
      <c r="J79" s="40"/>
      <c r="M79" s="40"/>
      <c r="N79" s="40"/>
    </row>
    <row r="80" spans="1:26" ht="15.75" customHeight="1" x14ac:dyDescent="0.25">
      <c r="A80" s="24"/>
      <c r="B80" s="174"/>
      <c r="C80" s="24"/>
      <c r="D80" s="24"/>
      <c r="E80" s="24"/>
      <c r="I80" s="40"/>
      <c r="J80" s="40"/>
      <c r="M80" s="40"/>
      <c r="N80" s="40"/>
    </row>
    <row r="81" spans="1:14" ht="15.75" customHeight="1" x14ac:dyDescent="0.25">
      <c r="A81" s="24"/>
      <c r="B81" s="174"/>
      <c r="C81" s="24"/>
      <c r="D81" s="24"/>
      <c r="E81" s="24"/>
      <c r="I81" s="40"/>
      <c r="J81" s="40"/>
      <c r="M81" s="40"/>
      <c r="N81" s="40"/>
    </row>
    <row r="82" spans="1:14" ht="15.75" customHeight="1" x14ac:dyDescent="0.25">
      <c r="A82" s="24"/>
      <c r="B82" s="174"/>
      <c r="C82" s="24"/>
      <c r="D82" s="24"/>
      <c r="E82" s="24"/>
      <c r="I82" s="40"/>
      <c r="J82" s="40"/>
      <c r="M82" s="40"/>
      <c r="N82" s="40"/>
    </row>
    <row r="83" spans="1:14" ht="15.75" customHeight="1" x14ac:dyDescent="0.25">
      <c r="A83" s="24"/>
      <c r="B83" s="174"/>
      <c r="C83" s="24"/>
      <c r="D83" s="24"/>
      <c r="E83" s="24"/>
      <c r="I83" s="40"/>
      <c r="J83" s="40"/>
      <c r="M83" s="40"/>
      <c r="N83" s="40"/>
    </row>
    <row r="84" spans="1:14" ht="15.75" customHeight="1" x14ac:dyDescent="0.25">
      <c r="A84" s="24"/>
      <c r="B84" s="174"/>
      <c r="C84" s="24"/>
      <c r="D84" s="24"/>
      <c r="E84" s="24"/>
      <c r="I84" s="40"/>
      <c r="J84" s="40"/>
      <c r="M84" s="40"/>
      <c r="N84" s="40"/>
    </row>
    <row r="85" spans="1:14" ht="15.75" customHeight="1" x14ac:dyDescent="0.25">
      <c r="A85" s="24"/>
      <c r="B85" s="174"/>
      <c r="C85" s="24"/>
      <c r="D85" s="24"/>
      <c r="E85" s="24"/>
      <c r="I85" s="40"/>
      <c r="J85" s="40"/>
      <c r="M85" s="40"/>
      <c r="N85" s="40"/>
    </row>
    <row r="86" spans="1:14" ht="15.75" customHeight="1" x14ac:dyDescent="0.25">
      <c r="A86" s="24"/>
      <c r="B86" s="174"/>
      <c r="C86" s="24"/>
      <c r="D86" s="24"/>
      <c r="E86" s="24"/>
      <c r="I86" s="40"/>
      <c r="J86" s="40"/>
      <c r="M86" s="40"/>
      <c r="N86" s="40"/>
    </row>
    <row r="87" spans="1:14" ht="15.75" customHeight="1" x14ac:dyDescent="0.25">
      <c r="A87" s="24"/>
      <c r="B87" s="174"/>
      <c r="C87" s="24"/>
      <c r="D87" s="24"/>
      <c r="E87" s="24"/>
      <c r="I87" s="40"/>
      <c r="J87" s="40"/>
      <c r="M87" s="40"/>
      <c r="N87" s="40"/>
    </row>
    <row r="88" spans="1:14" ht="15.75" customHeight="1" x14ac:dyDescent="0.25">
      <c r="A88" s="24"/>
      <c r="B88" s="174"/>
      <c r="C88" s="24"/>
      <c r="D88" s="24"/>
      <c r="E88" s="24"/>
      <c r="I88" s="40"/>
      <c r="J88" s="40"/>
      <c r="M88" s="40"/>
      <c r="N88" s="40"/>
    </row>
    <row r="89" spans="1:14" ht="15.75" customHeight="1" x14ac:dyDescent="0.25">
      <c r="A89" s="24"/>
      <c r="B89" s="174"/>
      <c r="C89" s="24"/>
      <c r="D89" s="24"/>
      <c r="E89" s="24"/>
      <c r="I89" s="40"/>
      <c r="J89" s="40"/>
      <c r="M89" s="40"/>
      <c r="N89" s="40"/>
    </row>
    <row r="90" spans="1:14" ht="15.75" customHeight="1" x14ac:dyDescent="0.25">
      <c r="A90" s="24"/>
      <c r="B90" s="174"/>
      <c r="C90" s="24"/>
      <c r="D90" s="24"/>
      <c r="E90" s="24"/>
      <c r="I90" s="40"/>
      <c r="J90" s="40"/>
      <c r="M90" s="40"/>
      <c r="N90" s="40"/>
    </row>
    <row r="91" spans="1:14" ht="15.75" customHeight="1" x14ac:dyDescent="0.25">
      <c r="A91" s="24"/>
      <c r="B91" s="174"/>
      <c r="C91" s="24"/>
      <c r="D91" s="24"/>
      <c r="E91" s="24"/>
      <c r="I91" s="40"/>
      <c r="J91" s="40"/>
      <c r="M91" s="40"/>
      <c r="N91" s="40"/>
    </row>
    <row r="92" spans="1:14" ht="15.75" customHeight="1" x14ac:dyDescent="0.25">
      <c r="A92" s="24"/>
      <c r="B92" s="174"/>
      <c r="C92" s="24"/>
      <c r="D92" s="24"/>
      <c r="E92" s="24"/>
      <c r="I92" s="40"/>
      <c r="J92" s="40"/>
      <c r="M92" s="40"/>
      <c r="N92" s="40"/>
    </row>
    <row r="93" spans="1:14" ht="15.75" customHeight="1" x14ac:dyDescent="0.25">
      <c r="A93" s="24"/>
      <c r="B93" s="174"/>
      <c r="C93" s="24"/>
      <c r="D93" s="24"/>
      <c r="E93" s="24"/>
      <c r="I93" s="40"/>
      <c r="J93" s="40"/>
      <c r="M93" s="40"/>
      <c r="N93" s="40"/>
    </row>
    <row r="94" spans="1:14" ht="15.75" customHeight="1" x14ac:dyDescent="0.25">
      <c r="A94" s="24"/>
      <c r="B94" s="174"/>
      <c r="C94" s="24"/>
      <c r="D94" s="24"/>
      <c r="E94" s="24"/>
      <c r="I94" s="40"/>
      <c r="J94" s="40"/>
      <c r="M94" s="40"/>
      <c r="N94" s="40"/>
    </row>
    <row r="95" spans="1:14" ht="15.75" customHeight="1" x14ac:dyDescent="0.25">
      <c r="A95" s="24"/>
      <c r="B95" s="174"/>
      <c r="C95" s="24"/>
      <c r="D95" s="24"/>
      <c r="E95" s="24"/>
      <c r="I95" s="40"/>
      <c r="J95" s="40"/>
      <c r="M95" s="40"/>
      <c r="N95" s="40"/>
    </row>
    <row r="96" spans="1:14" ht="15.75" customHeight="1" x14ac:dyDescent="0.25">
      <c r="A96" s="24"/>
      <c r="B96" s="174"/>
      <c r="C96" s="24"/>
      <c r="D96" s="24"/>
      <c r="E96" s="24"/>
      <c r="I96" s="40"/>
      <c r="J96" s="40"/>
      <c r="M96" s="40"/>
      <c r="N96" s="40"/>
    </row>
    <row r="97" spans="1:14" ht="15.75" customHeight="1" x14ac:dyDescent="0.25">
      <c r="A97" s="24"/>
      <c r="B97" s="174"/>
      <c r="C97" s="24"/>
      <c r="D97" s="24"/>
      <c r="E97" s="24"/>
      <c r="I97" s="40"/>
      <c r="J97" s="40"/>
      <c r="M97" s="40"/>
      <c r="N97" s="40"/>
    </row>
    <row r="98" spans="1:14" ht="15.75" customHeight="1" x14ac:dyDescent="0.25">
      <c r="A98" s="24"/>
      <c r="B98" s="174"/>
      <c r="C98" s="24"/>
      <c r="D98" s="24"/>
      <c r="E98" s="24"/>
      <c r="I98" s="40"/>
      <c r="J98" s="40"/>
      <c r="M98" s="40"/>
      <c r="N98" s="40"/>
    </row>
    <row r="99" spans="1:14" ht="15.75" customHeight="1" x14ac:dyDescent="0.25">
      <c r="A99" s="24"/>
      <c r="B99" s="174"/>
      <c r="C99" s="24"/>
      <c r="D99" s="24"/>
      <c r="E99" s="24"/>
      <c r="I99" s="40"/>
      <c r="J99" s="40"/>
      <c r="M99" s="40"/>
      <c r="N99" s="40"/>
    </row>
    <row r="100" spans="1:14" ht="15.75" customHeight="1" x14ac:dyDescent="0.25">
      <c r="A100" s="24"/>
      <c r="B100" s="174"/>
      <c r="C100" s="24"/>
      <c r="D100" s="24"/>
      <c r="E100" s="24"/>
      <c r="I100" s="40"/>
      <c r="J100" s="40"/>
      <c r="M100" s="40"/>
      <c r="N100" s="40"/>
    </row>
    <row r="101" spans="1:14" ht="15.75" customHeight="1" x14ac:dyDescent="0.25">
      <c r="A101" s="24"/>
      <c r="B101" s="174"/>
      <c r="C101" s="24"/>
      <c r="D101" s="24"/>
      <c r="E101" s="24"/>
      <c r="I101" s="40"/>
      <c r="J101" s="40"/>
      <c r="M101" s="40"/>
      <c r="N101" s="40"/>
    </row>
    <row r="102" spans="1:14" ht="15.75" customHeight="1" x14ac:dyDescent="0.25">
      <c r="A102" s="24"/>
      <c r="B102" s="174"/>
      <c r="C102" s="24"/>
      <c r="D102" s="24"/>
      <c r="E102" s="24"/>
      <c r="I102" s="40"/>
      <c r="J102" s="40"/>
      <c r="M102" s="40"/>
      <c r="N102" s="40"/>
    </row>
    <row r="103" spans="1:14" ht="15.75" customHeight="1" x14ac:dyDescent="0.25">
      <c r="A103" s="24"/>
      <c r="B103" s="174"/>
      <c r="C103" s="24"/>
      <c r="D103" s="24"/>
      <c r="E103" s="24"/>
      <c r="I103" s="40"/>
      <c r="J103" s="40"/>
      <c r="M103" s="40"/>
      <c r="N103" s="40"/>
    </row>
    <row r="104" spans="1:14" ht="15.75" customHeight="1" x14ac:dyDescent="0.25">
      <c r="A104" s="24"/>
      <c r="B104" s="174"/>
      <c r="C104" s="24"/>
      <c r="D104" s="24"/>
      <c r="E104" s="24"/>
      <c r="I104" s="40"/>
      <c r="J104" s="40"/>
      <c r="M104" s="40"/>
      <c r="N104" s="40"/>
    </row>
    <row r="105" spans="1:14" ht="15.75" customHeight="1" x14ac:dyDescent="0.25">
      <c r="A105" s="24"/>
      <c r="B105" s="174"/>
      <c r="C105" s="24"/>
      <c r="D105" s="24"/>
      <c r="E105" s="24"/>
      <c r="I105" s="40"/>
      <c r="J105" s="40"/>
      <c r="M105" s="40"/>
      <c r="N105" s="40"/>
    </row>
    <row r="106" spans="1:14" ht="15.75" customHeight="1" x14ac:dyDescent="0.25">
      <c r="A106" s="24"/>
      <c r="B106" s="174"/>
      <c r="C106" s="24"/>
      <c r="D106" s="24"/>
      <c r="E106" s="24"/>
      <c r="I106" s="40"/>
      <c r="J106" s="40"/>
      <c r="M106" s="40"/>
      <c r="N106" s="40"/>
    </row>
    <row r="107" spans="1:14" ht="15.75" customHeight="1" x14ac:dyDescent="0.25">
      <c r="A107" s="24"/>
      <c r="B107" s="174"/>
      <c r="C107" s="24"/>
      <c r="D107" s="24"/>
      <c r="E107" s="24"/>
      <c r="I107" s="40"/>
      <c r="J107" s="40"/>
      <c r="M107" s="40"/>
      <c r="N107" s="40"/>
    </row>
    <row r="108" spans="1:14" ht="15.75" customHeight="1" x14ac:dyDescent="0.25">
      <c r="A108" s="24"/>
      <c r="B108" s="174"/>
      <c r="C108" s="24"/>
      <c r="D108" s="24"/>
      <c r="E108" s="24"/>
      <c r="I108" s="40"/>
      <c r="J108" s="40"/>
      <c r="M108" s="40"/>
      <c r="N108" s="40"/>
    </row>
    <row r="109" spans="1:14" ht="15.75" customHeight="1" x14ac:dyDescent="0.25">
      <c r="A109" s="24"/>
      <c r="B109" s="174"/>
      <c r="C109" s="24"/>
      <c r="D109" s="24"/>
      <c r="E109" s="24"/>
      <c r="I109" s="40"/>
      <c r="J109" s="40"/>
      <c r="M109" s="40"/>
      <c r="N109" s="40"/>
    </row>
    <row r="110" spans="1:14" ht="15.75" customHeight="1" x14ac:dyDescent="0.25">
      <c r="A110" s="24"/>
      <c r="B110" s="174"/>
      <c r="C110" s="24"/>
      <c r="D110" s="24"/>
      <c r="E110" s="24"/>
      <c r="I110" s="40"/>
      <c r="J110" s="40"/>
      <c r="M110" s="40"/>
      <c r="N110" s="40"/>
    </row>
    <row r="111" spans="1:14" ht="15.75" customHeight="1" x14ac:dyDescent="0.25">
      <c r="A111" s="24"/>
      <c r="B111" s="174"/>
      <c r="C111" s="24"/>
      <c r="D111" s="24"/>
      <c r="E111" s="24"/>
      <c r="I111" s="40"/>
      <c r="J111" s="40"/>
      <c r="M111" s="40"/>
      <c r="N111" s="40"/>
    </row>
    <row r="112" spans="1:14" ht="15.75" customHeight="1" x14ac:dyDescent="0.25">
      <c r="A112" s="24"/>
      <c r="B112" s="174"/>
      <c r="C112" s="24"/>
      <c r="D112" s="24"/>
      <c r="E112" s="24"/>
      <c r="I112" s="40"/>
      <c r="J112" s="40"/>
      <c r="M112" s="40"/>
      <c r="N112" s="40"/>
    </row>
    <row r="113" spans="1:14" ht="15.75" customHeight="1" x14ac:dyDescent="0.25">
      <c r="A113" s="24"/>
      <c r="B113" s="174"/>
      <c r="C113" s="24"/>
      <c r="D113" s="24"/>
      <c r="E113" s="24"/>
      <c r="I113" s="40"/>
      <c r="J113" s="40"/>
      <c r="M113" s="40"/>
      <c r="N113" s="40"/>
    </row>
    <row r="114" spans="1:14" ht="15.75" customHeight="1" x14ac:dyDescent="0.25">
      <c r="A114" s="24"/>
      <c r="B114" s="174"/>
      <c r="C114" s="24"/>
      <c r="D114" s="24"/>
      <c r="E114" s="24"/>
      <c r="I114" s="40"/>
      <c r="J114" s="40"/>
      <c r="M114" s="40"/>
      <c r="N114" s="40"/>
    </row>
    <row r="115" spans="1:14" ht="15.75" customHeight="1" x14ac:dyDescent="0.25">
      <c r="A115" s="24"/>
      <c r="B115" s="174"/>
      <c r="C115" s="24"/>
      <c r="D115" s="24"/>
      <c r="E115" s="24"/>
      <c r="I115" s="40"/>
      <c r="J115" s="40"/>
      <c r="M115" s="40"/>
      <c r="N115" s="40"/>
    </row>
    <row r="116" spans="1:14" ht="15.75" customHeight="1" x14ac:dyDescent="0.25">
      <c r="A116" s="24"/>
      <c r="B116" s="174"/>
      <c r="C116" s="24"/>
      <c r="D116" s="24"/>
      <c r="E116" s="24"/>
      <c r="I116" s="40"/>
      <c r="J116" s="40"/>
      <c r="M116" s="40"/>
      <c r="N116" s="40"/>
    </row>
    <row r="117" spans="1:14" ht="15.75" customHeight="1" x14ac:dyDescent="0.25">
      <c r="A117" s="24"/>
      <c r="B117" s="174"/>
      <c r="C117" s="24"/>
      <c r="D117" s="24"/>
      <c r="E117" s="24"/>
      <c r="I117" s="40"/>
      <c r="J117" s="40"/>
      <c r="M117" s="40"/>
      <c r="N117" s="40"/>
    </row>
    <row r="118" spans="1:14" ht="15.75" customHeight="1" x14ac:dyDescent="0.25">
      <c r="A118" s="24"/>
      <c r="B118" s="174"/>
      <c r="C118" s="24"/>
      <c r="D118" s="24"/>
      <c r="E118" s="24"/>
      <c r="I118" s="40"/>
      <c r="J118" s="40"/>
      <c r="M118" s="40"/>
      <c r="N118" s="40"/>
    </row>
    <row r="119" spans="1:14" ht="15.75" customHeight="1" x14ac:dyDescent="0.25">
      <c r="A119" s="24"/>
      <c r="B119" s="174"/>
      <c r="C119" s="24"/>
      <c r="D119" s="24"/>
      <c r="E119" s="24"/>
      <c r="I119" s="40"/>
      <c r="J119" s="40"/>
      <c r="M119" s="40"/>
      <c r="N119" s="40"/>
    </row>
    <row r="120" spans="1:14" ht="15.75" customHeight="1" x14ac:dyDescent="0.25">
      <c r="A120" s="24"/>
      <c r="B120" s="174"/>
      <c r="C120" s="24"/>
      <c r="D120" s="24"/>
      <c r="E120" s="24"/>
      <c r="I120" s="40"/>
      <c r="J120" s="40"/>
      <c r="M120" s="40"/>
      <c r="N120" s="40"/>
    </row>
    <row r="121" spans="1:14" ht="15.75" customHeight="1" x14ac:dyDescent="0.25">
      <c r="A121" s="24"/>
      <c r="B121" s="174"/>
      <c r="C121" s="24"/>
      <c r="D121" s="24"/>
      <c r="E121" s="24"/>
      <c r="I121" s="40"/>
      <c r="J121" s="40"/>
      <c r="M121" s="40"/>
      <c r="N121" s="40"/>
    </row>
    <row r="122" spans="1:14" ht="15.75" customHeight="1" x14ac:dyDescent="0.25">
      <c r="A122" s="24"/>
      <c r="B122" s="174"/>
      <c r="C122" s="24"/>
      <c r="D122" s="24"/>
      <c r="E122" s="24"/>
      <c r="I122" s="40"/>
      <c r="J122" s="40"/>
      <c r="M122" s="40"/>
      <c r="N122" s="40"/>
    </row>
    <row r="123" spans="1:14" ht="15.75" customHeight="1" x14ac:dyDescent="0.25">
      <c r="A123" s="24"/>
      <c r="B123" s="174"/>
      <c r="C123" s="24"/>
      <c r="D123" s="24"/>
      <c r="E123" s="24"/>
      <c r="I123" s="40"/>
      <c r="J123" s="40"/>
      <c r="M123" s="40"/>
      <c r="N123" s="40"/>
    </row>
    <row r="124" spans="1:14" ht="15.75" customHeight="1" x14ac:dyDescent="0.25">
      <c r="A124" s="24"/>
      <c r="B124" s="174"/>
      <c r="C124" s="24"/>
      <c r="D124" s="24"/>
      <c r="E124" s="24"/>
      <c r="I124" s="40"/>
      <c r="J124" s="40"/>
      <c r="M124" s="40"/>
      <c r="N124" s="40"/>
    </row>
    <row r="125" spans="1:14" ht="15.75" customHeight="1" x14ac:dyDescent="0.25">
      <c r="A125" s="24"/>
      <c r="B125" s="174"/>
      <c r="C125" s="24"/>
      <c r="D125" s="24"/>
      <c r="E125" s="24"/>
      <c r="I125" s="40"/>
      <c r="J125" s="40"/>
      <c r="M125" s="40"/>
      <c r="N125" s="40"/>
    </row>
    <row r="126" spans="1:14" ht="15.75" customHeight="1" x14ac:dyDescent="0.25">
      <c r="A126" s="24"/>
      <c r="B126" s="174"/>
      <c r="C126" s="24"/>
      <c r="D126" s="24"/>
      <c r="E126" s="24"/>
      <c r="I126" s="40"/>
      <c r="J126" s="40"/>
      <c r="M126" s="40"/>
      <c r="N126" s="40"/>
    </row>
    <row r="127" spans="1:14" ht="15.75" customHeight="1" x14ac:dyDescent="0.25">
      <c r="A127" s="24"/>
      <c r="B127" s="174"/>
      <c r="C127" s="24"/>
      <c r="D127" s="24"/>
      <c r="E127" s="24"/>
      <c r="I127" s="40"/>
      <c r="J127" s="40"/>
      <c r="M127" s="40"/>
      <c r="N127" s="40"/>
    </row>
    <row r="128" spans="1:14" ht="15.75" customHeight="1" x14ac:dyDescent="0.25">
      <c r="A128" s="24"/>
      <c r="B128" s="174"/>
      <c r="C128" s="24"/>
      <c r="D128" s="24"/>
      <c r="E128" s="24"/>
      <c r="I128" s="40"/>
      <c r="J128" s="40"/>
      <c r="M128" s="40"/>
      <c r="N128" s="40"/>
    </row>
    <row r="129" spans="1:14" ht="15.75" customHeight="1" x14ac:dyDescent="0.25">
      <c r="A129" s="24"/>
      <c r="B129" s="174"/>
      <c r="C129" s="24"/>
      <c r="D129" s="24"/>
      <c r="E129" s="24"/>
      <c r="I129" s="40"/>
      <c r="J129" s="40"/>
      <c r="M129" s="40"/>
      <c r="N129" s="40"/>
    </row>
    <row r="130" spans="1:14" ht="15.75" customHeight="1" x14ac:dyDescent="0.25">
      <c r="A130" s="24"/>
      <c r="B130" s="174"/>
      <c r="C130" s="24"/>
      <c r="D130" s="24"/>
      <c r="E130" s="24"/>
      <c r="I130" s="40"/>
      <c r="J130" s="40"/>
      <c r="M130" s="40"/>
      <c r="N130" s="40"/>
    </row>
    <row r="131" spans="1:14" ht="15.75" customHeight="1" x14ac:dyDescent="0.25">
      <c r="A131" s="24"/>
      <c r="B131" s="174"/>
      <c r="C131" s="24"/>
      <c r="D131" s="24"/>
      <c r="E131" s="24"/>
      <c r="I131" s="40"/>
      <c r="J131" s="40"/>
      <c r="M131" s="40"/>
      <c r="N131" s="40"/>
    </row>
    <row r="132" spans="1:14" ht="15.75" customHeight="1" x14ac:dyDescent="0.25">
      <c r="A132" s="24"/>
      <c r="B132" s="174"/>
      <c r="C132" s="24"/>
      <c r="D132" s="24"/>
      <c r="E132" s="24"/>
      <c r="I132" s="40"/>
      <c r="J132" s="40"/>
      <c r="M132" s="40"/>
      <c r="N132" s="40"/>
    </row>
    <row r="133" spans="1:14" ht="15.75" customHeight="1" x14ac:dyDescent="0.25">
      <c r="A133" s="24"/>
      <c r="B133" s="174"/>
      <c r="C133" s="24"/>
      <c r="D133" s="24"/>
      <c r="E133" s="24"/>
      <c r="I133" s="40"/>
      <c r="J133" s="40"/>
      <c r="M133" s="40"/>
      <c r="N133" s="40"/>
    </row>
    <row r="134" spans="1:14" ht="15.75" customHeight="1" x14ac:dyDescent="0.25">
      <c r="A134" s="24"/>
      <c r="B134" s="174"/>
      <c r="C134" s="24"/>
      <c r="D134" s="24"/>
      <c r="E134" s="24"/>
      <c r="I134" s="40"/>
      <c r="J134" s="40"/>
      <c r="M134" s="40"/>
      <c r="N134" s="40"/>
    </row>
    <row r="135" spans="1:14" ht="15.75" customHeight="1" x14ac:dyDescent="0.25">
      <c r="A135" s="24"/>
      <c r="B135" s="174"/>
      <c r="C135" s="24"/>
      <c r="D135" s="24"/>
      <c r="E135" s="24"/>
      <c r="I135" s="40"/>
      <c r="J135" s="40"/>
      <c r="M135" s="40"/>
      <c r="N135" s="40"/>
    </row>
    <row r="136" spans="1:14" ht="15.75" customHeight="1" x14ac:dyDescent="0.25">
      <c r="A136" s="24"/>
      <c r="B136" s="174"/>
      <c r="C136" s="24"/>
      <c r="D136" s="24"/>
      <c r="E136" s="24"/>
      <c r="I136" s="40"/>
      <c r="J136" s="40"/>
      <c r="M136" s="40"/>
      <c r="N136" s="40"/>
    </row>
    <row r="137" spans="1:14" ht="15.75" customHeight="1" x14ac:dyDescent="0.25">
      <c r="A137" s="24"/>
      <c r="B137" s="174"/>
      <c r="C137" s="24"/>
      <c r="D137" s="24"/>
      <c r="E137" s="24"/>
      <c r="I137" s="40"/>
      <c r="J137" s="40"/>
      <c r="M137" s="40"/>
      <c r="N137" s="40"/>
    </row>
    <row r="138" spans="1:14" ht="15.75" customHeight="1" x14ac:dyDescent="0.25">
      <c r="A138" s="24"/>
      <c r="B138" s="174"/>
      <c r="C138" s="24"/>
      <c r="D138" s="24"/>
      <c r="E138" s="24"/>
      <c r="I138" s="40"/>
      <c r="J138" s="40"/>
      <c r="M138" s="40"/>
      <c r="N138" s="40"/>
    </row>
    <row r="139" spans="1:14" ht="15.75" customHeight="1" x14ac:dyDescent="0.25">
      <c r="A139" s="24"/>
      <c r="B139" s="174"/>
      <c r="C139" s="24"/>
      <c r="D139" s="24"/>
      <c r="E139" s="24"/>
      <c r="I139" s="40"/>
      <c r="J139" s="40"/>
      <c r="M139" s="40"/>
      <c r="N139" s="40"/>
    </row>
    <row r="140" spans="1:14" ht="15.75" customHeight="1" x14ac:dyDescent="0.25">
      <c r="A140" s="24"/>
      <c r="B140" s="174"/>
      <c r="C140" s="24"/>
      <c r="D140" s="24"/>
      <c r="E140" s="24"/>
      <c r="I140" s="40"/>
      <c r="J140" s="40"/>
      <c r="M140" s="40"/>
      <c r="N140" s="40"/>
    </row>
    <row r="141" spans="1:14" ht="15.75" customHeight="1" x14ac:dyDescent="0.25">
      <c r="A141" s="24"/>
      <c r="B141" s="174"/>
      <c r="C141" s="24"/>
      <c r="D141" s="24"/>
      <c r="E141" s="24"/>
      <c r="I141" s="40"/>
      <c r="J141" s="40"/>
      <c r="M141" s="40"/>
      <c r="N141" s="40"/>
    </row>
    <row r="142" spans="1:14" ht="15.75" customHeight="1" x14ac:dyDescent="0.25">
      <c r="A142" s="24"/>
      <c r="B142" s="174"/>
      <c r="C142" s="24"/>
      <c r="D142" s="24"/>
      <c r="E142" s="24"/>
      <c r="I142" s="40"/>
      <c r="J142" s="40"/>
      <c r="M142" s="40"/>
      <c r="N142" s="40"/>
    </row>
    <row r="143" spans="1:14" ht="15.75" customHeight="1" x14ac:dyDescent="0.25">
      <c r="A143" s="24"/>
      <c r="B143" s="174"/>
      <c r="C143" s="24"/>
      <c r="D143" s="24"/>
      <c r="E143" s="24"/>
      <c r="I143" s="40"/>
      <c r="J143" s="40"/>
      <c r="M143" s="40"/>
      <c r="N143" s="40"/>
    </row>
    <row r="144" spans="1:14" ht="15.75" customHeight="1" x14ac:dyDescent="0.25">
      <c r="A144" s="24"/>
      <c r="B144" s="174"/>
      <c r="C144" s="24"/>
      <c r="D144" s="24"/>
      <c r="E144" s="24"/>
      <c r="I144" s="40"/>
      <c r="J144" s="40"/>
      <c r="M144" s="40"/>
      <c r="N144" s="40"/>
    </row>
    <row r="145" spans="1:14" ht="15.75" customHeight="1" x14ac:dyDescent="0.25">
      <c r="A145" s="24"/>
      <c r="B145" s="174"/>
      <c r="C145" s="24"/>
      <c r="D145" s="24"/>
      <c r="E145" s="24"/>
      <c r="I145" s="40"/>
      <c r="J145" s="40"/>
      <c r="M145" s="40"/>
      <c r="N145" s="40"/>
    </row>
    <row r="146" spans="1:14" ht="15.75" customHeight="1" x14ac:dyDescent="0.25">
      <c r="A146" s="24"/>
      <c r="B146" s="174"/>
      <c r="C146" s="24"/>
      <c r="D146" s="24"/>
      <c r="E146" s="24"/>
      <c r="I146" s="40"/>
      <c r="J146" s="40"/>
      <c r="M146" s="40"/>
      <c r="N146" s="40"/>
    </row>
    <row r="147" spans="1:14" ht="15.75" customHeight="1" x14ac:dyDescent="0.25">
      <c r="A147" s="24"/>
      <c r="B147" s="174"/>
      <c r="C147" s="24"/>
      <c r="D147" s="24"/>
      <c r="E147" s="24"/>
      <c r="I147" s="40"/>
      <c r="J147" s="40"/>
      <c r="M147" s="40"/>
      <c r="N147" s="40"/>
    </row>
    <row r="148" spans="1:14" ht="15.75" customHeight="1" x14ac:dyDescent="0.25">
      <c r="A148" s="24"/>
      <c r="B148" s="174"/>
      <c r="C148" s="24"/>
      <c r="D148" s="24"/>
      <c r="E148" s="24"/>
      <c r="I148" s="40"/>
      <c r="J148" s="40"/>
      <c r="M148" s="40"/>
      <c r="N148" s="40"/>
    </row>
    <row r="149" spans="1:14" ht="15.75" customHeight="1" x14ac:dyDescent="0.25">
      <c r="A149" s="24"/>
      <c r="B149" s="174"/>
      <c r="C149" s="24"/>
      <c r="D149" s="24"/>
      <c r="E149" s="24"/>
      <c r="I149" s="40"/>
      <c r="J149" s="40"/>
      <c r="M149" s="40"/>
      <c r="N149" s="40"/>
    </row>
    <row r="150" spans="1:14" ht="15.75" customHeight="1" x14ac:dyDescent="0.25">
      <c r="A150" s="24"/>
      <c r="B150" s="174"/>
      <c r="C150" s="24"/>
      <c r="D150" s="24"/>
      <c r="E150" s="24"/>
      <c r="I150" s="40"/>
      <c r="J150" s="40"/>
      <c r="M150" s="40"/>
      <c r="N150" s="40"/>
    </row>
    <row r="151" spans="1:14" ht="15.75" customHeight="1" x14ac:dyDescent="0.25">
      <c r="A151" s="24"/>
      <c r="B151" s="174"/>
      <c r="C151" s="24"/>
      <c r="D151" s="24"/>
      <c r="E151" s="24"/>
      <c r="I151" s="40"/>
      <c r="J151" s="40"/>
      <c r="M151" s="40"/>
      <c r="N151" s="40"/>
    </row>
    <row r="152" spans="1:14" ht="15.75" customHeight="1" x14ac:dyDescent="0.25">
      <c r="A152" s="24"/>
      <c r="B152" s="174"/>
      <c r="C152" s="24"/>
      <c r="D152" s="24"/>
      <c r="E152" s="24"/>
      <c r="I152" s="40"/>
      <c r="J152" s="40"/>
      <c r="M152" s="40"/>
      <c r="N152" s="40"/>
    </row>
    <row r="153" spans="1:14" ht="15.75" customHeight="1" x14ac:dyDescent="0.25">
      <c r="A153" s="24"/>
      <c r="B153" s="174"/>
      <c r="C153" s="24"/>
      <c r="D153" s="24"/>
      <c r="E153" s="24"/>
      <c r="I153" s="40"/>
      <c r="J153" s="40"/>
      <c r="M153" s="40"/>
      <c r="N153" s="40"/>
    </row>
    <row r="154" spans="1:14" ht="15.75" customHeight="1" x14ac:dyDescent="0.25">
      <c r="A154" s="24"/>
      <c r="B154" s="174"/>
      <c r="C154" s="24"/>
      <c r="D154" s="24"/>
      <c r="E154" s="24"/>
      <c r="I154" s="40"/>
      <c r="J154" s="40"/>
      <c r="M154" s="40"/>
      <c r="N154" s="40"/>
    </row>
    <row r="155" spans="1:14" ht="15.75" customHeight="1" x14ac:dyDescent="0.25">
      <c r="A155" s="24"/>
      <c r="B155" s="174"/>
      <c r="C155" s="24"/>
      <c r="D155" s="24"/>
      <c r="E155" s="24"/>
      <c r="I155" s="40"/>
      <c r="J155" s="40"/>
      <c r="M155" s="40"/>
      <c r="N155" s="40"/>
    </row>
    <row r="156" spans="1:14" ht="15.75" customHeight="1" x14ac:dyDescent="0.25">
      <c r="A156" s="24"/>
      <c r="B156" s="174"/>
      <c r="C156" s="24"/>
      <c r="D156" s="24"/>
      <c r="E156" s="24"/>
      <c r="I156" s="40"/>
      <c r="J156" s="40"/>
      <c r="M156" s="40"/>
      <c r="N156" s="40"/>
    </row>
    <row r="157" spans="1:14" ht="15.75" customHeight="1" x14ac:dyDescent="0.25">
      <c r="A157" s="24"/>
      <c r="B157" s="174"/>
      <c r="C157" s="24"/>
      <c r="D157" s="24"/>
      <c r="E157" s="24"/>
      <c r="I157" s="40"/>
      <c r="J157" s="40"/>
      <c r="M157" s="40"/>
      <c r="N157" s="40"/>
    </row>
    <row r="158" spans="1:14" ht="15.75" customHeight="1" x14ac:dyDescent="0.25">
      <c r="A158" s="24"/>
      <c r="B158" s="174"/>
      <c r="C158" s="24"/>
      <c r="D158" s="24"/>
      <c r="E158" s="24"/>
      <c r="I158" s="40"/>
      <c r="J158" s="40"/>
      <c r="M158" s="40"/>
      <c r="N158" s="40"/>
    </row>
    <row r="159" spans="1:14" ht="15.75" customHeight="1" x14ac:dyDescent="0.25">
      <c r="A159" s="24"/>
      <c r="B159" s="174"/>
      <c r="C159" s="24"/>
      <c r="D159" s="24"/>
      <c r="E159" s="24"/>
      <c r="I159" s="40"/>
      <c r="J159" s="40"/>
      <c r="M159" s="40"/>
      <c r="N159" s="40"/>
    </row>
    <row r="160" spans="1:14" ht="15.75" customHeight="1" x14ac:dyDescent="0.25">
      <c r="A160" s="24"/>
      <c r="B160" s="174"/>
      <c r="C160" s="24"/>
      <c r="D160" s="24"/>
      <c r="E160" s="24"/>
      <c r="I160" s="40"/>
      <c r="J160" s="40"/>
      <c r="M160" s="40"/>
      <c r="N160" s="40"/>
    </row>
    <row r="161" spans="1:14" ht="15.75" customHeight="1" x14ac:dyDescent="0.25">
      <c r="A161" s="24"/>
      <c r="B161" s="174"/>
      <c r="C161" s="24"/>
      <c r="D161" s="24"/>
      <c r="E161" s="24"/>
      <c r="I161" s="40"/>
      <c r="J161" s="40"/>
      <c r="M161" s="40"/>
      <c r="N161" s="40"/>
    </row>
    <row r="162" spans="1:14" ht="15.75" customHeight="1" x14ac:dyDescent="0.25">
      <c r="A162" s="24"/>
      <c r="B162" s="174"/>
      <c r="C162" s="24"/>
      <c r="D162" s="24"/>
      <c r="E162" s="24"/>
      <c r="I162" s="40"/>
      <c r="J162" s="40"/>
      <c r="M162" s="40"/>
      <c r="N162" s="40"/>
    </row>
    <row r="163" spans="1:14" ht="15.75" customHeight="1" x14ac:dyDescent="0.25">
      <c r="A163" s="24"/>
      <c r="B163" s="174"/>
      <c r="C163" s="24"/>
      <c r="D163" s="24"/>
      <c r="E163" s="24"/>
      <c r="I163" s="40"/>
      <c r="J163" s="40"/>
      <c r="M163" s="40"/>
      <c r="N163" s="40"/>
    </row>
    <row r="164" spans="1:14" ht="15.75" customHeight="1" x14ac:dyDescent="0.25">
      <c r="A164" s="24"/>
      <c r="B164" s="174"/>
      <c r="C164" s="24"/>
      <c r="D164" s="24"/>
      <c r="E164" s="24"/>
      <c r="I164" s="40"/>
      <c r="J164" s="40"/>
      <c r="M164" s="40"/>
      <c r="N164" s="40"/>
    </row>
    <row r="165" spans="1:14" ht="15.75" customHeight="1" x14ac:dyDescent="0.25">
      <c r="A165" s="24"/>
      <c r="B165" s="174"/>
      <c r="C165" s="24"/>
      <c r="D165" s="24"/>
      <c r="E165" s="24"/>
      <c r="I165" s="40"/>
      <c r="J165" s="40"/>
      <c r="M165" s="40"/>
      <c r="N165" s="40"/>
    </row>
    <row r="166" spans="1:14" ht="15.75" customHeight="1" x14ac:dyDescent="0.25">
      <c r="A166" s="24"/>
      <c r="B166" s="174"/>
      <c r="C166" s="24"/>
      <c r="D166" s="24"/>
      <c r="E166" s="24"/>
      <c r="I166" s="40"/>
      <c r="J166" s="40"/>
      <c r="M166" s="40"/>
      <c r="N166" s="40"/>
    </row>
    <row r="167" spans="1:14" ht="15.75" customHeight="1" x14ac:dyDescent="0.25">
      <c r="A167" s="24"/>
      <c r="B167" s="174"/>
      <c r="C167" s="24"/>
      <c r="D167" s="24"/>
      <c r="E167" s="24"/>
      <c r="I167" s="40"/>
      <c r="J167" s="40"/>
      <c r="M167" s="40"/>
      <c r="N167" s="40"/>
    </row>
    <row r="168" spans="1:14" ht="15.75" customHeight="1" x14ac:dyDescent="0.25">
      <c r="A168" s="24"/>
      <c r="B168" s="174"/>
      <c r="C168" s="24"/>
      <c r="D168" s="24"/>
      <c r="E168" s="24"/>
      <c r="I168" s="40"/>
      <c r="J168" s="40"/>
      <c r="M168" s="40"/>
      <c r="N168" s="40"/>
    </row>
    <row r="169" spans="1:14" ht="15.75" customHeight="1" x14ac:dyDescent="0.25">
      <c r="A169" s="24"/>
      <c r="B169" s="174"/>
      <c r="C169" s="24"/>
      <c r="D169" s="24"/>
      <c r="E169" s="24"/>
      <c r="I169" s="40"/>
      <c r="J169" s="40"/>
      <c r="M169" s="40"/>
      <c r="N169" s="40"/>
    </row>
    <row r="170" spans="1:14" ht="15.75" customHeight="1" x14ac:dyDescent="0.25">
      <c r="A170" s="24"/>
      <c r="B170" s="174"/>
      <c r="C170" s="24"/>
      <c r="D170" s="24"/>
      <c r="E170" s="24"/>
      <c r="I170" s="40"/>
      <c r="J170" s="40"/>
      <c r="M170" s="40"/>
      <c r="N170" s="40"/>
    </row>
    <row r="171" spans="1:14" ht="15.75" customHeight="1" x14ac:dyDescent="0.25">
      <c r="A171" s="24"/>
      <c r="B171" s="174"/>
      <c r="C171" s="24"/>
      <c r="D171" s="24"/>
      <c r="E171" s="24"/>
      <c r="I171" s="40"/>
      <c r="J171" s="40"/>
      <c r="M171" s="40"/>
      <c r="N171" s="40"/>
    </row>
    <row r="172" spans="1:14" ht="15.75" customHeight="1" x14ac:dyDescent="0.25">
      <c r="A172" s="24"/>
      <c r="B172" s="174"/>
      <c r="C172" s="24"/>
      <c r="D172" s="24"/>
      <c r="E172" s="24"/>
      <c r="I172" s="40"/>
      <c r="J172" s="40"/>
      <c r="M172" s="40"/>
      <c r="N172" s="40"/>
    </row>
    <row r="173" spans="1:14" ht="15.75" customHeight="1" x14ac:dyDescent="0.25">
      <c r="A173" s="24"/>
      <c r="B173" s="174"/>
      <c r="C173" s="24"/>
      <c r="D173" s="24"/>
      <c r="E173" s="24"/>
      <c r="I173" s="40"/>
      <c r="J173" s="40"/>
      <c r="M173" s="40"/>
      <c r="N173" s="40"/>
    </row>
    <row r="174" spans="1:14" ht="15.75" customHeight="1" x14ac:dyDescent="0.25">
      <c r="A174" s="24"/>
      <c r="B174" s="174"/>
      <c r="C174" s="24"/>
      <c r="D174" s="24"/>
      <c r="E174" s="24"/>
      <c r="I174" s="40"/>
      <c r="J174" s="40"/>
      <c r="M174" s="40"/>
      <c r="N174" s="40"/>
    </row>
    <row r="175" spans="1:14" ht="15.75" customHeight="1" x14ac:dyDescent="0.25">
      <c r="A175" s="24"/>
      <c r="B175" s="174"/>
      <c r="C175" s="24"/>
      <c r="D175" s="24"/>
      <c r="E175" s="24"/>
      <c r="I175" s="40"/>
      <c r="J175" s="40"/>
      <c r="M175" s="40"/>
      <c r="N175" s="40"/>
    </row>
    <row r="176" spans="1:14" ht="15.75" customHeight="1" x14ac:dyDescent="0.25">
      <c r="A176" s="24"/>
      <c r="B176" s="174"/>
      <c r="C176" s="24"/>
      <c r="D176" s="24"/>
      <c r="E176" s="24"/>
      <c r="I176" s="40"/>
      <c r="J176" s="40"/>
      <c r="M176" s="40"/>
      <c r="N176" s="40"/>
    </row>
    <row r="177" spans="1:14" ht="15.75" customHeight="1" x14ac:dyDescent="0.25">
      <c r="A177" s="24"/>
      <c r="B177" s="174"/>
      <c r="C177" s="24"/>
      <c r="D177" s="24"/>
      <c r="E177" s="24"/>
      <c r="I177" s="40"/>
      <c r="J177" s="40"/>
      <c r="M177" s="40"/>
      <c r="N177" s="40"/>
    </row>
    <row r="178" spans="1:14" ht="15.75" customHeight="1" x14ac:dyDescent="0.25">
      <c r="A178" s="24"/>
      <c r="B178" s="174"/>
      <c r="C178" s="24"/>
      <c r="D178" s="24"/>
      <c r="E178" s="24"/>
      <c r="I178" s="40"/>
      <c r="J178" s="40"/>
      <c r="M178" s="40"/>
      <c r="N178" s="40"/>
    </row>
    <row r="179" spans="1:14" ht="15.75" customHeight="1" x14ac:dyDescent="0.25">
      <c r="A179" s="24"/>
      <c r="B179" s="174"/>
      <c r="C179" s="24"/>
      <c r="D179" s="24"/>
      <c r="E179" s="24"/>
      <c r="I179" s="40"/>
      <c r="J179" s="40"/>
      <c r="M179" s="40"/>
      <c r="N179" s="40"/>
    </row>
    <row r="180" spans="1:14" ht="15.75" customHeight="1" x14ac:dyDescent="0.25">
      <c r="A180" s="24"/>
      <c r="B180" s="174"/>
      <c r="C180" s="24"/>
      <c r="D180" s="24"/>
      <c r="E180" s="24"/>
      <c r="I180" s="40"/>
      <c r="J180" s="40"/>
      <c r="M180" s="40"/>
      <c r="N180" s="40"/>
    </row>
    <row r="181" spans="1:14" ht="15.75" customHeight="1" x14ac:dyDescent="0.25">
      <c r="A181" s="24"/>
      <c r="B181" s="174"/>
      <c r="C181" s="24"/>
      <c r="D181" s="24"/>
      <c r="E181" s="24"/>
      <c r="I181" s="40"/>
      <c r="J181" s="40"/>
      <c r="M181" s="40"/>
      <c r="N181" s="40"/>
    </row>
    <row r="182" spans="1:14" ht="15.75" customHeight="1" x14ac:dyDescent="0.25">
      <c r="A182" s="24"/>
      <c r="B182" s="174"/>
      <c r="C182" s="24"/>
      <c r="D182" s="24"/>
      <c r="E182" s="24"/>
      <c r="I182" s="40"/>
      <c r="J182" s="40"/>
      <c r="M182" s="40"/>
      <c r="N182" s="40"/>
    </row>
    <row r="183" spans="1:14" ht="15.75" customHeight="1" x14ac:dyDescent="0.25">
      <c r="A183" s="24"/>
      <c r="B183" s="174"/>
      <c r="C183" s="24"/>
      <c r="D183" s="24"/>
      <c r="E183" s="24"/>
      <c r="I183" s="40"/>
      <c r="J183" s="40"/>
      <c r="M183" s="40"/>
      <c r="N183" s="40"/>
    </row>
    <row r="184" spans="1:14" ht="15.75" customHeight="1" x14ac:dyDescent="0.25">
      <c r="A184" s="24"/>
      <c r="B184" s="174"/>
      <c r="C184" s="24"/>
      <c r="D184" s="24"/>
      <c r="E184" s="24"/>
      <c r="I184" s="40"/>
      <c r="J184" s="40"/>
      <c r="M184" s="40"/>
      <c r="N184" s="40"/>
    </row>
    <row r="185" spans="1:14" ht="15.75" customHeight="1" x14ac:dyDescent="0.25">
      <c r="A185" s="24"/>
      <c r="B185" s="174"/>
      <c r="C185" s="24"/>
      <c r="D185" s="24"/>
      <c r="E185" s="24"/>
      <c r="I185" s="40"/>
      <c r="J185" s="40"/>
      <c r="M185" s="40"/>
      <c r="N185" s="40"/>
    </row>
    <row r="186" spans="1:14" ht="15.75" customHeight="1" x14ac:dyDescent="0.25">
      <c r="A186" s="24"/>
      <c r="B186" s="174"/>
      <c r="C186" s="24"/>
      <c r="D186" s="24"/>
      <c r="E186" s="24"/>
      <c r="I186" s="40"/>
      <c r="J186" s="40"/>
      <c r="M186" s="40"/>
      <c r="N186" s="40"/>
    </row>
    <row r="187" spans="1:14" ht="15.75" customHeight="1" x14ac:dyDescent="0.25">
      <c r="A187" s="24"/>
      <c r="B187" s="174"/>
      <c r="C187" s="24"/>
      <c r="D187" s="24"/>
      <c r="E187" s="24"/>
      <c r="I187" s="40"/>
      <c r="J187" s="40"/>
      <c r="M187" s="40"/>
      <c r="N187" s="40"/>
    </row>
    <row r="188" spans="1:14" ht="15.75" customHeight="1" x14ac:dyDescent="0.25">
      <c r="A188" s="24"/>
      <c r="B188" s="174"/>
      <c r="C188" s="24"/>
      <c r="D188" s="24"/>
      <c r="E188" s="24"/>
      <c r="I188" s="40"/>
      <c r="J188" s="40"/>
      <c r="M188" s="40"/>
      <c r="N188" s="40"/>
    </row>
    <row r="189" spans="1:14" ht="15.75" customHeight="1" x14ac:dyDescent="0.25">
      <c r="A189" s="24"/>
      <c r="B189" s="174"/>
      <c r="C189" s="24"/>
      <c r="D189" s="24"/>
      <c r="E189" s="24"/>
      <c r="I189" s="40"/>
      <c r="J189" s="40"/>
      <c r="M189" s="40"/>
      <c r="N189" s="40"/>
    </row>
    <row r="190" spans="1:14" ht="15.75" customHeight="1" x14ac:dyDescent="0.25">
      <c r="A190" s="24"/>
      <c r="B190" s="174"/>
      <c r="C190" s="24"/>
      <c r="D190" s="24"/>
      <c r="E190" s="24"/>
      <c r="I190" s="40"/>
      <c r="J190" s="40"/>
      <c r="M190" s="40"/>
      <c r="N190" s="40"/>
    </row>
    <row r="191" spans="1:14" ht="15.75" customHeight="1" x14ac:dyDescent="0.25">
      <c r="A191" s="24"/>
      <c r="B191" s="174"/>
      <c r="C191" s="24"/>
      <c r="D191" s="24"/>
      <c r="E191" s="24"/>
      <c r="I191" s="40"/>
      <c r="J191" s="40"/>
      <c r="M191" s="40"/>
      <c r="N191" s="40"/>
    </row>
    <row r="192" spans="1:14" ht="15.75" customHeight="1" x14ac:dyDescent="0.25">
      <c r="A192" s="24"/>
      <c r="B192" s="174"/>
      <c r="C192" s="24"/>
      <c r="D192" s="24"/>
      <c r="E192" s="24"/>
      <c r="I192" s="40"/>
      <c r="J192" s="40"/>
      <c r="M192" s="40"/>
      <c r="N192" s="40"/>
    </row>
    <row r="193" spans="1:14" ht="15.75" customHeight="1" x14ac:dyDescent="0.25">
      <c r="A193" s="24"/>
      <c r="B193" s="174"/>
      <c r="C193" s="24"/>
      <c r="D193" s="24"/>
      <c r="E193" s="24"/>
      <c r="I193" s="40"/>
      <c r="J193" s="40"/>
      <c r="M193" s="40"/>
      <c r="N193" s="40"/>
    </row>
    <row r="194" spans="1:14" ht="15.75" customHeight="1" x14ac:dyDescent="0.25">
      <c r="A194" s="24"/>
      <c r="B194" s="174"/>
      <c r="C194" s="24"/>
      <c r="D194" s="24"/>
      <c r="E194" s="24"/>
      <c r="I194" s="40"/>
      <c r="J194" s="40"/>
      <c r="M194" s="40"/>
      <c r="N194" s="40"/>
    </row>
    <row r="195" spans="1:14" ht="15.75" customHeight="1" x14ac:dyDescent="0.25">
      <c r="A195" s="24"/>
      <c r="B195" s="174"/>
      <c r="C195" s="24"/>
      <c r="D195" s="24"/>
      <c r="E195" s="24"/>
      <c r="I195" s="40"/>
      <c r="J195" s="40"/>
      <c r="M195" s="40"/>
      <c r="N195" s="40"/>
    </row>
    <row r="196" spans="1:14" ht="15.75" customHeight="1" x14ac:dyDescent="0.25">
      <c r="A196" s="24"/>
      <c r="B196" s="174"/>
      <c r="C196" s="24"/>
      <c r="D196" s="24"/>
      <c r="E196" s="24"/>
      <c r="I196" s="40"/>
      <c r="J196" s="40"/>
      <c r="M196" s="40"/>
      <c r="N196" s="40"/>
    </row>
    <row r="197" spans="1:14" ht="15.75" customHeight="1" x14ac:dyDescent="0.25">
      <c r="A197" s="24"/>
      <c r="B197" s="174"/>
      <c r="C197" s="24"/>
      <c r="D197" s="24"/>
      <c r="E197" s="24"/>
      <c r="I197" s="40"/>
      <c r="J197" s="40"/>
      <c r="M197" s="40"/>
      <c r="N197" s="40"/>
    </row>
    <row r="198" spans="1:14" ht="15.75" customHeight="1" x14ac:dyDescent="0.25">
      <c r="A198" s="24"/>
      <c r="B198" s="174"/>
      <c r="C198" s="24"/>
      <c r="D198" s="24"/>
      <c r="E198" s="24"/>
      <c r="I198" s="40"/>
      <c r="J198" s="40"/>
      <c r="M198" s="40"/>
      <c r="N198" s="40"/>
    </row>
    <row r="199" spans="1:14" ht="15.75" customHeight="1" x14ac:dyDescent="0.25">
      <c r="A199" s="24"/>
      <c r="B199" s="174"/>
      <c r="C199" s="24"/>
      <c r="D199" s="24"/>
      <c r="E199" s="24"/>
      <c r="I199" s="40"/>
      <c r="J199" s="40"/>
      <c r="M199" s="40"/>
      <c r="N199" s="40"/>
    </row>
    <row r="200" spans="1:14" ht="15.75" customHeight="1" x14ac:dyDescent="0.25">
      <c r="A200" s="24"/>
      <c r="B200" s="174"/>
      <c r="C200" s="24"/>
      <c r="D200" s="24"/>
      <c r="E200" s="24"/>
      <c r="I200" s="40"/>
      <c r="J200" s="40"/>
      <c r="M200" s="40"/>
      <c r="N200" s="40"/>
    </row>
    <row r="201" spans="1:14" ht="15.75" customHeight="1" x14ac:dyDescent="0.25">
      <c r="A201" s="24"/>
      <c r="B201" s="174"/>
      <c r="C201" s="24"/>
      <c r="D201" s="24"/>
      <c r="E201" s="24"/>
      <c r="I201" s="40"/>
      <c r="J201" s="40"/>
      <c r="M201" s="40"/>
      <c r="N201" s="40"/>
    </row>
    <row r="202" spans="1:14" ht="15.75" customHeight="1" x14ac:dyDescent="0.25">
      <c r="A202" s="24"/>
      <c r="B202" s="174"/>
      <c r="C202" s="24"/>
      <c r="D202" s="24"/>
      <c r="E202" s="24"/>
      <c r="I202" s="40"/>
      <c r="J202" s="40"/>
      <c r="M202" s="40"/>
      <c r="N202" s="40"/>
    </row>
    <row r="203" spans="1:14" ht="15.75" customHeight="1" x14ac:dyDescent="0.25">
      <c r="A203" s="24"/>
      <c r="B203" s="174"/>
      <c r="C203" s="24"/>
      <c r="D203" s="24"/>
      <c r="E203" s="24"/>
      <c r="I203" s="40"/>
      <c r="J203" s="40"/>
      <c r="M203" s="40"/>
      <c r="N203" s="40"/>
    </row>
    <row r="204" spans="1:14" ht="15.75" customHeight="1" x14ac:dyDescent="0.25">
      <c r="A204" s="24"/>
      <c r="B204" s="174"/>
      <c r="C204" s="24"/>
      <c r="D204" s="24"/>
      <c r="E204" s="24"/>
      <c r="I204" s="40"/>
      <c r="J204" s="40"/>
      <c r="M204" s="40"/>
      <c r="N204" s="40"/>
    </row>
    <row r="205" spans="1:14" ht="15.75" customHeight="1" x14ac:dyDescent="0.25">
      <c r="A205" s="24"/>
      <c r="B205" s="174"/>
      <c r="C205" s="24"/>
      <c r="D205" s="24"/>
      <c r="E205" s="24"/>
      <c r="I205" s="40"/>
      <c r="J205" s="40"/>
      <c r="M205" s="40"/>
      <c r="N205" s="40"/>
    </row>
    <row r="206" spans="1:14" ht="15.75" customHeight="1" x14ac:dyDescent="0.25">
      <c r="A206" s="24"/>
      <c r="B206" s="174"/>
      <c r="C206" s="24"/>
      <c r="D206" s="24"/>
      <c r="E206" s="24"/>
      <c r="I206" s="40"/>
      <c r="J206" s="40"/>
      <c r="M206" s="40"/>
      <c r="N206" s="40"/>
    </row>
    <row r="207" spans="1:14" ht="15.75" customHeight="1" x14ac:dyDescent="0.25">
      <c r="A207" s="24"/>
      <c r="B207" s="174"/>
      <c r="C207" s="24"/>
      <c r="D207" s="24"/>
      <c r="E207" s="24"/>
      <c r="I207" s="40"/>
      <c r="J207" s="40"/>
      <c r="M207" s="40"/>
      <c r="N207" s="40"/>
    </row>
    <row r="208" spans="1:14" ht="15.75" customHeight="1" x14ac:dyDescent="0.25">
      <c r="A208" s="24"/>
      <c r="B208" s="174"/>
      <c r="C208" s="24"/>
      <c r="D208" s="24"/>
      <c r="E208" s="24"/>
      <c r="I208" s="40"/>
      <c r="J208" s="40"/>
      <c r="M208" s="40"/>
      <c r="N208" s="40"/>
    </row>
    <row r="209" spans="1:14" ht="15.75" customHeight="1" x14ac:dyDescent="0.25">
      <c r="A209" s="24"/>
      <c r="B209" s="174"/>
      <c r="C209" s="24"/>
      <c r="D209" s="24"/>
      <c r="E209" s="24"/>
      <c r="I209" s="40"/>
      <c r="J209" s="40"/>
      <c r="M209" s="40"/>
      <c r="N209" s="40"/>
    </row>
    <row r="210" spans="1:14" ht="15.75" customHeight="1" x14ac:dyDescent="0.25">
      <c r="A210" s="24"/>
      <c r="B210" s="174"/>
      <c r="C210" s="24"/>
      <c r="D210" s="24"/>
      <c r="E210" s="24"/>
      <c r="I210" s="40"/>
      <c r="J210" s="40"/>
      <c r="M210" s="40"/>
      <c r="N210" s="40"/>
    </row>
    <row r="211" spans="1:14" ht="15.75" customHeight="1" x14ac:dyDescent="0.25">
      <c r="A211" s="24"/>
      <c r="B211" s="174"/>
      <c r="C211" s="24"/>
      <c r="D211" s="24"/>
      <c r="E211" s="24"/>
      <c r="I211" s="40"/>
      <c r="J211" s="40"/>
      <c r="M211" s="40"/>
      <c r="N211" s="40"/>
    </row>
    <row r="212" spans="1:14" ht="15.75" customHeight="1" x14ac:dyDescent="0.25">
      <c r="A212" s="24"/>
      <c r="B212" s="174"/>
      <c r="C212" s="24"/>
      <c r="D212" s="24"/>
      <c r="E212" s="24"/>
      <c r="I212" s="40"/>
      <c r="J212" s="40"/>
      <c r="M212" s="40"/>
      <c r="N212" s="40"/>
    </row>
    <row r="213" spans="1:14" ht="15.75" customHeight="1" x14ac:dyDescent="0.25">
      <c r="A213" s="24"/>
      <c r="B213" s="174"/>
      <c r="C213" s="24"/>
      <c r="D213" s="24"/>
      <c r="E213" s="24"/>
      <c r="I213" s="40"/>
      <c r="J213" s="40"/>
      <c r="M213" s="40"/>
      <c r="N213" s="40"/>
    </row>
    <row r="214" spans="1:14" ht="15.75" customHeight="1" x14ac:dyDescent="0.25">
      <c r="A214" s="24"/>
      <c r="B214" s="174"/>
      <c r="C214" s="24"/>
      <c r="D214" s="24"/>
      <c r="E214" s="24"/>
      <c r="I214" s="40"/>
      <c r="J214" s="40"/>
      <c r="M214" s="40"/>
      <c r="N214" s="40"/>
    </row>
    <row r="215" spans="1:14" ht="15.75" customHeight="1" x14ac:dyDescent="0.25">
      <c r="A215" s="24"/>
      <c r="B215" s="174"/>
      <c r="C215" s="24"/>
      <c r="D215" s="24"/>
      <c r="E215" s="24"/>
      <c r="I215" s="40"/>
      <c r="J215" s="40"/>
      <c r="M215" s="40"/>
      <c r="N215" s="40"/>
    </row>
    <row r="216" spans="1:14" ht="15.75" customHeight="1" x14ac:dyDescent="0.25">
      <c r="A216" s="24"/>
      <c r="B216" s="174"/>
      <c r="C216" s="24"/>
      <c r="D216" s="24"/>
      <c r="E216" s="24"/>
      <c r="I216" s="40"/>
      <c r="J216" s="40"/>
      <c r="M216" s="40"/>
      <c r="N216" s="40"/>
    </row>
    <row r="217" spans="1:14" ht="15.75" customHeight="1" x14ac:dyDescent="0.25">
      <c r="A217" s="24"/>
      <c r="B217" s="174"/>
      <c r="C217" s="24"/>
      <c r="D217" s="24"/>
      <c r="E217" s="24"/>
      <c r="I217" s="40"/>
      <c r="J217" s="40"/>
      <c r="M217" s="40"/>
      <c r="N217" s="40"/>
    </row>
    <row r="218" spans="1:14" ht="15.75" customHeight="1" x14ac:dyDescent="0.25">
      <c r="A218" s="24"/>
      <c r="B218" s="174"/>
      <c r="C218" s="24"/>
      <c r="D218" s="24"/>
      <c r="E218" s="24"/>
      <c r="I218" s="40"/>
      <c r="J218" s="40"/>
      <c r="M218" s="40"/>
      <c r="N218" s="40"/>
    </row>
    <row r="219" spans="1:14" ht="15.75" customHeight="1" x14ac:dyDescent="0.25">
      <c r="A219" s="24"/>
      <c r="B219" s="174"/>
      <c r="C219" s="24"/>
      <c r="D219" s="24"/>
      <c r="E219" s="24"/>
      <c r="I219" s="40"/>
      <c r="J219" s="40"/>
      <c r="M219" s="40"/>
      <c r="N219" s="40"/>
    </row>
    <row r="220" spans="1:14" ht="15.75" customHeight="1" x14ac:dyDescent="0.25">
      <c r="A220" s="24"/>
      <c r="B220" s="174"/>
      <c r="C220" s="24"/>
      <c r="D220" s="24"/>
      <c r="E220" s="24"/>
      <c r="I220" s="40"/>
      <c r="J220" s="40"/>
      <c r="M220" s="40"/>
      <c r="N220" s="40"/>
    </row>
    <row r="221" spans="1:14" ht="15.75" customHeight="1" x14ac:dyDescent="0.25">
      <c r="A221" s="24"/>
      <c r="B221" s="174"/>
      <c r="C221" s="24"/>
      <c r="D221" s="24"/>
      <c r="E221" s="24"/>
      <c r="I221" s="40"/>
      <c r="J221" s="40"/>
      <c r="M221" s="40"/>
      <c r="N221" s="40"/>
    </row>
    <row r="222" spans="1:14" ht="15.75" customHeight="1" x14ac:dyDescent="0.25">
      <c r="A222" s="24"/>
      <c r="B222" s="174"/>
      <c r="C222" s="24"/>
      <c r="D222" s="24"/>
      <c r="E222" s="24"/>
      <c r="I222" s="40"/>
      <c r="J222" s="40"/>
      <c r="M222" s="40"/>
      <c r="N222" s="40"/>
    </row>
    <row r="223" spans="1:14" ht="15.75" customHeight="1" x14ac:dyDescent="0.25">
      <c r="A223" s="24"/>
      <c r="B223" s="174"/>
      <c r="C223" s="24"/>
      <c r="D223" s="24"/>
      <c r="E223" s="24"/>
      <c r="I223" s="40"/>
      <c r="J223" s="40"/>
      <c r="M223" s="40"/>
      <c r="N223" s="40"/>
    </row>
    <row r="224" spans="1:14" ht="15.75" customHeight="1" x14ac:dyDescent="0.25">
      <c r="A224" s="24"/>
      <c r="B224" s="174"/>
      <c r="C224" s="24"/>
      <c r="D224" s="24"/>
      <c r="E224" s="24"/>
      <c r="I224" s="40"/>
      <c r="J224" s="40"/>
      <c r="M224" s="40"/>
      <c r="N224" s="40"/>
    </row>
    <row r="225" spans="1:14" ht="15.75" customHeight="1" x14ac:dyDescent="0.25">
      <c r="A225" s="24"/>
      <c r="B225" s="174"/>
      <c r="C225" s="24"/>
      <c r="D225" s="24"/>
      <c r="E225" s="24"/>
      <c r="I225" s="40"/>
      <c r="J225" s="40"/>
      <c r="M225" s="40"/>
      <c r="N225" s="40"/>
    </row>
    <row r="226" spans="1:14" ht="15.75" customHeight="1" x14ac:dyDescent="0.25">
      <c r="A226" s="24"/>
      <c r="B226" s="174"/>
      <c r="C226" s="24"/>
      <c r="D226" s="24"/>
      <c r="E226" s="24"/>
      <c r="I226" s="40"/>
      <c r="J226" s="40"/>
      <c r="M226" s="40"/>
      <c r="N226" s="40"/>
    </row>
    <row r="227" spans="1:14" ht="15.75" customHeight="1" x14ac:dyDescent="0.25">
      <c r="A227" s="24"/>
      <c r="B227" s="174"/>
      <c r="C227" s="24"/>
      <c r="D227" s="24"/>
      <c r="E227" s="24"/>
      <c r="I227" s="40"/>
      <c r="J227" s="40"/>
      <c r="M227" s="40"/>
      <c r="N227" s="40"/>
    </row>
    <row r="228" spans="1:14" ht="15.75" customHeight="1" x14ac:dyDescent="0.25">
      <c r="A228" s="24"/>
      <c r="B228" s="174"/>
      <c r="C228" s="24"/>
      <c r="D228" s="24"/>
      <c r="E228" s="24"/>
      <c r="I228" s="40"/>
      <c r="J228" s="40"/>
      <c r="M228" s="40"/>
      <c r="N228" s="40"/>
    </row>
    <row r="229" spans="1:14" ht="15.75" customHeight="1" x14ac:dyDescent="0.25">
      <c r="A229" s="24"/>
      <c r="B229" s="174"/>
      <c r="C229" s="24"/>
      <c r="D229" s="24"/>
      <c r="E229" s="24"/>
      <c r="I229" s="40"/>
      <c r="J229" s="40"/>
      <c r="M229" s="40"/>
      <c r="N229" s="40"/>
    </row>
    <row r="230" spans="1:14" ht="15.75" customHeight="1" x14ac:dyDescent="0.25">
      <c r="A230" s="24"/>
      <c r="B230" s="174"/>
      <c r="C230" s="24"/>
      <c r="D230" s="24"/>
      <c r="E230" s="24"/>
      <c r="I230" s="40"/>
      <c r="J230" s="40"/>
      <c r="M230" s="40"/>
      <c r="N230" s="40"/>
    </row>
    <row r="231" spans="1:14" ht="15.75" customHeight="1" x14ac:dyDescent="0.25">
      <c r="A231" s="24"/>
      <c r="B231" s="174"/>
      <c r="C231" s="24"/>
      <c r="D231" s="24"/>
      <c r="E231" s="24"/>
      <c r="I231" s="40"/>
      <c r="J231" s="40"/>
      <c r="M231" s="40"/>
      <c r="N231" s="40"/>
    </row>
    <row r="232" spans="1:14" ht="15.75" customHeight="1" x14ac:dyDescent="0.25">
      <c r="A232" s="24"/>
      <c r="B232" s="174"/>
      <c r="C232" s="24"/>
      <c r="D232" s="24"/>
      <c r="E232" s="24"/>
      <c r="I232" s="40"/>
      <c r="J232" s="40"/>
      <c r="M232" s="40"/>
      <c r="N232" s="40"/>
    </row>
    <row r="233" spans="1:14" ht="15.75" customHeight="1" x14ac:dyDescent="0.25">
      <c r="A233" s="24"/>
      <c r="B233" s="174"/>
      <c r="C233" s="24"/>
      <c r="D233" s="24"/>
      <c r="E233" s="24"/>
      <c r="I233" s="40"/>
      <c r="J233" s="40"/>
      <c r="M233" s="40"/>
      <c r="N233" s="40"/>
    </row>
    <row r="234" spans="1:14" ht="15.75" customHeight="1" x14ac:dyDescent="0.25">
      <c r="A234" s="24"/>
      <c r="B234" s="174"/>
      <c r="C234" s="24"/>
      <c r="D234" s="24"/>
      <c r="E234" s="24"/>
      <c r="I234" s="40"/>
      <c r="J234" s="40"/>
      <c r="M234" s="40"/>
      <c r="N234" s="40"/>
    </row>
    <row r="235" spans="1:14" ht="15.75" customHeight="1" x14ac:dyDescent="0.25">
      <c r="A235" s="24"/>
      <c r="B235" s="174"/>
      <c r="C235" s="24"/>
      <c r="D235" s="24"/>
      <c r="E235" s="24"/>
      <c r="I235" s="40"/>
      <c r="J235" s="40"/>
      <c r="M235" s="40"/>
      <c r="N235" s="40"/>
    </row>
    <row r="236" spans="1:14" ht="15.75" customHeight="1" x14ac:dyDescent="0.25">
      <c r="A236" s="24"/>
      <c r="B236" s="174"/>
      <c r="C236" s="24"/>
      <c r="D236" s="24"/>
      <c r="E236" s="24"/>
      <c r="I236" s="40"/>
      <c r="J236" s="40"/>
      <c r="M236" s="40"/>
      <c r="N236" s="40"/>
    </row>
    <row r="237" spans="1:14" ht="15.75" customHeight="1" x14ac:dyDescent="0.25">
      <c r="A237" s="24"/>
      <c r="B237" s="174"/>
      <c r="C237" s="24"/>
      <c r="D237" s="24"/>
      <c r="E237" s="24"/>
      <c r="I237" s="40"/>
      <c r="J237" s="40"/>
      <c r="M237" s="40"/>
      <c r="N237" s="40"/>
    </row>
    <row r="238" spans="1:14" ht="15.75" customHeight="1" x14ac:dyDescent="0.25">
      <c r="A238" s="24"/>
      <c r="B238" s="174"/>
      <c r="C238" s="24"/>
      <c r="D238" s="24"/>
      <c r="E238" s="24"/>
      <c r="I238" s="40"/>
      <c r="J238" s="40"/>
      <c r="M238" s="40"/>
      <c r="N238" s="40"/>
    </row>
    <row r="239" spans="1:14" ht="15.75" customHeight="1" x14ac:dyDescent="0.25">
      <c r="A239" s="24"/>
      <c r="B239" s="174"/>
      <c r="C239" s="24"/>
      <c r="D239" s="24"/>
      <c r="E239" s="24"/>
      <c r="I239" s="40"/>
      <c r="J239" s="40"/>
      <c r="M239" s="40"/>
      <c r="N239" s="40"/>
    </row>
    <row r="240" spans="1:14" ht="15.75" customHeight="1" x14ac:dyDescent="0.25">
      <c r="A240" s="24"/>
      <c r="B240" s="174"/>
      <c r="C240" s="24"/>
      <c r="D240" s="24"/>
      <c r="E240" s="24"/>
      <c r="I240" s="40"/>
      <c r="J240" s="40"/>
      <c r="M240" s="40"/>
      <c r="N240" s="40"/>
    </row>
    <row r="241" spans="1:14" ht="15.75" customHeight="1" x14ac:dyDescent="0.25">
      <c r="A241" s="24"/>
      <c r="B241" s="174"/>
      <c r="C241" s="24"/>
      <c r="D241" s="24"/>
      <c r="E241" s="24"/>
      <c r="I241" s="40"/>
      <c r="J241" s="40"/>
      <c r="M241" s="40"/>
      <c r="N241" s="40"/>
    </row>
    <row r="242" spans="1:14" ht="15.75" customHeight="1" x14ac:dyDescent="0.25">
      <c r="A242" s="24"/>
      <c r="B242" s="174"/>
      <c r="C242" s="24"/>
      <c r="D242" s="24"/>
      <c r="E242" s="24"/>
      <c r="I242" s="40"/>
      <c r="J242" s="40"/>
      <c r="M242" s="40"/>
      <c r="N242" s="40"/>
    </row>
    <row r="243" spans="1:14" ht="15.75" customHeight="1" x14ac:dyDescent="0.25">
      <c r="A243" s="24"/>
      <c r="B243" s="174"/>
      <c r="C243" s="24"/>
      <c r="D243" s="24"/>
      <c r="E243" s="24"/>
      <c r="I243" s="40"/>
      <c r="J243" s="40"/>
      <c r="M243" s="40"/>
      <c r="N243" s="40"/>
    </row>
    <row r="244" spans="1:14" ht="15.75" customHeight="1" x14ac:dyDescent="0.25">
      <c r="A244" s="24"/>
      <c r="B244" s="174"/>
      <c r="C244" s="24"/>
      <c r="D244" s="24"/>
      <c r="E244" s="24"/>
      <c r="I244" s="40"/>
      <c r="J244" s="40"/>
      <c r="M244" s="40"/>
      <c r="N244" s="40"/>
    </row>
    <row r="245" spans="1:14" ht="15.75" customHeight="1" x14ac:dyDescent="0.25">
      <c r="A245" s="24"/>
      <c r="B245" s="174"/>
      <c r="C245" s="24"/>
      <c r="D245" s="24"/>
      <c r="E245" s="24"/>
      <c r="I245" s="40"/>
      <c r="J245" s="40"/>
      <c r="M245" s="40"/>
      <c r="N245" s="40"/>
    </row>
    <row r="246" spans="1:14" ht="15.75" customHeight="1" x14ac:dyDescent="0.25">
      <c r="A246" s="24"/>
      <c r="B246" s="174"/>
      <c r="C246" s="24"/>
      <c r="D246" s="24"/>
      <c r="E246" s="24"/>
      <c r="I246" s="40"/>
      <c r="J246" s="40"/>
      <c r="M246" s="40"/>
      <c r="N246" s="40"/>
    </row>
    <row r="247" spans="1:14" ht="15.75" customHeight="1" x14ac:dyDescent="0.25">
      <c r="A247" s="24"/>
      <c r="B247" s="174"/>
      <c r="C247" s="24"/>
      <c r="D247" s="24"/>
      <c r="E247" s="24"/>
      <c r="I247" s="40"/>
      <c r="J247" s="40"/>
      <c r="M247" s="40"/>
      <c r="N247" s="40"/>
    </row>
    <row r="248" spans="1:14" ht="15.75" customHeight="1" x14ac:dyDescent="0.25">
      <c r="A248" s="24"/>
      <c r="B248" s="174"/>
      <c r="C248" s="24"/>
      <c r="D248" s="24"/>
      <c r="E248" s="24"/>
      <c r="I248" s="40"/>
      <c r="J248" s="40"/>
      <c r="M248" s="40"/>
      <c r="N248" s="40"/>
    </row>
    <row r="249" spans="1:14" ht="15.75" customHeight="1" x14ac:dyDescent="0.25">
      <c r="A249" s="24"/>
      <c r="B249" s="174"/>
      <c r="C249" s="24"/>
      <c r="D249" s="24"/>
      <c r="E249" s="24"/>
      <c r="I249" s="40"/>
      <c r="J249" s="40"/>
      <c r="M249" s="40"/>
      <c r="N249" s="40"/>
    </row>
    <row r="250" spans="1:14" ht="15.75" customHeight="1" x14ac:dyDescent="0.25">
      <c r="A250" s="24"/>
      <c r="B250" s="174"/>
      <c r="C250" s="24"/>
      <c r="D250" s="24"/>
      <c r="E250" s="24"/>
      <c r="I250" s="40"/>
      <c r="J250" s="40"/>
      <c r="M250" s="40"/>
      <c r="N250" s="40"/>
    </row>
    <row r="251" spans="1:14" ht="15.75" customHeight="1" x14ac:dyDescent="0.25">
      <c r="A251" s="24"/>
      <c r="B251" s="174"/>
      <c r="C251" s="24"/>
      <c r="D251" s="24"/>
      <c r="E251" s="24"/>
      <c r="I251" s="40"/>
      <c r="J251" s="40"/>
      <c r="M251" s="40"/>
      <c r="N251" s="40"/>
    </row>
    <row r="252" spans="1:14" ht="15.75" customHeight="1" x14ac:dyDescent="0.25">
      <c r="A252" s="24"/>
      <c r="B252" s="174"/>
      <c r="C252" s="24"/>
      <c r="D252" s="24"/>
      <c r="E252" s="24"/>
      <c r="I252" s="40"/>
      <c r="J252" s="40"/>
      <c r="M252" s="40"/>
      <c r="N252" s="40"/>
    </row>
    <row r="253" spans="1:14" ht="15.75" customHeight="1" x14ac:dyDescent="0.25">
      <c r="A253" s="24"/>
      <c r="B253" s="174"/>
      <c r="C253" s="24"/>
      <c r="D253" s="24"/>
      <c r="E253" s="24"/>
      <c r="I253" s="40"/>
      <c r="J253" s="40"/>
      <c r="M253" s="40"/>
      <c r="N253" s="40"/>
    </row>
    <row r="254" spans="1:14" ht="15.75" customHeight="1" x14ac:dyDescent="0.25">
      <c r="A254" s="24"/>
      <c r="B254" s="174"/>
      <c r="C254" s="24"/>
      <c r="D254" s="24"/>
      <c r="E254" s="24"/>
      <c r="I254" s="40"/>
      <c r="J254" s="40"/>
      <c r="M254" s="40"/>
      <c r="N254" s="40"/>
    </row>
    <row r="255" spans="1:14" ht="15.75" customHeight="1" x14ac:dyDescent="0.25">
      <c r="A255" s="24"/>
      <c r="B255" s="174"/>
      <c r="C255" s="24"/>
      <c r="D255" s="24"/>
      <c r="E255" s="24"/>
      <c r="I255" s="40"/>
      <c r="J255" s="40"/>
      <c r="M255" s="40"/>
      <c r="N255" s="40"/>
    </row>
    <row r="256" spans="1:14" ht="15.75" customHeight="1" x14ac:dyDescent="0.25">
      <c r="A256" s="24"/>
      <c r="B256" s="174"/>
      <c r="C256" s="24"/>
      <c r="D256" s="24"/>
      <c r="E256" s="24"/>
      <c r="I256" s="40"/>
      <c r="J256" s="40"/>
      <c r="M256" s="40"/>
      <c r="N256" s="40"/>
    </row>
    <row r="257" spans="1:14" ht="15.75" customHeight="1" x14ac:dyDescent="0.25">
      <c r="A257" s="24"/>
      <c r="B257" s="174"/>
      <c r="C257" s="24"/>
      <c r="D257" s="24"/>
      <c r="E257" s="24"/>
      <c r="I257" s="40"/>
      <c r="J257" s="40"/>
      <c r="M257" s="40"/>
      <c r="N257" s="40"/>
    </row>
    <row r="258" spans="1:14" ht="15.75" customHeight="1" x14ac:dyDescent="0.25">
      <c r="A258" s="24"/>
      <c r="B258" s="174"/>
      <c r="C258" s="24"/>
      <c r="D258" s="24"/>
      <c r="E258" s="24"/>
      <c r="I258" s="40"/>
      <c r="J258" s="40"/>
      <c r="M258" s="40"/>
      <c r="N258" s="40"/>
    </row>
    <row r="259" spans="1:14" ht="15.75" customHeight="1" x14ac:dyDescent="0.25">
      <c r="A259" s="24"/>
      <c r="B259" s="174"/>
      <c r="C259" s="24"/>
      <c r="D259" s="24"/>
      <c r="E259" s="24"/>
      <c r="I259" s="40"/>
      <c r="J259" s="40"/>
      <c r="M259" s="40"/>
      <c r="N259" s="40"/>
    </row>
    <row r="260" spans="1:14" ht="15.75" customHeight="1" x14ac:dyDescent="0.25">
      <c r="A260" s="24"/>
      <c r="B260" s="174"/>
      <c r="C260" s="24"/>
      <c r="D260" s="24"/>
      <c r="E260" s="24"/>
      <c r="I260" s="40"/>
      <c r="J260" s="40"/>
      <c r="M260" s="40"/>
      <c r="N260" s="40"/>
    </row>
    <row r="261" spans="1:14" ht="15.75" customHeight="1" x14ac:dyDescent="0.25">
      <c r="A261" s="24"/>
      <c r="B261" s="174"/>
      <c r="C261" s="24"/>
      <c r="D261" s="24"/>
      <c r="E261" s="24"/>
      <c r="I261" s="40"/>
      <c r="J261" s="40"/>
      <c r="M261" s="40"/>
      <c r="N261" s="40"/>
    </row>
    <row r="262" spans="1:14" ht="15.75" customHeight="1" x14ac:dyDescent="0.25">
      <c r="A262" s="24"/>
      <c r="B262" s="174"/>
      <c r="C262" s="24"/>
      <c r="D262" s="24"/>
      <c r="E262" s="24"/>
      <c r="I262" s="40"/>
      <c r="J262" s="40"/>
      <c r="M262" s="40"/>
      <c r="N262" s="40"/>
    </row>
    <row r="263" spans="1:14" ht="15.75" customHeight="1" x14ac:dyDescent="0.25">
      <c r="A263" s="24"/>
      <c r="B263" s="174"/>
      <c r="C263" s="24"/>
      <c r="D263" s="24"/>
      <c r="E263" s="24"/>
      <c r="I263" s="40"/>
      <c r="J263" s="40"/>
      <c r="M263" s="40"/>
      <c r="N263" s="40"/>
    </row>
    <row r="264" spans="1:14" ht="15.75" customHeight="1" x14ac:dyDescent="0.25">
      <c r="A264" s="24"/>
      <c r="B264" s="174"/>
      <c r="C264" s="24"/>
      <c r="D264" s="24"/>
      <c r="E264" s="24"/>
      <c r="I264" s="40"/>
      <c r="J264" s="40"/>
      <c r="M264" s="40"/>
      <c r="N264" s="40"/>
    </row>
    <row r="265" spans="1:14" ht="15.75" customHeight="1" x14ac:dyDescent="0.25">
      <c r="A265" s="24"/>
      <c r="B265" s="174"/>
      <c r="C265" s="24"/>
      <c r="D265" s="24"/>
      <c r="E265" s="24"/>
      <c r="I265" s="40"/>
      <c r="J265" s="40"/>
      <c r="M265" s="40"/>
      <c r="N265" s="40"/>
    </row>
    <row r="266" spans="1:14" ht="15.75" customHeight="1" x14ac:dyDescent="0.25">
      <c r="A266" s="24"/>
      <c r="B266" s="174"/>
      <c r="C266" s="24"/>
      <c r="D266" s="24"/>
      <c r="E266" s="24"/>
      <c r="I266" s="40"/>
      <c r="J266" s="40"/>
      <c r="M266" s="40"/>
      <c r="N266" s="40"/>
    </row>
    <row r="267" spans="1:14" ht="15.75" customHeight="1" x14ac:dyDescent="0.25">
      <c r="A267" s="24"/>
      <c r="B267" s="174"/>
      <c r="C267" s="24"/>
      <c r="D267" s="24"/>
      <c r="E267" s="24"/>
      <c r="I267" s="40"/>
      <c r="J267" s="40"/>
      <c r="M267" s="40"/>
      <c r="N267" s="40"/>
    </row>
    <row r="268" spans="1:14" ht="15.75" customHeight="1" x14ac:dyDescent="0.25">
      <c r="A268" s="24"/>
      <c r="B268" s="174"/>
      <c r="C268" s="24"/>
      <c r="D268" s="24"/>
      <c r="E268" s="24"/>
      <c r="I268" s="40"/>
      <c r="J268" s="40"/>
      <c r="M268" s="40"/>
      <c r="N268" s="40"/>
    </row>
    <row r="269" spans="1:14" ht="15.75" customHeight="1" x14ac:dyDescent="0.25">
      <c r="A269" s="24"/>
      <c r="B269" s="174"/>
      <c r="C269" s="24"/>
      <c r="D269" s="24"/>
      <c r="E269" s="24"/>
      <c r="I269" s="40"/>
      <c r="J269" s="40"/>
      <c r="M269" s="40"/>
      <c r="N269" s="40"/>
    </row>
    <row r="270" spans="1:14" ht="15.75" customHeight="1" x14ac:dyDescent="0.25">
      <c r="A270" s="24"/>
      <c r="B270" s="174"/>
      <c r="C270" s="24"/>
      <c r="D270" s="24"/>
      <c r="E270" s="24"/>
      <c r="I270" s="40"/>
      <c r="J270" s="40"/>
      <c r="M270" s="40"/>
      <c r="N270" s="40"/>
    </row>
    <row r="271" spans="1:14" ht="15.75" customHeight="1" x14ac:dyDescent="0.25">
      <c r="A271" s="24"/>
      <c r="B271" s="174"/>
      <c r="C271" s="24"/>
      <c r="D271" s="24"/>
      <c r="E271" s="24"/>
      <c r="I271" s="40"/>
      <c r="J271" s="40"/>
      <c r="M271" s="40"/>
      <c r="N271" s="40"/>
    </row>
    <row r="272" spans="1:14" ht="15.75" customHeight="1" x14ac:dyDescent="0.25">
      <c r="A272" s="24"/>
      <c r="B272" s="174"/>
      <c r="C272" s="24"/>
      <c r="D272" s="24"/>
      <c r="E272" s="24"/>
      <c r="I272" s="40"/>
      <c r="J272" s="40"/>
      <c r="M272" s="40"/>
      <c r="N272" s="40"/>
    </row>
    <row r="273" spans="1:14" ht="15.75" customHeight="1" x14ac:dyDescent="0.25">
      <c r="A273" s="24"/>
      <c r="B273" s="174"/>
      <c r="C273" s="24"/>
      <c r="D273" s="24"/>
      <c r="E273" s="24"/>
      <c r="I273" s="40"/>
      <c r="J273" s="40"/>
      <c r="M273" s="40"/>
      <c r="N273" s="40"/>
    </row>
    <row r="274" spans="1:14" ht="15.75" customHeight="1" x14ac:dyDescent="0.25">
      <c r="A274" s="24"/>
      <c r="B274" s="174"/>
      <c r="C274" s="24"/>
      <c r="D274" s="24"/>
      <c r="E274" s="24"/>
      <c r="I274" s="40"/>
      <c r="J274" s="40"/>
      <c r="M274" s="40"/>
      <c r="N274" s="40"/>
    </row>
    <row r="275" spans="1:14" ht="15.75" customHeight="1" x14ac:dyDescent="0.25">
      <c r="A275" s="24"/>
      <c r="B275" s="174"/>
      <c r="C275" s="24"/>
      <c r="D275" s="24"/>
      <c r="E275" s="24"/>
      <c r="I275" s="40"/>
      <c r="J275" s="40"/>
      <c r="M275" s="40"/>
      <c r="N275" s="40"/>
    </row>
    <row r="276" spans="1:14" ht="15.75" customHeight="1" x14ac:dyDescent="0.25">
      <c r="I276" s="40"/>
      <c r="J276" s="40"/>
      <c r="M276" s="40"/>
      <c r="N276" s="40"/>
    </row>
    <row r="277" spans="1:14" ht="15.75" customHeight="1" x14ac:dyDescent="0.25">
      <c r="I277" s="40"/>
      <c r="J277" s="40"/>
      <c r="M277" s="40"/>
      <c r="N277" s="40"/>
    </row>
    <row r="278" spans="1:14" ht="15.75" customHeight="1" x14ac:dyDescent="0.25">
      <c r="I278" s="40"/>
      <c r="J278" s="40"/>
      <c r="M278" s="40"/>
      <c r="N278" s="40"/>
    </row>
    <row r="279" spans="1:14" ht="15.75" customHeight="1" x14ac:dyDescent="0.25">
      <c r="I279" s="40"/>
      <c r="J279" s="40"/>
      <c r="M279" s="40"/>
      <c r="N279" s="40"/>
    </row>
    <row r="280" spans="1:14" ht="15.75" customHeight="1" x14ac:dyDescent="0.25">
      <c r="I280" s="40"/>
      <c r="J280" s="40"/>
      <c r="M280" s="40"/>
      <c r="N280" s="40"/>
    </row>
    <row r="281" spans="1:14" ht="15.75" customHeight="1" x14ac:dyDescent="0.25">
      <c r="I281" s="40"/>
      <c r="J281" s="40"/>
      <c r="M281" s="40"/>
      <c r="N281" s="40"/>
    </row>
    <row r="282" spans="1:14" ht="15.75" customHeight="1" x14ac:dyDescent="0.25">
      <c r="I282" s="40"/>
      <c r="J282" s="40"/>
      <c r="M282" s="40"/>
      <c r="N282" s="40"/>
    </row>
    <row r="283" spans="1:14" ht="15.75" customHeight="1" x14ac:dyDescent="0.25">
      <c r="I283" s="40"/>
      <c r="J283" s="40"/>
      <c r="M283" s="40"/>
      <c r="N283" s="40"/>
    </row>
    <row r="284" spans="1:14" ht="15.75" customHeight="1" x14ac:dyDescent="0.25">
      <c r="I284" s="40"/>
      <c r="J284" s="40"/>
      <c r="M284" s="40"/>
      <c r="N284" s="40"/>
    </row>
    <row r="285" spans="1:14" ht="15.75" customHeight="1" x14ac:dyDescent="0.25">
      <c r="I285" s="40"/>
      <c r="J285" s="40"/>
      <c r="M285" s="40"/>
      <c r="N285" s="40"/>
    </row>
    <row r="286" spans="1:14" ht="15.75" customHeight="1" x14ac:dyDescent="0.25">
      <c r="I286" s="40"/>
      <c r="J286" s="40"/>
      <c r="M286" s="40"/>
      <c r="N286" s="40"/>
    </row>
    <row r="287" spans="1:14" ht="15.75" customHeight="1" x14ac:dyDescent="0.25">
      <c r="I287" s="40"/>
      <c r="J287" s="40"/>
      <c r="M287" s="40"/>
      <c r="N287" s="40"/>
    </row>
    <row r="288" spans="1:14" ht="15.75" customHeight="1" x14ac:dyDescent="0.25">
      <c r="I288" s="40"/>
      <c r="J288" s="40"/>
      <c r="M288" s="40"/>
      <c r="N288" s="40"/>
    </row>
    <row r="289" spans="9:14" ht="15.75" customHeight="1" x14ac:dyDescent="0.25">
      <c r="I289" s="40"/>
      <c r="J289" s="40"/>
      <c r="M289" s="40"/>
      <c r="N289" s="40"/>
    </row>
    <row r="290" spans="9:14" ht="15.75" customHeight="1" x14ac:dyDescent="0.25">
      <c r="I290" s="40"/>
      <c r="J290" s="40"/>
      <c r="M290" s="40"/>
      <c r="N290" s="40"/>
    </row>
    <row r="291" spans="9:14" ht="15.75" customHeight="1" x14ac:dyDescent="0.25">
      <c r="I291" s="40"/>
      <c r="J291" s="40"/>
      <c r="M291" s="40"/>
      <c r="N291" s="40"/>
    </row>
    <row r="292" spans="9:14" ht="15.75" customHeight="1" x14ac:dyDescent="0.25">
      <c r="I292" s="40"/>
      <c r="J292" s="40"/>
      <c r="M292" s="40"/>
      <c r="N292" s="40"/>
    </row>
    <row r="293" spans="9:14" ht="15.75" customHeight="1" x14ac:dyDescent="0.25">
      <c r="I293" s="40"/>
      <c r="J293" s="40"/>
      <c r="M293" s="40"/>
      <c r="N293" s="40"/>
    </row>
    <row r="294" spans="9:14" ht="15.75" customHeight="1" x14ac:dyDescent="0.25">
      <c r="I294" s="40"/>
      <c r="J294" s="40"/>
      <c r="M294" s="40"/>
      <c r="N294" s="40"/>
    </row>
    <row r="295" spans="9:14" ht="15.75" customHeight="1" x14ac:dyDescent="0.25">
      <c r="I295" s="40"/>
      <c r="J295" s="40"/>
      <c r="M295" s="40"/>
      <c r="N295" s="40"/>
    </row>
    <row r="296" spans="9:14" ht="15.75" customHeight="1" x14ac:dyDescent="0.25">
      <c r="I296" s="40"/>
      <c r="J296" s="40"/>
      <c r="M296" s="40"/>
      <c r="N296" s="40"/>
    </row>
    <row r="297" spans="9:14" ht="15.75" customHeight="1" x14ac:dyDescent="0.25">
      <c r="I297" s="40"/>
      <c r="J297" s="40"/>
      <c r="M297" s="40"/>
      <c r="N297" s="40"/>
    </row>
    <row r="298" spans="9:14" ht="15.75" customHeight="1" x14ac:dyDescent="0.25">
      <c r="I298" s="40"/>
      <c r="J298" s="40"/>
      <c r="M298" s="40"/>
      <c r="N298" s="40"/>
    </row>
    <row r="299" spans="9:14" ht="15.75" customHeight="1" x14ac:dyDescent="0.25">
      <c r="I299" s="40"/>
      <c r="J299" s="40"/>
      <c r="M299" s="40"/>
      <c r="N299" s="40"/>
    </row>
    <row r="300" spans="9:14" ht="15.75" customHeight="1" x14ac:dyDescent="0.25">
      <c r="I300" s="40"/>
      <c r="J300" s="40"/>
      <c r="M300" s="40"/>
      <c r="N300" s="40"/>
    </row>
    <row r="301" spans="9:14" ht="15.75" customHeight="1" x14ac:dyDescent="0.25">
      <c r="I301" s="40"/>
      <c r="J301" s="40"/>
      <c r="M301" s="40"/>
      <c r="N301" s="40"/>
    </row>
    <row r="302" spans="9:14" ht="15.75" customHeight="1" x14ac:dyDescent="0.25">
      <c r="I302" s="40"/>
      <c r="J302" s="40"/>
      <c r="M302" s="40"/>
      <c r="N302" s="40"/>
    </row>
    <row r="303" spans="9:14" ht="15.75" customHeight="1" x14ac:dyDescent="0.25">
      <c r="I303" s="40"/>
      <c r="J303" s="40"/>
      <c r="M303" s="40"/>
      <c r="N303" s="40"/>
    </row>
    <row r="304" spans="9:14" ht="15.75" customHeight="1" x14ac:dyDescent="0.25">
      <c r="I304" s="40"/>
      <c r="J304" s="40"/>
      <c r="M304" s="40"/>
      <c r="N304" s="40"/>
    </row>
    <row r="305" spans="9:14" ht="15.75" customHeight="1" x14ac:dyDescent="0.25">
      <c r="I305" s="40"/>
      <c r="J305" s="40"/>
      <c r="M305" s="40"/>
      <c r="N305" s="40"/>
    </row>
    <row r="306" spans="9:14" ht="15.75" customHeight="1" x14ac:dyDescent="0.25">
      <c r="I306" s="40"/>
      <c r="J306" s="40"/>
      <c r="M306" s="40"/>
      <c r="N306" s="40"/>
    </row>
    <row r="307" spans="9:14" ht="15.75" customHeight="1" x14ac:dyDescent="0.25">
      <c r="I307" s="40"/>
      <c r="J307" s="40"/>
      <c r="M307" s="40"/>
      <c r="N307" s="40"/>
    </row>
    <row r="308" spans="9:14" ht="15.75" customHeight="1" x14ac:dyDescent="0.25">
      <c r="I308" s="40"/>
      <c r="J308" s="40"/>
      <c r="M308" s="40"/>
      <c r="N308" s="40"/>
    </row>
    <row r="309" spans="9:14" ht="15.75" customHeight="1" x14ac:dyDescent="0.25">
      <c r="I309" s="40"/>
      <c r="J309" s="40"/>
      <c r="M309" s="40"/>
      <c r="N309" s="40"/>
    </row>
    <row r="310" spans="9:14" ht="15.75" customHeight="1" x14ac:dyDescent="0.25">
      <c r="I310" s="40"/>
      <c r="J310" s="40"/>
      <c r="M310" s="40"/>
      <c r="N310" s="40"/>
    </row>
    <row r="311" spans="9:14" ht="15.75" customHeight="1" x14ac:dyDescent="0.25">
      <c r="I311" s="40"/>
      <c r="J311" s="40"/>
      <c r="M311" s="40"/>
      <c r="N311" s="40"/>
    </row>
    <row r="312" spans="9:14" ht="15.75" customHeight="1" x14ac:dyDescent="0.25">
      <c r="I312" s="40"/>
      <c r="J312" s="40"/>
      <c r="M312" s="40"/>
      <c r="N312" s="40"/>
    </row>
    <row r="313" spans="9:14" ht="15.75" customHeight="1" x14ac:dyDescent="0.25">
      <c r="I313" s="40"/>
      <c r="J313" s="40"/>
      <c r="M313" s="40"/>
      <c r="N313" s="40"/>
    </row>
    <row r="314" spans="9:14" ht="15.75" customHeight="1" x14ac:dyDescent="0.25">
      <c r="I314" s="40"/>
      <c r="J314" s="40"/>
      <c r="M314" s="40"/>
      <c r="N314" s="40"/>
    </row>
    <row r="315" spans="9:14" ht="15.75" customHeight="1" x14ac:dyDescent="0.25">
      <c r="I315" s="40"/>
      <c r="J315" s="40"/>
      <c r="M315" s="40"/>
      <c r="N315" s="40"/>
    </row>
    <row r="316" spans="9:14" ht="15.75" customHeight="1" x14ac:dyDescent="0.25">
      <c r="I316" s="40"/>
      <c r="J316" s="40"/>
      <c r="M316" s="40"/>
      <c r="N316" s="40"/>
    </row>
    <row r="317" spans="9:14" ht="15.75" customHeight="1" x14ac:dyDescent="0.25">
      <c r="I317" s="40"/>
      <c r="J317" s="40"/>
      <c r="M317" s="40"/>
      <c r="N317" s="40"/>
    </row>
    <row r="318" spans="9:14" ht="15.75" customHeight="1" x14ac:dyDescent="0.25">
      <c r="I318" s="40"/>
      <c r="J318" s="40"/>
      <c r="M318" s="40"/>
      <c r="N318" s="40"/>
    </row>
    <row r="319" spans="9:14" ht="15.75" customHeight="1" x14ac:dyDescent="0.25">
      <c r="I319" s="40"/>
      <c r="J319" s="40"/>
      <c r="M319" s="40"/>
      <c r="N319" s="40"/>
    </row>
    <row r="320" spans="9:14" ht="15.75" customHeight="1" x14ac:dyDescent="0.25">
      <c r="I320" s="40"/>
      <c r="J320" s="40"/>
      <c r="M320" s="40"/>
      <c r="N320" s="40"/>
    </row>
    <row r="321" spans="9:14" ht="15.75" customHeight="1" x14ac:dyDescent="0.25">
      <c r="I321" s="40"/>
      <c r="J321" s="40"/>
      <c r="M321" s="40"/>
      <c r="N321" s="40"/>
    </row>
    <row r="322" spans="9:14" ht="15.75" customHeight="1" x14ac:dyDescent="0.25">
      <c r="I322" s="40"/>
      <c r="J322" s="40"/>
      <c r="M322" s="40"/>
      <c r="N322" s="40"/>
    </row>
    <row r="323" spans="9:14" ht="15.75" customHeight="1" x14ac:dyDescent="0.25">
      <c r="I323" s="40"/>
      <c r="J323" s="40"/>
      <c r="M323" s="40"/>
      <c r="N323" s="40"/>
    </row>
    <row r="324" spans="9:14" ht="15.75" customHeight="1" x14ac:dyDescent="0.25">
      <c r="I324" s="40"/>
      <c r="J324" s="40"/>
      <c r="M324" s="40"/>
      <c r="N324" s="40"/>
    </row>
    <row r="325" spans="9:14" ht="15.75" customHeight="1" x14ac:dyDescent="0.25">
      <c r="I325" s="40"/>
      <c r="J325" s="40"/>
      <c r="M325" s="40"/>
      <c r="N325" s="40"/>
    </row>
    <row r="326" spans="9:14" ht="15.75" customHeight="1" x14ac:dyDescent="0.25">
      <c r="I326" s="40"/>
      <c r="J326" s="40"/>
      <c r="M326" s="40"/>
      <c r="N326" s="40"/>
    </row>
    <row r="327" spans="9:14" ht="15.75" customHeight="1" x14ac:dyDescent="0.25">
      <c r="I327" s="40"/>
      <c r="J327" s="40"/>
      <c r="M327" s="40"/>
      <c r="N327" s="40"/>
    </row>
    <row r="328" spans="9:14" ht="15.75" customHeight="1" x14ac:dyDescent="0.25">
      <c r="I328" s="40"/>
      <c r="J328" s="40"/>
      <c r="M328" s="40"/>
      <c r="N328" s="40"/>
    </row>
    <row r="329" spans="9:14" ht="15.75" customHeight="1" x14ac:dyDescent="0.25">
      <c r="I329" s="40"/>
      <c r="J329" s="40"/>
      <c r="M329" s="40"/>
      <c r="N329" s="40"/>
    </row>
    <row r="330" spans="9:14" ht="15.75" customHeight="1" x14ac:dyDescent="0.25">
      <c r="I330" s="40"/>
      <c r="J330" s="40"/>
      <c r="M330" s="40"/>
      <c r="N330" s="40"/>
    </row>
    <row r="331" spans="9:14" ht="15.75" customHeight="1" x14ac:dyDescent="0.25">
      <c r="I331" s="40"/>
      <c r="J331" s="40"/>
      <c r="M331" s="40"/>
      <c r="N331" s="40"/>
    </row>
    <row r="332" spans="9:14" ht="15.75" customHeight="1" x14ac:dyDescent="0.25">
      <c r="I332" s="40"/>
      <c r="J332" s="40"/>
      <c r="M332" s="40"/>
      <c r="N332" s="40"/>
    </row>
    <row r="333" spans="9:14" ht="15.75" customHeight="1" x14ac:dyDescent="0.25">
      <c r="I333" s="40"/>
      <c r="J333" s="40"/>
      <c r="M333" s="40"/>
      <c r="N333" s="40"/>
    </row>
    <row r="334" spans="9:14" ht="15.75" customHeight="1" x14ac:dyDescent="0.25">
      <c r="I334" s="40"/>
      <c r="J334" s="40"/>
      <c r="M334" s="40"/>
      <c r="N334" s="40"/>
    </row>
    <row r="335" spans="9:14" ht="15.75" customHeight="1" x14ac:dyDescent="0.25">
      <c r="I335" s="40"/>
      <c r="J335" s="40"/>
      <c r="M335" s="40"/>
      <c r="N335" s="40"/>
    </row>
    <row r="336" spans="9:14" ht="15.75" customHeight="1" x14ac:dyDescent="0.25">
      <c r="I336" s="40"/>
      <c r="J336" s="40"/>
      <c r="M336" s="40"/>
      <c r="N336" s="40"/>
    </row>
    <row r="337" spans="9:14" ht="15.75" customHeight="1" x14ac:dyDescent="0.25">
      <c r="I337" s="40"/>
      <c r="J337" s="40"/>
      <c r="M337" s="40"/>
      <c r="N337" s="40"/>
    </row>
    <row r="338" spans="9:14" ht="15.75" customHeight="1" x14ac:dyDescent="0.25">
      <c r="I338" s="40"/>
      <c r="J338" s="40"/>
      <c r="M338" s="40"/>
      <c r="N338" s="40"/>
    </row>
    <row r="339" spans="9:14" ht="15.75" customHeight="1" x14ac:dyDescent="0.25">
      <c r="I339" s="40"/>
      <c r="J339" s="40"/>
      <c r="M339" s="40"/>
      <c r="N339" s="40"/>
    </row>
    <row r="340" spans="9:14" ht="15.75" customHeight="1" x14ac:dyDescent="0.25">
      <c r="I340" s="40"/>
      <c r="J340" s="40"/>
      <c r="M340" s="40"/>
      <c r="N340" s="40"/>
    </row>
    <row r="341" spans="9:14" ht="15.75" customHeight="1" x14ac:dyDescent="0.25">
      <c r="I341" s="40"/>
      <c r="J341" s="40"/>
      <c r="M341" s="40"/>
      <c r="N341" s="40"/>
    </row>
    <row r="342" spans="9:14" ht="15.75" customHeight="1" x14ac:dyDescent="0.25">
      <c r="I342" s="40"/>
      <c r="J342" s="40"/>
      <c r="M342" s="40"/>
      <c r="N342" s="40"/>
    </row>
    <row r="343" spans="9:14" ht="15.75" customHeight="1" x14ac:dyDescent="0.25">
      <c r="I343" s="40"/>
      <c r="J343" s="40"/>
      <c r="M343" s="40"/>
      <c r="N343" s="40"/>
    </row>
    <row r="344" spans="9:14" ht="15.75" customHeight="1" x14ac:dyDescent="0.25">
      <c r="I344" s="40"/>
      <c r="J344" s="40"/>
      <c r="M344" s="40"/>
      <c r="N344" s="40"/>
    </row>
    <row r="345" spans="9:14" ht="15.75" customHeight="1" x14ac:dyDescent="0.25">
      <c r="I345" s="40"/>
      <c r="J345" s="40"/>
      <c r="M345" s="40"/>
      <c r="N345" s="40"/>
    </row>
    <row r="346" spans="9:14" ht="15.75" customHeight="1" x14ac:dyDescent="0.25">
      <c r="I346" s="40"/>
      <c r="J346" s="40"/>
      <c r="M346" s="40"/>
      <c r="N346" s="40"/>
    </row>
    <row r="347" spans="9:14" ht="15.75" customHeight="1" x14ac:dyDescent="0.25">
      <c r="I347" s="40"/>
      <c r="J347" s="40"/>
      <c r="M347" s="40"/>
      <c r="N347" s="40"/>
    </row>
    <row r="348" spans="9:14" ht="15.75" customHeight="1" x14ac:dyDescent="0.25">
      <c r="I348" s="40"/>
      <c r="J348" s="40"/>
      <c r="M348" s="40"/>
      <c r="N348" s="40"/>
    </row>
    <row r="349" spans="9:14" ht="15.75" customHeight="1" x14ac:dyDescent="0.25">
      <c r="I349" s="40"/>
      <c r="J349" s="40"/>
      <c r="M349" s="40"/>
      <c r="N349" s="40"/>
    </row>
    <row r="350" spans="9:14" ht="15.75" customHeight="1" x14ac:dyDescent="0.25">
      <c r="I350" s="40"/>
      <c r="J350" s="40"/>
      <c r="M350" s="40"/>
      <c r="N350" s="40"/>
    </row>
    <row r="351" spans="9:14" ht="15.75" customHeight="1" x14ac:dyDescent="0.25">
      <c r="I351" s="40"/>
      <c r="J351" s="40"/>
      <c r="M351" s="40"/>
      <c r="N351" s="40"/>
    </row>
    <row r="352" spans="9:14" ht="15.75" customHeight="1" x14ac:dyDescent="0.25">
      <c r="I352" s="40"/>
      <c r="J352" s="40"/>
      <c r="M352" s="40"/>
      <c r="N352" s="40"/>
    </row>
    <row r="353" spans="9:14" ht="15.75" customHeight="1" x14ac:dyDescent="0.25">
      <c r="I353" s="40"/>
      <c r="J353" s="40"/>
      <c r="M353" s="40"/>
      <c r="N353" s="40"/>
    </row>
    <row r="354" spans="9:14" ht="15.75" customHeight="1" x14ac:dyDescent="0.25">
      <c r="I354" s="40"/>
      <c r="J354" s="40"/>
      <c r="M354" s="40"/>
      <c r="N354" s="40"/>
    </row>
    <row r="355" spans="9:14" ht="15.75" customHeight="1" x14ac:dyDescent="0.25">
      <c r="I355" s="40"/>
      <c r="J355" s="40"/>
      <c r="M355" s="40"/>
      <c r="N355" s="40"/>
    </row>
    <row r="356" spans="9:14" ht="15.75" customHeight="1" x14ac:dyDescent="0.25">
      <c r="I356" s="40"/>
      <c r="J356" s="40"/>
      <c r="M356" s="40"/>
      <c r="N356" s="40"/>
    </row>
    <row r="357" spans="9:14" ht="15.75" customHeight="1" x14ac:dyDescent="0.25">
      <c r="I357" s="40"/>
      <c r="J357" s="40"/>
      <c r="M357" s="40"/>
      <c r="N357" s="40"/>
    </row>
    <row r="358" spans="9:14" ht="15.75" customHeight="1" x14ac:dyDescent="0.25">
      <c r="I358" s="40"/>
      <c r="J358" s="40"/>
      <c r="M358" s="40"/>
      <c r="N358" s="40"/>
    </row>
    <row r="359" spans="9:14" ht="15.75" customHeight="1" x14ac:dyDescent="0.25">
      <c r="I359" s="40"/>
      <c r="J359" s="40"/>
      <c r="M359" s="40"/>
      <c r="N359" s="40"/>
    </row>
    <row r="360" spans="9:14" ht="15.75" customHeight="1" x14ac:dyDescent="0.25">
      <c r="I360" s="40"/>
      <c r="J360" s="40"/>
      <c r="M360" s="40"/>
      <c r="N360" s="40"/>
    </row>
    <row r="361" spans="9:14" ht="15.75" customHeight="1" x14ac:dyDescent="0.25">
      <c r="I361" s="40"/>
      <c r="J361" s="40"/>
      <c r="M361" s="40"/>
      <c r="N361" s="40"/>
    </row>
    <row r="362" spans="9:14" ht="15.75" customHeight="1" x14ac:dyDescent="0.25">
      <c r="I362" s="40"/>
      <c r="J362" s="40"/>
      <c r="M362" s="40"/>
      <c r="N362" s="40"/>
    </row>
    <row r="363" spans="9:14" ht="15.75" customHeight="1" x14ac:dyDescent="0.25">
      <c r="I363" s="40"/>
      <c r="J363" s="40"/>
      <c r="M363" s="40"/>
      <c r="N363" s="40"/>
    </row>
    <row r="364" spans="9:14" ht="15.75" customHeight="1" x14ac:dyDescent="0.25">
      <c r="I364" s="40"/>
      <c r="J364" s="40"/>
      <c r="M364" s="40"/>
      <c r="N364" s="40"/>
    </row>
    <row r="365" spans="9:14" ht="15.75" customHeight="1" x14ac:dyDescent="0.25">
      <c r="I365" s="40"/>
      <c r="J365" s="40"/>
      <c r="M365" s="40"/>
      <c r="N365" s="40"/>
    </row>
    <row r="366" spans="9:14" ht="15.75" customHeight="1" x14ac:dyDescent="0.25">
      <c r="I366" s="40"/>
      <c r="J366" s="40"/>
      <c r="M366" s="40"/>
      <c r="N366" s="40"/>
    </row>
    <row r="367" spans="9:14" ht="15.75" customHeight="1" x14ac:dyDescent="0.25">
      <c r="I367" s="40"/>
      <c r="J367" s="40"/>
      <c r="M367" s="40"/>
      <c r="N367" s="40"/>
    </row>
    <row r="368" spans="9:14" ht="15.75" customHeight="1" x14ac:dyDescent="0.25">
      <c r="I368" s="40"/>
      <c r="J368" s="40"/>
      <c r="M368" s="40"/>
      <c r="N368" s="40"/>
    </row>
    <row r="369" spans="9:14" ht="15.75" customHeight="1" x14ac:dyDescent="0.25">
      <c r="I369" s="40"/>
      <c r="J369" s="40"/>
      <c r="M369" s="40"/>
      <c r="N369" s="40"/>
    </row>
    <row r="370" spans="9:14" ht="15.75" customHeight="1" x14ac:dyDescent="0.25">
      <c r="I370" s="40"/>
      <c r="J370" s="40"/>
      <c r="M370" s="40"/>
      <c r="N370" s="40"/>
    </row>
    <row r="371" spans="9:14" ht="15.75" customHeight="1" x14ac:dyDescent="0.25">
      <c r="I371" s="40"/>
      <c r="J371" s="40"/>
      <c r="M371" s="40"/>
      <c r="N371" s="40"/>
    </row>
    <row r="372" spans="9:14" ht="15.75" customHeight="1" x14ac:dyDescent="0.25">
      <c r="I372" s="40"/>
      <c r="J372" s="40"/>
      <c r="M372" s="40"/>
      <c r="N372" s="40"/>
    </row>
    <row r="373" spans="9:14" ht="15.75" customHeight="1" x14ac:dyDescent="0.25">
      <c r="I373" s="40"/>
      <c r="J373" s="40"/>
      <c r="M373" s="40"/>
      <c r="N373" s="40"/>
    </row>
    <row r="374" spans="9:14" ht="15.75" customHeight="1" x14ac:dyDescent="0.25">
      <c r="I374" s="40"/>
      <c r="J374" s="40"/>
      <c r="M374" s="40"/>
      <c r="N374" s="40"/>
    </row>
    <row r="375" spans="9:14" ht="15.75" customHeight="1" x14ac:dyDescent="0.25">
      <c r="I375" s="40"/>
      <c r="J375" s="40"/>
      <c r="M375" s="40"/>
      <c r="N375" s="40"/>
    </row>
    <row r="376" spans="9:14" ht="15.75" customHeight="1" x14ac:dyDescent="0.25">
      <c r="I376" s="40"/>
      <c r="J376" s="40"/>
      <c r="M376" s="40"/>
      <c r="N376" s="40"/>
    </row>
    <row r="377" spans="9:14" ht="15.75" customHeight="1" x14ac:dyDescent="0.25">
      <c r="I377" s="40"/>
      <c r="J377" s="40"/>
      <c r="M377" s="40"/>
      <c r="N377" s="40"/>
    </row>
    <row r="378" spans="9:14" ht="15.75" customHeight="1" x14ac:dyDescent="0.25">
      <c r="I378" s="40"/>
      <c r="J378" s="40"/>
      <c r="M378" s="40"/>
      <c r="N378" s="40"/>
    </row>
    <row r="379" spans="9:14" ht="15.75" customHeight="1" x14ac:dyDescent="0.25">
      <c r="I379" s="40"/>
      <c r="J379" s="40"/>
      <c r="M379" s="40"/>
      <c r="N379" s="40"/>
    </row>
    <row r="380" spans="9:14" ht="15.75" customHeight="1" x14ac:dyDescent="0.25">
      <c r="I380" s="40"/>
      <c r="J380" s="40"/>
      <c r="M380" s="40"/>
      <c r="N380" s="40"/>
    </row>
    <row r="381" spans="9:14" ht="15.75" customHeight="1" x14ac:dyDescent="0.25">
      <c r="I381" s="40"/>
      <c r="J381" s="40"/>
      <c r="M381" s="40"/>
      <c r="N381" s="40"/>
    </row>
    <row r="382" spans="9:14" ht="15.75" customHeight="1" x14ac:dyDescent="0.25">
      <c r="I382" s="40"/>
      <c r="J382" s="40"/>
      <c r="M382" s="40"/>
      <c r="N382" s="40"/>
    </row>
    <row r="383" spans="9:14" ht="15.75" customHeight="1" x14ac:dyDescent="0.25">
      <c r="I383" s="40"/>
      <c r="J383" s="40"/>
      <c r="M383" s="40"/>
      <c r="N383" s="40"/>
    </row>
    <row r="384" spans="9:14" ht="15.75" customHeight="1" x14ac:dyDescent="0.25">
      <c r="I384" s="40"/>
      <c r="J384" s="40"/>
      <c r="M384" s="40"/>
      <c r="N384" s="40"/>
    </row>
    <row r="385" spans="9:14" ht="15.75" customHeight="1" x14ac:dyDescent="0.25">
      <c r="I385" s="40"/>
      <c r="J385" s="40"/>
      <c r="M385" s="40"/>
      <c r="N385" s="40"/>
    </row>
    <row r="386" spans="9:14" ht="15.75" customHeight="1" x14ac:dyDescent="0.25">
      <c r="I386" s="40"/>
      <c r="J386" s="40"/>
      <c r="M386" s="40"/>
      <c r="N386" s="40"/>
    </row>
    <row r="387" spans="9:14" ht="15.75" customHeight="1" x14ac:dyDescent="0.25">
      <c r="I387" s="40"/>
      <c r="J387" s="40"/>
      <c r="M387" s="40"/>
      <c r="N387" s="40"/>
    </row>
    <row r="388" spans="9:14" ht="15.75" customHeight="1" x14ac:dyDescent="0.25">
      <c r="I388" s="40"/>
      <c r="J388" s="40"/>
      <c r="M388" s="40"/>
      <c r="N388" s="40"/>
    </row>
    <row r="389" spans="9:14" ht="15.75" customHeight="1" x14ac:dyDescent="0.25">
      <c r="I389" s="40"/>
      <c r="J389" s="40"/>
      <c r="M389" s="40"/>
      <c r="N389" s="40"/>
    </row>
    <row r="390" spans="9:14" ht="15.75" customHeight="1" x14ac:dyDescent="0.25">
      <c r="I390" s="40"/>
      <c r="J390" s="40"/>
      <c r="M390" s="40"/>
      <c r="N390" s="40"/>
    </row>
    <row r="391" spans="9:14" ht="15.75" customHeight="1" x14ac:dyDescent="0.25">
      <c r="I391" s="40"/>
      <c r="J391" s="40"/>
      <c r="M391" s="40"/>
      <c r="N391" s="40"/>
    </row>
    <row r="392" spans="9:14" ht="15.75" customHeight="1" x14ac:dyDescent="0.25">
      <c r="I392" s="40"/>
      <c r="J392" s="40"/>
      <c r="M392" s="40"/>
      <c r="N392" s="40"/>
    </row>
    <row r="393" spans="9:14" ht="15.75" customHeight="1" x14ac:dyDescent="0.25">
      <c r="I393" s="40"/>
      <c r="J393" s="40"/>
      <c r="M393" s="40"/>
      <c r="N393" s="40"/>
    </row>
    <row r="394" spans="9:14" ht="15.75" customHeight="1" x14ac:dyDescent="0.25">
      <c r="I394" s="40"/>
      <c r="J394" s="40"/>
      <c r="M394" s="40"/>
      <c r="N394" s="40"/>
    </row>
    <row r="395" spans="9:14" ht="15.75" customHeight="1" x14ac:dyDescent="0.25">
      <c r="I395" s="40"/>
      <c r="J395" s="40"/>
      <c r="M395" s="40"/>
      <c r="N395" s="40"/>
    </row>
    <row r="396" spans="9:14" ht="15.75" customHeight="1" x14ac:dyDescent="0.25">
      <c r="I396" s="40"/>
      <c r="J396" s="40"/>
      <c r="M396" s="40"/>
      <c r="N396" s="40"/>
    </row>
    <row r="397" spans="9:14" ht="15.75" customHeight="1" x14ac:dyDescent="0.25">
      <c r="I397" s="40"/>
      <c r="J397" s="40"/>
      <c r="M397" s="40"/>
      <c r="N397" s="40"/>
    </row>
    <row r="398" spans="9:14" ht="15.75" customHeight="1" x14ac:dyDescent="0.25">
      <c r="I398" s="40"/>
      <c r="J398" s="40"/>
      <c r="M398" s="40"/>
      <c r="N398" s="40"/>
    </row>
    <row r="399" spans="9:14" ht="15.75" customHeight="1" x14ac:dyDescent="0.25">
      <c r="I399" s="40"/>
      <c r="J399" s="40"/>
      <c r="M399" s="40"/>
      <c r="N399" s="40"/>
    </row>
    <row r="400" spans="9:14" ht="15.75" customHeight="1" x14ac:dyDescent="0.25">
      <c r="I400" s="40"/>
      <c r="J400" s="40"/>
      <c r="M400" s="40"/>
      <c r="N400" s="40"/>
    </row>
    <row r="401" spans="9:14" ht="15.75" customHeight="1" x14ac:dyDescent="0.25">
      <c r="I401" s="40"/>
      <c r="J401" s="40"/>
      <c r="M401" s="40"/>
      <c r="N401" s="40"/>
    </row>
    <row r="402" spans="9:14" ht="15.75" customHeight="1" x14ac:dyDescent="0.25">
      <c r="I402" s="40"/>
      <c r="J402" s="40"/>
      <c r="M402" s="40"/>
      <c r="N402" s="40"/>
    </row>
    <row r="403" spans="9:14" ht="15.75" customHeight="1" x14ac:dyDescent="0.25">
      <c r="I403" s="40"/>
      <c r="J403" s="40"/>
      <c r="M403" s="40"/>
      <c r="N403" s="40"/>
    </row>
    <row r="404" spans="9:14" ht="15.75" customHeight="1" x14ac:dyDescent="0.25">
      <c r="I404" s="40"/>
      <c r="J404" s="40"/>
      <c r="M404" s="40"/>
      <c r="N404" s="40"/>
    </row>
    <row r="405" spans="9:14" ht="15.75" customHeight="1" x14ac:dyDescent="0.25">
      <c r="I405" s="40"/>
      <c r="J405" s="40"/>
      <c r="M405" s="40"/>
      <c r="N405" s="40"/>
    </row>
    <row r="406" spans="9:14" ht="15.75" customHeight="1" x14ac:dyDescent="0.25">
      <c r="I406" s="40"/>
      <c r="J406" s="40"/>
      <c r="M406" s="40"/>
      <c r="N406" s="40"/>
    </row>
    <row r="407" spans="9:14" ht="15.75" customHeight="1" x14ac:dyDescent="0.25">
      <c r="I407" s="40"/>
      <c r="J407" s="40"/>
      <c r="M407" s="40"/>
      <c r="N407" s="40"/>
    </row>
    <row r="408" spans="9:14" ht="15.75" customHeight="1" x14ac:dyDescent="0.25">
      <c r="I408" s="40"/>
      <c r="J408" s="40"/>
      <c r="M408" s="40"/>
      <c r="N408" s="40"/>
    </row>
    <row r="409" spans="9:14" ht="15.75" customHeight="1" x14ac:dyDescent="0.25">
      <c r="I409" s="40"/>
      <c r="J409" s="40"/>
      <c r="M409" s="40"/>
      <c r="N409" s="40"/>
    </row>
    <row r="410" spans="9:14" ht="15.75" customHeight="1" x14ac:dyDescent="0.25">
      <c r="I410" s="40"/>
      <c r="J410" s="40"/>
      <c r="M410" s="40"/>
      <c r="N410" s="40"/>
    </row>
    <row r="411" spans="9:14" ht="15.75" customHeight="1" x14ac:dyDescent="0.25">
      <c r="I411" s="40"/>
      <c r="J411" s="40"/>
      <c r="M411" s="40"/>
      <c r="N411" s="40"/>
    </row>
    <row r="412" spans="9:14" ht="15.75" customHeight="1" x14ac:dyDescent="0.25">
      <c r="I412" s="40"/>
      <c r="J412" s="40"/>
      <c r="M412" s="40"/>
      <c r="N412" s="40"/>
    </row>
    <row r="413" spans="9:14" ht="15.75" customHeight="1" x14ac:dyDescent="0.25">
      <c r="I413" s="40"/>
      <c r="J413" s="40"/>
      <c r="M413" s="40"/>
      <c r="N413" s="40"/>
    </row>
    <row r="414" spans="9:14" ht="15.75" customHeight="1" x14ac:dyDescent="0.25">
      <c r="I414" s="40"/>
      <c r="J414" s="40"/>
      <c r="M414" s="40"/>
      <c r="N414" s="40"/>
    </row>
    <row r="415" spans="9:14" ht="15.75" customHeight="1" x14ac:dyDescent="0.25">
      <c r="I415" s="40"/>
      <c r="J415" s="40"/>
      <c r="M415" s="40"/>
      <c r="N415" s="40"/>
    </row>
    <row r="416" spans="9:14" ht="15.75" customHeight="1" x14ac:dyDescent="0.25">
      <c r="I416" s="40"/>
      <c r="J416" s="40"/>
      <c r="M416" s="40"/>
      <c r="N416" s="40"/>
    </row>
    <row r="417" spans="9:14" ht="15.75" customHeight="1" x14ac:dyDescent="0.25">
      <c r="I417" s="40"/>
      <c r="J417" s="40"/>
      <c r="M417" s="40"/>
      <c r="N417" s="40"/>
    </row>
    <row r="418" spans="9:14" ht="15.75" customHeight="1" x14ac:dyDescent="0.25">
      <c r="I418" s="40"/>
      <c r="J418" s="40"/>
      <c r="M418" s="40"/>
      <c r="N418" s="40"/>
    </row>
    <row r="419" spans="9:14" ht="15.75" customHeight="1" x14ac:dyDescent="0.25">
      <c r="I419" s="40"/>
      <c r="J419" s="40"/>
      <c r="M419" s="40"/>
      <c r="N419" s="40"/>
    </row>
    <row r="420" spans="9:14" ht="15.75" customHeight="1" x14ac:dyDescent="0.25">
      <c r="I420" s="40"/>
      <c r="J420" s="40"/>
      <c r="M420" s="40"/>
      <c r="N420" s="40"/>
    </row>
    <row r="421" spans="9:14" ht="15.75" customHeight="1" x14ac:dyDescent="0.25">
      <c r="I421" s="40"/>
      <c r="J421" s="40"/>
      <c r="M421" s="40"/>
      <c r="N421" s="40"/>
    </row>
    <row r="422" spans="9:14" ht="15.75" customHeight="1" x14ac:dyDescent="0.25">
      <c r="I422" s="40"/>
      <c r="J422" s="40"/>
      <c r="M422" s="40"/>
      <c r="N422" s="40"/>
    </row>
    <row r="423" spans="9:14" ht="15.75" customHeight="1" x14ac:dyDescent="0.25">
      <c r="I423" s="40"/>
      <c r="J423" s="40"/>
      <c r="M423" s="40"/>
      <c r="N423" s="40"/>
    </row>
    <row r="424" spans="9:14" ht="15.75" customHeight="1" x14ac:dyDescent="0.25">
      <c r="I424" s="40"/>
      <c r="J424" s="40"/>
      <c r="M424" s="40"/>
      <c r="N424" s="40"/>
    </row>
    <row r="425" spans="9:14" ht="15.75" customHeight="1" x14ac:dyDescent="0.25">
      <c r="I425" s="40"/>
      <c r="J425" s="40"/>
      <c r="M425" s="40"/>
      <c r="N425" s="40"/>
    </row>
    <row r="426" spans="9:14" ht="15.75" customHeight="1" x14ac:dyDescent="0.25">
      <c r="I426" s="40"/>
      <c r="J426" s="40"/>
      <c r="M426" s="40"/>
      <c r="N426" s="40"/>
    </row>
    <row r="427" spans="9:14" ht="15.75" customHeight="1" x14ac:dyDescent="0.25">
      <c r="I427" s="40"/>
      <c r="J427" s="40"/>
      <c r="M427" s="40"/>
      <c r="N427" s="40"/>
    </row>
    <row r="428" spans="9:14" ht="15.75" customHeight="1" x14ac:dyDescent="0.25">
      <c r="I428" s="40"/>
      <c r="J428" s="40"/>
      <c r="M428" s="40"/>
      <c r="N428" s="40"/>
    </row>
    <row r="429" spans="9:14" ht="15.75" customHeight="1" x14ac:dyDescent="0.25">
      <c r="I429" s="40"/>
      <c r="J429" s="40"/>
      <c r="M429" s="40"/>
      <c r="N429" s="40"/>
    </row>
    <row r="430" spans="9:14" ht="15.75" customHeight="1" x14ac:dyDescent="0.25">
      <c r="I430" s="40"/>
      <c r="J430" s="40"/>
      <c r="M430" s="40"/>
      <c r="N430" s="40"/>
    </row>
    <row r="431" spans="9:14" ht="15.75" customHeight="1" x14ac:dyDescent="0.25">
      <c r="I431" s="40"/>
      <c r="J431" s="40"/>
      <c r="M431" s="40"/>
      <c r="N431" s="40"/>
    </row>
    <row r="432" spans="9:14" ht="15.75" customHeight="1" x14ac:dyDescent="0.25">
      <c r="I432" s="40"/>
      <c r="J432" s="40"/>
      <c r="M432" s="40"/>
      <c r="N432" s="40"/>
    </row>
    <row r="433" spans="9:14" ht="15.75" customHeight="1" x14ac:dyDescent="0.25">
      <c r="I433" s="40"/>
      <c r="J433" s="40"/>
      <c r="M433" s="40"/>
      <c r="N433" s="40"/>
    </row>
    <row r="434" spans="9:14" ht="15.75" customHeight="1" x14ac:dyDescent="0.25">
      <c r="I434" s="40"/>
      <c r="J434" s="40"/>
      <c r="M434" s="40"/>
      <c r="N434" s="40"/>
    </row>
    <row r="435" spans="9:14" ht="15.75" customHeight="1" x14ac:dyDescent="0.25">
      <c r="I435" s="40"/>
      <c r="J435" s="40"/>
      <c r="M435" s="40"/>
      <c r="N435" s="40"/>
    </row>
    <row r="436" spans="9:14" ht="15.75" customHeight="1" x14ac:dyDescent="0.25">
      <c r="I436" s="40"/>
      <c r="J436" s="40"/>
      <c r="M436" s="40"/>
      <c r="N436" s="40"/>
    </row>
    <row r="437" spans="9:14" ht="15.75" customHeight="1" x14ac:dyDescent="0.25">
      <c r="I437" s="40"/>
      <c r="J437" s="40"/>
      <c r="M437" s="40"/>
      <c r="N437" s="40"/>
    </row>
    <row r="438" spans="9:14" ht="15.75" customHeight="1" x14ac:dyDescent="0.25">
      <c r="I438" s="40"/>
      <c r="J438" s="40"/>
      <c r="M438" s="40"/>
      <c r="N438" s="40"/>
    </row>
    <row r="439" spans="9:14" ht="15.75" customHeight="1" x14ac:dyDescent="0.25">
      <c r="I439" s="40"/>
      <c r="J439" s="40"/>
      <c r="M439" s="40"/>
      <c r="N439" s="40"/>
    </row>
    <row r="440" spans="9:14" ht="15.75" customHeight="1" x14ac:dyDescent="0.25">
      <c r="I440" s="40"/>
      <c r="J440" s="40"/>
      <c r="M440" s="40"/>
      <c r="N440" s="40"/>
    </row>
    <row r="441" spans="9:14" ht="15.75" customHeight="1" x14ac:dyDescent="0.25">
      <c r="I441" s="40"/>
      <c r="J441" s="40"/>
      <c r="M441" s="40"/>
      <c r="N441" s="40"/>
    </row>
    <row r="442" spans="9:14" ht="15.75" customHeight="1" x14ac:dyDescent="0.25">
      <c r="I442" s="40"/>
      <c r="J442" s="40"/>
      <c r="M442" s="40"/>
      <c r="N442" s="40"/>
    </row>
    <row r="443" spans="9:14" ht="15.75" customHeight="1" x14ac:dyDescent="0.25">
      <c r="I443" s="40"/>
      <c r="J443" s="40"/>
      <c r="M443" s="40"/>
      <c r="N443" s="40"/>
    </row>
    <row r="444" spans="9:14" ht="15.75" customHeight="1" x14ac:dyDescent="0.25">
      <c r="I444" s="40"/>
      <c r="J444" s="40"/>
      <c r="M444" s="40"/>
      <c r="N444" s="40"/>
    </row>
    <row r="445" spans="9:14" ht="15.75" customHeight="1" x14ac:dyDescent="0.25">
      <c r="I445" s="40"/>
      <c r="J445" s="40"/>
      <c r="M445" s="40"/>
      <c r="N445" s="40"/>
    </row>
    <row r="446" spans="9:14" ht="15.75" customHeight="1" x14ac:dyDescent="0.25">
      <c r="I446" s="40"/>
      <c r="J446" s="40"/>
      <c r="M446" s="40"/>
      <c r="N446" s="40"/>
    </row>
    <row r="447" spans="9:14" ht="15.75" customHeight="1" x14ac:dyDescent="0.25">
      <c r="I447" s="40"/>
      <c r="J447" s="40"/>
      <c r="M447" s="40"/>
      <c r="N447" s="40"/>
    </row>
    <row r="448" spans="9:14" ht="15.75" customHeight="1" x14ac:dyDescent="0.25">
      <c r="I448" s="40"/>
      <c r="J448" s="40"/>
      <c r="M448" s="40"/>
      <c r="N448" s="40"/>
    </row>
    <row r="449" spans="9:14" ht="15.75" customHeight="1" x14ac:dyDescent="0.25">
      <c r="I449" s="40"/>
      <c r="J449" s="40"/>
      <c r="M449" s="40"/>
      <c r="N449" s="40"/>
    </row>
    <row r="450" spans="9:14" ht="15.75" customHeight="1" x14ac:dyDescent="0.25">
      <c r="I450" s="40"/>
      <c r="J450" s="40"/>
      <c r="M450" s="40"/>
      <c r="N450" s="40"/>
    </row>
    <row r="451" spans="9:14" ht="15.75" customHeight="1" x14ac:dyDescent="0.25">
      <c r="I451" s="40"/>
      <c r="J451" s="40"/>
      <c r="M451" s="40"/>
      <c r="N451" s="40"/>
    </row>
    <row r="452" spans="9:14" ht="15.75" customHeight="1" x14ac:dyDescent="0.25">
      <c r="I452" s="40"/>
      <c r="J452" s="40"/>
      <c r="M452" s="40"/>
      <c r="N452" s="40"/>
    </row>
    <row r="453" spans="9:14" ht="15.75" customHeight="1" x14ac:dyDescent="0.25">
      <c r="I453" s="40"/>
      <c r="J453" s="40"/>
      <c r="M453" s="40"/>
      <c r="N453" s="40"/>
    </row>
    <row r="454" spans="9:14" ht="15.75" customHeight="1" x14ac:dyDescent="0.25">
      <c r="I454" s="40"/>
      <c r="J454" s="40"/>
      <c r="M454" s="40"/>
      <c r="N454" s="40"/>
    </row>
    <row r="455" spans="9:14" ht="15.75" customHeight="1" x14ac:dyDescent="0.25">
      <c r="I455" s="40"/>
      <c r="J455" s="40"/>
      <c r="M455" s="40"/>
      <c r="N455" s="40"/>
    </row>
    <row r="456" spans="9:14" ht="15.75" customHeight="1" x14ac:dyDescent="0.25">
      <c r="I456" s="40"/>
      <c r="J456" s="40"/>
      <c r="M456" s="40"/>
      <c r="N456" s="40"/>
    </row>
    <row r="457" spans="9:14" ht="15.75" customHeight="1" x14ac:dyDescent="0.25">
      <c r="I457" s="40"/>
      <c r="J457" s="40"/>
      <c r="M457" s="40"/>
      <c r="N457" s="40"/>
    </row>
    <row r="458" spans="9:14" ht="15.75" customHeight="1" x14ac:dyDescent="0.25">
      <c r="I458" s="40"/>
      <c r="J458" s="40"/>
      <c r="M458" s="40"/>
      <c r="N458" s="40"/>
    </row>
    <row r="459" spans="9:14" ht="15.75" customHeight="1" x14ac:dyDescent="0.25">
      <c r="I459" s="40"/>
      <c r="J459" s="40"/>
      <c r="M459" s="40"/>
      <c r="N459" s="40"/>
    </row>
    <row r="460" spans="9:14" ht="15.75" customHeight="1" x14ac:dyDescent="0.25">
      <c r="I460" s="40"/>
      <c r="J460" s="40"/>
      <c r="M460" s="40"/>
      <c r="N460" s="40"/>
    </row>
    <row r="461" spans="9:14" ht="15.75" customHeight="1" x14ac:dyDescent="0.25">
      <c r="I461" s="40"/>
      <c r="J461" s="40"/>
      <c r="M461" s="40"/>
      <c r="N461" s="40"/>
    </row>
    <row r="462" spans="9:14" ht="15.75" customHeight="1" x14ac:dyDescent="0.25">
      <c r="I462" s="40"/>
      <c r="J462" s="40"/>
      <c r="M462" s="40"/>
      <c r="N462" s="40"/>
    </row>
    <row r="463" spans="9:14" ht="15.75" customHeight="1" x14ac:dyDescent="0.25">
      <c r="I463" s="40"/>
      <c r="J463" s="40"/>
      <c r="M463" s="40"/>
      <c r="N463" s="40"/>
    </row>
    <row r="464" spans="9:14" ht="15.75" customHeight="1" x14ac:dyDescent="0.25">
      <c r="I464" s="40"/>
      <c r="J464" s="40"/>
      <c r="M464" s="40"/>
      <c r="N464" s="40"/>
    </row>
    <row r="465" spans="9:14" ht="15.75" customHeight="1" x14ac:dyDescent="0.25">
      <c r="I465" s="40"/>
      <c r="J465" s="40"/>
      <c r="M465" s="40"/>
      <c r="N465" s="40"/>
    </row>
    <row r="466" spans="9:14" ht="15.75" customHeight="1" x14ac:dyDescent="0.25">
      <c r="I466" s="40"/>
      <c r="J466" s="40"/>
      <c r="M466" s="40"/>
      <c r="N466" s="40"/>
    </row>
    <row r="467" spans="9:14" ht="15.75" customHeight="1" x14ac:dyDescent="0.25">
      <c r="I467" s="40"/>
      <c r="J467" s="40"/>
      <c r="M467" s="40"/>
      <c r="N467" s="40"/>
    </row>
    <row r="468" spans="9:14" ht="15.75" customHeight="1" x14ac:dyDescent="0.25">
      <c r="I468" s="40"/>
      <c r="J468" s="40"/>
      <c r="M468" s="40"/>
      <c r="N468" s="40"/>
    </row>
    <row r="469" spans="9:14" ht="15.75" customHeight="1" x14ac:dyDescent="0.25">
      <c r="I469" s="40"/>
      <c r="J469" s="40"/>
      <c r="M469" s="40"/>
      <c r="N469" s="40"/>
    </row>
    <row r="470" spans="9:14" ht="15.75" customHeight="1" x14ac:dyDescent="0.25">
      <c r="I470" s="40"/>
      <c r="J470" s="40"/>
      <c r="M470" s="40"/>
      <c r="N470" s="40"/>
    </row>
    <row r="471" spans="9:14" ht="15.75" customHeight="1" x14ac:dyDescent="0.25">
      <c r="I471" s="40"/>
      <c r="J471" s="40"/>
      <c r="M471" s="40"/>
      <c r="N471" s="40"/>
    </row>
    <row r="472" spans="9:14" ht="15.75" customHeight="1" x14ac:dyDescent="0.25">
      <c r="I472" s="40"/>
      <c r="J472" s="40"/>
      <c r="M472" s="40"/>
      <c r="N472" s="40"/>
    </row>
    <row r="473" spans="9:14" ht="15.75" customHeight="1" x14ac:dyDescent="0.25">
      <c r="I473" s="40"/>
      <c r="J473" s="40"/>
      <c r="M473" s="40"/>
      <c r="N473" s="40"/>
    </row>
    <row r="474" spans="9:14" ht="15.75" customHeight="1" x14ac:dyDescent="0.25">
      <c r="I474" s="40"/>
      <c r="J474" s="40"/>
      <c r="M474" s="40"/>
      <c r="N474" s="40"/>
    </row>
    <row r="475" spans="9:14" ht="15.75" customHeight="1" x14ac:dyDescent="0.25">
      <c r="I475" s="40"/>
      <c r="J475" s="40"/>
      <c r="M475" s="40"/>
      <c r="N475" s="40"/>
    </row>
    <row r="476" spans="9:14" ht="15.75" customHeight="1" x14ac:dyDescent="0.25">
      <c r="I476" s="40"/>
      <c r="J476" s="40"/>
      <c r="M476" s="40"/>
      <c r="N476" s="40"/>
    </row>
    <row r="477" spans="9:14" ht="15.75" customHeight="1" x14ac:dyDescent="0.25">
      <c r="I477" s="40"/>
      <c r="J477" s="40"/>
      <c r="M477" s="40"/>
      <c r="N477" s="40"/>
    </row>
    <row r="478" spans="9:14" ht="15.75" customHeight="1" x14ac:dyDescent="0.25">
      <c r="I478" s="40"/>
      <c r="J478" s="40"/>
      <c r="M478" s="40"/>
      <c r="N478" s="40"/>
    </row>
    <row r="479" spans="9:14" ht="15.75" customHeight="1" x14ac:dyDescent="0.25">
      <c r="I479" s="40"/>
      <c r="J479" s="40"/>
      <c r="M479" s="40"/>
      <c r="N479" s="40"/>
    </row>
    <row r="480" spans="9:14" ht="15.75" customHeight="1" x14ac:dyDescent="0.25">
      <c r="I480" s="40"/>
      <c r="J480" s="40"/>
      <c r="M480" s="40"/>
      <c r="N480" s="40"/>
    </row>
    <row r="481" spans="9:14" ht="15.75" customHeight="1" x14ac:dyDescent="0.25">
      <c r="I481" s="40"/>
      <c r="J481" s="40"/>
      <c r="M481" s="40"/>
      <c r="N481" s="40"/>
    </row>
    <row r="482" spans="9:14" ht="15.75" customHeight="1" x14ac:dyDescent="0.25">
      <c r="I482" s="40"/>
      <c r="J482" s="40"/>
      <c r="M482" s="40"/>
      <c r="N482" s="40"/>
    </row>
    <row r="483" spans="9:14" ht="15.75" customHeight="1" x14ac:dyDescent="0.25">
      <c r="I483" s="40"/>
      <c r="J483" s="40"/>
      <c r="M483" s="40"/>
      <c r="N483" s="40"/>
    </row>
    <row r="484" spans="9:14" ht="15.75" customHeight="1" x14ac:dyDescent="0.25">
      <c r="I484" s="40"/>
      <c r="J484" s="40"/>
      <c r="M484" s="40"/>
      <c r="N484" s="40"/>
    </row>
    <row r="485" spans="9:14" ht="15.75" customHeight="1" x14ac:dyDescent="0.25">
      <c r="I485" s="40"/>
      <c r="J485" s="40"/>
      <c r="M485" s="40"/>
      <c r="N485" s="40"/>
    </row>
    <row r="486" spans="9:14" ht="15.75" customHeight="1" x14ac:dyDescent="0.25">
      <c r="I486" s="40"/>
      <c r="J486" s="40"/>
      <c r="M486" s="40"/>
      <c r="N486" s="40"/>
    </row>
    <row r="487" spans="9:14" ht="15.75" customHeight="1" x14ac:dyDescent="0.25">
      <c r="I487" s="40"/>
      <c r="J487" s="40"/>
      <c r="M487" s="40"/>
      <c r="N487" s="40"/>
    </row>
    <row r="488" spans="9:14" ht="15.75" customHeight="1" x14ac:dyDescent="0.25">
      <c r="I488" s="40"/>
      <c r="J488" s="40"/>
      <c r="M488" s="40"/>
      <c r="N488" s="40"/>
    </row>
    <row r="489" spans="9:14" ht="15.75" customHeight="1" x14ac:dyDescent="0.25">
      <c r="I489" s="40"/>
      <c r="J489" s="40"/>
      <c r="M489" s="40"/>
      <c r="N489" s="40"/>
    </row>
    <row r="490" spans="9:14" ht="15.75" customHeight="1" x14ac:dyDescent="0.25">
      <c r="I490" s="40"/>
      <c r="J490" s="40"/>
      <c r="M490" s="40"/>
      <c r="N490" s="40"/>
    </row>
    <row r="491" spans="9:14" ht="15.75" customHeight="1" x14ac:dyDescent="0.25">
      <c r="I491" s="40"/>
      <c r="J491" s="40"/>
      <c r="M491" s="40"/>
      <c r="N491" s="40"/>
    </row>
    <row r="492" spans="9:14" ht="15.75" customHeight="1" x14ac:dyDescent="0.25">
      <c r="I492" s="40"/>
      <c r="J492" s="40"/>
      <c r="M492" s="40"/>
      <c r="N492" s="40"/>
    </row>
    <row r="493" spans="9:14" ht="15.75" customHeight="1" x14ac:dyDescent="0.25">
      <c r="I493" s="40"/>
      <c r="J493" s="40"/>
      <c r="M493" s="40"/>
      <c r="N493" s="40"/>
    </row>
    <row r="494" spans="9:14" ht="15.75" customHeight="1" x14ac:dyDescent="0.25">
      <c r="I494" s="40"/>
      <c r="J494" s="40"/>
      <c r="M494" s="40"/>
      <c r="N494" s="40"/>
    </row>
    <row r="495" spans="9:14" ht="15.75" customHeight="1" x14ac:dyDescent="0.25">
      <c r="I495" s="40"/>
      <c r="J495" s="40"/>
      <c r="M495" s="40"/>
      <c r="N495" s="40"/>
    </row>
    <row r="496" spans="9:14" ht="15.75" customHeight="1" x14ac:dyDescent="0.25">
      <c r="I496" s="40"/>
      <c r="J496" s="40"/>
      <c r="M496" s="40"/>
      <c r="N496" s="40"/>
    </row>
    <row r="497" spans="9:14" ht="15.75" customHeight="1" x14ac:dyDescent="0.25">
      <c r="I497" s="40"/>
      <c r="J497" s="40"/>
      <c r="M497" s="40"/>
      <c r="N497" s="40"/>
    </row>
    <row r="498" spans="9:14" ht="15.75" customHeight="1" x14ac:dyDescent="0.25">
      <c r="I498" s="40"/>
      <c r="J498" s="40"/>
      <c r="M498" s="40"/>
      <c r="N498" s="40"/>
    </row>
    <row r="499" spans="9:14" ht="15.75" customHeight="1" x14ac:dyDescent="0.25">
      <c r="I499" s="40"/>
      <c r="J499" s="40"/>
      <c r="M499" s="40"/>
      <c r="N499" s="40"/>
    </row>
    <row r="500" spans="9:14" ht="15.75" customHeight="1" x14ac:dyDescent="0.25">
      <c r="I500" s="40"/>
      <c r="J500" s="40"/>
      <c r="M500" s="40"/>
      <c r="N500" s="40"/>
    </row>
    <row r="501" spans="9:14" ht="15.75" customHeight="1" x14ac:dyDescent="0.25">
      <c r="I501" s="40"/>
      <c r="J501" s="40"/>
      <c r="M501" s="40"/>
      <c r="N501" s="40"/>
    </row>
    <row r="502" spans="9:14" ht="15.75" customHeight="1" x14ac:dyDescent="0.25">
      <c r="I502" s="40"/>
      <c r="J502" s="40"/>
      <c r="M502" s="40"/>
      <c r="N502" s="40"/>
    </row>
    <row r="503" spans="9:14" ht="15.75" customHeight="1" x14ac:dyDescent="0.25">
      <c r="I503" s="40"/>
      <c r="J503" s="40"/>
      <c r="M503" s="40"/>
      <c r="N503" s="40"/>
    </row>
    <row r="504" spans="9:14" ht="15.75" customHeight="1" x14ac:dyDescent="0.25">
      <c r="I504" s="40"/>
      <c r="J504" s="40"/>
      <c r="M504" s="40"/>
      <c r="N504" s="40"/>
    </row>
    <row r="505" spans="9:14" ht="15.75" customHeight="1" x14ac:dyDescent="0.25">
      <c r="I505" s="40"/>
      <c r="J505" s="40"/>
      <c r="M505" s="40"/>
      <c r="N505" s="40"/>
    </row>
    <row r="506" spans="9:14" ht="15.75" customHeight="1" x14ac:dyDescent="0.25">
      <c r="I506" s="40"/>
      <c r="J506" s="40"/>
      <c r="M506" s="40"/>
      <c r="N506" s="40"/>
    </row>
    <row r="507" spans="9:14" ht="15.75" customHeight="1" x14ac:dyDescent="0.25">
      <c r="I507" s="40"/>
      <c r="J507" s="40"/>
      <c r="M507" s="40"/>
      <c r="N507" s="40"/>
    </row>
    <row r="508" spans="9:14" ht="15.75" customHeight="1" x14ac:dyDescent="0.25">
      <c r="I508" s="40"/>
      <c r="J508" s="40"/>
      <c r="M508" s="40"/>
      <c r="N508" s="40"/>
    </row>
    <row r="509" spans="9:14" ht="15.75" customHeight="1" x14ac:dyDescent="0.25">
      <c r="I509" s="40"/>
      <c r="J509" s="40"/>
      <c r="M509" s="40"/>
      <c r="N509" s="40"/>
    </row>
    <row r="510" spans="9:14" ht="15.75" customHeight="1" x14ac:dyDescent="0.25">
      <c r="I510" s="40"/>
      <c r="J510" s="40"/>
      <c r="M510" s="40"/>
      <c r="N510" s="40"/>
    </row>
    <row r="511" spans="9:14" ht="15.75" customHeight="1" x14ac:dyDescent="0.25">
      <c r="I511" s="40"/>
      <c r="J511" s="40"/>
      <c r="M511" s="40"/>
      <c r="N511" s="40"/>
    </row>
    <row r="512" spans="9:14" ht="15.75" customHeight="1" x14ac:dyDescent="0.25">
      <c r="I512" s="40"/>
      <c r="J512" s="40"/>
      <c r="M512" s="40"/>
      <c r="N512" s="40"/>
    </row>
    <row r="513" spans="9:14" ht="15.75" customHeight="1" x14ac:dyDescent="0.25">
      <c r="I513" s="40"/>
      <c r="J513" s="40"/>
      <c r="M513" s="40"/>
      <c r="N513" s="40"/>
    </row>
    <row r="514" spans="9:14" ht="15.75" customHeight="1" x14ac:dyDescent="0.25">
      <c r="I514" s="40"/>
      <c r="J514" s="40"/>
      <c r="M514" s="40"/>
      <c r="N514" s="40"/>
    </row>
    <row r="515" spans="9:14" ht="15.75" customHeight="1" x14ac:dyDescent="0.25">
      <c r="I515" s="40"/>
      <c r="J515" s="40"/>
      <c r="M515" s="40"/>
      <c r="N515" s="40"/>
    </row>
    <row r="516" spans="9:14" ht="15.75" customHeight="1" x14ac:dyDescent="0.25">
      <c r="I516" s="40"/>
      <c r="J516" s="40"/>
      <c r="M516" s="40"/>
      <c r="N516" s="40"/>
    </row>
    <row r="517" spans="9:14" ht="15.75" customHeight="1" x14ac:dyDescent="0.25">
      <c r="I517" s="40"/>
      <c r="J517" s="40"/>
      <c r="M517" s="40"/>
      <c r="N517" s="40"/>
    </row>
    <row r="518" spans="9:14" ht="15.75" customHeight="1" x14ac:dyDescent="0.25">
      <c r="I518" s="40"/>
      <c r="J518" s="40"/>
      <c r="M518" s="40"/>
      <c r="N518" s="40"/>
    </row>
    <row r="519" spans="9:14" ht="15.75" customHeight="1" x14ac:dyDescent="0.25">
      <c r="I519" s="40"/>
      <c r="J519" s="40"/>
      <c r="M519" s="40"/>
      <c r="N519" s="40"/>
    </row>
    <row r="520" spans="9:14" ht="15.75" customHeight="1" x14ac:dyDescent="0.25">
      <c r="I520" s="40"/>
      <c r="J520" s="40"/>
      <c r="M520" s="40"/>
      <c r="N520" s="40"/>
    </row>
    <row r="521" spans="9:14" ht="15.75" customHeight="1" x14ac:dyDescent="0.25">
      <c r="I521" s="40"/>
      <c r="J521" s="40"/>
      <c r="M521" s="40"/>
      <c r="N521" s="40"/>
    </row>
    <row r="522" spans="9:14" ht="15.75" customHeight="1" x14ac:dyDescent="0.25">
      <c r="I522" s="40"/>
      <c r="J522" s="40"/>
      <c r="M522" s="40"/>
      <c r="N522" s="40"/>
    </row>
    <row r="523" spans="9:14" ht="15.75" customHeight="1" x14ac:dyDescent="0.25">
      <c r="I523" s="40"/>
      <c r="J523" s="40"/>
      <c r="M523" s="40"/>
      <c r="N523" s="40"/>
    </row>
    <row r="524" spans="9:14" ht="15.75" customHeight="1" x14ac:dyDescent="0.25">
      <c r="I524" s="40"/>
      <c r="J524" s="40"/>
      <c r="M524" s="40"/>
      <c r="N524" s="40"/>
    </row>
    <row r="525" spans="9:14" ht="15.75" customHeight="1" x14ac:dyDescent="0.25">
      <c r="I525" s="40"/>
      <c r="J525" s="40"/>
      <c r="M525" s="40"/>
      <c r="N525" s="40"/>
    </row>
    <row r="526" spans="9:14" ht="15.75" customHeight="1" x14ac:dyDescent="0.25">
      <c r="I526" s="40"/>
      <c r="J526" s="40"/>
      <c r="M526" s="40"/>
      <c r="N526" s="40"/>
    </row>
    <row r="527" spans="9:14" ht="15.75" customHeight="1" x14ac:dyDescent="0.25">
      <c r="I527" s="40"/>
      <c r="J527" s="40"/>
      <c r="M527" s="40"/>
      <c r="N527" s="40"/>
    </row>
    <row r="528" spans="9:14" ht="15.75" customHeight="1" x14ac:dyDescent="0.25">
      <c r="I528" s="40"/>
      <c r="J528" s="40"/>
      <c r="M528" s="40"/>
      <c r="N528" s="40"/>
    </row>
    <row r="529" spans="9:14" ht="15.75" customHeight="1" x14ac:dyDescent="0.25">
      <c r="I529" s="40"/>
      <c r="J529" s="40"/>
      <c r="M529" s="40"/>
      <c r="N529" s="40"/>
    </row>
    <row r="530" spans="9:14" ht="15.75" customHeight="1" x14ac:dyDescent="0.25">
      <c r="I530" s="40"/>
      <c r="J530" s="40"/>
      <c r="M530" s="40"/>
      <c r="N530" s="40"/>
    </row>
    <row r="531" spans="9:14" ht="15.75" customHeight="1" x14ac:dyDescent="0.25">
      <c r="I531" s="40"/>
      <c r="J531" s="40"/>
      <c r="M531" s="40"/>
      <c r="N531" s="40"/>
    </row>
    <row r="532" spans="9:14" ht="15.75" customHeight="1" x14ac:dyDescent="0.25">
      <c r="I532" s="40"/>
      <c r="J532" s="40"/>
      <c r="M532" s="40"/>
      <c r="N532" s="40"/>
    </row>
    <row r="533" spans="9:14" ht="15.75" customHeight="1" x14ac:dyDescent="0.25">
      <c r="I533" s="40"/>
      <c r="J533" s="40"/>
      <c r="M533" s="40"/>
      <c r="N533" s="40"/>
    </row>
    <row r="534" spans="9:14" ht="15.75" customHeight="1" x14ac:dyDescent="0.25">
      <c r="I534" s="40"/>
      <c r="J534" s="40"/>
      <c r="M534" s="40"/>
      <c r="N534" s="40"/>
    </row>
    <row r="535" spans="9:14" ht="15.75" customHeight="1" x14ac:dyDescent="0.25">
      <c r="I535" s="40"/>
      <c r="J535" s="40"/>
      <c r="M535" s="40"/>
      <c r="N535" s="40"/>
    </row>
    <row r="536" spans="9:14" ht="15.75" customHeight="1" x14ac:dyDescent="0.25">
      <c r="I536" s="40"/>
      <c r="J536" s="40"/>
      <c r="M536" s="40"/>
      <c r="N536" s="40"/>
    </row>
    <row r="537" spans="9:14" ht="15.75" customHeight="1" x14ac:dyDescent="0.25">
      <c r="I537" s="40"/>
      <c r="J537" s="40"/>
      <c r="M537" s="40"/>
      <c r="N537" s="40"/>
    </row>
    <row r="538" spans="9:14" ht="15.75" customHeight="1" x14ac:dyDescent="0.25">
      <c r="I538" s="40"/>
      <c r="J538" s="40"/>
      <c r="M538" s="40"/>
      <c r="N538" s="40"/>
    </row>
    <row r="539" spans="9:14" ht="15.75" customHeight="1" x14ac:dyDescent="0.25">
      <c r="I539" s="40"/>
      <c r="J539" s="40"/>
      <c r="M539" s="40"/>
      <c r="N539" s="40"/>
    </row>
    <row r="540" spans="9:14" ht="15.75" customHeight="1" x14ac:dyDescent="0.25">
      <c r="I540" s="40"/>
      <c r="J540" s="40"/>
      <c r="M540" s="40"/>
      <c r="N540" s="40"/>
    </row>
    <row r="541" spans="9:14" ht="15.75" customHeight="1" x14ac:dyDescent="0.25">
      <c r="I541" s="40"/>
      <c r="J541" s="40"/>
      <c r="M541" s="40"/>
      <c r="N541" s="40"/>
    </row>
    <row r="542" spans="9:14" ht="15.75" customHeight="1" x14ac:dyDescent="0.25">
      <c r="I542" s="40"/>
      <c r="J542" s="40"/>
      <c r="M542" s="40"/>
      <c r="N542" s="40"/>
    </row>
    <row r="543" spans="9:14" ht="15.75" customHeight="1" x14ac:dyDescent="0.25">
      <c r="I543" s="40"/>
      <c r="J543" s="40"/>
      <c r="M543" s="40"/>
      <c r="N543" s="40"/>
    </row>
    <row r="544" spans="9:14" ht="15.75" customHeight="1" x14ac:dyDescent="0.25">
      <c r="I544" s="40"/>
      <c r="J544" s="40"/>
      <c r="M544" s="40"/>
      <c r="N544" s="40"/>
    </row>
    <row r="545" spans="9:14" ht="15.75" customHeight="1" x14ac:dyDescent="0.25">
      <c r="I545" s="40"/>
      <c r="J545" s="40"/>
      <c r="M545" s="40"/>
      <c r="N545" s="40"/>
    </row>
    <row r="546" spans="9:14" ht="15.75" customHeight="1" x14ac:dyDescent="0.25">
      <c r="I546" s="40"/>
      <c r="J546" s="40"/>
      <c r="M546" s="40"/>
      <c r="N546" s="40"/>
    </row>
    <row r="547" spans="9:14" ht="15.75" customHeight="1" x14ac:dyDescent="0.25">
      <c r="I547" s="40"/>
      <c r="J547" s="40"/>
      <c r="M547" s="40"/>
      <c r="N547" s="40"/>
    </row>
    <row r="548" spans="9:14" ht="15.75" customHeight="1" x14ac:dyDescent="0.25">
      <c r="I548" s="40"/>
      <c r="J548" s="40"/>
      <c r="M548" s="40"/>
      <c r="N548" s="40"/>
    </row>
    <row r="549" spans="9:14" ht="15.75" customHeight="1" x14ac:dyDescent="0.25">
      <c r="I549" s="40"/>
      <c r="J549" s="40"/>
      <c r="M549" s="40"/>
      <c r="N549" s="40"/>
    </row>
    <row r="550" spans="9:14" ht="15.75" customHeight="1" x14ac:dyDescent="0.25">
      <c r="I550" s="40"/>
      <c r="J550" s="40"/>
      <c r="M550" s="40"/>
      <c r="N550" s="40"/>
    </row>
    <row r="551" spans="9:14" ht="15.75" customHeight="1" x14ac:dyDescent="0.25">
      <c r="I551" s="40"/>
      <c r="J551" s="40"/>
      <c r="M551" s="40"/>
      <c r="N551" s="40"/>
    </row>
    <row r="552" spans="9:14" ht="15.75" customHeight="1" x14ac:dyDescent="0.25">
      <c r="I552" s="40"/>
      <c r="J552" s="40"/>
      <c r="M552" s="40"/>
      <c r="N552" s="40"/>
    </row>
    <row r="553" spans="9:14" ht="15.75" customHeight="1" x14ac:dyDescent="0.25">
      <c r="I553" s="40"/>
      <c r="J553" s="40"/>
      <c r="M553" s="40"/>
      <c r="N553" s="40"/>
    </row>
    <row r="554" spans="9:14" ht="15.75" customHeight="1" x14ac:dyDescent="0.25">
      <c r="I554" s="40"/>
      <c r="J554" s="40"/>
      <c r="M554" s="40"/>
      <c r="N554" s="40"/>
    </row>
    <row r="555" spans="9:14" ht="15.75" customHeight="1" x14ac:dyDescent="0.25">
      <c r="I555" s="40"/>
      <c r="J555" s="40"/>
      <c r="M555" s="40"/>
      <c r="N555" s="40"/>
    </row>
    <row r="556" spans="9:14" ht="15.75" customHeight="1" x14ac:dyDescent="0.25">
      <c r="I556" s="40"/>
      <c r="J556" s="40"/>
      <c r="M556" s="40"/>
      <c r="N556" s="40"/>
    </row>
    <row r="557" spans="9:14" ht="15.75" customHeight="1" x14ac:dyDescent="0.25">
      <c r="I557" s="40"/>
      <c r="J557" s="40"/>
      <c r="M557" s="40"/>
      <c r="N557" s="40"/>
    </row>
    <row r="558" spans="9:14" ht="15.75" customHeight="1" x14ac:dyDescent="0.25">
      <c r="I558" s="40"/>
      <c r="J558" s="40"/>
      <c r="M558" s="40"/>
      <c r="N558" s="40"/>
    </row>
    <row r="559" spans="9:14" ht="15.75" customHeight="1" x14ac:dyDescent="0.25">
      <c r="I559" s="40"/>
      <c r="J559" s="40"/>
      <c r="M559" s="40"/>
      <c r="N559" s="40"/>
    </row>
    <row r="560" spans="9:14" ht="15.75" customHeight="1" x14ac:dyDescent="0.25">
      <c r="I560" s="40"/>
      <c r="J560" s="40"/>
      <c r="M560" s="40"/>
      <c r="N560" s="40"/>
    </row>
    <row r="561" spans="9:14" ht="15.75" customHeight="1" x14ac:dyDescent="0.25">
      <c r="I561" s="40"/>
      <c r="J561" s="40"/>
      <c r="M561" s="40"/>
      <c r="N561" s="40"/>
    </row>
    <row r="562" spans="9:14" ht="15.75" customHeight="1" x14ac:dyDescent="0.25">
      <c r="I562" s="40"/>
      <c r="J562" s="40"/>
      <c r="M562" s="40"/>
      <c r="N562" s="40"/>
    </row>
    <row r="563" spans="9:14" ht="15.75" customHeight="1" x14ac:dyDescent="0.25">
      <c r="I563" s="40"/>
      <c r="J563" s="40"/>
      <c r="M563" s="40"/>
      <c r="N563" s="40"/>
    </row>
    <row r="564" spans="9:14" ht="15.75" customHeight="1" x14ac:dyDescent="0.25">
      <c r="I564" s="40"/>
      <c r="J564" s="40"/>
      <c r="M564" s="40"/>
      <c r="N564" s="40"/>
    </row>
    <row r="565" spans="9:14" ht="15.75" customHeight="1" x14ac:dyDescent="0.25">
      <c r="I565" s="40"/>
      <c r="J565" s="40"/>
      <c r="M565" s="40"/>
      <c r="N565" s="40"/>
    </row>
    <row r="566" spans="9:14" ht="15.75" customHeight="1" x14ac:dyDescent="0.25">
      <c r="I566" s="40"/>
      <c r="J566" s="40"/>
      <c r="M566" s="40"/>
      <c r="N566" s="40"/>
    </row>
    <row r="567" spans="9:14" ht="15.75" customHeight="1" x14ac:dyDescent="0.25">
      <c r="I567" s="40"/>
      <c r="J567" s="40"/>
      <c r="M567" s="40"/>
      <c r="N567" s="40"/>
    </row>
    <row r="568" spans="9:14" ht="15.75" customHeight="1" x14ac:dyDescent="0.25">
      <c r="I568" s="40"/>
      <c r="J568" s="40"/>
      <c r="M568" s="40"/>
      <c r="N568" s="40"/>
    </row>
    <row r="569" spans="9:14" ht="15.75" customHeight="1" x14ac:dyDescent="0.25">
      <c r="I569" s="40"/>
      <c r="J569" s="40"/>
      <c r="M569" s="40"/>
      <c r="N569" s="40"/>
    </row>
    <row r="570" spans="9:14" ht="15.75" customHeight="1" x14ac:dyDescent="0.25">
      <c r="I570" s="40"/>
      <c r="J570" s="40"/>
      <c r="M570" s="40"/>
      <c r="N570" s="40"/>
    </row>
    <row r="571" spans="9:14" ht="15.75" customHeight="1" x14ac:dyDescent="0.25">
      <c r="I571" s="40"/>
      <c r="J571" s="40"/>
      <c r="M571" s="40"/>
      <c r="N571" s="40"/>
    </row>
    <row r="572" spans="9:14" ht="15.75" customHeight="1" x14ac:dyDescent="0.25">
      <c r="I572" s="40"/>
      <c r="J572" s="40"/>
      <c r="M572" s="40"/>
      <c r="N572" s="40"/>
    </row>
    <row r="573" spans="9:14" ht="15.75" customHeight="1" x14ac:dyDescent="0.25">
      <c r="I573" s="40"/>
      <c r="J573" s="40"/>
      <c r="M573" s="40"/>
      <c r="N573" s="40"/>
    </row>
    <row r="574" spans="9:14" ht="15.75" customHeight="1" x14ac:dyDescent="0.25">
      <c r="I574" s="40"/>
      <c r="J574" s="40"/>
      <c r="M574" s="40"/>
      <c r="N574" s="40"/>
    </row>
    <row r="575" spans="9:14" ht="15.75" customHeight="1" x14ac:dyDescent="0.25">
      <c r="I575" s="40"/>
      <c r="J575" s="40"/>
      <c r="M575" s="40"/>
      <c r="N575" s="40"/>
    </row>
    <row r="576" spans="9:14" ht="15.75" customHeight="1" x14ac:dyDescent="0.25">
      <c r="I576" s="40"/>
      <c r="J576" s="40"/>
      <c r="M576" s="40"/>
      <c r="N576" s="40"/>
    </row>
    <row r="577" spans="9:14" ht="15.75" customHeight="1" x14ac:dyDescent="0.25">
      <c r="I577" s="40"/>
      <c r="J577" s="40"/>
      <c r="M577" s="40"/>
      <c r="N577" s="40"/>
    </row>
    <row r="578" spans="9:14" ht="15.75" customHeight="1" x14ac:dyDescent="0.25">
      <c r="I578" s="40"/>
      <c r="J578" s="40"/>
      <c r="M578" s="40"/>
      <c r="N578" s="40"/>
    </row>
    <row r="579" spans="9:14" ht="15.75" customHeight="1" x14ac:dyDescent="0.25">
      <c r="I579" s="40"/>
      <c r="J579" s="40"/>
      <c r="M579" s="40"/>
      <c r="N579" s="40"/>
    </row>
    <row r="580" spans="9:14" ht="15.75" customHeight="1" x14ac:dyDescent="0.25">
      <c r="I580" s="40"/>
      <c r="J580" s="40"/>
      <c r="M580" s="40"/>
      <c r="N580" s="40"/>
    </row>
    <row r="581" spans="9:14" ht="15.75" customHeight="1" x14ac:dyDescent="0.25">
      <c r="I581" s="40"/>
      <c r="J581" s="40"/>
      <c r="M581" s="40"/>
      <c r="N581" s="40"/>
    </row>
    <row r="582" spans="9:14" ht="15.75" customHeight="1" x14ac:dyDescent="0.25">
      <c r="I582" s="40"/>
      <c r="J582" s="40"/>
      <c r="M582" s="40"/>
      <c r="N582" s="40"/>
    </row>
    <row r="583" spans="9:14" ht="15.75" customHeight="1" x14ac:dyDescent="0.25">
      <c r="I583" s="40"/>
      <c r="J583" s="40"/>
      <c r="M583" s="40"/>
      <c r="N583" s="40"/>
    </row>
    <row r="584" spans="9:14" ht="15.75" customHeight="1" x14ac:dyDescent="0.25">
      <c r="I584" s="40"/>
      <c r="J584" s="40"/>
      <c r="M584" s="40"/>
      <c r="N584" s="40"/>
    </row>
    <row r="585" spans="9:14" ht="15.75" customHeight="1" x14ac:dyDescent="0.25">
      <c r="I585" s="40"/>
      <c r="J585" s="40"/>
      <c r="M585" s="40"/>
      <c r="N585" s="40"/>
    </row>
    <row r="586" spans="9:14" ht="15.75" customHeight="1" x14ac:dyDescent="0.25">
      <c r="I586" s="40"/>
      <c r="J586" s="40"/>
      <c r="M586" s="40"/>
      <c r="N586" s="40"/>
    </row>
    <row r="587" spans="9:14" ht="15.75" customHeight="1" x14ac:dyDescent="0.25">
      <c r="I587" s="40"/>
      <c r="J587" s="40"/>
      <c r="M587" s="40"/>
      <c r="N587" s="40"/>
    </row>
    <row r="588" spans="9:14" ht="15.75" customHeight="1" x14ac:dyDescent="0.25">
      <c r="I588" s="40"/>
      <c r="J588" s="40"/>
      <c r="M588" s="40"/>
      <c r="N588" s="40"/>
    </row>
    <row r="589" spans="9:14" ht="15.75" customHeight="1" x14ac:dyDescent="0.25">
      <c r="I589" s="40"/>
      <c r="J589" s="40"/>
      <c r="M589" s="40"/>
      <c r="N589" s="40"/>
    </row>
    <row r="590" spans="9:14" ht="15.75" customHeight="1" x14ac:dyDescent="0.25">
      <c r="I590" s="40"/>
      <c r="J590" s="40"/>
      <c r="M590" s="40"/>
      <c r="N590" s="40"/>
    </row>
    <row r="591" spans="9:14" ht="15.75" customHeight="1" x14ac:dyDescent="0.25">
      <c r="I591" s="40"/>
      <c r="J591" s="40"/>
      <c r="M591" s="40"/>
      <c r="N591" s="40"/>
    </row>
    <row r="592" spans="9:14" ht="15.75" customHeight="1" x14ac:dyDescent="0.25">
      <c r="I592" s="40"/>
      <c r="J592" s="40"/>
      <c r="M592" s="40"/>
      <c r="N592" s="40"/>
    </row>
    <row r="593" spans="9:14" ht="15.75" customHeight="1" x14ac:dyDescent="0.25">
      <c r="I593" s="40"/>
      <c r="J593" s="40"/>
      <c r="M593" s="40"/>
      <c r="N593" s="40"/>
    </row>
    <row r="594" spans="9:14" ht="15.75" customHeight="1" x14ac:dyDescent="0.25">
      <c r="I594" s="40"/>
      <c r="J594" s="40"/>
      <c r="M594" s="40"/>
      <c r="N594" s="40"/>
    </row>
    <row r="595" spans="9:14" ht="15.75" customHeight="1" x14ac:dyDescent="0.25">
      <c r="I595" s="40"/>
      <c r="J595" s="40"/>
      <c r="M595" s="40"/>
      <c r="N595" s="40"/>
    </row>
    <row r="596" spans="9:14" ht="15.75" customHeight="1" x14ac:dyDescent="0.25">
      <c r="I596" s="40"/>
      <c r="J596" s="40"/>
      <c r="M596" s="40"/>
      <c r="N596" s="40"/>
    </row>
    <row r="597" spans="9:14" ht="15.75" customHeight="1" x14ac:dyDescent="0.25">
      <c r="I597" s="40"/>
      <c r="J597" s="40"/>
      <c r="M597" s="40"/>
      <c r="N597" s="40"/>
    </row>
    <row r="598" spans="9:14" ht="15.75" customHeight="1" x14ac:dyDescent="0.25">
      <c r="I598" s="40"/>
      <c r="J598" s="40"/>
      <c r="M598" s="40"/>
      <c r="N598" s="40"/>
    </row>
    <row r="599" spans="9:14" ht="15.75" customHeight="1" x14ac:dyDescent="0.25">
      <c r="I599" s="40"/>
      <c r="J599" s="40"/>
      <c r="M599" s="40"/>
      <c r="N599" s="40"/>
    </row>
    <row r="600" spans="9:14" ht="15.75" customHeight="1" x14ac:dyDescent="0.25">
      <c r="I600" s="40"/>
      <c r="J600" s="40"/>
      <c r="M600" s="40"/>
      <c r="N600" s="40"/>
    </row>
    <row r="601" spans="9:14" ht="15.75" customHeight="1" x14ac:dyDescent="0.25">
      <c r="I601" s="40"/>
      <c r="J601" s="40"/>
      <c r="M601" s="40"/>
      <c r="N601" s="40"/>
    </row>
    <row r="602" spans="9:14" ht="15.75" customHeight="1" x14ac:dyDescent="0.25">
      <c r="I602" s="40"/>
      <c r="J602" s="40"/>
      <c r="M602" s="40"/>
      <c r="N602" s="40"/>
    </row>
    <row r="603" spans="9:14" ht="15.75" customHeight="1" x14ac:dyDescent="0.25">
      <c r="I603" s="40"/>
      <c r="J603" s="40"/>
      <c r="M603" s="40"/>
      <c r="N603" s="40"/>
    </row>
    <row r="604" spans="9:14" ht="15.75" customHeight="1" x14ac:dyDescent="0.25">
      <c r="I604" s="40"/>
      <c r="J604" s="40"/>
      <c r="M604" s="40"/>
      <c r="N604" s="40"/>
    </row>
    <row r="605" spans="9:14" ht="15.75" customHeight="1" x14ac:dyDescent="0.25">
      <c r="I605" s="40"/>
      <c r="J605" s="40"/>
      <c r="M605" s="40"/>
      <c r="N605" s="40"/>
    </row>
    <row r="606" spans="9:14" ht="15.75" customHeight="1" x14ac:dyDescent="0.25">
      <c r="I606" s="40"/>
      <c r="J606" s="40"/>
      <c r="M606" s="40"/>
      <c r="N606" s="40"/>
    </row>
    <row r="607" spans="9:14" ht="15.75" customHeight="1" x14ac:dyDescent="0.25">
      <c r="I607" s="40"/>
      <c r="J607" s="40"/>
      <c r="M607" s="40"/>
      <c r="N607" s="40"/>
    </row>
    <row r="608" spans="9:14" ht="15.75" customHeight="1" x14ac:dyDescent="0.25">
      <c r="I608" s="40"/>
      <c r="J608" s="40"/>
      <c r="M608" s="40"/>
      <c r="N608" s="40"/>
    </row>
    <row r="609" spans="9:14" ht="15.75" customHeight="1" x14ac:dyDescent="0.25">
      <c r="I609" s="40"/>
      <c r="J609" s="40"/>
      <c r="M609" s="40"/>
      <c r="N609" s="40"/>
    </row>
    <row r="610" spans="9:14" ht="15.75" customHeight="1" x14ac:dyDescent="0.25">
      <c r="I610" s="40"/>
      <c r="J610" s="40"/>
      <c r="M610" s="40"/>
      <c r="N610" s="40"/>
    </row>
    <row r="611" spans="9:14" ht="15.75" customHeight="1" x14ac:dyDescent="0.25">
      <c r="I611" s="40"/>
      <c r="J611" s="40"/>
      <c r="M611" s="40"/>
      <c r="N611" s="40"/>
    </row>
    <row r="612" spans="9:14" ht="15.75" customHeight="1" x14ac:dyDescent="0.25">
      <c r="I612" s="40"/>
      <c r="J612" s="40"/>
      <c r="M612" s="40"/>
      <c r="N612" s="40"/>
    </row>
    <row r="613" spans="9:14" ht="15.75" customHeight="1" x14ac:dyDescent="0.25">
      <c r="I613" s="40"/>
      <c r="J613" s="40"/>
      <c r="M613" s="40"/>
      <c r="N613" s="40"/>
    </row>
    <row r="614" spans="9:14" ht="15.75" customHeight="1" x14ac:dyDescent="0.25">
      <c r="I614" s="40"/>
      <c r="J614" s="40"/>
      <c r="M614" s="40"/>
      <c r="N614" s="40"/>
    </row>
    <row r="615" spans="9:14" ht="15.75" customHeight="1" x14ac:dyDescent="0.25">
      <c r="I615" s="40"/>
      <c r="J615" s="40"/>
      <c r="M615" s="40"/>
      <c r="N615" s="40"/>
    </row>
    <row r="616" spans="9:14" ht="15.75" customHeight="1" x14ac:dyDescent="0.25">
      <c r="I616" s="40"/>
      <c r="J616" s="40"/>
      <c r="M616" s="40"/>
      <c r="N616" s="40"/>
    </row>
    <row r="617" spans="9:14" ht="15.75" customHeight="1" x14ac:dyDescent="0.25">
      <c r="I617" s="40"/>
      <c r="J617" s="40"/>
      <c r="M617" s="40"/>
      <c r="N617" s="40"/>
    </row>
    <row r="618" spans="9:14" ht="15.75" customHeight="1" x14ac:dyDescent="0.25">
      <c r="I618" s="40"/>
      <c r="J618" s="40"/>
      <c r="M618" s="40"/>
      <c r="N618" s="40"/>
    </row>
    <row r="619" spans="9:14" ht="15.75" customHeight="1" x14ac:dyDescent="0.25">
      <c r="I619" s="40"/>
      <c r="J619" s="40"/>
      <c r="M619" s="40"/>
      <c r="N619" s="40"/>
    </row>
    <row r="620" spans="9:14" ht="15.75" customHeight="1" x14ac:dyDescent="0.25">
      <c r="I620" s="40"/>
      <c r="J620" s="40"/>
      <c r="M620" s="40"/>
      <c r="N620" s="40"/>
    </row>
    <row r="621" spans="9:14" ht="15.75" customHeight="1" x14ac:dyDescent="0.25">
      <c r="I621" s="40"/>
      <c r="J621" s="40"/>
      <c r="M621" s="40"/>
      <c r="N621" s="40"/>
    </row>
    <row r="622" spans="9:14" ht="15.75" customHeight="1" x14ac:dyDescent="0.25">
      <c r="I622" s="40"/>
      <c r="J622" s="40"/>
      <c r="M622" s="40"/>
      <c r="N622" s="40"/>
    </row>
    <row r="623" spans="9:14" ht="15.75" customHeight="1" x14ac:dyDescent="0.25">
      <c r="I623" s="40"/>
      <c r="J623" s="40"/>
      <c r="M623" s="40"/>
      <c r="N623" s="40"/>
    </row>
    <row r="624" spans="9:14" ht="15.75" customHeight="1" x14ac:dyDescent="0.25">
      <c r="I624" s="40"/>
      <c r="J624" s="40"/>
      <c r="M624" s="40"/>
      <c r="N624" s="40"/>
    </row>
    <row r="625" spans="9:14" ht="15.75" customHeight="1" x14ac:dyDescent="0.25">
      <c r="I625" s="40"/>
      <c r="J625" s="40"/>
      <c r="M625" s="40"/>
      <c r="N625" s="40"/>
    </row>
    <row r="626" spans="9:14" ht="15.75" customHeight="1" x14ac:dyDescent="0.25">
      <c r="I626" s="40"/>
      <c r="J626" s="40"/>
      <c r="M626" s="40"/>
      <c r="N626" s="40"/>
    </row>
    <row r="627" spans="9:14" ht="15.75" customHeight="1" x14ac:dyDescent="0.25">
      <c r="I627" s="40"/>
      <c r="J627" s="40"/>
      <c r="M627" s="40"/>
      <c r="N627" s="40"/>
    </row>
    <row r="628" spans="9:14" ht="15.75" customHeight="1" x14ac:dyDescent="0.25">
      <c r="I628" s="40"/>
      <c r="J628" s="40"/>
      <c r="M628" s="40"/>
      <c r="N628" s="40"/>
    </row>
    <row r="629" spans="9:14" ht="15.75" customHeight="1" x14ac:dyDescent="0.25">
      <c r="I629" s="40"/>
      <c r="J629" s="40"/>
      <c r="M629" s="40"/>
      <c r="N629" s="40"/>
    </row>
    <row r="630" spans="9:14" ht="15.75" customHeight="1" x14ac:dyDescent="0.25">
      <c r="I630" s="40"/>
      <c r="J630" s="40"/>
      <c r="M630" s="40"/>
      <c r="N630" s="40"/>
    </row>
    <row r="631" spans="9:14" ht="15.75" customHeight="1" x14ac:dyDescent="0.25">
      <c r="I631" s="40"/>
      <c r="J631" s="40"/>
      <c r="M631" s="40"/>
      <c r="N631" s="40"/>
    </row>
    <row r="632" spans="9:14" ht="15.75" customHeight="1" x14ac:dyDescent="0.25">
      <c r="I632" s="40"/>
      <c r="J632" s="40"/>
      <c r="M632" s="40"/>
      <c r="N632" s="40"/>
    </row>
    <row r="633" spans="9:14" ht="15.75" customHeight="1" x14ac:dyDescent="0.25">
      <c r="I633" s="40"/>
      <c r="J633" s="40"/>
      <c r="M633" s="40"/>
      <c r="N633" s="40"/>
    </row>
    <row r="634" spans="9:14" ht="15.75" customHeight="1" x14ac:dyDescent="0.25">
      <c r="I634" s="40"/>
      <c r="J634" s="40"/>
      <c r="M634" s="40"/>
      <c r="N634" s="40"/>
    </row>
    <row r="635" spans="9:14" ht="15.75" customHeight="1" x14ac:dyDescent="0.25">
      <c r="I635" s="40"/>
      <c r="J635" s="40"/>
      <c r="M635" s="40"/>
      <c r="N635" s="40"/>
    </row>
    <row r="636" spans="9:14" ht="15.75" customHeight="1" x14ac:dyDescent="0.25">
      <c r="I636" s="40"/>
      <c r="J636" s="40"/>
      <c r="M636" s="40"/>
      <c r="N636" s="40"/>
    </row>
    <row r="637" spans="9:14" ht="15.75" customHeight="1" x14ac:dyDescent="0.25">
      <c r="I637" s="40"/>
      <c r="J637" s="40"/>
      <c r="M637" s="40"/>
      <c r="N637" s="40"/>
    </row>
    <row r="638" spans="9:14" ht="15.75" customHeight="1" x14ac:dyDescent="0.25">
      <c r="I638" s="40"/>
      <c r="J638" s="40"/>
      <c r="M638" s="40"/>
      <c r="N638" s="40"/>
    </row>
    <row r="639" spans="9:14" ht="15.75" customHeight="1" x14ac:dyDescent="0.25">
      <c r="I639" s="40"/>
      <c r="J639" s="40"/>
      <c r="M639" s="40"/>
      <c r="N639" s="40"/>
    </row>
    <row r="640" spans="9:14" ht="15.75" customHeight="1" x14ac:dyDescent="0.25">
      <c r="I640" s="40"/>
      <c r="J640" s="40"/>
      <c r="M640" s="40"/>
      <c r="N640" s="40"/>
    </row>
    <row r="641" spans="9:14" ht="15.75" customHeight="1" x14ac:dyDescent="0.25">
      <c r="I641" s="40"/>
      <c r="J641" s="40"/>
      <c r="M641" s="40"/>
      <c r="N641" s="40"/>
    </row>
    <row r="642" spans="9:14" ht="15.75" customHeight="1" x14ac:dyDescent="0.25">
      <c r="I642" s="40"/>
      <c r="J642" s="40"/>
      <c r="M642" s="40"/>
      <c r="N642" s="40"/>
    </row>
    <row r="643" spans="9:14" ht="15.75" customHeight="1" x14ac:dyDescent="0.25">
      <c r="I643" s="40"/>
      <c r="J643" s="40"/>
      <c r="M643" s="40"/>
      <c r="N643" s="40"/>
    </row>
    <row r="644" spans="9:14" ht="15.75" customHeight="1" x14ac:dyDescent="0.25">
      <c r="I644" s="40"/>
      <c r="J644" s="40"/>
      <c r="M644" s="40"/>
      <c r="N644" s="40"/>
    </row>
    <row r="645" spans="9:14" ht="15.75" customHeight="1" x14ac:dyDescent="0.25">
      <c r="I645" s="40"/>
      <c r="J645" s="40"/>
      <c r="M645" s="40"/>
      <c r="N645" s="40"/>
    </row>
    <row r="646" spans="9:14" ht="15.75" customHeight="1" x14ac:dyDescent="0.25">
      <c r="I646" s="40"/>
      <c r="J646" s="40"/>
      <c r="M646" s="40"/>
      <c r="N646" s="40"/>
    </row>
    <row r="647" spans="9:14" ht="15.75" customHeight="1" x14ac:dyDescent="0.25">
      <c r="I647" s="40"/>
      <c r="J647" s="40"/>
      <c r="M647" s="40"/>
      <c r="N647" s="40"/>
    </row>
    <row r="648" spans="9:14" ht="15.75" customHeight="1" x14ac:dyDescent="0.25">
      <c r="I648" s="40"/>
      <c r="J648" s="40"/>
      <c r="M648" s="40"/>
      <c r="N648" s="40"/>
    </row>
    <row r="649" spans="9:14" ht="15.75" customHeight="1" x14ac:dyDescent="0.25">
      <c r="I649" s="40"/>
      <c r="J649" s="40"/>
      <c r="M649" s="40"/>
      <c r="N649" s="40"/>
    </row>
    <row r="650" spans="9:14" ht="15.75" customHeight="1" x14ac:dyDescent="0.25">
      <c r="I650" s="40"/>
      <c r="J650" s="40"/>
      <c r="M650" s="40"/>
      <c r="N650" s="40"/>
    </row>
    <row r="651" spans="9:14" ht="15.75" customHeight="1" x14ac:dyDescent="0.25">
      <c r="I651" s="40"/>
      <c r="J651" s="40"/>
      <c r="M651" s="40"/>
      <c r="N651" s="40"/>
    </row>
    <row r="652" spans="9:14" ht="15.75" customHeight="1" x14ac:dyDescent="0.25">
      <c r="I652" s="40"/>
      <c r="J652" s="40"/>
      <c r="M652" s="40"/>
      <c r="N652" s="40"/>
    </row>
    <row r="653" spans="9:14" ht="15.75" customHeight="1" x14ac:dyDescent="0.25">
      <c r="I653" s="40"/>
      <c r="J653" s="40"/>
      <c r="M653" s="40"/>
      <c r="N653" s="40"/>
    </row>
    <row r="654" spans="9:14" ht="15.75" customHeight="1" x14ac:dyDescent="0.25">
      <c r="I654" s="40"/>
      <c r="J654" s="40"/>
      <c r="M654" s="40"/>
      <c r="N654" s="40"/>
    </row>
    <row r="655" spans="9:14" ht="15.75" customHeight="1" x14ac:dyDescent="0.25">
      <c r="I655" s="40"/>
      <c r="J655" s="40"/>
      <c r="M655" s="40"/>
      <c r="N655" s="40"/>
    </row>
    <row r="656" spans="9:14" ht="15.75" customHeight="1" x14ac:dyDescent="0.25">
      <c r="I656" s="40"/>
      <c r="J656" s="40"/>
      <c r="M656" s="40"/>
      <c r="N656" s="40"/>
    </row>
    <row r="657" spans="9:14" ht="15.75" customHeight="1" x14ac:dyDescent="0.25">
      <c r="I657" s="40"/>
      <c r="J657" s="40"/>
      <c r="M657" s="40"/>
      <c r="N657" s="40"/>
    </row>
    <row r="658" spans="9:14" ht="15.75" customHeight="1" x14ac:dyDescent="0.25">
      <c r="I658" s="40"/>
      <c r="J658" s="40"/>
      <c r="M658" s="40"/>
      <c r="N658" s="40"/>
    </row>
    <row r="659" spans="9:14" ht="15.75" customHeight="1" x14ac:dyDescent="0.25">
      <c r="I659" s="40"/>
      <c r="J659" s="40"/>
      <c r="M659" s="40"/>
      <c r="N659" s="40"/>
    </row>
    <row r="660" spans="9:14" ht="15.75" customHeight="1" x14ac:dyDescent="0.25">
      <c r="I660" s="40"/>
      <c r="J660" s="40"/>
      <c r="M660" s="40"/>
      <c r="N660" s="40"/>
    </row>
    <row r="661" spans="9:14" ht="15.75" customHeight="1" x14ac:dyDescent="0.25">
      <c r="I661" s="40"/>
      <c r="J661" s="40"/>
      <c r="M661" s="40"/>
      <c r="N661" s="40"/>
    </row>
    <row r="662" spans="9:14" ht="15.75" customHeight="1" x14ac:dyDescent="0.25">
      <c r="I662" s="40"/>
      <c r="J662" s="40"/>
      <c r="M662" s="40"/>
      <c r="N662" s="40"/>
    </row>
    <row r="663" spans="9:14" ht="15.75" customHeight="1" x14ac:dyDescent="0.25">
      <c r="I663" s="40"/>
      <c r="J663" s="40"/>
      <c r="M663" s="40"/>
      <c r="N663" s="40"/>
    </row>
    <row r="664" spans="9:14" ht="15.75" customHeight="1" x14ac:dyDescent="0.25">
      <c r="I664" s="40"/>
      <c r="J664" s="40"/>
      <c r="M664" s="40"/>
      <c r="N664" s="40"/>
    </row>
    <row r="665" spans="9:14" ht="15.75" customHeight="1" x14ac:dyDescent="0.25">
      <c r="I665" s="40"/>
      <c r="J665" s="40"/>
      <c r="M665" s="40"/>
      <c r="N665" s="40"/>
    </row>
    <row r="666" spans="9:14" ht="15.75" customHeight="1" x14ac:dyDescent="0.25">
      <c r="I666" s="40"/>
      <c r="J666" s="40"/>
      <c r="M666" s="40"/>
      <c r="N666" s="40"/>
    </row>
    <row r="667" spans="9:14" ht="15.75" customHeight="1" x14ac:dyDescent="0.25">
      <c r="I667" s="40"/>
      <c r="J667" s="40"/>
      <c r="M667" s="40"/>
      <c r="N667" s="40"/>
    </row>
    <row r="668" spans="9:14" ht="15.75" customHeight="1" x14ac:dyDescent="0.25">
      <c r="I668" s="40"/>
      <c r="J668" s="40"/>
      <c r="M668" s="40"/>
      <c r="N668" s="40"/>
    </row>
    <row r="669" spans="9:14" ht="15.75" customHeight="1" x14ac:dyDescent="0.25">
      <c r="I669" s="40"/>
      <c r="J669" s="40"/>
      <c r="M669" s="40"/>
      <c r="N669" s="40"/>
    </row>
    <row r="670" spans="9:14" ht="15.75" customHeight="1" x14ac:dyDescent="0.25">
      <c r="I670" s="40"/>
      <c r="J670" s="40"/>
      <c r="M670" s="40"/>
      <c r="N670" s="40"/>
    </row>
    <row r="671" spans="9:14" ht="15.75" customHeight="1" x14ac:dyDescent="0.25">
      <c r="I671" s="40"/>
      <c r="J671" s="40"/>
      <c r="M671" s="40"/>
      <c r="N671" s="40"/>
    </row>
    <row r="672" spans="9:14" ht="15.75" customHeight="1" x14ac:dyDescent="0.25">
      <c r="I672" s="40"/>
      <c r="J672" s="40"/>
      <c r="M672" s="40"/>
      <c r="N672" s="40"/>
    </row>
    <row r="673" spans="9:14" ht="15.75" customHeight="1" x14ac:dyDescent="0.25">
      <c r="I673" s="40"/>
      <c r="J673" s="40"/>
      <c r="M673" s="40"/>
      <c r="N673" s="40"/>
    </row>
    <row r="674" spans="9:14" ht="15.75" customHeight="1" x14ac:dyDescent="0.25">
      <c r="I674" s="40"/>
      <c r="J674" s="40"/>
      <c r="M674" s="40"/>
      <c r="N674" s="40"/>
    </row>
    <row r="675" spans="9:14" ht="15.75" customHeight="1" x14ac:dyDescent="0.25">
      <c r="I675" s="40"/>
      <c r="J675" s="40"/>
      <c r="M675" s="40"/>
      <c r="N675" s="40"/>
    </row>
    <row r="676" spans="9:14" ht="15.75" customHeight="1" x14ac:dyDescent="0.25">
      <c r="I676" s="40"/>
      <c r="J676" s="40"/>
      <c r="M676" s="40"/>
      <c r="N676" s="40"/>
    </row>
    <row r="677" spans="9:14" ht="15.75" customHeight="1" x14ac:dyDescent="0.25">
      <c r="I677" s="40"/>
      <c r="J677" s="40"/>
      <c r="M677" s="40"/>
      <c r="N677" s="40"/>
    </row>
    <row r="678" spans="9:14" ht="15.75" customHeight="1" x14ac:dyDescent="0.25">
      <c r="I678" s="40"/>
      <c r="J678" s="40"/>
      <c r="M678" s="40"/>
      <c r="N678" s="40"/>
    </row>
    <row r="679" spans="9:14" ht="15.75" customHeight="1" x14ac:dyDescent="0.25">
      <c r="I679" s="40"/>
      <c r="J679" s="40"/>
      <c r="M679" s="40"/>
      <c r="N679" s="40"/>
    </row>
    <row r="680" spans="9:14" ht="15.75" customHeight="1" x14ac:dyDescent="0.25">
      <c r="I680" s="40"/>
      <c r="J680" s="40"/>
      <c r="M680" s="40"/>
      <c r="N680" s="40"/>
    </row>
    <row r="681" spans="9:14" ht="15.75" customHeight="1" x14ac:dyDescent="0.25">
      <c r="I681" s="40"/>
      <c r="J681" s="40"/>
      <c r="M681" s="40"/>
      <c r="N681" s="40"/>
    </row>
    <row r="682" spans="9:14" ht="15.75" customHeight="1" x14ac:dyDescent="0.25">
      <c r="I682" s="40"/>
      <c r="J682" s="40"/>
      <c r="M682" s="40"/>
      <c r="N682" s="40"/>
    </row>
    <row r="683" spans="9:14" ht="15.75" customHeight="1" x14ac:dyDescent="0.25">
      <c r="I683" s="40"/>
      <c r="J683" s="40"/>
      <c r="M683" s="40"/>
      <c r="N683" s="40"/>
    </row>
    <row r="684" spans="9:14" ht="15.75" customHeight="1" x14ac:dyDescent="0.25">
      <c r="I684" s="40"/>
      <c r="J684" s="40"/>
      <c r="M684" s="40"/>
      <c r="N684" s="40"/>
    </row>
    <row r="685" spans="9:14" ht="15.75" customHeight="1" x14ac:dyDescent="0.25">
      <c r="I685" s="40"/>
      <c r="J685" s="40"/>
      <c r="M685" s="40"/>
      <c r="N685" s="40"/>
    </row>
    <row r="686" spans="9:14" ht="15.75" customHeight="1" x14ac:dyDescent="0.25">
      <c r="I686" s="40"/>
      <c r="J686" s="40"/>
      <c r="M686" s="40"/>
      <c r="N686" s="40"/>
    </row>
    <row r="687" spans="9:14" ht="15.75" customHeight="1" x14ac:dyDescent="0.25">
      <c r="I687" s="40"/>
      <c r="J687" s="40"/>
      <c r="M687" s="40"/>
      <c r="N687" s="40"/>
    </row>
    <row r="688" spans="9:14" ht="15.75" customHeight="1" x14ac:dyDescent="0.25">
      <c r="I688" s="40"/>
      <c r="J688" s="40"/>
      <c r="M688" s="40"/>
      <c r="N688" s="40"/>
    </row>
    <row r="689" spans="9:14" ht="15.75" customHeight="1" x14ac:dyDescent="0.25">
      <c r="I689" s="40"/>
      <c r="J689" s="40"/>
      <c r="M689" s="40"/>
      <c r="N689" s="40"/>
    </row>
    <row r="690" spans="9:14" ht="15.75" customHeight="1" x14ac:dyDescent="0.25">
      <c r="I690" s="40"/>
      <c r="J690" s="40"/>
      <c r="M690" s="40"/>
      <c r="N690" s="40"/>
    </row>
    <row r="691" spans="9:14" ht="15.75" customHeight="1" x14ac:dyDescent="0.25">
      <c r="I691" s="40"/>
      <c r="J691" s="40"/>
      <c r="M691" s="40"/>
      <c r="N691" s="40"/>
    </row>
    <row r="692" spans="9:14" ht="15.75" customHeight="1" x14ac:dyDescent="0.25">
      <c r="I692" s="40"/>
      <c r="J692" s="40"/>
      <c r="M692" s="40"/>
      <c r="N692" s="40"/>
    </row>
    <row r="693" spans="9:14" ht="15.75" customHeight="1" x14ac:dyDescent="0.25">
      <c r="I693" s="40"/>
      <c r="J693" s="40"/>
      <c r="M693" s="40"/>
      <c r="N693" s="40"/>
    </row>
    <row r="694" spans="9:14" ht="15.75" customHeight="1" x14ac:dyDescent="0.25">
      <c r="I694" s="40"/>
      <c r="J694" s="40"/>
      <c r="M694" s="40"/>
      <c r="N694" s="40"/>
    </row>
    <row r="695" spans="9:14" ht="15.75" customHeight="1" x14ac:dyDescent="0.25">
      <c r="I695" s="40"/>
      <c r="J695" s="40"/>
      <c r="M695" s="40"/>
      <c r="N695" s="40"/>
    </row>
    <row r="696" spans="9:14" ht="15.75" customHeight="1" x14ac:dyDescent="0.25">
      <c r="I696" s="40"/>
      <c r="J696" s="40"/>
      <c r="M696" s="40"/>
      <c r="N696" s="40"/>
    </row>
    <row r="697" spans="9:14" ht="15.75" customHeight="1" x14ac:dyDescent="0.25">
      <c r="I697" s="40"/>
      <c r="J697" s="40"/>
      <c r="M697" s="40"/>
      <c r="N697" s="40"/>
    </row>
    <row r="698" spans="9:14" ht="15.75" customHeight="1" x14ac:dyDescent="0.25">
      <c r="I698" s="40"/>
      <c r="J698" s="40"/>
      <c r="M698" s="40"/>
      <c r="N698" s="40"/>
    </row>
    <row r="699" spans="9:14" ht="15.75" customHeight="1" x14ac:dyDescent="0.25">
      <c r="I699" s="40"/>
      <c r="J699" s="40"/>
      <c r="M699" s="40"/>
      <c r="N699" s="40"/>
    </row>
    <row r="700" spans="9:14" ht="15.75" customHeight="1" x14ac:dyDescent="0.25">
      <c r="I700" s="40"/>
      <c r="J700" s="40"/>
      <c r="M700" s="40"/>
      <c r="N700" s="40"/>
    </row>
    <row r="701" spans="9:14" ht="15.75" customHeight="1" x14ac:dyDescent="0.25">
      <c r="I701" s="40"/>
      <c r="J701" s="40"/>
      <c r="M701" s="40"/>
      <c r="N701" s="40"/>
    </row>
    <row r="702" spans="9:14" ht="15.75" customHeight="1" x14ac:dyDescent="0.25">
      <c r="I702" s="40"/>
      <c r="J702" s="40"/>
      <c r="M702" s="40"/>
      <c r="N702" s="40"/>
    </row>
    <row r="703" spans="9:14" ht="15.75" customHeight="1" x14ac:dyDescent="0.25">
      <c r="I703" s="40"/>
      <c r="J703" s="40"/>
      <c r="M703" s="40"/>
      <c r="N703" s="40"/>
    </row>
    <row r="704" spans="9:14" ht="15.75" customHeight="1" x14ac:dyDescent="0.25">
      <c r="I704" s="40"/>
      <c r="J704" s="40"/>
      <c r="M704" s="40"/>
      <c r="N704" s="40"/>
    </row>
    <row r="705" spans="9:14" ht="15.75" customHeight="1" x14ac:dyDescent="0.25">
      <c r="I705" s="40"/>
      <c r="J705" s="40"/>
      <c r="M705" s="40"/>
      <c r="N705" s="40"/>
    </row>
    <row r="706" spans="9:14" ht="15.75" customHeight="1" x14ac:dyDescent="0.25">
      <c r="I706" s="40"/>
      <c r="J706" s="40"/>
      <c r="M706" s="40"/>
      <c r="N706" s="40"/>
    </row>
    <row r="707" spans="9:14" ht="15.75" customHeight="1" x14ac:dyDescent="0.25">
      <c r="I707" s="40"/>
      <c r="J707" s="40"/>
      <c r="M707" s="40"/>
      <c r="N707" s="40"/>
    </row>
    <row r="708" spans="9:14" ht="15.75" customHeight="1" x14ac:dyDescent="0.25">
      <c r="I708" s="40"/>
      <c r="J708" s="40"/>
      <c r="M708" s="40"/>
      <c r="N708" s="40"/>
    </row>
    <row r="709" spans="9:14" ht="15.75" customHeight="1" x14ac:dyDescent="0.25">
      <c r="I709" s="40"/>
      <c r="J709" s="40"/>
      <c r="M709" s="40"/>
      <c r="N709" s="40"/>
    </row>
    <row r="710" spans="9:14" ht="15.75" customHeight="1" x14ac:dyDescent="0.25">
      <c r="I710" s="40"/>
      <c r="J710" s="40"/>
      <c r="M710" s="40"/>
      <c r="N710" s="40"/>
    </row>
    <row r="711" spans="9:14" ht="15.75" customHeight="1" x14ac:dyDescent="0.25">
      <c r="I711" s="40"/>
      <c r="J711" s="40"/>
      <c r="M711" s="40"/>
      <c r="N711" s="40"/>
    </row>
    <row r="712" spans="9:14" ht="15.75" customHeight="1" x14ac:dyDescent="0.25">
      <c r="I712" s="40"/>
      <c r="J712" s="40"/>
      <c r="M712" s="40"/>
      <c r="N712" s="40"/>
    </row>
    <row r="713" spans="9:14" ht="15.75" customHeight="1" x14ac:dyDescent="0.25">
      <c r="I713" s="40"/>
      <c r="J713" s="40"/>
      <c r="M713" s="40"/>
      <c r="N713" s="40"/>
    </row>
    <row r="714" spans="9:14" ht="15.75" customHeight="1" x14ac:dyDescent="0.25">
      <c r="I714" s="40"/>
      <c r="J714" s="40"/>
      <c r="M714" s="40"/>
      <c r="N714" s="40"/>
    </row>
    <row r="715" spans="9:14" ht="15.75" customHeight="1" x14ac:dyDescent="0.25">
      <c r="I715" s="40"/>
      <c r="J715" s="40"/>
      <c r="M715" s="40"/>
      <c r="N715" s="40"/>
    </row>
    <row r="716" spans="9:14" ht="15.75" customHeight="1" x14ac:dyDescent="0.25">
      <c r="I716" s="40"/>
      <c r="J716" s="40"/>
      <c r="M716" s="40"/>
      <c r="N716" s="40"/>
    </row>
    <row r="717" spans="9:14" ht="15.75" customHeight="1" x14ac:dyDescent="0.25">
      <c r="I717" s="40"/>
      <c r="J717" s="40"/>
      <c r="M717" s="40"/>
      <c r="N717" s="40"/>
    </row>
    <row r="718" spans="9:14" ht="15.75" customHeight="1" x14ac:dyDescent="0.25">
      <c r="I718" s="40"/>
      <c r="J718" s="40"/>
      <c r="M718" s="40"/>
      <c r="N718" s="40"/>
    </row>
    <row r="719" spans="9:14" ht="15.75" customHeight="1" x14ac:dyDescent="0.25">
      <c r="I719" s="40"/>
      <c r="J719" s="40"/>
      <c r="M719" s="40"/>
      <c r="N719" s="40"/>
    </row>
    <row r="720" spans="9:14" ht="15.75" customHeight="1" x14ac:dyDescent="0.25">
      <c r="I720" s="40"/>
      <c r="J720" s="40"/>
      <c r="M720" s="40"/>
      <c r="N720" s="40"/>
    </row>
    <row r="721" spans="9:14" ht="15.75" customHeight="1" x14ac:dyDescent="0.25">
      <c r="I721" s="40"/>
      <c r="J721" s="40"/>
      <c r="M721" s="40"/>
      <c r="N721" s="40"/>
    </row>
    <row r="722" spans="9:14" ht="15.75" customHeight="1" x14ac:dyDescent="0.25">
      <c r="I722" s="40"/>
      <c r="J722" s="40"/>
      <c r="M722" s="40"/>
      <c r="N722" s="40"/>
    </row>
    <row r="723" spans="9:14" ht="15.75" customHeight="1" x14ac:dyDescent="0.25">
      <c r="I723" s="40"/>
      <c r="J723" s="40"/>
      <c r="M723" s="40"/>
      <c r="N723" s="40"/>
    </row>
    <row r="724" spans="9:14" ht="15.75" customHeight="1" x14ac:dyDescent="0.25">
      <c r="I724" s="40"/>
      <c r="J724" s="40"/>
      <c r="M724" s="40"/>
      <c r="N724" s="40"/>
    </row>
    <row r="725" spans="9:14" ht="15.75" customHeight="1" x14ac:dyDescent="0.25">
      <c r="I725" s="40"/>
      <c r="J725" s="40"/>
      <c r="M725" s="40"/>
      <c r="N725" s="40"/>
    </row>
    <row r="726" spans="9:14" ht="15.75" customHeight="1" x14ac:dyDescent="0.25">
      <c r="I726" s="40"/>
      <c r="J726" s="40"/>
      <c r="M726" s="40"/>
      <c r="N726" s="40"/>
    </row>
    <row r="727" spans="9:14" ht="15.75" customHeight="1" x14ac:dyDescent="0.25">
      <c r="I727" s="40"/>
      <c r="J727" s="40"/>
      <c r="M727" s="40"/>
      <c r="N727" s="40"/>
    </row>
    <row r="728" spans="9:14" ht="15.75" customHeight="1" x14ac:dyDescent="0.25">
      <c r="I728" s="40"/>
      <c r="J728" s="40"/>
      <c r="M728" s="40"/>
      <c r="N728" s="40"/>
    </row>
    <row r="729" spans="9:14" ht="15.75" customHeight="1" x14ac:dyDescent="0.25">
      <c r="I729" s="40"/>
      <c r="J729" s="40"/>
      <c r="M729" s="40"/>
      <c r="N729" s="40"/>
    </row>
    <row r="730" spans="9:14" ht="15.75" customHeight="1" x14ac:dyDescent="0.25">
      <c r="I730" s="40"/>
      <c r="J730" s="40"/>
      <c r="M730" s="40"/>
      <c r="N730" s="40"/>
    </row>
    <row r="731" spans="9:14" ht="15.75" customHeight="1" x14ac:dyDescent="0.25">
      <c r="I731" s="40"/>
      <c r="J731" s="40"/>
      <c r="M731" s="40"/>
      <c r="N731" s="40"/>
    </row>
    <row r="732" spans="9:14" ht="15.75" customHeight="1" x14ac:dyDescent="0.25">
      <c r="I732" s="40"/>
      <c r="J732" s="40"/>
      <c r="M732" s="40"/>
      <c r="N732" s="40"/>
    </row>
    <row r="733" spans="9:14" ht="15.75" customHeight="1" x14ac:dyDescent="0.25">
      <c r="I733" s="40"/>
      <c r="J733" s="40"/>
      <c r="M733" s="40"/>
      <c r="N733" s="40"/>
    </row>
    <row r="734" spans="9:14" ht="15.75" customHeight="1" x14ac:dyDescent="0.25">
      <c r="I734" s="40"/>
      <c r="J734" s="40"/>
      <c r="M734" s="40"/>
      <c r="N734" s="40"/>
    </row>
    <row r="735" spans="9:14" ht="15.75" customHeight="1" x14ac:dyDescent="0.25">
      <c r="I735" s="40"/>
      <c r="J735" s="40"/>
      <c r="M735" s="40"/>
      <c r="N735" s="40"/>
    </row>
    <row r="736" spans="9:14" ht="15.75" customHeight="1" x14ac:dyDescent="0.25">
      <c r="I736" s="40"/>
      <c r="J736" s="40"/>
      <c r="M736" s="40"/>
      <c r="N736" s="40"/>
    </row>
    <row r="737" spans="9:14" ht="15.75" customHeight="1" x14ac:dyDescent="0.25">
      <c r="I737" s="40"/>
      <c r="J737" s="40"/>
      <c r="M737" s="40"/>
      <c r="N737" s="40"/>
    </row>
    <row r="738" spans="9:14" ht="15.75" customHeight="1" x14ac:dyDescent="0.25">
      <c r="I738" s="40"/>
      <c r="J738" s="40"/>
      <c r="M738" s="40"/>
      <c r="N738" s="40"/>
    </row>
    <row r="739" spans="9:14" ht="15.75" customHeight="1" x14ac:dyDescent="0.25">
      <c r="I739" s="40"/>
      <c r="J739" s="40"/>
      <c r="M739" s="40"/>
      <c r="N739" s="40"/>
    </row>
    <row r="740" spans="9:14" ht="15.75" customHeight="1" x14ac:dyDescent="0.25">
      <c r="I740" s="40"/>
      <c r="J740" s="40"/>
      <c r="M740" s="40"/>
      <c r="N740" s="40"/>
    </row>
    <row r="741" spans="9:14" ht="15.75" customHeight="1" x14ac:dyDescent="0.25">
      <c r="I741" s="40"/>
      <c r="J741" s="40"/>
      <c r="M741" s="40"/>
      <c r="N741" s="40"/>
    </row>
    <row r="742" spans="9:14" ht="15.75" customHeight="1" x14ac:dyDescent="0.25">
      <c r="I742" s="40"/>
      <c r="J742" s="40"/>
      <c r="M742" s="40"/>
      <c r="N742" s="40"/>
    </row>
    <row r="743" spans="9:14" ht="15.75" customHeight="1" x14ac:dyDescent="0.25">
      <c r="I743" s="40"/>
      <c r="J743" s="40"/>
      <c r="M743" s="40"/>
      <c r="N743" s="40"/>
    </row>
    <row r="744" spans="9:14" ht="15.75" customHeight="1" x14ac:dyDescent="0.25">
      <c r="I744" s="40"/>
      <c r="J744" s="40"/>
      <c r="M744" s="40"/>
      <c r="N744" s="40"/>
    </row>
    <row r="745" spans="9:14" ht="15.75" customHeight="1" x14ac:dyDescent="0.25">
      <c r="I745" s="40"/>
      <c r="J745" s="40"/>
      <c r="M745" s="40"/>
      <c r="N745" s="40"/>
    </row>
    <row r="746" spans="9:14" ht="15.75" customHeight="1" x14ac:dyDescent="0.25">
      <c r="I746" s="40"/>
      <c r="J746" s="40"/>
      <c r="M746" s="40"/>
      <c r="N746" s="40"/>
    </row>
    <row r="747" spans="9:14" ht="15.75" customHeight="1" x14ac:dyDescent="0.25">
      <c r="I747" s="40"/>
      <c r="J747" s="40"/>
      <c r="M747" s="40"/>
      <c r="N747" s="40"/>
    </row>
    <row r="748" spans="9:14" ht="15.75" customHeight="1" x14ac:dyDescent="0.25">
      <c r="I748" s="40"/>
      <c r="J748" s="40"/>
      <c r="M748" s="40"/>
      <c r="N748" s="40"/>
    </row>
    <row r="749" spans="9:14" ht="15.75" customHeight="1" x14ac:dyDescent="0.25">
      <c r="I749" s="40"/>
      <c r="J749" s="40"/>
      <c r="M749" s="40"/>
      <c r="N749" s="40"/>
    </row>
    <row r="750" spans="9:14" ht="15.75" customHeight="1" x14ac:dyDescent="0.25">
      <c r="I750" s="40"/>
      <c r="J750" s="40"/>
      <c r="M750" s="40"/>
      <c r="N750" s="40"/>
    </row>
    <row r="751" spans="9:14" ht="15.75" customHeight="1" x14ac:dyDescent="0.25">
      <c r="I751" s="40"/>
      <c r="J751" s="40"/>
      <c r="M751" s="40"/>
      <c r="N751" s="40"/>
    </row>
    <row r="752" spans="9:14" ht="15.75" customHeight="1" x14ac:dyDescent="0.25">
      <c r="I752" s="40"/>
      <c r="J752" s="40"/>
      <c r="M752" s="40"/>
      <c r="N752" s="40"/>
    </row>
    <row r="753" spans="9:14" ht="15.75" customHeight="1" x14ac:dyDescent="0.25">
      <c r="I753" s="40"/>
      <c r="J753" s="40"/>
      <c r="M753" s="40"/>
      <c r="N753" s="40"/>
    </row>
    <row r="754" spans="9:14" ht="15.75" customHeight="1" x14ac:dyDescent="0.25">
      <c r="I754" s="40"/>
      <c r="J754" s="40"/>
      <c r="M754" s="40"/>
      <c r="N754" s="40"/>
    </row>
    <row r="755" spans="9:14" ht="15.75" customHeight="1" x14ac:dyDescent="0.25">
      <c r="I755" s="40"/>
      <c r="J755" s="40"/>
      <c r="M755" s="40"/>
      <c r="N755" s="40"/>
    </row>
    <row r="756" spans="9:14" ht="15.75" customHeight="1" x14ac:dyDescent="0.25">
      <c r="I756" s="40"/>
      <c r="J756" s="40"/>
      <c r="M756" s="40"/>
      <c r="N756" s="40"/>
    </row>
    <row r="757" spans="9:14" ht="15.75" customHeight="1" x14ac:dyDescent="0.25">
      <c r="I757" s="40"/>
      <c r="J757" s="40"/>
      <c r="M757" s="40"/>
      <c r="N757" s="40"/>
    </row>
    <row r="758" spans="9:14" ht="15.75" customHeight="1" x14ac:dyDescent="0.25">
      <c r="I758" s="40"/>
      <c r="J758" s="40"/>
      <c r="M758" s="40"/>
      <c r="N758" s="40"/>
    </row>
    <row r="759" spans="9:14" ht="15.75" customHeight="1" x14ac:dyDescent="0.25">
      <c r="I759" s="40"/>
      <c r="J759" s="40"/>
      <c r="M759" s="40"/>
      <c r="N759" s="40"/>
    </row>
    <row r="760" spans="9:14" ht="15.75" customHeight="1" x14ac:dyDescent="0.25">
      <c r="I760" s="40"/>
      <c r="J760" s="40"/>
      <c r="M760" s="40"/>
      <c r="N760" s="40"/>
    </row>
    <row r="761" spans="9:14" ht="15.75" customHeight="1" x14ac:dyDescent="0.25">
      <c r="I761" s="40"/>
      <c r="J761" s="40"/>
      <c r="M761" s="40"/>
      <c r="N761" s="40"/>
    </row>
    <row r="762" spans="9:14" ht="15.75" customHeight="1" x14ac:dyDescent="0.25">
      <c r="I762" s="40"/>
      <c r="J762" s="40"/>
      <c r="M762" s="40"/>
      <c r="N762" s="40"/>
    </row>
    <row r="763" spans="9:14" ht="15.75" customHeight="1" x14ac:dyDescent="0.25">
      <c r="I763" s="40"/>
      <c r="J763" s="40"/>
      <c r="M763" s="40"/>
      <c r="N763" s="40"/>
    </row>
    <row r="764" spans="9:14" ht="15.75" customHeight="1" x14ac:dyDescent="0.25">
      <c r="I764" s="40"/>
      <c r="J764" s="40"/>
      <c r="M764" s="40"/>
      <c r="N764" s="40"/>
    </row>
    <row r="765" spans="9:14" ht="15.75" customHeight="1" x14ac:dyDescent="0.25">
      <c r="I765" s="40"/>
      <c r="J765" s="40"/>
      <c r="M765" s="40"/>
      <c r="N765" s="40"/>
    </row>
    <row r="766" spans="9:14" ht="15.75" customHeight="1" x14ac:dyDescent="0.25">
      <c r="I766" s="40"/>
      <c r="J766" s="40"/>
      <c r="M766" s="40"/>
      <c r="N766" s="40"/>
    </row>
    <row r="767" spans="9:14" ht="15.75" customHeight="1" x14ac:dyDescent="0.25">
      <c r="I767" s="40"/>
      <c r="J767" s="40"/>
      <c r="M767" s="40"/>
      <c r="N767" s="40"/>
    </row>
    <row r="768" spans="9:14" ht="15.75" customHeight="1" x14ac:dyDescent="0.25">
      <c r="I768" s="40"/>
      <c r="J768" s="40"/>
      <c r="M768" s="40"/>
      <c r="N768" s="40"/>
    </row>
    <row r="769" spans="9:14" ht="15.75" customHeight="1" x14ac:dyDescent="0.25">
      <c r="I769" s="40"/>
      <c r="J769" s="40"/>
      <c r="M769" s="40"/>
      <c r="N769" s="40"/>
    </row>
    <row r="770" spans="9:14" ht="15.75" customHeight="1" x14ac:dyDescent="0.25">
      <c r="I770" s="40"/>
      <c r="J770" s="40"/>
      <c r="M770" s="40"/>
      <c r="N770" s="40"/>
    </row>
    <row r="771" spans="9:14" ht="15.75" customHeight="1" x14ac:dyDescent="0.25">
      <c r="I771" s="40"/>
      <c r="J771" s="40"/>
      <c r="M771" s="40"/>
      <c r="N771" s="40"/>
    </row>
    <row r="772" spans="9:14" ht="15.75" customHeight="1" x14ac:dyDescent="0.25">
      <c r="I772" s="40"/>
      <c r="J772" s="40"/>
      <c r="M772" s="40"/>
      <c r="N772" s="40"/>
    </row>
    <row r="773" spans="9:14" ht="15.75" customHeight="1" x14ac:dyDescent="0.25">
      <c r="I773" s="40"/>
      <c r="J773" s="40"/>
      <c r="M773" s="40"/>
      <c r="N773" s="40"/>
    </row>
    <row r="774" spans="9:14" ht="15.75" customHeight="1" x14ac:dyDescent="0.25">
      <c r="I774" s="40"/>
      <c r="J774" s="40"/>
      <c r="M774" s="40"/>
      <c r="N774" s="40"/>
    </row>
    <row r="775" spans="9:14" ht="15.75" customHeight="1" x14ac:dyDescent="0.25">
      <c r="I775" s="40"/>
      <c r="J775" s="40"/>
      <c r="M775" s="40"/>
      <c r="N775" s="40"/>
    </row>
    <row r="776" spans="9:14" ht="15.75" customHeight="1" x14ac:dyDescent="0.25">
      <c r="I776" s="40"/>
      <c r="J776" s="40"/>
      <c r="M776" s="40"/>
      <c r="N776" s="40"/>
    </row>
    <row r="777" spans="9:14" ht="15.75" customHeight="1" x14ac:dyDescent="0.25">
      <c r="I777" s="40"/>
      <c r="J777" s="40"/>
      <c r="M777" s="40"/>
      <c r="N777" s="40"/>
    </row>
    <row r="778" spans="9:14" ht="15.75" customHeight="1" x14ac:dyDescent="0.25">
      <c r="I778" s="40"/>
      <c r="J778" s="40"/>
      <c r="M778" s="40"/>
      <c r="N778" s="40"/>
    </row>
    <row r="779" spans="9:14" ht="15.75" customHeight="1" x14ac:dyDescent="0.25">
      <c r="I779" s="40"/>
      <c r="J779" s="40"/>
      <c r="M779" s="40"/>
      <c r="N779" s="40"/>
    </row>
    <row r="780" spans="9:14" ht="15.75" customHeight="1" x14ac:dyDescent="0.25">
      <c r="I780" s="40"/>
      <c r="J780" s="40"/>
      <c r="M780" s="40"/>
      <c r="N780" s="40"/>
    </row>
    <row r="781" spans="9:14" ht="15.75" customHeight="1" x14ac:dyDescent="0.25">
      <c r="I781" s="40"/>
      <c r="J781" s="40"/>
      <c r="M781" s="40"/>
      <c r="N781" s="40"/>
    </row>
    <row r="782" spans="9:14" ht="15.75" customHeight="1" x14ac:dyDescent="0.25">
      <c r="I782" s="40"/>
      <c r="J782" s="40"/>
      <c r="M782" s="40"/>
      <c r="N782" s="40"/>
    </row>
    <row r="783" spans="9:14" ht="15.75" customHeight="1" x14ac:dyDescent="0.25">
      <c r="I783" s="40"/>
      <c r="J783" s="40"/>
      <c r="M783" s="40"/>
      <c r="N783" s="40"/>
    </row>
    <row r="784" spans="9:14" ht="15.75" customHeight="1" x14ac:dyDescent="0.25">
      <c r="I784" s="40"/>
      <c r="J784" s="40"/>
      <c r="M784" s="40"/>
      <c r="N784" s="40"/>
    </row>
    <row r="785" spans="9:14" ht="15.75" customHeight="1" x14ac:dyDescent="0.25">
      <c r="I785" s="40"/>
      <c r="J785" s="40"/>
      <c r="M785" s="40"/>
      <c r="N785" s="40"/>
    </row>
    <row r="786" spans="9:14" ht="15.75" customHeight="1" x14ac:dyDescent="0.25">
      <c r="I786" s="40"/>
      <c r="J786" s="40"/>
      <c r="M786" s="40"/>
      <c r="N786" s="40"/>
    </row>
    <row r="787" spans="9:14" ht="15.75" customHeight="1" x14ac:dyDescent="0.25">
      <c r="I787" s="40"/>
      <c r="J787" s="40"/>
      <c r="M787" s="40"/>
      <c r="N787" s="40"/>
    </row>
    <row r="788" spans="9:14" ht="15.75" customHeight="1" x14ac:dyDescent="0.25">
      <c r="I788" s="40"/>
      <c r="J788" s="40"/>
      <c r="M788" s="40"/>
      <c r="N788" s="40"/>
    </row>
    <row r="789" spans="9:14" ht="15.75" customHeight="1" x14ac:dyDescent="0.25">
      <c r="I789" s="40"/>
      <c r="J789" s="40"/>
      <c r="M789" s="40"/>
      <c r="N789" s="40"/>
    </row>
    <row r="790" spans="9:14" ht="15.75" customHeight="1" x14ac:dyDescent="0.25">
      <c r="I790" s="40"/>
      <c r="J790" s="40"/>
      <c r="M790" s="40"/>
      <c r="N790" s="40"/>
    </row>
    <row r="791" spans="9:14" ht="15.75" customHeight="1" x14ac:dyDescent="0.25">
      <c r="I791" s="40"/>
      <c r="J791" s="40"/>
      <c r="M791" s="40"/>
      <c r="N791" s="40"/>
    </row>
    <row r="792" spans="9:14" ht="15.75" customHeight="1" x14ac:dyDescent="0.25">
      <c r="I792" s="40"/>
      <c r="J792" s="40"/>
      <c r="M792" s="40"/>
      <c r="N792" s="40"/>
    </row>
    <row r="793" spans="9:14" ht="15.75" customHeight="1" x14ac:dyDescent="0.25">
      <c r="I793" s="40"/>
      <c r="J793" s="40"/>
      <c r="M793" s="40"/>
      <c r="N793" s="40"/>
    </row>
    <row r="794" spans="9:14" ht="15.75" customHeight="1" x14ac:dyDescent="0.25">
      <c r="I794" s="40"/>
      <c r="J794" s="40"/>
      <c r="M794" s="40"/>
      <c r="N794" s="40"/>
    </row>
    <row r="795" spans="9:14" ht="15.75" customHeight="1" x14ac:dyDescent="0.25">
      <c r="I795" s="40"/>
      <c r="J795" s="40"/>
      <c r="M795" s="40"/>
      <c r="N795" s="40"/>
    </row>
    <row r="796" spans="9:14" ht="15.75" customHeight="1" x14ac:dyDescent="0.25">
      <c r="I796" s="40"/>
      <c r="J796" s="40"/>
      <c r="M796" s="40"/>
      <c r="N796" s="40"/>
    </row>
    <row r="797" spans="9:14" ht="15.75" customHeight="1" x14ac:dyDescent="0.25">
      <c r="I797" s="40"/>
      <c r="J797" s="40"/>
      <c r="M797" s="40"/>
      <c r="N797" s="40"/>
    </row>
    <row r="798" spans="9:14" ht="15.75" customHeight="1" x14ac:dyDescent="0.25">
      <c r="I798" s="40"/>
      <c r="J798" s="40"/>
      <c r="M798" s="40"/>
      <c r="N798" s="40"/>
    </row>
    <row r="799" spans="9:14" ht="15.75" customHeight="1" x14ac:dyDescent="0.25">
      <c r="I799" s="40"/>
      <c r="J799" s="40"/>
      <c r="M799" s="40"/>
      <c r="N799" s="40"/>
    </row>
    <row r="800" spans="9:14" ht="15.75" customHeight="1" x14ac:dyDescent="0.25">
      <c r="I800" s="40"/>
      <c r="J800" s="40"/>
      <c r="M800" s="40"/>
      <c r="N800" s="40"/>
    </row>
    <row r="801" spans="9:14" ht="15.75" customHeight="1" x14ac:dyDescent="0.25">
      <c r="I801" s="40"/>
      <c r="J801" s="40"/>
      <c r="M801" s="40"/>
      <c r="N801" s="40"/>
    </row>
    <row r="802" spans="9:14" ht="15.75" customHeight="1" x14ac:dyDescent="0.25">
      <c r="I802" s="40"/>
      <c r="J802" s="40"/>
      <c r="M802" s="40"/>
      <c r="N802" s="40"/>
    </row>
    <row r="803" spans="9:14" ht="15.75" customHeight="1" x14ac:dyDescent="0.25">
      <c r="I803" s="40"/>
      <c r="J803" s="40"/>
      <c r="M803" s="40"/>
      <c r="N803" s="40"/>
    </row>
    <row r="804" spans="9:14" ht="15.75" customHeight="1" x14ac:dyDescent="0.25">
      <c r="I804" s="40"/>
      <c r="J804" s="40"/>
      <c r="M804" s="40"/>
      <c r="N804" s="40"/>
    </row>
    <row r="805" spans="9:14" ht="15.75" customHeight="1" x14ac:dyDescent="0.25">
      <c r="I805" s="40"/>
      <c r="J805" s="40"/>
      <c r="M805" s="40"/>
      <c r="N805" s="40"/>
    </row>
    <row r="806" spans="9:14" ht="15.75" customHeight="1" x14ac:dyDescent="0.25">
      <c r="I806" s="40"/>
      <c r="J806" s="40"/>
      <c r="M806" s="40"/>
      <c r="N806" s="40"/>
    </row>
    <row r="807" spans="9:14" ht="15.75" customHeight="1" x14ac:dyDescent="0.25">
      <c r="I807" s="40"/>
      <c r="J807" s="40"/>
      <c r="M807" s="40"/>
      <c r="N807" s="40"/>
    </row>
    <row r="808" spans="9:14" ht="15.75" customHeight="1" x14ac:dyDescent="0.25">
      <c r="I808" s="40"/>
      <c r="J808" s="40"/>
      <c r="M808" s="40"/>
      <c r="N808" s="40"/>
    </row>
    <row r="809" spans="9:14" ht="15.75" customHeight="1" x14ac:dyDescent="0.25">
      <c r="I809" s="40"/>
      <c r="J809" s="40"/>
      <c r="M809" s="40"/>
      <c r="N809" s="40"/>
    </row>
    <row r="810" spans="9:14" ht="15.75" customHeight="1" x14ac:dyDescent="0.25">
      <c r="I810" s="40"/>
      <c r="J810" s="40"/>
      <c r="M810" s="40"/>
      <c r="N810" s="40"/>
    </row>
    <row r="811" spans="9:14" ht="15.75" customHeight="1" x14ac:dyDescent="0.25">
      <c r="I811" s="40"/>
      <c r="J811" s="40"/>
      <c r="M811" s="40"/>
      <c r="N811" s="40"/>
    </row>
    <row r="812" spans="9:14" ht="15.75" customHeight="1" x14ac:dyDescent="0.25">
      <c r="I812" s="40"/>
      <c r="J812" s="40"/>
      <c r="M812" s="40"/>
      <c r="N812" s="40"/>
    </row>
    <row r="813" spans="9:14" ht="15.75" customHeight="1" x14ac:dyDescent="0.25">
      <c r="I813" s="40"/>
      <c r="J813" s="40"/>
      <c r="M813" s="40"/>
      <c r="N813" s="40"/>
    </row>
    <row r="814" spans="9:14" ht="15.75" customHeight="1" x14ac:dyDescent="0.25">
      <c r="I814" s="40"/>
      <c r="J814" s="40"/>
      <c r="M814" s="40"/>
      <c r="N814" s="40"/>
    </row>
    <row r="815" spans="9:14" ht="15.75" customHeight="1" x14ac:dyDescent="0.25">
      <c r="I815" s="40"/>
      <c r="J815" s="40"/>
      <c r="M815" s="40"/>
      <c r="N815" s="40"/>
    </row>
    <row r="816" spans="9:14" ht="15.75" customHeight="1" x14ac:dyDescent="0.25">
      <c r="I816" s="40"/>
      <c r="J816" s="40"/>
      <c r="M816" s="40"/>
      <c r="N816" s="40"/>
    </row>
    <row r="817" spans="9:14" ht="15.75" customHeight="1" x14ac:dyDescent="0.25">
      <c r="I817" s="40"/>
      <c r="J817" s="40"/>
      <c r="M817" s="40"/>
      <c r="N817" s="40"/>
    </row>
    <row r="818" spans="9:14" ht="15.75" customHeight="1" x14ac:dyDescent="0.25">
      <c r="I818" s="40"/>
      <c r="J818" s="40"/>
      <c r="M818" s="40"/>
      <c r="N818" s="40"/>
    </row>
    <row r="819" spans="9:14" ht="15.75" customHeight="1" x14ac:dyDescent="0.25">
      <c r="I819" s="40"/>
      <c r="J819" s="40"/>
      <c r="M819" s="40"/>
      <c r="N819" s="40"/>
    </row>
    <row r="820" spans="9:14" ht="15.75" customHeight="1" x14ac:dyDescent="0.25">
      <c r="I820" s="40"/>
      <c r="J820" s="40"/>
      <c r="M820" s="40"/>
      <c r="N820" s="40"/>
    </row>
    <row r="821" spans="9:14" ht="15.75" customHeight="1" x14ac:dyDescent="0.25">
      <c r="I821" s="40"/>
      <c r="J821" s="40"/>
      <c r="M821" s="40"/>
      <c r="N821" s="40"/>
    </row>
    <row r="822" spans="9:14" ht="15.75" customHeight="1" x14ac:dyDescent="0.25">
      <c r="I822" s="40"/>
      <c r="J822" s="40"/>
      <c r="M822" s="40"/>
      <c r="N822" s="40"/>
    </row>
    <row r="823" spans="9:14" ht="15.75" customHeight="1" x14ac:dyDescent="0.25">
      <c r="I823" s="40"/>
      <c r="J823" s="40"/>
      <c r="M823" s="40"/>
      <c r="N823" s="40"/>
    </row>
    <row r="824" spans="9:14" ht="15.75" customHeight="1" x14ac:dyDescent="0.25">
      <c r="I824" s="40"/>
      <c r="J824" s="40"/>
      <c r="M824" s="40"/>
      <c r="N824" s="40"/>
    </row>
    <row r="825" spans="9:14" ht="15.75" customHeight="1" x14ac:dyDescent="0.25">
      <c r="I825" s="40"/>
      <c r="J825" s="40"/>
      <c r="M825" s="40"/>
      <c r="N825" s="40"/>
    </row>
    <row r="826" spans="9:14" ht="15.75" customHeight="1" x14ac:dyDescent="0.25">
      <c r="I826" s="40"/>
      <c r="J826" s="40"/>
      <c r="M826" s="40"/>
      <c r="N826" s="40"/>
    </row>
    <row r="827" spans="9:14" ht="15.75" customHeight="1" x14ac:dyDescent="0.25">
      <c r="I827" s="40"/>
      <c r="J827" s="40"/>
      <c r="M827" s="40"/>
      <c r="N827" s="40"/>
    </row>
    <row r="828" spans="9:14" ht="15.75" customHeight="1" x14ac:dyDescent="0.25">
      <c r="I828" s="40"/>
      <c r="J828" s="40"/>
      <c r="M828" s="40"/>
      <c r="N828" s="40"/>
    </row>
    <row r="829" spans="9:14" ht="15.75" customHeight="1" x14ac:dyDescent="0.25">
      <c r="I829" s="40"/>
      <c r="J829" s="40"/>
      <c r="M829" s="40"/>
      <c r="N829" s="40"/>
    </row>
    <row r="830" spans="9:14" ht="15.75" customHeight="1" x14ac:dyDescent="0.25">
      <c r="I830" s="40"/>
      <c r="J830" s="40"/>
      <c r="M830" s="40"/>
      <c r="N830" s="40"/>
    </row>
    <row r="831" spans="9:14" ht="15.75" customHeight="1" x14ac:dyDescent="0.25">
      <c r="I831" s="40"/>
      <c r="J831" s="40"/>
      <c r="M831" s="40"/>
      <c r="N831" s="40"/>
    </row>
    <row r="832" spans="9:14" ht="15.75" customHeight="1" x14ac:dyDescent="0.25">
      <c r="I832" s="40"/>
      <c r="J832" s="40"/>
      <c r="M832" s="40"/>
      <c r="N832" s="40"/>
    </row>
    <row r="833" spans="9:14" ht="15.75" customHeight="1" x14ac:dyDescent="0.25">
      <c r="I833" s="40"/>
      <c r="J833" s="40"/>
      <c r="M833" s="40"/>
      <c r="N833" s="40"/>
    </row>
    <row r="834" spans="9:14" ht="15.75" customHeight="1" x14ac:dyDescent="0.25">
      <c r="I834" s="40"/>
      <c r="J834" s="40"/>
      <c r="M834" s="40"/>
      <c r="N834" s="40"/>
    </row>
    <row r="835" spans="9:14" ht="15.75" customHeight="1" x14ac:dyDescent="0.25">
      <c r="I835" s="40"/>
      <c r="J835" s="40"/>
      <c r="M835" s="40"/>
      <c r="N835" s="40"/>
    </row>
    <row r="836" spans="9:14" ht="15.75" customHeight="1" x14ac:dyDescent="0.25">
      <c r="I836" s="40"/>
      <c r="J836" s="40"/>
      <c r="M836" s="40"/>
      <c r="N836" s="40"/>
    </row>
    <row r="837" spans="9:14" ht="15.75" customHeight="1" x14ac:dyDescent="0.25">
      <c r="I837" s="40"/>
      <c r="J837" s="40"/>
      <c r="M837" s="40"/>
      <c r="N837" s="40"/>
    </row>
    <row r="838" spans="9:14" ht="15.75" customHeight="1" x14ac:dyDescent="0.25">
      <c r="I838" s="40"/>
      <c r="J838" s="40"/>
      <c r="M838" s="40"/>
      <c r="N838" s="40"/>
    </row>
    <row r="839" spans="9:14" ht="15.75" customHeight="1" x14ac:dyDescent="0.25">
      <c r="I839" s="40"/>
      <c r="J839" s="40"/>
      <c r="M839" s="40"/>
      <c r="N839" s="40"/>
    </row>
    <row r="840" spans="9:14" ht="15.75" customHeight="1" x14ac:dyDescent="0.25">
      <c r="I840" s="40"/>
      <c r="J840" s="40"/>
      <c r="M840" s="40"/>
      <c r="N840" s="40"/>
    </row>
    <row r="841" spans="9:14" ht="15.75" customHeight="1" x14ac:dyDescent="0.25">
      <c r="I841" s="40"/>
      <c r="J841" s="40"/>
      <c r="M841" s="40"/>
      <c r="N841" s="40"/>
    </row>
    <row r="842" spans="9:14" ht="15.75" customHeight="1" x14ac:dyDescent="0.25">
      <c r="I842" s="40"/>
      <c r="J842" s="40"/>
      <c r="M842" s="40"/>
      <c r="N842" s="40"/>
    </row>
    <row r="843" spans="9:14" ht="15.75" customHeight="1" x14ac:dyDescent="0.25">
      <c r="I843" s="40"/>
      <c r="J843" s="40"/>
      <c r="M843" s="40"/>
      <c r="N843" s="40"/>
    </row>
    <row r="844" spans="9:14" ht="15.75" customHeight="1" x14ac:dyDescent="0.25">
      <c r="I844" s="40"/>
      <c r="J844" s="40"/>
      <c r="M844" s="40"/>
      <c r="N844" s="40"/>
    </row>
    <row r="845" spans="9:14" ht="15.75" customHeight="1" x14ac:dyDescent="0.25">
      <c r="I845" s="40"/>
      <c r="J845" s="40"/>
      <c r="M845" s="40"/>
      <c r="N845" s="40"/>
    </row>
    <row r="846" spans="9:14" ht="15.75" customHeight="1" x14ac:dyDescent="0.25">
      <c r="I846" s="40"/>
      <c r="J846" s="40"/>
      <c r="M846" s="40"/>
      <c r="N846" s="40"/>
    </row>
    <row r="847" spans="9:14" ht="15.75" customHeight="1" x14ac:dyDescent="0.25">
      <c r="I847" s="40"/>
      <c r="J847" s="40"/>
      <c r="M847" s="40"/>
      <c r="N847" s="40"/>
    </row>
    <row r="848" spans="9:14" ht="15.75" customHeight="1" x14ac:dyDescent="0.25">
      <c r="I848" s="40"/>
      <c r="J848" s="40"/>
      <c r="M848" s="40"/>
      <c r="N848" s="40"/>
    </row>
    <row r="849" spans="9:14" ht="15.75" customHeight="1" x14ac:dyDescent="0.25">
      <c r="I849" s="40"/>
      <c r="J849" s="40"/>
      <c r="M849" s="40"/>
      <c r="N849" s="40"/>
    </row>
    <row r="850" spans="9:14" ht="15.75" customHeight="1" x14ac:dyDescent="0.25">
      <c r="I850" s="40"/>
      <c r="J850" s="40"/>
      <c r="M850" s="40"/>
      <c r="N850" s="40"/>
    </row>
    <row r="851" spans="9:14" ht="15.75" customHeight="1" x14ac:dyDescent="0.25">
      <c r="I851" s="40"/>
      <c r="J851" s="40"/>
      <c r="M851" s="40"/>
      <c r="N851" s="40"/>
    </row>
    <row r="852" spans="9:14" ht="15.75" customHeight="1" x14ac:dyDescent="0.25">
      <c r="I852" s="40"/>
      <c r="J852" s="40"/>
      <c r="M852" s="40"/>
      <c r="N852" s="40"/>
    </row>
    <row r="853" spans="9:14" ht="15.75" customHeight="1" x14ac:dyDescent="0.25">
      <c r="I853" s="40"/>
      <c r="J853" s="40"/>
      <c r="M853" s="40"/>
      <c r="N853" s="40"/>
    </row>
    <row r="854" spans="9:14" ht="15.75" customHeight="1" x14ac:dyDescent="0.25">
      <c r="I854" s="40"/>
      <c r="J854" s="40"/>
      <c r="M854" s="40"/>
      <c r="N854" s="40"/>
    </row>
    <row r="855" spans="9:14" ht="15.75" customHeight="1" x14ac:dyDescent="0.25">
      <c r="I855" s="40"/>
      <c r="J855" s="40"/>
      <c r="M855" s="40"/>
      <c r="N855" s="40"/>
    </row>
    <row r="856" spans="9:14" ht="15.75" customHeight="1" x14ac:dyDescent="0.25">
      <c r="I856" s="40"/>
      <c r="J856" s="40"/>
      <c r="M856" s="40"/>
      <c r="N856" s="40"/>
    </row>
    <row r="857" spans="9:14" ht="15.75" customHeight="1" x14ac:dyDescent="0.25">
      <c r="I857" s="40"/>
      <c r="J857" s="40"/>
      <c r="M857" s="40"/>
      <c r="N857" s="40"/>
    </row>
    <row r="858" spans="9:14" ht="15.75" customHeight="1" x14ac:dyDescent="0.25">
      <c r="I858" s="40"/>
      <c r="J858" s="40"/>
      <c r="M858" s="40"/>
      <c r="N858" s="40"/>
    </row>
    <row r="859" spans="9:14" ht="15.75" customHeight="1" x14ac:dyDescent="0.25">
      <c r="I859" s="40"/>
      <c r="J859" s="40"/>
      <c r="M859" s="40"/>
      <c r="N859" s="40"/>
    </row>
    <row r="860" spans="9:14" ht="15.75" customHeight="1" x14ac:dyDescent="0.25">
      <c r="I860" s="40"/>
      <c r="J860" s="40"/>
      <c r="M860" s="40"/>
      <c r="N860" s="40"/>
    </row>
    <row r="861" spans="9:14" ht="15.75" customHeight="1" x14ac:dyDescent="0.25">
      <c r="I861" s="40"/>
      <c r="J861" s="40"/>
      <c r="M861" s="40"/>
      <c r="N861" s="40"/>
    </row>
    <row r="862" spans="9:14" ht="15.75" customHeight="1" x14ac:dyDescent="0.25">
      <c r="I862" s="40"/>
      <c r="J862" s="40"/>
      <c r="M862" s="40"/>
      <c r="N862" s="40"/>
    </row>
    <row r="863" spans="9:14" ht="15.75" customHeight="1" x14ac:dyDescent="0.25">
      <c r="I863" s="40"/>
      <c r="J863" s="40"/>
      <c r="M863" s="40"/>
      <c r="N863" s="40"/>
    </row>
    <row r="864" spans="9:14" ht="15.75" customHeight="1" x14ac:dyDescent="0.25">
      <c r="I864" s="40"/>
      <c r="J864" s="40"/>
      <c r="M864" s="40"/>
      <c r="N864" s="40"/>
    </row>
    <row r="865" spans="9:14" ht="15.75" customHeight="1" x14ac:dyDescent="0.25">
      <c r="I865" s="40"/>
      <c r="J865" s="40"/>
      <c r="M865" s="40"/>
      <c r="N865" s="40"/>
    </row>
    <row r="866" spans="9:14" ht="15.75" customHeight="1" x14ac:dyDescent="0.25">
      <c r="I866" s="40"/>
      <c r="J866" s="40"/>
      <c r="M866" s="40"/>
      <c r="N866" s="40"/>
    </row>
    <row r="867" spans="9:14" ht="15.75" customHeight="1" x14ac:dyDescent="0.25">
      <c r="I867" s="40"/>
      <c r="J867" s="40"/>
      <c r="M867" s="40"/>
      <c r="N867" s="40"/>
    </row>
    <row r="868" spans="9:14" ht="15.75" customHeight="1" x14ac:dyDescent="0.25">
      <c r="I868" s="40"/>
      <c r="J868" s="40"/>
      <c r="M868" s="40"/>
      <c r="N868" s="40"/>
    </row>
    <row r="869" spans="9:14" ht="15.75" customHeight="1" x14ac:dyDescent="0.25">
      <c r="I869" s="40"/>
      <c r="J869" s="40"/>
      <c r="M869" s="40"/>
      <c r="N869" s="40"/>
    </row>
    <row r="870" spans="9:14" ht="15.75" customHeight="1" x14ac:dyDescent="0.25">
      <c r="I870" s="40"/>
      <c r="J870" s="40"/>
      <c r="M870" s="40"/>
      <c r="N870" s="40"/>
    </row>
    <row r="871" spans="9:14" ht="15.75" customHeight="1" x14ac:dyDescent="0.25">
      <c r="I871" s="40"/>
      <c r="J871" s="40"/>
      <c r="M871" s="40"/>
      <c r="N871" s="40"/>
    </row>
    <row r="872" spans="9:14" ht="15.75" customHeight="1" x14ac:dyDescent="0.25">
      <c r="I872" s="40"/>
      <c r="J872" s="40"/>
      <c r="M872" s="40"/>
      <c r="N872" s="40"/>
    </row>
    <row r="873" spans="9:14" ht="15.75" customHeight="1" x14ac:dyDescent="0.25">
      <c r="I873" s="40"/>
      <c r="J873" s="40"/>
      <c r="M873" s="40"/>
      <c r="N873" s="40"/>
    </row>
    <row r="874" spans="9:14" ht="15.75" customHeight="1" x14ac:dyDescent="0.25">
      <c r="I874" s="40"/>
      <c r="J874" s="40"/>
      <c r="M874" s="40"/>
      <c r="N874" s="40"/>
    </row>
    <row r="875" spans="9:14" ht="15.75" customHeight="1" x14ac:dyDescent="0.25">
      <c r="I875" s="40"/>
      <c r="J875" s="40"/>
      <c r="M875" s="40"/>
      <c r="N875" s="40"/>
    </row>
    <row r="876" spans="9:14" ht="15.75" customHeight="1" x14ac:dyDescent="0.25">
      <c r="I876" s="40"/>
      <c r="J876" s="40"/>
      <c r="M876" s="40"/>
      <c r="N876" s="40"/>
    </row>
    <row r="877" spans="9:14" ht="15.75" customHeight="1" x14ac:dyDescent="0.25">
      <c r="I877" s="40"/>
      <c r="J877" s="40"/>
      <c r="M877" s="40"/>
      <c r="N877" s="40"/>
    </row>
    <row r="878" spans="9:14" ht="15.75" customHeight="1" x14ac:dyDescent="0.25">
      <c r="I878" s="40"/>
      <c r="J878" s="40"/>
      <c r="M878" s="40"/>
      <c r="N878" s="40"/>
    </row>
    <row r="879" spans="9:14" ht="15.75" customHeight="1" x14ac:dyDescent="0.25">
      <c r="I879" s="40"/>
      <c r="J879" s="40"/>
      <c r="M879" s="40"/>
      <c r="N879" s="40"/>
    </row>
    <row r="880" spans="9:14" ht="15.75" customHeight="1" x14ac:dyDescent="0.25">
      <c r="I880" s="40"/>
      <c r="J880" s="40"/>
      <c r="M880" s="40"/>
      <c r="N880" s="40"/>
    </row>
    <row r="881" spans="9:14" ht="15.75" customHeight="1" x14ac:dyDescent="0.25">
      <c r="I881" s="40"/>
      <c r="J881" s="40"/>
      <c r="M881" s="40"/>
      <c r="N881" s="40"/>
    </row>
    <row r="882" spans="9:14" ht="15.75" customHeight="1" x14ac:dyDescent="0.25">
      <c r="I882" s="40"/>
      <c r="J882" s="40"/>
      <c r="M882" s="40"/>
      <c r="N882" s="40"/>
    </row>
    <row r="883" spans="9:14" ht="15.75" customHeight="1" x14ac:dyDescent="0.25">
      <c r="I883" s="40"/>
      <c r="J883" s="40"/>
      <c r="M883" s="40"/>
      <c r="N883" s="40"/>
    </row>
    <row r="884" spans="9:14" ht="15.75" customHeight="1" x14ac:dyDescent="0.25">
      <c r="I884" s="40"/>
      <c r="J884" s="40"/>
      <c r="M884" s="40"/>
      <c r="N884" s="40"/>
    </row>
    <row r="885" spans="9:14" ht="15.75" customHeight="1" x14ac:dyDescent="0.25">
      <c r="I885" s="40"/>
      <c r="J885" s="40"/>
      <c r="M885" s="40"/>
      <c r="N885" s="40"/>
    </row>
    <row r="886" spans="9:14" ht="15.75" customHeight="1" x14ac:dyDescent="0.25">
      <c r="I886" s="40"/>
      <c r="J886" s="40"/>
      <c r="M886" s="40"/>
      <c r="N886" s="40"/>
    </row>
    <row r="887" spans="9:14" ht="15.75" customHeight="1" x14ac:dyDescent="0.25">
      <c r="I887" s="40"/>
      <c r="J887" s="40"/>
      <c r="M887" s="40"/>
      <c r="N887" s="40"/>
    </row>
    <row r="888" spans="9:14" ht="15.75" customHeight="1" x14ac:dyDescent="0.25">
      <c r="I888" s="40"/>
      <c r="J888" s="40"/>
      <c r="M888" s="40"/>
      <c r="N888" s="40"/>
    </row>
    <row r="889" spans="9:14" ht="15.75" customHeight="1" x14ac:dyDescent="0.25">
      <c r="I889" s="40"/>
      <c r="J889" s="40"/>
      <c r="M889" s="40"/>
      <c r="N889" s="40"/>
    </row>
    <row r="890" spans="9:14" ht="15.75" customHeight="1" x14ac:dyDescent="0.25">
      <c r="I890" s="40"/>
      <c r="J890" s="40"/>
      <c r="M890" s="40"/>
      <c r="N890" s="40"/>
    </row>
    <row r="891" spans="9:14" ht="15.75" customHeight="1" x14ac:dyDescent="0.25">
      <c r="I891" s="40"/>
      <c r="J891" s="40"/>
      <c r="M891" s="40"/>
      <c r="N891" s="40"/>
    </row>
    <row r="892" spans="9:14" ht="15.75" customHeight="1" x14ac:dyDescent="0.25">
      <c r="I892" s="40"/>
      <c r="J892" s="40"/>
      <c r="M892" s="40"/>
      <c r="N892" s="40"/>
    </row>
    <row r="893" spans="9:14" ht="15.75" customHeight="1" x14ac:dyDescent="0.25">
      <c r="I893" s="40"/>
      <c r="J893" s="40"/>
      <c r="M893" s="40"/>
      <c r="N893" s="40"/>
    </row>
    <row r="894" spans="9:14" ht="15.75" customHeight="1" x14ac:dyDescent="0.25">
      <c r="I894" s="40"/>
      <c r="J894" s="40"/>
      <c r="M894" s="40"/>
      <c r="N894" s="40"/>
    </row>
    <row r="895" spans="9:14" ht="15.75" customHeight="1" x14ac:dyDescent="0.25">
      <c r="I895" s="40"/>
      <c r="J895" s="40"/>
      <c r="M895" s="40"/>
      <c r="N895" s="40"/>
    </row>
    <row r="896" spans="9:14" ht="15.75" customHeight="1" x14ac:dyDescent="0.25">
      <c r="I896" s="40"/>
      <c r="J896" s="40"/>
      <c r="M896" s="40"/>
      <c r="N896" s="40"/>
    </row>
    <row r="897" spans="9:14" ht="15.75" customHeight="1" x14ac:dyDescent="0.25">
      <c r="I897" s="40"/>
      <c r="J897" s="40"/>
      <c r="M897" s="40"/>
      <c r="N897" s="40"/>
    </row>
    <row r="898" spans="9:14" ht="15.75" customHeight="1" x14ac:dyDescent="0.25">
      <c r="I898" s="40"/>
      <c r="J898" s="40"/>
      <c r="M898" s="40"/>
      <c r="N898" s="40"/>
    </row>
    <row r="899" spans="9:14" ht="15.75" customHeight="1" x14ac:dyDescent="0.25">
      <c r="I899" s="40"/>
      <c r="J899" s="40"/>
      <c r="M899" s="40"/>
      <c r="N899" s="40"/>
    </row>
    <row r="900" spans="9:14" ht="15.75" customHeight="1" x14ac:dyDescent="0.25">
      <c r="I900" s="40"/>
      <c r="J900" s="40"/>
      <c r="M900" s="40"/>
      <c r="N900" s="40"/>
    </row>
    <row r="901" spans="9:14" ht="15.75" customHeight="1" x14ac:dyDescent="0.25">
      <c r="I901" s="40"/>
      <c r="J901" s="40"/>
      <c r="M901" s="40"/>
      <c r="N901" s="40"/>
    </row>
    <row r="902" spans="9:14" ht="15.75" customHeight="1" x14ac:dyDescent="0.25">
      <c r="I902" s="40"/>
      <c r="J902" s="40"/>
      <c r="M902" s="40"/>
      <c r="N902" s="40"/>
    </row>
    <row r="903" spans="9:14" ht="15.75" customHeight="1" x14ac:dyDescent="0.25">
      <c r="I903" s="40"/>
      <c r="J903" s="40"/>
      <c r="M903" s="40"/>
      <c r="N903" s="40"/>
    </row>
    <row r="904" spans="9:14" ht="15.75" customHeight="1" x14ac:dyDescent="0.25">
      <c r="I904" s="40"/>
      <c r="J904" s="40"/>
      <c r="M904" s="40"/>
      <c r="N904" s="40"/>
    </row>
    <row r="905" spans="9:14" ht="15.75" customHeight="1" x14ac:dyDescent="0.25">
      <c r="I905" s="40"/>
      <c r="J905" s="40"/>
      <c r="M905" s="40"/>
      <c r="N905" s="40"/>
    </row>
    <row r="906" spans="9:14" ht="15.75" customHeight="1" x14ac:dyDescent="0.25">
      <c r="I906" s="40"/>
      <c r="J906" s="40"/>
      <c r="M906" s="40"/>
      <c r="N906" s="40"/>
    </row>
    <row r="907" spans="9:14" ht="15.75" customHeight="1" x14ac:dyDescent="0.25">
      <c r="I907" s="40"/>
      <c r="J907" s="40"/>
      <c r="M907" s="40"/>
      <c r="N907" s="40"/>
    </row>
    <row r="908" spans="9:14" ht="15.75" customHeight="1" x14ac:dyDescent="0.25">
      <c r="I908" s="40"/>
      <c r="J908" s="40"/>
      <c r="M908" s="40"/>
      <c r="N908" s="40"/>
    </row>
    <row r="909" spans="9:14" ht="15.75" customHeight="1" x14ac:dyDescent="0.25">
      <c r="I909" s="40"/>
      <c r="J909" s="40"/>
      <c r="M909" s="40"/>
      <c r="N909" s="40"/>
    </row>
    <row r="910" spans="9:14" ht="15.75" customHeight="1" x14ac:dyDescent="0.25">
      <c r="I910" s="40"/>
      <c r="J910" s="40"/>
      <c r="M910" s="40"/>
      <c r="N910" s="40"/>
    </row>
    <row r="911" spans="9:14" ht="15.75" customHeight="1" x14ac:dyDescent="0.25">
      <c r="I911" s="40"/>
      <c r="J911" s="40"/>
      <c r="M911" s="40"/>
      <c r="N911" s="40"/>
    </row>
    <row r="912" spans="9:14" ht="15.75" customHeight="1" x14ac:dyDescent="0.25">
      <c r="I912" s="40"/>
      <c r="J912" s="40"/>
      <c r="M912" s="40"/>
      <c r="N912" s="40"/>
    </row>
    <row r="913" spans="9:14" ht="15.75" customHeight="1" x14ac:dyDescent="0.25">
      <c r="I913" s="40"/>
      <c r="J913" s="40"/>
      <c r="M913" s="40"/>
      <c r="N913" s="40"/>
    </row>
    <row r="914" spans="9:14" ht="15.75" customHeight="1" x14ac:dyDescent="0.25">
      <c r="I914" s="40"/>
      <c r="J914" s="40"/>
      <c r="M914" s="40"/>
      <c r="N914" s="40"/>
    </row>
    <row r="915" spans="9:14" ht="15.75" customHeight="1" x14ac:dyDescent="0.25">
      <c r="I915" s="40"/>
      <c r="J915" s="40"/>
      <c r="M915" s="40"/>
      <c r="N915" s="40"/>
    </row>
    <row r="916" spans="9:14" ht="15.75" customHeight="1" x14ac:dyDescent="0.25">
      <c r="I916" s="40"/>
      <c r="J916" s="40"/>
      <c r="M916" s="40"/>
      <c r="N916" s="40"/>
    </row>
    <row r="917" spans="9:14" ht="15.75" customHeight="1" x14ac:dyDescent="0.25">
      <c r="I917" s="40"/>
      <c r="J917" s="40"/>
      <c r="M917" s="40"/>
      <c r="N917" s="40"/>
    </row>
    <row r="918" spans="9:14" ht="15.75" customHeight="1" x14ac:dyDescent="0.25">
      <c r="I918" s="40"/>
      <c r="J918" s="40"/>
      <c r="M918" s="40"/>
      <c r="N918" s="40"/>
    </row>
    <row r="919" spans="9:14" ht="15.75" customHeight="1" x14ac:dyDescent="0.25">
      <c r="I919" s="40"/>
      <c r="J919" s="40"/>
      <c r="M919" s="40"/>
      <c r="N919" s="40"/>
    </row>
    <row r="920" spans="9:14" ht="15.75" customHeight="1" x14ac:dyDescent="0.25">
      <c r="I920" s="40"/>
      <c r="J920" s="40"/>
      <c r="M920" s="40"/>
      <c r="N920" s="40"/>
    </row>
    <row r="921" spans="9:14" ht="15.75" customHeight="1" x14ac:dyDescent="0.25">
      <c r="I921" s="40"/>
      <c r="J921" s="40"/>
      <c r="M921" s="40"/>
      <c r="N921" s="40"/>
    </row>
    <row r="922" spans="9:14" ht="15.75" customHeight="1" x14ac:dyDescent="0.25">
      <c r="I922" s="40"/>
      <c r="J922" s="40"/>
      <c r="M922" s="40"/>
      <c r="N922" s="40"/>
    </row>
    <row r="923" spans="9:14" ht="15.75" customHeight="1" x14ac:dyDescent="0.25">
      <c r="I923" s="40"/>
      <c r="J923" s="40"/>
      <c r="M923" s="40"/>
      <c r="N923" s="40"/>
    </row>
    <row r="924" spans="9:14" ht="15.75" customHeight="1" x14ac:dyDescent="0.25">
      <c r="I924" s="40"/>
      <c r="J924" s="40"/>
      <c r="M924" s="40"/>
      <c r="N924" s="40"/>
    </row>
    <row r="925" spans="9:14" ht="15.75" customHeight="1" x14ac:dyDescent="0.25">
      <c r="I925" s="40"/>
      <c r="J925" s="40"/>
      <c r="M925" s="40"/>
      <c r="N925" s="40"/>
    </row>
    <row r="926" spans="9:14" ht="15.75" customHeight="1" x14ac:dyDescent="0.25">
      <c r="I926" s="40"/>
      <c r="J926" s="40"/>
      <c r="M926" s="40"/>
      <c r="N926" s="40"/>
    </row>
    <row r="927" spans="9:14" ht="15.75" customHeight="1" x14ac:dyDescent="0.25">
      <c r="I927" s="40"/>
      <c r="J927" s="40"/>
      <c r="M927" s="40"/>
      <c r="N927" s="40"/>
    </row>
    <row r="928" spans="9:14" ht="15.75" customHeight="1" x14ac:dyDescent="0.25">
      <c r="I928" s="40"/>
      <c r="J928" s="40"/>
      <c r="M928" s="40"/>
      <c r="N928" s="40"/>
    </row>
    <row r="929" spans="9:14" ht="15.75" customHeight="1" x14ac:dyDescent="0.25">
      <c r="I929" s="40"/>
      <c r="J929" s="40"/>
      <c r="M929" s="40"/>
      <c r="N929" s="40"/>
    </row>
    <row r="930" spans="9:14" ht="15.75" customHeight="1" x14ac:dyDescent="0.25">
      <c r="I930" s="40"/>
      <c r="J930" s="40"/>
      <c r="M930" s="40"/>
      <c r="N930" s="40"/>
    </row>
    <row r="931" spans="9:14" ht="15.75" customHeight="1" x14ac:dyDescent="0.25">
      <c r="I931" s="40"/>
      <c r="J931" s="40"/>
      <c r="M931" s="40"/>
      <c r="N931" s="40"/>
    </row>
    <row r="932" spans="9:14" ht="15.75" customHeight="1" x14ac:dyDescent="0.25">
      <c r="I932" s="40"/>
      <c r="J932" s="40"/>
      <c r="M932" s="40"/>
      <c r="N932" s="40"/>
    </row>
    <row r="933" spans="9:14" ht="15.75" customHeight="1" x14ac:dyDescent="0.25">
      <c r="I933" s="40"/>
      <c r="J933" s="40"/>
      <c r="M933" s="40"/>
      <c r="N933" s="40"/>
    </row>
    <row r="934" spans="9:14" ht="15.75" customHeight="1" x14ac:dyDescent="0.25">
      <c r="I934" s="40"/>
      <c r="J934" s="40"/>
      <c r="M934" s="40"/>
      <c r="N934" s="40"/>
    </row>
    <row r="935" spans="9:14" ht="15.75" customHeight="1" x14ac:dyDescent="0.25">
      <c r="I935" s="40"/>
      <c r="J935" s="40"/>
      <c r="M935" s="40"/>
      <c r="N935" s="40"/>
    </row>
    <row r="936" spans="9:14" ht="15.75" customHeight="1" x14ac:dyDescent="0.25">
      <c r="I936" s="40"/>
      <c r="J936" s="40"/>
      <c r="M936" s="40"/>
      <c r="N936" s="40"/>
    </row>
    <row r="937" spans="9:14" ht="15.75" customHeight="1" x14ac:dyDescent="0.25">
      <c r="I937" s="40"/>
      <c r="J937" s="40"/>
      <c r="M937" s="40"/>
      <c r="N937" s="40"/>
    </row>
    <row r="938" spans="9:14" ht="15.75" customHeight="1" x14ac:dyDescent="0.25">
      <c r="I938" s="40"/>
      <c r="J938" s="40"/>
      <c r="M938" s="40"/>
      <c r="N938" s="40"/>
    </row>
    <row r="939" spans="9:14" ht="15.75" customHeight="1" x14ac:dyDescent="0.25">
      <c r="I939" s="40"/>
      <c r="J939" s="40"/>
      <c r="M939" s="40"/>
      <c r="N939" s="40"/>
    </row>
    <row r="940" spans="9:14" ht="15.75" customHeight="1" x14ac:dyDescent="0.25">
      <c r="I940" s="40"/>
      <c r="J940" s="40"/>
      <c r="M940" s="40"/>
      <c r="N940" s="40"/>
    </row>
    <row r="941" spans="9:14" ht="15.75" customHeight="1" x14ac:dyDescent="0.25">
      <c r="I941" s="40"/>
      <c r="J941" s="40"/>
      <c r="M941" s="40"/>
      <c r="N941" s="40"/>
    </row>
    <row r="942" spans="9:14" ht="15.75" customHeight="1" x14ac:dyDescent="0.25">
      <c r="I942" s="40"/>
      <c r="J942" s="40"/>
      <c r="M942" s="40"/>
      <c r="N942" s="40"/>
    </row>
    <row r="943" spans="9:14" ht="15.75" customHeight="1" x14ac:dyDescent="0.25">
      <c r="I943" s="40"/>
      <c r="J943" s="40"/>
      <c r="M943" s="40"/>
      <c r="N943" s="40"/>
    </row>
    <row r="944" spans="9:14" ht="15.75" customHeight="1" x14ac:dyDescent="0.25">
      <c r="I944" s="40"/>
      <c r="J944" s="40"/>
      <c r="M944" s="40"/>
      <c r="N944" s="40"/>
    </row>
    <row r="945" spans="9:14" ht="15.75" customHeight="1" x14ac:dyDescent="0.25">
      <c r="I945" s="40"/>
      <c r="J945" s="40"/>
      <c r="M945" s="40"/>
      <c r="N945" s="40"/>
    </row>
    <row r="946" spans="9:14" ht="15.75" customHeight="1" x14ac:dyDescent="0.25">
      <c r="I946" s="40"/>
      <c r="J946" s="40"/>
      <c r="M946" s="40"/>
      <c r="N946" s="40"/>
    </row>
    <row r="947" spans="9:14" ht="15.75" customHeight="1" x14ac:dyDescent="0.25">
      <c r="I947" s="40"/>
      <c r="J947" s="40"/>
      <c r="M947" s="40"/>
      <c r="N947" s="40"/>
    </row>
    <row r="948" spans="9:14" ht="15.75" customHeight="1" x14ac:dyDescent="0.25">
      <c r="I948" s="40"/>
      <c r="J948" s="40"/>
      <c r="M948" s="40"/>
      <c r="N948" s="40"/>
    </row>
    <row r="949" spans="9:14" ht="15.75" customHeight="1" x14ac:dyDescent="0.25">
      <c r="I949" s="40"/>
      <c r="J949" s="40"/>
      <c r="M949" s="40"/>
      <c r="N949" s="40"/>
    </row>
    <row r="950" spans="9:14" ht="15.75" customHeight="1" x14ac:dyDescent="0.25">
      <c r="I950" s="40"/>
      <c r="J950" s="40"/>
      <c r="M950" s="40"/>
      <c r="N950" s="40"/>
    </row>
    <row r="951" spans="9:14" ht="15.75" customHeight="1" x14ac:dyDescent="0.25">
      <c r="I951" s="40"/>
      <c r="J951" s="40"/>
      <c r="M951" s="40"/>
      <c r="N951" s="40"/>
    </row>
    <row r="952" spans="9:14" ht="15.75" customHeight="1" x14ac:dyDescent="0.25">
      <c r="I952" s="40"/>
      <c r="J952" s="40"/>
      <c r="M952" s="40"/>
      <c r="N952" s="40"/>
    </row>
    <row r="953" spans="9:14" ht="15.75" customHeight="1" x14ac:dyDescent="0.25">
      <c r="I953" s="40"/>
      <c r="J953" s="40"/>
      <c r="M953" s="40"/>
      <c r="N953" s="40"/>
    </row>
    <row r="954" spans="9:14" ht="15.75" customHeight="1" x14ac:dyDescent="0.25">
      <c r="I954" s="40"/>
      <c r="J954" s="40"/>
      <c r="M954" s="40"/>
      <c r="N954" s="40"/>
    </row>
    <row r="955" spans="9:14" ht="15.75" customHeight="1" x14ac:dyDescent="0.25">
      <c r="I955" s="40"/>
      <c r="J955" s="40"/>
      <c r="M955" s="40"/>
      <c r="N955" s="40"/>
    </row>
    <row r="956" spans="9:14" ht="15.75" customHeight="1" x14ac:dyDescent="0.25">
      <c r="I956" s="40"/>
      <c r="J956" s="40"/>
      <c r="M956" s="40"/>
      <c r="N956" s="40"/>
    </row>
    <row r="957" spans="9:14" ht="15.75" customHeight="1" x14ac:dyDescent="0.25">
      <c r="I957" s="40"/>
      <c r="J957" s="40"/>
      <c r="M957" s="40"/>
      <c r="N957" s="40"/>
    </row>
    <row r="958" spans="9:14" ht="15.75" customHeight="1" x14ac:dyDescent="0.25">
      <c r="I958" s="40"/>
      <c r="J958" s="40"/>
      <c r="M958" s="40"/>
      <c r="N958" s="40"/>
    </row>
    <row r="959" spans="9:14" ht="15.75" customHeight="1" x14ac:dyDescent="0.25">
      <c r="I959" s="40"/>
      <c r="J959" s="40"/>
      <c r="M959" s="40"/>
      <c r="N959" s="40"/>
    </row>
    <row r="960" spans="9:14" ht="15.75" customHeight="1" x14ac:dyDescent="0.25">
      <c r="I960" s="40"/>
      <c r="J960" s="40"/>
      <c r="M960" s="40"/>
      <c r="N960" s="40"/>
    </row>
    <row r="961" spans="9:14" ht="15.75" customHeight="1" x14ac:dyDescent="0.25">
      <c r="I961" s="40"/>
      <c r="J961" s="40"/>
      <c r="M961" s="40"/>
      <c r="N961" s="40"/>
    </row>
    <row r="962" spans="9:14" ht="15.75" customHeight="1" x14ac:dyDescent="0.25">
      <c r="I962" s="40"/>
      <c r="J962" s="40"/>
      <c r="M962" s="40"/>
      <c r="N962" s="40"/>
    </row>
    <row r="963" spans="9:14" ht="15.75" customHeight="1" x14ac:dyDescent="0.25">
      <c r="I963" s="40"/>
      <c r="J963" s="40"/>
      <c r="M963" s="40"/>
      <c r="N963" s="40"/>
    </row>
    <row r="964" spans="9:14" ht="15.75" customHeight="1" x14ac:dyDescent="0.25">
      <c r="I964" s="40"/>
      <c r="J964" s="40"/>
      <c r="M964" s="40"/>
      <c r="N964" s="40"/>
    </row>
    <row r="965" spans="9:14" ht="15.75" customHeight="1" x14ac:dyDescent="0.25">
      <c r="I965" s="40"/>
      <c r="J965" s="40"/>
      <c r="M965" s="40"/>
      <c r="N965" s="40"/>
    </row>
    <row r="966" spans="9:14" ht="15.75" customHeight="1" x14ac:dyDescent="0.25">
      <c r="I966" s="40"/>
      <c r="J966" s="40"/>
      <c r="M966" s="40"/>
      <c r="N966" s="40"/>
    </row>
    <row r="967" spans="9:14" ht="15.75" customHeight="1" x14ac:dyDescent="0.25">
      <c r="I967" s="40"/>
      <c r="J967" s="40"/>
      <c r="M967" s="40"/>
      <c r="N967" s="40"/>
    </row>
    <row r="968" spans="9:14" ht="15.75" customHeight="1" x14ac:dyDescent="0.25">
      <c r="I968" s="40"/>
      <c r="J968" s="40"/>
      <c r="M968" s="40"/>
      <c r="N968" s="40"/>
    </row>
    <row r="969" spans="9:14" ht="15.75" customHeight="1" x14ac:dyDescent="0.25">
      <c r="I969" s="40"/>
      <c r="J969" s="40"/>
      <c r="M969" s="40"/>
      <c r="N969" s="40"/>
    </row>
    <row r="970" spans="9:14" ht="15.75" customHeight="1" x14ac:dyDescent="0.25">
      <c r="I970" s="40"/>
      <c r="J970" s="40"/>
      <c r="M970" s="40"/>
      <c r="N970" s="40"/>
    </row>
    <row r="971" spans="9:14" ht="15.75" customHeight="1" x14ac:dyDescent="0.25">
      <c r="I971" s="40"/>
      <c r="J971" s="40"/>
      <c r="M971" s="40"/>
      <c r="N971" s="40"/>
    </row>
    <row r="972" spans="9:14" ht="15.75" customHeight="1" x14ac:dyDescent="0.25">
      <c r="I972" s="40"/>
      <c r="J972" s="40"/>
      <c r="M972" s="40"/>
      <c r="N972" s="40"/>
    </row>
    <row r="973" spans="9:14" ht="15.75" customHeight="1" x14ac:dyDescent="0.25">
      <c r="I973" s="40"/>
      <c r="J973" s="40"/>
      <c r="M973" s="40"/>
      <c r="N973" s="40"/>
    </row>
    <row r="974" spans="9:14" ht="15.75" customHeight="1" x14ac:dyDescent="0.25">
      <c r="I974" s="40"/>
      <c r="J974" s="40"/>
      <c r="M974" s="40"/>
      <c r="N974" s="40"/>
    </row>
    <row r="975" spans="9:14" ht="15.75" customHeight="1" x14ac:dyDescent="0.25">
      <c r="I975" s="40"/>
      <c r="J975" s="40"/>
      <c r="M975" s="40"/>
      <c r="N975" s="40"/>
    </row>
    <row r="976" spans="9:14" ht="15.75" customHeight="1" x14ac:dyDescent="0.25">
      <c r="I976" s="40"/>
      <c r="J976" s="40"/>
      <c r="M976" s="40"/>
      <c r="N976" s="40"/>
    </row>
    <row r="977" spans="9:14" ht="15.75" customHeight="1" x14ac:dyDescent="0.25">
      <c r="I977" s="40"/>
      <c r="J977" s="40"/>
      <c r="M977" s="40"/>
      <c r="N977" s="40"/>
    </row>
    <row r="978" spans="9:14" ht="15.75" customHeight="1" x14ac:dyDescent="0.25">
      <c r="I978" s="40"/>
      <c r="J978" s="40"/>
      <c r="M978" s="40"/>
      <c r="N978" s="40"/>
    </row>
    <row r="979" spans="9:14" ht="15.75" customHeight="1" x14ac:dyDescent="0.25">
      <c r="I979" s="40"/>
      <c r="J979" s="40"/>
      <c r="M979" s="40"/>
      <c r="N979" s="40"/>
    </row>
    <row r="980" spans="9:14" ht="15.75" customHeight="1" x14ac:dyDescent="0.25">
      <c r="I980" s="40"/>
      <c r="J980" s="40"/>
      <c r="M980" s="40"/>
      <c r="N980" s="40"/>
    </row>
    <row r="981" spans="9:14" ht="15.75" customHeight="1" x14ac:dyDescent="0.25">
      <c r="I981" s="40"/>
      <c r="J981" s="40"/>
      <c r="M981" s="40"/>
      <c r="N981" s="40"/>
    </row>
    <row r="982" spans="9:14" ht="15.75" customHeight="1" x14ac:dyDescent="0.25">
      <c r="I982" s="40"/>
      <c r="J982" s="40"/>
      <c r="M982" s="40"/>
      <c r="N982" s="40"/>
    </row>
    <row r="983" spans="9:14" ht="15.75" customHeight="1" x14ac:dyDescent="0.25">
      <c r="I983" s="40"/>
      <c r="J983" s="40"/>
      <c r="M983" s="40"/>
      <c r="N983" s="40"/>
    </row>
    <row r="984" spans="9:14" ht="15.75" customHeight="1" x14ac:dyDescent="0.25">
      <c r="I984" s="40"/>
      <c r="J984" s="40"/>
      <c r="M984" s="40"/>
      <c r="N984" s="40"/>
    </row>
    <row r="985" spans="9:14" ht="15.75" customHeight="1" x14ac:dyDescent="0.25">
      <c r="I985" s="40"/>
      <c r="J985" s="40"/>
      <c r="M985" s="40"/>
      <c r="N985" s="40"/>
    </row>
    <row r="986" spans="9:14" ht="15.75" customHeight="1" x14ac:dyDescent="0.25">
      <c r="I986" s="40"/>
      <c r="J986" s="40"/>
      <c r="M986" s="40"/>
      <c r="N986" s="40"/>
    </row>
    <row r="987" spans="9:14" ht="15.75" customHeight="1" x14ac:dyDescent="0.25">
      <c r="I987" s="40"/>
      <c r="J987" s="40"/>
      <c r="M987" s="40"/>
      <c r="N987" s="40"/>
    </row>
    <row r="988" spans="9:14" ht="15.75" customHeight="1" x14ac:dyDescent="0.25">
      <c r="I988" s="40"/>
      <c r="J988" s="40"/>
      <c r="M988" s="40"/>
      <c r="N988" s="40"/>
    </row>
    <row r="989" spans="9:14" ht="15.75" customHeight="1" x14ac:dyDescent="0.25">
      <c r="I989" s="40"/>
      <c r="J989" s="40"/>
      <c r="M989" s="40"/>
      <c r="N989" s="40"/>
    </row>
    <row r="990" spans="9:14" ht="15.75" customHeight="1" x14ac:dyDescent="0.25">
      <c r="I990" s="40"/>
      <c r="J990" s="40"/>
      <c r="M990" s="40"/>
      <c r="N990" s="40"/>
    </row>
    <row r="991" spans="9:14" ht="15.75" customHeight="1" x14ac:dyDescent="0.25">
      <c r="I991" s="40"/>
      <c r="J991" s="40"/>
      <c r="M991" s="40"/>
      <c r="N991" s="40"/>
    </row>
    <row r="992" spans="9:14" ht="15.75" customHeight="1" x14ac:dyDescent="0.25">
      <c r="I992" s="40"/>
      <c r="J992" s="40"/>
      <c r="M992" s="40"/>
      <c r="N992" s="40"/>
    </row>
    <row r="993" spans="9:14" ht="15.75" customHeight="1" x14ac:dyDescent="0.25">
      <c r="I993" s="40"/>
      <c r="J993" s="40"/>
      <c r="M993" s="40"/>
      <c r="N993" s="40"/>
    </row>
    <row r="994" spans="9:14" ht="15.75" customHeight="1" x14ac:dyDescent="0.25">
      <c r="I994" s="40"/>
      <c r="J994" s="40"/>
      <c r="M994" s="40"/>
      <c r="N994" s="40"/>
    </row>
    <row r="995" spans="9:14" ht="15.75" customHeight="1" x14ac:dyDescent="0.25">
      <c r="I995" s="40"/>
      <c r="J995" s="40"/>
      <c r="M995" s="40"/>
      <c r="N995" s="40"/>
    </row>
    <row r="996" spans="9:14" ht="15.75" customHeight="1" x14ac:dyDescent="0.25">
      <c r="I996" s="40"/>
      <c r="J996" s="40"/>
      <c r="M996" s="40"/>
      <c r="N996" s="40"/>
    </row>
    <row r="997" spans="9:14" ht="15.75" customHeight="1" x14ac:dyDescent="0.25">
      <c r="I997" s="40"/>
      <c r="J997" s="40"/>
      <c r="M997" s="40"/>
      <c r="N997" s="40"/>
    </row>
    <row r="998" spans="9:14" ht="15.75" customHeight="1" x14ac:dyDescent="0.25">
      <c r="I998" s="40"/>
      <c r="J998" s="40"/>
      <c r="M998" s="40"/>
      <c r="N998" s="40"/>
    </row>
    <row r="999" spans="9:14" ht="15.75" customHeight="1" x14ac:dyDescent="0.25">
      <c r="I999" s="40"/>
      <c r="J999" s="40"/>
      <c r="M999" s="40"/>
      <c r="N999" s="40"/>
    </row>
    <row r="1000" spans="9:14" ht="15.75" customHeight="1" x14ac:dyDescent="0.25">
      <c r="I1000" s="40"/>
      <c r="J1000" s="40"/>
      <c r="M1000" s="40"/>
      <c r="N1000" s="40"/>
    </row>
    <row r="1001" spans="9:14" ht="15.75" customHeight="1" x14ac:dyDescent="0.25">
      <c r="I1001" s="40"/>
      <c r="J1001" s="40"/>
      <c r="M1001" s="40"/>
      <c r="N1001" s="40"/>
    </row>
    <row r="1002" spans="9:14" ht="15.75" customHeight="1" x14ac:dyDescent="0.25">
      <c r="I1002" s="40"/>
      <c r="J1002" s="40"/>
      <c r="M1002" s="40"/>
      <c r="N1002" s="40"/>
    </row>
    <row r="1003" spans="9:14" ht="15.75" customHeight="1" x14ac:dyDescent="0.25">
      <c r="I1003" s="40"/>
      <c r="J1003" s="40"/>
      <c r="M1003" s="40"/>
      <c r="N1003" s="40"/>
    </row>
    <row r="1004" spans="9:14" ht="15.75" customHeight="1" x14ac:dyDescent="0.25">
      <c r="I1004" s="40"/>
      <c r="J1004" s="40"/>
      <c r="M1004" s="40"/>
      <c r="N1004" s="40"/>
    </row>
    <row r="1005" spans="9:14" ht="15.75" customHeight="1" x14ac:dyDescent="0.25">
      <c r="I1005" s="40"/>
      <c r="J1005" s="40"/>
      <c r="M1005" s="40"/>
      <c r="N1005" s="40"/>
    </row>
    <row r="1006" spans="9:14" ht="15.75" customHeight="1" x14ac:dyDescent="0.25">
      <c r="I1006" s="40"/>
      <c r="J1006" s="40"/>
      <c r="M1006" s="40"/>
      <c r="N1006" s="40"/>
    </row>
    <row r="1007" spans="9:14" ht="15.75" customHeight="1" x14ac:dyDescent="0.25">
      <c r="I1007" s="40"/>
      <c r="J1007" s="40"/>
      <c r="M1007" s="40"/>
      <c r="N1007" s="40"/>
    </row>
    <row r="1008" spans="9:14" ht="15.75" customHeight="1" x14ac:dyDescent="0.25">
      <c r="I1008" s="40"/>
      <c r="J1008" s="40"/>
      <c r="M1008" s="40"/>
      <c r="N1008" s="40"/>
    </row>
    <row r="1009" spans="9:14" ht="15.75" customHeight="1" x14ac:dyDescent="0.25">
      <c r="I1009" s="40"/>
      <c r="J1009" s="40"/>
      <c r="M1009" s="40"/>
      <c r="N1009" s="40"/>
    </row>
    <row r="1010" spans="9:14" ht="15.75" customHeight="1" x14ac:dyDescent="0.25">
      <c r="I1010" s="40"/>
      <c r="J1010" s="40"/>
      <c r="M1010" s="40"/>
      <c r="N1010" s="40"/>
    </row>
    <row r="1011" spans="9:14" ht="15.75" customHeight="1" x14ac:dyDescent="0.25">
      <c r="I1011" s="40"/>
      <c r="J1011" s="40"/>
      <c r="M1011" s="40"/>
      <c r="N1011" s="40"/>
    </row>
    <row r="1012" spans="9:14" ht="15.75" customHeight="1" x14ac:dyDescent="0.25">
      <c r="I1012" s="40"/>
      <c r="J1012" s="40"/>
      <c r="M1012" s="40"/>
      <c r="N1012"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54"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6"/>
  <sheetViews>
    <sheetView view="pageBreakPreview" zoomScale="130" zoomScaleNormal="100" zoomScaleSheetLayoutView="130" workbookViewId="0">
      <selection activeCell="A72" sqref="A72"/>
    </sheetView>
  </sheetViews>
  <sheetFormatPr defaultColWidth="14.42578125" defaultRowHeight="15" customHeight="1" x14ac:dyDescent="0.25"/>
  <cols>
    <col min="1" max="1" width="78.42578125" customWidth="1"/>
    <col min="2" max="2" width="17" customWidth="1"/>
    <col min="3" max="6" width="17.28515625" hidden="1" customWidth="1"/>
    <col min="7" max="7" width="17.28515625" customWidth="1"/>
    <col min="8" max="8" width="12.7109375" customWidth="1"/>
    <col min="9" max="10" width="4.5703125" customWidth="1"/>
    <col min="11" max="11" width="13.28515625" customWidth="1"/>
    <col min="12"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1430</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75" customHeight="1" x14ac:dyDescent="0.25">
      <c r="A13" s="17" t="s">
        <v>364</v>
      </c>
      <c r="B13" s="548"/>
      <c r="C13" s="109"/>
      <c r="D13" s="110"/>
      <c r="E13" s="549"/>
      <c r="F13" s="110"/>
      <c r="G13" s="551"/>
      <c r="H13" s="15"/>
      <c r="I13" s="15"/>
      <c r="J13" s="15"/>
      <c r="K13" s="16"/>
      <c r="L13" s="15"/>
      <c r="M13" s="15"/>
      <c r="N13" s="15"/>
      <c r="O13" s="15"/>
      <c r="P13" s="15"/>
      <c r="Q13" s="15"/>
      <c r="R13" s="15"/>
      <c r="S13" s="15"/>
      <c r="T13" s="15"/>
      <c r="U13" s="15"/>
      <c r="V13" s="15"/>
      <c r="W13" s="15"/>
      <c r="X13" s="15"/>
      <c r="Y13" s="15"/>
      <c r="Z13" s="15"/>
    </row>
    <row r="14" spans="1:26" ht="15.75" customHeight="1" x14ac:dyDescent="0.25">
      <c r="A14" s="17" t="s">
        <v>365</v>
      </c>
      <c r="B14" s="172"/>
      <c r="C14" s="42"/>
      <c r="D14" s="42"/>
      <c r="E14" s="42"/>
      <c r="F14" s="42"/>
      <c r="G14" s="42"/>
      <c r="K14" s="40"/>
    </row>
    <row r="15" spans="1:26" ht="15.75" customHeight="1" x14ac:dyDescent="0.25">
      <c r="A15" s="17" t="s">
        <v>366</v>
      </c>
      <c r="B15" s="172"/>
      <c r="C15" s="42"/>
      <c r="D15" s="42"/>
      <c r="E15" s="42"/>
      <c r="F15" s="42"/>
      <c r="G15" s="42"/>
      <c r="K15" s="40"/>
    </row>
    <row r="16" spans="1:26" ht="15.75" customHeight="1" x14ac:dyDescent="0.25">
      <c r="A16" s="44" t="s">
        <v>367</v>
      </c>
      <c r="B16" s="41" t="s">
        <v>121</v>
      </c>
      <c r="C16" s="43">
        <v>14537655.1</v>
      </c>
      <c r="D16" s="43">
        <v>7222784.3099999996</v>
      </c>
      <c r="E16" s="43">
        <f>F16-D16</f>
        <v>10635807.690000001</v>
      </c>
      <c r="F16" s="43">
        <v>17858592</v>
      </c>
      <c r="G16" s="43">
        <v>18557364</v>
      </c>
      <c r="K16" s="40"/>
    </row>
    <row r="17" spans="1:26" ht="15" customHeight="1" x14ac:dyDescent="0.25">
      <c r="A17" s="17" t="s">
        <v>368</v>
      </c>
      <c r="B17" s="172"/>
      <c r="C17" s="43"/>
      <c r="D17" s="43"/>
      <c r="E17" s="43"/>
      <c r="F17" s="43"/>
      <c r="G17" s="43"/>
      <c r="K17" s="40"/>
    </row>
    <row r="18" spans="1:26" ht="15" customHeight="1" x14ac:dyDescent="0.25">
      <c r="A18" s="44" t="s">
        <v>369</v>
      </c>
      <c r="B18" s="41" t="s">
        <v>125</v>
      </c>
      <c r="C18" s="43">
        <v>904211.08</v>
      </c>
      <c r="D18" s="43">
        <v>416009.13</v>
      </c>
      <c r="E18" s="43">
        <f t="shared" ref="E18:E28" si="0">F18-D18</f>
        <v>639990.87</v>
      </c>
      <c r="F18" s="43">
        <v>1056000</v>
      </c>
      <c r="G18" s="43">
        <v>1056000</v>
      </c>
      <c r="H18" s="15"/>
      <c r="I18" s="15"/>
      <c r="J18" s="15"/>
      <c r="K18" s="16"/>
      <c r="L18" s="15"/>
      <c r="M18" s="15"/>
      <c r="N18" s="15"/>
      <c r="O18" s="15"/>
      <c r="P18" s="15"/>
      <c r="Q18" s="15"/>
      <c r="R18" s="15"/>
      <c r="S18" s="15"/>
      <c r="T18" s="15"/>
      <c r="U18" s="15"/>
      <c r="V18" s="15"/>
      <c r="W18" s="15"/>
      <c r="X18" s="15"/>
      <c r="Y18" s="15"/>
      <c r="Z18" s="15"/>
    </row>
    <row r="19" spans="1:26" ht="15" customHeight="1" x14ac:dyDescent="0.25">
      <c r="A19" s="44" t="s">
        <v>370</v>
      </c>
      <c r="B19" s="41" t="s">
        <v>127</v>
      </c>
      <c r="C19" s="43">
        <v>216000</v>
      </c>
      <c r="D19" s="43">
        <v>99500</v>
      </c>
      <c r="E19" s="43">
        <f t="shared" si="0"/>
        <v>116500</v>
      </c>
      <c r="F19" s="43">
        <v>216000</v>
      </c>
      <c r="G19" s="43">
        <v>216000</v>
      </c>
      <c r="H19" s="15"/>
      <c r="I19" s="15"/>
      <c r="J19" s="15"/>
      <c r="K19" s="16"/>
      <c r="L19" s="15"/>
      <c r="M19" s="15"/>
      <c r="N19" s="15"/>
      <c r="O19" s="15"/>
      <c r="P19" s="15"/>
      <c r="Q19" s="15"/>
      <c r="R19" s="15"/>
      <c r="S19" s="15"/>
      <c r="T19" s="15"/>
      <c r="U19" s="15"/>
      <c r="V19" s="15"/>
      <c r="W19" s="15"/>
      <c r="X19" s="15"/>
      <c r="Y19" s="15"/>
      <c r="Z19" s="15"/>
    </row>
    <row r="20" spans="1:26" ht="15" customHeight="1" x14ac:dyDescent="0.25">
      <c r="A20" s="44" t="s">
        <v>371</v>
      </c>
      <c r="B20" s="41" t="s">
        <v>372</v>
      </c>
      <c r="C20" s="43">
        <v>216000</v>
      </c>
      <c r="D20" s="43">
        <v>108000</v>
      </c>
      <c r="E20" s="43">
        <f t="shared" si="0"/>
        <v>108000</v>
      </c>
      <c r="F20" s="43">
        <v>216000</v>
      </c>
      <c r="G20" s="43">
        <v>216000</v>
      </c>
      <c r="H20" s="15"/>
      <c r="I20" s="15"/>
      <c r="J20" s="15"/>
      <c r="K20" s="16"/>
      <c r="L20" s="15"/>
      <c r="M20" s="15"/>
      <c r="N20" s="15"/>
      <c r="O20" s="15"/>
      <c r="P20" s="15"/>
      <c r="Q20" s="15"/>
      <c r="R20" s="15"/>
      <c r="S20" s="15"/>
      <c r="T20" s="15"/>
      <c r="U20" s="15"/>
      <c r="V20" s="15"/>
      <c r="W20" s="15"/>
      <c r="X20" s="15"/>
      <c r="Y20" s="15"/>
      <c r="Z20" s="15"/>
    </row>
    <row r="21" spans="1:26" ht="15" customHeight="1" x14ac:dyDescent="0.25">
      <c r="A21" s="44" t="s">
        <v>373</v>
      </c>
      <c r="B21" s="41" t="s">
        <v>131</v>
      </c>
      <c r="C21" s="43">
        <v>259000</v>
      </c>
      <c r="D21" s="43">
        <v>238000</v>
      </c>
      <c r="E21" s="43">
        <f t="shared" si="0"/>
        <v>70000</v>
      </c>
      <c r="F21" s="43">
        <v>308000</v>
      </c>
      <c r="G21" s="43">
        <v>308000</v>
      </c>
      <c r="H21" s="15"/>
      <c r="I21" s="15"/>
      <c r="J21" s="15"/>
      <c r="K21" s="16"/>
      <c r="L21" s="15"/>
      <c r="M21" s="15"/>
      <c r="N21" s="15"/>
      <c r="O21" s="15"/>
      <c r="P21" s="15"/>
      <c r="Q21" s="15"/>
      <c r="R21" s="15"/>
      <c r="S21" s="15"/>
      <c r="T21" s="15"/>
      <c r="U21" s="15"/>
      <c r="V21" s="15"/>
      <c r="W21" s="15"/>
      <c r="X21" s="15"/>
      <c r="Y21" s="15"/>
      <c r="Z21" s="15"/>
    </row>
    <row r="22" spans="1:26" ht="15" customHeight="1" x14ac:dyDescent="0.25">
      <c r="A22" s="44" t="s">
        <v>690</v>
      </c>
      <c r="B22" s="41" t="s">
        <v>149</v>
      </c>
      <c r="C22" s="43">
        <v>251008.03</v>
      </c>
      <c r="D22" s="43">
        <v>137619.23000000001</v>
      </c>
      <c r="E22" s="43">
        <f t="shared" si="0"/>
        <v>12380.76999999999</v>
      </c>
      <c r="F22" s="43">
        <v>150000</v>
      </c>
      <c r="G22" s="43">
        <v>500000</v>
      </c>
      <c r="H22" s="15"/>
      <c r="I22" s="15"/>
      <c r="J22" s="15"/>
      <c r="K22" s="16"/>
      <c r="L22" s="15"/>
      <c r="M22" s="15"/>
      <c r="N22" s="15"/>
      <c r="O22" s="15"/>
      <c r="P22" s="15"/>
      <c r="Q22" s="15"/>
      <c r="R22" s="15"/>
      <c r="S22" s="15"/>
      <c r="T22" s="15"/>
      <c r="U22" s="15"/>
      <c r="V22" s="15"/>
      <c r="W22" s="15"/>
      <c r="X22" s="15"/>
      <c r="Y22" s="15"/>
      <c r="Z22" s="15"/>
    </row>
    <row r="23" spans="1:26" ht="15" customHeight="1" x14ac:dyDescent="0.25">
      <c r="A23" s="44" t="s">
        <v>374</v>
      </c>
      <c r="B23" s="41" t="s">
        <v>151</v>
      </c>
      <c r="C23" s="43">
        <v>1305591.8999999999</v>
      </c>
      <c r="D23" s="43">
        <v>0</v>
      </c>
      <c r="E23" s="43">
        <f t="shared" si="0"/>
        <v>1488216</v>
      </c>
      <c r="F23" s="43">
        <v>1488216</v>
      </c>
      <c r="G23" s="43">
        <v>1546447</v>
      </c>
      <c r="H23" s="15"/>
      <c r="I23" s="15"/>
      <c r="J23" s="15"/>
      <c r="K23" s="16"/>
      <c r="L23" s="15"/>
      <c r="M23" s="15"/>
      <c r="N23" s="15"/>
      <c r="O23" s="15"/>
      <c r="P23" s="15"/>
      <c r="Q23" s="15"/>
      <c r="R23" s="15"/>
      <c r="S23" s="15"/>
      <c r="T23" s="15"/>
      <c r="U23" s="15"/>
      <c r="V23" s="15"/>
      <c r="W23" s="15"/>
      <c r="X23" s="15"/>
      <c r="Y23" s="15"/>
      <c r="Z23" s="15"/>
    </row>
    <row r="24" spans="1:26" ht="15" customHeight="1" x14ac:dyDescent="0.25">
      <c r="A24" s="44" t="s">
        <v>375</v>
      </c>
      <c r="B24" s="41" t="s">
        <v>153</v>
      </c>
      <c r="C24" s="43">
        <v>195500</v>
      </c>
      <c r="D24" s="43">
        <v>0</v>
      </c>
      <c r="E24" s="43">
        <f t="shared" si="0"/>
        <v>220000</v>
      </c>
      <c r="F24" s="43">
        <v>220000</v>
      </c>
      <c r="G24" s="43">
        <v>220000</v>
      </c>
      <c r="H24" s="15"/>
      <c r="I24" s="15"/>
      <c r="J24" s="15"/>
      <c r="K24" s="16"/>
      <c r="L24" s="15"/>
      <c r="M24" s="15"/>
      <c r="N24" s="15"/>
      <c r="O24" s="15"/>
      <c r="P24" s="15"/>
      <c r="Q24" s="15"/>
      <c r="R24" s="15"/>
      <c r="S24" s="15"/>
      <c r="T24" s="15"/>
      <c r="U24" s="15"/>
      <c r="V24" s="15"/>
      <c r="W24" s="15"/>
      <c r="X24" s="15"/>
      <c r="Y24" s="15"/>
      <c r="Z24" s="15"/>
    </row>
    <row r="25" spans="1:26" ht="15" customHeight="1" x14ac:dyDescent="0.25">
      <c r="A25" s="44" t="s">
        <v>376</v>
      </c>
      <c r="B25" s="41" t="s">
        <v>155</v>
      </c>
      <c r="C25" s="43"/>
      <c r="D25" s="43"/>
      <c r="E25" s="43">
        <f t="shared" si="0"/>
        <v>0</v>
      </c>
      <c r="F25" s="43"/>
      <c r="G25" s="43"/>
      <c r="H25" s="15"/>
      <c r="I25" s="15"/>
      <c r="J25" s="15"/>
      <c r="K25" s="16"/>
      <c r="L25" s="15"/>
      <c r="M25" s="15"/>
      <c r="N25" s="15"/>
      <c r="O25" s="15"/>
      <c r="P25" s="15"/>
      <c r="Q25" s="15"/>
      <c r="R25" s="15"/>
      <c r="S25" s="15"/>
      <c r="T25" s="15"/>
      <c r="U25" s="15"/>
      <c r="V25" s="15"/>
      <c r="W25" s="15"/>
      <c r="X25" s="15"/>
      <c r="Y25" s="15"/>
      <c r="Z25" s="15"/>
    </row>
    <row r="26" spans="1:26" ht="15.75" customHeight="1" x14ac:dyDescent="0.25">
      <c r="A26" s="44" t="s">
        <v>377</v>
      </c>
      <c r="B26" s="41" t="s">
        <v>157</v>
      </c>
      <c r="C26" s="43">
        <v>20000</v>
      </c>
      <c r="D26" s="43">
        <v>35000</v>
      </c>
      <c r="E26" s="43">
        <f t="shared" si="0"/>
        <v>10000</v>
      </c>
      <c r="F26" s="43">
        <v>45000</v>
      </c>
      <c r="G26" s="43">
        <v>60000</v>
      </c>
      <c r="H26" s="15"/>
      <c r="I26" s="15"/>
      <c r="J26" s="15"/>
      <c r="K26" s="16"/>
      <c r="L26" s="15"/>
      <c r="M26" s="15"/>
      <c r="N26" s="15"/>
      <c r="O26" s="15"/>
      <c r="P26" s="15"/>
      <c r="Q26" s="15"/>
      <c r="R26" s="15"/>
      <c r="S26" s="15"/>
      <c r="T26" s="15"/>
      <c r="U26" s="15"/>
      <c r="V26" s="15"/>
      <c r="W26" s="15"/>
      <c r="X26" s="15"/>
      <c r="Y26" s="15"/>
      <c r="Z26" s="15"/>
    </row>
    <row r="27" spans="1:26" ht="15.75" customHeight="1" x14ac:dyDescent="0.25">
      <c r="A27" s="44" t="s">
        <v>1227</v>
      </c>
      <c r="B27" s="41" t="s">
        <v>159</v>
      </c>
      <c r="C27" s="43"/>
      <c r="D27" s="43">
        <v>84000</v>
      </c>
      <c r="E27" s="43">
        <f t="shared" si="0"/>
        <v>48000</v>
      </c>
      <c r="F27" s="43">
        <v>132000</v>
      </c>
      <c r="G27" s="43">
        <v>0</v>
      </c>
      <c r="H27" s="15"/>
      <c r="I27" s="15"/>
      <c r="J27" s="15"/>
      <c r="K27" s="16"/>
      <c r="L27" s="15"/>
      <c r="M27" s="15"/>
      <c r="N27" s="15"/>
      <c r="O27" s="15"/>
      <c r="P27" s="15"/>
      <c r="Q27" s="15"/>
      <c r="R27" s="15"/>
      <c r="S27" s="15"/>
      <c r="T27" s="15"/>
      <c r="U27" s="15"/>
      <c r="V27" s="15"/>
      <c r="W27" s="15"/>
      <c r="X27" s="15"/>
      <c r="Y27" s="15"/>
      <c r="Z27" s="15"/>
    </row>
    <row r="28" spans="1:26" ht="15.75" customHeight="1" x14ac:dyDescent="0.25">
      <c r="A28" s="44" t="s">
        <v>379</v>
      </c>
      <c r="B28" s="41" t="s">
        <v>161</v>
      </c>
      <c r="C28" s="43">
        <v>1082756</v>
      </c>
      <c r="D28" s="43">
        <v>1210752</v>
      </c>
      <c r="E28" s="43">
        <f t="shared" si="0"/>
        <v>277464</v>
      </c>
      <c r="F28" s="43">
        <v>1488216</v>
      </c>
      <c r="G28" s="43">
        <v>1546447</v>
      </c>
      <c r="H28" s="15"/>
      <c r="I28" s="15"/>
      <c r="J28" s="15"/>
      <c r="K28" s="16"/>
      <c r="L28" s="15"/>
      <c r="M28" s="15"/>
      <c r="N28" s="15"/>
      <c r="O28" s="15"/>
      <c r="P28" s="15"/>
      <c r="Q28" s="15"/>
      <c r="R28" s="15"/>
      <c r="S28" s="15"/>
      <c r="T28" s="15"/>
      <c r="U28" s="15"/>
      <c r="V28" s="15"/>
      <c r="W28" s="15"/>
      <c r="X28" s="15"/>
      <c r="Y28" s="15"/>
      <c r="Z28" s="15"/>
    </row>
    <row r="29" spans="1:26" ht="15.75" customHeight="1" x14ac:dyDescent="0.25">
      <c r="A29" s="17" t="s">
        <v>380</v>
      </c>
      <c r="B29" s="41"/>
      <c r="C29" s="43"/>
      <c r="D29" s="43"/>
      <c r="E29" s="43"/>
      <c r="F29" s="43"/>
      <c r="G29" s="43"/>
      <c r="H29" s="15"/>
      <c r="I29" s="15"/>
      <c r="J29" s="15"/>
      <c r="K29" s="16"/>
      <c r="L29" s="15"/>
      <c r="M29" s="15"/>
      <c r="N29" s="15"/>
      <c r="O29" s="15"/>
      <c r="P29" s="15"/>
      <c r="Q29" s="15"/>
      <c r="R29" s="15"/>
      <c r="S29" s="15"/>
      <c r="T29" s="15"/>
      <c r="U29" s="15"/>
      <c r="V29" s="15"/>
      <c r="W29" s="15"/>
      <c r="X29" s="15"/>
      <c r="Y29" s="15"/>
      <c r="Z29" s="15"/>
    </row>
    <row r="30" spans="1:26" ht="15.75" customHeight="1" x14ac:dyDescent="0.25">
      <c r="A30" s="44" t="s">
        <v>381</v>
      </c>
      <c r="B30" s="41" t="s">
        <v>165</v>
      </c>
      <c r="C30" s="43">
        <v>1752805.66</v>
      </c>
      <c r="D30" s="43">
        <v>880340.99</v>
      </c>
      <c r="E30" s="43">
        <f t="shared" ref="E30:E37" si="1">F30-D30</f>
        <v>1262691.01</v>
      </c>
      <c r="F30" s="43">
        <v>2143032</v>
      </c>
      <c r="G30" s="43">
        <v>2226884</v>
      </c>
      <c r="H30" s="15"/>
      <c r="I30" s="15"/>
      <c r="J30" s="15"/>
      <c r="K30" s="16"/>
      <c r="L30" s="15"/>
      <c r="M30" s="15"/>
      <c r="N30" s="15"/>
      <c r="O30" s="15"/>
      <c r="P30" s="15"/>
      <c r="Q30" s="15"/>
      <c r="R30" s="15"/>
      <c r="S30" s="15"/>
      <c r="T30" s="15"/>
      <c r="U30" s="15"/>
      <c r="V30" s="15"/>
      <c r="W30" s="15"/>
      <c r="X30" s="15"/>
      <c r="Y30" s="15"/>
      <c r="Z30" s="15"/>
    </row>
    <row r="31" spans="1:26" ht="15.75" customHeight="1" x14ac:dyDescent="0.25">
      <c r="A31" s="44" t="s">
        <v>382</v>
      </c>
      <c r="B31" s="41" t="s">
        <v>167</v>
      </c>
      <c r="C31" s="43">
        <v>292134.26</v>
      </c>
      <c r="D31" s="43">
        <v>145245.98000000001</v>
      </c>
      <c r="E31" s="43">
        <f t="shared" si="1"/>
        <v>211926.02</v>
      </c>
      <c r="F31" s="43">
        <v>357172</v>
      </c>
      <c r="G31" s="43">
        <v>371148</v>
      </c>
      <c r="H31" s="15"/>
      <c r="I31" s="15"/>
      <c r="J31" s="15"/>
      <c r="K31" s="16"/>
      <c r="L31" s="15"/>
      <c r="M31" s="15"/>
      <c r="N31" s="15"/>
      <c r="O31" s="15"/>
      <c r="P31" s="15"/>
      <c r="Q31" s="15"/>
      <c r="R31" s="15"/>
      <c r="S31" s="15"/>
      <c r="T31" s="15"/>
      <c r="U31" s="15"/>
      <c r="V31" s="15"/>
      <c r="W31" s="15"/>
      <c r="X31" s="15"/>
      <c r="Y31" s="15"/>
      <c r="Z31" s="15"/>
    </row>
    <row r="32" spans="1:26" ht="15.75" customHeight="1" x14ac:dyDescent="0.25">
      <c r="A32" s="44" t="s">
        <v>383</v>
      </c>
      <c r="B32" s="41" t="s">
        <v>169</v>
      </c>
      <c r="C32" s="43">
        <v>358944.08</v>
      </c>
      <c r="D32" s="43">
        <v>177831.92</v>
      </c>
      <c r="E32" s="43">
        <f t="shared" si="1"/>
        <v>261112.08</v>
      </c>
      <c r="F32" s="43">
        <v>438944</v>
      </c>
      <c r="G32" s="43">
        <v>454883</v>
      </c>
      <c r="H32" s="15"/>
      <c r="I32" s="15"/>
      <c r="J32" s="15"/>
      <c r="K32" s="16"/>
      <c r="L32" s="15"/>
      <c r="M32" s="15"/>
      <c r="N32" s="15"/>
      <c r="O32" s="15"/>
      <c r="P32" s="15"/>
      <c r="Q32" s="15"/>
      <c r="R32" s="15"/>
      <c r="S32" s="15"/>
      <c r="T32" s="15"/>
      <c r="U32" s="15"/>
      <c r="V32" s="15"/>
      <c r="W32" s="15"/>
      <c r="X32" s="15"/>
      <c r="Y32" s="15"/>
      <c r="Z32" s="15"/>
    </row>
    <row r="33" spans="1:26" ht="15.75" customHeight="1" x14ac:dyDescent="0.25">
      <c r="A33" s="44" t="s">
        <v>384</v>
      </c>
      <c r="B33" s="41" t="s">
        <v>171</v>
      </c>
      <c r="C33" s="43">
        <v>45551.82</v>
      </c>
      <c r="D33" s="43">
        <v>21100</v>
      </c>
      <c r="E33" s="43">
        <f t="shared" si="1"/>
        <v>31700</v>
      </c>
      <c r="F33" s="43">
        <v>52800</v>
      </c>
      <c r="G33" s="43">
        <v>52800</v>
      </c>
      <c r="H33" s="15"/>
      <c r="I33" s="15"/>
      <c r="J33" s="15"/>
      <c r="K33" s="16"/>
      <c r="L33" s="15"/>
      <c r="M33" s="15"/>
      <c r="N33" s="15"/>
      <c r="O33" s="15"/>
      <c r="P33" s="15"/>
      <c r="Q33" s="15"/>
      <c r="R33" s="15"/>
      <c r="S33" s="15"/>
      <c r="T33" s="15"/>
      <c r="U33" s="15"/>
      <c r="V33" s="15"/>
      <c r="W33" s="15"/>
      <c r="X33" s="15"/>
      <c r="Y33" s="15"/>
      <c r="Z33" s="15"/>
    </row>
    <row r="34" spans="1:26" ht="15.75" customHeight="1" x14ac:dyDescent="0.25">
      <c r="A34" s="17" t="s">
        <v>624</v>
      </c>
      <c r="B34" s="41"/>
      <c r="C34" s="43"/>
      <c r="D34" s="43"/>
      <c r="E34" s="43">
        <f t="shared" si="1"/>
        <v>0</v>
      </c>
      <c r="F34" s="43"/>
      <c r="G34" s="43"/>
      <c r="H34" s="15"/>
      <c r="I34" s="15"/>
      <c r="J34" s="15"/>
      <c r="K34" s="16"/>
      <c r="L34" s="15"/>
      <c r="M34" s="15"/>
      <c r="N34" s="15"/>
      <c r="O34" s="15"/>
      <c r="P34" s="15"/>
      <c r="Q34" s="15"/>
      <c r="R34" s="15"/>
      <c r="S34" s="15"/>
      <c r="T34" s="15"/>
      <c r="U34" s="15"/>
      <c r="V34" s="15"/>
      <c r="W34" s="15"/>
      <c r="X34" s="15"/>
      <c r="Y34" s="15"/>
      <c r="Z34" s="15"/>
    </row>
    <row r="35" spans="1:26" ht="15.75" customHeight="1" x14ac:dyDescent="0.25">
      <c r="A35" s="44" t="s">
        <v>386</v>
      </c>
      <c r="B35" s="41" t="s">
        <v>179</v>
      </c>
      <c r="C35" s="43">
        <v>1290798.3600000001</v>
      </c>
      <c r="D35" s="43"/>
      <c r="E35" s="43">
        <f t="shared" si="1"/>
        <v>250863</v>
      </c>
      <c r="F35" s="43">
        <v>250863</v>
      </c>
      <c r="G35" s="43">
        <v>405955</v>
      </c>
      <c r="H35" s="15"/>
      <c r="I35" s="15"/>
      <c r="J35" s="15"/>
      <c r="K35" s="16"/>
      <c r="L35" s="15"/>
      <c r="M35" s="15"/>
      <c r="N35" s="15"/>
      <c r="O35" s="15"/>
      <c r="P35" s="15"/>
      <c r="Q35" s="15"/>
      <c r="R35" s="15"/>
      <c r="S35" s="15"/>
      <c r="T35" s="15"/>
      <c r="U35" s="15"/>
      <c r="V35" s="15"/>
      <c r="W35" s="15"/>
      <c r="X35" s="15"/>
      <c r="Y35" s="15"/>
      <c r="Z35" s="15"/>
    </row>
    <row r="36" spans="1:26" ht="15.75" customHeight="1" x14ac:dyDescent="0.25">
      <c r="A36" s="44" t="s">
        <v>387</v>
      </c>
      <c r="B36" s="41" t="s">
        <v>181</v>
      </c>
      <c r="C36" s="43">
        <v>895548.6</v>
      </c>
      <c r="D36" s="43">
        <v>340794.07</v>
      </c>
      <c r="E36" s="43">
        <f t="shared" si="1"/>
        <v>376417.93</v>
      </c>
      <c r="F36" s="43">
        <v>717212</v>
      </c>
      <c r="G36" s="43">
        <v>745275</v>
      </c>
      <c r="H36" s="15"/>
      <c r="I36" s="15"/>
      <c r="J36" s="15"/>
      <c r="K36" s="16"/>
      <c r="L36" s="15"/>
      <c r="M36" s="15"/>
      <c r="N36" s="15"/>
      <c r="O36" s="15"/>
      <c r="P36" s="15"/>
      <c r="Q36" s="15"/>
      <c r="R36" s="15"/>
      <c r="S36" s="15"/>
      <c r="T36" s="15"/>
      <c r="U36" s="15"/>
      <c r="V36" s="15"/>
      <c r="W36" s="15"/>
      <c r="X36" s="15"/>
      <c r="Y36" s="15"/>
      <c r="Z36" s="15"/>
    </row>
    <row r="37" spans="1:26" ht="15.75" customHeight="1" x14ac:dyDescent="0.25">
      <c r="A37" s="44" t="s">
        <v>388</v>
      </c>
      <c r="B37" s="20" t="s">
        <v>183</v>
      </c>
      <c r="C37" s="43">
        <v>188000</v>
      </c>
      <c r="D37" s="43">
        <v>0</v>
      </c>
      <c r="E37" s="43">
        <f t="shared" si="1"/>
        <v>220000</v>
      </c>
      <c r="F37" s="43">
        <v>220000</v>
      </c>
      <c r="G37" s="43">
        <v>220000</v>
      </c>
      <c r="H37" s="15"/>
      <c r="I37" s="15"/>
      <c r="J37" s="15"/>
      <c r="K37" s="16"/>
      <c r="L37" s="15"/>
      <c r="M37" s="15"/>
      <c r="N37" s="15"/>
      <c r="O37" s="15"/>
      <c r="P37" s="15"/>
      <c r="Q37" s="15"/>
      <c r="R37" s="15"/>
      <c r="S37" s="15"/>
      <c r="T37" s="15"/>
      <c r="U37" s="15"/>
      <c r="V37" s="15"/>
      <c r="W37" s="15"/>
      <c r="X37" s="15"/>
      <c r="Y37" s="15"/>
      <c r="Z37" s="15"/>
    </row>
    <row r="38" spans="1:26" ht="31.5" x14ac:dyDescent="0.25">
      <c r="A38" s="117" t="s">
        <v>625</v>
      </c>
      <c r="B38" s="20"/>
      <c r="C38" s="43">
        <v>0</v>
      </c>
      <c r="D38" s="43">
        <v>0</v>
      </c>
      <c r="E38" s="43">
        <v>0</v>
      </c>
      <c r="F38" s="43">
        <v>0</v>
      </c>
      <c r="G38" s="43">
        <v>520192</v>
      </c>
      <c r="H38" s="15"/>
      <c r="I38" s="15"/>
      <c r="J38" s="15"/>
      <c r="K38" s="16"/>
      <c r="L38" s="15"/>
      <c r="M38" s="15"/>
      <c r="N38" s="15"/>
      <c r="O38" s="15"/>
      <c r="P38" s="15"/>
      <c r="Q38" s="15"/>
      <c r="R38" s="15"/>
      <c r="S38" s="15"/>
      <c r="T38" s="15"/>
      <c r="U38" s="15"/>
      <c r="V38" s="15"/>
      <c r="W38" s="15"/>
      <c r="X38" s="15"/>
      <c r="Y38" s="15"/>
      <c r="Z38" s="15"/>
    </row>
    <row r="39" spans="1:26" ht="15.75" customHeight="1" x14ac:dyDescent="0.25">
      <c r="A39" s="486" t="s">
        <v>390</v>
      </c>
      <c r="B39" s="437"/>
      <c r="C39" s="54">
        <f t="shared" ref="C39:D39" si="2">+SUM(C16:C37)</f>
        <v>23811504.890000001</v>
      </c>
      <c r="D39" s="54">
        <f t="shared" si="2"/>
        <v>11116977.630000001</v>
      </c>
      <c r="E39" s="54">
        <f>F39-D39</f>
        <v>16241069.369999999</v>
      </c>
      <c r="F39" s="54">
        <f>+SUM(F16:F37)</f>
        <v>27358047</v>
      </c>
      <c r="G39" s="54">
        <f>+SUM(G16:G38)</f>
        <v>29223395</v>
      </c>
      <c r="H39" s="232"/>
      <c r="I39" s="232"/>
      <c r="J39" s="232"/>
      <c r="K39" s="203"/>
      <c r="L39" s="232"/>
      <c r="M39" s="232"/>
      <c r="N39" s="232"/>
      <c r="O39" s="232"/>
      <c r="P39" s="232"/>
      <c r="Q39" s="232"/>
      <c r="R39" s="232"/>
      <c r="S39" s="232"/>
      <c r="T39" s="232"/>
      <c r="U39" s="232"/>
      <c r="V39" s="232"/>
      <c r="W39" s="232"/>
      <c r="X39" s="232"/>
      <c r="Y39" s="232"/>
      <c r="Z39" s="232"/>
    </row>
    <row r="40" spans="1:26" ht="15.75" customHeight="1" x14ac:dyDescent="0.25">
      <c r="A40" s="456"/>
      <c r="B40" s="454"/>
      <c r="C40" s="449"/>
      <c r="D40" s="55"/>
      <c r="E40" s="43"/>
      <c r="F40" s="55"/>
      <c r="G40" s="55"/>
      <c r="H40" s="283"/>
      <c r="I40" s="283"/>
      <c r="J40" s="283"/>
      <c r="K40" s="284"/>
      <c r="L40" s="283"/>
      <c r="M40" s="283"/>
      <c r="N40" s="283"/>
      <c r="O40" s="283"/>
      <c r="P40" s="283"/>
      <c r="Q40" s="283"/>
      <c r="R40" s="283"/>
      <c r="S40" s="283"/>
      <c r="T40" s="283"/>
      <c r="U40" s="283"/>
      <c r="V40" s="283"/>
      <c r="W40" s="283"/>
      <c r="X40" s="283"/>
      <c r="Y40" s="283"/>
      <c r="Z40" s="283"/>
    </row>
    <row r="41" spans="1:26" ht="15.75" customHeight="1" x14ac:dyDescent="0.25">
      <c r="A41" s="42" t="s">
        <v>391</v>
      </c>
      <c r="B41" s="41"/>
      <c r="C41" s="43"/>
      <c r="D41" s="43"/>
      <c r="E41" s="43"/>
      <c r="F41" s="43"/>
      <c r="G41" s="43"/>
      <c r="H41" s="15"/>
      <c r="I41" s="15"/>
      <c r="J41" s="15"/>
      <c r="K41" s="16"/>
      <c r="L41" s="15"/>
      <c r="M41" s="15"/>
      <c r="N41" s="15"/>
      <c r="O41" s="15"/>
      <c r="P41" s="15"/>
      <c r="Q41" s="15"/>
      <c r="R41" s="15"/>
      <c r="S41" s="15"/>
      <c r="T41" s="15"/>
      <c r="U41" s="15"/>
      <c r="V41" s="15"/>
      <c r="W41" s="15"/>
      <c r="X41" s="15"/>
      <c r="Y41" s="15"/>
      <c r="Z41" s="15"/>
    </row>
    <row r="42" spans="1:26" ht="15.75" customHeight="1" x14ac:dyDescent="0.25">
      <c r="A42" s="42" t="s">
        <v>392</v>
      </c>
      <c r="B42" s="41"/>
      <c r="C42" s="43"/>
      <c r="D42" s="43"/>
      <c r="E42" s="43"/>
      <c r="F42" s="43"/>
      <c r="G42" s="43"/>
      <c r="H42" s="15"/>
      <c r="I42" s="15"/>
      <c r="J42" s="15"/>
      <c r="K42" s="16"/>
      <c r="L42" s="15"/>
      <c r="M42" s="15"/>
      <c r="N42" s="15"/>
      <c r="O42" s="15"/>
      <c r="P42" s="15"/>
      <c r="Q42" s="15"/>
      <c r="R42" s="15"/>
      <c r="S42" s="15"/>
      <c r="T42" s="15"/>
      <c r="U42" s="15"/>
      <c r="V42" s="15"/>
      <c r="W42" s="15"/>
      <c r="X42" s="15"/>
      <c r="Y42" s="15"/>
      <c r="Z42" s="15"/>
    </row>
    <row r="43" spans="1:26" ht="15.75" customHeight="1" x14ac:dyDescent="0.25">
      <c r="A43" s="44" t="s">
        <v>1356</v>
      </c>
      <c r="B43" s="41" t="s">
        <v>187</v>
      </c>
      <c r="C43" s="43">
        <v>160557.92000000001</v>
      </c>
      <c r="D43" s="43">
        <v>33127.199999999997</v>
      </c>
      <c r="E43" s="43">
        <f>F43-D43</f>
        <v>128872.8</v>
      </c>
      <c r="F43" s="43">
        <v>162000</v>
      </c>
      <c r="G43" s="43">
        <v>202500</v>
      </c>
      <c r="H43" s="15"/>
      <c r="I43" s="15"/>
      <c r="J43" s="15"/>
      <c r="K43" s="16"/>
      <c r="L43" s="15"/>
      <c r="M43" s="15"/>
      <c r="N43" s="15"/>
      <c r="O43" s="15"/>
      <c r="P43" s="15"/>
      <c r="Q43" s="15"/>
      <c r="R43" s="15"/>
      <c r="S43" s="15"/>
      <c r="T43" s="15"/>
      <c r="U43" s="15"/>
      <c r="V43" s="15"/>
      <c r="W43" s="15"/>
      <c r="X43" s="15"/>
      <c r="Y43" s="15"/>
      <c r="Z43" s="15"/>
    </row>
    <row r="44" spans="1:26" ht="15.75" customHeight="1" x14ac:dyDescent="0.25">
      <c r="A44" s="17" t="s">
        <v>395</v>
      </c>
      <c r="B44" s="41"/>
      <c r="C44" s="43"/>
      <c r="D44" s="43"/>
      <c r="E44" s="43"/>
      <c r="F44" s="43"/>
      <c r="G44" s="43"/>
      <c r="H44" s="15"/>
      <c r="I44" s="15"/>
      <c r="J44" s="15"/>
      <c r="K44" s="16"/>
      <c r="L44" s="15"/>
      <c r="M44" s="15"/>
      <c r="N44" s="15"/>
      <c r="O44" s="15"/>
      <c r="P44" s="15"/>
      <c r="Q44" s="15"/>
      <c r="R44" s="15"/>
      <c r="S44" s="15"/>
      <c r="T44" s="15"/>
      <c r="U44" s="15"/>
      <c r="V44" s="15"/>
      <c r="W44" s="15"/>
      <c r="X44" s="15"/>
      <c r="Y44" s="15"/>
      <c r="Z44" s="15"/>
    </row>
    <row r="45" spans="1:26" ht="15.75" customHeight="1" x14ac:dyDescent="0.25">
      <c r="A45" s="44" t="s">
        <v>1357</v>
      </c>
      <c r="B45" s="41" t="s">
        <v>191</v>
      </c>
      <c r="C45" s="43">
        <v>311230.15999999997</v>
      </c>
      <c r="D45" s="43">
        <v>244789.56</v>
      </c>
      <c r="E45" s="43">
        <f>F45-D45</f>
        <v>155210.44</v>
      </c>
      <c r="F45" s="43">
        <v>400000</v>
      </c>
      <c r="G45" s="43">
        <v>770000</v>
      </c>
      <c r="H45" s="15"/>
      <c r="I45" s="15"/>
      <c r="J45" s="15"/>
      <c r="K45" s="16"/>
      <c r="L45" s="15"/>
      <c r="M45" s="15"/>
      <c r="N45" s="15"/>
      <c r="O45" s="15"/>
      <c r="P45" s="15"/>
      <c r="Q45" s="15"/>
      <c r="R45" s="15"/>
      <c r="S45" s="15"/>
      <c r="T45" s="15"/>
      <c r="U45" s="15"/>
      <c r="V45" s="15"/>
      <c r="W45" s="15"/>
      <c r="X45" s="15"/>
      <c r="Y45" s="15"/>
      <c r="Z45" s="15"/>
    </row>
    <row r="46" spans="1:26" ht="15.75" customHeight="1" x14ac:dyDescent="0.25">
      <c r="A46" s="17" t="s">
        <v>397</v>
      </c>
      <c r="B46" s="41"/>
      <c r="C46" s="43"/>
      <c r="D46" s="43"/>
      <c r="E46" s="43"/>
      <c r="F46" s="15"/>
      <c r="G46" s="43"/>
      <c r="H46" s="15"/>
      <c r="I46" s="15"/>
      <c r="J46" s="15"/>
      <c r="K46" s="16"/>
      <c r="L46" s="15"/>
      <c r="M46" s="15"/>
      <c r="N46" s="15"/>
      <c r="O46" s="15"/>
      <c r="P46" s="15"/>
      <c r="Q46" s="15"/>
      <c r="R46" s="15"/>
      <c r="S46" s="15"/>
      <c r="T46" s="15"/>
      <c r="U46" s="15"/>
      <c r="V46" s="15"/>
      <c r="W46" s="15"/>
      <c r="X46" s="15"/>
      <c r="Y46" s="15"/>
      <c r="Z46" s="15"/>
    </row>
    <row r="47" spans="1:26" ht="15.75" customHeight="1" x14ac:dyDescent="0.25">
      <c r="A47" s="44" t="s">
        <v>1358</v>
      </c>
      <c r="B47" s="41" t="s">
        <v>195</v>
      </c>
      <c r="C47" s="43">
        <v>434106.81</v>
      </c>
      <c r="D47" s="43">
        <v>339148.52</v>
      </c>
      <c r="E47" s="43">
        <f t="shared" ref="E47:E50" si="3">F47-D47</f>
        <v>351179.48</v>
      </c>
      <c r="F47" s="43">
        <v>690328</v>
      </c>
      <c r="G47" s="43">
        <v>725689</v>
      </c>
      <c r="H47" s="15"/>
      <c r="I47" s="15"/>
      <c r="J47" s="15"/>
      <c r="K47" s="16"/>
      <c r="L47" s="15"/>
      <c r="M47" s="15"/>
      <c r="N47" s="15"/>
      <c r="O47" s="15"/>
      <c r="P47" s="15"/>
      <c r="Q47" s="15"/>
      <c r="R47" s="15"/>
      <c r="S47" s="15"/>
      <c r="T47" s="15"/>
      <c r="U47" s="15"/>
      <c r="V47" s="15"/>
      <c r="W47" s="15"/>
      <c r="X47" s="15"/>
      <c r="Y47" s="15"/>
      <c r="Z47" s="15"/>
    </row>
    <row r="48" spans="1:26" ht="15.75" customHeight="1" x14ac:dyDescent="0.25">
      <c r="A48" s="96" t="s">
        <v>1359</v>
      </c>
      <c r="B48" s="41" t="s">
        <v>221</v>
      </c>
      <c r="C48" s="43">
        <v>0</v>
      </c>
      <c r="D48" s="43">
        <v>41400</v>
      </c>
      <c r="E48" s="43">
        <f t="shared" si="3"/>
        <v>43200</v>
      </c>
      <c r="F48" s="45">
        <v>84600</v>
      </c>
      <c r="G48" s="43">
        <v>498000</v>
      </c>
      <c r="H48" s="15"/>
      <c r="I48" s="15"/>
      <c r="J48" s="15"/>
      <c r="K48" s="16"/>
      <c r="L48" s="15"/>
      <c r="M48" s="15"/>
      <c r="N48" s="15"/>
      <c r="O48" s="15"/>
      <c r="P48" s="15"/>
      <c r="Q48" s="15"/>
      <c r="R48" s="15"/>
      <c r="S48" s="15"/>
      <c r="T48" s="15"/>
      <c r="U48" s="15"/>
      <c r="V48" s="15"/>
      <c r="W48" s="15"/>
      <c r="X48" s="15"/>
      <c r="Y48" s="15"/>
      <c r="Z48" s="15"/>
    </row>
    <row r="49" spans="1:26" ht="15.75" customHeight="1" x14ac:dyDescent="0.25">
      <c r="A49" s="96" t="s">
        <v>1431</v>
      </c>
      <c r="B49" s="41" t="s">
        <v>223</v>
      </c>
      <c r="C49" s="43">
        <v>0</v>
      </c>
      <c r="D49" s="43">
        <v>80500</v>
      </c>
      <c r="E49" s="43">
        <f t="shared" si="3"/>
        <v>84000</v>
      </c>
      <c r="F49" s="45">
        <v>164500</v>
      </c>
      <c r="G49" s="43">
        <v>302500</v>
      </c>
      <c r="H49" s="15"/>
      <c r="I49" s="15"/>
      <c r="J49" s="15"/>
      <c r="K49" s="16"/>
      <c r="L49" s="15"/>
      <c r="M49" s="15"/>
      <c r="N49" s="15"/>
      <c r="O49" s="15"/>
      <c r="P49" s="15"/>
      <c r="Q49" s="15"/>
      <c r="R49" s="15"/>
      <c r="S49" s="15"/>
      <c r="T49" s="15"/>
      <c r="U49" s="15"/>
      <c r="V49" s="15"/>
      <c r="W49" s="15"/>
      <c r="X49" s="15"/>
      <c r="Y49" s="15"/>
      <c r="Z49" s="15"/>
    </row>
    <row r="50" spans="1:26" ht="15.75" customHeight="1" x14ac:dyDescent="0.25">
      <c r="A50" s="44" t="s">
        <v>1362</v>
      </c>
      <c r="B50" s="41" t="s">
        <v>225</v>
      </c>
      <c r="C50" s="43">
        <v>203526.08</v>
      </c>
      <c r="D50" s="43">
        <v>37312</v>
      </c>
      <c r="E50" s="43">
        <f t="shared" si="3"/>
        <v>61998</v>
      </c>
      <c r="F50" s="45">
        <v>99310</v>
      </c>
      <c r="G50" s="43">
        <v>120555</v>
      </c>
      <c r="H50" s="15"/>
      <c r="I50" s="15"/>
      <c r="J50" s="15"/>
      <c r="K50" s="16"/>
      <c r="L50" s="15"/>
      <c r="M50" s="15"/>
      <c r="N50" s="15"/>
      <c r="O50" s="15"/>
      <c r="P50" s="15"/>
      <c r="Q50" s="15"/>
      <c r="R50" s="15"/>
      <c r="S50" s="15"/>
      <c r="T50" s="15"/>
      <c r="U50" s="15"/>
      <c r="V50" s="15"/>
      <c r="W50" s="15"/>
      <c r="X50" s="15"/>
      <c r="Y50" s="15"/>
      <c r="Z50" s="15"/>
    </row>
    <row r="51" spans="1:26" ht="15.75" customHeight="1" x14ac:dyDescent="0.25">
      <c r="A51" s="42" t="s">
        <v>403</v>
      </c>
      <c r="B51" s="41"/>
      <c r="C51" s="43"/>
      <c r="D51" s="43"/>
      <c r="E51" s="43"/>
      <c r="F51" s="43"/>
      <c r="G51" s="43"/>
      <c r="H51" s="15"/>
      <c r="I51" s="15"/>
      <c r="J51" s="15"/>
      <c r="K51" s="16"/>
      <c r="L51" s="15"/>
      <c r="M51" s="15"/>
      <c r="N51" s="15"/>
      <c r="O51" s="15"/>
      <c r="P51" s="15"/>
      <c r="Q51" s="15"/>
      <c r="R51" s="15"/>
      <c r="S51" s="15"/>
      <c r="T51" s="15"/>
      <c r="U51" s="15"/>
      <c r="V51" s="15"/>
      <c r="W51" s="15"/>
      <c r="X51" s="15"/>
      <c r="Y51" s="15"/>
      <c r="Z51" s="15"/>
    </row>
    <row r="52" spans="1:26" ht="15.75" customHeight="1" x14ac:dyDescent="0.25">
      <c r="A52" s="48" t="s">
        <v>1419</v>
      </c>
      <c r="B52" s="49" t="s">
        <v>231</v>
      </c>
      <c r="C52" s="43">
        <v>30000</v>
      </c>
      <c r="D52" s="43">
        <v>30000</v>
      </c>
      <c r="E52" s="43">
        <f t="shared" ref="E52:E53" si="4">F52-D52</f>
        <v>30000</v>
      </c>
      <c r="F52" s="43">
        <v>60000</v>
      </c>
      <c r="G52" s="43">
        <v>60000</v>
      </c>
      <c r="H52" s="15"/>
      <c r="I52" s="15"/>
      <c r="J52" s="15"/>
      <c r="K52" s="16"/>
      <c r="L52" s="15"/>
      <c r="M52" s="15"/>
      <c r="N52" s="15"/>
      <c r="O52" s="15"/>
      <c r="P52" s="15"/>
      <c r="Q52" s="15"/>
      <c r="R52" s="15"/>
      <c r="S52" s="15"/>
      <c r="T52" s="15"/>
      <c r="U52" s="15"/>
      <c r="V52" s="15"/>
      <c r="W52" s="15"/>
      <c r="X52" s="15"/>
      <c r="Y52" s="15"/>
      <c r="Z52" s="15"/>
    </row>
    <row r="53" spans="1:26" ht="15.75" customHeight="1" x14ac:dyDescent="0.25">
      <c r="A53" s="44" t="s">
        <v>1363</v>
      </c>
      <c r="B53" s="41" t="s">
        <v>235</v>
      </c>
      <c r="C53" s="43">
        <v>42000</v>
      </c>
      <c r="D53" s="43">
        <v>27000</v>
      </c>
      <c r="E53" s="43">
        <f t="shared" si="4"/>
        <v>27000</v>
      </c>
      <c r="F53" s="43">
        <v>54000</v>
      </c>
      <c r="G53" s="43">
        <f>(2000+2500)*12</f>
        <v>54000</v>
      </c>
      <c r="H53" s="15"/>
      <c r="I53" s="15"/>
      <c r="J53" s="15"/>
      <c r="K53" s="16"/>
      <c r="L53" s="15"/>
      <c r="M53" s="15"/>
      <c r="N53" s="15"/>
      <c r="O53" s="15"/>
      <c r="P53" s="15"/>
      <c r="Q53" s="15"/>
      <c r="R53" s="15"/>
      <c r="S53" s="15"/>
      <c r="T53" s="15"/>
      <c r="U53" s="15"/>
      <c r="V53" s="15"/>
      <c r="W53" s="15"/>
      <c r="X53" s="15"/>
      <c r="Y53" s="15"/>
      <c r="Z53" s="15"/>
    </row>
    <row r="54" spans="1:26" ht="15.75" customHeight="1" x14ac:dyDescent="0.25">
      <c r="A54" s="17" t="s">
        <v>414</v>
      </c>
      <c r="B54" s="41"/>
      <c r="C54" s="43"/>
      <c r="D54" s="43"/>
      <c r="E54" s="43"/>
      <c r="F54" s="43"/>
      <c r="G54" s="43"/>
      <c r="H54" s="15"/>
      <c r="I54" s="15"/>
      <c r="J54" s="15"/>
      <c r="K54" s="16"/>
      <c r="L54" s="15"/>
      <c r="M54" s="15"/>
      <c r="N54" s="15"/>
      <c r="O54" s="15"/>
      <c r="P54" s="15"/>
      <c r="Q54" s="15"/>
      <c r="R54" s="15"/>
      <c r="S54" s="15"/>
      <c r="T54" s="15"/>
      <c r="U54" s="15"/>
      <c r="V54" s="15"/>
      <c r="W54" s="15"/>
      <c r="X54" s="15"/>
      <c r="Y54" s="15"/>
      <c r="Z54" s="15"/>
    </row>
    <row r="55" spans="1:26" ht="15.75" customHeight="1" x14ac:dyDescent="0.25">
      <c r="A55" s="44" t="s">
        <v>414</v>
      </c>
      <c r="B55" s="41" t="s">
        <v>335</v>
      </c>
      <c r="C55" s="43">
        <v>2133346</v>
      </c>
      <c r="D55" s="43">
        <v>990374</v>
      </c>
      <c r="E55" s="43">
        <f>F55-D55</f>
        <v>1596666</v>
      </c>
      <c r="F55" s="43">
        <v>2587040</v>
      </c>
      <c r="G55" s="440">
        <v>2735672</v>
      </c>
      <c r="H55" s="15"/>
      <c r="I55" s="15"/>
      <c r="J55" s="15"/>
      <c r="K55" s="16"/>
      <c r="L55" s="15"/>
      <c r="M55" s="15"/>
      <c r="N55" s="15"/>
      <c r="O55" s="15"/>
      <c r="P55" s="15"/>
      <c r="Q55" s="15"/>
      <c r="R55" s="15"/>
      <c r="S55" s="15"/>
      <c r="T55" s="15"/>
      <c r="U55" s="15"/>
      <c r="V55" s="15"/>
      <c r="W55" s="15"/>
      <c r="X55" s="15"/>
      <c r="Y55" s="15"/>
      <c r="Z55" s="15"/>
    </row>
    <row r="56" spans="1:26" ht="15.75" customHeight="1" x14ac:dyDescent="0.25">
      <c r="A56" s="44" t="s">
        <v>1432</v>
      </c>
      <c r="B56" s="41"/>
      <c r="C56" s="43"/>
      <c r="D56" s="43"/>
      <c r="E56" s="43"/>
      <c r="F56" s="43"/>
      <c r="G56" s="43"/>
      <c r="H56" s="15">
        <v>50000</v>
      </c>
      <c r="I56" s="15"/>
      <c r="J56" s="15"/>
      <c r="K56" s="16">
        <f>SUM(K59:K62)+H56:H57</f>
        <v>2669672</v>
      </c>
      <c r="L56" s="15"/>
      <c r="M56" s="15"/>
      <c r="N56" s="15"/>
      <c r="O56" s="15"/>
      <c r="P56" s="15"/>
      <c r="Q56" s="15"/>
      <c r="R56" s="15"/>
      <c r="S56" s="15"/>
      <c r="T56" s="15"/>
      <c r="U56" s="15"/>
      <c r="V56" s="15"/>
      <c r="W56" s="15"/>
      <c r="X56" s="15"/>
      <c r="Y56" s="15"/>
      <c r="Z56" s="15"/>
    </row>
    <row r="57" spans="1:26" ht="15.75" customHeight="1" x14ac:dyDescent="0.25">
      <c r="A57" s="610" t="s">
        <v>1433</v>
      </c>
      <c r="B57" s="483"/>
      <c r="C57" s="457"/>
      <c r="D57" s="457"/>
      <c r="E57" s="457"/>
      <c r="F57" s="457"/>
      <c r="G57" s="457"/>
      <c r="H57" s="15">
        <v>66000</v>
      </c>
      <c r="I57" s="15"/>
      <c r="J57" s="15"/>
      <c r="K57" s="16"/>
      <c r="L57" s="15"/>
      <c r="M57" s="15"/>
      <c r="N57" s="15"/>
      <c r="O57" s="15"/>
      <c r="P57" s="15"/>
      <c r="Q57" s="15"/>
      <c r="R57" s="15"/>
      <c r="S57" s="15"/>
      <c r="T57" s="15"/>
      <c r="U57" s="15"/>
      <c r="V57" s="15"/>
      <c r="W57" s="15"/>
      <c r="X57" s="15"/>
      <c r="Y57" s="15"/>
      <c r="Z57" s="15"/>
    </row>
    <row r="58" spans="1:26" ht="15.75" customHeight="1" x14ac:dyDescent="0.25">
      <c r="A58" s="611" t="s">
        <v>1202</v>
      </c>
      <c r="B58" s="601"/>
      <c r="C58" s="448"/>
      <c r="D58" s="448"/>
      <c r="E58" s="448"/>
      <c r="F58" s="448"/>
      <c r="G58" s="448"/>
      <c r="H58" s="15"/>
      <c r="I58" s="15"/>
      <c r="J58" s="15"/>
      <c r="K58" s="16"/>
      <c r="L58" s="15"/>
      <c r="M58" s="15"/>
      <c r="N58" s="15"/>
      <c r="O58" s="15"/>
      <c r="P58" s="15"/>
      <c r="Q58" s="15"/>
      <c r="R58" s="15"/>
      <c r="S58" s="15"/>
      <c r="T58" s="15"/>
      <c r="U58" s="15"/>
      <c r="V58" s="15"/>
      <c r="W58" s="15"/>
      <c r="X58" s="15"/>
      <c r="Y58" s="15"/>
      <c r="Z58" s="15"/>
    </row>
    <row r="59" spans="1:26" ht="15.75" x14ac:dyDescent="0.25">
      <c r="A59" s="44" t="s">
        <v>1434</v>
      </c>
      <c r="B59" s="41"/>
      <c r="C59" s="43"/>
      <c r="D59" s="43"/>
      <c r="E59" s="43"/>
      <c r="F59" s="43"/>
      <c r="G59" s="43"/>
      <c r="H59" s="15">
        <v>6</v>
      </c>
      <c r="I59" s="15">
        <f t="shared" ref="I59:I62" si="5">22*12</f>
        <v>264</v>
      </c>
      <c r="J59" s="15">
        <f>678</f>
        <v>678</v>
      </c>
      <c r="K59" s="16">
        <f t="shared" ref="K59:K62" si="6">J59*I59*H59</f>
        <v>1073952</v>
      </c>
      <c r="L59" s="15"/>
      <c r="M59" s="15"/>
      <c r="N59" s="15"/>
      <c r="O59" s="15"/>
      <c r="P59" s="15"/>
      <c r="Q59" s="15"/>
      <c r="R59" s="15"/>
      <c r="S59" s="15"/>
      <c r="T59" s="15"/>
      <c r="U59" s="15"/>
      <c r="V59" s="15"/>
      <c r="W59" s="15"/>
      <c r="X59" s="15"/>
      <c r="Y59" s="15"/>
      <c r="Z59" s="15"/>
    </row>
    <row r="60" spans="1:26" ht="15.75" customHeight="1" x14ac:dyDescent="0.25">
      <c r="A60" s="44" t="s">
        <v>1435</v>
      </c>
      <c r="B60" s="41"/>
      <c r="C60" s="43"/>
      <c r="D60" s="43"/>
      <c r="E60" s="43"/>
      <c r="F60" s="43"/>
      <c r="G60" s="43"/>
      <c r="H60" s="15">
        <v>3</v>
      </c>
      <c r="I60" s="15">
        <f t="shared" si="5"/>
        <v>264</v>
      </c>
      <c r="J60" s="15">
        <v>720</v>
      </c>
      <c r="K60" s="16">
        <f t="shared" si="6"/>
        <v>570240</v>
      </c>
      <c r="L60" s="15"/>
      <c r="M60" s="15"/>
      <c r="N60" s="15"/>
      <c r="O60" s="15"/>
      <c r="P60" s="15"/>
      <c r="Q60" s="15"/>
      <c r="R60" s="15"/>
      <c r="S60" s="15"/>
      <c r="T60" s="15"/>
      <c r="U60" s="15"/>
      <c r="V60" s="15"/>
      <c r="W60" s="15"/>
      <c r="X60" s="15"/>
      <c r="Y60" s="15"/>
      <c r="Z60" s="15"/>
    </row>
    <row r="61" spans="1:26" ht="15.75" customHeight="1" x14ac:dyDescent="0.25">
      <c r="A61" s="44" t="s">
        <v>1436</v>
      </c>
      <c r="B61" s="41"/>
      <c r="C61" s="43"/>
      <c r="D61" s="43"/>
      <c r="E61" s="43"/>
      <c r="F61" s="43"/>
      <c r="G61" s="43"/>
      <c r="H61" s="15">
        <v>1</v>
      </c>
      <c r="I61" s="15">
        <f t="shared" si="5"/>
        <v>264</v>
      </c>
      <c r="J61" s="15">
        <v>765</v>
      </c>
      <c r="K61" s="16">
        <f t="shared" si="6"/>
        <v>201960</v>
      </c>
      <c r="L61" s="15"/>
      <c r="M61" s="15"/>
      <c r="N61" s="15"/>
      <c r="O61" s="15"/>
      <c r="P61" s="15"/>
      <c r="Q61" s="15"/>
      <c r="R61" s="15"/>
      <c r="S61" s="15"/>
      <c r="T61" s="15"/>
      <c r="U61" s="15"/>
      <c r="V61" s="15"/>
      <c r="W61" s="15"/>
      <c r="X61" s="15"/>
      <c r="Y61" s="15"/>
      <c r="Z61" s="15"/>
    </row>
    <row r="62" spans="1:26" ht="15.75" customHeight="1" x14ac:dyDescent="0.25">
      <c r="A62" s="44" t="s">
        <v>1437</v>
      </c>
      <c r="B62" s="41"/>
      <c r="C62" s="43"/>
      <c r="D62" s="43"/>
      <c r="E62" s="43"/>
      <c r="F62" s="43"/>
      <c r="G62" s="43"/>
      <c r="H62" s="15">
        <v>2</v>
      </c>
      <c r="I62" s="15">
        <f t="shared" si="5"/>
        <v>264</v>
      </c>
      <c r="J62" s="15">
        <v>1465</v>
      </c>
      <c r="K62" s="16">
        <f t="shared" si="6"/>
        <v>773520</v>
      </c>
      <c r="L62" s="15"/>
      <c r="M62" s="15"/>
      <c r="N62" s="15"/>
      <c r="O62" s="15"/>
      <c r="P62" s="15"/>
      <c r="Q62" s="15"/>
      <c r="R62" s="15"/>
      <c r="S62" s="15"/>
      <c r="T62" s="15"/>
      <c r="U62" s="15"/>
      <c r="V62" s="15"/>
      <c r="W62" s="15"/>
      <c r="X62" s="15"/>
      <c r="Y62" s="15"/>
      <c r="Z62" s="15"/>
    </row>
    <row r="63" spans="1:26" ht="15.75" customHeight="1" x14ac:dyDescent="0.25">
      <c r="A63" s="42" t="s">
        <v>466</v>
      </c>
      <c r="B63" s="41"/>
      <c r="C63" s="54">
        <f t="shared" ref="C63:D63" si="7">+SUM(C43:C55)</f>
        <v>3314766.9699999997</v>
      </c>
      <c r="D63" s="54">
        <f t="shared" si="7"/>
        <v>1823651.28</v>
      </c>
      <c r="E63" s="54">
        <f>F63-D63</f>
        <v>2478126.7199999997</v>
      </c>
      <c r="F63" s="54">
        <f>+SUM(F43:F55)</f>
        <v>4301778</v>
      </c>
      <c r="G63" s="54">
        <f>SUM(G43:G62)</f>
        <v>5468916</v>
      </c>
      <c r="H63" s="15"/>
      <c r="I63" s="15"/>
      <c r="J63" s="15"/>
      <c r="K63" s="16"/>
      <c r="L63" s="15"/>
      <c r="M63" s="15"/>
      <c r="N63" s="15"/>
      <c r="O63" s="15"/>
      <c r="P63" s="15"/>
      <c r="Q63" s="15"/>
      <c r="R63" s="15"/>
      <c r="S63" s="15"/>
      <c r="T63" s="15"/>
      <c r="U63" s="15"/>
      <c r="V63" s="15"/>
      <c r="W63" s="15"/>
      <c r="X63" s="15"/>
      <c r="Y63" s="15"/>
      <c r="Z63" s="15"/>
    </row>
    <row r="64" spans="1:26" ht="15.75" customHeight="1" x14ac:dyDescent="0.25">
      <c r="A64" s="17"/>
      <c r="B64" s="41"/>
      <c r="C64" s="55"/>
      <c r="D64" s="55"/>
      <c r="E64" s="43"/>
      <c r="F64" s="55"/>
      <c r="G64" s="55"/>
      <c r="H64" s="15"/>
      <c r="I64" s="15"/>
      <c r="J64" s="15"/>
      <c r="K64" s="16"/>
      <c r="L64" s="15"/>
      <c r="M64" s="15"/>
      <c r="N64" s="15"/>
      <c r="O64" s="15"/>
      <c r="P64" s="15"/>
      <c r="Q64" s="15"/>
      <c r="R64" s="15"/>
      <c r="S64" s="15"/>
      <c r="T64" s="15"/>
      <c r="U64" s="15"/>
      <c r="V64" s="15"/>
      <c r="W64" s="15"/>
      <c r="X64" s="15"/>
      <c r="Y64" s="15"/>
      <c r="Z64" s="15"/>
    </row>
    <row r="65" spans="1:26" ht="15.75" customHeight="1" x14ac:dyDescent="0.25">
      <c r="A65" s="17" t="s">
        <v>467</v>
      </c>
      <c r="B65" s="41"/>
      <c r="C65" s="43">
        <f t="shared" ref="C65:D65" si="8">C39+C63</f>
        <v>27126271.859999999</v>
      </c>
      <c r="D65" s="43">
        <f t="shared" si="8"/>
        <v>12940628.91</v>
      </c>
      <c r="E65" s="43">
        <f>F65-D65</f>
        <v>18719196.09</v>
      </c>
      <c r="F65" s="43">
        <f t="shared" ref="F65:G65" si="9">F39+F63</f>
        <v>31659825</v>
      </c>
      <c r="G65" s="43">
        <f t="shared" si="9"/>
        <v>34692311</v>
      </c>
      <c r="H65" s="15"/>
      <c r="I65" s="15"/>
      <c r="J65" s="15"/>
      <c r="K65" s="16"/>
      <c r="L65" s="15"/>
      <c r="M65" s="15"/>
      <c r="N65" s="15"/>
      <c r="O65" s="15"/>
      <c r="P65" s="15"/>
      <c r="Q65" s="15"/>
      <c r="R65" s="15"/>
      <c r="S65" s="15"/>
      <c r="T65" s="15"/>
      <c r="U65" s="15"/>
      <c r="V65" s="15"/>
      <c r="W65" s="15"/>
      <c r="X65" s="15"/>
      <c r="Y65" s="15"/>
      <c r="Z65" s="15"/>
    </row>
    <row r="66" spans="1:26" ht="15.75" customHeight="1" x14ac:dyDescent="0.25">
      <c r="A66" s="42"/>
      <c r="B66" s="94"/>
      <c r="C66" s="43"/>
      <c r="D66" s="43"/>
      <c r="E66" s="43"/>
      <c r="F66" s="43"/>
      <c r="G66" s="43"/>
      <c r="H66" s="15"/>
      <c r="I66" s="15"/>
      <c r="J66" s="15"/>
      <c r="K66" s="16"/>
      <c r="L66" s="15"/>
      <c r="M66" s="15"/>
      <c r="N66" s="15"/>
      <c r="O66" s="15"/>
      <c r="P66" s="15"/>
      <c r="Q66" s="15"/>
      <c r="R66" s="15"/>
      <c r="S66" s="15"/>
      <c r="T66" s="15"/>
      <c r="U66" s="15"/>
      <c r="V66" s="15"/>
      <c r="W66" s="15"/>
      <c r="X66" s="15"/>
      <c r="Y66" s="15"/>
      <c r="Z66" s="15"/>
    </row>
    <row r="67" spans="1:26" ht="15.75" customHeight="1" x14ac:dyDescent="0.25">
      <c r="A67" s="42" t="s">
        <v>529</v>
      </c>
      <c r="B67" s="94"/>
      <c r="C67" s="43"/>
      <c r="D67" s="43"/>
      <c r="E67" s="43"/>
      <c r="F67" s="43"/>
      <c r="G67" s="43"/>
      <c r="H67" s="15"/>
      <c r="I67" s="14"/>
      <c r="J67" s="15"/>
      <c r="K67" s="16"/>
      <c r="L67" s="15"/>
      <c r="M67" s="15"/>
      <c r="N67" s="15"/>
      <c r="O67" s="15"/>
      <c r="P67" s="15"/>
      <c r="Q67" s="15"/>
      <c r="R67" s="15"/>
      <c r="S67" s="15"/>
      <c r="T67" s="15"/>
      <c r="U67" s="15"/>
      <c r="V67" s="15"/>
      <c r="W67" s="15"/>
      <c r="X67" s="15"/>
      <c r="Y67" s="15"/>
      <c r="Z67" s="15"/>
    </row>
    <row r="68" spans="1:26" ht="15.75" customHeight="1" x14ac:dyDescent="0.25">
      <c r="A68" s="161" t="s">
        <v>673</v>
      </c>
      <c r="B68" s="94"/>
      <c r="C68" s="43"/>
      <c r="D68" s="43"/>
      <c r="E68" s="43"/>
      <c r="F68" s="43"/>
      <c r="G68" s="43"/>
      <c r="H68" s="15"/>
      <c r="I68" s="15"/>
      <c r="J68" s="15"/>
      <c r="K68" s="16"/>
      <c r="L68" s="15"/>
      <c r="M68" s="15"/>
      <c r="N68" s="15"/>
      <c r="O68" s="15"/>
      <c r="P68" s="15"/>
      <c r="Q68" s="15"/>
      <c r="R68" s="15"/>
      <c r="S68" s="15"/>
      <c r="T68" s="15"/>
      <c r="U68" s="15"/>
      <c r="V68" s="15"/>
      <c r="W68" s="15"/>
      <c r="X68" s="15"/>
      <c r="Y68" s="15"/>
      <c r="Z68" s="15"/>
    </row>
    <row r="69" spans="1:26" ht="15.75" customHeight="1" x14ac:dyDescent="0.25">
      <c r="A69" s="96" t="s">
        <v>941</v>
      </c>
      <c r="B69" s="41" t="s">
        <v>47</v>
      </c>
      <c r="C69" s="43">
        <v>0</v>
      </c>
      <c r="D69" s="43">
        <v>0</v>
      </c>
      <c r="E69" s="43">
        <f t="shared" ref="E69" si="10">F69-D69</f>
        <v>199990</v>
      </c>
      <c r="F69" s="43">
        <v>199990</v>
      </c>
      <c r="G69" s="43">
        <v>79990</v>
      </c>
      <c r="H69" s="15"/>
      <c r="I69" s="15"/>
      <c r="J69" s="15"/>
      <c r="K69" s="16"/>
      <c r="L69" s="15"/>
      <c r="M69" s="15"/>
      <c r="N69" s="15"/>
      <c r="O69" s="15"/>
      <c r="P69" s="15"/>
      <c r="Q69" s="15"/>
      <c r="R69" s="15"/>
      <c r="S69" s="15"/>
      <c r="T69" s="15"/>
      <c r="U69" s="15"/>
      <c r="V69" s="15"/>
      <c r="W69" s="15"/>
      <c r="X69" s="15"/>
      <c r="Y69" s="15"/>
      <c r="Z69" s="15"/>
    </row>
    <row r="70" spans="1:26" ht="15.75" customHeight="1" x14ac:dyDescent="0.25">
      <c r="A70" s="44" t="s">
        <v>1438</v>
      </c>
      <c r="B70" s="41"/>
      <c r="C70" s="43"/>
      <c r="D70" s="43"/>
      <c r="E70" s="43"/>
      <c r="F70" s="43"/>
      <c r="G70" s="43"/>
      <c r="H70" s="15"/>
      <c r="I70" s="15"/>
      <c r="J70" s="15"/>
      <c r="K70" s="16"/>
      <c r="L70" s="15"/>
      <c r="M70" s="15"/>
      <c r="N70" s="15"/>
      <c r="O70" s="15"/>
      <c r="P70" s="15"/>
      <c r="Q70" s="15"/>
      <c r="R70" s="15"/>
      <c r="S70" s="15"/>
      <c r="T70" s="15"/>
      <c r="U70" s="15"/>
      <c r="V70" s="15"/>
      <c r="W70" s="15"/>
      <c r="X70" s="15"/>
      <c r="Y70" s="15"/>
      <c r="Z70" s="15"/>
    </row>
    <row r="71" spans="1:26" ht="15.75" customHeight="1" x14ac:dyDescent="0.25">
      <c r="A71" s="17" t="s">
        <v>536</v>
      </c>
      <c r="B71" s="172"/>
      <c r="C71" s="54">
        <f>+SUM(C67:C70)</f>
        <v>0</v>
      </c>
      <c r="D71" s="54">
        <f>+SUM(D67:D70)</f>
        <v>0</v>
      </c>
      <c r="E71" s="54">
        <f t="shared" ref="E71" si="11">F71-D71</f>
        <v>199990</v>
      </c>
      <c r="F71" s="54">
        <f>+SUM(F69:F70)</f>
        <v>199990</v>
      </c>
      <c r="G71" s="54">
        <f>+SUM(G67:G70)</f>
        <v>79990</v>
      </c>
      <c r="K71" s="40"/>
    </row>
    <row r="72" spans="1:26" ht="15.75" customHeight="1" x14ac:dyDescent="0.25">
      <c r="A72" s="17"/>
      <c r="B72" s="172"/>
      <c r="C72" s="43"/>
      <c r="D72" s="43"/>
      <c r="E72" s="43"/>
      <c r="F72" s="43"/>
      <c r="G72" s="43"/>
      <c r="K72" s="40"/>
    </row>
    <row r="73" spans="1:26" ht="15.75" customHeight="1" x14ac:dyDescent="0.25">
      <c r="A73" s="640" t="s">
        <v>487</v>
      </c>
      <c r="B73" s="641" t="s">
        <v>488</v>
      </c>
      <c r="C73" s="634">
        <f>C65+C71</f>
        <v>27126271.859999999</v>
      </c>
      <c r="D73" s="634">
        <f>D65+D71</f>
        <v>12940628.91</v>
      </c>
      <c r="E73" s="634">
        <f>F73-D73</f>
        <v>18919186.09</v>
      </c>
      <c r="F73" s="634">
        <f>F65+F71</f>
        <v>31859815</v>
      </c>
      <c r="G73" s="634">
        <f>G65+G71</f>
        <v>34772301</v>
      </c>
      <c r="K73" s="40"/>
    </row>
    <row r="74" spans="1:26" ht="15.75" customHeight="1" x14ac:dyDescent="0.25">
      <c r="A74" s="637"/>
      <c r="B74" s="663"/>
      <c r="C74" s="664"/>
      <c r="D74" s="664"/>
      <c r="E74" s="664"/>
      <c r="F74" s="665"/>
      <c r="G74" s="665"/>
      <c r="K74" s="40"/>
    </row>
    <row r="75" spans="1:26" ht="15.75" customHeight="1" x14ac:dyDescent="0.25">
      <c r="A75" s="24"/>
      <c r="B75" s="174"/>
      <c r="C75" s="24"/>
      <c r="D75" s="24"/>
      <c r="E75" s="24"/>
      <c r="K75" s="40"/>
    </row>
    <row r="76" spans="1:26" ht="15.75" customHeight="1" x14ac:dyDescent="0.25">
      <c r="A76" s="24"/>
      <c r="B76" s="174"/>
      <c r="C76" s="24"/>
      <c r="D76" s="24"/>
      <c r="E76" s="24"/>
      <c r="K76" s="40"/>
    </row>
    <row r="77" spans="1:26" ht="15.75" customHeight="1" x14ac:dyDescent="0.25">
      <c r="A77" s="24"/>
      <c r="B77" s="174"/>
      <c r="C77" s="24"/>
      <c r="D77" s="24"/>
      <c r="E77" s="24"/>
      <c r="K77" s="40"/>
    </row>
    <row r="78" spans="1:26" ht="15.75" customHeight="1" x14ac:dyDescent="0.25">
      <c r="A78" s="24"/>
      <c r="B78" s="174"/>
      <c r="C78" s="24"/>
      <c r="D78" s="24"/>
      <c r="E78" s="24"/>
      <c r="K78" s="40"/>
    </row>
    <row r="79" spans="1:26" ht="15.75" customHeight="1" x14ac:dyDescent="0.25">
      <c r="A79" s="24"/>
      <c r="B79" s="174"/>
      <c r="C79" s="24"/>
      <c r="D79" s="24"/>
      <c r="E79" s="24"/>
      <c r="K79" s="40"/>
    </row>
    <row r="80" spans="1:26" ht="15.75" customHeight="1" x14ac:dyDescent="0.25">
      <c r="A80" s="24"/>
      <c r="B80" s="174"/>
      <c r="C80" s="24"/>
      <c r="D80" s="24"/>
      <c r="E80" s="24"/>
      <c r="K80" s="40"/>
    </row>
    <row r="81" spans="1:11" ht="15.75" customHeight="1" x14ac:dyDescent="0.25">
      <c r="A81" s="24"/>
      <c r="B81" s="174"/>
      <c r="C81" s="24"/>
      <c r="D81" s="24"/>
      <c r="E81" s="24"/>
      <c r="K81" s="40"/>
    </row>
    <row r="82" spans="1:11" ht="15.75" customHeight="1" x14ac:dyDescent="0.25">
      <c r="A82" s="24"/>
      <c r="B82" s="174"/>
      <c r="C82" s="24"/>
      <c r="D82" s="24"/>
      <c r="E82" s="24"/>
      <c r="K82" s="40"/>
    </row>
    <row r="83" spans="1:11" ht="15.75" customHeight="1" x14ac:dyDescent="0.25">
      <c r="A83" s="24"/>
      <c r="B83" s="174"/>
      <c r="C83" s="24"/>
      <c r="D83" s="24"/>
      <c r="E83" s="24"/>
      <c r="K83" s="40"/>
    </row>
    <row r="84" spans="1:11" ht="15.75" customHeight="1" x14ac:dyDescent="0.25">
      <c r="A84" s="24"/>
      <c r="B84" s="174"/>
      <c r="C84" s="24"/>
      <c r="D84" s="24"/>
      <c r="E84" s="24"/>
      <c r="K84" s="40"/>
    </row>
    <row r="85" spans="1:11" ht="15.75" customHeight="1" x14ac:dyDescent="0.25">
      <c r="A85" s="24"/>
      <c r="B85" s="174"/>
      <c r="C85" s="24"/>
      <c r="D85" s="24"/>
      <c r="E85" s="24"/>
      <c r="K85" s="40"/>
    </row>
    <row r="86" spans="1:11" ht="15.75" customHeight="1" x14ac:dyDescent="0.25">
      <c r="A86" s="24"/>
      <c r="B86" s="174"/>
      <c r="C86" s="24"/>
      <c r="D86" s="24"/>
      <c r="E86" s="24"/>
      <c r="K86" s="40"/>
    </row>
    <row r="87" spans="1:11" ht="15.75" customHeight="1" x14ac:dyDescent="0.25">
      <c r="A87" s="24"/>
      <c r="B87" s="174"/>
      <c r="C87" s="24"/>
      <c r="D87" s="24"/>
      <c r="E87" s="24"/>
      <c r="K87" s="40"/>
    </row>
    <row r="88" spans="1:11" ht="15.75" customHeight="1" x14ac:dyDescent="0.25">
      <c r="A88" s="24"/>
      <c r="B88" s="174"/>
      <c r="C88" s="24"/>
      <c r="D88" s="24"/>
      <c r="E88" s="24"/>
      <c r="K88" s="40"/>
    </row>
    <row r="89" spans="1:11" ht="15.75" customHeight="1" x14ac:dyDescent="0.25">
      <c r="A89" s="24"/>
      <c r="B89" s="174"/>
      <c r="C89" s="24"/>
      <c r="D89" s="24"/>
      <c r="E89" s="24"/>
      <c r="K89" s="40"/>
    </row>
    <row r="90" spans="1:11" ht="15.75" customHeight="1" x14ac:dyDescent="0.25">
      <c r="A90" s="24"/>
      <c r="B90" s="174"/>
      <c r="C90" s="24"/>
      <c r="D90" s="24"/>
      <c r="E90" s="24"/>
      <c r="K90" s="40"/>
    </row>
    <row r="91" spans="1:11" ht="15.75" customHeight="1" x14ac:dyDescent="0.25">
      <c r="A91" s="24"/>
      <c r="B91" s="174"/>
      <c r="C91" s="24"/>
      <c r="D91" s="24"/>
      <c r="E91" s="24"/>
      <c r="K91" s="40"/>
    </row>
    <row r="92" spans="1:11" ht="15.75" customHeight="1" x14ac:dyDescent="0.25">
      <c r="A92" s="24"/>
      <c r="B92" s="174"/>
      <c r="C92" s="24"/>
      <c r="D92" s="24"/>
      <c r="E92" s="24"/>
      <c r="K92" s="40"/>
    </row>
    <row r="93" spans="1:11" ht="15.75" customHeight="1" x14ac:dyDescent="0.25">
      <c r="A93" s="24"/>
      <c r="B93" s="174"/>
      <c r="C93" s="24"/>
      <c r="D93" s="24"/>
      <c r="E93" s="24"/>
      <c r="K93" s="40"/>
    </row>
    <row r="94" spans="1:11" ht="15.75" customHeight="1" x14ac:dyDescent="0.25">
      <c r="A94" s="24"/>
      <c r="B94" s="174"/>
      <c r="C94" s="24"/>
      <c r="D94" s="24"/>
      <c r="E94" s="24"/>
      <c r="K94" s="40"/>
    </row>
    <row r="95" spans="1:11" ht="15.75" customHeight="1" x14ac:dyDescent="0.25">
      <c r="A95" s="24"/>
      <c r="B95" s="174"/>
      <c r="C95" s="24"/>
      <c r="D95" s="24"/>
      <c r="E95" s="24"/>
      <c r="K95" s="40"/>
    </row>
    <row r="96" spans="1:11" ht="15.75" customHeight="1" x14ac:dyDescent="0.25">
      <c r="A96" s="24"/>
      <c r="B96" s="174"/>
      <c r="C96" s="24"/>
      <c r="D96" s="24"/>
      <c r="E96" s="24"/>
      <c r="K96" s="40"/>
    </row>
    <row r="97" spans="1:11" ht="15.75" customHeight="1" x14ac:dyDescent="0.25">
      <c r="A97" s="24"/>
      <c r="B97" s="174"/>
      <c r="C97" s="24"/>
      <c r="D97" s="24"/>
      <c r="E97" s="24"/>
      <c r="K97" s="40"/>
    </row>
    <row r="98" spans="1:11" ht="15.75" customHeight="1" x14ac:dyDescent="0.25">
      <c r="A98" s="24"/>
      <c r="B98" s="174"/>
      <c r="C98" s="24"/>
      <c r="D98" s="24"/>
      <c r="E98" s="24"/>
      <c r="K98" s="40"/>
    </row>
    <row r="99" spans="1:11" ht="15.75" customHeight="1" x14ac:dyDescent="0.25">
      <c r="A99" s="24"/>
      <c r="B99" s="174"/>
      <c r="C99" s="24"/>
      <c r="D99" s="24"/>
      <c r="E99" s="24"/>
      <c r="K99" s="40"/>
    </row>
    <row r="100" spans="1:11" ht="15.75" customHeight="1" x14ac:dyDescent="0.25">
      <c r="A100" s="24"/>
      <c r="B100" s="174"/>
      <c r="C100" s="24"/>
      <c r="D100" s="24"/>
      <c r="E100" s="24"/>
      <c r="K100" s="40"/>
    </row>
    <row r="101" spans="1:11" ht="15.75" customHeight="1" x14ac:dyDescent="0.25">
      <c r="A101" s="24"/>
      <c r="B101" s="174"/>
      <c r="C101" s="24"/>
      <c r="D101" s="24"/>
      <c r="E101" s="24"/>
      <c r="K101" s="40"/>
    </row>
    <row r="102" spans="1:11" ht="15.75" customHeight="1" x14ac:dyDescent="0.25">
      <c r="A102" s="24"/>
      <c r="B102" s="174"/>
      <c r="C102" s="24"/>
      <c r="D102" s="24"/>
      <c r="E102" s="24"/>
      <c r="K102" s="40"/>
    </row>
    <row r="103" spans="1:11" ht="15.75" customHeight="1" x14ac:dyDescent="0.25">
      <c r="A103" s="24"/>
      <c r="B103" s="174"/>
      <c r="C103" s="24"/>
      <c r="D103" s="24"/>
      <c r="E103" s="24"/>
      <c r="K103" s="40"/>
    </row>
    <row r="104" spans="1:11" ht="15.75" customHeight="1" x14ac:dyDescent="0.25">
      <c r="A104" s="24"/>
      <c r="B104" s="174"/>
      <c r="C104" s="24"/>
      <c r="D104" s="24"/>
      <c r="E104" s="24"/>
      <c r="K104" s="40"/>
    </row>
    <row r="105" spans="1:11" ht="15.75" customHeight="1" x14ac:dyDescent="0.25">
      <c r="A105" s="24"/>
      <c r="B105" s="174"/>
      <c r="C105" s="24"/>
      <c r="D105" s="24"/>
      <c r="E105" s="24"/>
      <c r="K105" s="40"/>
    </row>
    <row r="106" spans="1:11" ht="15.75" customHeight="1" x14ac:dyDescent="0.25">
      <c r="A106" s="24"/>
      <c r="B106" s="174"/>
      <c r="C106" s="24"/>
      <c r="D106" s="24"/>
      <c r="E106" s="24"/>
      <c r="K106" s="40"/>
    </row>
    <row r="107" spans="1:11" ht="15.75" customHeight="1" x14ac:dyDescent="0.25">
      <c r="A107" s="24"/>
      <c r="B107" s="174"/>
      <c r="C107" s="24"/>
      <c r="D107" s="24"/>
      <c r="E107" s="24"/>
      <c r="K107" s="40"/>
    </row>
    <row r="108" spans="1:11" ht="15.75" customHeight="1" x14ac:dyDescent="0.25">
      <c r="A108" s="24"/>
      <c r="B108" s="174"/>
      <c r="C108" s="24"/>
      <c r="D108" s="24"/>
      <c r="E108" s="24"/>
      <c r="K108" s="40"/>
    </row>
    <row r="109" spans="1:11" ht="15.75" customHeight="1" x14ac:dyDescent="0.25">
      <c r="A109" s="24"/>
      <c r="B109" s="174"/>
      <c r="C109" s="24"/>
      <c r="D109" s="24"/>
      <c r="E109" s="24"/>
      <c r="K109" s="40"/>
    </row>
    <row r="110" spans="1:11" ht="15.75" customHeight="1" x14ac:dyDescent="0.25">
      <c r="A110" s="24"/>
      <c r="B110" s="174"/>
      <c r="C110" s="24"/>
      <c r="D110" s="24"/>
      <c r="E110" s="24"/>
      <c r="K110" s="40"/>
    </row>
    <row r="111" spans="1:11" ht="15.75" customHeight="1" x14ac:dyDescent="0.25">
      <c r="A111" s="24"/>
      <c r="B111" s="174"/>
      <c r="C111" s="24"/>
      <c r="D111" s="24"/>
      <c r="E111" s="24"/>
      <c r="K111" s="40"/>
    </row>
    <row r="112" spans="1:11" ht="15.75" customHeight="1" x14ac:dyDescent="0.25">
      <c r="A112" s="24"/>
      <c r="B112" s="174"/>
      <c r="C112" s="24"/>
      <c r="D112" s="24"/>
      <c r="E112" s="24"/>
      <c r="K112" s="40"/>
    </row>
    <row r="113" spans="1:11" ht="15.75" customHeight="1" x14ac:dyDescent="0.25">
      <c r="A113" s="24"/>
      <c r="B113" s="174"/>
      <c r="C113" s="24"/>
      <c r="D113" s="24"/>
      <c r="E113" s="24"/>
      <c r="K113" s="40"/>
    </row>
    <row r="114" spans="1:11" ht="15.75" customHeight="1" x14ac:dyDescent="0.25">
      <c r="A114" s="24"/>
      <c r="B114" s="174"/>
      <c r="C114" s="24"/>
      <c r="D114" s="24"/>
      <c r="E114" s="24"/>
      <c r="K114" s="40"/>
    </row>
    <row r="115" spans="1:11" ht="15.75" customHeight="1" x14ac:dyDescent="0.25">
      <c r="A115" s="24"/>
      <c r="B115" s="174"/>
      <c r="C115" s="24"/>
      <c r="D115" s="24"/>
      <c r="E115" s="24"/>
      <c r="K115" s="40"/>
    </row>
    <row r="116" spans="1:11" ht="15.75" customHeight="1" x14ac:dyDescent="0.25">
      <c r="A116" s="24"/>
      <c r="B116" s="174"/>
      <c r="C116" s="24"/>
      <c r="D116" s="24"/>
      <c r="E116" s="24"/>
      <c r="K116" s="40"/>
    </row>
    <row r="117" spans="1:11" ht="15.75" customHeight="1" x14ac:dyDescent="0.25">
      <c r="A117" s="24"/>
      <c r="B117" s="174"/>
      <c r="C117" s="24"/>
      <c r="D117" s="24"/>
      <c r="E117" s="24"/>
      <c r="K117" s="40"/>
    </row>
    <row r="118" spans="1:11" ht="15.75" customHeight="1" x14ac:dyDescent="0.25">
      <c r="A118" s="24"/>
      <c r="B118" s="174"/>
      <c r="C118" s="24"/>
      <c r="D118" s="24"/>
      <c r="E118" s="24"/>
      <c r="K118" s="40"/>
    </row>
    <row r="119" spans="1:11" ht="15.75" customHeight="1" x14ac:dyDescent="0.25">
      <c r="A119" s="24"/>
      <c r="B119" s="174"/>
      <c r="C119" s="24"/>
      <c r="D119" s="24"/>
      <c r="E119" s="24"/>
      <c r="K119" s="40"/>
    </row>
    <row r="120" spans="1:11" ht="15.75" customHeight="1" x14ac:dyDescent="0.25">
      <c r="A120" s="24"/>
      <c r="B120" s="174"/>
      <c r="C120" s="24"/>
      <c r="D120" s="24"/>
      <c r="E120" s="24"/>
      <c r="K120" s="40"/>
    </row>
    <row r="121" spans="1:11" ht="15.75" customHeight="1" x14ac:dyDescent="0.25">
      <c r="A121" s="24"/>
      <c r="B121" s="174"/>
      <c r="C121" s="24"/>
      <c r="D121" s="24"/>
      <c r="E121" s="24"/>
      <c r="K121" s="40"/>
    </row>
    <row r="122" spans="1:11" ht="15.75" customHeight="1" x14ac:dyDescent="0.25">
      <c r="A122" s="24"/>
      <c r="B122" s="174"/>
      <c r="C122" s="24"/>
      <c r="D122" s="24"/>
      <c r="E122" s="24"/>
      <c r="K122" s="40"/>
    </row>
    <row r="123" spans="1:11" ht="15.75" customHeight="1" x14ac:dyDescent="0.25">
      <c r="A123" s="24"/>
      <c r="B123" s="174"/>
      <c r="C123" s="24"/>
      <c r="D123" s="24"/>
      <c r="E123" s="24"/>
      <c r="K123" s="40"/>
    </row>
    <row r="124" spans="1:11" ht="15.75" customHeight="1" x14ac:dyDescent="0.25">
      <c r="A124" s="24"/>
      <c r="B124" s="174"/>
      <c r="C124" s="24"/>
      <c r="D124" s="24"/>
      <c r="E124" s="24"/>
      <c r="K124" s="40"/>
    </row>
    <row r="125" spans="1:11" ht="15.75" customHeight="1" x14ac:dyDescent="0.25">
      <c r="A125" s="24"/>
      <c r="B125" s="174"/>
      <c r="C125" s="24"/>
      <c r="D125" s="24"/>
      <c r="E125" s="24"/>
      <c r="K125" s="40"/>
    </row>
    <row r="126" spans="1:11" ht="15.75" customHeight="1" x14ac:dyDescent="0.25">
      <c r="A126" s="24"/>
      <c r="B126" s="174"/>
      <c r="C126" s="24"/>
      <c r="D126" s="24"/>
      <c r="E126" s="24"/>
      <c r="K126" s="40"/>
    </row>
    <row r="127" spans="1:11" ht="15.75" customHeight="1" x14ac:dyDescent="0.25">
      <c r="A127" s="24"/>
      <c r="B127" s="174"/>
      <c r="C127" s="24"/>
      <c r="D127" s="24"/>
      <c r="E127" s="24"/>
      <c r="K127" s="40"/>
    </row>
    <row r="128" spans="1:11" ht="15.75" customHeight="1" x14ac:dyDescent="0.25">
      <c r="A128" s="24"/>
      <c r="B128" s="174"/>
      <c r="C128" s="24"/>
      <c r="D128" s="24"/>
      <c r="E128" s="24"/>
      <c r="K128" s="40"/>
    </row>
    <row r="129" spans="1:11" ht="15.75" customHeight="1" x14ac:dyDescent="0.25">
      <c r="A129" s="24"/>
      <c r="B129" s="174"/>
      <c r="C129" s="24"/>
      <c r="D129" s="24"/>
      <c r="E129" s="24"/>
      <c r="K129" s="40"/>
    </row>
    <row r="130" spans="1:11" ht="15.75" customHeight="1" x14ac:dyDescent="0.25">
      <c r="A130" s="24"/>
      <c r="B130" s="174"/>
      <c r="C130" s="24"/>
      <c r="D130" s="24"/>
      <c r="E130" s="24"/>
      <c r="K130" s="40"/>
    </row>
    <row r="131" spans="1:11" ht="15.75" customHeight="1" x14ac:dyDescent="0.25">
      <c r="A131" s="24"/>
      <c r="B131" s="174"/>
      <c r="C131" s="24"/>
      <c r="D131" s="24"/>
      <c r="E131" s="24"/>
      <c r="K131" s="40"/>
    </row>
    <row r="132" spans="1:11" ht="15.75" customHeight="1" x14ac:dyDescent="0.25">
      <c r="A132" s="24"/>
      <c r="B132" s="174"/>
      <c r="C132" s="24"/>
      <c r="D132" s="24"/>
      <c r="E132" s="24"/>
      <c r="K132" s="40"/>
    </row>
    <row r="133" spans="1:11" ht="15.75" customHeight="1" x14ac:dyDescent="0.25">
      <c r="A133" s="24"/>
      <c r="B133" s="174"/>
      <c r="C133" s="24"/>
      <c r="D133" s="24"/>
      <c r="E133" s="24"/>
      <c r="K133" s="40"/>
    </row>
    <row r="134" spans="1:11" ht="15.75" customHeight="1" x14ac:dyDescent="0.25">
      <c r="A134" s="24"/>
      <c r="B134" s="174"/>
      <c r="C134" s="24"/>
      <c r="D134" s="24"/>
      <c r="E134" s="24"/>
      <c r="K134" s="40"/>
    </row>
    <row r="135" spans="1:11" ht="15.75" customHeight="1" x14ac:dyDescent="0.25">
      <c r="A135" s="24"/>
      <c r="B135" s="174"/>
      <c r="C135" s="24"/>
      <c r="D135" s="24"/>
      <c r="E135" s="24"/>
      <c r="K135" s="40"/>
    </row>
    <row r="136" spans="1:11" ht="15.75" customHeight="1" x14ac:dyDescent="0.25">
      <c r="A136" s="24"/>
      <c r="B136" s="174"/>
      <c r="C136" s="24"/>
      <c r="D136" s="24"/>
      <c r="E136" s="24"/>
      <c r="K136" s="40"/>
    </row>
    <row r="137" spans="1:11" ht="15.75" customHeight="1" x14ac:dyDescent="0.25">
      <c r="A137" s="24"/>
      <c r="B137" s="174"/>
      <c r="C137" s="24"/>
      <c r="D137" s="24"/>
      <c r="E137" s="24"/>
      <c r="K137" s="40"/>
    </row>
    <row r="138" spans="1:11" ht="15.75" customHeight="1" x14ac:dyDescent="0.25">
      <c r="A138" s="24"/>
      <c r="B138" s="174"/>
      <c r="C138" s="24"/>
      <c r="D138" s="24"/>
      <c r="E138" s="24"/>
      <c r="K138" s="40"/>
    </row>
    <row r="139" spans="1:11" ht="15.75" customHeight="1" x14ac:dyDescent="0.25">
      <c r="A139" s="24"/>
      <c r="B139" s="174"/>
      <c r="C139" s="24"/>
      <c r="D139" s="24"/>
      <c r="E139" s="24"/>
      <c r="K139" s="40"/>
    </row>
    <row r="140" spans="1:11" ht="15.75" customHeight="1" x14ac:dyDescent="0.25">
      <c r="A140" s="24"/>
      <c r="B140" s="174"/>
      <c r="C140" s="24"/>
      <c r="D140" s="24"/>
      <c r="E140" s="24"/>
      <c r="K140" s="40"/>
    </row>
    <row r="141" spans="1:11" ht="15.75" customHeight="1" x14ac:dyDescent="0.25">
      <c r="A141" s="24"/>
      <c r="B141" s="174"/>
      <c r="C141" s="24"/>
      <c r="D141" s="24"/>
      <c r="E141" s="24"/>
      <c r="K141" s="40"/>
    </row>
    <row r="142" spans="1:11" ht="15.75" customHeight="1" x14ac:dyDescent="0.25">
      <c r="A142" s="24"/>
      <c r="B142" s="174"/>
      <c r="C142" s="24"/>
      <c r="D142" s="24"/>
      <c r="E142" s="24"/>
      <c r="K142" s="40"/>
    </row>
    <row r="143" spans="1:11" ht="15.75" customHeight="1" x14ac:dyDescent="0.25">
      <c r="A143" s="24"/>
      <c r="B143" s="174"/>
      <c r="C143" s="24"/>
      <c r="D143" s="24"/>
      <c r="E143" s="24"/>
      <c r="K143" s="40"/>
    </row>
    <row r="144" spans="1:11" ht="15.75" customHeight="1" x14ac:dyDescent="0.25">
      <c r="A144" s="24"/>
      <c r="B144" s="174"/>
      <c r="C144" s="24"/>
      <c r="D144" s="24"/>
      <c r="E144" s="24"/>
      <c r="K144" s="40"/>
    </row>
    <row r="145" spans="1:11" ht="15.75" customHeight="1" x14ac:dyDescent="0.25">
      <c r="A145" s="24"/>
      <c r="B145" s="174"/>
      <c r="C145" s="24"/>
      <c r="D145" s="24"/>
      <c r="E145" s="24"/>
      <c r="K145" s="40"/>
    </row>
    <row r="146" spans="1:11" ht="15.75" customHeight="1" x14ac:dyDescent="0.25">
      <c r="A146" s="24"/>
      <c r="B146" s="174"/>
      <c r="C146" s="24"/>
      <c r="D146" s="24"/>
      <c r="E146" s="24"/>
      <c r="K146" s="40"/>
    </row>
    <row r="147" spans="1:11" ht="15.75" customHeight="1" x14ac:dyDescent="0.25">
      <c r="A147" s="24"/>
      <c r="B147" s="174"/>
      <c r="C147" s="24"/>
      <c r="D147" s="24"/>
      <c r="E147" s="24"/>
      <c r="K147" s="40"/>
    </row>
    <row r="148" spans="1:11" ht="15.75" customHeight="1" x14ac:dyDescent="0.25">
      <c r="A148" s="24"/>
      <c r="B148" s="174"/>
      <c r="C148" s="24"/>
      <c r="D148" s="24"/>
      <c r="E148" s="24"/>
      <c r="K148" s="40"/>
    </row>
    <row r="149" spans="1:11" ht="15.75" customHeight="1" x14ac:dyDescent="0.25">
      <c r="A149" s="24"/>
      <c r="B149" s="174"/>
      <c r="C149" s="24"/>
      <c r="D149" s="24"/>
      <c r="E149" s="24"/>
      <c r="K149" s="40"/>
    </row>
    <row r="150" spans="1:11" ht="15.75" customHeight="1" x14ac:dyDescent="0.25">
      <c r="A150" s="24"/>
      <c r="B150" s="174"/>
      <c r="C150" s="24"/>
      <c r="D150" s="24"/>
      <c r="E150" s="24"/>
      <c r="K150" s="40"/>
    </row>
    <row r="151" spans="1:11" ht="15.75" customHeight="1" x14ac:dyDescent="0.25">
      <c r="A151" s="24"/>
      <c r="B151" s="174"/>
      <c r="C151" s="24"/>
      <c r="D151" s="24"/>
      <c r="E151" s="24"/>
      <c r="K151" s="40"/>
    </row>
    <row r="152" spans="1:11" ht="15.75" customHeight="1" x14ac:dyDescent="0.25">
      <c r="A152" s="24"/>
      <c r="B152" s="174"/>
      <c r="C152" s="24"/>
      <c r="D152" s="24"/>
      <c r="E152" s="24"/>
      <c r="K152" s="40"/>
    </row>
    <row r="153" spans="1:11" ht="15.75" customHeight="1" x14ac:dyDescent="0.25">
      <c r="A153" s="24"/>
      <c r="B153" s="174"/>
      <c r="C153" s="24"/>
      <c r="D153" s="24"/>
      <c r="E153" s="24"/>
      <c r="K153" s="40"/>
    </row>
    <row r="154" spans="1:11" ht="15.75" customHeight="1" x14ac:dyDescent="0.25">
      <c r="A154" s="24"/>
      <c r="B154" s="174"/>
      <c r="C154" s="24"/>
      <c r="D154" s="24"/>
      <c r="E154" s="24"/>
      <c r="K154" s="40"/>
    </row>
    <row r="155" spans="1:11" ht="15.75" customHeight="1" x14ac:dyDescent="0.25">
      <c r="A155" s="24"/>
      <c r="B155" s="174"/>
      <c r="C155" s="24"/>
      <c r="D155" s="24"/>
      <c r="E155" s="24"/>
      <c r="K155" s="40"/>
    </row>
    <row r="156" spans="1:11" ht="15.75" customHeight="1" x14ac:dyDescent="0.25">
      <c r="A156" s="24"/>
      <c r="B156" s="174"/>
      <c r="C156" s="24"/>
      <c r="D156" s="24"/>
      <c r="E156" s="24"/>
      <c r="K156" s="40"/>
    </row>
    <row r="157" spans="1:11" ht="15.75" customHeight="1" x14ac:dyDescent="0.25">
      <c r="A157" s="24"/>
      <c r="B157" s="174"/>
      <c r="C157" s="24"/>
      <c r="D157" s="24"/>
      <c r="E157" s="24"/>
      <c r="K157" s="40"/>
    </row>
    <row r="158" spans="1:11" ht="15.75" customHeight="1" x14ac:dyDescent="0.25">
      <c r="A158" s="24"/>
      <c r="B158" s="174"/>
      <c r="C158" s="24"/>
      <c r="D158" s="24"/>
      <c r="E158" s="24"/>
      <c r="K158" s="40"/>
    </row>
    <row r="159" spans="1:11" ht="15.75" customHeight="1" x14ac:dyDescent="0.25">
      <c r="A159" s="24"/>
      <c r="B159" s="174"/>
      <c r="C159" s="24"/>
      <c r="D159" s="24"/>
      <c r="E159" s="24"/>
      <c r="K159" s="40"/>
    </row>
    <row r="160" spans="1:11" ht="15.75" customHeight="1" x14ac:dyDescent="0.25">
      <c r="A160" s="24"/>
      <c r="B160" s="174"/>
      <c r="C160" s="24"/>
      <c r="D160" s="24"/>
      <c r="E160" s="24"/>
      <c r="K160" s="40"/>
    </row>
    <row r="161" spans="1:11" ht="15.75" customHeight="1" x14ac:dyDescent="0.25">
      <c r="A161" s="24"/>
      <c r="B161" s="174"/>
      <c r="C161" s="24"/>
      <c r="D161" s="24"/>
      <c r="E161" s="24"/>
      <c r="K161" s="40"/>
    </row>
    <row r="162" spans="1:11" ht="15.75" customHeight="1" x14ac:dyDescent="0.25">
      <c r="A162" s="24"/>
      <c r="B162" s="174"/>
      <c r="C162" s="24"/>
      <c r="D162" s="24"/>
      <c r="E162" s="24"/>
      <c r="K162" s="40"/>
    </row>
    <row r="163" spans="1:11" ht="15.75" customHeight="1" x14ac:dyDescent="0.25">
      <c r="A163" s="24"/>
      <c r="B163" s="174"/>
      <c r="C163" s="24"/>
      <c r="D163" s="24"/>
      <c r="E163" s="24"/>
      <c r="K163" s="40"/>
    </row>
    <row r="164" spans="1:11" ht="15.75" customHeight="1" x14ac:dyDescent="0.25">
      <c r="A164" s="24"/>
      <c r="B164" s="174"/>
      <c r="C164" s="24"/>
      <c r="D164" s="24"/>
      <c r="E164" s="24"/>
      <c r="K164" s="40"/>
    </row>
    <row r="165" spans="1:11" ht="15.75" customHeight="1" x14ac:dyDescent="0.25">
      <c r="A165" s="24"/>
      <c r="B165" s="174"/>
      <c r="C165" s="24"/>
      <c r="D165" s="24"/>
      <c r="E165" s="24"/>
      <c r="K165" s="40"/>
    </row>
    <row r="166" spans="1:11" ht="15.75" customHeight="1" x14ac:dyDescent="0.25">
      <c r="A166" s="24"/>
      <c r="B166" s="174"/>
      <c r="C166" s="24"/>
      <c r="D166" s="24"/>
      <c r="E166" s="24"/>
      <c r="K166" s="40"/>
    </row>
    <row r="167" spans="1:11" ht="15.75" customHeight="1" x14ac:dyDescent="0.25">
      <c r="A167" s="24"/>
      <c r="B167" s="174"/>
      <c r="C167" s="24"/>
      <c r="D167" s="24"/>
      <c r="E167" s="24"/>
      <c r="K167" s="40"/>
    </row>
    <row r="168" spans="1:11" ht="15.75" customHeight="1" x14ac:dyDescent="0.25">
      <c r="A168" s="24"/>
      <c r="B168" s="174"/>
      <c r="C168" s="24"/>
      <c r="D168" s="24"/>
      <c r="E168" s="24"/>
      <c r="K168" s="40"/>
    </row>
    <row r="169" spans="1:11" ht="15.75" customHeight="1" x14ac:dyDescent="0.25">
      <c r="A169" s="24"/>
      <c r="B169" s="174"/>
      <c r="C169" s="24"/>
      <c r="D169" s="24"/>
      <c r="E169" s="24"/>
      <c r="K169" s="40"/>
    </row>
    <row r="170" spans="1:11" ht="15.75" customHeight="1" x14ac:dyDescent="0.25">
      <c r="A170" s="24"/>
      <c r="B170" s="174"/>
      <c r="C170" s="24"/>
      <c r="D170" s="24"/>
      <c r="E170" s="24"/>
      <c r="K170" s="40"/>
    </row>
    <row r="171" spans="1:11" ht="15.75" customHeight="1" x14ac:dyDescent="0.25">
      <c r="A171" s="24"/>
      <c r="B171" s="174"/>
      <c r="C171" s="24"/>
      <c r="D171" s="24"/>
      <c r="E171" s="24"/>
      <c r="K171" s="40"/>
    </row>
    <row r="172" spans="1:11" ht="15.75" customHeight="1" x14ac:dyDescent="0.25">
      <c r="A172" s="24"/>
      <c r="B172" s="174"/>
      <c r="C172" s="24"/>
      <c r="D172" s="24"/>
      <c r="E172" s="24"/>
      <c r="K172" s="40"/>
    </row>
    <row r="173" spans="1:11" ht="15.75" customHeight="1" x14ac:dyDescent="0.25">
      <c r="A173" s="24"/>
      <c r="B173" s="174"/>
      <c r="C173" s="24"/>
      <c r="D173" s="24"/>
      <c r="E173" s="24"/>
      <c r="K173" s="40"/>
    </row>
    <row r="174" spans="1:11" ht="15.75" customHeight="1" x14ac:dyDescent="0.25">
      <c r="A174" s="24"/>
      <c r="B174" s="174"/>
      <c r="C174" s="24"/>
      <c r="D174" s="24"/>
      <c r="E174" s="24"/>
      <c r="K174" s="40"/>
    </row>
    <row r="175" spans="1:11" ht="15.75" customHeight="1" x14ac:dyDescent="0.25">
      <c r="A175" s="24"/>
      <c r="B175" s="174"/>
      <c r="C175" s="24"/>
      <c r="D175" s="24"/>
      <c r="E175" s="24"/>
      <c r="K175" s="40"/>
    </row>
    <row r="176" spans="1:11" ht="15.75" customHeight="1" x14ac:dyDescent="0.25">
      <c r="A176" s="24"/>
      <c r="B176" s="174"/>
      <c r="C176" s="24"/>
      <c r="D176" s="24"/>
      <c r="E176" s="24"/>
      <c r="K176" s="40"/>
    </row>
    <row r="177" spans="1:11" ht="15.75" customHeight="1" x14ac:dyDescent="0.25">
      <c r="A177" s="24"/>
      <c r="B177" s="174"/>
      <c r="C177" s="24"/>
      <c r="D177" s="24"/>
      <c r="E177" s="24"/>
      <c r="K177" s="40"/>
    </row>
    <row r="178" spans="1:11" ht="15.75" customHeight="1" x14ac:dyDescent="0.25">
      <c r="A178" s="24"/>
      <c r="B178" s="174"/>
      <c r="C178" s="24"/>
      <c r="D178" s="24"/>
      <c r="E178" s="24"/>
      <c r="K178" s="40"/>
    </row>
    <row r="179" spans="1:11" ht="15.75" customHeight="1" x14ac:dyDescent="0.25">
      <c r="A179" s="24"/>
      <c r="B179" s="174"/>
      <c r="C179" s="24"/>
      <c r="D179" s="24"/>
      <c r="E179" s="24"/>
      <c r="K179" s="40"/>
    </row>
    <row r="180" spans="1:11" ht="15.75" customHeight="1" x14ac:dyDescent="0.25">
      <c r="A180" s="24"/>
      <c r="B180" s="174"/>
      <c r="C180" s="24"/>
      <c r="D180" s="24"/>
      <c r="E180" s="24"/>
      <c r="K180" s="40"/>
    </row>
    <row r="181" spans="1:11" ht="15.75" customHeight="1" x14ac:dyDescent="0.25">
      <c r="A181" s="24"/>
      <c r="B181" s="174"/>
      <c r="C181" s="24"/>
      <c r="D181" s="24"/>
      <c r="E181" s="24"/>
      <c r="K181" s="40"/>
    </row>
    <row r="182" spans="1:11" ht="15.75" customHeight="1" x14ac:dyDescent="0.25">
      <c r="A182" s="24"/>
      <c r="B182" s="174"/>
      <c r="C182" s="24"/>
      <c r="D182" s="24"/>
      <c r="E182" s="24"/>
      <c r="K182" s="40"/>
    </row>
    <row r="183" spans="1:11" ht="15.75" customHeight="1" x14ac:dyDescent="0.25">
      <c r="A183" s="24"/>
      <c r="B183" s="174"/>
      <c r="C183" s="24"/>
      <c r="D183" s="24"/>
      <c r="E183" s="24"/>
      <c r="K183" s="40"/>
    </row>
    <row r="184" spans="1:11" ht="15.75" customHeight="1" x14ac:dyDescent="0.25">
      <c r="A184" s="24"/>
      <c r="B184" s="174"/>
      <c r="C184" s="24"/>
      <c r="D184" s="24"/>
      <c r="E184" s="24"/>
      <c r="K184" s="40"/>
    </row>
    <row r="185" spans="1:11" ht="15.75" customHeight="1" x14ac:dyDescent="0.25">
      <c r="A185" s="24"/>
      <c r="B185" s="174"/>
      <c r="C185" s="24"/>
      <c r="D185" s="24"/>
      <c r="E185" s="24"/>
      <c r="K185" s="40"/>
    </row>
    <row r="186" spans="1:11" ht="15.75" customHeight="1" x14ac:dyDescent="0.25">
      <c r="A186" s="24"/>
      <c r="B186" s="174"/>
      <c r="C186" s="24"/>
      <c r="D186" s="24"/>
      <c r="E186" s="24"/>
      <c r="K186" s="40"/>
    </row>
    <row r="187" spans="1:11" ht="15.75" customHeight="1" x14ac:dyDescent="0.25">
      <c r="A187" s="24"/>
      <c r="B187" s="174"/>
      <c r="C187" s="24"/>
      <c r="D187" s="24"/>
      <c r="E187" s="24"/>
      <c r="K187" s="40"/>
    </row>
    <row r="188" spans="1:11" ht="15.75" customHeight="1" x14ac:dyDescent="0.25">
      <c r="A188" s="24"/>
      <c r="B188" s="174"/>
      <c r="C188" s="24"/>
      <c r="D188" s="24"/>
      <c r="E188" s="24"/>
      <c r="K188" s="40"/>
    </row>
    <row r="189" spans="1:11" ht="15.75" customHeight="1" x14ac:dyDescent="0.25">
      <c r="A189" s="24"/>
      <c r="B189" s="174"/>
      <c r="C189" s="24"/>
      <c r="D189" s="24"/>
      <c r="E189" s="24"/>
      <c r="K189" s="40"/>
    </row>
    <row r="190" spans="1:11" ht="15.75" customHeight="1" x14ac:dyDescent="0.25">
      <c r="A190" s="24"/>
      <c r="B190" s="174"/>
      <c r="C190" s="24"/>
      <c r="D190" s="24"/>
      <c r="E190" s="24"/>
      <c r="K190" s="40"/>
    </row>
    <row r="191" spans="1:11" ht="15.75" customHeight="1" x14ac:dyDescent="0.25">
      <c r="A191" s="24"/>
      <c r="B191" s="174"/>
      <c r="C191" s="24"/>
      <c r="D191" s="24"/>
      <c r="E191" s="24"/>
      <c r="K191" s="40"/>
    </row>
    <row r="192" spans="1:11" ht="15.75" customHeight="1" x14ac:dyDescent="0.25">
      <c r="A192" s="24"/>
      <c r="B192" s="174"/>
      <c r="C192" s="24"/>
      <c r="D192" s="24"/>
      <c r="E192" s="24"/>
      <c r="K192" s="40"/>
    </row>
    <row r="193" spans="1:11" ht="15.75" customHeight="1" x14ac:dyDescent="0.25">
      <c r="A193" s="24"/>
      <c r="B193" s="174"/>
      <c r="C193" s="24"/>
      <c r="D193" s="24"/>
      <c r="E193" s="24"/>
      <c r="K193" s="40"/>
    </row>
    <row r="194" spans="1:11" ht="15.75" customHeight="1" x14ac:dyDescent="0.25">
      <c r="A194" s="24"/>
      <c r="B194" s="174"/>
      <c r="C194" s="24"/>
      <c r="D194" s="24"/>
      <c r="E194" s="24"/>
      <c r="K194" s="40"/>
    </row>
    <row r="195" spans="1:11" ht="15.75" customHeight="1" x14ac:dyDescent="0.25">
      <c r="A195" s="24"/>
      <c r="B195" s="174"/>
      <c r="C195" s="24"/>
      <c r="D195" s="24"/>
      <c r="E195" s="24"/>
      <c r="K195" s="40"/>
    </row>
    <row r="196" spans="1:11" ht="15.75" customHeight="1" x14ac:dyDescent="0.25">
      <c r="A196" s="24"/>
      <c r="B196" s="174"/>
      <c r="C196" s="24"/>
      <c r="D196" s="24"/>
      <c r="E196" s="24"/>
      <c r="K196" s="40"/>
    </row>
    <row r="197" spans="1:11" ht="15.75" customHeight="1" x14ac:dyDescent="0.25">
      <c r="A197" s="24"/>
      <c r="B197" s="174"/>
      <c r="C197" s="24"/>
      <c r="D197" s="24"/>
      <c r="E197" s="24"/>
      <c r="K197" s="40"/>
    </row>
    <row r="198" spans="1:11" ht="15.75" customHeight="1" x14ac:dyDescent="0.25">
      <c r="A198" s="24"/>
      <c r="B198" s="174"/>
      <c r="C198" s="24"/>
      <c r="D198" s="24"/>
      <c r="E198" s="24"/>
      <c r="K198" s="40"/>
    </row>
    <row r="199" spans="1:11" ht="15.75" customHeight="1" x14ac:dyDescent="0.25">
      <c r="A199" s="24"/>
      <c r="B199" s="174"/>
      <c r="C199" s="24"/>
      <c r="D199" s="24"/>
      <c r="E199" s="24"/>
      <c r="K199" s="40"/>
    </row>
    <row r="200" spans="1:11" ht="15.75" customHeight="1" x14ac:dyDescent="0.25">
      <c r="A200" s="24"/>
      <c r="B200" s="174"/>
      <c r="C200" s="24"/>
      <c r="D200" s="24"/>
      <c r="E200" s="24"/>
      <c r="K200" s="40"/>
    </row>
    <row r="201" spans="1:11" ht="15.75" customHeight="1" x14ac:dyDescent="0.25">
      <c r="A201" s="24"/>
      <c r="B201" s="174"/>
      <c r="C201" s="24"/>
      <c r="D201" s="24"/>
      <c r="E201" s="24"/>
      <c r="K201" s="40"/>
    </row>
    <row r="202" spans="1:11" ht="15.75" customHeight="1" x14ac:dyDescent="0.25">
      <c r="A202" s="24"/>
      <c r="B202" s="174"/>
      <c r="C202" s="24"/>
      <c r="D202" s="24"/>
      <c r="E202" s="24"/>
      <c r="K202" s="40"/>
    </row>
    <row r="203" spans="1:11" ht="15.75" customHeight="1" x14ac:dyDescent="0.25">
      <c r="A203" s="24"/>
      <c r="B203" s="174"/>
      <c r="C203" s="24"/>
      <c r="D203" s="24"/>
      <c r="E203" s="24"/>
      <c r="K203" s="40"/>
    </row>
    <row r="204" spans="1:11" ht="15.75" customHeight="1" x14ac:dyDescent="0.25">
      <c r="A204" s="24"/>
      <c r="B204" s="174"/>
      <c r="C204" s="24"/>
      <c r="D204" s="24"/>
      <c r="E204" s="24"/>
      <c r="K204" s="40"/>
    </row>
    <row r="205" spans="1:11" ht="15.75" customHeight="1" x14ac:dyDescent="0.25">
      <c r="A205" s="24"/>
      <c r="B205" s="174"/>
      <c r="C205" s="24"/>
      <c r="D205" s="24"/>
      <c r="E205" s="24"/>
      <c r="K205" s="40"/>
    </row>
    <row r="206" spans="1:11" ht="15.75" customHeight="1" x14ac:dyDescent="0.25">
      <c r="A206" s="24"/>
      <c r="B206" s="174"/>
      <c r="C206" s="24"/>
      <c r="D206" s="24"/>
      <c r="E206" s="24"/>
      <c r="K206" s="40"/>
    </row>
    <row r="207" spans="1:11" ht="15.75" customHeight="1" x14ac:dyDescent="0.25">
      <c r="A207" s="24"/>
      <c r="B207" s="174"/>
      <c r="C207" s="24"/>
      <c r="D207" s="24"/>
      <c r="E207" s="24"/>
      <c r="K207" s="40"/>
    </row>
    <row r="208" spans="1:11" ht="15.75" customHeight="1" x14ac:dyDescent="0.25">
      <c r="A208" s="24"/>
      <c r="B208" s="174"/>
      <c r="C208" s="24"/>
      <c r="D208" s="24"/>
      <c r="E208" s="24"/>
      <c r="K208" s="40"/>
    </row>
    <row r="209" spans="1:11" ht="15.75" customHeight="1" x14ac:dyDescent="0.25">
      <c r="A209" s="24"/>
      <c r="B209" s="174"/>
      <c r="C209" s="24"/>
      <c r="D209" s="24"/>
      <c r="E209" s="24"/>
      <c r="K209" s="40"/>
    </row>
    <row r="210" spans="1:11" ht="15.75" customHeight="1" x14ac:dyDescent="0.25">
      <c r="A210" s="24"/>
      <c r="B210" s="174"/>
      <c r="C210" s="24"/>
      <c r="D210" s="24"/>
      <c r="E210" s="24"/>
      <c r="K210" s="40"/>
    </row>
    <row r="211" spans="1:11" ht="15.75" customHeight="1" x14ac:dyDescent="0.25">
      <c r="A211" s="24"/>
      <c r="B211" s="174"/>
      <c r="C211" s="24"/>
      <c r="D211" s="24"/>
      <c r="E211" s="24"/>
      <c r="K211" s="40"/>
    </row>
    <row r="212" spans="1:11" ht="15.75" customHeight="1" x14ac:dyDescent="0.25">
      <c r="A212" s="24"/>
      <c r="B212" s="174"/>
      <c r="C212" s="24"/>
      <c r="D212" s="24"/>
      <c r="E212" s="24"/>
      <c r="K212" s="40"/>
    </row>
    <row r="213" spans="1:11" ht="15.75" customHeight="1" x14ac:dyDescent="0.25">
      <c r="A213" s="24"/>
      <c r="B213" s="174"/>
      <c r="C213" s="24"/>
      <c r="D213" s="24"/>
      <c r="E213" s="24"/>
      <c r="K213" s="40"/>
    </row>
    <row r="214" spans="1:11" ht="15.75" customHeight="1" x14ac:dyDescent="0.25">
      <c r="A214" s="24"/>
      <c r="B214" s="174"/>
      <c r="C214" s="24"/>
      <c r="D214" s="24"/>
      <c r="E214" s="24"/>
      <c r="K214" s="40"/>
    </row>
    <row r="215" spans="1:11" ht="15.75" customHeight="1" x14ac:dyDescent="0.25">
      <c r="A215" s="24"/>
      <c r="B215" s="174"/>
      <c r="C215" s="24"/>
      <c r="D215" s="24"/>
      <c r="E215" s="24"/>
      <c r="K215" s="40"/>
    </row>
    <row r="216" spans="1:11" ht="15.75" customHeight="1" x14ac:dyDescent="0.25">
      <c r="A216" s="24"/>
      <c r="B216" s="174"/>
      <c r="C216" s="24"/>
      <c r="D216" s="24"/>
      <c r="E216" s="24"/>
      <c r="K216" s="40"/>
    </row>
    <row r="217" spans="1:11" ht="15.75" customHeight="1" x14ac:dyDescent="0.25">
      <c r="A217" s="24"/>
      <c r="B217" s="174"/>
      <c r="C217" s="24"/>
      <c r="D217" s="24"/>
      <c r="E217" s="24"/>
      <c r="K217" s="40"/>
    </row>
    <row r="218" spans="1:11" ht="15.75" customHeight="1" x14ac:dyDescent="0.25">
      <c r="A218" s="24"/>
      <c r="B218" s="174"/>
      <c r="C218" s="24"/>
      <c r="D218" s="24"/>
      <c r="E218" s="24"/>
      <c r="K218" s="40"/>
    </row>
    <row r="219" spans="1:11" ht="15.75" customHeight="1" x14ac:dyDescent="0.25">
      <c r="A219" s="24"/>
      <c r="B219" s="174"/>
      <c r="C219" s="24"/>
      <c r="D219" s="24"/>
      <c r="E219" s="24"/>
      <c r="K219" s="40"/>
    </row>
    <row r="220" spans="1:11" ht="15.75" customHeight="1" x14ac:dyDescent="0.25">
      <c r="A220" s="24"/>
      <c r="B220" s="174"/>
      <c r="C220" s="24"/>
      <c r="D220" s="24"/>
      <c r="E220" s="24"/>
      <c r="K220" s="40"/>
    </row>
    <row r="221" spans="1:11" ht="15.75" customHeight="1" x14ac:dyDescent="0.25">
      <c r="A221" s="24"/>
      <c r="B221" s="174"/>
      <c r="C221" s="24"/>
      <c r="D221" s="24"/>
      <c r="E221" s="24"/>
      <c r="K221" s="40"/>
    </row>
    <row r="222" spans="1:11" ht="15.75" customHeight="1" x14ac:dyDescent="0.25">
      <c r="A222" s="24"/>
      <c r="B222" s="174"/>
      <c r="C222" s="24"/>
      <c r="D222" s="24"/>
      <c r="E222" s="24"/>
      <c r="K222" s="40"/>
    </row>
    <row r="223" spans="1:11" ht="15.75" customHeight="1" x14ac:dyDescent="0.25">
      <c r="A223" s="24"/>
      <c r="B223" s="174"/>
      <c r="C223" s="24"/>
      <c r="D223" s="24"/>
      <c r="E223" s="24"/>
      <c r="K223" s="40"/>
    </row>
    <row r="224" spans="1:11" ht="15.75" customHeight="1" x14ac:dyDescent="0.25">
      <c r="A224" s="24"/>
      <c r="B224" s="174"/>
      <c r="C224" s="24"/>
      <c r="D224" s="24"/>
      <c r="E224" s="24"/>
      <c r="K224" s="40"/>
    </row>
    <row r="225" spans="1:11" ht="15.75" customHeight="1" x14ac:dyDescent="0.25">
      <c r="A225" s="24"/>
      <c r="B225" s="174"/>
      <c r="C225" s="24"/>
      <c r="D225" s="24"/>
      <c r="E225" s="24"/>
      <c r="K225" s="40"/>
    </row>
    <row r="226" spans="1:11" ht="15.75" customHeight="1" x14ac:dyDescent="0.25">
      <c r="A226" s="24"/>
      <c r="B226" s="174"/>
      <c r="C226" s="24"/>
      <c r="D226" s="24"/>
      <c r="E226" s="24"/>
      <c r="K226" s="40"/>
    </row>
    <row r="227" spans="1:11" ht="15.75" customHeight="1" x14ac:dyDescent="0.25">
      <c r="A227" s="24"/>
      <c r="B227" s="174"/>
      <c r="C227" s="24"/>
      <c r="D227" s="24"/>
      <c r="E227" s="24"/>
      <c r="K227" s="40"/>
    </row>
    <row r="228" spans="1:11" ht="15.75" customHeight="1" x14ac:dyDescent="0.25">
      <c r="A228" s="24"/>
      <c r="B228" s="174"/>
      <c r="C228" s="24"/>
      <c r="D228" s="24"/>
      <c r="E228" s="24"/>
      <c r="K228" s="40"/>
    </row>
    <row r="229" spans="1:11" ht="15.75" customHeight="1" x14ac:dyDescent="0.25">
      <c r="A229" s="24"/>
      <c r="B229" s="174"/>
      <c r="C229" s="24"/>
      <c r="D229" s="24"/>
      <c r="E229" s="24"/>
      <c r="K229" s="40"/>
    </row>
    <row r="230" spans="1:11" ht="15.75" customHeight="1" x14ac:dyDescent="0.25">
      <c r="A230" s="24"/>
      <c r="B230" s="174"/>
      <c r="C230" s="24"/>
      <c r="D230" s="24"/>
      <c r="E230" s="24"/>
      <c r="K230" s="40"/>
    </row>
    <row r="231" spans="1:11" ht="15.75" customHeight="1" x14ac:dyDescent="0.25">
      <c r="A231" s="24"/>
      <c r="B231" s="174"/>
      <c r="C231" s="24"/>
      <c r="D231" s="24"/>
      <c r="E231" s="24"/>
      <c r="K231" s="40"/>
    </row>
    <row r="232" spans="1:11" ht="15.75" customHeight="1" x14ac:dyDescent="0.25">
      <c r="A232" s="24"/>
      <c r="B232" s="174"/>
      <c r="C232" s="24"/>
      <c r="D232" s="24"/>
      <c r="E232" s="24"/>
      <c r="K232" s="40"/>
    </row>
    <row r="233" spans="1:11" ht="15.75" customHeight="1" x14ac:dyDescent="0.25">
      <c r="A233" s="24"/>
      <c r="B233" s="174"/>
      <c r="C233" s="24"/>
      <c r="D233" s="24"/>
      <c r="E233" s="24"/>
      <c r="K233" s="40"/>
    </row>
    <row r="234" spans="1:11" ht="15.75" customHeight="1" x14ac:dyDescent="0.25">
      <c r="A234" s="24"/>
      <c r="B234" s="174"/>
      <c r="C234" s="24"/>
      <c r="D234" s="24"/>
      <c r="E234" s="24"/>
      <c r="K234" s="40"/>
    </row>
    <row r="235" spans="1:11" ht="15.75" customHeight="1" x14ac:dyDescent="0.25">
      <c r="A235" s="24"/>
      <c r="B235" s="174"/>
      <c r="C235" s="24"/>
      <c r="D235" s="24"/>
      <c r="E235" s="24"/>
      <c r="K235" s="40"/>
    </row>
    <row r="236" spans="1:11" ht="15.75" customHeight="1" x14ac:dyDescent="0.25">
      <c r="A236" s="24"/>
      <c r="B236" s="174"/>
      <c r="C236" s="24"/>
      <c r="D236" s="24"/>
      <c r="E236" s="24"/>
      <c r="K236" s="40"/>
    </row>
    <row r="237" spans="1:11" ht="15.75" customHeight="1" x14ac:dyDescent="0.25">
      <c r="A237" s="24"/>
      <c r="B237" s="174"/>
      <c r="C237" s="24"/>
      <c r="D237" s="24"/>
      <c r="E237" s="24"/>
      <c r="K237" s="40"/>
    </row>
    <row r="238" spans="1:11" ht="15.75" customHeight="1" x14ac:dyDescent="0.25">
      <c r="A238" s="24"/>
      <c r="B238" s="174"/>
      <c r="C238" s="24"/>
      <c r="D238" s="24"/>
      <c r="E238" s="24"/>
      <c r="K238" s="40"/>
    </row>
    <row r="239" spans="1:11" ht="15.75" customHeight="1" x14ac:dyDescent="0.25">
      <c r="A239" s="24"/>
      <c r="B239" s="174"/>
      <c r="C239" s="24"/>
      <c r="D239" s="24"/>
      <c r="E239" s="24"/>
      <c r="K239" s="40"/>
    </row>
    <row r="240" spans="1:11" ht="15.75" customHeight="1" x14ac:dyDescent="0.25">
      <c r="A240" s="24"/>
      <c r="B240" s="174"/>
      <c r="C240" s="24"/>
      <c r="D240" s="24"/>
      <c r="E240" s="24"/>
      <c r="K240" s="40"/>
    </row>
    <row r="241" spans="1:11" ht="15.75" customHeight="1" x14ac:dyDescent="0.25">
      <c r="A241" s="24"/>
      <c r="B241" s="174"/>
      <c r="C241" s="24"/>
      <c r="D241" s="24"/>
      <c r="E241" s="24"/>
      <c r="K241" s="40"/>
    </row>
    <row r="242" spans="1:11" ht="15.75" customHeight="1" x14ac:dyDescent="0.25">
      <c r="A242" s="24"/>
      <c r="B242" s="174"/>
      <c r="C242" s="24"/>
      <c r="D242" s="24"/>
      <c r="E242" s="24"/>
      <c r="K242" s="40"/>
    </row>
    <row r="243" spans="1:11" ht="15.75" customHeight="1" x14ac:dyDescent="0.25">
      <c r="A243" s="24"/>
      <c r="B243" s="174"/>
      <c r="C243" s="24"/>
      <c r="D243" s="24"/>
      <c r="E243" s="24"/>
      <c r="K243" s="40"/>
    </row>
    <row r="244" spans="1:11" ht="15.75" customHeight="1" x14ac:dyDescent="0.25">
      <c r="A244" s="24"/>
      <c r="B244" s="174"/>
      <c r="C244" s="24"/>
      <c r="D244" s="24"/>
      <c r="E244" s="24"/>
      <c r="K244" s="40"/>
    </row>
    <row r="245" spans="1:11" ht="15.75" customHeight="1" x14ac:dyDescent="0.25">
      <c r="A245" s="24"/>
      <c r="B245" s="174"/>
      <c r="C245" s="24"/>
      <c r="D245" s="24"/>
      <c r="E245" s="24"/>
      <c r="K245" s="40"/>
    </row>
    <row r="246" spans="1:11" ht="15.75" customHeight="1" x14ac:dyDescent="0.25">
      <c r="A246" s="24"/>
      <c r="B246" s="174"/>
      <c r="C246" s="24"/>
      <c r="D246" s="24"/>
      <c r="E246" s="24"/>
      <c r="K246" s="40"/>
    </row>
    <row r="247" spans="1:11" ht="15.75" customHeight="1" x14ac:dyDescent="0.25">
      <c r="A247" s="24"/>
      <c r="B247" s="174"/>
      <c r="C247" s="24"/>
      <c r="D247" s="24"/>
      <c r="E247" s="24"/>
      <c r="K247" s="40"/>
    </row>
    <row r="248" spans="1:11" ht="15.75" customHeight="1" x14ac:dyDescent="0.25">
      <c r="A248" s="24"/>
      <c r="B248" s="174"/>
      <c r="C248" s="24"/>
      <c r="D248" s="24"/>
      <c r="E248" s="24"/>
      <c r="K248" s="40"/>
    </row>
    <row r="249" spans="1:11" ht="15.75" customHeight="1" x14ac:dyDescent="0.25">
      <c r="A249" s="24"/>
      <c r="B249" s="174"/>
      <c r="C249" s="24"/>
      <c r="D249" s="24"/>
      <c r="E249" s="24"/>
      <c r="K249" s="40"/>
    </row>
    <row r="250" spans="1:11" ht="15.75" customHeight="1" x14ac:dyDescent="0.25">
      <c r="A250" s="24"/>
      <c r="B250" s="174"/>
      <c r="C250" s="24"/>
      <c r="D250" s="24"/>
      <c r="E250" s="24"/>
      <c r="K250" s="40"/>
    </row>
    <row r="251" spans="1:11" ht="15.75" customHeight="1" x14ac:dyDescent="0.25">
      <c r="A251" s="24"/>
      <c r="B251" s="174"/>
      <c r="C251" s="24"/>
      <c r="D251" s="24"/>
      <c r="E251" s="24"/>
      <c r="K251" s="40"/>
    </row>
    <row r="252" spans="1:11" ht="15.75" customHeight="1" x14ac:dyDescent="0.25">
      <c r="A252" s="24"/>
      <c r="B252" s="174"/>
      <c r="C252" s="24"/>
      <c r="D252" s="24"/>
      <c r="E252" s="24"/>
      <c r="K252" s="40"/>
    </row>
    <row r="253" spans="1:11" ht="15.75" customHeight="1" x14ac:dyDescent="0.25">
      <c r="A253" s="24"/>
      <c r="B253" s="174"/>
      <c r="C253" s="24"/>
      <c r="D253" s="24"/>
      <c r="E253" s="24"/>
      <c r="K253" s="40"/>
    </row>
    <row r="254" spans="1:11" ht="15.75" customHeight="1" x14ac:dyDescent="0.25">
      <c r="A254" s="24"/>
      <c r="B254" s="174"/>
      <c r="C254" s="24"/>
      <c r="D254" s="24"/>
      <c r="E254" s="24"/>
      <c r="K254" s="40"/>
    </row>
    <row r="255" spans="1:11" ht="15.75" customHeight="1" x14ac:dyDescent="0.25">
      <c r="A255" s="24"/>
      <c r="B255" s="174"/>
      <c r="C255" s="24"/>
      <c r="D255" s="24"/>
      <c r="E255" s="24"/>
      <c r="K255" s="40"/>
    </row>
    <row r="256" spans="1:11" ht="15.75" customHeight="1" x14ac:dyDescent="0.25">
      <c r="A256" s="24"/>
      <c r="B256" s="174"/>
      <c r="C256" s="24"/>
      <c r="D256" s="24"/>
      <c r="E256" s="24"/>
      <c r="K256" s="40"/>
    </row>
    <row r="257" spans="1:11" ht="15.75" customHeight="1" x14ac:dyDescent="0.25">
      <c r="A257" s="24"/>
      <c r="B257" s="174"/>
      <c r="C257" s="24"/>
      <c r="D257" s="24"/>
      <c r="E257" s="24"/>
      <c r="K257" s="40"/>
    </row>
    <row r="258" spans="1:11" ht="15.75" customHeight="1" x14ac:dyDescent="0.25">
      <c r="A258" s="24"/>
      <c r="B258" s="174"/>
      <c r="C258" s="24"/>
      <c r="D258" s="24"/>
      <c r="E258" s="24"/>
      <c r="K258" s="40"/>
    </row>
    <row r="259" spans="1:11" ht="15.75" customHeight="1" x14ac:dyDescent="0.25">
      <c r="A259" s="24"/>
      <c r="B259" s="174"/>
      <c r="C259" s="24"/>
      <c r="D259" s="24"/>
      <c r="E259" s="24"/>
      <c r="K259" s="40"/>
    </row>
    <row r="260" spans="1:11" ht="15.75" customHeight="1" x14ac:dyDescent="0.25">
      <c r="A260" s="24"/>
      <c r="B260" s="174"/>
      <c r="C260" s="24"/>
      <c r="D260" s="24"/>
      <c r="E260" s="24"/>
      <c r="K260" s="40"/>
    </row>
    <row r="261" spans="1:11" ht="15.75" customHeight="1" x14ac:dyDescent="0.25">
      <c r="A261" s="24"/>
      <c r="B261" s="174"/>
      <c r="C261" s="24"/>
      <c r="D261" s="24"/>
      <c r="E261" s="24"/>
      <c r="K261" s="40"/>
    </row>
    <row r="262" spans="1:11" ht="15.75" customHeight="1" x14ac:dyDescent="0.25">
      <c r="A262" s="24"/>
      <c r="B262" s="174"/>
      <c r="C262" s="24"/>
      <c r="D262" s="24"/>
      <c r="E262" s="24"/>
      <c r="K262" s="40"/>
    </row>
    <row r="263" spans="1:11" ht="15.75" customHeight="1" x14ac:dyDescent="0.25">
      <c r="A263" s="24"/>
      <c r="B263" s="174"/>
      <c r="C263" s="24"/>
      <c r="D263" s="24"/>
      <c r="E263" s="24"/>
      <c r="K263" s="40"/>
    </row>
    <row r="264" spans="1:11" ht="15.75" customHeight="1" x14ac:dyDescent="0.25">
      <c r="A264" s="24"/>
      <c r="B264" s="174"/>
      <c r="C264" s="24"/>
      <c r="D264" s="24"/>
      <c r="E264" s="24"/>
      <c r="K264" s="40"/>
    </row>
    <row r="265" spans="1:11" ht="15.75" customHeight="1" x14ac:dyDescent="0.25">
      <c r="A265" s="24"/>
      <c r="B265" s="174"/>
      <c r="C265" s="24"/>
      <c r="D265" s="24"/>
      <c r="E265" s="24"/>
      <c r="K265" s="40"/>
    </row>
    <row r="266" spans="1:11" ht="15.75" customHeight="1" x14ac:dyDescent="0.25">
      <c r="A266" s="24"/>
      <c r="B266" s="174"/>
      <c r="C266" s="24"/>
      <c r="D266" s="24"/>
      <c r="E266" s="24"/>
      <c r="K266" s="40"/>
    </row>
    <row r="267" spans="1:11" ht="15.75" customHeight="1" x14ac:dyDescent="0.25">
      <c r="A267" s="24"/>
      <c r="B267" s="174"/>
      <c r="C267" s="24"/>
      <c r="D267" s="24"/>
      <c r="E267" s="24"/>
      <c r="K267" s="40"/>
    </row>
    <row r="268" spans="1:11" ht="15.75" customHeight="1" x14ac:dyDescent="0.25">
      <c r="A268" s="24"/>
      <c r="B268" s="174"/>
      <c r="C268" s="24"/>
      <c r="D268" s="24"/>
      <c r="E268" s="24"/>
      <c r="K268" s="40"/>
    </row>
    <row r="269" spans="1:11" ht="15.75" customHeight="1" x14ac:dyDescent="0.25">
      <c r="K269" s="40"/>
    </row>
    <row r="270" spans="1:11" ht="15.75" customHeight="1" x14ac:dyDescent="0.25">
      <c r="K270" s="40"/>
    </row>
    <row r="271" spans="1:11" ht="15.75" customHeight="1" x14ac:dyDescent="0.25">
      <c r="K271" s="40"/>
    </row>
    <row r="272" spans="1:11" ht="15.75" customHeight="1" x14ac:dyDescent="0.25">
      <c r="K272" s="40"/>
    </row>
    <row r="273" spans="11:11" ht="15.75" customHeight="1" x14ac:dyDescent="0.25">
      <c r="K273" s="40"/>
    </row>
    <row r="274" spans="11:11" ht="15.75" customHeight="1" x14ac:dyDescent="0.25">
      <c r="K274" s="40"/>
    </row>
    <row r="275" spans="11:11" ht="15.75" customHeight="1" x14ac:dyDescent="0.25">
      <c r="K275" s="40"/>
    </row>
    <row r="276" spans="11:11" ht="15.75" customHeight="1" x14ac:dyDescent="0.25">
      <c r="K276" s="40"/>
    </row>
    <row r="277" spans="11:11" ht="15.75" customHeight="1" x14ac:dyDescent="0.25">
      <c r="K277" s="40"/>
    </row>
    <row r="278" spans="11:11" ht="15.75" customHeight="1" x14ac:dyDescent="0.25">
      <c r="K278" s="40"/>
    </row>
    <row r="279" spans="11:11" ht="15.75" customHeight="1" x14ac:dyDescent="0.25">
      <c r="K279" s="40"/>
    </row>
    <row r="280" spans="11:11" ht="15.75" customHeight="1" x14ac:dyDescent="0.25">
      <c r="K280" s="40"/>
    </row>
    <row r="281" spans="11:11" ht="15.75" customHeight="1" x14ac:dyDescent="0.25">
      <c r="K281" s="40"/>
    </row>
    <row r="282" spans="11:11" ht="15.75" customHeight="1" x14ac:dyDescent="0.25">
      <c r="K282" s="40"/>
    </row>
    <row r="283" spans="11:11" ht="15.75" customHeight="1" x14ac:dyDescent="0.25">
      <c r="K283" s="40"/>
    </row>
    <row r="284" spans="11:11" ht="15.75" customHeight="1" x14ac:dyDescent="0.25">
      <c r="K284" s="40"/>
    </row>
    <row r="285" spans="11:11" ht="15.75" customHeight="1" x14ac:dyDescent="0.25">
      <c r="K285" s="40"/>
    </row>
    <row r="286" spans="11:11" ht="15.75" customHeight="1" x14ac:dyDescent="0.25">
      <c r="K286" s="40"/>
    </row>
    <row r="287" spans="11:11" ht="15.75" customHeight="1" x14ac:dyDescent="0.25">
      <c r="K287" s="40"/>
    </row>
    <row r="288" spans="1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fitToHeight="0" orientation="portrait" r:id="rId1"/>
  <rowBreaks count="1" manualBreakCount="1">
    <brk id="57"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20"/>
  <sheetViews>
    <sheetView view="pageBreakPreview" topLeftCell="A43" zoomScale="130" zoomScaleNormal="100" zoomScaleSheetLayoutView="130" workbookViewId="0">
      <selection activeCell="A49" sqref="A49"/>
    </sheetView>
  </sheetViews>
  <sheetFormatPr defaultColWidth="14.42578125" defaultRowHeight="15" x14ac:dyDescent="0.25"/>
  <cols>
    <col min="1" max="1" width="75.7109375" customWidth="1"/>
    <col min="2" max="2" width="18" customWidth="1"/>
    <col min="3" max="6" width="18.28515625" hidden="1" customWidth="1"/>
    <col min="7" max="7" width="18.28515625" customWidth="1"/>
    <col min="8" max="10" width="13.28515625" customWidth="1"/>
    <col min="11" max="12" width="14.5703125" customWidth="1"/>
    <col min="13" max="13" width="12.85546875" customWidth="1"/>
    <col min="14" max="14" width="15.85546875" customWidth="1"/>
    <col min="15" max="26" width="10.28515625" customWidth="1"/>
  </cols>
  <sheetData>
    <row r="1" spans="1:26" ht="15.75" x14ac:dyDescent="0.25">
      <c r="A1" s="9"/>
      <c r="B1" s="10"/>
      <c r="C1" s="11"/>
      <c r="D1" s="11"/>
      <c r="E1" s="11"/>
      <c r="F1" s="10"/>
      <c r="G1" s="13"/>
      <c r="H1" s="14"/>
      <c r="I1" s="16"/>
      <c r="J1" s="16"/>
      <c r="K1" s="15"/>
      <c r="L1" s="15"/>
      <c r="M1" s="15"/>
      <c r="N1" s="15"/>
      <c r="O1" s="15"/>
      <c r="P1" s="15"/>
      <c r="Q1" s="15"/>
      <c r="R1" s="15"/>
      <c r="S1" s="15"/>
      <c r="T1" s="15"/>
      <c r="U1" s="15"/>
      <c r="V1" s="15"/>
      <c r="W1" s="15"/>
      <c r="X1" s="15"/>
      <c r="Y1" s="15"/>
      <c r="Z1" s="15"/>
    </row>
    <row r="2" spans="1:26" ht="15.75" x14ac:dyDescent="0.25">
      <c r="A2" s="17"/>
      <c r="B2" s="15"/>
      <c r="C2" s="18"/>
      <c r="D2" s="18"/>
      <c r="E2" s="18"/>
      <c r="F2" s="15"/>
      <c r="G2" s="19"/>
      <c r="H2" s="14"/>
      <c r="I2" s="16"/>
      <c r="J2" s="16"/>
      <c r="K2" s="15"/>
      <c r="L2" s="15"/>
      <c r="M2" s="15"/>
      <c r="N2" s="15"/>
      <c r="O2" s="15"/>
      <c r="P2" s="15"/>
      <c r="Q2" s="15"/>
      <c r="R2" s="15"/>
      <c r="S2" s="15"/>
      <c r="T2" s="15"/>
      <c r="U2" s="15"/>
      <c r="V2" s="15"/>
      <c r="W2" s="15"/>
      <c r="X2" s="15"/>
      <c r="Y2" s="15"/>
      <c r="Z2" s="15"/>
    </row>
    <row r="3" spans="1:26" ht="15.75" x14ac:dyDescent="0.25">
      <c r="A3" s="861" t="s">
        <v>349</v>
      </c>
      <c r="B3" s="862"/>
      <c r="C3" s="862"/>
      <c r="D3" s="862"/>
      <c r="E3" s="862"/>
      <c r="F3" s="862"/>
      <c r="G3" s="863"/>
      <c r="H3" s="14"/>
      <c r="I3" s="16"/>
      <c r="J3" s="16"/>
      <c r="K3" s="15"/>
      <c r="L3" s="15"/>
      <c r="M3" s="15"/>
      <c r="N3" s="15"/>
      <c r="O3" s="15"/>
      <c r="P3" s="15"/>
      <c r="Q3" s="15"/>
      <c r="R3" s="15"/>
      <c r="S3" s="15"/>
      <c r="T3" s="15"/>
      <c r="U3" s="15"/>
      <c r="V3" s="15"/>
      <c r="W3" s="15"/>
      <c r="X3" s="15"/>
      <c r="Y3" s="15"/>
      <c r="Z3" s="15"/>
    </row>
    <row r="4" spans="1:26" ht="15.75" x14ac:dyDescent="0.25">
      <c r="A4" s="864" t="s">
        <v>350</v>
      </c>
      <c r="B4" s="862"/>
      <c r="C4" s="862"/>
      <c r="D4" s="862"/>
      <c r="E4" s="862"/>
      <c r="F4" s="862"/>
      <c r="G4" s="863"/>
      <c r="H4" s="14"/>
      <c r="I4" s="16"/>
      <c r="J4" s="16"/>
      <c r="K4" s="15"/>
      <c r="L4" s="15"/>
      <c r="M4" s="15"/>
      <c r="N4" s="15"/>
      <c r="O4" s="15"/>
      <c r="P4" s="15"/>
      <c r="Q4" s="15"/>
      <c r="R4" s="15"/>
      <c r="S4" s="15"/>
      <c r="T4" s="15"/>
      <c r="U4" s="15"/>
      <c r="V4" s="15"/>
      <c r="W4" s="15"/>
      <c r="X4" s="15"/>
      <c r="Y4" s="15"/>
      <c r="Z4" s="15"/>
    </row>
    <row r="5" spans="1:26" ht="15.75" x14ac:dyDescent="0.25">
      <c r="A5" s="21"/>
      <c r="B5" s="18"/>
      <c r="C5" s="18"/>
      <c r="D5" s="18"/>
      <c r="E5" s="18"/>
      <c r="F5" s="18"/>
      <c r="G5" s="23"/>
      <c r="H5" s="14"/>
      <c r="I5" s="16"/>
      <c r="J5" s="16"/>
      <c r="K5" s="15"/>
      <c r="L5" s="15"/>
      <c r="M5" s="15"/>
      <c r="N5" s="15"/>
      <c r="O5" s="15"/>
      <c r="P5" s="15"/>
      <c r="Q5" s="15"/>
      <c r="R5" s="15"/>
      <c r="S5" s="15"/>
      <c r="T5" s="15"/>
      <c r="U5" s="15"/>
      <c r="V5" s="15"/>
      <c r="W5" s="15"/>
      <c r="X5" s="15"/>
      <c r="Y5" s="15"/>
      <c r="Z5" s="15"/>
    </row>
    <row r="6" spans="1:26" ht="15.75" x14ac:dyDescent="0.25">
      <c r="A6" s="17" t="s">
        <v>1439</v>
      </c>
      <c r="B6" s="24"/>
      <c r="C6" s="25"/>
      <c r="D6" s="25"/>
      <c r="E6" s="25"/>
      <c r="F6" s="24"/>
      <c r="G6" s="19"/>
      <c r="H6" s="14"/>
      <c r="I6" s="16"/>
      <c r="J6" s="16"/>
      <c r="K6" s="15"/>
      <c r="L6" s="15"/>
      <c r="M6" s="15"/>
      <c r="N6" s="15"/>
      <c r="O6" s="15"/>
      <c r="P6" s="15"/>
      <c r="Q6" s="15"/>
      <c r="R6" s="15"/>
      <c r="S6" s="15"/>
      <c r="T6" s="15"/>
      <c r="U6" s="15"/>
      <c r="V6" s="15"/>
      <c r="W6" s="15"/>
      <c r="X6" s="15"/>
      <c r="Y6" s="15"/>
      <c r="Z6" s="15"/>
    </row>
    <row r="7" spans="1:26" ht="15.75" x14ac:dyDescent="0.25">
      <c r="A7" s="17"/>
      <c r="B7" s="24"/>
      <c r="C7" s="25"/>
      <c r="D7" s="25"/>
      <c r="E7" s="25"/>
      <c r="F7" s="24"/>
      <c r="G7" s="19"/>
      <c r="H7" s="14"/>
      <c r="I7" s="16"/>
      <c r="J7" s="16"/>
      <c r="K7" s="15"/>
      <c r="L7" s="15"/>
      <c r="M7" s="15"/>
      <c r="N7" s="15"/>
      <c r="O7" s="15"/>
      <c r="P7" s="15"/>
      <c r="Q7" s="15"/>
      <c r="R7" s="15"/>
      <c r="S7" s="15"/>
      <c r="T7" s="15"/>
      <c r="U7" s="15"/>
      <c r="V7" s="15"/>
      <c r="W7" s="15"/>
      <c r="X7" s="15"/>
      <c r="Y7" s="15"/>
      <c r="Z7" s="15"/>
    </row>
    <row r="8" spans="1:26" ht="15.75" x14ac:dyDescent="0.25">
      <c r="A8" s="865" t="s">
        <v>352</v>
      </c>
      <c r="B8" s="866"/>
      <c r="C8" s="866"/>
      <c r="D8" s="866"/>
      <c r="E8" s="866"/>
      <c r="F8" s="866"/>
      <c r="G8" s="867"/>
      <c r="H8" s="14"/>
      <c r="I8" s="16"/>
      <c r="J8" s="16"/>
      <c r="K8" s="15"/>
      <c r="L8" s="15"/>
      <c r="M8" s="15"/>
      <c r="N8" s="15"/>
      <c r="O8" s="15"/>
      <c r="P8" s="15"/>
      <c r="Q8" s="15"/>
      <c r="R8" s="15"/>
      <c r="S8" s="15"/>
      <c r="T8" s="15"/>
      <c r="U8" s="15"/>
      <c r="V8" s="15"/>
      <c r="W8" s="15"/>
      <c r="X8" s="15"/>
      <c r="Y8" s="15"/>
      <c r="Z8" s="15"/>
    </row>
    <row r="9" spans="1:26" ht="15.75" x14ac:dyDescent="0.25">
      <c r="A9" s="868" t="s">
        <v>353</v>
      </c>
      <c r="B9" s="857" t="s">
        <v>354</v>
      </c>
      <c r="C9" s="870" t="s">
        <v>355</v>
      </c>
      <c r="D9" s="872" t="s">
        <v>356</v>
      </c>
      <c r="E9" s="873"/>
      <c r="F9" s="874"/>
      <c r="G9" s="857" t="s">
        <v>357</v>
      </c>
      <c r="H9" s="15"/>
      <c r="I9" s="16"/>
      <c r="J9" s="16"/>
      <c r="K9" s="15"/>
      <c r="L9" s="15"/>
      <c r="M9" s="15"/>
      <c r="N9" s="15"/>
      <c r="O9" s="15"/>
      <c r="P9" s="15"/>
      <c r="Q9" s="15"/>
      <c r="R9" s="15"/>
      <c r="S9" s="15"/>
      <c r="T9" s="15"/>
      <c r="U9" s="15"/>
      <c r="V9" s="15"/>
      <c r="W9" s="15"/>
      <c r="X9" s="15"/>
      <c r="Y9" s="15"/>
      <c r="Z9" s="15"/>
    </row>
    <row r="10" spans="1:26" ht="15.75" x14ac:dyDescent="0.25">
      <c r="A10" s="858"/>
      <c r="B10" s="858"/>
      <c r="C10" s="871"/>
      <c r="D10" s="28" t="s">
        <v>358</v>
      </c>
      <c r="E10" s="29" t="s">
        <v>359</v>
      </c>
      <c r="F10" s="875" t="s">
        <v>360</v>
      </c>
      <c r="G10" s="858"/>
      <c r="H10" s="15"/>
      <c r="I10" s="16"/>
      <c r="J10" s="16"/>
      <c r="K10" s="15"/>
      <c r="L10" s="15"/>
      <c r="M10" s="15"/>
      <c r="N10" s="15"/>
      <c r="O10" s="15"/>
      <c r="P10" s="15"/>
      <c r="Q10" s="15"/>
      <c r="R10" s="15"/>
      <c r="S10" s="15"/>
      <c r="T10" s="15"/>
      <c r="U10" s="15"/>
      <c r="V10" s="15"/>
      <c r="W10" s="15"/>
      <c r="X10" s="15"/>
      <c r="Y10" s="15"/>
      <c r="Z10" s="15"/>
    </row>
    <row r="11" spans="1:26" ht="15.75" x14ac:dyDescent="0.25">
      <c r="A11" s="858"/>
      <c r="B11" s="858"/>
      <c r="C11" s="30" t="s">
        <v>361</v>
      </c>
      <c r="D11" s="31" t="s">
        <v>361</v>
      </c>
      <c r="E11" s="32" t="s">
        <v>362</v>
      </c>
      <c r="F11" s="860"/>
      <c r="G11" s="442" t="s">
        <v>2717</v>
      </c>
      <c r="H11" s="15"/>
      <c r="I11" s="16"/>
      <c r="J11" s="16"/>
      <c r="K11" s="15"/>
      <c r="L11" s="15"/>
      <c r="M11" s="15"/>
      <c r="N11" s="15"/>
      <c r="O11" s="15"/>
      <c r="P11" s="15"/>
      <c r="Q11" s="15"/>
      <c r="R11" s="15"/>
      <c r="S11" s="15"/>
      <c r="T11" s="15"/>
      <c r="U11" s="15"/>
      <c r="V11" s="15"/>
      <c r="W11" s="15"/>
      <c r="X11" s="15"/>
      <c r="Y11" s="15"/>
      <c r="Z11" s="15"/>
    </row>
    <row r="12" spans="1:26" ht="15.75" x14ac:dyDescent="0.25">
      <c r="A12" s="869"/>
      <c r="B12" s="869"/>
      <c r="C12" s="33">
        <v>2024</v>
      </c>
      <c r="D12" s="34">
        <v>2025</v>
      </c>
      <c r="E12" s="35">
        <v>2025</v>
      </c>
      <c r="F12" s="34">
        <v>2025</v>
      </c>
      <c r="G12" s="36" t="s">
        <v>2668</v>
      </c>
      <c r="H12" s="15"/>
      <c r="I12" s="16"/>
      <c r="J12" s="16"/>
      <c r="K12" s="15"/>
      <c r="L12" s="15"/>
      <c r="M12" s="15"/>
      <c r="N12" s="15"/>
      <c r="O12" s="15"/>
      <c r="P12" s="15"/>
      <c r="Q12" s="15"/>
      <c r="R12" s="15"/>
      <c r="S12" s="15"/>
      <c r="T12" s="15"/>
      <c r="U12" s="15"/>
      <c r="V12" s="15"/>
      <c r="W12" s="15"/>
      <c r="X12" s="15"/>
      <c r="Y12" s="15"/>
      <c r="Z12" s="15"/>
    </row>
    <row r="13" spans="1:26" ht="15.75" x14ac:dyDescent="0.25">
      <c r="A13" s="17" t="s">
        <v>364</v>
      </c>
      <c r="B13" s="172"/>
      <c r="C13" s="42"/>
      <c r="D13" s="42"/>
      <c r="E13" s="42"/>
      <c r="F13" s="42"/>
      <c r="G13" s="42"/>
      <c r="H13" s="114"/>
      <c r="I13" s="60"/>
      <c r="J13" s="60"/>
      <c r="K13" s="7"/>
      <c r="L13" s="7"/>
      <c r="M13" s="7"/>
      <c r="N13" s="114"/>
      <c r="O13" s="114"/>
      <c r="P13" s="114"/>
      <c r="Q13" s="114"/>
      <c r="R13" s="114"/>
      <c r="S13" s="114"/>
      <c r="T13" s="114"/>
      <c r="U13" s="114"/>
      <c r="V13" s="114"/>
      <c r="W13" s="114"/>
      <c r="X13" s="114"/>
      <c r="Y13" s="114"/>
      <c r="Z13" s="114"/>
    </row>
    <row r="14" spans="1:26" ht="15.75" x14ac:dyDescent="0.25">
      <c r="A14" s="17" t="s">
        <v>365</v>
      </c>
      <c r="B14" s="172"/>
      <c r="C14" s="42"/>
      <c r="D14" s="42"/>
      <c r="E14" s="42"/>
      <c r="F14" s="42"/>
      <c r="G14" s="42"/>
      <c r="H14" s="114"/>
      <c r="I14" s="60"/>
      <c r="J14" s="60"/>
      <c r="K14" s="7"/>
      <c r="L14" s="7"/>
      <c r="M14" s="7"/>
      <c r="N14" s="114"/>
      <c r="O14" s="114"/>
      <c r="P14" s="114"/>
      <c r="Q14" s="114"/>
      <c r="R14" s="114"/>
      <c r="S14" s="114"/>
      <c r="T14" s="114"/>
      <c r="U14" s="114"/>
      <c r="V14" s="114"/>
      <c r="W14" s="114"/>
      <c r="X14" s="114"/>
      <c r="Y14" s="114"/>
      <c r="Z14" s="114"/>
    </row>
    <row r="15" spans="1:26" ht="15.75" x14ac:dyDescent="0.25">
      <c r="A15" s="17" t="s">
        <v>366</v>
      </c>
      <c r="B15" s="172"/>
      <c r="C15" s="42"/>
      <c r="D15" s="42"/>
      <c r="E15" s="42"/>
      <c r="F15" s="42"/>
      <c r="G15" s="42"/>
      <c r="H15" s="114"/>
      <c r="I15" s="60"/>
      <c r="J15" s="60"/>
      <c r="K15" s="7"/>
      <c r="L15" s="7"/>
      <c r="M15" s="7"/>
      <c r="N15" s="114"/>
      <c r="O15" s="114"/>
      <c r="P15" s="114"/>
      <c r="Q15" s="114"/>
      <c r="R15" s="114"/>
      <c r="S15" s="114"/>
      <c r="T15" s="114"/>
      <c r="U15" s="114"/>
      <c r="V15" s="114"/>
      <c r="W15" s="114"/>
      <c r="X15" s="114"/>
      <c r="Y15" s="114"/>
      <c r="Z15" s="114"/>
    </row>
    <row r="16" spans="1:26" ht="15.75" x14ac:dyDescent="0.25">
      <c r="A16" s="44" t="s">
        <v>367</v>
      </c>
      <c r="B16" s="41" t="s">
        <v>121</v>
      </c>
      <c r="C16" s="43">
        <v>24788765.789999999</v>
      </c>
      <c r="D16" s="43">
        <v>13980691.109999999</v>
      </c>
      <c r="E16" s="43">
        <f>F16-D16</f>
        <v>16526332.890000001</v>
      </c>
      <c r="F16" s="43">
        <v>30507024</v>
      </c>
      <c r="G16" s="43">
        <v>31889988</v>
      </c>
      <c r="H16" s="114"/>
      <c r="I16" s="60"/>
      <c r="J16" s="60"/>
      <c r="K16" s="7"/>
      <c r="L16" s="7"/>
      <c r="M16" s="7"/>
      <c r="N16" s="114"/>
      <c r="O16" s="114"/>
      <c r="P16" s="114"/>
      <c r="Q16" s="114"/>
      <c r="R16" s="114"/>
      <c r="S16" s="114"/>
      <c r="T16" s="114"/>
      <c r="U16" s="114"/>
      <c r="V16" s="114"/>
      <c r="W16" s="114"/>
      <c r="X16" s="114"/>
      <c r="Y16" s="114"/>
      <c r="Z16" s="114"/>
    </row>
    <row r="17" spans="1:26" ht="15.75" x14ac:dyDescent="0.25">
      <c r="A17" s="17" t="s">
        <v>368</v>
      </c>
      <c r="B17" s="172"/>
      <c r="C17" s="43"/>
      <c r="D17" s="43"/>
      <c r="E17" s="43"/>
      <c r="F17" s="43"/>
      <c r="G17" s="43"/>
      <c r="H17" s="114"/>
      <c r="I17" s="60"/>
      <c r="J17" s="60"/>
      <c r="K17" s="7"/>
      <c r="L17" s="7"/>
      <c r="M17" s="7"/>
      <c r="N17" s="114"/>
      <c r="O17" s="114"/>
      <c r="P17" s="114"/>
      <c r="Q17" s="114"/>
      <c r="R17" s="114"/>
      <c r="S17" s="114"/>
      <c r="T17" s="114"/>
      <c r="U17" s="114"/>
      <c r="V17" s="114"/>
      <c r="W17" s="114"/>
      <c r="X17" s="114"/>
      <c r="Y17" s="114"/>
      <c r="Z17" s="114"/>
    </row>
    <row r="18" spans="1:26" ht="15.75" x14ac:dyDescent="0.25">
      <c r="A18" s="44" t="s">
        <v>369</v>
      </c>
      <c r="B18" s="41" t="s">
        <v>125</v>
      </c>
      <c r="C18" s="43">
        <v>1704054.47</v>
      </c>
      <c r="D18" s="43">
        <v>932660.72</v>
      </c>
      <c r="E18" s="43">
        <f t="shared" ref="E18:E24" si="0">F18-D18</f>
        <v>1131339.28</v>
      </c>
      <c r="F18" s="43">
        <v>2064000</v>
      </c>
      <c r="G18" s="43">
        <v>2064000</v>
      </c>
      <c r="H18" s="15"/>
      <c r="I18" s="16"/>
      <c r="J18" s="16"/>
      <c r="K18" s="14"/>
      <c r="L18" s="14"/>
      <c r="M18" s="14"/>
      <c r="N18" s="15"/>
      <c r="O18" s="15"/>
      <c r="P18" s="15"/>
      <c r="Q18" s="15"/>
      <c r="R18" s="15"/>
      <c r="S18" s="15"/>
      <c r="T18" s="15"/>
      <c r="U18" s="15"/>
      <c r="V18" s="15"/>
      <c r="W18" s="15"/>
      <c r="X18" s="15"/>
      <c r="Y18" s="15"/>
      <c r="Z18" s="15"/>
    </row>
    <row r="19" spans="1:26" ht="15.75" x14ac:dyDescent="0.25">
      <c r="A19" s="44" t="s">
        <v>370</v>
      </c>
      <c r="B19" s="41" t="s">
        <v>127</v>
      </c>
      <c r="C19" s="43">
        <v>212000</v>
      </c>
      <c r="D19" s="43">
        <v>0</v>
      </c>
      <c r="E19" s="43">
        <f t="shared" si="0"/>
        <v>216000</v>
      </c>
      <c r="F19" s="43">
        <v>216000</v>
      </c>
      <c r="G19" s="43">
        <v>216000</v>
      </c>
      <c r="H19" s="15"/>
      <c r="I19" s="16"/>
      <c r="J19" s="16"/>
      <c r="K19" s="14"/>
      <c r="L19" s="14"/>
      <c r="M19" s="14"/>
      <c r="N19" s="15"/>
      <c r="O19" s="15"/>
      <c r="P19" s="15"/>
      <c r="Q19" s="15"/>
      <c r="R19" s="15"/>
      <c r="S19" s="15"/>
      <c r="T19" s="15"/>
      <c r="U19" s="15"/>
      <c r="V19" s="15"/>
      <c r="W19" s="15"/>
      <c r="X19" s="15"/>
      <c r="Y19" s="15"/>
      <c r="Z19" s="15"/>
    </row>
    <row r="20" spans="1:26" ht="15.75" x14ac:dyDescent="0.25">
      <c r="A20" s="44" t="s">
        <v>371</v>
      </c>
      <c r="B20" s="41" t="s">
        <v>372</v>
      </c>
      <c r="C20" s="43">
        <v>212000</v>
      </c>
      <c r="D20" s="43">
        <v>0</v>
      </c>
      <c r="E20" s="43">
        <f t="shared" si="0"/>
        <v>216000</v>
      </c>
      <c r="F20" s="43">
        <v>216000</v>
      </c>
      <c r="G20" s="43">
        <v>216000</v>
      </c>
      <c r="H20" s="15"/>
      <c r="I20" s="16"/>
      <c r="J20" s="16"/>
      <c r="K20" s="14"/>
      <c r="L20" s="14"/>
      <c r="M20" s="14"/>
      <c r="N20" s="15"/>
      <c r="O20" s="15"/>
      <c r="P20" s="15"/>
      <c r="Q20" s="15"/>
      <c r="R20" s="15"/>
      <c r="S20" s="15"/>
      <c r="T20" s="15"/>
      <c r="U20" s="15"/>
      <c r="V20" s="15"/>
      <c r="W20" s="15"/>
      <c r="X20" s="15"/>
      <c r="Y20" s="15"/>
      <c r="Z20" s="15"/>
    </row>
    <row r="21" spans="1:26" ht="15.75" x14ac:dyDescent="0.25">
      <c r="A21" s="44" t="s">
        <v>373</v>
      </c>
      <c r="B21" s="41" t="s">
        <v>131</v>
      </c>
      <c r="C21" s="43">
        <v>483000</v>
      </c>
      <c r="D21" s="43">
        <v>546000</v>
      </c>
      <c r="E21" s="43">
        <f t="shared" si="0"/>
        <v>56000</v>
      </c>
      <c r="F21" s="43">
        <v>602000</v>
      </c>
      <c r="G21" s="43">
        <v>602000</v>
      </c>
      <c r="H21" s="15"/>
      <c r="I21" s="16"/>
      <c r="J21" s="16"/>
      <c r="K21" s="14"/>
      <c r="L21" s="14"/>
      <c r="M21" s="14"/>
      <c r="N21" s="15"/>
      <c r="O21" s="15"/>
      <c r="P21" s="15"/>
      <c r="Q21" s="15"/>
      <c r="R21" s="15"/>
      <c r="S21" s="15"/>
      <c r="T21" s="15"/>
      <c r="U21" s="15"/>
      <c r="V21" s="15"/>
      <c r="W21" s="15"/>
      <c r="X21" s="15"/>
      <c r="Y21" s="15"/>
      <c r="Z21" s="15"/>
    </row>
    <row r="22" spans="1:26" ht="15.75" x14ac:dyDescent="0.25">
      <c r="A22" s="44" t="s">
        <v>690</v>
      </c>
      <c r="B22" s="41" t="s">
        <v>149</v>
      </c>
      <c r="C22" s="43">
        <v>1648256.01</v>
      </c>
      <c r="D22" s="43">
        <v>557187.29</v>
      </c>
      <c r="E22" s="43">
        <f t="shared" si="0"/>
        <v>442812.70999999996</v>
      </c>
      <c r="F22" s="43">
        <v>1000000</v>
      </c>
      <c r="G22" s="43">
        <v>1000000</v>
      </c>
      <c r="H22" s="15"/>
      <c r="I22" s="16"/>
      <c r="J22" s="16"/>
      <c r="K22" s="14"/>
      <c r="L22" s="14"/>
      <c r="M22" s="14"/>
      <c r="N22" s="15"/>
      <c r="O22" s="15"/>
      <c r="P22" s="15"/>
      <c r="Q22" s="15"/>
      <c r="R22" s="15"/>
      <c r="S22" s="15"/>
      <c r="T22" s="15"/>
      <c r="U22" s="15"/>
      <c r="V22" s="15"/>
      <c r="W22" s="15"/>
      <c r="X22" s="15"/>
      <c r="Y22" s="15"/>
      <c r="Z22" s="15"/>
    </row>
    <row r="23" spans="1:26" ht="15.75" x14ac:dyDescent="0.25">
      <c r="A23" s="44" t="s">
        <v>374</v>
      </c>
      <c r="B23" s="41" t="s">
        <v>151</v>
      </c>
      <c r="C23" s="43">
        <v>2157628</v>
      </c>
      <c r="D23" s="43">
        <v>0</v>
      </c>
      <c r="E23" s="43">
        <f t="shared" si="0"/>
        <v>2542252</v>
      </c>
      <c r="F23" s="43">
        <v>2542252</v>
      </c>
      <c r="G23" s="43">
        <v>2657499</v>
      </c>
      <c r="H23" s="15"/>
      <c r="I23" s="16"/>
      <c r="J23" s="16"/>
      <c r="K23" s="14"/>
      <c r="L23" s="14"/>
      <c r="M23" s="14"/>
      <c r="N23" s="15"/>
      <c r="O23" s="15"/>
      <c r="P23" s="15"/>
      <c r="Q23" s="15"/>
      <c r="R23" s="15"/>
      <c r="S23" s="15"/>
      <c r="T23" s="15"/>
      <c r="U23" s="15"/>
      <c r="V23" s="15"/>
      <c r="W23" s="15"/>
      <c r="X23" s="15"/>
      <c r="Y23" s="15"/>
      <c r="Z23" s="15"/>
    </row>
    <row r="24" spans="1:26" ht="15.75" x14ac:dyDescent="0.25">
      <c r="A24" s="44" t="s">
        <v>375</v>
      </c>
      <c r="B24" s="41" t="s">
        <v>153</v>
      </c>
      <c r="C24" s="43">
        <v>355000</v>
      </c>
      <c r="D24" s="43">
        <v>0</v>
      </c>
      <c r="E24" s="43">
        <f t="shared" si="0"/>
        <v>430000</v>
      </c>
      <c r="F24" s="43">
        <v>430000</v>
      </c>
      <c r="G24" s="43">
        <v>430000</v>
      </c>
      <c r="H24" s="15"/>
      <c r="I24" s="16"/>
      <c r="J24" s="16"/>
      <c r="K24" s="14"/>
      <c r="L24" s="14"/>
      <c r="M24" s="14"/>
      <c r="N24" s="15"/>
      <c r="O24" s="15"/>
      <c r="P24" s="15"/>
      <c r="Q24" s="15"/>
      <c r="R24" s="15"/>
      <c r="S24" s="15"/>
      <c r="T24" s="15"/>
      <c r="U24" s="15"/>
      <c r="V24" s="15"/>
      <c r="W24" s="15"/>
      <c r="X24" s="15"/>
      <c r="Y24" s="15"/>
      <c r="Z24" s="15"/>
    </row>
    <row r="25" spans="1:26" ht="15.75" x14ac:dyDescent="0.25">
      <c r="A25" s="44" t="s">
        <v>376</v>
      </c>
      <c r="B25" s="41" t="s">
        <v>155</v>
      </c>
      <c r="C25" s="43"/>
      <c r="D25" s="43"/>
      <c r="E25" s="43"/>
      <c r="F25" s="43"/>
      <c r="G25" s="43"/>
      <c r="H25" s="15"/>
      <c r="I25" s="16"/>
      <c r="J25" s="16"/>
      <c r="K25" s="14"/>
      <c r="L25" s="14"/>
      <c r="M25" s="14"/>
      <c r="N25" s="15"/>
      <c r="O25" s="15"/>
      <c r="P25" s="15"/>
      <c r="Q25" s="15"/>
      <c r="R25" s="15"/>
      <c r="S25" s="15"/>
      <c r="T25" s="15"/>
      <c r="U25" s="15"/>
      <c r="V25" s="15"/>
      <c r="W25" s="15"/>
      <c r="X25" s="15"/>
      <c r="Y25" s="15"/>
      <c r="Z25" s="15"/>
    </row>
    <row r="26" spans="1:26" ht="15.75" x14ac:dyDescent="0.25">
      <c r="A26" s="44" t="s">
        <v>377</v>
      </c>
      <c r="B26" s="41" t="s">
        <v>157</v>
      </c>
      <c r="C26" s="43">
        <v>0</v>
      </c>
      <c r="D26" s="43">
        <v>80000</v>
      </c>
      <c r="E26" s="43">
        <f t="shared" ref="E26:E28" si="1">F26-D26</f>
        <v>55000</v>
      </c>
      <c r="F26" s="43">
        <v>135000</v>
      </c>
      <c r="G26" s="43">
        <v>100000</v>
      </c>
      <c r="H26" s="15"/>
      <c r="I26" s="16"/>
      <c r="J26" s="16"/>
      <c r="K26" s="14"/>
      <c r="L26" s="14"/>
      <c r="M26" s="14"/>
      <c r="N26" s="15"/>
      <c r="O26" s="15"/>
      <c r="P26" s="15"/>
      <c r="Q26" s="15"/>
      <c r="R26" s="15"/>
      <c r="S26" s="15"/>
      <c r="T26" s="15"/>
      <c r="U26" s="15"/>
      <c r="V26" s="15"/>
      <c r="W26" s="15"/>
      <c r="X26" s="15"/>
      <c r="Y26" s="15"/>
      <c r="Z26" s="15"/>
    </row>
    <row r="27" spans="1:26" ht="15.75" x14ac:dyDescent="0.25">
      <c r="A27" s="44" t="s">
        <v>1227</v>
      </c>
      <c r="B27" s="41" t="s">
        <v>159</v>
      </c>
      <c r="C27" s="43">
        <v>0</v>
      </c>
      <c r="D27" s="43">
        <v>204000</v>
      </c>
      <c r="E27" s="43">
        <f t="shared" si="1"/>
        <v>54000</v>
      </c>
      <c r="F27" s="43">
        <v>258000</v>
      </c>
      <c r="G27" s="43">
        <v>0</v>
      </c>
      <c r="H27" s="15"/>
      <c r="I27" s="16"/>
      <c r="J27" s="16"/>
      <c r="K27" s="14"/>
      <c r="L27" s="14"/>
      <c r="M27" s="14"/>
      <c r="N27" s="15"/>
      <c r="O27" s="15"/>
      <c r="P27" s="15"/>
      <c r="Q27" s="15"/>
      <c r="R27" s="15"/>
      <c r="S27" s="15"/>
      <c r="T27" s="15"/>
      <c r="U27" s="15"/>
      <c r="V27" s="15"/>
      <c r="W27" s="15"/>
      <c r="X27" s="15"/>
      <c r="Y27" s="15"/>
      <c r="Z27" s="15"/>
    </row>
    <row r="28" spans="1:26" ht="15.75" x14ac:dyDescent="0.25">
      <c r="A28" s="44" t="s">
        <v>379</v>
      </c>
      <c r="B28" s="41" t="s">
        <v>161</v>
      </c>
      <c r="C28" s="43">
        <v>1919303</v>
      </c>
      <c r="D28" s="43">
        <v>2357914</v>
      </c>
      <c r="E28" s="43">
        <f t="shared" si="1"/>
        <v>184338</v>
      </c>
      <c r="F28" s="43">
        <v>2542252</v>
      </c>
      <c r="G28" s="43">
        <v>2657499</v>
      </c>
      <c r="H28" s="15"/>
      <c r="I28" s="16"/>
      <c r="J28" s="16"/>
      <c r="K28" s="14"/>
      <c r="L28" s="14"/>
      <c r="M28" s="14"/>
      <c r="N28" s="15"/>
      <c r="O28" s="15"/>
      <c r="P28" s="15"/>
      <c r="Q28" s="15"/>
      <c r="R28" s="15"/>
      <c r="S28" s="15"/>
      <c r="T28" s="15"/>
      <c r="U28" s="15"/>
      <c r="V28" s="15"/>
      <c r="W28" s="15"/>
      <c r="X28" s="15"/>
      <c r="Y28" s="15"/>
      <c r="Z28" s="15"/>
    </row>
    <row r="29" spans="1:26" ht="15.75" x14ac:dyDescent="0.25">
      <c r="A29" s="17" t="s">
        <v>380</v>
      </c>
      <c r="B29" s="41"/>
      <c r="C29" s="43"/>
      <c r="D29" s="43"/>
      <c r="E29" s="43"/>
      <c r="F29" s="43"/>
      <c r="G29" s="43"/>
      <c r="H29" s="15"/>
      <c r="I29" s="16"/>
      <c r="J29" s="16"/>
      <c r="K29" s="14"/>
      <c r="L29" s="14"/>
      <c r="M29" s="14"/>
      <c r="N29" s="15"/>
      <c r="O29" s="15"/>
      <c r="P29" s="15"/>
      <c r="Q29" s="15"/>
      <c r="R29" s="15"/>
      <c r="S29" s="15"/>
      <c r="T29" s="15"/>
      <c r="U29" s="15"/>
      <c r="V29" s="15"/>
      <c r="W29" s="15"/>
      <c r="X29" s="15"/>
      <c r="Y29" s="15"/>
      <c r="Z29" s="15"/>
    </row>
    <row r="30" spans="1:26" ht="15.75" x14ac:dyDescent="0.25">
      <c r="A30" s="44" t="s">
        <v>381</v>
      </c>
      <c r="B30" s="41" t="s">
        <v>165</v>
      </c>
      <c r="C30" s="43">
        <v>2991618.15</v>
      </c>
      <c r="D30" s="43">
        <v>1679469.99</v>
      </c>
      <c r="E30" s="43">
        <f t="shared" ref="E30:E33" si="2">F30-D30</f>
        <v>1981373.01</v>
      </c>
      <c r="F30" s="43">
        <v>3660843</v>
      </c>
      <c r="G30" s="43">
        <v>3826799</v>
      </c>
      <c r="H30" s="15"/>
      <c r="I30" s="16"/>
      <c r="J30" s="16"/>
      <c r="K30" s="14"/>
      <c r="L30" s="14"/>
      <c r="M30" s="14"/>
      <c r="N30" s="15"/>
      <c r="O30" s="15"/>
      <c r="P30" s="15"/>
      <c r="Q30" s="15"/>
      <c r="R30" s="15"/>
      <c r="S30" s="15"/>
      <c r="T30" s="15"/>
      <c r="U30" s="15"/>
      <c r="V30" s="15"/>
      <c r="W30" s="15"/>
      <c r="X30" s="15"/>
      <c r="Y30" s="15"/>
      <c r="Z30" s="15"/>
    </row>
    <row r="31" spans="1:26" ht="15.75" x14ac:dyDescent="0.25">
      <c r="A31" s="44" t="s">
        <v>382</v>
      </c>
      <c r="B31" s="41" t="s">
        <v>167</v>
      </c>
      <c r="C31" s="43">
        <v>498602.924</v>
      </c>
      <c r="D31" s="43">
        <v>282911.65999999997</v>
      </c>
      <c r="E31" s="43">
        <f t="shared" si="2"/>
        <v>327229.34000000003</v>
      </c>
      <c r="F31" s="43">
        <v>610141</v>
      </c>
      <c r="G31" s="43">
        <v>637800</v>
      </c>
      <c r="H31" s="15"/>
      <c r="I31" s="16"/>
      <c r="J31" s="16"/>
      <c r="K31" s="14"/>
      <c r="L31" s="14"/>
      <c r="M31" s="14"/>
      <c r="N31" s="15"/>
      <c r="O31" s="15"/>
      <c r="P31" s="15"/>
      <c r="Q31" s="15"/>
      <c r="R31" s="15"/>
      <c r="S31" s="15"/>
      <c r="T31" s="15"/>
      <c r="U31" s="15"/>
      <c r="V31" s="15"/>
      <c r="W31" s="15"/>
      <c r="X31" s="15"/>
      <c r="Y31" s="15"/>
      <c r="Z31" s="15"/>
    </row>
    <row r="32" spans="1:26" ht="15.75" x14ac:dyDescent="0.25">
      <c r="A32" s="44" t="s">
        <v>383</v>
      </c>
      <c r="B32" s="41" t="s">
        <v>169</v>
      </c>
      <c r="C32" s="43">
        <v>617809.87</v>
      </c>
      <c r="D32" s="43">
        <v>346712.75</v>
      </c>
      <c r="E32" s="43">
        <f t="shared" si="2"/>
        <v>409659.25</v>
      </c>
      <c r="F32" s="43">
        <v>756372</v>
      </c>
      <c r="G32" s="43">
        <v>788820</v>
      </c>
      <c r="H32" s="15"/>
      <c r="I32" s="16"/>
      <c r="J32" s="16"/>
      <c r="K32" s="14"/>
      <c r="L32" s="14"/>
      <c r="M32" s="14"/>
      <c r="N32" s="15"/>
      <c r="O32" s="15"/>
      <c r="P32" s="15"/>
      <c r="Q32" s="15"/>
      <c r="R32" s="15"/>
      <c r="S32" s="15"/>
      <c r="T32" s="15"/>
      <c r="U32" s="15"/>
      <c r="V32" s="15"/>
      <c r="W32" s="15"/>
      <c r="X32" s="15"/>
      <c r="Y32" s="15"/>
      <c r="Z32" s="15"/>
    </row>
    <row r="33" spans="1:26" ht="15.75" x14ac:dyDescent="0.25">
      <c r="A33" s="44" t="s">
        <v>384</v>
      </c>
      <c r="B33" s="41" t="s">
        <v>171</v>
      </c>
      <c r="C33" s="43">
        <v>86459.58</v>
      </c>
      <c r="D33" s="43">
        <v>46706.27</v>
      </c>
      <c r="E33" s="43">
        <f t="shared" si="2"/>
        <v>56493.73</v>
      </c>
      <c r="F33" s="43">
        <v>103200</v>
      </c>
      <c r="G33" s="43">
        <v>103200</v>
      </c>
      <c r="H33" s="15"/>
      <c r="I33" s="16"/>
      <c r="J33" s="16"/>
      <c r="K33" s="14"/>
      <c r="L33" s="14"/>
      <c r="M33" s="14"/>
      <c r="N33" s="15"/>
      <c r="O33" s="15"/>
      <c r="P33" s="15"/>
      <c r="Q33" s="15"/>
      <c r="R33" s="15"/>
      <c r="S33" s="15"/>
      <c r="T33" s="15"/>
      <c r="U33" s="15"/>
      <c r="V33" s="15"/>
      <c r="W33" s="15"/>
      <c r="X33" s="15"/>
      <c r="Y33" s="15"/>
      <c r="Z33" s="15"/>
    </row>
    <row r="34" spans="1:26" ht="15.75" x14ac:dyDescent="0.25">
      <c r="A34" s="17" t="s">
        <v>624</v>
      </c>
      <c r="B34" s="41"/>
      <c r="C34" s="43"/>
      <c r="D34" s="43"/>
      <c r="E34" s="43"/>
      <c r="F34" s="43"/>
      <c r="G34" s="43"/>
      <c r="H34" s="15"/>
      <c r="I34" s="16"/>
      <c r="J34" s="16"/>
      <c r="K34" s="14"/>
      <c r="L34" s="14"/>
      <c r="M34" s="14"/>
      <c r="N34" s="15"/>
      <c r="O34" s="15"/>
      <c r="P34" s="15"/>
      <c r="Q34" s="15"/>
      <c r="R34" s="15"/>
      <c r="S34" s="15"/>
      <c r="T34" s="15"/>
      <c r="U34" s="15"/>
      <c r="V34" s="15"/>
      <c r="W34" s="15"/>
      <c r="X34" s="15"/>
      <c r="Y34" s="15"/>
      <c r="Z34" s="15"/>
    </row>
    <row r="35" spans="1:26" ht="15.75" x14ac:dyDescent="0.25">
      <c r="A35" s="44" t="s">
        <v>386</v>
      </c>
      <c r="B35" s="41" t="s">
        <v>179</v>
      </c>
      <c r="C35" s="43">
        <v>291970.01</v>
      </c>
      <c r="D35" s="43">
        <v>0</v>
      </c>
      <c r="E35" s="43">
        <f t="shared" ref="E35:E37" si="3">F35-D35</f>
        <v>161974</v>
      </c>
      <c r="F35" s="43">
        <v>161974</v>
      </c>
      <c r="G35" s="43">
        <v>0</v>
      </c>
      <c r="H35" s="15"/>
      <c r="I35" s="16"/>
      <c r="J35" s="16"/>
      <c r="K35" s="14"/>
      <c r="L35" s="14"/>
      <c r="M35" s="14"/>
      <c r="N35" s="15"/>
      <c r="O35" s="15"/>
      <c r="P35" s="15"/>
      <c r="Q35" s="15"/>
      <c r="R35" s="15"/>
      <c r="S35" s="15"/>
      <c r="T35" s="15"/>
      <c r="U35" s="15"/>
      <c r="V35" s="15"/>
      <c r="W35" s="15"/>
      <c r="X35" s="15"/>
      <c r="Y35" s="15"/>
      <c r="Z35" s="15"/>
    </row>
    <row r="36" spans="1:26" ht="15.75" x14ac:dyDescent="0.25">
      <c r="A36" s="44" t="s">
        <v>387</v>
      </c>
      <c r="B36" s="41" t="s">
        <v>181</v>
      </c>
      <c r="C36" s="43">
        <v>840464.55</v>
      </c>
      <c r="D36" s="43">
        <v>386189.31</v>
      </c>
      <c r="E36" s="43">
        <f t="shared" si="3"/>
        <v>838990.69</v>
      </c>
      <c r="F36" s="43">
        <v>1225180</v>
      </c>
      <c r="G36" s="43">
        <v>1280721</v>
      </c>
      <c r="H36" s="15"/>
      <c r="I36" s="16"/>
      <c r="J36" s="16"/>
      <c r="K36" s="14"/>
      <c r="L36" s="14"/>
      <c r="M36" s="14"/>
      <c r="N36" s="15"/>
      <c r="O36" s="15"/>
      <c r="P36" s="15"/>
      <c r="Q36" s="15"/>
      <c r="R36" s="15"/>
      <c r="S36" s="15"/>
      <c r="T36" s="15"/>
      <c r="U36" s="15"/>
      <c r="V36" s="15"/>
      <c r="W36" s="15"/>
      <c r="X36" s="15"/>
      <c r="Y36" s="15"/>
      <c r="Z36" s="15"/>
    </row>
    <row r="37" spans="1:26" ht="15.75" x14ac:dyDescent="0.25">
      <c r="A37" s="44" t="s">
        <v>388</v>
      </c>
      <c r="B37" s="41" t="s">
        <v>183</v>
      </c>
      <c r="C37" s="43">
        <v>364000</v>
      </c>
      <c r="D37" s="43">
        <v>0</v>
      </c>
      <c r="E37" s="43">
        <f t="shared" si="3"/>
        <v>430000</v>
      </c>
      <c r="F37" s="43">
        <v>430000</v>
      </c>
      <c r="G37" s="43">
        <v>430000</v>
      </c>
      <c r="H37" s="15"/>
      <c r="I37" s="16"/>
      <c r="J37" s="16"/>
      <c r="K37" s="14"/>
      <c r="L37" s="14"/>
      <c r="M37" s="14"/>
      <c r="N37" s="15"/>
      <c r="O37" s="15"/>
      <c r="P37" s="15"/>
      <c r="Q37" s="15"/>
      <c r="R37" s="15"/>
      <c r="S37" s="15"/>
      <c r="T37" s="15"/>
      <c r="U37" s="15"/>
      <c r="V37" s="15"/>
      <c r="W37" s="15"/>
      <c r="X37" s="15"/>
      <c r="Y37" s="15"/>
      <c r="Z37" s="15"/>
    </row>
    <row r="38" spans="1:26" ht="31.5" x14ac:dyDescent="0.25">
      <c r="A38" s="117" t="s">
        <v>625</v>
      </c>
      <c r="B38" s="20"/>
      <c r="C38" s="43">
        <v>0</v>
      </c>
      <c r="D38" s="43">
        <v>0</v>
      </c>
      <c r="E38" s="43">
        <v>0</v>
      </c>
      <c r="F38" s="43">
        <v>0</v>
      </c>
      <c r="G38" s="43">
        <v>887583</v>
      </c>
      <c r="H38" s="15"/>
      <c r="I38" s="16"/>
      <c r="J38" s="16"/>
      <c r="K38" s="14"/>
      <c r="L38" s="14"/>
      <c r="M38" s="14"/>
      <c r="N38" s="7"/>
      <c r="O38" s="15"/>
      <c r="P38" s="15"/>
      <c r="Q38" s="15"/>
      <c r="R38" s="15"/>
      <c r="S38" s="15"/>
      <c r="T38" s="15"/>
      <c r="U38" s="15"/>
      <c r="V38" s="15"/>
      <c r="W38" s="15"/>
      <c r="X38" s="15"/>
      <c r="Y38" s="15"/>
      <c r="Z38" s="15"/>
    </row>
    <row r="39" spans="1:26" ht="15.75" x14ac:dyDescent="0.25">
      <c r="A39" s="446" t="s">
        <v>390</v>
      </c>
      <c r="B39" s="447"/>
      <c r="C39" s="54">
        <f t="shared" ref="C39:G39" si="4">+SUM(C16:C38)</f>
        <v>39170932.353999995</v>
      </c>
      <c r="D39" s="54">
        <f t="shared" si="4"/>
        <v>21400443.099999998</v>
      </c>
      <c r="E39" s="54">
        <f t="shared" si="4"/>
        <v>26059794.900000006</v>
      </c>
      <c r="F39" s="54">
        <f t="shared" si="4"/>
        <v>47460238</v>
      </c>
      <c r="G39" s="54">
        <f t="shared" si="4"/>
        <v>49787909</v>
      </c>
      <c r="H39" s="232"/>
      <c r="I39" s="203"/>
      <c r="J39" s="203"/>
      <c r="K39" s="193"/>
      <c r="L39" s="193"/>
      <c r="M39" s="193"/>
      <c r="N39" s="194"/>
      <c r="O39" s="232"/>
      <c r="P39" s="232"/>
      <c r="Q39" s="232"/>
      <c r="R39" s="232"/>
      <c r="S39" s="232"/>
      <c r="T39" s="232"/>
      <c r="U39" s="232"/>
      <c r="V39" s="232"/>
      <c r="W39" s="232"/>
      <c r="X39" s="232"/>
      <c r="Y39" s="232"/>
      <c r="Z39" s="232"/>
    </row>
    <row r="40" spans="1:26" ht="15.75" x14ac:dyDescent="0.25">
      <c r="A40" s="456"/>
      <c r="B40" s="454"/>
      <c r="C40" s="449"/>
      <c r="D40" s="497"/>
      <c r="E40" s="438"/>
      <c r="F40" s="448"/>
      <c r="G40" s="448"/>
      <c r="H40" s="515"/>
      <c r="I40" s="552"/>
      <c r="J40" s="552"/>
      <c r="K40" s="538"/>
      <c r="L40" s="538"/>
      <c r="M40" s="538"/>
      <c r="N40" s="553"/>
      <c r="O40" s="515"/>
      <c r="P40" s="515"/>
      <c r="Q40" s="515"/>
      <c r="R40" s="515"/>
      <c r="S40" s="515"/>
      <c r="T40" s="515"/>
      <c r="U40" s="515"/>
      <c r="V40" s="515"/>
      <c r="W40" s="515"/>
      <c r="X40" s="515"/>
      <c r="Y40" s="515"/>
      <c r="Z40" s="515"/>
    </row>
    <row r="41" spans="1:26" ht="15.75" x14ac:dyDescent="0.25">
      <c r="A41" s="42" t="s">
        <v>391</v>
      </c>
      <c r="B41" s="41"/>
      <c r="C41" s="38"/>
      <c r="D41" s="81"/>
      <c r="E41" s="43"/>
      <c r="F41" s="539"/>
      <c r="G41" s="461"/>
      <c r="H41" s="543"/>
      <c r="I41" s="282"/>
      <c r="J41" s="282"/>
      <c r="K41" s="12"/>
      <c r="L41" s="12"/>
      <c r="M41" s="12"/>
      <c r="N41" s="10"/>
      <c r="O41" s="10"/>
      <c r="P41" s="10"/>
      <c r="Q41" s="10"/>
      <c r="R41" s="10"/>
      <c r="S41" s="10"/>
      <c r="T41" s="10"/>
      <c r="U41" s="10"/>
      <c r="V41" s="10"/>
      <c r="W41" s="10"/>
      <c r="X41" s="10"/>
      <c r="Y41" s="10"/>
      <c r="Z41" s="10"/>
    </row>
    <row r="42" spans="1:26" ht="15.75" x14ac:dyDescent="0.25">
      <c r="A42" s="42" t="s">
        <v>642</v>
      </c>
      <c r="B42" s="41"/>
      <c r="C42" s="41"/>
      <c r="D42" s="43"/>
      <c r="E42" s="43"/>
      <c r="F42" s="41"/>
      <c r="G42" s="41"/>
      <c r="H42" s="15"/>
      <c r="I42" s="16"/>
      <c r="J42" s="16"/>
      <c r="K42" s="14"/>
      <c r="L42" s="14"/>
      <c r="M42" s="14"/>
      <c r="N42" s="15"/>
      <c r="O42" s="15"/>
      <c r="P42" s="15"/>
      <c r="Q42" s="15"/>
      <c r="R42" s="15"/>
      <c r="S42" s="15"/>
      <c r="T42" s="15"/>
      <c r="U42" s="15"/>
      <c r="V42" s="15"/>
      <c r="W42" s="15"/>
      <c r="X42" s="15"/>
      <c r="Y42" s="15"/>
      <c r="Z42" s="15"/>
    </row>
    <row r="43" spans="1:26" ht="15.75" x14ac:dyDescent="0.25">
      <c r="A43" s="44" t="s">
        <v>393</v>
      </c>
      <c r="B43" s="41" t="s">
        <v>187</v>
      </c>
      <c r="C43" s="43">
        <v>652955.89</v>
      </c>
      <c r="D43" s="43">
        <v>162617.98000000001</v>
      </c>
      <c r="E43" s="43">
        <f>F43-D43</f>
        <v>337382.02</v>
      </c>
      <c r="F43" s="43">
        <v>500000</v>
      </c>
      <c r="G43" s="43">
        <v>600000</v>
      </c>
      <c r="H43" s="15"/>
      <c r="I43" s="16"/>
      <c r="J43" s="16"/>
      <c r="K43" s="14"/>
      <c r="L43" s="14"/>
      <c r="M43" s="14"/>
      <c r="N43" s="15"/>
      <c r="O43" s="15"/>
      <c r="P43" s="15"/>
      <c r="Q43" s="15"/>
      <c r="R43" s="15"/>
      <c r="S43" s="15"/>
      <c r="T43" s="15"/>
      <c r="U43" s="15"/>
      <c r="V43" s="15"/>
      <c r="W43" s="15"/>
      <c r="X43" s="15"/>
      <c r="Y43" s="15"/>
      <c r="Z43" s="15"/>
    </row>
    <row r="44" spans="1:26" ht="15.75" x14ac:dyDescent="0.25">
      <c r="A44" s="44" t="s">
        <v>1440</v>
      </c>
      <c r="B44" s="41"/>
      <c r="C44" s="43"/>
      <c r="D44" s="43"/>
      <c r="E44" s="43"/>
      <c r="F44" s="43"/>
      <c r="G44" s="43"/>
      <c r="H44" s="15"/>
      <c r="I44" s="16">
        <v>500000</v>
      </c>
      <c r="J44" s="16"/>
      <c r="K44" s="14"/>
      <c r="L44" s="14"/>
      <c r="M44" s="14"/>
      <c r="N44" s="15"/>
      <c r="O44" s="15"/>
      <c r="P44" s="15"/>
      <c r="Q44" s="15"/>
      <c r="R44" s="15"/>
      <c r="S44" s="15"/>
      <c r="T44" s="15"/>
      <c r="U44" s="15"/>
      <c r="V44" s="15"/>
      <c r="W44" s="15"/>
      <c r="X44" s="15"/>
      <c r="Y44" s="15"/>
      <c r="Z44" s="15"/>
    </row>
    <row r="45" spans="1:26" ht="15.75" x14ac:dyDescent="0.25">
      <c r="A45" s="44" t="s">
        <v>1441</v>
      </c>
      <c r="B45" s="41"/>
      <c r="C45" s="43"/>
      <c r="D45" s="43"/>
      <c r="E45" s="43"/>
      <c r="F45" s="43"/>
      <c r="G45" s="43"/>
      <c r="H45" s="15"/>
      <c r="I45" s="16">
        <v>100000</v>
      </c>
      <c r="J45" s="16">
        <f>I44+I45</f>
        <v>600000</v>
      </c>
      <c r="K45" s="14"/>
      <c r="L45" s="14"/>
      <c r="M45" s="14"/>
      <c r="N45" s="15"/>
      <c r="O45" s="15"/>
      <c r="P45" s="15"/>
      <c r="Q45" s="15"/>
      <c r="R45" s="15"/>
      <c r="S45" s="15"/>
      <c r="T45" s="15"/>
      <c r="U45" s="15"/>
      <c r="V45" s="15"/>
      <c r="W45" s="15"/>
      <c r="X45" s="15"/>
      <c r="Y45" s="15"/>
      <c r="Z45" s="15"/>
    </row>
    <row r="46" spans="1:26" ht="15.75" x14ac:dyDescent="0.25">
      <c r="A46" s="17" t="s">
        <v>493</v>
      </c>
      <c r="B46" s="41"/>
      <c r="C46" s="43"/>
      <c r="D46" s="43"/>
      <c r="E46" s="43"/>
      <c r="F46" s="43"/>
      <c r="G46" s="43"/>
      <c r="H46" s="15"/>
      <c r="I46" s="16"/>
      <c r="J46" s="16"/>
      <c r="K46" s="14"/>
      <c r="L46" s="14"/>
      <c r="M46" s="14"/>
      <c r="N46" s="15"/>
      <c r="O46" s="15"/>
      <c r="P46" s="15"/>
      <c r="Q46" s="15"/>
      <c r="R46" s="15"/>
      <c r="S46" s="15"/>
      <c r="T46" s="15"/>
      <c r="U46" s="15"/>
      <c r="V46" s="15"/>
      <c r="W46" s="15"/>
      <c r="X46" s="15"/>
      <c r="Y46" s="15"/>
      <c r="Z46" s="15"/>
    </row>
    <row r="47" spans="1:26" ht="15.75" x14ac:dyDescent="0.25">
      <c r="A47" s="44" t="s">
        <v>396</v>
      </c>
      <c r="B47" s="41" t="s">
        <v>191</v>
      </c>
      <c r="C47" s="43">
        <v>955605.09</v>
      </c>
      <c r="D47" s="43">
        <v>399101.65</v>
      </c>
      <c r="E47" s="43">
        <f>F47-D47</f>
        <v>380898.35</v>
      </c>
      <c r="F47" s="43">
        <v>780000</v>
      </c>
      <c r="G47" s="43">
        <v>797290</v>
      </c>
      <c r="H47" s="15"/>
      <c r="I47" s="16"/>
      <c r="J47" s="16"/>
      <c r="K47" s="14"/>
      <c r="L47" s="14"/>
      <c r="M47" s="14"/>
      <c r="N47" s="15"/>
      <c r="O47" s="15"/>
      <c r="P47" s="15"/>
      <c r="Q47" s="15"/>
      <c r="R47" s="15"/>
      <c r="S47" s="15"/>
      <c r="T47" s="15"/>
      <c r="U47" s="15"/>
      <c r="V47" s="15"/>
      <c r="W47" s="15"/>
      <c r="X47" s="15"/>
      <c r="Y47" s="15"/>
      <c r="Z47" s="15"/>
    </row>
    <row r="48" spans="1:26" ht="15.75" x14ac:dyDescent="0.25">
      <c r="A48" s="44" t="s">
        <v>1442</v>
      </c>
      <c r="B48" s="41"/>
      <c r="C48" s="43"/>
      <c r="D48" s="43"/>
      <c r="E48" s="43"/>
      <c r="F48" s="43"/>
      <c r="G48" s="43"/>
      <c r="H48" s="15"/>
      <c r="I48" s="16">
        <v>620000</v>
      </c>
      <c r="J48" s="16"/>
      <c r="K48" s="14"/>
      <c r="L48" s="14"/>
      <c r="M48" s="14"/>
      <c r="N48" s="15"/>
      <c r="O48" s="15"/>
      <c r="P48" s="15"/>
      <c r="Q48" s="15"/>
      <c r="R48" s="15"/>
      <c r="S48" s="15"/>
      <c r="T48" s="15"/>
      <c r="U48" s="15"/>
      <c r="V48" s="15"/>
      <c r="W48" s="15"/>
      <c r="X48" s="15"/>
      <c r="Y48" s="15"/>
      <c r="Z48" s="15"/>
    </row>
    <row r="49" spans="1:26" ht="31.5" x14ac:dyDescent="0.25">
      <c r="A49" s="118" t="s">
        <v>1443</v>
      </c>
      <c r="B49" s="41"/>
      <c r="C49" s="43"/>
      <c r="D49" s="43"/>
      <c r="E49" s="43"/>
      <c r="F49" s="43"/>
      <c r="G49" s="43"/>
      <c r="H49" s="15"/>
      <c r="I49" s="16">
        <v>177290</v>
      </c>
      <c r="J49" s="16">
        <f>I48+I49</f>
        <v>797290</v>
      </c>
      <c r="K49" s="14"/>
      <c r="L49" s="14"/>
      <c r="M49" s="14"/>
      <c r="N49" s="15"/>
      <c r="O49" s="15"/>
      <c r="P49" s="15"/>
      <c r="Q49" s="15"/>
      <c r="R49" s="15"/>
      <c r="S49" s="15"/>
      <c r="T49" s="15"/>
      <c r="U49" s="15"/>
      <c r="V49" s="15"/>
      <c r="W49" s="15"/>
      <c r="X49" s="15"/>
      <c r="Y49" s="15"/>
      <c r="Z49" s="15"/>
    </row>
    <row r="50" spans="1:26" ht="15.75" x14ac:dyDescent="0.25">
      <c r="A50" s="17" t="s">
        <v>397</v>
      </c>
      <c r="B50" s="41"/>
      <c r="C50" s="43"/>
      <c r="D50" s="43"/>
      <c r="E50" s="43"/>
      <c r="F50" s="43"/>
      <c r="G50" s="43"/>
      <c r="H50" s="15"/>
      <c r="I50" s="16"/>
      <c r="J50" s="16"/>
      <c r="K50" s="14"/>
      <c r="L50" s="14"/>
      <c r="M50" s="14"/>
      <c r="N50" s="15"/>
      <c r="O50" s="15"/>
      <c r="P50" s="15"/>
      <c r="Q50" s="15"/>
      <c r="R50" s="15"/>
      <c r="S50" s="15"/>
      <c r="T50" s="15"/>
      <c r="U50" s="15"/>
      <c r="V50" s="15"/>
      <c r="W50" s="15"/>
      <c r="X50" s="15"/>
      <c r="Y50" s="15"/>
      <c r="Z50" s="15"/>
    </row>
    <row r="51" spans="1:26" ht="15.75" x14ac:dyDescent="0.25">
      <c r="A51" s="44" t="s">
        <v>398</v>
      </c>
      <c r="B51" s="41" t="s">
        <v>195</v>
      </c>
      <c r="C51" s="43">
        <v>1882930.2</v>
      </c>
      <c r="D51" s="43">
        <v>1046702.56</v>
      </c>
      <c r="E51" s="43">
        <f>F51-D51</f>
        <v>2145269.44</v>
      </c>
      <c r="F51" s="43">
        <v>3191972</v>
      </c>
      <c r="G51" s="43">
        <v>3250000</v>
      </c>
      <c r="H51" s="15"/>
      <c r="I51" s="16"/>
      <c r="J51" s="16"/>
      <c r="K51" s="14"/>
      <c r="L51" s="14"/>
      <c r="M51" s="14"/>
      <c r="N51" s="15"/>
      <c r="O51" s="15"/>
      <c r="P51" s="15"/>
      <c r="Q51" s="15"/>
      <c r="R51" s="15"/>
      <c r="S51" s="15"/>
      <c r="T51" s="15"/>
      <c r="U51" s="15"/>
      <c r="V51" s="15"/>
      <c r="W51" s="15"/>
      <c r="X51" s="15"/>
      <c r="Y51" s="15"/>
      <c r="Z51" s="15"/>
    </row>
    <row r="52" spans="1:26" ht="15.75" x14ac:dyDescent="0.25">
      <c r="A52" s="44" t="s">
        <v>1444</v>
      </c>
      <c r="B52" s="41"/>
      <c r="C52" s="43"/>
      <c r="D52" s="43"/>
      <c r="E52" s="43"/>
      <c r="F52" s="43"/>
      <c r="G52" s="43"/>
      <c r="H52" s="15"/>
      <c r="I52" s="16">
        <v>3000000</v>
      </c>
      <c r="J52" s="16"/>
      <c r="K52" s="14"/>
      <c r="L52" s="14"/>
      <c r="M52" s="14"/>
      <c r="N52" s="15"/>
      <c r="O52" s="15"/>
      <c r="P52" s="15"/>
      <c r="Q52" s="15"/>
      <c r="R52" s="15"/>
      <c r="S52" s="15"/>
      <c r="T52" s="15"/>
      <c r="U52" s="15"/>
      <c r="V52" s="15"/>
      <c r="W52" s="15"/>
      <c r="X52" s="15"/>
      <c r="Y52" s="15"/>
      <c r="Z52" s="15"/>
    </row>
    <row r="53" spans="1:26" ht="15.75" x14ac:dyDescent="0.25">
      <c r="A53" s="44" t="s">
        <v>1445</v>
      </c>
      <c r="B53" s="41"/>
      <c r="C53" s="43"/>
      <c r="D53" s="43"/>
      <c r="E53" s="43"/>
      <c r="F53" s="43"/>
      <c r="G53" s="43"/>
      <c r="H53" s="15"/>
      <c r="I53" s="16">
        <v>50000</v>
      </c>
      <c r="J53" s="16"/>
      <c r="K53" s="14"/>
      <c r="L53" s="14"/>
      <c r="M53" s="14"/>
      <c r="N53" s="15"/>
      <c r="O53" s="15"/>
      <c r="P53" s="15"/>
      <c r="Q53" s="15"/>
      <c r="R53" s="15"/>
      <c r="S53" s="15"/>
      <c r="T53" s="15"/>
      <c r="U53" s="15"/>
      <c r="V53" s="15"/>
      <c r="W53" s="15"/>
      <c r="X53" s="15"/>
      <c r="Y53" s="15"/>
      <c r="Z53" s="15"/>
    </row>
    <row r="54" spans="1:26" ht="15.75" x14ac:dyDescent="0.25">
      <c r="A54" s="44" t="s">
        <v>1441</v>
      </c>
      <c r="B54" s="41"/>
      <c r="C54" s="43"/>
      <c r="D54" s="43"/>
      <c r="E54" s="43"/>
      <c r="F54" s="43"/>
      <c r="G54" s="43"/>
      <c r="H54" s="15"/>
      <c r="I54" s="16">
        <v>100000</v>
      </c>
      <c r="J54" s="16"/>
      <c r="K54" s="14"/>
      <c r="L54" s="14"/>
      <c r="M54" s="14"/>
      <c r="N54" s="15"/>
      <c r="O54" s="15"/>
      <c r="P54" s="15"/>
      <c r="Q54" s="15"/>
      <c r="R54" s="15"/>
      <c r="S54" s="15"/>
      <c r="T54" s="15"/>
      <c r="U54" s="15"/>
      <c r="V54" s="15"/>
      <c r="W54" s="15"/>
      <c r="X54" s="15"/>
      <c r="Y54" s="15"/>
      <c r="Z54" s="15"/>
    </row>
    <row r="55" spans="1:26" ht="15.75" x14ac:dyDescent="0.25">
      <c r="A55" s="610" t="s">
        <v>1446</v>
      </c>
      <c r="B55" s="483"/>
      <c r="C55" s="457"/>
      <c r="D55" s="457"/>
      <c r="E55" s="457"/>
      <c r="F55" s="457"/>
      <c r="G55" s="457"/>
      <c r="H55" s="15"/>
      <c r="I55" s="16">
        <v>100000</v>
      </c>
      <c r="J55" s="16">
        <f>SUM(I52:I55)</f>
        <v>3250000</v>
      </c>
      <c r="K55" s="14"/>
      <c r="L55" s="14"/>
      <c r="M55" s="14"/>
      <c r="N55" s="15"/>
      <c r="O55" s="15"/>
      <c r="P55" s="15"/>
      <c r="Q55" s="15"/>
      <c r="R55" s="15"/>
      <c r="S55" s="15"/>
      <c r="T55" s="15"/>
      <c r="U55" s="15"/>
      <c r="V55" s="15"/>
      <c r="W55" s="15"/>
      <c r="X55" s="15"/>
      <c r="Y55" s="15"/>
      <c r="Z55" s="15"/>
    </row>
    <row r="56" spans="1:26" ht="15.75" x14ac:dyDescent="0.25">
      <c r="A56" s="611" t="s">
        <v>1447</v>
      </c>
      <c r="B56" s="601" t="s">
        <v>197</v>
      </c>
      <c r="C56" s="448">
        <v>6034075</v>
      </c>
      <c r="D56" s="448">
        <v>1983450</v>
      </c>
      <c r="E56" s="448">
        <f>F56-D56</f>
        <v>5016550</v>
      </c>
      <c r="F56" s="448">
        <v>7000000</v>
      </c>
      <c r="G56" s="448">
        <v>7600000</v>
      </c>
      <c r="H56" s="15"/>
      <c r="I56" s="16"/>
      <c r="J56" s="16"/>
      <c r="K56" s="14"/>
      <c r="L56" s="14"/>
      <c r="M56" s="14"/>
      <c r="N56" s="15"/>
      <c r="O56" s="15"/>
      <c r="P56" s="15"/>
      <c r="Q56" s="15"/>
      <c r="R56" s="15"/>
      <c r="S56" s="15"/>
      <c r="T56" s="15"/>
      <c r="U56" s="15"/>
      <c r="V56" s="15"/>
      <c r="W56" s="15"/>
      <c r="X56" s="15"/>
      <c r="Y56" s="15"/>
      <c r="Z56" s="15"/>
    </row>
    <row r="57" spans="1:26" ht="15.75" x14ac:dyDescent="0.25">
      <c r="A57" s="44" t="s">
        <v>1448</v>
      </c>
      <c r="B57" s="41"/>
      <c r="C57" s="43"/>
      <c r="D57" s="43"/>
      <c r="E57" s="43"/>
      <c r="F57" s="43"/>
      <c r="G57" s="43"/>
      <c r="H57" s="15"/>
      <c r="I57" s="16">
        <v>7000000</v>
      </c>
      <c r="J57" s="16"/>
      <c r="K57" s="14"/>
      <c r="L57" s="14"/>
      <c r="M57" s="14"/>
      <c r="N57" s="15"/>
      <c r="O57" s="15"/>
      <c r="P57" s="15"/>
      <c r="Q57" s="15"/>
      <c r="R57" s="15"/>
      <c r="S57" s="15"/>
      <c r="T57" s="15"/>
      <c r="U57" s="15"/>
      <c r="V57" s="15"/>
      <c r="W57" s="15"/>
      <c r="X57" s="15"/>
      <c r="Y57" s="15"/>
      <c r="Z57" s="15"/>
    </row>
    <row r="58" spans="1:26" ht="15.75" x14ac:dyDescent="0.25">
      <c r="A58" s="44" t="s">
        <v>1449</v>
      </c>
      <c r="B58" s="41"/>
      <c r="C58" s="43"/>
      <c r="D58" s="43"/>
      <c r="E58" s="43"/>
      <c r="F58" s="43"/>
      <c r="G58" s="43"/>
      <c r="H58" s="15"/>
      <c r="I58" s="16">
        <v>600000</v>
      </c>
      <c r="J58" s="16">
        <f>I57+I58</f>
        <v>7600000</v>
      </c>
      <c r="K58" s="14"/>
      <c r="L58" s="14"/>
      <c r="M58" s="14"/>
      <c r="N58" s="15"/>
      <c r="O58" s="15"/>
      <c r="P58" s="15"/>
      <c r="Q58" s="15"/>
      <c r="R58" s="15"/>
      <c r="S58" s="15"/>
      <c r="T58" s="15"/>
      <c r="U58" s="15"/>
      <c r="V58" s="15"/>
      <c r="W58" s="15"/>
      <c r="X58" s="15"/>
      <c r="Y58" s="15"/>
      <c r="Z58" s="15"/>
    </row>
    <row r="59" spans="1:26" ht="15.75" x14ac:dyDescent="0.25">
      <c r="A59" s="96" t="s">
        <v>400</v>
      </c>
      <c r="B59" s="41" t="s">
        <v>221</v>
      </c>
      <c r="C59" s="43"/>
      <c r="D59" s="43">
        <v>2043671</v>
      </c>
      <c r="E59" s="43">
        <f t="shared" ref="E59:E61" si="5">F59-D59</f>
        <v>182629</v>
      </c>
      <c r="F59" s="43">
        <v>2226300</v>
      </c>
      <c r="G59" s="43">
        <v>1500000</v>
      </c>
      <c r="H59" s="15"/>
      <c r="I59" s="16"/>
      <c r="J59" s="16"/>
      <c r="K59" s="14"/>
      <c r="L59" s="14"/>
      <c r="M59" s="14"/>
      <c r="N59" s="15"/>
      <c r="O59" s="15"/>
      <c r="P59" s="15"/>
      <c r="Q59" s="15"/>
      <c r="R59" s="15"/>
      <c r="S59" s="15"/>
      <c r="T59" s="15"/>
      <c r="U59" s="15"/>
      <c r="V59" s="15"/>
      <c r="W59" s="15"/>
      <c r="X59" s="15"/>
      <c r="Y59" s="15"/>
      <c r="Z59" s="15"/>
    </row>
    <row r="60" spans="1:26" ht="15.75" x14ac:dyDescent="0.25">
      <c r="A60" s="96" t="s">
        <v>538</v>
      </c>
      <c r="B60" s="41" t="s">
        <v>223</v>
      </c>
      <c r="C60" s="43"/>
      <c r="D60" s="43">
        <v>349000</v>
      </c>
      <c r="E60" s="43">
        <f t="shared" si="5"/>
        <v>0</v>
      </c>
      <c r="F60" s="43">
        <v>349000</v>
      </c>
      <c r="G60" s="43">
        <v>594000</v>
      </c>
      <c r="H60" s="15"/>
      <c r="I60" s="16"/>
      <c r="J60" s="16"/>
      <c r="K60" s="14"/>
      <c r="L60" s="14"/>
      <c r="M60" s="14"/>
      <c r="N60" s="15"/>
      <c r="O60" s="15"/>
      <c r="P60" s="15"/>
      <c r="Q60" s="15"/>
      <c r="R60" s="15"/>
      <c r="S60" s="15"/>
      <c r="T60" s="15"/>
      <c r="U60" s="15"/>
      <c r="V60" s="15"/>
      <c r="W60" s="15"/>
      <c r="X60" s="15"/>
      <c r="Y60" s="15"/>
      <c r="Z60" s="15"/>
    </row>
    <row r="61" spans="1:26" ht="15.75" x14ac:dyDescent="0.25">
      <c r="A61" s="44" t="s">
        <v>402</v>
      </c>
      <c r="B61" s="41" t="s">
        <v>225</v>
      </c>
      <c r="C61" s="43">
        <v>1082621.8</v>
      </c>
      <c r="D61" s="43">
        <v>20382</v>
      </c>
      <c r="E61" s="43">
        <f t="shared" si="5"/>
        <v>140880</v>
      </c>
      <c r="F61" s="43">
        <v>161262</v>
      </c>
      <c r="G61" s="43">
        <v>215000</v>
      </c>
      <c r="H61" s="15"/>
      <c r="I61" s="16"/>
      <c r="J61" s="16"/>
      <c r="K61" s="14"/>
      <c r="L61" s="14"/>
      <c r="M61" s="14"/>
      <c r="N61" s="15"/>
      <c r="O61" s="15"/>
      <c r="P61" s="15"/>
      <c r="Q61" s="15"/>
      <c r="R61" s="15"/>
      <c r="S61" s="15"/>
      <c r="T61" s="15"/>
      <c r="U61" s="15"/>
      <c r="V61" s="15"/>
      <c r="W61" s="15"/>
      <c r="X61" s="15"/>
      <c r="Y61" s="15"/>
      <c r="Z61" s="15"/>
    </row>
    <row r="62" spans="1:26" ht="15.75" x14ac:dyDescent="0.25">
      <c r="A62" s="44" t="s">
        <v>1450</v>
      </c>
      <c r="B62" s="41"/>
      <c r="C62" s="43"/>
      <c r="D62" s="43"/>
      <c r="E62" s="43"/>
      <c r="F62" s="43"/>
      <c r="G62" s="43"/>
      <c r="H62" s="15"/>
      <c r="I62" s="16">
        <v>200000</v>
      </c>
      <c r="J62" s="16"/>
      <c r="K62" s="14"/>
      <c r="L62" s="14"/>
      <c r="M62" s="14"/>
      <c r="N62" s="15"/>
      <c r="O62" s="15"/>
      <c r="P62" s="15"/>
      <c r="Q62" s="15"/>
      <c r="R62" s="15"/>
      <c r="S62" s="15"/>
      <c r="T62" s="15"/>
      <c r="U62" s="15"/>
      <c r="V62" s="15"/>
      <c r="W62" s="15"/>
      <c r="X62" s="15"/>
      <c r="Y62" s="15"/>
      <c r="Z62" s="15"/>
    </row>
    <row r="63" spans="1:26" ht="15.75" x14ac:dyDescent="0.25">
      <c r="A63" s="44" t="s">
        <v>1451</v>
      </c>
      <c r="B63" s="41"/>
      <c r="C63" s="43"/>
      <c r="D63" s="43"/>
      <c r="E63" s="43"/>
      <c r="F63" s="43"/>
      <c r="G63" s="43"/>
      <c r="H63" s="15"/>
      <c r="I63" s="16">
        <v>15000</v>
      </c>
      <c r="J63" s="16">
        <f>I62+I63</f>
        <v>215000</v>
      </c>
      <c r="K63" s="14"/>
      <c r="L63" s="14"/>
      <c r="M63" s="14"/>
      <c r="N63" s="15"/>
      <c r="O63" s="15"/>
      <c r="P63" s="15"/>
      <c r="Q63" s="15"/>
      <c r="R63" s="15"/>
      <c r="S63" s="15"/>
      <c r="T63" s="15"/>
      <c r="U63" s="15"/>
      <c r="V63" s="15"/>
      <c r="W63" s="15"/>
      <c r="X63" s="15"/>
      <c r="Y63" s="15"/>
      <c r="Z63" s="15"/>
    </row>
    <row r="64" spans="1:26" ht="15.75" x14ac:dyDescent="0.25">
      <c r="A64" s="17" t="s">
        <v>503</v>
      </c>
      <c r="B64" s="41"/>
      <c r="C64" s="43"/>
      <c r="D64" s="43"/>
      <c r="E64" s="43"/>
      <c r="F64" s="43"/>
      <c r="G64" s="43"/>
      <c r="H64" s="15"/>
      <c r="I64" s="16"/>
      <c r="J64" s="16"/>
      <c r="K64" s="14"/>
      <c r="L64" s="14"/>
      <c r="M64" s="14"/>
      <c r="N64" s="15"/>
      <c r="O64" s="15"/>
      <c r="P64" s="15"/>
      <c r="Q64" s="15"/>
      <c r="R64" s="15"/>
      <c r="S64" s="15"/>
      <c r="T64" s="15"/>
      <c r="U64" s="15"/>
      <c r="V64" s="15"/>
      <c r="W64" s="15"/>
      <c r="X64" s="15"/>
      <c r="Y64" s="15"/>
      <c r="Z64" s="15"/>
    </row>
    <row r="65" spans="1:26" ht="15.75" x14ac:dyDescent="0.25">
      <c r="A65" s="44" t="s">
        <v>1303</v>
      </c>
      <c r="B65" s="41" t="s">
        <v>231</v>
      </c>
      <c r="C65" s="43">
        <v>24645</v>
      </c>
      <c r="D65" s="43">
        <v>0</v>
      </c>
      <c r="E65" s="43">
        <f t="shared" ref="E65:E66" si="6">F65-D65</f>
        <v>25000</v>
      </c>
      <c r="F65" s="43">
        <v>25000</v>
      </c>
      <c r="G65" s="43">
        <v>25000</v>
      </c>
      <c r="H65" s="15"/>
      <c r="I65" s="16"/>
      <c r="J65" s="16"/>
      <c r="K65" s="14"/>
      <c r="L65" s="14"/>
      <c r="M65" s="14"/>
      <c r="N65" s="15"/>
      <c r="O65" s="15"/>
      <c r="P65" s="15"/>
      <c r="Q65" s="15"/>
      <c r="R65" s="15"/>
      <c r="S65" s="15"/>
      <c r="T65" s="15"/>
      <c r="U65" s="15"/>
      <c r="V65" s="15"/>
      <c r="W65" s="15"/>
      <c r="X65" s="15"/>
      <c r="Y65" s="15"/>
      <c r="Z65" s="15"/>
    </row>
    <row r="66" spans="1:26" ht="15.75" x14ac:dyDescent="0.25">
      <c r="A66" s="44" t="s">
        <v>405</v>
      </c>
      <c r="B66" s="41" t="s">
        <v>235</v>
      </c>
      <c r="C66" s="43">
        <v>42000</v>
      </c>
      <c r="D66" s="43">
        <v>0</v>
      </c>
      <c r="E66" s="43">
        <f t="shared" si="6"/>
        <v>54000</v>
      </c>
      <c r="F66" s="43">
        <v>54000</v>
      </c>
      <c r="G66" s="43">
        <f>(2000+2500)*12</f>
        <v>54000</v>
      </c>
      <c r="H66" s="15"/>
      <c r="I66" s="16"/>
      <c r="J66" s="16"/>
      <c r="K66" s="14"/>
      <c r="L66" s="14"/>
      <c r="M66" s="14"/>
      <c r="N66" s="15"/>
      <c r="O66" s="15"/>
      <c r="P66" s="15"/>
      <c r="Q66" s="15"/>
      <c r="R66" s="15"/>
      <c r="S66" s="15"/>
      <c r="T66" s="15"/>
      <c r="U66" s="15"/>
      <c r="V66" s="15"/>
      <c r="W66" s="15"/>
      <c r="X66" s="15"/>
      <c r="Y66" s="15"/>
      <c r="Z66" s="15"/>
    </row>
    <row r="67" spans="1:26" ht="15.75" x14ac:dyDescent="0.25">
      <c r="A67" s="17" t="s">
        <v>1380</v>
      </c>
      <c r="B67" s="41"/>
      <c r="C67" s="43"/>
      <c r="D67" s="43"/>
      <c r="E67" s="43"/>
      <c r="F67" s="43"/>
      <c r="G67" s="43"/>
      <c r="H67" s="15"/>
      <c r="I67" s="16"/>
      <c r="J67" s="16"/>
      <c r="K67" s="14"/>
      <c r="L67" s="14"/>
      <c r="M67" s="14"/>
      <c r="N67" s="15"/>
      <c r="O67" s="15"/>
      <c r="P67" s="15"/>
      <c r="Q67" s="15"/>
      <c r="R67" s="15"/>
      <c r="S67" s="15"/>
      <c r="T67" s="15"/>
      <c r="U67" s="15"/>
      <c r="V67" s="15"/>
      <c r="W67" s="15"/>
      <c r="X67" s="15"/>
      <c r="Y67" s="15"/>
      <c r="Z67" s="15"/>
    </row>
    <row r="68" spans="1:26" ht="15.75" x14ac:dyDescent="0.25">
      <c r="A68" s="44" t="s">
        <v>1452</v>
      </c>
      <c r="B68" s="41" t="s">
        <v>315</v>
      </c>
      <c r="C68" s="43">
        <v>812250</v>
      </c>
      <c r="D68" s="43">
        <v>146437.5</v>
      </c>
      <c r="E68" s="43">
        <f>F68-D68</f>
        <v>853562.5</v>
      </c>
      <c r="F68" s="43">
        <v>1000000</v>
      </c>
      <c r="G68" s="43">
        <v>1000000</v>
      </c>
      <c r="H68" s="15"/>
      <c r="I68" s="16"/>
      <c r="J68" s="16"/>
      <c r="K68" s="14"/>
      <c r="L68" s="14"/>
      <c r="M68" s="14"/>
      <c r="N68" s="15"/>
      <c r="O68" s="15"/>
      <c r="P68" s="15"/>
      <c r="Q68" s="15"/>
      <c r="R68" s="15"/>
      <c r="S68" s="15"/>
      <c r="T68" s="15"/>
      <c r="U68" s="15"/>
      <c r="V68" s="15"/>
      <c r="W68" s="15"/>
      <c r="X68" s="15"/>
      <c r="Y68" s="15"/>
      <c r="Z68" s="15"/>
    </row>
    <row r="69" spans="1:26" ht="15.75" x14ac:dyDescent="0.25">
      <c r="A69" s="17" t="s">
        <v>511</v>
      </c>
      <c r="B69" s="41"/>
      <c r="C69" s="43"/>
      <c r="D69" s="43"/>
      <c r="E69" s="43"/>
      <c r="F69" s="43"/>
      <c r="G69" s="43"/>
      <c r="H69" s="15"/>
      <c r="I69" s="16"/>
      <c r="J69" s="16"/>
      <c r="K69" s="14"/>
      <c r="L69" s="14"/>
      <c r="M69" s="14"/>
      <c r="N69" s="15"/>
      <c r="O69" s="15"/>
      <c r="P69" s="15"/>
      <c r="Q69" s="15"/>
      <c r="R69" s="15"/>
      <c r="S69" s="15"/>
      <c r="T69" s="15"/>
      <c r="U69" s="15"/>
      <c r="V69" s="15"/>
      <c r="W69" s="15"/>
      <c r="X69" s="15"/>
      <c r="Y69" s="15"/>
      <c r="Z69" s="15"/>
    </row>
    <row r="70" spans="1:26" ht="15.75" x14ac:dyDescent="0.25">
      <c r="A70" s="48" t="s">
        <v>415</v>
      </c>
      <c r="B70" s="41" t="s">
        <v>319</v>
      </c>
      <c r="C70" s="43">
        <v>203601.5</v>
      </c>
      <c r="D70" s="43">
        <v>0</v>
      </c>
      <c r="E70" s="43">
        <f t="shared" ref="E70:E72" si="7">F70-D70</f>
        <v>1200000</v>
      </c>
      <c r="F70" s="43">
        <v>1200000</v>
      </c>
      <c r="G70" s="43">
        <v>1200000</v>
      </c>
      <c r="H70" s="15"/>
      <c r="I70" s="16"/>
      <c r="J70" s="16"/>
      <c r="K70" s="14"/>
      <c r="L70" s="14"/>
      <c r="M70" s="14"/>
      <c r="N70" s="15"/>
      <c r="O70" s="15"/>
      <c r="P70" s="15"/>
      <c r="Q70" s="15"/>
      <c r="R70" s="15"/>
      <c r="S70" s="15"/>
      <c r="T70" s="15"/>
      <c r="U70" s="15"/>
      <c r="V70" s="15"/>
      <c r="W70" s="15"/>
      <c r="X70" s="15"/>
      <c r="Y70" s="15"/>
      <c r="Z70" s="15"/>
    </row>
    <row r="71" spans="1:26" ht="15.75" x14ac:dyDescent="0.25">
      <c r="A71" s="48" t="s">
        <v>645</v>
      </c>
      <c r="B71" s="41" t="s">
        <v>325</v>
      </c>
      <c r="C71" s="43">
        <v>71700</v>
      </c>
      <c r="D71" s="43">
        <v>24860</v>
      </c>
      <c r="E71" s="43">
        <f t="shared" si="7"/>
        <v>155140</v>
      </c>
      <c r="F71" s="43">
        <v>180000</v>
      </c>
      <c r="G71" s="43">
        <v>180000</v>
      </c>
      <c r="H71" s="15"/>
      <c r="I71" s="16"/>
      <c r="J71" s="16"/>
      <c r="K71" s="14"/>
      <c r="L71" s="14"/>
      <c r="M71" s="14"/>
      <c r="N71" s="15"/>
      <c r="O71" s="15"/>
      <c r="P71" s="15"/>
      <c r="Q71" s="15"/>
      <c r="R71" s="15"/>
      <c r="S71" s="15"/>
      <c r="T71" s="15"/>
      <c r="U71" s="15"/>
      <c r="V71" s="15"/>
      <c r="W71" s="15"/>
      <c r="X71" s="15"/>
      <c r="Y71" s="15"/>
      <c r="Z71" s="15"/>
    </row>
    <row r="72" spans="1:26" ht="15.75" x14ac:dyDescent="0.25">
      <c r="A72" s="44" t="s">
        <v>424</v>
      </c>
      <c r="B72" s="41" t="s">
        <v>335</v>
      </c>
      <c r="C72" s="45">
        <v>1380143.04</v>
      </c>
      <c r="D72" s="43">
        <v>979298.71</v>
      </c>
      <c r="E72" s="43">
        <f t="shared" si="7"/>
        <v>3576581.29</v>
      </c>
      <c r="F72" s="43">
        <v>4555880</v>
      </c>
      <c r="G72" s="43">
        <v>10098464</v>
      </c>
      <c r="H72" s="15"/>
      <c r="I72" s="16"/>
      <c r="J72" s="16"/>
      <c r="K72" s="14"/>
      <c r="L72" s="14"/>
      <c r="M72" s="14"/>
      <c r="N72" s="15"/>
      <c r="O72" s="15"/>
      <c r="P72" s="15"/>
      <c r="Q72" s="15"/>
      <c r="R72" s="15"/>
      <c r="S72" s="15"/>
      <c r="T72" s="15"/>
      <c r="U72" s="15"/>
      <c r="V72" s="15"/>
      <c r="W72" s="15"/>
      <c r="X72" s="15"/>
      <c r="Y72" s="15"/>
      <c r="Z72" s="15"/>
    </row>
    <row r="73" spans="1:26" ht="15.75" x14ac:dyDescent="0.25">
      <c r="A73" s="44" t="s">
        <v>1453</v>
      </c>
      <c r="B73" s="41"/>
      <c r="C73" s="45"/>
      <c r="D73" s="43"/>
      <c r="E73" s="43"/>
      <c r="F73" s="45"/>
      <c r="G73" s="43"/>
      <c r="H73" s="15"/>
      <c r="I73" s="16"/>
      <c r="J73" s="16"/>
      <c r="K73" s="14"/>
      <c r="L73" s="14"/>
      <c r="M73" s="14"/>
      <c r="N73" s="15"/>
      <c r="O73" s="15"/>
      <c r="P73" s="15"/>
      <c r="Q73" s="15"/>
      <c r="R73" s="15"/>
      <c r="S73" s="15"/>
      <c r="T73" s="15"/>
      <c r="U73" s="15"/>
      <c r="V73" s="15"/>
      <c r="W73" s="15"/>
      <c r="X73" s="15"/>
      <c r="Y73" s="15"/>
      <c r="Z73" s="15"/>
    </row>
    <row r="74" spans="1:26" ht="15.75" x14ac:dyDescent="0.25">
      <c r="A74" s="44" t="s">
        <v>1454</v>
      </c>
      <c r="B74" s="41"/>
      <c r="C74" s="45"/>
      <c r="D74" s="43"/>
      <c r="E74" s="43"/>
      <c r="F74" s="45"/>
      <c r="G74" s="43"/>
      <c r="H74" s="15"/>
      <c r="I74" s="16"/>
      <c r="J74" s="16"/>
      <c r="K74" s="14"/>
      <c r="L74" s="14"/>
      <c r="M74" s="14">
        <v>129000</v>
      </c>
      <c r="N74" s="15"/>
      <c r="O74" s="15"/>
      <c r="P74" s="15"/>
      <c r="Q74" s="15"/>
      <c r="R74" s="15"/>
      <c r="S74" s="15"/>
      <c r="T74" s="15"/>
      <c r="U74" s="15"/>
      <c r="V74" s="15"/>
      <c r="W74" s="15"/>
      <c r="X74" s="15"/>
      <c r="Y74" s="15"/>
      <c r="Z74" s="15"/>
    </row>
    <row r="75" spans="1:26" ht="15.75" x14ac:dyDescent="0.25">
      <c r="A75" s="44" t="s">
        <v>1455</v>
      </c>
      <c r="B75" s="41"/>
      <c r="C75" s="45"/>
      <c r="D75" s="43"/>
      <c r="E75" s="43"/>
      <c r="F75" s="45"/>
      <c r="G75" s="43"/>
      <c r="H75" s="15"/>
      <c r="I75" s="16"/>
      <c r="J75" s="16"/>
      <c r="K75" s="14"/>
      <c r="L75" s="14"/>
      <c r="M75" s="14"/>
      <c r="N75" s="15"/>
      <c r="O75" s="15"/>
      <c r="P75" s="15"/>
      <c r="Q75" s="15"/>
      <c r="R75" s="15"/>
      <c r="S75" s="15"/>
      <c r="T75" s="15"/>
      <c r="U75" s="15"/>
      <c r="V75" s="15"/>
      <c r="W75" s="15"/>
      <c r="X75" s="15"/>
      <c r="Y75" s="15"/>
      <c r="Z75" s="15"/>
    </row>
    <row r="76" spans="1:26" ht="15.75" x14ac:dyDescent="0.25">
      <c r="A76" s="44" t="s">
        <v>1456</v>
      </c>
      <c r="B76" s="41"/>
      <c r="C76" s="45"/>
      <c r="D76" s="43"/>
      <c r="E76" s="43"/>
      <c r="F76" s="45"/>
      <c r="G76" s="43"/>
      <c r="H76" s="15"/>
      <c r="I76" s="16"/>
      <c r="J76" s="16"/>
      <c r="K76" s="14"/>
      <c r="L76" s="14"/>
      <c r="M76" s="14">
        <v>500000</v>
      </c>
      <c r="N76" s="15"/>
      <c r="O76" s="15"/>
      <c r="P76" s="15"/>
      <c r="Q76" s="15"/>
      <c r="R76" s="15"/>
      <c r="S76" s="15"/>
      <c r="T76" s="15"/>
      <c r="U76" s="15"/>
      <c r="V76" s="15"/>
      <c r="W76" s="15"/>
      <c r="X76" s="15"/>
      <c r="Y76" s="15"/>
      <c r="Z76" s="15"/>
    </row>
    <row r="77" spans="1:26" ht="15.75" x14ac:dyDescent="0.25">
      <c r="A77" s="44" t="s">
        <v>2769</v>
      </c>
      <c r="B77" s="41"/>
      <c r="C77" s="45"/>
      <c r="D77" s="43"/>
      <c r="E77" s="43"/>
      <c r="F77" s="45"/>
      <c r="G77" s="43"/>
      <c r="H77" s="15"/>
      <c r="I77" s="16"/>
      <c r="J77" s="16"/>
      <c r="K77" s="14"/>
      <c r="L77" s="14"/>
      <c r="M77" s="14">
        <v>100000</v>
      </c>
      <c r="N77" s="15"/>
      <c r="O77" s="15"/>
      <c r="P77" s="15"/>
      <c r="Q77" s="15"/>
      <c r="R77" s="15"/>
      <c r="S77" s="15"/>
      <c r="T77" s="15"/>
      <c r="U77" s="15"/>
      <c r="V77" s="15"/>
      <c r="W77" s="15"/>
      <c r="X77" s="15"/>
      <c r="Y77" s="15"/>
      <c r="Z77" s="15"/>
    </row>
    <row r="78" spans="1:26" ht="15.75" x14ac:dyDescent="0.25">
      <c r="A78" s="44" t="s">
        <v>1457</v>
      </c>
      <c r="B78" s="41"/>
      <c r="C78" s="45"/>
      <c r="D78" s="43"/>
      <c r="E78" s="43"/>
      <c r="F78" s="45"/>
      <c r="G78" s="43"/>
      <c r="H78" s="15"/>
      <c r="I78" s="16"/>
      <c r="J78" s="16"/>
      <c r="K78" s="14"/>
      <c r="L78" s="14"/>
      <c r="M78" s="14">
        <v>50000</v>
      </c>
      <c r="N78" s="15"/>
      <c r="O78" s="15"/>
      <c r="P78" s="15"/>
      <c r="Q78" s="15"/>
      <c r="R78" s="15"/>
      <c r="S78" s="15"/>
      <c r="T78" s="15"/>
      <c r="U78" s="15"/>
      <c r="V78" s="15"/>
      <c r="W78" s="15"/>
      <c r="X78" s="15"/>
      <c r="Y78" s="15"/>
      <c r="Z78" s="15"/>
    </row>
    <row r="79" spans="1:26" ht="15.75" x14ac:dyDescent="0.25">
      <c r="A79" s="44" t="s">
        <v>925</v>
      </c>
      <c r="B79" s="437"/>
      <c r="C79" s="473"/>
      <c r="D79" s="438"/>
      <c r="E79" s="438"/>
      <c r="F79" s="473"/>
      <c r="G79" s="438"/>
      <c r="H79" s="15"/>
      <c r="I79" s="210" t="s">
        <v>877</v>
      </c>
      <c r="J79" s="211" t="s">
        <v>878</v>
      </c>
      <c r="K79" s="210" t="s">
        <v>879</v>
      </c>
      <c r="L79" s="8" t="s">
        <v>880</v>
      </c>
      <c r="M79" s="210" t="s">
        <v>881</v>
      </c>
      <c r="N79" s="15"/>
      <c r="O79" s="15"/>
      <c r="P79" s="15"/>
      <c r="Q79" s="15"/>
      <c r="R79" s="15"/>
      <c r="S79" s="15"/>
      <c r="T79" s="15"/>
      <c r="U79" s="15"/>
      <c r="V79" s="15"/>
      <c r="W79" s="15"/>
      <c r="X79" s="15"/>
      <c r="Y79" s="15"/>
      <c r="Z79" s="15"/>
    </row>
    <row r="80" spans="1:26" ht="15.75" x14ac:dyDescent="0.25">
      <c r="A80" s="44" t="s">
        <v>1458</v>
      </c>
      <c r="B80" s="461"/>
      <c r="C80" s="443"/>
      <c r="D80" s="443"/>
      <c r="E80" s="443"/>
      <c r="F80" s="443"/>
      <c r="G80" s="462"/>
      <c r="H80" s="15"/>
      <c r="O80" s="15"/>
      <c r="P80" s="15"/>
      <c r="Q80" s="15"/>
      <c r="R80" s="15"/>
      <c r="S80" s="15"/>
      <c r="T80" s="15"/>
      <c r="U80" s="15"/>
      <c r="V80" s="15"/>
      <c r="W80" s="15"/>
      <c r="X80" s="15"/>
      <c r="Y80" s="15"/>
      <c r="Z80" s="15"/>
    </row>
    <row r="81" spans="1:26" ht="31.5" x14ac:dyDescent="0.25">
      <c r="A81" s="118" t="s">
        <v>2770</v>
      </c>
      <c r="B81" s="41"/>
      <c r="C81" s="45"/>
      <c r="D81" s="43"/>
      <c r="E81" s="43"/>
      <c r="F81" s="45"/>
      <c r="G81" s="43"/>
      <c r="H81" s="15"/>
      <c r="I81" s="60">
        <v>1465</v>
      </c>
      <c r="J81" s="211">
        <v>2</v>
      </c>
      <c r="K81" s="8"/>
      <c r="L81" s="8">
        <v>260</v>
      </c>
      <c r="M81" s="60">
        <f>+I81*J81*L81</f>
        <v>761800</v>
      </c>
      <c r="O81" s="15"/>
      <c r="P81" s="15"/>
      <c r="Q81" s="15"/>
      <c r="R81" s="15"/>
      <c r="S81" s="15"/>
      <c r="T81" s="15"/>
      <c r="U81" s="15"/>
      <c r="V81" s="15"/>
      <c r="W81" s="15"/>
      <c r="X81" s="15"/>
      <c r="Y81" s="15"/>
      <c r="Z81" s="15"/>
    </row>
    <row r="82" spans="1:26" ht="31.5" x14ac:dyDescent="0.25">
      <c r="A82" s="118" t="s">
        <v>2771</v>
      </c>
      <c r="B82" s="41"/>
      <c r="C82" s="45"/>
      <c r="D82" s="43"/>
      <c r="E82" s="43"/>
      <c r="F82" s="45"/>
      <c r="G82" s="43"/>
      <c r="H82" s="15"/>
      <c r="I82" s="60">
        <v>678</v>
      </c>
      <c r="J82" s="211">
        <v>10</v>
      </c>
      <c r="K82" s="8"/>
      <c r="L82" s="8">
        <v>260</v>
      </c>
      <c r="M82" s="60">
        <f>+I82*J82*L82</f>
        <v>1762800</v>
      </c>
      <c r="O82" s="15"/>
      <c r="P82" s="15"/>
      <c r="Q82" s="15"/>
      <c r="R82" s="15"/>
      <c r="S82" s="15"/>
      <c r="T82" s="15"/>
      <c r="U82" s="15"/>
      <c r="V82" s="15"/>
      <c r="W82" s="15"/>
      <c r="X82" s="15"/>
      <c r="Y82" s="15"/>
      <c r="Z82" s="15"/>
    </row>
    <row r="83" spans="1:26" ht="15.75" x14ac:dyDescent="0.25">
      <c r="A83" s="44" t="s">
        <v>2765</v>
      </c>
      <c r="B83" s="41"/>
      <c r="C83" s="45"/>
      <c r="D83" s="43"/>
      <c r="E83" s="43"/>
      <c r="F83" s="45"/>
      <c r="G83" s="43"/>
      <c r="H83" s="15"/>
      <c r="I83" s="60"/>
      <c r="J83" s="211"/>
      <c r="K83" s="8"/>
      <c r="L83" s="8"/>
      <c r="M83" s="60"/>
      <c r="O83" s="15"/>
      <c r="P83" s="15"/>
      <c r="Q83" s="15"/>
      <c r="R83" s="15"/>
      <c r="S83" s="15"/>
      <c r="T83" s="15"/>
      <c r="U83" s="15"/>
      <c r="V83" s="15"/>
      <c r="W83" s="15"/>
      <c r="X83" s="15"/>
      <c r="Y83" s="15"/>
      <c r="Z83" s="15"/>
    </row>
    <row r="84" spans="1:26" ht="31.5" x14ac:dyDescent="0.25">
      <c r="A84" s="118" t="s">
        <v>2772</v>
      </c>
      <c r="B84" s="41"/>
      <c r="C84" s="45"/>
      <c r="D84" s="43"/>
      <c r="E84" s="43"/>
      <c r="F84" s="45"/>
      <c r="G84" s="43"/>
      <c r="H84" s="15"/>
      <c r="I84" s="60">
        <v>678</v>
      </c>
      <c r="J84" s="211">
        <v>8</v>
      </c>
      <c r="K84" s="8"/>
      <c r="L84" s="8">
        <v>260</v>
      </c>
      <c r="M84" s="60">
        <f>+I84*J84*L84</f>
        <v>1410240</v>
      </c>
      <c r="N84" s="15"/>
      <c r="O84" s="15"/>
      <c r="P84" s="15"/>
      <c r="Q84" s="15"/>
      <c r="R84" s="15"/>
      <c r="S84" s="15"/>
      <c r="T84" s="15"/>
      <c r="U84" s="15"/>
      <c r="V84" s="15"/>
      <c r="W84" s="15"/>
      <c r="X84" s="15"/>
      <c r="Y84" s="15"/>
      <c r="Z84" s="15"/>
    </row>
    <row r="85" spans="1:26" ht="15.75" x14ac:dyDescent="0.25">
      <c r="A85" s="44" t="s">
        <v>2766</v>
      </c>
      <c r="B85" s="41"/>
      <c r="C85" s="45"/>
      <c r="D85" s="43"/>
      <c r="E85" s="43"/>
      <c r="F85" s="45"/>
      <c r="G85" s="43"/>
      <c r="H85" s="15"/>
      <c r="I85" s="60"/>
      <c r="J85" s="211"/>
      <c r="K85" s="8"/>
      <c r="L85" s="8"/>
      <c r="M85" s="60"/>
      <c r="N85" s="15"/>
      <c r="O85" s="15"/>
      <c r="P85" s="15"/>
      <c r="Q85" s="15"/>
      <c r="R85" s="15"/>
      <c r="S85" s="15"/>
      <c r="T85" s="15"/>
      <c r="U85" s="15"/>
      <c r="V85" s="15"/>
      <c r="W85" s="15"/>
      <c r="X85" s="15"/>
      <c r="Y85" s="15"/>
      <c r="Z85" s="15"/>
    </row>
    <row r="86" spans="1:26" ht="31.5" x14ac:dyDescent="0.25">
      <c r="A86" s="118" t="s">
        <v>2773</v>
      </c>
      <c r="B86" s="41"/>
      <c r="C86" s="45"/>
      <c r="D86" s="43"/>
      <c r="E86" s="43"/>
      <c r="F86" s="45"/>
      <c r="G86" s="43"/>
      <c r="H86" s="15"/>
      <c r="I86" s="60">
        <v>678</v>
      </c>
      <c r="J86" s="211">
        <v>16</v>
      </c>
      <c r="K86" s="8"/>
      <c r="L86" s="8">
        <v>260</v>
      </c>
      <c r="M86" s="60">
        <f>+I86*J86*L86</f>
        <v>2820480</v>
      </c>
      <c r="N86" s="15"/>
      <c r="O86" s="15"/>
      <c r="P86" s="15"/>
      <c r="Q86" s="15"/>
      <c r="R86" s="15"/>
      <c r="S86" s="15"/>
      <c r="T86" s="15"/>
      <c r="U86" s="15"/>
      <c r="V86" s="15"/>
      <c r="W86" s="15"/>
      <c r="X86" s="15"/>
      <c r="Y86" s="15"/>
      <c r="Z86" s="15"/>
    </row>
    <row r="87" spans="1:26" ht="15.75" x14ac:dyDescent="0.25">
      <c r="A87" s="44" t="s">
        <v>2767</v>
      </c>
      <c r="B87" s="41"/>
      <c r="C87" s="45"/>
      <c r="D87" s="43"/>
      <c r="E87" s="43"/>
      <c r="F87" s="45"/>
      <c r="G87" s="43"/>
      <c r="H87" s="15"/>
      <c r="I87" s="60"/>
      <c r="J87" s="211"/>
      <c r="K87" s="8"/>
      <c r="L87" s="8"/>
      <c r="M87" s="60"/>
      <c r="N87" s="15"/>
      <c r="O87" s="15"/>
      <c r="P87" s="15"/>
      <c r="Q87" s="15"/>
      <c r="R87" s="15"/>
      <c r="S87" s="15"/>
      <c r="T87" s="15"/>
      <c r="U87" s="15"/>
      <c r="V87" s="15"/>
      <c r="W87" s="15"/>
      <c r="X87" s="15"/>
      <c r="Y87" s="15"/>
      <c r="Z87" s="15"/>
    </row>
    <row r="88" spans="1:26" ht="31.5" x14ac:dyDescent="0.25">
      <c r="A88" s="118" t="s">
        <v>2772</v>
      </c>
      <c r="B88" s="41"/>
      <c r="C88" s="45"/>
      <c r="D88" s="43"/>
      <c r="E88" s="43"/>
      <c r="F88" s="45"/>
      <c r="G88" s="43"/>
      <c r="H88" s="15"/>
      <c r="I88" s="60">
        <v>678</v>
      </c>
      <c r="J88" s="211">
        <v>8</v>
      </c>
      <c r="K88" s="8"/>
      <c r="L88" s="8">
        <v>260</v>
      </c>
      <c r="M88" s="60">
        <f>+I88*J88*L88</f>
        <v>1410240</v>
      </c>
      <c r="N88" s="15"/>
      <c r="O88" s="15"/>
      <c r="P88" s="15"/>
      <c r="Q88" s="15"/>
      <c r="R88" s="15"/>
      <c r="S88" s="15"/>
      <c r="T88" s="15"/>
      <c r="U88" s="15"/>
      <c r="V88" s="15"/>
      <c r="W88" s="15"/>
      <c r="X88" s="15"/>
      <c r="Y88" s="15"/>
      <c r="Z88" s="15"/>
    </row>
    <row r="89" spans="1:26" ht="31.5" x14ac:dyDescent="0.25">
      <c r="A89" s="118" t="s">
        <v>2768</v>
      </c>
      <c r="B89" s="41"/>
      <c r="C89" s="45"/>
      <c r="D89" s="43"/>
      <c r="E89" s="43"/>
      <c r="F89" s="45"/>
      <c r="G89" s="43"/>
      <c r="H89" s="15"/>
      <c r="I89" s="60"/>
      <c r="J89" s="211"/>
      <c r="K89" s="8"/>
      <c r="L89" s="8"/>
      <c r="M89" s="60"/>
      <c r="N89" s="15"/>
      <c r="O89" s="15"/>
      <c r="P89" s="15"/>
      <c r="Q89" s="15"/>
      <c r="R89" s="15"/>
      <c r="S89" s="15"/>
      <c r="T89" s="15"/>
      <c r="U89" s="15"/>
      <c r="V89" s="15"/>
      <c r="W89" s="15"/>
      <c r="X89" s="15"/>
      <c r="Y89" s="15"/>
      <c r="Z89" s="15"/>
    </row>
    <row r="90" spans="1:26" ht="31.5" x14ac:dyDescent="0.25">
      <c r="A90" s="118" t="s">
        <v>2774</v>
      </c>
      <c r="B90" s="41"/>
      <c r="C90" s="45"/>
      <c r="D90" s="43"/>
      <c r="E90" s="43"/>
      <c r="F90" s="45"/>
      <c r="G90" s="43"/>
      <c r="H90" s="15"/>
      <c r="I90" s="60">
        <v>1465</v>
      </c>
      <c r="J90" s="211">
        <v>3</v>
      </c>
      <c r="K90" s="8"/>
      <c r="L90" s="8">
        <v>260</v>
      </c>
      <c r="M90" s="60">
        <f>+I90*J90*L90</f>
        <v>1142700</v>
      </c>
      <c r="N90" s="14">
        <f>M74+M76+M77+M78+M81+M82+M84+M86+M88+M90</f>
        <v>10087260</v>
      </c>
      <c r="O90" s="15"/>
      <c r="P90" s="15"/>
      <c r="Q90" s="15"/>
      <c r="R90" s="15"/>
      <c r="S90" s="15"/>
      <c r="T90" s="15"/>
      <c r="U90" s="15"/>
      <c r="V90" s="15"/>
      <c r="W90" s="15"/>
      <c r="X90" s="15"/>
      <c r="Y90" s="15"/>
      <c r="Z90" s="15"/>
    </row>
    <row r="91" spans="1:26" ht="15.75" x14ac:dyDescent="0.25">
      <c r="A91" s="42" t="s">
        <v>466</v>
      </c>
      <c r="B91" s="41"/>
      <c r="C91" s="54">
        <f t="shared" ref="C91:D91" si="8">+SUM(C43:C72)</f>
        <v>13142527.52</v>
      </c>
      <c r="D91" s="54">
        <f t="shared" si="8"/>
        <v>7155521.3999999994</v>
      </c>
      <c r="E91" s="54">
        <f>F91-D91</f>
        <v>14067892.600000001</v>
      </c>
      <c r="F91" s="79">
        <f>SUM(F41:F72)</f>
        <v>21223414</v>
      </c>
      <c r="G91" s="54">
        <f>SUM(G43:G90)</f>
        <v>27113754</v>
      </c>
      <c r="H91" s="26"/>
      <c r="I91" s="138"/>
      <c r="J91" s="16"/>
      <c r="K91" s="14"/>
      <c r="L91" s="14"/>
      <c r="M91" s="14"/>
      <c r="N91" s="7"/>
      <c r="O91" s="15"/>
      <c r="P91" s="15"/>
      <c r="Q91" s="15"/>
      <c r="R91" s="15"/>
      <c r="S91" s="15"/>
      <c r="T91" s="15"/>
      <c r="U91" s="15"/>
      <c r="V91" s="15"/>
      <c r="W91" s="15"/>
      <c r="X91" s="15"/>
      <c r="Y91" s="15"/>
      <c r="Z91" s="15"/>
    </row>
    <row r="92" spans="1:26" ht="15.75" x14ac:dyDescent="0.25">
      <c r="A92" s="17"/>
      <c r="B92" s="41"/>
      <c r="C92" s="55"/>
      <c r="D92" s="55"/>
      <c r="E92" s="43"/>
      <c r="F92" s="55"/>
      <c r="G92" s="55"/>
      <c r="H92" s="15"/>
      <c r="I92" s="16"/>
      <c r="J92" s="16"/>
      <c r="K92" s="14"/>
      <c r="L92" s="14"/>
      <c r="M92" s="14"/>
      <c r="N92" s="15"/>
      <c r="O92" s="15"/>
      <c r="P92" s="15"/>
      <c r="Q92" s="15"/>
      <c r="R92" s="15"/>
      <c r="S92" s="15"/>
      <c r="T92" s="15"/>
      <c r="U92" s="15"/>
      <c r="V92" s="15"/>
      <c r="W92" s="15"/>
      <c r="X92" s="15"/>
      <c r="Y92" s="15"/>
      <c r="Z92" s="15"/>
    </row>
    <row r="93" spans="1:26" ht="15.75" x14ac:dyDescent="0.25">
      <c r="A93" s="17" t="s">
        <v>467</v>
      </c>
      <c r="B93" s="41"/>
      <c r="C93" s="43">
        <f t="shared" ref="C93:D93" si="9">+C91+C39</f>
        <v>52313459.873999998</v>
      </c>
      <c r="D93" s="43">
        <f t="shared" si="9"/>
        <v>28555964.499999996</v>
      </c>
      <c r="E93" s="43">
        <f>F93-D93</f>
        <v>40127687.5</v>
      </c>
      <c r="F93" s="43">
        <f t="shared" ref="F93:G93" si="10">+F91+F39</f>
        <v>68683652</v>
      </c>
      <c r="G93" s="43">
        <f t="shared" si="10"/>
        <v>76901663</v>
      </c>
      <c r="H93" s="15"/>
      <c r="I93" s="16"/>
      <c r="J93" s="16"/>
      <c r="K93" s="14"/>
      <c r="L93" s="14"/>
      <c r="M93" s="14"/>
      <c r="N93" s="15"/>
      <c r="O93" s="15"/>
      <c r="P93" s="15"/>
      <c r="Q93" s="15"/>
      <c r="R93" s="15"/>
      <c r="S93" s="15"/>
      <c r="T93" s="15"/>
      <c r="U93" s="15"/>
      <c r="V93" s="15"/>
      <c r="W93" s="15"/>
      <c r="X93" s="15"/>
      <c r="Y93" s="15"/>
      <c r="Z93" s="15"/>
    </row>
    <row r="94" spans="1:26" ht="15.75" x14ac:dyDescent="0.25">
      <c r="A94" s="17"/>
      <c r="B94" s="41"/>
      <c r="C94" s="43"/>
      <c r="D94" s="43"/>
      <c r="E94" s="43"/>
      <c r="F94" s="43"/>
      <c r="G94" s="43"/>
      <c r="H94" s="15"/>
      <c r="I94" s="16"/>
      <c r="J94" s="16"/>
      <c r="K94" s="14"/>
      <c r="L94" s="14"/>
      <c r="M94" s="14"/>
      <c r="N94" s="15"/>
      <c r="O94" s="15"/>
      <c r="P94" s="15"/>
      <c r="Q94" s="15"/>
      <c r="R94" s="15"/>
      <c r="S94" s="15"/>
      <c r="T94" s="15"/>
      <c r="U94" s="15"/>
      <c r="V94" s="15"/>
      <c r="W94" s="15"/>
      <c r="X94" s="15"/>
      <c r="Y94" s="15"/>
      <c r="Z94" s="15"/>
    </row>
    <row r="95" spans="1:26" ht="15.75" x14ac:dyDescent="0.25">
      <c r="A95" s="17" t="s">
        <v>468</v>
      </c>
      <c r="B95" s="41"/>
      <c r="C95" s="43"/>
      <c r="D95" s="43"/>
      <c r="E95" s="43"/>
      <c r="F95" s="43"/>
      <c r="G95" s="43"/>
      <c r="H95" s="15"/>
      <c r="I95" s="16"/>
      <c r="J95" s="16"/>
      <c r="K95" s="14"/>
      <c r="L95" s="14"/>
      <c r="M95" s="14"/>
      <c r="N95" s="15"/>
      <c r="O95" s="15"/>
      <c r="P95" s="15"/>
      <c r="Q95" s="15"/>
      <c r="R95" s="15"/>
      <c r="S95" s="15"/>
      <c r="T95" s="15"/>
      <c r="U95" s="15"/>
      <c r="V95" s="15"/>
      <c r="W95" s="15"/>
      <c r="X95" s="15"/>
      <c r="Y95" s="15"/>
      <c r="Z95" s="15"/>
    </row>
    <row r="96" spans="1:26" ht="15.75" x14ac:dyDescent="0.25">
      <c r="A96" s="44" t="s">
        <v>1459</v>
      </c>
      <c r="B96" s="41" t="s">
        <v>343</v>
      </c>
      <c r="C96" s="43">
        <v>0</v>
      </c>
      <c r="D96" s="43">
        <v>0</v>
      </c>
      <c r="E96" s="43">
        <f t="shared" ref="E96:E97" si="11">F96-D96</f>
        <v>50000</v>
      </c>
      <c r="F96" s="43">
        <v>50000</v>
      </c>
      <c r="G96" s="43">
        <v>50000</v>
      </c>
      <c r="H96" s="15"/>
      <c r="I96" s="16"/>
      <c r="J96" s="16"/>
      <c r="K96" s="14"/>
      <c r="L96" s="14"/>
      <c r="M96" s="14"/>
      <c r="N96" s="15"/>
      <c r="O96" s="15"/>
      <c r="P96" s="15"/>
      <c r="Q96" s="15"/>
      <c r="R96" s="15"/>
      <c r="S96" s="15"/>
      <c r="T96" s="15"/>
      <c r="U96" s="15"/>
      <c r="V96" s="15"/>
      <c r="W96" s="15"/>
      <c r="X96" s="15"/>
      <c r="Y96" s="15"/>
      <c r="Z96" s="15"/>
    </row>
    <row r="97" spans="1:26" ht="15.75" x14ac:dyDescent="0.25">
      <c r="A97" s="17" t="s">
        <v>1460</v>
      </c>
      <c r="B97" s="41"/>
      <c r="C97" s="54">
        <f t="shared" ref="C97:D97" si="12">+C96</f>
        <v>0</v>
      </c>
      <c r="D97" s="54">
        <f t="shared" si="12"/>
        <v>0</v>
      </c>
      <c r="E97" s="54">
        <f t="shared" si="11"/>
        <v>50000</v>
      </c>
      <c r="F97" s="54">
        <f>+F96</f>
        <v>50000</v>
      </c>
      <c r="G97" s="54">
        <f>+F97</f>
        <v>50000</v>
      </c>
      <c r="H97" s="15"/>
      <c r="I97" s="16"/>
      <c r="J97" s="16"/>
      <c r="K97" s="14"/>
      <c r="L97" s="14"/>
      <c r="M97" s="14"/>
      <c r="N97" s="7"/>
      <c r="O97" s="15"/>
      <c r="P97" s="15"/>
      <c r="Q97" s="15"/>
      <c r="R97" s="15"/>
      <c r="S97" s="15"/>
      <c r="T97" s="15"/>
      <c r="U97" s="15"/>
      <c r="V97" s="15"/>
      <c r="W97" s="15"/>
      <c r="X97" s="15"/>
      <c r="Y97" s="15"/>
      <c r="Z97" s="15"/>
    </row>
    <row r="98" spans="1:26" ht="15.75" x14ac:dyDescent="0.25">
      <c r="A98" s="17"/>
      <c r="B98" s="41"/>
      <c r="C98" s="163"/>
      <c r="D98" s="163"/>
      <c r="E98" s="43"/>
      <c r="F98" s="163"/>
      <c r="G98" s="55"/>
      <c r="H98" s="15"/>
      <c r="I98" s="16"/>
      <c r="J98" s="16"/>
      <c r="K98" s="14"/>
      <c r="L98" s="14"/>
      <c r="M98" s="14"/>
      <c r="N98" s="15"/>
      <c r="O98" s="15"/>
      <c r="P98" s="15"/>
      <c r="Q98" s="15"/>
      <c r="R98" s="15"/>
      <c r="S98" s="15"/>
      <c r="T98" s="15"/>
      <c r="U98" s="15"/>
      <c r="V98" s="15"/>
      <c r="W98" s="15"/>
      <c r="X98" s="15"/>
      <c r="Y98" s="15"/>
      <c r="Z98" s="15"/>
    </row>
    <row r="99" spans="1:26" ht="15.75" x14ac:dyDescent="0.25">
      <c r="A99" s="17" t="s">
        <v>475</v>
      </c>
      <c r="B99" s="20"/>
      <c r="C99" s="56"/>
      <c r="D99" s="56"/>
      <c r="E99" s="43"/>
      <c r="F99" s="56"/>
      <c r="G99" s="43"/>
      <c r="H99" s="15"/>
      <c r="I99" s="16"/>
      <c r="J99" s="16"/>
      <c r="K99" s="14"/>
      <c r="L99" s="14"/>
      <c r="M99" s="14"/>
      <c r="N99" s="15"/>
      <c r="O99" s="15"/>
      <c r="P99" s="15"/>
      <c r="Q99" s="15"/>
      <c r="R99" s="15"/>
      <c r="S99" s="15"/>
      <c r="T99" s="15"/>
      <c r="U99" s="15"/>
      <c r="V99" s="15"/>
      <c r="W99" s="15"/>
      <c r="X99" s="15"/>
      <c r="Y99" s="15"/>
      <c r="Z99" s="15"/>
    </row>
    <row r="100" spans="1:26" ht="15.75" x14ac:dyDescent="0.25">
      <c r="A100" s="17" t="s">
        <v>570</v>
      </c>
      <c r="B100" s="41"/>
      <c r="C100" s="43"/>
      <c r="D100" s="43"/>
      <c r="E100" s="43"/>
      <c r="F100" s="43"/>
      <c r="G100" s="43"/>
      <c r="H100" s="15"/>
      <c r="I100" s="16"/>
      <c r="J100" s="16"/>
      <c r="K100" s="14"/>
      <c r="L100" s="14"/>
      <c r="M100" s="14"/>
      <c r="N100" s="15"/>
      <c r="O100" s="15"/>
      <c r="P100" s="15"/>
      <c r="Q100" s="15"/>
      <c r="R100" s="15"/>
      <c r="S100" s="15"/>
      <c r="T100" s="15"/>
      <c r="U100" s="15"/>
      <c r="V100" s="15"/>
      <c r="W100" s="15"/>
      <c r="X100" s="15"/>
      <c r="Y100" s="15"/>
      <c r="Z100" s="15"/>
    </row>
    <row r="101" spans="1:26" ht="15.75" x14ac:dyDescent="0.25">
      <c r="A101" s="44" t="s">
        <v>630</v>
      </c>
      <c r="B101" s="41" t="s">
        <v>55</v>
      </c>
      <c r="C101" s="43">
        <v>599980</v>
      </c>
      <c r="D101" s="43">
        <v>0</v>
      </c>
      <c r="E101" s="43">
        <v>0</v>
      </c>
      <c r="F101" s="43">
        <v>0</v>
      </c>
      <c r="G101" s="43">
        <v>1300000</v>
      </c>
      <c r="H101" s="15"/>
      <c r="I101" s="16"/>
      <c r="J101" s="16"/>
      <c r="K101" s="14"/>
      <c r="L101" s="14"/>
      <c r="M101" s="14"/>
      <c r="N101" s="15"/>
      <c r="O101" s="15"/>
      <c r="P101" s="15"/>
      <c r="Q101" s="15"/>
      <c r="R101" s="15"/>
      <c r="S101" s="15"/>
      <c r="T101" s="15"/>
      <c r="U101" s="15"/>
      <c r="V101" s="15"/>
      <c r="W101" s="15"/>
      <c r="X101" s="15"/>
      <c r="Y101" s="15"/>
      <c r="Z101" s="15"/>
    </row>
    <row r="102" spans="1:26" ht="15.75" x14ac:dyDescent="0.25">
      <c r="A102" s="44" t="s">
        <v>1461</v>
      </c>
      <c r="B102" s="41"/>
      <c r="C102" s="43"/>
      <c r="D102" s="43"/>
      <c r="E102" s="43"/>
      <c r="F102" s="43"/>
      <c r="G102" s="43"/>
      <c r="H102" s="15"/>
      <c r="I102" s="16"/>
      <c r="J102" s="16"/>
      <c r="K102" s="14"/>
      <c r="L102" s="14"/>
      <c r="M102" s="14"/>
      <c r="N102" s="15"/>
      <c r="O102" s="15"/>
      <c r="P102" s="15"/>
      <c r="Q102" s="15"/>
      <c r="R102" s="15"/>
      <c r="S102" s="15"/>
      <c r="T102" s="15"/>
      <c r="U102" s="15"/>
      <c r="V102" s="15"/>
      <c r="W102" s="15"/>
      <c r="X102" s="15"/>
      <c r="Y102" s="15"/>
      <c r="Z102" s="15"/>
    </row>
    <row r="103" spans="1:26" ht="15.75" x14ac:dyDescent="0.25">
      <c r="A103" s="17" t="s">
        <v>536</v>
      </c>
      <c r="B103" s="172"/>
      <c r="C103" s="54">
        <f>SUM(C100:C102)</f>
        <v>599980</v>
      </c>
      <c r="D103" s="54">
        <f>+SUM(D100:D102)</f>
        <v>0</v>
      </c>
      <c r="E103" s="54">
        <f>F103-D103</f>
        <v>0</v>
      </c>
      <c r="F103" s="54">
        <f>+SUM(F100:F102)</f>
        <v>0</v>
      </c>
      <c r="G103" s="54">
        <f>+SUM(G100:G102)</f>
        <v>1300000</v>
      </c>
      <c r="H103" s="114"/>
      <c r="I103" s="60"/>
      <c r="J103" s="60"/>
      <c r="K103" s="7"/>
      <c r="L103" s="7"/>
      <c r="M103" s="7"/>
      <c r="N103" s="7"/>
      <c r="O103" s="114"/>
      <c r="P103" s="114"/>
      <c r="Q103" s="114"/>
      <c r="R103" s="114"/>
      <c r="S103" s="114"/>
      <c r="T103" s="114"/>
      <c r="U103" s="114"/>
      <c r="V103" s="114"/>
      <c r="W103" s="114"/>
      <c r="X103" s="114"/>
      <c r="Y103" s="114"/>
      <c r="Z103" s="114"/>
    </row>
    <row r="104" spans="1:26" ht="15.75" x14ac:dyDescent="0.25">
      <c r="A104" s="17"/>
      <c r="B104" s="172"/>
      <c r="C104" s="43"/>
      <c r="D104" s="43"/>
      <c r="E104" s="43"/>
      <c r="F104" s="43"/>
      <c r="G104" s="43"/>
      <c r="H104" s="114"/>
      <c r="I104" s="60"/>
      <c r="J104" s="60"/>
      <c r="K104" s="7"/>
      <c r="L104" s="7"/>
      <c r="M104" s="7"/>
      <c r="N104" s="7"/>
      <c r="O104" s="114"/>
      <c r="P104" s="114"/>
      <c r="Q104" s="114"/>
      <c r="R104" s="114"/>
      <c r="S104" s="114"/>
      <c r="T104" s="114"/>
      <c r="U104" s="114"/>
      <c r="V104" s="114"/>
      <c r="W104" s="114"/>
      <c r="X104" s="114"/>
      <c r="Y104" s="114"/>
      <c r="Z104" s="114"/>
    </row>
    <row r="105" spans="1:26" ht="15.75" x14ac:dyDescent="0.25">
      <c r="A105" s="50" t="s">
        <v>487</v>
      </c>
      <c r="B105" s="133" t="s">
        <v>488</v>
      </c>
      <c r="C105" s="54">
        <f>+C103+C97+C93</f>
        <v>52913439.873999998</v>
      </c>
      <c r="D105" s="54">
        <f>+D103+D97+D93</f>
        <v>28555964.499999996</v>
      </c>
      <c r="E105" s="54">
        <f>F105-D105</f>
        <v>40177687.5</v>
      </c>
      <c r="F105" s="54">
        <f>+F103+F97+F93</f>
        <v>68733652</v>
      </c>
      <c r="G105" s="54">
        <f>+G103+G97+G93</f>
        <v>78251663</v>
      </c>
      <c r="H105" s="114"/>
      <c r="I105" s="60"/>
      <c r="J105" s="60"/>
      <c r="K105" s="7"/>
      <c r="L105" s="7"/>
      <c r="M105" s="7"/>
      <c r="N105" s="7"/>
      <c r="O105" s="114"/>
      <c r="P105" s="114"/>
      <c r="Q105" s="114"/>
      <c r="R105" s="114"/>
      <c r="S105" s="114"/>
      <c r="T105" s="114"/>
      <c r="U105" s="114"/>
      <c r="V105" s="114"/>
      <c r="W105" s="114"/>
      <c r="X105" s="114"/>
      <c r="Y105" s="114"/>
      <c r="Z105" s="114"/>
    </row>
    <row r="106" spans="1:26" ht="15.75" x14ac:dyDescent="0.25">
      <c r="A106" s="15"/>
      <c r="B106" s="174"/>
      <c r="C106" s="16"/>
      <c r="D106" s="99"/>
      <c r="E106" s="99"/>
      <c r="F106" s="60"/>
      <c r="G106" s="60"/>
      <c r="H106" s="114"/>
      <c r="I106" s="60"/>
      <c r="J106" s="60"/>
      <c r="K106" s="7"/>
      <c r="L106" s="7"/>
      <c r="M106" s="7"/>
      <c r="N106" s="114"/>
      <c r="O106" s="114"/>
      <c r="P106" s="114"/>
      <c r="Q106" s="114"/>
      <c r="R106" s="114"/>
      <c r="S106" s="114"/>
      <c r="T106" s="114"/>
      <c r="U106" s="114"/>
      <c r="V106" s="114"/>
      <c r="W106" s="114"/>
      <c r="X106" s="114"/>
      <c r="Y106" s="114"/>
      <c r="Z106" s="114"/>
    </row>
    <row r="107" spans="1:26" ht="15.75" x14ac:dyDescent="0.25">
      <c r="A107" s="15"/>
      <c r="B107" s="174"/>
      <c r="C107" s="16"/>
      <c r="D107" s="99"/>
      <c r="E107" s="99"/>
      <c r="F107" s="60"/>
      <c r="G107" s="60"/>
      <c r="H107" s="114"/>
      <c r="I107" s="60"/>
      <c r="J107" s="60"/>
      <c r="K107" s="7"/>
      <c r="L107" s="7"/>
      <c r="M107" s="7"/>
      <c r="N107" s="114"/>
      <c r="O107" s="114"/>
      <c r="P107" s="114"/>
      <c r="Q107" s="114"/>
      <c r="R107" s="114"/>
      <c r="S107" s="114"/>
      <c r="T107" s="114"/>
      <c r="U107" s="114"/>
      <c r="V107" s="114"/>
      <c r="W107" s="114"/>
      <c r="X107" s="114"/>
      <c r="Y107" s="114"/>
      <c r="Z107" s="114"/>
    </row>
    <row r="108" spans="1:26" ht="15.75" x14ac:dyDescent="0.25">
      <c r="A108" s="24"/>
      <c r="B108" s="174"/>
      <c r="C108" s="24"/>
      <c r="D108" s="24"/>
      <c r="E108" s="24"/>
      <c r="F108" s="114"/>
      <c r="G108" s="114"/>
      <c r="H108" s="114"/>
      <c r="I108" s="60"/>
      <c r="J108" s="60"/>
      <c r="K108" s="7"/>
      <c r="L108" s="7"/>
      <c r="M108" s="7"/>
      <c r="N108" s="114"/>
      <c r="O108" s="114"/>
      <c r="P108" s="114"/>
      <c r="Q108" s="114"/>
      <c r="R108" s="114"/>
      <c r="S108" s="114"/>
      <c r="T108" s="114"/>
      <c r="U108" s="114"/>
      <c r="V108" s="114"/>
      <c r="W108" s="114"/>
      <c r="X108" s="114"/>
      <c r="Y108" s="114"/>
      <c r="Z108" s="114"/>
    </row>
    <row r="109" spans="1:26" ht="15.75" x14ac:dyDescent="0.25">
      <c r="A109" s="24"/>
      <c r="B109" s="174"/>
      <c r="C109" s="24"/>
      <c r="D109" s="24"/>
      <c r="E109" s="24"/>
      <c r="F109" s="114"/>
      <c r="G109" s="114"/>
      <c r="H109" s="114"/>
      <c r="I109" s="60"/>
      <c r="J109" s="60"/>
      <c r="K109" s="7"/>
      <c r="L109" s="7"/>
      <c r="M109" s="7"/>
      <c r="N109" s="114"/>
      <c r="O109" s="114"/>
      <c r="P109" s="114"/>
      <c r="Q109" s="114"/>
      <c r="R109" s="114"/>
      <c r="S109" s="114"/>
      <c r="T109" s="114"/>
      <c r="U109" s="114"/>
      <c r="V109" s="114"/>
      <c r="W109" s="114"/>
      <c r="X109" s="114"/>
      <c r="Y109" s="114"/>
      <c r="Z109" s="114"/>
    </row>
    <row r="110" spans="1:26" ht="15.75" x14ac:dyDescent="0.25">
      <c r="A110" s="24"/>
      <c r="B110" s="174"/>
      <c r="C110" s="24"/>
      <c r="D110" s="24"/>
      <c r="E110" s="24"/>
      <c r="F110" s="114"/>
      <c r="G110" s="114"/>
      <c r="H110" s="114"/>
      <c r="I110" s="60"/>
      <c r="J110" s="60"/>
      <c r="K110" s="7"/>
      <c r="L110" s="7"/>
      <c r="M110" s="7"/>
      <c r="N110" s="114"/>
      <c r="O110" s="114"/>
      <c r="P110" s="114"/>
      <c r="Q110" s="114"/>
      <c r="R110" s="114"/>
      <c r="S110" s="114"/>
      <c r="T110" s="114"/>
      <c r="U110" s="114"/>
      <c r="V110" s="114"/>
      <c r="W110" s="114"/>
      <c r="X110" s="114"/>
      <c r="Y110" s="114"/>
      <c r="Z110" s="114"/>
    </row>
    <row r="111" spans="1:26" ht="15.75" x14ac:dyDescent="0.25">
      <c r="A111" s="24"/>
      <c r="B111" s="174"/>
      <c r="C111" s="24"/>
      <c r="D111" s="24"/>
      <c r="E111" s="24"/>
      <c r="F111" s="114"/>
      <c r="G111" s="114"/>
      <c r="H111" s="114"/>
      <c r="I111" s="60"/>
      <c r="J111" s="60"/>
      <c r="K111" s="7"/>
      <c r="L111" s="7"/>
      <c r="M111" s="7"/>
      <c r="N111" s="114"/>
      <c r="O111" s="114"/>
      <c r="P111" s="114"/>
      <c r="Q111" s="114"/>
      <c r="R111" s="114"/>
      <c r="S111" s="114"/>
      <c r="T111" s="114"/>
      <c r="U111" s="114"/>
      <c r="V111" s="114"/>
      <c r="W111" s="114"/>
      <c r="X111" s="114"/>
      <c r="Y111" s="114"/>
      <c r="Z111" s="114"/>
    </row>
    <row r="112" spans="1:26" ht="15.75" x14ac:dyDescent="0.25">
      <c r="A112" s="24"/>
      <c r="B112" s="174"/>
      <c r="C112" s="24"/>
      <c r="D112" s="24"/>
      <c r="E112" s="24"/>
      <c r="F112" s="114"/>
      <c r="G112" s="114"/>
      <c r="H112" s="114"/>
      <c r="I112" s="60"/>
      <c r="J112" s="60"/>
      <c r="K112" s="7"/>
      <c r="L112" s="7"/>
      <c r="M112" s="7"/>
      <c r="N112" s="114"/>
      <c r="O112" s="114"/>
      <c r="P112" s="114"/>
      <c r="Q112" s="114"/>
      <c r="R112" s="114"/>
      <c r="S112" s="114"/>
      <c r="T112" s="114"/>
      <c r="U112" s="114"/>
      <c r="V112" s="114"/>
      <c r="W112" s="114"/>
      <c r="X112" s="114"/>
      <c r="Y112" s="114"/>
      <c r="Z112" s="114"/>
    </row>
    <row r="113" spans="1:26" ht="15.75" x14ac:dyDescent="0.25">
      <c r="A113" s="24"/>
      <c r="B113" s="174"/>
      <c r="C113" s="24"/>
      <c r="D113" s="24"/>
      <c r="E113" s="24"/>
      <c r="F113" s="114"/>
      <c r="G113" s="114"/>
      <c r="H113" s="114"/>
      <c r="I113" s="60"/>
      <c r="J113" s="60"/>
      <c r="K113" s="7"/>
      <c r="L113" s="7"/>
      <c r="M113" s="7"/>
      <c r="N113" s="114"/>
      <c r="O113" s="114"/>
      <c r="P113" s="114"/>
      <c r="Q113" s="114"/>
      <c r="R113" s="114"/>
      <c r="S113" s="114"/>
      <c r="T113" s="114"/>
      <c r="U113" s="114"/>
      <c r="V113" s="114"/>
      <c r="W113" s="114"/>
      <c r="X113" s="114"/>
      <c r="Y113" s="114"/>
      <c r="Z113" s="114"/>
    </row>
    <row r="114" spans="1:26" ht="15.75" x14ac:dyDescent="0.25">
      <c r="A114" s="24"/>
      <c r="B114" s="174"/>
      <c r="C114" s="24"/>
      <c r="D114" s="24"/>
      <c r="E114" s="24"/>
      <c r="F114" s="114"/>
      <c r="G114" s="114"/>
      <c r="H114" s="114"/>
      <c r="I114" s="60"/>
      <c r="J114" s="60"/>
      <c r="K114" s="7"/>
      <c r="L114" s="7"/>
      <c r="M114" s="7"/>
      <c r="N114" s="114"/>
      <c r="O114" s="114"/>
      <c r="P114" s="114"/>
      <c r="Q114" s="114"/>
      <c r="R114" s="114"/>
      <c r="S114" s="114"/>
      <c r="T114" s="114"/>
      <c r="U114" s="114"/>
      <c r="V114" s="114"/>
      <c r="W114" s="114"/>
      <c r="X114" s="114"/>
      <c r="Y114" s="114"/>
      <c r="Z114" s="114"/>
    </row>
    <row r="115" spans="1:26" ht="15.75" x14ac:dyDescent="0.25">
      <c r="A115" s="24"/>
      <c r="B115" s="174"/>
      <c r="C115" s="24"/>
      <c r="D115" s="24"/>
      <c r="E115" s="24"/>
      <c r="F115" s="114"/>
      <c r="G115" s="114"/>
      <c r="H115" s="114"/>
      <c r="I115" s="60"/>
      <c r="J115" s="60"/>
      <c r="K115" s="7"/>
      <c r="L115" s="7"/>
      <c r="M115" s="7"/>
      <c r="N115" s="114"/>
      <c r="O115" s="114"/>
      <c r="P115" s="114"/>
      <c r="Q115" s="114"/>
      <c r="R115" s="114"/>
      <c r="S115" s="114"/>
      <c r="T115" s="114"/>
      <c r="U115" s="114"/>
      <c r="V115" s="114"/>
      <c r="W115" s="114"/>
      <c r="X115" s="114"/>
      <c r="Y115" s="114"/>
      <c r="Z115" s="114"/>
    </row>
    <row r="116" spans="1:26" ht="15.75" x14ac:dyDescent="0.25">
      <c r="A116" s="24"/>
      <c r="B116" s="174"/>
      <c r="C116" s="24"/>
      <c r="D116" s="24"/>
      <c r="E116" s="24"/>
      <c r="F116" s="114"/>
      <c r="G116" s="114"/>
      <c r="H116" s="114"/>
      <c r="I116" s="60"/>
      <c r="J116" s="60"/>
      <c r="K116" s="7"/>
      <c r="L116" s="7"/>
      <c r="M116" s="7"/>
      <c r="N116" s="114"/>
      <c r="O116" s="114"/>
      <c r="P116" s="114"/>
      <c r="Q116" s="114"/>
      <c r="R116" s="114"/>
      <c r="S116" s="114"/>
      <c r="T116" s="114"/>
      <c r="U116" s="114"/>
      <c r="V116" s="114"/>
      <c r="W116" s="114"/>
      <c r="X116" s="114"/>
      <c r="Y116" s="114"/>
      <c r="Z116" s="114"/>
    </row>
    <row r="117" spans="1:26" ht="15.75" x14ac:dyDescent="0.25">
      <c r="A117" s="24"/>
      <c r="B117" s="174"/>
      <c r="C117" s="24"/>
      <c r="D117" s="24"/>
      <c r="E117" s="24"/>
      <c r="F117" s="114"/>
      <c r="G117" s="114"/>
      <c r="H117" s="114"/>
      <c r="I117" s="60"/>
      <c r="J117" s="60"/>
      <c r="K117" s="7"/>
      <c r="L117" s="7"/>
      <c r="M117" s="7"/>
      <c r="N117" s="114"/>
      <c r="O117" s="114"/>
      <c r="P117" s="114"/>
      <c r="Q117" s="114"/>
      <c r="R117" s="114"/>
      <c r="S117" s="114"/>
      <c r="T117" s="114"/>
      <c r="U117" s="114"/>
      <c r="V117" s="114"/>
      <c r="W117" s="114"/>
      <c r="X117" s="114"/>
      <c r="Y117" s="114"/>
      <c r="Z117" s="114"/>
    </row>
    <row r="118" spans="1:26" ht="15.75" x14ac:dyDescent="0.25">
      <c r="A118" s="24"/>
      <c r="B118" s="174"/>
      <c r="C118" s="24"/>
      <c r="D118" s="24"/>
      <c r="E118" s="24"/>
      <c r="F118" s="114"/>
      <c r="G118" s="114"/>
      <c r="H118" s="114"/>
      <c r="I118" s="60"/>
      <c r="J118" s="60"/>
      <c r="K118" s="7"/>
      <c r="L118" s="7"/>
      <c r="M118" s="7"/>
      <c r="N118" s="114"/>
      <c r="O118" s="114"/>
      <c r="P118" s="114"/>
      <c r="Q118" s="114"/>
      <c r="R118" s="114"/>
      <c r="S118" s="114"/>
      <c r="T118" s="114"/>
      <c r="U118" s="114"/>
      <c r="V118" s="114"/>
      <c r="W118" s="114"/>
      <c r="X118" s="114"/>
      <c r="Y118" s="114"/>
      <c r="Z118" s="114"/>
    </row>
    <row r="119" spans="1:26" ht="15.75" x14ac:dyDescent="0.25">
      <c r="A119" s="24"/>
      <c r="B119" s="174"/>
      <c r="C119" s="24"/>
      <c r="D119" s="24"/>
      <c r="E119" s="24"/>
      <c r="F119" s="114"/>
      <c r="G119" s="114"/>
      <c r="H119" s="114"/>
      <c r="I119" s="60"/>
      <c r="J119" s="60"/>
      <c r="K119" s="7"/>
      <c r="L119" s="7"/>
      <c r="M119" s="7"/>
      <c r="N119" s="114"/>
      <c r="O119" s="114"/>
      <c r="P119" s="114"/>
      <c r="Q119" s="114"/>
      <c r="R119" s="114"/>
      <c r="S119" s="114"/>
      <c r="T119" s="114"/>
      <c r="U119" s="114"/>
      <c r="V119" s="114"/>
      <c r="W119" s="114"/>
      <c r="X119" s="114"/>
      <c r="Y119" s="114"/>
      <c r="Z119" s="114"/>
    </row>
    <row r="120" spans="1:26" ht="15.75" x14ac:dyDescent="0.25">
      <c r="A120" s="24"/>
      <c r="B120" s="174"/>
      <c r="C120" s="24"/>
      <c r="D120" s="24"/>
      <c r="E120" s="24"/>
      <c r="F120" s="114"/>
      <c r="G120" s="114"/>
      <c r="H120" s="114"/>
      <c r="I120" s="60"/>
      <c r="J120" s="60"/>
      <c r="K120" s="7"/>
      <c r="L120" s="7"/>
      <c r="M120" s="7"/>
      <c r="N120" s="114"/>
      <c r="O120" s="114"/>
      <c r="P120" s="114"/>
      <c r="Q120" s="114"/>
      <c r="R120" s="114"/>
      <c r="S120" s="114"/>
      <c r="T120" s="114"/>
      <c r="U120" s="114"/>
      <c r="V120" s="114"/>
      <c r="W120" s="114"/>
      <c r="X120" s="114"/>
      <c r="Y120" s="114"/>
      <c r="Z120" s="114"/>
    </row>
    <row r="121" spans="1:26" ht="15.75" x14ac:dyDescent="0.25">
      <c r="A121" s="24"/>
      <c r="B121" s="174"/>
      <c r="C121" s="24"/>
      <c r="D121" s="24"/>
      <c r="E121" s="24"/>
      <c r="F121" s="114"/>
      <c r="G121" s="114"/>
      <c r="H121" s="114"/>
      <c r="I121" s="60"/>
      <c r="J121" s="60"/>
      <c r="K121" s="7"/>
      <c r="L121" s="7"/>
      <c r="M121" s="7"/>
      <c r="N121" s="114"/>
      <c r="O121" s="114"/>
      <c r="P121" s="114"/>
      <c r="Q121" s="114"/>
      <c r="R121" s="114"/>
      <c r="S121" s="114"/>
      <c r="T121" s="114"/>
      <c r="U121" s="114"/>
      <c r="V121" s="114"/>
      <c r="W121" s="114"/>
      <c r="X121" s="114"/>
      <c r="Y121" s="114"/>
      <c r="Z121" s="114"/>
    </row>
    <row r="122" spans="1:26" ht="15.75" x14ac:dyDescent="0.25">
      <c r="A122" s="24"/>
      <c r="B122" s="174"/>
      <c r="C122" s="24"/>
      <c r="D122" s="24"/>
      <c r="E122" s="24"/>
      <c r="F122" s="114"/>
      <c r="G122" s="114"/>
      <c r="H122" s="114"/>
      <c r="I122" s="60"/>
      <c r="J122" s="60"/>
      <c r="K122" s="7"/>
      <c r="L122" s="7"/>
      <c r="M122" s="7"/>
      <c r="N122" s="114"/>
      <c r="O122" s="114"/>
      <c r="P122" s="114"/>
      <c r="Q122" s="114"/>
      <c r="R122" s="114"/>
      <c r="S122" s="114"/>
      <c r="T122" s="114"/>
      <c r="U122" s="114"/>
      <c r="V122" s="114"/>
      <c r="W122" s="114"/>
      <c r="X122" s="114"/>
      <c r="Y122" s="114"/>
      <c r="Z122" s="114"/>
    </row>
    <row r="123" spans="1:26" ht="15.75" x14ac:dyDescent="0.25">
      <c r="A123" s="24"/>
      <c r="B123" s="174"/>
      <c r="C123" s="24"/>
      <c r="D123" s="24"/>
      <c r="E123" s="24"/>
      <c r="F123" s="114"/>
      <c r="G123" s="114"/>
      <c r="H123" s="114"/>
      <c r="I123" s="60"/>
      <c r="J123" s="60"/>
      <c r="K123" s="7"/>
      <c r="L123" s="7"/>
      <c r="M123" s="7"/>
      <c r="N123" s="114"/>
      <c r="O123" s="114"/>
      <c r="P123" s="114"/>
      <c r="Q123" s="114"/>
      <c r="R123" s="114"/>
      <c r="S123" s="114"/>
      <c r="T123" s="114"/>
      <c r="U123" s="114"/>
      <c r="V123" s="114"/>
      <c r="W123" s="114"/>
      <c r="X123" s="114"/>
      <c r="Y123" s="114"/>
      <c r="Z123" s="114"/>
    </row>
    <row r="124" spans="1:26" ht="15.75" x14ac:dyDescent="0.25">
      <c r="A124" s="24"/>
      <c r="B124" s="174"/>
      <c r="C124" s="24"/>
      <c r="D124" s="24"/>
      <c r="E124" s="24"/>
      <c r="F124" s="114"/>
      <c r="G124" s="114"/>
      <c r="H124" s="114"/>
      <c r="I124" s="60"/>
      <c r="J124" s="60"/>
      <c r="K124" s="7"/>
      <c r="L124" s="7"/>
      <c r="M124" s="7"/>
      <c r="N124" s="114"/>
      <c r="O124" s="114"/>
      <c r="P124" s="114"/>
      <c r="Q124" s="114"/>
      <c r="R124" s="114"/>
      <c r="S124" s="114"/>
      <c r="T124" s="114"/>
      <c r="U124" s="114"/>
      <c r="V124" s="114"/>
      <c r="W124" s="114"/>
      <c r="X124" s="114"/>
      <c r="Y124" s="114"/>
      <c r="Z124" s="114"/>
    </row>
    <row r="125" spans="1:26" ht="15.75" x14ac:dyDescent="0.25">
      <c r="A125" s="24"/>
      <c r="B125" s="174"/>
      <c r="C125" s="24"/>
      <c r="D125" s="24"/>
      <c r="E125" s="24"/>
      <c r="F125" s="114"/>
      <c r="G125" s="114"/>
      <c r="H125" s="114"/>
      <c r="I125" s="60"/>
      <c r="J125" s="60"/>
      <c r="K125" s="7"/>
      <c r="L125" s="7"/>
      <c r="M125" s="7"/>
      <c r="N125" s="114"/>
      <c r="O125" s="114"/>
      <c r="P125" s="114"/>
      <c r="Q125" s="114"/>
      <c r="R125" s="114"/>
      <c r="S125" s="114"/>
      <c r="T125" s="114"/>
      <c r="U125" s="114"/>
      <c r="V125" s="114"/>
      <c r="W125" s="114"/>
      <c r="X125" s="114"/>
      <c r="Y125" s="114"/>
      <c r="Z125" s="114"/>
    </row>
    <row r="126" spans="1:26" ht="15.75" x14ac:dyDescent="0.25">
      <c r="A126" s="24"/>
      <c r="B126" s="174"/>
      <c r="C126" s="24"/>
      <c r="D126" s="24"/>
      <c r="E126" s="24"/>
      <c r="F126" s="114"/>
      <c r="G126" s="114"/>
      <c r="H126" s="114"/>
      <c r="I126" s="60"/>
      <c r="J126" s="60"/>
      <c r="K126" s="7"/>
      <c r="L126" s="7"/>
      <c r="M126" s="7"/>
      <c r="N126" s="114"/>
      <c r="O126" s="114"/>
      <c r="P126" s="114"/>
      <c r="Q126" s="114"/>
      <c r="R126" s="114"/>
      <c r="S126" s="114"/>
      <c r="T126" s="114"/>
      <c r="U126" s="114"/>
      <c r="V126" s="114"/>
      <c r="W126" s="114"/>
      <c r="X126" s="114"/>
      <c r="Y126" s="114"/>
      <c r="Z126" s="114"/>
    </row>
    <row r="127" spans="1:26" ht="15.75" x14ac:dyDescent="0.25">
      <c r="A127" s="24"/>
      <c r="B127" s="174"/>
      <c r="C127" s="24"/>
      <c r="D127" s="24"/>
      <c r="E127" s="24"/>
      <c r="F127" s="114"/>
      <c r="G127" s="114"/>
      <c r="H127" s="114"/>
      <c r="I127" s="60"/>
      <c r="J127" s="60"/>
      <c r="K127" s="7"/>
      <c r="L127" s="7"/>
      <c r="M127" s="7"/>
      <c r="N127" s="114"/>
      <c r="O127" s="114"/>
      <c r="P127" s="114"/>
      <c r="Q127" s="114"/>
      <c r="R127" s="114"/>
      <c r="S127" s="114"/>
      <c r="T127" s="114"/>
      <c r="U127" s="114"/>
      <c r="V127" s="114"/>
      <c r="W127" s="114"/>
      <c r="X127" s="114"/>
      <c r="Y127" s="114"/>
      <c r="Z127" s="114"/>
    </row>
    <row r="128" spans="1:26" ht="15.75" x14ac:dyDescent="0.25">
      <c r="A128" s="24"/>
      <c r="B128" s="174"/>
      <c r="C128" s="24"/>
      <c r="D128" s="24"/>
      <c r="E128" s="24"/>
      <c r="F128" s="114"/>
      <c r="G128" s="114"/>
      <c r="H128" s="114"/>
      <c r="I128" s="60"/>
      <c r="J128" s="60"/>
      <c r="K128" s="7"/>
      <c r="L128" s="7"/>
      <c r="M128" s="7"/>
      <c r="N128" s="114"/>
      <c r="O128" s="114"/>
      <c r="P128" s="114"/>
      <c r="Q128" s="114"/>
      <c r="R128" s="114"/>
      <c r="S128" s="114"/>
      <c r="T128" s="114"/>
      <c r="U128" s="114"/>
      <c r="V128" s="114"/>
      <c r="W128" s="114"/>
      <c r="X128" s="114"/>
      <c r="Y128" s="114"/>
      <c r="Z128" s="114"/>
    </row>
    <row r="129" spans="1:26" ht="15.75" x14ac:dyDescent="0.25">
      <c r="A129" s="24"/>
      <c r="B129" s="174"/>
      <c r="C129" s="24"/>
      <c r="D129" s="24"/>
      <c r="E129" s="24"/>
      <c r="F129" s="114"/>
      <c r="G129" s="114"/>
      <c r="H129" s="114"/>
      <c r="I129" s="60"/>
      <c r="J129" s="60"/>
      <c r="K129" s="7"/>
      <c r="L129" s="7"/>
      <c r="M129" s="7"/>
      <c r="N129" s="114"/>
      <c r="O129" s="114"/>
      <c r="P129" s="114"/>
      <c r="Q129" s="114"/>
      <c r="R129" s="114"/>
      <c r="S129" s="114"/>
      <c r="T129" s="114"/>
      <c r="U129" s="114"/>
      <c r="V129" s="114"/>
      <c r="W129" s="114"/>
      <c r="X129" s="114"/>
      <c r="Y129" s="114"/>
      <c r="Z129" s="114"/>
    </row>
    <row r="130" spans="1:26" ht="15.75" x14ac:dyDescent="0.25">
      <c r="A130" s="24"/>
      <c r="B130" s="174"/>
      <c r="C130" s="24"/>
      <c r="D130" s="24"/>
      <c r="E130" s="24"/>
      <c r="F130" s="114"/>
      <c r="G130" s="114"/>
      <c r="H130" s="114"/>
      <c r="I130" s="60"/>
      <c r="J130" s="60"/>
      <c r="K130" s="7"/>
      <c r="L130" s="7"/>
      <c r="M130" s="7"/>
      <c r="N130" s="114"/>
      <c r="O130" s="114"/>
      <c r="P130" s="114"/>
      <c r="Q130" s="114"/>
      <c r="R130" s="114"/>
      <c r="S130" s="114"/>
      <c r="T130" s="114"/>
      <c r="U130" s="114"/>
      <c r="V130" s="114"/>
      <c r="W130" s="114"/>
      <c r="X130" s="114"/>
      <c r="Y130" s="114"/>
      <c r="Z130" s="114"/>
    </row>
    <row r="131" spans="1:26" ht="15.75" x14ac:dyDescent="0.25">
      <c r="A131" s="24"/>
      <c r="B131" s="174"/>
      <c r="C131" s="24"/>
      <c r="D131" s="24"/>
      <c r="E131" s="24"/>
      <c r="F131" s="114"/>
      <c r="G131" s="114"/>
      <c r="H131" s="114"/>
      <c r="I131" s="60"/>
      <c r="J131" s="60"/>
      <c r="K131" s="7"/>
      <c r="L131" s="7"/>
      <c r="M131" s="7"/>
      <c r="N131" s="114"/>
      <c r="O131" s="114"/>
      <c r="P131" s="114"/>
      <c r="Q131" s="114"/>
      <c r="R131" s="114"/>
      <c r="S131" s="114"/>
      <c r="T131" s="114"/>
      <c r="U131" s="114"/>
      <c r="V131" s="114"/>
      <c r="W131" s="114"/>
      <c r="X131" s="114"/>
      <c r="Y131" s="114"/>
      <c r="Z131" s="114"/>
    </row>
    <row r="132" spans="1:26" ht="15.75" x14ac:dyDescent="0.25">
      <c r="A132" s="24"/>
      <c r="B132" s="174"/>
      <c r="C132" s="24"/>
      <c r="D132" s="24"/>
      <c r="E132" s="24"/>
      <c r="F132" s="114"/>
      <c r="G132" s="114"/>
      <c r="H132" s="114"/>
      <c r="I132" s="60"/>
      <c r="J132" s="60"/>
      <c r="K132" s="7"/>
      <c r="L132" s="7"/>
      <c r="M132" s="7"/>
      <c r="N132" s="114"/>
      <c r="O132" s="114"/>
      <c r="P132" s="114"/>
      <c r="Q132" s="114"/>
      <c r="R132" s="114"/>
      <c r="S132" s="114"/>
      <c r="T132" s="114"/>
      <c r="U132" s="114"/>
      <c r="V132" s="114"/>
      <c r="W132" s="114"/>
      <c r="X132" s="114"/>
      <c r="Y132" s="114"/>
      <c r="Z132" s="114"/>
    </row>
    <row r="133" spans="1:26" ht="15.75" x14ac:dyDescent="0.25">
      <c r="A133" s="24"/>
      <c r="B133" s="174"/>
      <c r="C133" s="24"/>
      <c r="D133" s="24"/>
      <c r="E133" s="24"/>
      <c r="F133" s="114"/>
      <c r="G133" s="114"/>
      <c r="H133" s="114"/>
      <c r="I133" s="60"/>
      <c r="J133" s="60"/>
      <c r="K133" s="7"/>
      <c r="L133" s="7"/>
      <c r="M133" s="7"/>
      <c r="N133" s="114"/>
      <c r="O133" s="114"/>
      <c r="P133" s="114"/>
      <c r="Q133" s="114"/>
      <c r="R133" s="114"/>
      <c r="S133" s="114"/>
      <c r="T133" s="114"/>
      <c r="U133" s="114"/>
      <c r="V133" s="114"/>
      <c r="W133" s="114"/>
      <c r="X133" s="114"/>
      <c r="Y133" s="114"/>
      <c r="Z133" s="114"/>
    </row>
    <row r="134" spans="1:26" ht="15.75" x14ac:dyDescent="0.25">
      <c r="A134" s="24"/>
      <c r="B134" s="174"/>
      <c r="C134" s="24"/>
      <c r="D134" s="24"/>
      <c r="E134" s="24"/>
      <c r="F134" s="114"/>
      <c r="G134" s="114"/>
      <c r="H134" s="114"/>
      <c r="I134" s="60"/>
      <c r="J134" s="60"/>
      <c r="K134" s="7"/>
      <c r="L134" s="7"/>
      <c r="M134" s="7"/>
      <c r="N134" s="114"/>
      <c r="O134" s="114"/>
      <c r="P134" s="114"/>
      <c r="Q134" s="114"/>
      <c r="R134" s="114"/>
      <c r="S134" s="114"/>
      <c r="T134" s="114"/>
      <c r="U134" s="114"/>
      <c r="V134" s="114"/>
      <c r="W134" s="114"/>
      <c r="X134" s="114"/>
      <c r="Y134" s="114"/>
      <c r="Z134" s="114"/>
    </row>
    <row r="135" spans="1:26" ht="15.75" x14ac:dyDescent="0.25">
      <c r="A135" s="24"/>
      <c r="B135" s="174"/>
      <c r="C135" s="24"/>
      <c r="D135" s="24"/>
      <c r="E135" s="24"/>
      <c r="F135" s="114"/>
      <c r="G135" s="114"/>
      <c r="H135" s="114"/>
      <c r="I135" s="60"/>
      <c r="J135" s="60"/>
      <c r="K135" s="7"/>
      <c r="L135" s="7"/>
      <c r="M135" s="7"/>
      <c r="N135" s="114"/>
      <c r="O135" s="114"/>
      <c r="P135" s="114"/>
      <c r="Q135" s="114"/>
      <c r="R135" s="114"/>
      <c r="S135" s="114"/>
      <c r="T135" s="114"/>
      <c r="U135" s="114"/>
      <c r="V135" s="114"/>
      <c r="W135" s="114"/>
      <c r="X135" s="114"/>
      <c r="Y135" s="114"/>
      <c r="Z135" s="114"/>
    </row>
    <row r="136" spans="1:26" ht="15.75" x14ac:dyDescent="0.25">
      <c r="A136" s="24"/>
      <c r="B136" s="174"/>
      <c r="C136" s="24"/>
      <c r="D136" s="24"/>
      <c r="E136" s="24"/>
      <c r="F136" s="114"/>
      <c r="G136" s="114"/>
      <c r="H136" s="114"/>
      <c r="I136" s="60"/>
      <c r="J136" s="60"/>
      <c r="K136" s="7"/>
      <c r="L136" s="7"/>
      <c r="M136" s="7"/>
      <c r="N136" s="114"/>
      <c r="O136" s="114"/>
      <c r="P136" s="114"/>
      <c r="Q136" s="114"/>
      <c r="R136" s="114"/>
      <c r="S136" s="114"/>
      <c r="T136" s="114"/>
      <c r="U136" s="114"/>
      <c r="V136" s="114"/>
      <c r="W136" s="114"/>
      <c r="X136" s="114"/>
      <c r="Y136" s="114"/>
      <c r="Z136" s="114"/>
    </row>
    <row r="137" spans="1:26" ht="15.75" x14ac:dyDescent="0.25">
      <c r="A137" s="24"/>
      <c r="B137" s="174"/>
      <c r="C137" s="24"/>
      <c r="D137" s="24"/>
      <c r="E137" s="24"/>
      <c r="F137" s="114"/>
      <c r="G137" s="114"/>
      <c r="H137" s="114"/>
      <c r="I137" s="60"/>
      <c r="J137" s="60"/>
      <c r="K137" s="7"/>
      <c r="L137" s="7"/>
      <c r="M137" s="7"/>
      <c r="N137" s="114"/>
      <c r="O137" s="114"/>
      <c r="P137" s="114"/>
      <c r="Q137" s="114"/>
      <c r="R137" s="114"/>
      <c r="S137" s="114"/>
      <c r="T137" s="114"/>
      <c r="U137" s="114"/>
      <c r="V137" s="114"/>
      <c r="W137" s="114"/>
      <c r="X137" s="114"/>
      <c r="Y137" s="114"/>
      <c r="Z137" s="114"/>
    </row>
    <row r="138" spans="1:26" ht="15.75" x14ac:dyDescent="0.25">
      <c r="A138" s="24"/>
      <c r="B138" s="174"/>
      <c r="C138" s="24"/>
      <c r="D138" s="24"/>
      <c r="E138" s="24"/>
      <c r="F138" s="114"/>
      <c r="G138" s="114"/>
      <c r="H138" s="114"/>
      <c r="I138" s="60"/>
      <c r="J138" s="60"/>
      <c r="K138" s="7"/>
      <c r="L138" s="7"/>
      <c r="M138" s="7"/>
      <c r="N138" s="114"/>
      <c r="O138" s="114"/>
      <c r="P138" s="114"/>
      <c r="Q138" s="114"/>
      <c r="R138" s="114"/>
      <c r="S138" s="114"/>
      <c r="T138" s="114"/>
      <c r="U138" s="114"/>
      <c r="V138" s="114"/>
      <c r="W138" s="114"/>
      <c r="X138" s="114"/>
      <c r="Y138" s="114"/>
      <c r="Z138" s="114"/>
    </row>
    <row r="139" spans="1:26" ht="15.75" x14ac:dyDescent="0.25">
      <c r="A139" s="24"/>
      <c r="B139" s="174"/>
      <c r="C139" s="24"/>
      <c r="D139" s="24"/>
      <c r="E139" s="24"/>
      <c r="F139" s="114"/>
      <c r="G139" s="114"/>
      <c r="H139" s="114"/>
      <c r="I139" s="60"/>
      <c r="J139" s="60"/>
      <c r="K139" s="7"/>
      <c r="L139" s="7"/>
      <c r="M139" s="7"/>
      <c r="N139" s="114"/>
      <c r="O139" s="114"/>
      <c r="P139" s="114"/>
      <c r="Q139" s="114"/>
      <c r="R139" s="114"/>
      <c r="S139" s="114"/>
      <c r="T139" s="114"/>
      <c r="U139" s="114"/>
      <c r="V139" s="114"/>
      <c r="W139" s="114"/>
      <c r="X139" s="114"/>
      <c r="Y139" s="114"/>
      <c r="Z139" s="114"/>
    </row>
    <row r="140" spans="1:26" ht="15.75" x14ac:dyDescent="0.25">
      <c r="A140" s="24"/>
      <c r="B140" s="174"/>
      <c r="C140" s="24"/>
      <c r="D140" s="24"/>
      <c r="E140" s="24"/>
      <c r="F140" s="114"/>
      <c r="G140" s="114"/>
      <c r="H140" s="114"/>
      <c r="I140" s="60"/>
      <c r="J140" s="60"/>
      <c r="K140" s="7"/>
      <c r="L140" s="7"/>
      <c r="M140" s="7"/>
      <c r="N140" s="114"/>
      <c r="O140" s="114"/>
      <c r="P140" s="114"/>
      <c r="Q140" s="114"/>
      <c r="R140" s="114"/>
      <c r="S140" s="114"/>
      <c r="T140" s="114"/>
      <c r="U140" s="114"/>
      <c r="V140" s="114"/>
      <c r="W140" s="114"/>
      <c r="X140" s="114"/>
      <c r="Y140" s="114"/>
      <c r="Z140" s="114"/>
    </row>
    <row r="141" spans="1:26" ht="15.75" x14ac:dyDescent="0.25">
      <c r="A141" s="24"/>
      <c r="B141" s="174"/>
      <c r="C141" s="24"/>
      <c r="D141" s="24"/>
      <c r="E141" s="24"/>
      <c r="F141" s="114"/>
      <c r="G141" s="114"/>
      <c r="H141" s="114"/>
      <c r="I141" s="60"/>
      <c r="J141" s="60"/>
      <c r="K141" s="7"/>
      <c r="L141" s="7"/>
      <c r="M141" s="7"/>
      <c r="N141" s="114"/>
      <c r="O141" s="114"/>
      <c r="P141" s="114"/>
      <c r="Q141" s="114"/>
      <c r="R141" s="114"/>
      <c r="S141" s="114"/>
      <c r="T141" s="114"/>
      <c r="U141" s="114"/>
      <c r="V141" s="114"/>
      <c r="W141" s="114"/>
      <c r="X141" s="114"/>
      <c r="Y141" s="114"/>
      <c r="Z141" s="114"/>
    </row>
    <row r="142" spans="1:26" ht="15.75" x14ac:dyDescent="0.25">
      <c r="A142" s="24"/>
      <c r="B142" s="174"/>
      <c r="C142" s="24"/>
      <c r="D142" s="24"/>
      <c r="E142" s="24"/>
      <c r="F142" s="114"/>
      <c r="G142" s="114"/>
      <c r="H142" s="114"/>
      <c r="I142" s="60"/>
      <c r="J142" s="60"/>
      <c r="K142" s="7"/>
      <c r="L142" s="7"/>
      <c r="M142" s="7"/>
      <c r="N142" s="114"/>
      <c r="O142" s="114"/>
      <c r="P142" s="114"/>
      <c r="Q142" s="114"/>
      <c r="R142" s="114"/>
      <c r="S142" s="114"/>
      <c r="T142" s="114"/>
      <c r="U142" s="114"/>
      <c r="V142" s="114"/>
      <c r="W142" s="114"/>
      <c r="X142" s="114"/>
      <c r="Y142" s="114"/>
      <c r="Z142" s="114"/>
    </row>
    <row r="143" spans="1:26" ht="15.75" x14ac:dyDescent="0.25">
      <c r="A143" s="24"/>
      <c r="B143" s="174"/>
      <c r="C143" s="24"/>
      <c r="D143" s="24"/>
      <c r="E143" s="24"/>
      <c r="F143" s="114"/>
      <c r="G143" s="114"/>
      <c r="H143" s="114"/>
      <c r="I143" s="60"/>
      <c r="J143" s="60"/>
      <c r="K143" s="7"/>
      <c r="L143" s="7"/>
      <c r="M143" s="7"/>
      <c r="N143" s="114"/>
      <c r="O143" s="114"/>
      <c r="P143" s="114"/>
      <c r="Q143" s="114"/>
      <c r="R143" s="114"/>
      <c r="S143" s="114"/>
      <c r="T143" s="114"/>
      <c r="U143" s="114"/>
      <c r="V143" s="114"/>
      <c r="W143" s="114"/>
      <c r="X143" s="114"/>
      <c r="Y143" s="114"/>
      <c r="Z143" s="114"/>
    </row>
    <row r="144" spans="1:26" ht="15.75" x14ac:dyDescent="0.25">
      <c r="A144" s="24"/>
      <c r="B144" s="174"/>
      <c r="C144" s="24"/>
      <c r="D144" s="24"/>
      <c r="E144" s="24"/>
      <c r="F144" s="114"/>
      <c r="G144" s="114"/>
      <c r="H144" s="114"/>
      <c r="I144" s="60"/>
      <c r="J144" s="60"/>
      <c r="K144" s="7"/>
      <c r="L144" s="7"/>
      <c r="M144" s="7"/>
      <c r="N144" s="114"/>
      <c r="O144" s="114"/>
      <c r="P144" s="114"/>
      <c r="Q144" s="114"/>
      <c r="R144" s="114"/>
      <c r="S144" s="114"/>
      <c r="T144" s="114"/>
      <c r="U144" s="114"/>
      <c r="V144" s="114"/>
      <c r="W144" s="114"/>
      <c r="X144" s="114"/>
      <c r="Y144" s="114"/>
      <c r="Z144" s="114"/>
    </row>
    <row r="145" spans="1:26" ht="15.75" x14ac:dyDescent="0.25">
      <c r="A145" s="24"/>
      <c r="B145" s="174"/>
      <c r="C145" s="24"/>
      <c r="D145" s="24"/>
      <c r="E145" s="24"/>
      <c r="F145" s="114"/>
      <c r="G145" s="114"/>
      <c r="H145" s="114"/>
      <c r="I145" s="60"/>
      <c r="J145" s="60"/>
      <c r="K145" s="7"/>
      <c r="L145" s="7"/>
      <c r="M145" s="7"/>
      <c r="N145" s="114"/>
      <c r="O145" s="114"/>
      <c r="P145" s="114"/>
      <c r="Q145" s="114"/>
      <c r="R145" s="114"/>
      <c r="S145" s="114"/>
      <c r="T145" s="114"/>
      <c r="U145" s="114"/>
      <c r="V145" s="114"/>
      <c r="W145" s="114"/>
      <c r="X145" s="114"/>
      <c r="Y145" s="114"/>
      <c r="Z145" s="114"/>
    </row>
    <row r="146" spans="1:26" ht="15.75" x14ac:dyDescent="0.25">
      <c r="A146" s="24"/>
      <c r="B146" s="174"/>
      <c r="C146" s="24"/>
      <c r="D146" s="24"/>
      <c r="E146" s="24"/>
      <c r="F146" s="114"/>
      <c r="G146" s="114"/>
      <c r="H146" s="114"/>
      <c r="I146" s="60"/>
      <c r="J146" s="60"/>
      <c r="K146" s="7"/>
      <c r="L146" s="7"/>
      <c r="M146" s="7"/>
      <c r="N146" s="114"/>
      <c r="O146" s="114"/>
      <c r="P146" s="114"/>
      <c r="Q146" s="114"/>
      <c r="R146" s="114"/>
      <c r="S146" s="114"/>
      <c r="T146" s="114"/>
      <c r="U146" s="114"/>
      <c r="V146" s="114"/>
      <c r="W146" s="114"/>
      <c r="X146" s="114"/>
      <c r="Y146" s="114"/>
      <c r="Z146" s="114"/>
    </row>
    <row r="147" spans="1:26" ht="15.75" x14ac:dyDescent="0.25">
      <c r="A147" s="24"/>
      <c r="B147" s="174"/>
      <c r="C147" s="24"/>
      <c r="D147" s="24"/>
      <c r="E147" s="24"/>
      <c r="F147" s="114"/>
      <c r="G147" s="114"/>
      <c r="H147" s="114"/>
      <c r="I147" s="60"/>
      <c r="J147" s="60"/>
      <c r="K147" s="7"/>
      <c r="L147" s="7"/>
      <c r="M147" s="7"/>
      <c r="N147" s="114"/>
      <c r="O147" s="114"/>
      <c r="P147" s="114"/>
      <c r="Q147" s="114"/>
      <c r="R147" s="114"/>
      <c r="S147" s="114"/>
      <c r="T147" s="114"/>
      <c r="U147" s="114"/>
      <c r="V147" s="114"/>
      <c r="W147" s="114"/>
      <c r="X147" s="114"/>
      <c r="Y147" s="114"/>
      <c r="Z147" s="114"/>
    </row>
    <row r="148" spans="1:26" ht="15.75" x14ac:dyDescent="0.25">
      <c r="A148" s="24"/>
      <c r="B148" s="174"/>
      <c r="C148" s="24"/>
      <c r="D148" s="24"/>
      <c r="E148" s="24"/>
      <c r="F148" s="114"/>
      <c r="G148" s="114"/>
      <c r="H148" s="114"/>
      <c r="I148" s="60"/>
      <c r="J148" s="60"/>
      <c r="K148" s="7"/>
      <c r="L148" s="7"/>
      <c r="M148" s="7"/>
      <c r="N148" s="114"/>
      <c r="O148" s="114"/>
      <c r="P148" s="114"/>
      <c r="Q148" s="114"/>
      <c r="R148" s="114"/>
      <c r="S148" s="114"/>
      <c r="T148" s="114"/>
      <c r="U148" s="114"/>
      <c r="V148" s="114"/>
      <c r="W148" s="114"/>
      <c r="X148" s="114"/>
      <c r="Y148" s="114"/>
      <c r="Z148" s="114"/>
    </row>
    <row r="149" spans="1:26" ht="15.75" x14ac:dyDescent="0.25">
      <c r="A149" s="24"/>
      <c r="B149" s="174"/>
      <c r="C149" s="24"/>
      <c r="D149" s="24"/>
      <c r="E149" s="24"/>
      <c r="F149" s="114"/>
      <c r="G149" s="114"/>
      <c r="H149" s="114"/>
      <c r="I149" s="60"/>
      <c r="J149" s="60"/>
      <c r="K149" s="7"/>
      <c r="L149" s="7"/>
      <c r="M149" s="7"/>
      <c r="N149" s="114"/>
      <c r="O149" s="114"/>
      <c r="P149" s="114"/>
      <c r="Q149" s="114"/>
      <c r="R149" s="114"/>
      <c r="S149" s="114"/>
      <c r="T149" s="114"/>
      <c r="U149" s="114"/>
      <c r="V149" s="114"/>
      <c r="W149" s="114"/>
      <c r="X149" s="114"/>
      <c r="Y149" s="114"/>
      <c r="Z149" s="114"/>
    </row>
    <row r="150" spans="1:26" ht="15.75" x14ac:dyDescent="0.25">
      <c r="A150" s="24"/>
      <c r="B150" s="174"/>
      <c r="C150" s="24"/>
      <c r="D150" s="24"/>
      <c r="E150" s="24"/>
      <c r="F150" s="114"/>
      <c r="G150" s="114"/>
      <c r="H150" s="114"/>
      <c r="I150" s="60"/>
      <c r="J150" s="60"/>
      <c r="K150" s="7"/>
      <c r="L150" s="7"/>
      <c r="M150" s="7"/>
      <c r="N150" s="114"/>
      <c r="O150" s="114"/>
      <c r="P150" s="114"/>
      <c r="Q150" s="114"/>
      <c r="R150" s="114"/>
      <c r="S150" s="114"/>
      <c r="T150" s="114"/>
      <c r="U150" s="114"/>
      <c r="V150" s="114"/>
      <c r="W150" s="114"/>
      <c r="X150" s="114"/>
      <c r="Y150" s="114"/>
      <c r="Z150" s="114"/>
    </row>
    <row r="151" spans="1:26" ht="15.75" x14ac:dyDescent="0.25">
      <c r="A151" s="24"/>
      <c r="B151" s="174"/>
      <c r="C151" s="24"/>
      <c r="D151" s="24"/>
      <c r="E151" s="24"/>
      <c r="F151" s="114"/>
      <c r="G151" s="114"/>
      <c r="H151" s="114"/>
      <c r="I151" s="60"/>
      <c r="J151" s="60"/>
      <c r="K151" s="7"/>
      <c r="L151" s="7"/>
      <c r="M151" s="7"/>
      <c r="N151" s="114"/>
      <c r="O151" s="114"/>
      <c r="P151" s="114"/>
      <c r="Q151" s="114"/>
      <c r="R151" s="114"/>
      <c r="S151" s="114"/>
      <c r="T151" s="114"/>
      <c r="U151" s="114"/>
      <c r="V151" s="114"/>
      <c r="W151" s="114"/>
      <c r="X151" s="114"/>
      <c r="Y151" s="114"/>
      <c r="Z151" s="114"/>
    </row>
    <row r="152" spans="1:26" ht="15.75" x14ac:dyDescent="0.25">
      <c r="A152" s="24"/>
      <c r="B152" s="174"/>
      <c r="C152" s="24"/>
      <c r="D152" s="24"/>
      <c r="E152" s="24"/>
      <c r="F152" s="114"/>
      <c r="G152" s="114"/>
      <c r="H152" s="114"/>
      <c r="I152" s="60"/>
      <c r="J152" s="60"/>
      <c r="K152" s="7"/>
      <c r="L152" s="7"/>
      <c r="M152" s="7"/>
      <c r="N152" s="114"/>
      <c r="O152" s="114"/>
      <c r="P152" s="114"/>
      <c r="Q152" s="114"/>
      <c r="R152" s="114"/>
      <c r="S152" s="114"/>
      <c r="T152" s="114"/>
      <c r="U152" s="114"/>
      <c r="V152" s="114"/>
      <c r="W152" s="114"/>
      <c r="X152" s="114"/>
      <c r="Y152" s="114"/>
      <c r="Z152" s="114"/>
    </row>
    <row r="153" spans="1:26" ht="15.75" x14ac:dyDescent="0.25">
      <c r="A153" s="24"/>
      <c r="B153" s="174"/>
      <c r="C153" s="24"/>
      <c r="D153" s="24"/>
      <c r="E153" s="24"/>
      <c r="F153" s="114"/>
      <c r="G153" s="114"/>
      <c r="H153" s="114"/>
      <c r="I153" s="60"/>
      <c r="J153" s="60"/>
      <c r="K153" s="7"/>
      <c r="L153" s="7"/>
      <c r="M153" s="7"/>
      <c r="N153" s="114"/>
      <c r="O153" s="114"/>
      <c r="P153" s="114"/>
      <c r="Q153" s="114"/>
      <c r="R153" s="114"/>
      <c r="S153" s="114"/>
      <c r="T153" s="114"/>
      <c r="U153" s="114"/>
      <c r="V153" s="114"/>
      <c r="W153" s="114"/>
      <c r="X153" s="114"/>
      <c r="Y153" s="114"/>
      <c r="Z153" s="114"/>
    </row>
    <row r="154" spans="1:26" ht="15.75" x14ac:dyDescent="0.25">
      <c r="A154" s="24"/>
      <c r="B154" s="174"/>
      <c r="C154" s="24"/>
      <c r="D154" s="24"/>
      <c r="E154" s="24"/>
      <c r="F154" s="114"/>
      <c r="G154" s="114"/>
      <c r="H154" s="114"/>
      <c r="I154" s="60"/>
      <c r="J154" s="60"/>
      <c r="K154" s="7"/>
      <c r="L154" s="7"/>
      <c r="M154" s="7"/>
      <c r="N154" s="114"/>
      <c r="O154" s="114"/>
      <c r="P154" s="114"/>
      <c r="Q154" s="114"/>
      <c r="R154" s="114"/>
      <c r="S154" s="114"/>
      <c r="T154" s="114"/>
      <c r="U154" s="114"/>
      <c r="V154" s="114"/>
      <c r="W154" s="114"/>
      <c r="X154" s="114"/>
      <c r="Y154" s="114"/>
      <c r="Z154" s="114"/>
    </row>
    <row r="155" spans="1:26" ht="15.75" x14ac:dyDescent="0.25">
      <c r="A155" s="24"/>
      <c r="B155" s="174"/>
      <c r="C155" s="24"/>
      <c r="D155" s="24"/>
      <c r="E155" s="24"/>
      <c r="F155" s="114"/>
      <c r="G155" s="114"/>
      <c r="H155" s="114"/>
      <c r="I155" s="60"/>
      <c r="J155" s="60"/>
      <c r="K155" s="7"/>
      <c r="L155" s="7"/>
      <c r="M155" s="7"/>
      <c r="N155" s="114"/>
      <c r="O155" s="114"/>
      <c r="P155" s="114"/>
      <c r="Q155" s="114"/>
      <c r="R155" s="114"/>
      <c r="S155" s="114"/>
      <c r="T155" s="114"/>
      <c r="U155" s="114"/>
      <c r="V155" s="114"/>
      <c r="W155" s="114"/>
      <c r="X155" s="114"/>
      <c r="Y155" s="114"/>
      <c r="Z155" s="114"/>
    </row>
    <row r="156" spans="1:26" ht="15.75" x14ac:dyDescent="0.25">
      <c r="A156" s="24"/>
      <c r="B156" s="174"/>
      <c r="C156" s="24"/>
      <c r="D156" s="24"/>
      <c r="E156" s="24"/>
      <c r="F156" s="114"/>
      <c r="G156" s="114"/>
      <c r="H156" s="114"/>
      <c r="I156" s="60"/>
      <c r="J156" s="60"/>
      <c r="K156" s="7"/>
      <c r="L156" s="7"/>
      <c r="M156" s="7"/>
      <c r="N156" s="114"/>
      <c r="O156" s="114"/>
      <c r="P156" s="114"/>
      <c r="Q156" s="114"/>
      <c r="R156" s="114"/>
      <c r="S156" s="114"/>
      <c r="T156" s="114"/>
      <c r="U156" s="114"/>
      <c r="V156" s="114"/>
      <c r="W156" s="114"/>
      <c r="X156" s="114"/>
      <c r="Y156" s="114"/>
      <c r="Z156" s="114"/>
    </row>
    <row r="157" spans="1:26" ht="15.75" x14ac:dyDescent="0.25">
      <c r="A157" s="24"/>
      <c r="B157" s="174"/>
      <c r="C157" s="24"/>
      <c r="D157" s="24"/>
      <c r="E157" s="24"/>
      <c r="F157" s="114"/>
      <c r="G157" s="114"/>
      <c r="H157" s="114"/>
      <c r="I157" s="60"/>
      <c r="J157" s="60"/>
      <c r="K157" s="7"/>
      <c r="L157" s="7"/>
      <c r="M157" s="7"/>
      <c r="N157" s="114"/>
      <c r="O157" s="114"/>
      <c r="P157" s="114"/>
      <c r="Q157" s="114"/>
      <c r="R157" s="114"/>
      <c r="S157" s="114"/>
      <c r="T157" s="114"/>
      <c r="U157" s="114"/>
      <c r="V157" s="114"/>
      <c r="W157" s="114"/>
      <c r="X157" s="114"/>
      <c r="Y157" s="114"/>
      <c r="Z157" s="114"/>
    </row>
    <row r="158" spans="1:26" ht="15.75" x14ac:dyDescent="0.25">
      <c r="A158" s="24"/>
      <c r="B158" s="174"/>
      <c r="C158" s="24"/>
      <c r="D158" s="24"/>
      <c r="E158" s="24"/>
      <c r="F158" s="114"/>
      <c r="G158" s="114"/>
      <c r="H158" s="114"/>
      <c r="I158" s="60"/>
      <c r="J158" s="60"/>
      <c r="K158" s="7"/>
      <c r="L158" s="7"/>
      <c r="M158" s="7"/>
      <c r="N158" s="114"/>
      <c r="O158" s="114"/>
      <c r="P158" s="114"/>
      <c r="Q158" s="114"/>
      <c r="R158" s="114"/>
      <c r="S158" s="114"/>
      <c r="T158" s="114"/>
      <c r="U158" s="114"/>
      <c r="V158" s="114"/>
      <c r="W158" s="114"/>
      <c r="X158" s="114"/>
      <c r="Y158" s="114"/>
      <c r="Z158" s="114"/>
    </row>
    <row r="159" spans="1:26" ht="15.75" x14ac:dyDescent="0.25">
      <c r="A159" s="24"/>
      <c r="B159" s="174"/>
      <c r="C159" s="24"/>
      <c r="D159" s="24"/>
      <c r="E159" s="24"/>
      <c r="F159" s="114"/>
      <c r="G159" s="114"/>
      <c r="H159" s="114"/>
      <c r="I159" s="60"/>
      <c r="J159" s="60"/>
      <c r="K159" s="7"/>
      <c r="L159" s="7"/>
      <c r="M159" s="7"/>
      <c r="N159" s="114"/>
      <c r="O159" s="114"/>
      <c r="P159" s="114"/>
      <c r="Q159" s="114"/>
      <c r="R159" s="114"/>
      <c r="S159" s="114"/>
      <c r="T159" s="114"/>
      <c r="U159" s="114"/>
      <c r="V159" s="114"/>
      <c r="W159" s="114"/>
      <c r="X159" s="114"/>
      <c r="Y159" s="114"/>
      <c r="Z159" s="114"/>
    </row>
    <row r="160" spans="1:26" ht="15.75" x14ac:dyDescent="0.25">
      <c r="A160" s="24"/>
      <c r="B160" s="174"/>
      <c r="C160" s="24"/>
      <c r="D160" s="24"/>
      <c r="E160" s="24"/>
      <c r="F160" s="114"/>
      <c r="G160" s="114"/>
      <c r="H160" s="114"/>
      <c r="I160" s="60"/>
      <c r="J160" s="60"/>
      <c r="K160" s="7"/>
      <c r="L160" s="7"/>
      <c r="M160" s="7"/>
      <c r="N160" s="114"/>
      <c r="O160" s="114"/>
      <c r="P160" s="114"/>
      <c r="Q160" s="114"/>
      <c r="R160" s="114"/>
      <c r="S160" s="114"/>
      <c r="T160" s="114"/>
      <c r="U160" s="114"/>
      <c r="V160" s="114"/>
      <c r="W160" s="114"/>
      <c r="X160" s="114"/>
      <c r="Y160" s="114"/>
      <c r="Z160" s="114"/>
    </row>
    <row r="161" spans="1:26" ht="15.75" x14ac:dyDescent="0.25">
      <c r="A161" s="24"/>
      <c r="B161" s="174"/>
      <c r="C161" s="24"/>
      <c r="D161" s="24"/>
      <c r="E161" s="24"/>
      <c r="F161" s="114"/>
      <c r="G161" s="114"/>
      <c r="H161" s="114"/>
      <c r="I161" s="60"/>
      <c r="J161" s="60"/>
      <c r="K161" s="7"/>
      <c r="L161" s="7"/>
      <c r="M161" s="7"/>
      <c r="N161" s="114"/>
      <c r="O161" s="114"/>
      <c r="P161" s="114"/>
      <c r="Q161" s="114"/>
      <c r="R161" s="114"/>
      <c r="S161" s="114"/>
      <c r="T161" s="114"/>
      <c r="U161" s="114"/>
      <c r="V161" s="114"/>
      <c r="W161" s="114"/>
      <c r="X161" s="114"/>
      <c r="Y161" s="114"/>
      <c r="Z161" s="114"/>
    </row>
    <row r="162" spans="1:26" ht="15.75" x14ac:dyDescent="0.25">
      <c r="A162" s="24"/>
      <c r="B162" s="174"/>
      <c r="C162" s="24"/>
      <c r="D162" s="24"/>
      <c r="E162" s="24"/>
      <c r="F162" s="114"/>
      <c r="G162" s="114"/>
      <c r="H162" s="114"/>
      <c r="I162" s="60"/>
      <c r="J162" s="60"/>
      <c r="K162" s="7"/>
      <c r="L162" s="7"/>
      <c r="M162" s="7"/>
      <c r="N162" s="114"/>
      <c r="O162" s="114"/>
      <c r="P162" s="114"/>
      <c r="Q162" s="114"/>
      <c r="R162" s="114"/>
      <c r="S162" s="114"/>
      <c r="T162" s="114"/>
      <c r="U162" s="114"/>
      <c r="V162" s="114"/>
      <c r="W162" s="114"/>
      <c r="X162" s="114"/>
      <c r="Y162" s="114"/>
      <c r="Z162" s="114"/>
    </row>
    <row r="163" spans="1:26" ht="15.75" x14ac:dyDescent="0.25">
      <c r="A163" s="24"/>
      <c r="B163" s="174"/>
      <c r="C163" s="24"/>
      <c r="D163" s="24"/>
      <c r="E163" s="24"/>
      <c r="F163" s="114"/>
      <c r="G163" s="114"/>
      <c r="H163" s="114"/>
      <c r="I163" s="60"/>
      <c r="J163" s="60"/>
      <c r="K163" s="7"/>
      <c r="L163" s="7"/>
      <c r="M163" s="7"/>
      <c r="N163" s="114"/>
      <c r="O163" s="114"/>
      <c r="P163" s="114"/>
      <c r="Q163" s="114"/>
      <c r="R163" s="114"/>
      <c r="S163" s="114"/>
      <c r="T163" s="114"/>
      <c r="U163" s="114"/>
      <c r="V163" s="114"/>
      <c r="W163" s="114"/>
      <c r="X163" s="114"/>
      <c r="Y163" s="114"/>
      <c r="Z163" s="114"/>
    </row>
    <row r="164" spans="1:26" ht="15.75" x14ac:dyDescent="0.25">
      <c r="A164" s="24"/>
      <c r="B164" s="174"/>
      <c r="C164" s="24"/>
      <c r="D164" s="24"/>
      <c r="E164" s="24"/>
      <c r="F164" s="114"/>
      <c r="G164" s="114"/>
      <c r="H164" s="114"/>
      <c r="I164" s="60"/>
      <c r="J164" s="60"/>
      <c r="K164" s="7"/>
      <c r="L164" s="7"/>
      <c r="M164" s="7"/>
      <c r="N164" s="114"/>
      <c r="O164" s="114"/>
      <c r="P164" s="114"/>
      <c r="Q164" s="114"/>
      <c r="R164" s="114"/>
      <c r="S164" s="114"/>
      <c r="T164" s="114"/>
      <c r="U164" s="114"/>
      <c r="V164" s="114"/>
      <c r="W164" s="114"/>
      <c r="X164" s="114"/>
      <c r="Y164" s="114"/>
      <c r="Z164" s="114"/>
    </row>
    <row r="165" spans="1:26" ht="15.75" x14ac:dyDescent="0.25">
      <c r="A165" s="24"/>
      <c r="B165" s="174"/>
      <c r="C165" s="24"/>
      <c r="D165" s="24"/>
      <c r="E165" s="24"/>
      <c r="F165" s="114"/>
      <c r="G165" s="114"/>
      <c r="H165" s="114"/>
      <c r="I165" s="60"/>
      <c r="J165" s="60"/>
      <c r="K165" s="7"/>
      <c r="L165" s="7"/>
      <c r="M165" s="7"/>
      <c r="N165" s="114"/>
      <c r="O165" s="114"/>
      <c r="P165" s="114"/>
      <c r="Q165" s="114"/>
      <c r="R165" s="114"/>
      <c r="S165" s="114"/>
      <c r="T165" s="114"/>
      <c r="U165" s="114"/>
      <c r="V165" s="114"/>
      <c r="W165" s="114"/>
      <c r="X165" s="114"/>
      <c r="Y165" s="114"/>
      <c r="Z165" s="114"/>
    </row>
    <row r="166" spans="1:26" ht="15.75" x14ac:dyDescent="0.25">
      <c r="A166" s="24"/>
      <c r="B166" s="174"/>
      <c r="C166" s="24"/>
      <c r="D166" s="24"/>
      <c r="E166" s="24"/>
      <c r="F166" s="114"/>
      <c r="G166" s="114"/>
      <c r="H166" s="114"/>
      <c r="I166" s="60"/>
      <c r="J166" s="60"/>
      <c r="K166" s="7"/>
      <c r="L166" s="7"/>
      <c r="M166" s="7"/>
      <c r="N166" s="114"/>
      <c r="O166" s="114"/>
      <c r="P166" s="114"/>
      <c r="Q166" s="114"/>
      <c r="R166" s="114"/>
      <c r="S166" s="114"/>
      <c r="T166" s="114"/>
      <c r="U166" s="114"/>
      <c r="V166" s="114"/>
      <c r="W166" s="114"/>
      <c r="X166" s="114"/>
      <c r="Y166" s="114"/>
      <c r="Z166" s="114"/>
    </row>
    <row r="167" spans="1:26" ht="15.75" x14ac:dyDescent="0.25">
      <c r="A167" s="24"/>
      <c r="B167" s="174"/>
      <c r="C167" s="24"/>
      <c r="D167" s="24"/>
      <c r="E167" s="24"/>
      <c r="F167" s="114"/>
      <c r="G167" s="114"/>
      <c r="H167" s="114"/>
      <c r="I167" s="60"/>
      <c r="J167" s="60"/>
      <c r="K167" s="7"/>
      <c r="L167" s="7"/>
      <c r="M167" s="7"/>
      <c r="N167" s="114"/>
      <c r="O167" s="114"/>
      <c r="P167" s="114"/>
      <c r="Q167" s="114"/>
      <c r="R167" s="114"/>
      <c r="S167" s="114"/>
      <c r="T167" s="114"/>
      <c r="U167" s="114"/>
      <c r="V167" s="114"/>
      <c r="W167" s="114"/>
      <c r="X167" s="114"/>
      <c r="Y167" s="114"/>
      <c r="Z167" s="114"/>
    </row>
    <row r="168" spans="1:26" ht="15.75" x14ac:dyDescent="0.25">
      <c r="A168" s="24"/>
      <c r="B168" s="174"/>
      <c r="C168" s="24"/>
      <c r="D168" s="24"/>
      <c r="E168" s="24"/>
      <c r="F168" s="114"/>
      <c r="G168" s="114"/>
      <c r="H168" s="114"/>
      <c r="I168" s="60"/>
      <c r="J168" s="60"/>
      <c r="K168" s="7"/>
      <c r="L168" s="7"/>
      <c r="M168" s="7"/>
      <c r="N168" s="114"/>
      <c r="O168" s="114"/>
      <c r="P168" s="114"/>
      <c r="Q168" s="114"/>
      <c r="R168" s="114"/>
      <c r="S168" s="114"/>
      <c r="T168" s="114"/>
      <c r="U168" s="114"/>
      <c r="V168" s="114"/>
      <c r="W168" s="114"/>
      <c r="X168" s="114"/>
      <c r="Y168" s="114"/>
      <c r="Z168" s="114"/>
    </row>
    <row r="169" spans="1:26" ht="15.75" x14ac:dyDescent="0.25">
      <c r="A169" s="24"/>
      <c r="B169" s="174"/>
      <c r="C169" s="24"/>
      <c r="D169" s="24"/>
      <c r="E169" s="24"/>
      <c r="F169" s="114"/>
      <c r="G169" s="114"/>
      <c r="H169" s="114"/>
      <c r="I169" s="60"/>
      <c r="J169" s="60"/>
      <c r="K169" s="7"/>
      <c r="L169" s="7"/>
      <c r="M169" s="7"/>
      <c r="N169" s="114"/>
      <c r="O169" s="114"/>
      <c r="P169" s="114"/>
      <c r="Q169" s="114"/>
      <c r="R169" s="114"/>
      <c r="S169" s="114"/>
      <c r="T169" s="114"/>
      <c r="U169" s="114"/>
      <c r="V169" s="114"/>
      <c r="W169" s="114"/>
      <c r="X169" s="114"/>
      <c r="Y169" s="114"/>
      <c r="Z169" s="114"/>
    </row>
    <row r="170" spans="1:26" ht="15.75" x14ac:dyDescent="0.25">
      <c r="A170" s="24"/>
      <c r="B170" s="174"/>
      <c r="C170" s="24"/>
      <c r="D170" s="24"/>
      <c r="E170" s="24"/>
      <c r="F170" s="114"/>
      <c r="G170" s="114"/>
      <c r="H170" s="114"/>
      <c r="I170" s="60"/>
      <c r="J170" s="60"/>
      <c r="K170" s="7"/>
      <c r="L170" s="7"/>
      <c r="M170" s="7"/>
      <c r="N170" s="114"/>
      <c r="O170" s="114"/>
      <c r="P170" s="114"/>
      <c r="Q170" s="114"/>
      <c r="R170" s="114"/>
      <c r="S170" s="114"/>
      <c r="T170" s="114"/>
      <c r="U170" s="114"/>
      <c r="V170" s="114"/>
      <c r="W170" s="114"/>
      <c r="X170" s="114"/>
      <c r="Y170" s="114"/>
      <c r="Z170" s="114"/>
    </row>
    <row r="171" spans="1:26" ht="15.75" x14ac:dyDescent="0.25">
      <c r="A171" s="24"/>
      <c r="B171" s="174"/>
      <c r="C171" s="24"/>
      <c r="D171" s="24"/>
      <c r="E171" s="24"/>
      <c r="F171" s="114"/>
      <c r="G171" s="114"/>
      <c r="H171" s="114"/>
      <c r="I171" s="60"/>
      <c r="J171" s="60"/>
      <c r="K171" s="7"/>
      <c r="L171" s="7"/>
      <c r="M171" s="7"/>
      <c r="N171" s="114"/>
      <c r="O171" s="114"/>
      <c r="P171" s="114"/>
      <c r="Q171" s="114"/>
      <c r="R171" s="114"/>
      <c r="S171" s="114"/>
      <c r="T171" s="114"/>
      <c r="U171" s="114"/>
      <c r="V171" s="114"/>
      <c r="W171" s="114"/>
      <c r="X171" s="114"/>
      <c r="Y171" s="114"/>
      <c r="Z171" s="114"/>
    </row>
    <row r="172" spans="1:26" ht="15.75" x14ac:dyDescent="0.25">
      <c r="A172" s="24"/>
      <c r="B172" s="174"/>
      <c r="C172" s="24"/>
      <c r="D172" s="24"/>
      <c r="E172" s="24"/>
      <c r="F172" s="114"/>
      <c r="G172" s="114"/>
      <c r="H172" s="114"/>
      <c r="I172" s="60"/>
      <c r="J172" s="60"/>
      <c r="K172" s="7"/>
      <c r="L172" s="7"/>
      <c r="M172" s="7"/>
      <c r="N172" s="114"/>
      <c r="O172" s="114"/>
      <c r="P172" s="114"/>
      <c r="Q172" s="114"/>
      <c r="R172" s="114"/>
      <c r="S172" s="114"/>
      <c r="T172" s="114"/>
      <c r="U172" s="114"/>
      <c r="V172" s="114"/>
      <c r="W172" s="114"/>
      <c r="X172" s="114"/>
      <c r="Y172" s="114"/>
      <c r="Z172" s="114"/>
    </row>
    <row r="173" spans="1:26" ht="15.75" x14ac:dyDescent="0.25">
      <c r="A173" s="24"/>
      <c r="B173" s="174"/>
      <c r="C173" s="24"/>
      <c r="D173" s="24"/>
      <c r="E173" s="24"/>
      <c r="F173" s="114"/>
      <c r="G173" s="114"/>
      <c r="H173" s="114"/>
      <c r="I173" s="60"/>
      <c r="J173" s="60"/>
      <c r="K173" s="7"/>
      <c r="L173" s="7"/>
      <c r="M173" s="7"/>
      <c r="N173" s="114"/>
      <c r="O173" s="114"/>
      <c r="P173" s="114"/>
      <c r="Q173" s="114"/>
      <c r="R173" s="114"/>
      <c r="S173" s="114"/>
      <c r="T173" s="114"/>
      <c r="U173" s="114"/>
      <c r="V173" s="114"/>
      <c r="W173" s="114"/>
      <c r="X173" s="114"/>
      <c r="Y173" s="114"/>
      <c r="Z173" s="114"/>
    </row>
    <row r="174" spans="1:26" ht="15.75" x14ac:dyDescent="0.25">
      <c r="A174" s="24"/>
      <c r="B174" s="174"/>
      <c r="C174" s="24"/>
      <c r="D174" s="24"/>
      <c r="E174" s="24"/>
      <c r="F174" s="114"/>
      <c r="G174" s="114"/>
      <c r="H174" s="114"/>
      <c r="I174" s="60"/>
      <c r="J174" s="60"/>
      <c r="K174" s="7"/>
      <c r="L174" s="7"/>
      <c r="M174" s="7"/>
      <c r="N174" s="114"/>
      <c r="O174" s="114"/>
      <c r="P174" s="114"/>
      <c r="Q174" s="114"/>
      <c r="R174" s="114"/>
      <c r="S174" s="114"/>
      <c r="T174" s="114"/>
      <c r="U174" s="114"/>
      <c r="V174" s="114"/>
      <c r="W174" s="114"/>
      <c r="X174" s="114"/>
      <c r="Y174" s="114"/>
      <c r="Z174" s="114"/>
    </row>
    <row r="175" spans="1:26" ht="15.75" x14ac:dyDescent="0.25">
      <c r="A175" s="24"/>
      <c r="B175" s="174"/>
      <c r="C175" s="24"/>
      <c r="D175" s="24"/>
      <c r="E175" s="24"/>
      <c r="F175" s="114"/>
      <c r="G175" s="114"/>
      <c r="H175" s="114"/>
      <c r="I175" s="60"/>
      <c r="J175" s="60"/>
      <c r="K175" s="7"/>
      <c r="L175" s="7"/>
      <c r="M175" s="7"/>
      <c r="N175" s="114"/>
      <c r="O175" s="114"/>
      <c r="P175" s="114"/>
      <c r="Q175" s="114"/>
      <c r="R175" s="114"/>
      <c r="S175" s="114"/>
      <c r="T175" s="114"/>
      <c r="U175" s="114"/>
      <c r="V175" s="114"/>
      <c r="W175" s="114"/>
      <c r="X175" s="114"/>
      <c r="Y175" s="114"/>
      <c r="Z175" s="114"/>
    </row>
    <row r="176" spans="1:26" ht="15.75" x14ac:dyDescent="0.25">
      <c r="A176" s="24"/>
      <c r="B176" s="174"/>
      <c r="C176" s="24"/>
      <c r="D176" s="24"/>
      <c r="E176" s="24"/>
      <c r="F176" s="114"/>
      <c r="G176" s="114"/>
      <c r="H176" s="114"/>
      <c r="I176" s="60"/>
      <c r="J176" s="60"/>
      <c r="K176" s="7"/>
      <c r="L176" s="7"/>
      <c r="M176" s="7"/>
      <c r="N176" s="114"/>
      <c r="O176" s="114"/>
      <c r="P176" s="114"/>
      <c r="Q176" s="114"/>
      <c r="R176" s="114"/>
      <c r="S176" s="114"/>
      <c r="T176" s="114"/>
      <c r="U176" s="114"/>
      <c r="V176" s="114"/>
      <c r="W176" s="114"/>
      <c r="X176" s="114"/>
      <c r="Y176" s="114"/>
      <c r="Z176" s="114"/>
    </row>
    <row r="177" spans="1:26" ht="15.75" x14ac:dyDescent="0.25">
      <c r="A177" s="24"/>
      <c r="B177" s="174"/>
      <c r="C177" s="24"/>
      <c r="D177" s="24"/>
      <c r="E177" s="24"/>
      <c r="F177" s="114"/>
      <c r="G177" s="114"/>
      <c r="H177" s="114"/>
      <c r="I177" s="60"/>
      <c r="J177" s="60"/>
      <c r="K177" s="7"/>
      <c r="L177" s="7"/>
      <c r="M177" s="7"/>
      <c r="N177" s="114"/>
      <c r="O177" s="114"/>
      <c r="P177" s="114"/>
      <c r="Q177" s="114"/>
      <c r="R177" s="114"/>
      <c r="S177" s="114"/>
      <c r="T177" s="114"/>
      <c r="U177" s="114"/>
      <c r="V177" s="114"/>
      <c r="W177" s="114"/>
      <c r="X177" s="114"/>
      <c r="Y177" s="114"/>
      <c r="Z177" s="114"/>
    </row>
    <row r="178" spans="1:26" ht="15.75" x14ac:dyDescent="0.25">
      <c r="A178" s="24"/>
      <c r="B178" s="174"/>
      <c r="C178" s="24"/>
      <c r="D178" s="24"/>
      <c r="E178" s="24"/>
      <c r="F178" s="114"/>
      <c r="G178" s="114"/>
      <c r="H178" s="114"/>
      <c r="I178" s="60"/>
      <c r="J178" s="60"/>
      <c r="K178" s="7"/>
      <c r="L178" s="7"/>
      <c r="M178" s="7"/>
      <c r="N178" s="114"/>
      <c r="O178" s="114"/>
      <c r="P178" s="114"/>
      <c r="Q178" s="114"/>
      <c r="R178" s="114"/>
      <c r="S178" s="114"/>
      <c r="T178" s="114"/>
      <c r="U178" s="114"/>
      <c r="V178" s="114"/>
      <c r="W178" s="114"/>
      <c r="X178" s="114"/>
      <c r="Y178" s="114"/>
      <c r="Z178" s="114"/>
    </row>
    <row r="179" spans="1:26" ht="15.75" x14ac:dyDescent="0.25">
      <c r="A179" s="24"/>
      <c r="B179" s="174"/>
      <c r="C179" s="24"/>
      <c r="D179" s="24"/>
      <c r="E179" s="24"/>
      <c r="F179" s="114"/>
      <c r="G179" s="114"/>
      <c r="H179" s="114"/>
      <c r="I179" s="60"/>
      <c r="J179" s="60"/>
      <c r="K179" s="7"/>
      <c r="L179" s="7"/>
      <c r="M179" s="7"/>
      <c r="N179" s="114"/>
      <c r="O179" s="114"/>
      <c r="P179" s="114"/>
      <c r="Q179" s="114"/>
      <c r="R179" s="114"/>
      <c r="S179" s="114"/>
      <c r="T179" s="114"/>
      <c r="U179" s="114"/>
      <c r="V179" s="114"/>
      <c r="W179" s="114"/>
      <c r="X179" s="114"/>
      <c r="Y179" s="114"/>
      <c r="Z179" s="114"/>
    </row>
    <row r="180" spans="1:26" ht="15.75" x14ac:dyDescent="0.25">
      <c r="A180" s="24"/>
      <c r="B180" s="174"/>
      <c r="C180" s="24"/>
      <c r="D180" s="24"/>
      <c r="E180" s="24"/>
      <c r="F180" s="114"/>
      <c r="G180" s="114"/>
      <c r="H180" s="114"/>
      <c r="I180" s="60"/>
      <c r="J180" s="60"/>
      <c r="K180" s="7"/>
      <c r="L180" s="7"/>
      <c r="M180" s="7"/>
      <c r="N180" s="114"/>
      <c r="O180" s="114"/>
      <c r="P180" s="114"/>
      <c r="Q180" s="114"/>
      <c r="R180" s="114"/>
      <c r="S180" s="114"/>
      <c r="T180" s="114"/>
      <c r="U180" s="114"/>
      <c r="V180" s="114"/>
      <c r="W180" s="114"/>
      <c r="X180" s="114"/>
      <c r="Y180" s="114"/>
      <c r="Z180" s="114"/>
    </row>
    <row r="181" spans="1:26" ht="15.75" x14ac:dyDescent="0.25">
      <c r="A181" s="24"/>
      <c r="B181" s="174"/>
      <c r="C181" s="24"/>
      <c r="D181" s="24"/>
      <c r="E181" s="24"/>
      <c r="F181" s="114"/>
      <c r="G181" s="114"/>
      <c r="H181" s="114"/>
      <c r="I181" s="60"/>
      <c r="J181" s="60"/>
      <c r="K181" s="7"/>
      <c r="L181" s="7"/>
      <c r="M181" s="7"/>
      <c r="N181" s="114"/>
      <c r="O181" s="114"/>
      <c r="P181" s="114"/>
      <c r="Q181" s="114"/>
      <c r="R181" s="114"/>
      <c r="S181" s="114"/>
      <c r="T181" s="114"/>
      <c r="U181" s="114"/>
      <c r="V181" s="114"/>
      <c r="W181" s="114"/>
      <c r="X181" s="114"/>
      <c r="Y181" s="114"/>
      <c r="Z181" s="114"/>
    </row>
    <row r="182" spans="1:26" ht="15.75" x14ac:dyDescent="0.25">
      <c r="A182" s="24"/>
      <c r="B182" s="174"/>
      <c r="C182" s="24"/>
      <c r="D182" s="24"/>
      <c r="E182" s="24"/>
      <c r="F182" s="114"/>
      <c r="G182" s="114"/>
      <c r="H182" s="114"/>
      <c r="I182" s="60"/>
      <c r="J182" s="60"/>
      <c r="K182" s="7"/>
      <c r="L182" s="7"/>
      <c r="M182" s="7"/>
      <c r="N182" s="114"/>
      <c r="O182" s="114"/>
      <c r="P182" s="114"/>
      <c r="Q182" s="114"/>
      <c r="R182" s="114"/>
      <c r="S182" s="114"/>
      <c r="T182" s="114"/>
      <c r="U182" s="114"/>
      <c r="V182" s="114"/>
      <c r="W182" s="114"/>
      <c r="X182" s="114"/>
      <c r="Y182" s="114"/>
      <c r="Z182" s="114"/>
    </row>
    <row r="183" spans="1:26" ht="15.75" x14ac:dyDescent="0.25">
      <c r="A183" s="24"/>
      <c r="B183" s="174"/>
      <c r="C183" s="24"/>
      <c r="D183" s="24"/>
      <c r="E183" s="24"/>
      <c r="F183" s="114"/>
      <c r="G183" s="114"/>
      <c r="H183" s="114"/>
      <c r="I183" s="60"/>
      <c r="J183" s="60"/>
      <c r="K183" s="7"/>
      <c r="L183" s="7"/>
      <c r="M183" s="7"/>
      <c r="N183" s="114"/>
      <c r="O183" s="114"/>
      <c r="P183" s="114"/>
      <c r="Q183" s="114"/>
      <c r="R183" s="114"/>
      <c r="S183" s="114"/>
      <c r="T183" s="114"/>
      <c r="U183" s="114"/>
      <c r="V183" s="114"/>
      <c r="W183" s="114"/>
      <c r="X183" s="114"/>
      <c r="Y183" s="114"/>
      <c r="Z183" s="114"/>
    </row>
    <row r="184" spans="1:26" ht="15.75" x14ac:dyDescent="0.25">
      <c r="A184" s="24"/>
      <c r="B184" s="174"/>
      <c r="C184" s="24"/>
      <c r="D184" s="24"/>
      <c r="E184" s="24"/>
      <c r="F184" s="114"/>
      <c r="G184" s="114"/>
      <c r="H184" s="114"/>
      <c r="I184" s="60"/>
      <c r="J184" s="60"/>
      <c r="K184" s="7"/>
      <c r="L184" s="7"/>
      <c r="M184" s="7"/>
      <c r="N184" s="114"/>
      <c r="O184" s="114"/>
      <c r="P184" s="114"/>
      <c r="Q184" s="114"/>
      <c r="R184" s="114"/>
      <c r="S184" s="114"/>
      <c r="T184" s="114"/>
      <c r="U184" s="114"/>
      <c r="V184" s="114"/>
      <c r="W184" s="114"/>
      <c r="X184" s="114"/>
      <c r="Y184" s="114"/>
      <c r="Z184" s="114"/>
    </row>
    <row r="185" spans="1:26" ht="15.75" x14ac:dyDescent="0.25">
      <c r="A185" s="24"/>
      <c r="B185" s="174"/>
      <c r="C185" s="24"/>
      <c r="D185" s="24"/>
      <c r="E185" s="24"/>
      <c r="F185" s="114"/>
      <c r="G185" s="114"/>
      <c r="H185" s="114"/>
      <c r="I185" s="60"/>
      <c r="J185" s="60"/>
      <c r="K185" s="7"/>
      <c r="L185" s="7"/>
      <c r="M185" s="7"/>
      <c r="N185" s="114"/>
      <c r="O185" s="114"/>
      <c r="P185" s="114"/>
      <c r="Q185" s="114"/>
      <c r="R185" s="114"/>
      <c r="S185" s="114"/>
      <c r="T185" s="114"/>
      <c r="U185" s="114"/>
      <c r="V185" s="114"/>
      <c r="W185" s="114"/>
      <c r="X185" s="114"/>
      <c r="Y185" s="114"/>
      <c r="Z185" s="114"/>
    </row>
    <row r="186" spans="1:26" ht="15.75" x14ac:dyDescent="0.25">
      <c r="A186" s="24"/>
      <c r="B186" s="174"/>
      <c r="C186" s="24"/>
      <c r="D186" s="24"/>
      <c r="E186" s="24"/>
      <c r="F186" s="114"/>
      <c r="G186" s="114"/>
      <c r="H186" s="114"/>
      <c r="I186" s="60"/>
      <c r="J186" s="60"/>
      <c r="K186" s="7"/>
      <c r="L186" s="7"/>
      <c r="M186" s="7"/>
      <c r="N186" s="114"/>
      <c r="O186" s="114"/>
      <c r="P186" s="114"/>
      <c r="Q186" s="114"/>
      <c r="R186" s="114"/>
      <c r="S186" s="114"/>
      <c r="T186" s="114"/>
      <c r="U186" s="114"/>
      <c r="V186" s="114"/>
      <c r="W186" s="114"/>
      <c r="X186" s="114"/>
      <c r="Y186" s="114"/>
      <c r="Z186" s="114"/>
    </row>
    <row r="187" spans="1:26" ht="15.75" x14ac:dyDescent="0.25">
      <c r="A187" s="24"/>
      <c r="B187" s="174"/>
      <c r="C187" s="24"/>
      <c r="D187" s="24"/>
      <c r="E187" s="24"/>
      <c r="F187" s="114"/>
      <c r="G187" s="114"/>
      <c r="H187" s="114"/>
      <c r="I187" s="60"/>
      <c r="J187" s="60"/>
      <c r="K187" s="7"/>
      <c r="L187" s="7"/>
      <c r="M187" s="7"/>
      <c r="N187" s="114"/>
      <c r="O187" s="114"/>
      <c r="P187" s="114"/>
      <c r="Q187" s="114"/>
      <c r="R187" s="114"/>
      <c r="S187" s="114"/>
      <c r="T187" s="114"/>
      <c r="U187" s="114"/>
      <c r="V187" s="114"/>
      <c r="W187" s="114"/>
      <c r="X187" s="114"/>
      <c r="Y187" s="114"/>
      <c r="Z187" s="114"/>
    </row>
    <row r="188" spans="1:26" ht="15.75" x14ac:dyDescent="0.25">
      <c r="A188" s="24"/>
      <c r="B188" s="174"/>
      <c r="C188" s="24"/>
      <c r="D188" s="24"/>
      <c r="E188" s="24"/>
      <c r="F188" s="114"/>
      <c r="G188" s="114"/>
      <c r="H188" s="114"/>
      <c r="I188" s="60"/>
      <c r="J188" s="60"/>
      <c r="K188" s="7"/>
      <c r="L188" s="7"/>
      <c r="M188" s="7"/>
      <c r="N188" s="114"/>
      <c r="O188" s="114"/>
      <c r="P188" s="114"/>
      <c r="Q188" s="114"/>
      <c r="R188" s="114"/>
      <c r="S188" s="114"/>
      <c r="T188" s="114"/>
      <c r="U188" s="114"/>
      <c r="V188" s="114"/>
      <c r="W188" s="114"/>
      <c r="X188" s="114"/>
      <c r="Y188" s="114"/>
      <c r="Z188" s="114"/>
    </row>
    <row r="189" spans="1:26" ht="15.75" x14ac:dyDescent="0.25">
      <c r="A189" s="24"/>
      <c r="B189" s="174"/>
      <c r="C189" s="24"/>
      <c r="D189" s="24"/>
      <c r="E189" s="24"/>
      <c r="F189" s="114"/>
      <c r="G189" s="114"/>
      <c r="H189" s="114"/>
      <c r="I189" s="60"/>
      <c r="J189" s="60"/>
      <c r="K189" s="7"/>
      <c r="L189" s="7"/>
      <c r="M189" s="7"/>
      <c r="N189" s="114"/>
      <c r="O189" s="114"/>
      <c r="P189" s="114"/>
      <c r="Q189" s="114"/>
      <c r="R189" s="114"/>
      <c r="S189" s="114"/>
      <c r="T189" s="114"/>
      <c r="U189" s="114"/>
      <c r="V189" s="114"/>
      <c r="W189" s="114"/>
      <c r="X189" s="114"/>
      <c r="Y189" s="114"/>
      <c r="Z189" s="114"/>
    </row>
    <row r="190" spans="1:26" ht="15.75" x14ac:dyDescent="0.25">
      <c r="A190" s="24"/>
      <c r="B190" s="174"/>
      <c r="C190" s="24"/>
      <c r="D190" s="24"/>
      <c r="E190" s="24"/>
      <c r="F190" s="114"/>
      <c r="G190" s="114"/>
      <c r="H190" s="114"/>
      <c r="I190" s="60"/>
      <c r="J190" s="60"/>
      <c r="K190" s="7"/>
      <c r="L190" s="7"/>
      <c r="M190" s="7"/>
      <c r="N190" s="114"/>
      <c r="O190" s="114"/>
      <c r="P190" s="114"/>
      <c r="Q190" s="114"/>
      <c r="R190" s="114"/>
      <c r="S190" s="114"/>
      <c r="T190" s="114"/>
      <c r="U190" s="114"/>
      <c r="V190" s="114"/>
      <c r="W190" s="114"/>
      <c r="X190" s="114"/>
      <c r="Y190" s="114"/>
      <c r="Z190" s="114"/>
    </row>
    <row r="191" spans="1:26" ht="15.75" x14ac:dyDescent="0.25">
      <c r="A191" s="24"/>
      <c r="B191" s="174"/>
      <c r="C191" s="24"/>
      <c r="D191" s="24"/>
      <c r="E191" s="24"/>
      <c r="F191" s="114"/>
      <c r="G191" s="114"/>
      <c r="H191" s="114"/>
      <c r="I191" s="60"/>
      <c r="J191" s="60"/>
      <c r="K191" s="7"/>
      <c r="L191" s="7"/>
      <c r="M191" s="7"/>
      <c r="N191" s="114"/>
      <c r="O191" s="114"/>
      <c r="P191" s="114"/>
      <c r="Q191" s="114"/>
      <c r="R191" s="114"/>
      <c r="S191" s="114"/>
      <c r="T191" s="114"/>
      <c r="U191" s="114"/>
      <c r="V191" s="114"/>
      <c r="W191" s="114"/>
      <c r="X191" s="114"/>
      <c r="Y191" s="114"/>
      <c r="Z191" s="114"/>
    </row>
    <row r="192" spans="1:26" ht="15.75" x14ac:dyDescent="0.25">
      <c r="A192" s="24"/>
      <c r="B192" s="174"/>
      <c r="C192" s="24"/>
      <c r="D192" s="24"/>
      <c r="E192" s="24"/>
      <c r="F192" s="114"/>
      <c r="G192" s="114"/>
      <c r="H192" s="114"/>
      <c r="I192" s="60"/>
      <c r="J192" s="60"/>
      <c r="K192" s="7"/>
      <c r="L192" s="7"/>
      <c r="M192" s="7"/>
      <c r="N192" s="114"/>
      <c r="O192" s="114"/>
      <c r="P192" s="114"/>
      <c r="Q192" s="114"/>
      <c r="R192" s="114"/>
      <c r="S192" s="114"/>
      <c r="T192" s="114"/>
      <c r="U192" s="114"/>
      <c r="V192" s="114"/>
      <c r="W192" s="114"/>
      <c r="X192" s="114"/>
      <c r="Y192" s="114"/>
      <c r="Z192" s="114"/>
    </row>
    <row r="193" spans="1:26" ht="15.75" x14ac:dyDescent="0.25">
      <c r="A193" s="24"/>
      <c r="B193" s="174"/>
      <c r="C193" s="24"/>
      <c r="D193" s="24"/>
      <c r="E193" s="24"/>
      <c r="F193" s="114"/>
      <c r="G193" s="114"/>
      <c r="H193" s="114"/>
      <c r="I193" s="60"/>
      <c r="J193" s="60"/>
      <c r="K193" s="7"/>
      <c r="L193" s="7"/>
      <c r="M193" s="7"/>
      <c r="N193" s="114"/>
      <c r="O193" s="114"/>
      <c r="P193" s="114"/>
      <c r="Q193" s="114"/>
      <c r="R193" s="114"/>
      <c r="S193" s="114"/>
      <c r="T193" s="114"/>
      <c r="U193" s="114"/>
      <c r="V193" s="114"/>
      <c r="W193" s="114"/>
      <c r="X193" s="114"/>
      <c r="Y193" s="114"/>
      <c r="Z193" s="114"/>
    </row>
    <row r="194" spans="1:26" ht="15.75" x14ac:dyDescent="0.25">
      <c r="A194" s="24"/>
      <c r="B194" s="174"/>
      <c r="C194" s="24"/>
      <c r="D194" s="24"/>
      <c r="E194" s="24"/>
      <c r="F194" s="114"/>
      <c r="G194" s="114"/>
      <c r="H194" s="114"/>
      <c r="I194" s="60"/>
      <c r="J194" s="60"/>
      <c r="K194" s="7"/>
      <c r="L194" s="7"/>
      <c r="M194" s="7"/>
      <c r="N194" s="114"/>
      <c r="O194" s="114"/>
      <c r="P194" s="114"/>
      <c r="Q194" s="114"/>
      <c r="R194" s="114"/>
      <c r="S194" s="114"/>
      <c r="T194" s="114"/>
      <c r="U194" s="114"/>
      <c r="V194" s="114"/>
      <c r="W194" s="114"/>
      <c r="X194" s="114"/>
      <c r="Y194" s="114"/>
      <c r="Z194" s="114"/>
    </row>
    <row r="195" spans="1:26" ht="15.75" x14ac:dyDescent="0.25">
      <c r="A195" s="24"/>
      <c r="B195" s="174"/>
      <c r="C195" s="24"/>
      <c r="D195" s="24"/>
      <c r="E195" s="24"/>
      <c r="F195" s="114"/>
      <c r="G195" s="114"/>
      <c r="H195" s="114"/>
      <c r="I195" s="60"/>
      <c r="J195" s="60"/>
      <c r="K195" s="7"/>
      <c r="L195" s="7"/>
      <c r="M195" s="7"/>
      <c r="N195" s="114"/>
      <c r="O195" s="114"/>
      <c r="P195" s="114"/>
      <c r="Q195" s="114"/>
      <c r="R195" s="114"/>
      <c r="S195" s="114"/>
      <c r="T195" s="114"/>
      <c r="U195" s="114"/>
      <c r="V195" s="114"/>
      <c r="W195" s="114"/>
      <c r="X195" s="114"/>
      <c r="Y195" s="114"/>
      <c r="Z195" s="114"/>
    </row>
    <row r="196" spans="1:26" ht="15.75" x14ac:dyDescent="0.25">
      <c r="A196" s="24"/>
      <c r="B196" s="174"/>
      <c r="C196" s="24"/>
      <c r="D196" s="24"/>
      <c r="E196" s="24"/>
      <c r="F196" s="114"/>
      <c r="G196" s="114"/>
      <c r="H196" s="114"/>
      <c r="I196" s="60"/>
      <c r="J196" s="60"/>
      <c r="K196" s="7"/>
      <c r="L196" s="7"/>
      <c r="M196" s="7"/>
      <c r="N196" s="114"/>
      <c r="O196" s="114"/>
      <c r="P196" s="114"/>
      <c r="Q196" s="114"/>
      <c r="R196" s="114"/>
      <c r="S196" s="114"/>
      <c r="T196" s="114"/>
      <c r="U196" s="114"/>
      <c r="V196" s="114"/>
      <c r="W196" s="114"/>
      <c r="X196" s="114"/>
      <c r="Y196" s="114"/>
      <c r="Z196" s="114"/>
    </row>
    <row r="197" spans="1:26" ht="15.75" x14ac:dyDescent="0.25">
      <c r="A197" s="24"/>
      <c r="B197" s="174"/>
      <c r="C197" s="24"/>
      <c r="D197" s="24"/>
      <c r="E197" s="24"/>
      <c r="F197" s="114"/>
      <c r="G197" s="114"/>
      <c r="H197" s="114"/>
      <c r="I197" s="60"/>
      <c r="J197" s="60"/>
      <c r="K197" s="7"/>
      <c r="L197" s="7"/>
      <c r="M197" s="7"/>
      <c r="N197" s="114"/>
      <c r="O197" s="114"/>
      <c r="P197" s="114"/>
      <c r="Q197" s="114"/>
      <c r="R197" s="114"/>
      <c r="S197" s="114"/>
      <c r="T197" s="114"/>
      <c r="U197" s="114"/>
      <c r="V197" s="114"/>
      <c r="W197" s="114"/>
      <c r="X197" s="114"/>
      <c r="Y197" s="114"/>
      <c r="Z197" s="114"/>
    </row>
    <row r="198" spans="1:26" ht="15.75" x14ac:dyDescent="0.25">
      <c r="A198" s="24"/>
      <c r="B198" s="174"/>
      <c r="C198" s="24"/>
      <c r="D198" s="24"/>
      <c r="E198" s="24"/>
      <c r="F198" s="114"/>
      <c r="G198" s="114"/>
      <c r="H198" s="114"/>
      <c r="I198" s="60"/>
      <c r="J198" s="60"/>
      <c r="K198" s="7"/>
      <c r="L198" s="7"/>
      <c r="M198" s="7"/>
      <c r="N198" s="114"/>
      <c r="O198" s="114"/>
      <c r="P198" s="114"/>
      <c r="Q198" s="114"/>
      <c r="R198" s="114"/>
      <c r="S198" s="114"/>
      <c r="T198" s="114"/>
      <c r="U198" s="114"/>
      <c r="V198" s="114"/>
      <c r="W198" s="114"/>
      <c r="X198" s="114"/>
      <c r="Y198" s="114"/>
      <c r="Z198" s="114"/>
    </row>
    <row r="199" spans="1:26" ht="15.75" x14ac:dyDescent="0.25">
      <c r="A199" s="24"/>
      <c r="B199" s="174"/>
      <c r="C199" s="24"/>
      <c r="D199" s="24"/>
      <c r="E199" s="24"/>
      <c r="F199" s="114"/>
      <c r="G199" s="114"/>
      <c r="H199" s="114"/>
      <c r="I199" s="60"/>
      <c r="J199" s="60"/>
      <c r="K199" s="7"/>
      <c r="L199" s="7"/>
      <c r="M199" s="7"/>
      <c r="N199" s="114"/>
      <c r="O199" s="114"/>
      <c r="P199" s="114"/>
      <c r="Q199" s="114"/>
      <c r="R199" s="114"/>
      <c r="S199" s="114"/>
      <c r="T199" s="114"/>
      <c r="U199" s="114"/>
      <c r="V199" s="114"/>
      <c r="W199" s="114"/>
      <c r="X199" s="114"/>
      <c r="Y199" s="114"/>
      <c r="Z199" s="114"/>
    </row>
    <row r="200" spans="1:26" ht="15.75" x14ac:dyDescent="0.25">
      <c r="A200" s="24"/>
      <c r="B200" s="174"/>
      <c r="C200" s="24"/>
      <c r="D200" s="24"/>
      <c r="E200" s="24"/>
      <c r="F200" s="114"/>
      <c r="G200" s="114"/>
      <c r="H200" s="114"/>
      <c r="I200" s="60"/>
      <c r="J200" s="60"/>
      <c r="K200" s="7"/>
      <c r="L200" s="7"/>
      <c r="M200" s="7"/>
      <c r="N200" s="114"/>
      <c r="O200" s="114"/>
      <c r="P200" s="114"/>
      <c r="Q200" s="114"/>
      <c r="R200" s="114"/>
      <c r="S200" s="114"/>
      <c r="T200" s="114"/>
      <c r="U200" s="114"/>
      <c r="V200" s="114"/>
      <c r="W200" s="114"/>
      <c r="X200" s="114"/>
      <c r="Y200" s="114"/>
      <c r="Z200" s="114"/>
    </row>
    <row r="201" spans="1:26" ht="15.75" x14ac:dyDescent="0.25">
      <c r="A201" s="24"/>
      <c r="B201" s="174"/>
      <c r="C201" s="24"/>
      <c r="D201" s="24"/>
      <c r="E201" s="24"/>
      <c r="F201" s="114"/>
      <c r="G201" s="114"/>
      <c r="H201" s="114"/>
      <c r="I201" s="60"/>
      <c r="J201" s="60"/>
      <c r="K201" s="7"/>
      <c r="L201" s="7"/>
      <c r="M201" s="7"/>
      <c r="N201" s="114"/>
      <c r="O201" s="114"/>
      <c r="P201" s="114"/>
      <c r="Q201" s="114"/>
      <c r="R201" s="114"/>
      <c r="S201" s="114"/>
      <c r="T201" s="114"/>
      <c r="U201" s="114"/>
      <c r="V201" s="114"/>
      <c r="W201" s="114"/>
      <c r="X201" s="114"/>
      <c r="Y201" s="114"/>
      <c r="Z201" s="114"/>
    </row>
    <row r="202" spans="1:26" ht="15.75" x14ac:dyDescent="0.25">
      <c r="A202" s="24"/>
      <c r="B202" s="174"/>
      <c r="C202" s="24"/>
      <c r="D202" s="24"/>
      <c r="E202" s="24"/>
      <c r="F202" s="114"/>
      <c r="G202" s="114"/>
      <c r="H202" s="114"/>
      <c r="I202" s="60"/>
      <c r="J202" s="60"/>
      <c r="K202" s="7"/>
      <c r="L202" s="7"/>
      <c r="M202" s="7"/>
      <c r="N202" s="114"/>
      <c r="O202" s="114"/>
      <c r="P202" s="114"/>
      <c r="Q202" s="114"/>
      <c r="R202" s="114"/>
      <c r="S202" s="114"/>
      <c r="T202" s="114"/>
      <c r="U202" s="114"/>
      <c r="V202" s="114"/>
      <c r="W202" s="114"/>
      <c r="X202" s="114"/>
      <c r="Y202" s="114"/>
      <c r="Z202" s="114"/>
    </row>
    <row r="203" spans="1:26" ht="15.75" x14ac:dyDescent="0.25">
      <c r="A203" s="24"/>
      <c r="B203" s="174"/>
      <c r="C203" s="24"/>
      <c r="D203" s="24"/>
      <c r="E203" s="24"/>
      <c r="F203" s="114"/>
      <c r="G203" s="114"/>
      <c r="H203" s="114"/>
      <c r="I203" s="60"/>
      <c r="J203" s="60"/>
      <c r="K203" s="7"/>
      <c r="L203" s="7"/>
      <c r="M203" s="7"/>
      <c r="N203" s="114"/>
      <c r="O203" s="114"/>
      <c r="P203" s="114"/>
      <c r="Q203" s="114"/>
      <c r="R203" s="114"/>
      <c r="S203" s="114"/>
      <c r="T203" s="114"/>
      <c r="U203" s="114"/>
      <c r="V203" s="114"/>
      <c r="W203" s="114"/>
      <c r="X203" s="114"/>
      <c r="Y203" s="114"/>
      <c r="Z203" s="114"/>
    </row>
    <row r="204" spans="1:26" ht="15.75" x14ac:dyDescent="0.25">
      <c r="A204" s="24"/>
      <c r="B204" s="174"/>
      <c r="C204" s="24"/>
      <c r="D204" s="24"/>
      <c r="E204" s="24"/>
      <c r="F204" s="114"/>
      <c r="G204" s="114"/>
      <c r="H204" s="114"/>
      <c r="I204" s="60"/>
      <c r="J204" s="60"/>
      <c r="K204" s="7"/>
      <c r="L204" s="7"/>
      <c r="M204" s="7"/>
      <c r="N204" s="114"/>
      <c r="O204" s="114"/>
      <c r="P204" s="114"/>
      <c r="Q204" s="114"/>
      <c r="R204" s="114"/>
      <c r="S204" s="114"/>
      <c r="T204" s="114"/>
      <c r="U204" s="114"/>
      <c r="V204" s="114"/>
      <c r="W204" s="114"/>
      <c r="X204" s="114"/>
      <c r="Y204" s="114"/>
      <c r="Z204" s="114"/>
    </row>
    <row r="205" spans="1:26" ht="15.75" x14ac:dyDescent="0.25">
      <c r="A205" s="24"/>
      <c r="B205" s="174"/>
      <c r="C205" s="24"/>
      <c r="D205" s="24"/>
      <c r="E205" s="24"/>
      <c r="F205" s="114"/>
      <c r="G205" s="114"/>
      <c r="H205" s="114"/>
      <c r="I205" s="60"/>
      <c r="J205" s="60"/>
      <c r="K205" s="7"/>
      <c r="L205" s="7"/>
      <c r="M205" s="7"/>
      <c r="N205" s="114"/>
      <c r="O205" s="114"/>
      <c r="P205" s="114"/>
      <c r="Q205" s="114"/>
      <c r="R205" s="114"/>
      <c r="S205" s="114"/>
      <c r="T205" s="114"/>
      <c r="U205" s="114"/>
      <c r="V205" s="114"/>
      <c r="W205" s="114"/>
      <c r="X205" s="114"/>
      <c r="Y205" s="114"/>
      <c r="Z205" s="114"/>
    </row>
    <row r="206" spans="1:26" ht="15.75" x14ac:dyDescent="0.25">
      <c r="A206" s="24"/>
      <c r="B206" s="174"/>
      <c r="C206" s="24"/>
      <c r="D206" s="24"/>
      <c r="E206" s="24"/>
      <c r="F206" s="114"/>
      <c r="G206" s="114"/>
      <c r="H206" s="114"/>
      <c r="I206" s="60"/>
      <c r="J206" s="60"/>
      <c r="K206" s="7"/>
      <c r="L206" s="7"/>
      <c r="M206" s="7"/>
      <c r="N206" s="114"/>
      <c r="O206" s="114"/>
      <c r="P206" s="114"/>
      <c r="Q206" s="114"/>
      <c r="R206" s="114"/>
      <c r="S206" s="114"/>
      <c r="T206" s="114"/>
      <c r="U206" s="114"/>
      <c r="V206" s="114"/>
      <c r="W206" s="114"/>
      <c r="X206" s="114"/>
      <c r="Y206" s="114"/>
      <c r="Z206" s="114"/>
    </row>
    <row r="207" spans="1:26" ht="15.75" x14ac:dyDescent="0.25">
      <c r="A207" s="24"/>
      <c r="B207" s="174"/>
      <c r="C207" s="24"/>
      <c r="D207" s="24"/>
      <c r="E207" s="24"/>
      <c r="F207" s="114"/>
      <c r="G207" s="114"/>
      <c r="H207" s="114"/>
      <c r="I207" s="60"/>
      <c r="J207" s="60"/>
      <c r="K207" s="7"/>
      <c r="L207" s="7"/>
      <c r="M207" s="7"/>
      <c r="N207" s="114"/>
      <c r="O207" s="114"/>
      <c r="P207" s="114"/>
      <c r="Q207" s="114"/>
      <c r="R207" s="114"/>
      <c r="S207" s="114"/>
      <c r="T207" s="114"/>
      <c r="U207" s="114"/>
      <c r="V207" s="114"/>
      <c r="W207" s="114"/>
      <c r="X207" s="114"/>
      <c r="Y207" s="114"/>
      <c r="Z207" s="114"/>
    </row>
    <row r="208" spans="1:26" ht="15.75" x14ac:dyDescent="0.25">
      <c r="A208" s="24"/>
      <c r="B208" s="174"/>
      <c r="C208" s="24"/>
      <c r="D208" s="24"/>
      <c r="E208" s="24"/>
      <c r="F208" s="114"/>
      <c r="G208" s="114"/>
      <c r="H208" s="114"/>
      <c r="I208" s="60"/>
      <c r="J208" s="60"/>
      <c r="K208" s="7"/>
      <c r="L208" s="7"/>
      <c r="M208" s="7"/>
      <c r="N208" s="114"/>
      <c r="O208" s="114"/>
      <c r="P208" s="114"/>
      <c r="Q208" s="114"/>
      <c r="R208" s="114"/>
      <c r="S208" s="114"/>
      <c r="T208" s="114"/>
      <c r="U208" s="114"/>
      <c r="V208" s="114"/>
      <c r="W208" s="114"/>
      <c r="X208" s="114"/>
      <c r="Y208" s="114"/>
      <c r="Z208" s="114"/>
    </row>
    <row r="209" spans="1:26" ht="15.75" x14ac:dyDescent="0.25">
      <c r="A209" s="24"/>
      <c r="B209" s="174"/>
      <c r="C209" s="24"/>
      <c r="D209" s="24"/>
      <c r="E209" s="24"/>
      <c r="F209" s="114"/>
      <c r="G209" s="114"/>
      <c r="H209" s="114"/>
      <c r="I209" s="60"/>
      <c r="J209" s="60"/>
      <c r="K209" s="7"/>
      <c r="L209" s="7"/>
      <c r="M209" s="7"/>
      <c r="N209" s="114"/>
      <c r="O209" s="114"/>
      <c r="P209" s="114"/>
      <c r="Q209" s="114"/>
      <c r="R209" s="114"/>
      <c r="S209" s="114"/>
      <c r="T209" s="114"/>
      <c r="U209" s="114"/>
      <c r="V209" s="114"/>
      <c r="W209" s="114"/>
      <c r="X209" s="114"/>
      <c r="Y209" s="114"/>
      <c r="Z209" s="114"/>
    </row>
    <row r="210" spans="1:26" ht="15.75" x14ac:dyDescent="0.25">
      <c r="A210" s="24"/>
      <c r="B210" s="174"/>
      <c r="C210" s="24"/>
      <c r="D210" s="24"/>
      <c r="E210" s="24"/>
      <c r="F210" s="114"/>
      <c r="G210" s="114"/>
      <c r="H210" s="114"/>
      <c r="I210" s="60"/>
      <c r="J210" s="60"/>
      <c r="K210" s="7"/>
      <c r="L210" s="7"/>
      <c r="M210" s="7"/>
      <c r="N210" s="114"/>
      <c r="O210" s="114"/>
      <c r="P210" s="114"/>
      <c r="Q210" s="114"/>
      <c r="R210" s="114"/>
      <c r="S210" s="114"/>
      <c r="T210" s="114"/>
      <c r="U210" s="114"/>
      <c r="V210" s="114"/>
      <c r="W210" s="114"/>
      <c r="X210" s="114"/>
      <c r="Y210" s="114"/>
      <c r="Z210" s="114"/>
    </row>
    <row r="211" spans="1:26" ht="15.75" x14ac:dyDescent="0.25">
      <c r="A211" s="24"/>
      <c r="B211" s="174"/>
      <c r="C211" s="24"/>
      <c r="D211" s="24"/>
      <c r="E211" s="24"/>
      <c r="F211" s="114"/>
      <c r="G211" s="114"/>
      <c r="H211" s="114"/>
      <c r="I211" s="60"/>
      <c r="J211" s="60"/>
      <c r="K211" s="7"/>
      <c r="L211" s="7"/>
      <c r="M211" s="7"/>
      <c r="N211" s="114"/>
      <c r="O211" s="114"/>
      <c r="P211" s="114"/>
      <c r="Q211" s="114"/>
      <c r="R211" s="114"/>
      <c r="S211" s="114"/>
      <c r="T211" s="114"/>
      <c r="U211" s="114"/>
      <c r="V211" s="114"/>
      <c r="W211" s="114"/>
      <c r="X211" s="114"/>
      <c r="Y211" s="114"/>
      <c r="Z211" s="114"/>
    </row>
    <row r="212" spans="1:26" ht="15.75" x14ac:dyDescent="0.25">
      <c r="A212" s="24"/>
      <c r="B212" s="174"/>
      <c r="C212" s="24"/>
      <c r="D212" s="24"/>
      <c r="E212" s="24"/>
      <c r="F212" s="114"/>
      <c r="G212" s="114"/>
      <c r="H212" s="114"/>
      <c r="I212" s="60"/>
      <c r="J212" s="60"/>
      <c r="K212" s="7"/>
      <c r="L212" s="7"/>
      <c r="M212" s="7"/>
      <c r="N212" s="114"/>
      <c r="O212" s="114"/>
      <c r="P212" s="114"/>
      <c r="Q212" s="114"/>
      <c r="R212" s="114"/>
      <c r="S212" s="114"/>
      <c r="T212" s="114"/>
      <c r="U212" s="114"/>
      <c r="V212" s="114"/>
      <c r="W212" s="114"/>
      <c r="X212" s="114"/>
      <c r="Y212" s="114"/>
      <c r="Z212" s="114"/>
    </row>
    <row r="213" spans="1:26" ht="15.75" x14ac:dyDescent="0.25">
      <c r="A213" s="24"/>
      <c r="B213" s="174"/>
      <c r="C213" s="24"/>
      <c r="D213" s="24"/>
      <c r="E213" s="24"/>
      <c r="F213" s="114"/>
      <c r="G213" s="114"/>
      <c r="H213" s="114"/>
      <c r="I213" s="60"/>
      <c r="J213" s="60"/>
      <c r="K213" s="7"/>
      <c r="L213" s="7"/>
      <c r="M213" s="7"/>
      <c r="N213" s="114"/>
      <c r="O213" s="114"/>
      <c r="P213" s="114"/>
      <c r="Q213" s="114"/>
      <c r="R213" s="114"/>
      <c r="S213" s="114"/>
      <c r="T213" s="114"/>
      <c r="U213" s="114"/>
      <c r="V213" s="114"/>
      <c r="W213" s="114"/>
      <c r="X213" s="114"/>
      <c r="Y213" s="114"/>
      <c r="Z213" s="114"/>
    </row>
    <row r="214" spans="1:26" ht="15.75" x14ac:dyDescent="0.25">
      <c r="A214" s="24"/>
      <c r="B214" s="174"/>
      <c r="C214" s="24"/>
      <c r="D214" s="24"/>
      <c r="E214" s="24"/>
      <c r="F214" s="114"/>
      <c r="G214" s="114"/>
      <c r="H214" s="114"/>
      <c r="I214" s="60"/>
      <c r="J214" s="60"/>
      <c r="K214" s="7"/>
      <c r="L214" s="7"/>
      <c r="M214" s="7"/>
      <c r="N214" s="114"/>
      <c r="O214" s="114"/>
      <c r="P214" s="114"/>
      <c r="Q214" s="114"/>
      <c r="R214" s="114"/>
      <c r="S214" s="114"/>
      <c r="T214" s="114"/>
      <c r="U214" s="114"/>
      <c r="V214" s="114"/>
      <c r="W214" s="114"/>
      <c r="X214" s="114"/>
      <c r="Y214" s="114"/>
      <c r="Z214" s="114"/>
    </row>
    <row r="215" spans="1:26" ht="15.75" x14ac:dyDescent="0.25">
      <c r="A215" s="24"/>
      <c r="B215" s="174"/>
      <c r="C215" s="24"/>
      <c r="D215" s="24"/>
      <c r="E215" s="24"/>
      <c r="F215" s="114"/>
      <c r="G215" s="114"/>
      <c r="H215" s="114"/>
      <c r="I215" s="60"/>
      <c r="J215" s="60"/>
      <c r="K215" s="7"/>
      <c r="L215" s="7"/>
      <c r="M215" s="7"/>
      <c r="N215" s="114"/>
      <c r="O215" s="114"/>
      <c r="P215" s="114"/>
      <c r="Q215" s="114"/>
      <c r="R215" s="114"/>
      <c r="S215" s="114"/>
      <c r="T215" s="114"/>
      <c r="U215" s="114"/>
      <c r="V215" s="114"/>
      <c r="W215" s="114"/>
      <c r="X215" s="114"/>
      <c r="Y215" s="114"/>
      <c r="Z215" s="114"/>
    </row>
    <row r="216" spans="1:26" ht="15.75" x14ac:dyDescent="0.25">
      <c r="A216" s="24"/>
      <c r="B216" s="174"/>
      <c r="C216" s="24"/>
      <c r="D216" s="24"/>
      <c r="E216" s="24"/>
      <c r="F216" s="114"/>
      <c r="G216" s="114"/>
      <c r="H216" s="114"/>
      <c r="I216" s="60"/>
      <c r="J216" s="60"/>
      <c r="K216" s="7"/>
      <c r="L216" s="7"/>
      <c r="M216" s="7"/>
      <c r="N216" s="114"/>
      <c r="O216" s="114"/>
      <c r="P216" s="114"/>
      <c r="Q216" s="114"/>
      <c r="R216" s="114"/>
      <c r="S216" s="114"/>
      <c r="T216" s="114"/>
      <c r="U216" s="114"/>
      <c r="V216" s="114"/>
      <c r="W216" s="114"/>
      <c r="X216" s="114"/>
      <c r="Y216" s="114"/>
      <c r="Z216" s="114"/>
    </row>
    <row r="217" spans="1:26" ht="15.75" x14ac:dyDescent="0.25">
      <c r="A217" s="24"/>
      <c r="B217" s="174"/>
      <c r="C217" s="24"/>
      <c r="D217" s="24"/>
      <c r="E217" s="24"/>
      <c r="F217" s="114"/>
      <c r="G217" s="114"/>
      <c r="H217" s="114"/>
      <c r="I217" s="60"/>
      <c r="J217" s="60"/>
      <c r="K217" s="7"/>
      <c r="L217" s="7"/>
      <c r="M217" s="7"/>
      <c r="N217" s="114"/>
      <c r="O217" s="114"/>
      <c r="P217" s="114"/>
      <c r="Q217" s="114"/>
      <c r="R217" s="114"/>
      <c r="S217" s="114"/>
      <c r="T217" s="114"/>
      <c r="U217" s="114"/>
      <c r="V217" s="114"/>
      <c r="W217" s="114"/>
      <c r="X217" s="114"/>
      <c r="Y217" s="114"/>
      <c r="Z217" s="114"/>
    </row>
    <row r="218" spans="1:26" ht="15.75" x14ac:dyDescent="0.25">
      <c r="A218" s="24"/>
      <c r="B218" s="174"/>
      <c r="C218" s="24"/>
      <c r="D218" s="24"/>
      <c r="E218" s="24"/>
      <c r="F218" s="114"/>
      <c r="G218" s="114"/>
      <c r="H218" s="114"/>
      <c r="I218" s="60"/>
      <c r="J218" s="60"/>
      <c r="K218" s="7"/>
      <c r="L218" s="7"/>
      <c r="M218" s="7"/>
      <c r="N218" s="114"/>
      <c r="O218" s="114"/>
      <c r="P218" s="114"/>
      <c r="Q218" s="114"/>
      <c r="R218" s="114"/>
      <c r="S218" s="114"/>
      <c r="T218" s="114"/>
      <c r="U218" s="114"/>
      <c r="V218" s="114"/>
      <c r="W218" s="114"/>
      <c r="X218" s="114"/>
      <c r="Y218" s="114"/>
      <c r="Z218" s="114"/>
    </row>
    <row r="219" spans="1:26" ht="15.75" x14ac:dyDescent="0.25">
      <c r="A219" s="24"/>
      <c r="B219" s="174"/>
      <c r="C219" s="24"/>
      <c r="D219" s="24"/>
      <c r="E219" s="24"/>
      <c r="F219" s="114"/>
      <c r="G219" s="114"/>
      <c r="H219" s="114"/>
      <c r="I219" s="60"/>
      <c r="J219" s="60"/>
      <c r="K219" s="7"/>
      <c r="L219" s="7"/>
      <c r="M219" s="7"/>
      <c r="N219" s="114"/>
      <c r="O219" s="114"/>
      <c r="P219" s="114"/>
      <c r="Q219" s="114"/>
      <c r="R219" s="114"/>
      <c r="S219" s="114"/>
      <c r="T219" s="114"/>
      <c r="U219" s="114"/>
      <c r="V219" s="114"/>
      <c r="W219" s="114"/>
      <c r="X219" s="114"/>
      <c r="Y219" s="114"/>
      <c r="Z219" s="114"/>
    </row>
    <row r="220" spans="1:26" ht="15.75" x14ac:dyDescent="0.25">
      <c r="A220" s="24"/>
      <c r="B220" s="174"/>
      <c r="C220" s="24"/>
      <c r="D220" s="24"/>
      <c r="E220" s="24"/>
      <c r="F220" s="114"/>
      <c r="G220" s="114"/>
      <c r="H220" s="114"/>
      <c r="I220" s="60"/>
      <c r="J220" s="60"/>
      <c r="K220" s="7"/>
      <c r="L220" s="7"/>
      <c r="M220" s="7"/>
      <c r="N220" s="114"/>
      <c r="O220" s="114"/>
      <c r="P220" s="114"/>
      <c r="Q220" s="114"/>
      <c r="R220" s="114"/>
      <c r="S220" s="114"/>
      <c r="T220" s="114"/>
      <c r="U220" s="114"/>
      <c r="V220" s="114"/>
      <c r="W220" s="114"/>
      <c r="X220" s="114"/>
      <c r="Y220" s="114"/>
      <c r="Z220" s="114"/>
    </row>
    <row r="221" spans="1:26" ht="15.75" x14ac:dyDescent="0.25">
      <c r="A221" s="24"/>
      <c r="B221" s="174"/>
      <c r="C221" s="24"/>
      <c r="D221" s="24"/>
      <c r="E221" s="24"/>
      <c r="F221" s="114"/>
      <c r="G221" s="114"/>
      <c r="H221" s="114"/>
      <c r="I221" s="60"/>
      <c r="J221" s="60"/>
      <c r="K221" s="7"/>
      <c r="L221" s="7"/>
      <c r="M221" s="7"/>
      <c r="N221" s="114"/>
      <c r="O221" s="114"/>
      <c r="P221" s="114"/>
      <c r="Q221" s="114"/>
      <c r="R221" s="114"/>
      <c r="S221" s="114"/>
      <c r="T221" s="114"/>
      <c r="U221" s="114"/>
      <c r="V221" s="114"/>
      <c r="W221" s="114"/>
      <c r="X221" s="114"/>
      <c r="Y221" s="114"/>
      <c r="Z221" s="114"/>
    </row>
    <row r="222" spans="1:26" ht="15.75" x14ac:dyDescent="0.25">
      <c r="A222" s="24"/>
      <c r="B222" s="174"/>
      <c r="C222" s="24"/>
      <c r="D222" s="24"/>
      <c r="E222" s="24"/>
      <c r="F222" s="114"/>
      <c r="G222" s="114"/>
      <c r="H222" s="114"/>
      <c r="I222" s="60"/>
      <c r="J222" s="60"/>
      <c r="K222" s="7"/>
      <c r="L222" s="7"/>
      <c r="M222" s="7"/>
      <c r="N222" s="114"/>
      <c r="O222" s="114"/>
      <c r="P222" s="114"/>
      <c r="Q222" s="114"/>
      <c r="R222" s="114"/>
      <c r="S222" s="114"/>
      <c r="T222" s="114"/>
      <c r="U222" s="114"/>
      <c r="V222" s="114"/>
      <c r="W222" s="114"/>
      <c r="X222" s="114"/>
      <c r="Y222" s="114"/>
      <c r="Z222" s="114"/>
    </row>
    <row r="223" spans="1:26" ht="15.75" x14ac:dyDescent="0.25">
      <c r="A223" s="24"/>
      <c r="B223" s="174"/>
      <c r="C223" s="24"/>
      <c r="D223" s="24"/>
      <c r="E223" s="24"/>
      <c r="F223" s="114"/>
      <c r="G223" s="114"/>
      <c r="H223" s="114"/>
      <c r="I223" s="60"/>
      <c r="J223" s="60"/>
      <c r="K223" s="7"/>
      <c r="L223" s="7"/>
      <c r="M223" s="7"/>
      <c r="N223" s="114"/>
      <c r="O223" s="114"/>
      <c r="P223" s="114"/>
      <c r="Q223" s="114"/>
      <c r="R223" s="114"/>
      <c r="S223" s="114"/>
      <c r="T223" s="114"/>
      <c r="U223" s="114"/>
      <c r="V223" s="114"/>
      <c r="W223" s="114"/>
      <c r="X223" s="114"/>
      <c r="Y223" s="114"/>
      <c r="Z223" s="114"/>
    </row>
    <row r="224" spans="1:26" ht="15.75" x14ac:dyDescent="0.25">
      <c r="A224" s="24"/>
      <c r="B224" s="174"/>
      <c r="C224" s="24"/>
      <c r="D224" s="24"/>
      <c r="E224" s="24"/>
      <c r="F224" s="114"/>
      <c r="G224" s="114"/>
      <c r="H224" s="114"/>
      <c r="I224" s="60"/>
      <c r="J224" s="60"/>
      <c r="K224" s="7"/>
      <c r="L224" s="7"/>
      <c r="M224" s="7"/>
      <c r="N224" s="114"/>
      <c r="O224" s="114"/>
      <c r="P224" s="114"/>
      <c r="Q224" s="114"/>
      <c r="R224" s="114"/>
      <c r="S224" s="114"/>
      <c r="T224" s="114"/>
      <c r="U224" s="114"/>
      <c r="V224" s="114"/>
      <c r="W224" s="114"/>
      <c r="X224" s="114"/>
      <c r="Y224" s="114"/>
      <c r="Z224" s="114"/>
    </row>
    <row r="225" spans="1:26" ht="15.75" x14ac:dyDescent="0.25">
      <c r="A225" s="24"/>
      <c r="B225" s="174"/>
      <c r="C225" s="24"/>
      <c r="D225" s="24"/>
      <c r="E225" s="24"/>
      <c r="F225" s="114"/>
      <c r="G225" s="114"/>
      <c r="H225" s="114"/>
      <c r="I225" s="60"/>
      <c r="J225" s="60"/>
      <c r="K225" s="7"/>
      <c r="L225" s="7"/>
      <c r="M225" s="7"/>
      <c r="N225" s="114"/>
      <c r="O225" s="114"/>
      <c r="P225" s="114"/>
      <c r="Q225" s="114"/>
      <c r="R225" s="114"/>
      <c r="S225" s="114"/>
      <c r="T225" s="114"/>
      <c r="U225" s="114"/>
      <c r="V225" s="114"/>
      <c r="W225" s="114"/>
      <c r="X225" s="114"/>
      <c r="Y225" s="114"/>
      <c r="Z225" s="114"/>
    </row>
    <row r="226" spans="1:26" ht="15.75" x14ac:dyDescent="0.25">
      <c r="A226" s="24"/>
      <c r="B226" s="174"/>
      <c r="C226" s="24"/>
      <c r="D226" s="24"/>
      <c r="E226" s="24"/>
      <c r="F226" s="114"/>
      <c r="G226" s="114"/>
      <c r="H226" s="114"/>
      <c r="I226" s="60"/>
      <c r="J226" s="60"/>
      <c r="K226" s="7"/>
      <c r="L226" s="7"/>
      <c r="M226" s="7"/>
      <c r="N226" s="114"/>
      <c r="O226" s="114"/>
      <c r="P226" s="114"/>
      <c r="Q226" s="114"/>
      <c r="R226" s="114"/>
      <c r="S226" s="114"/>
      <c r="T226" s="114"/>
      <c r="U226" s="114"/>
      <c r="V226" s="114"/>
      <c r="W226" s="114"/>
      <c r="X226" s="114"/>
      <c r="Y226" s="114"/>
      <c r="Z226" s="114"/>
    </row>
    <row r="227" spans="1:26" ht="15.75" x14ac:dyDescent="0.25">
      <c r="A227" s="24"/>
      <c r="B227" s="174"/>
      <c r="C227" s="24"/>
      <c r="D227" s="24"/>
      <c r="E227" s="24"/>
      <c r="F227" s="114"/>
      <c r="G227" s="114"/>
      <c r="H227" s="114"/>
      <c r="I227" s="60"/>
      <c r="J227" s="60"/>
      <c r="K227" s="7"/>
      <c r="L227" s="7"/>
      <c r="M227" s="7"/>
      <c r="N227" s="114"/>
      <c r="O227" s="114"/>
      <c r="P227" s="114"/>
      <c r="Q227" s="114"/>
      <c r="R227" s="114"/>
      <c r="S227" s="114"/>
      <c r="T227" s="114"/>
      <c r="U227" s="114"/>
      <c r="V227" s="114"/>
      <c r="W227" s="114"/>
      <c r="X227" s="114"/>
      <c r="Y227" s="114"/>
      <c r="Z227" s="114"/>
    </row>
    <row r="228" spans="1:26" ht="15.75" x14ac:dyDescent="0.25">
      <c r="A228" s="24"/>
      <c r="B228" s="174"/>
      <c r="C228" s="24"/>
      <c r="D228" s="24"/>
      <c r="E228" s="24"/>
      <c r="F228" s="114"/>
      <c r="G228" s="114"/>
      <c r="H228" s="114"/>
      <c r="I228" s="60"/>
      <c r="J228" s="60"/>
      <c r="K228" s="7"/>
      <c r="L228" s="7"/>
      <c r="M228" s="7"/>
      <c r="N228" s="114"/>
      <c r="O228" s="114"/>
      <c r="P228" s="114"/>
      <c r="Q228" s="114"/>
      <c r="R228" s="114"/>
      <c r="S228" s="114"/>
      <c r="T228" s="114"/>
      <c r="U228" s="114"/>
      <c r="V228" s="114"/>
      <c r="W228" s="114"/>
      <c r="X228" s="114"/>
      <c r="Y228" s="114"/>
      <c r="Z228" s="114"/>
    </row>
    <row r="229" spans="1:26" ht="15.75" x14ac:dyDescent="0.25">
      <c r="A229" s="24"/>
      <c r="B229" s="174"/>
      <c r="C229" s="24"/>
      <c r="D229" s="24"/>
      <c r="E229" s="24"/>
      <c r="F229" s="114"/>
      <c r="G229" s="114"/>
      <c r="H229" s="114"/>
      <c r="I229" s="60"/>
      <c r="J229" s="60"/>
      <c r="K229" s="7"/>
      <c r="L229" s="7"/>
      <c r="M229" s="7"/>
      <c r="N229" s="114"/>
      <c r="O229" s="114"/>
      <c r="P229" s="114"/>
      <c r="Q229" s="114"/>
      <c r="R229" s="114"/>
      <c r="S229" s="114"/>
      <c r="T229" s="114"/>
      <c r="U229" s="114"/>
      <c r="V229" s="114"/>
      <c r="W229" s="114"/>
      <c r="X229" s="114"/>
      <c r="Y229" s="114"/>
      <c r="Z229" s="114"/>
    </row>
    <row r="230" spans="1:26" ht="15.75" x14ac:dyDescent="0.25">
      <c r="A230" s="24"/>
      <c r="B230" s="174"/>
      <c r="C230" s="24"/>
      <c r="D230" s="24"/>
      <c r="E230" s="24"/>
      <c r="F230" s="114"/>
      <c r="G230" s="114"/>
      <c r="H230" s="114"/>
      <c r="I230" s="60"/>
      <c r="J230" s="60"/>
      <c r="K230" s="7"/>
      <c r="L230" s="7"/>
      <c r="M230" s="7"/>
      <c r="N230" s="114"/>
      <c r="O230" s="114"/>
      <c r="P230" s="114"/>
      <c r="Q230" s="114"/>
      <c r="R230" s="114"/>
      <c r="S230" s="114"/>
      <c r="T230" s="114"/>
      <c r="U230" s="114"/>
      <c r="V230" s="114"/>
      <c r="W230" s="114"/>
      <c r="X230" s="114"/>
      <c r="Y230" s="114"/>
      <c r="Z230" s="114"/>
    </row>
    <row r="231" spans="1:26" ht="15.75" x14ac:dyDescent="0.25">
      <c r="A231" s="24"/>
      <c r="B231" s="174"/>
      <c r="C231" s="24"/>
      <c r="D231" s="24"/>
      <c r="E231" s="24"/>
      <c r="F231" s="114"/>
      <c r="G231" s="114"/>
      <c r="H231" s="114"/>
      <c r="I231" s="60"/>
      <c r="J231" s="60"/>
      <c r="K231" s="7"/>
      <c r="L231" s="7"/>
      <c r="M231" s="7"/>
      <c r="N231" s="114"/>
      <c r="O231" s="114"/>
      <c r="P231" s="114"/>
      <c r="Q231" s="114"/>
      <c r="R231" s="114"/>
      <c r="S231" s="114"/>
      <c r="T231" s="114"/>
      <c r="U231" s="114"/>
      <c r="V231" s="114"/>
      <c r="W231" s="114"/>
      <c r="X231" s="114"/>
      <c r="Y231" s="114"/>
      <c r="Z231" s="114"/>
    </row>
    <row r="232" spans="1:26" ht="15.75" x14ac:dyDescent="0.25">
      <c r="A232" s="24"/>
      <c r="B232" s="174"/>
      <c r="C232" s="24"/>
      <c r="D232" s="24"/>
      <c r="E232" s="24"/>
      <c r="F232" s="114"/>
      <c r="G232" s="114"/>
      <c r="H232" s="114"/>
      <c r="I232" s="60"/>
      <c r="J232" s="60"/>
      <c r="K232" s="7"/>
      <c r="L232" s="7"/>
      <c r="M232" s="7"/>
      <c r="N232" s="114"/>
      <c r="O232" s="114"/>
      <c r="P232" s="114"/>
      <c r="Q232" s="114"/>
      <c r="R232" s="114"/>
      <c r="S232" s="114"/>
      <c r="T232" s="114"/>
      <c r="U232" s="114"/>
      <c r="V232" s="114"/>
      <c r="W232" s="114"/>
      <c r="X232" s="114"/>
      <c r="Y232" s="114"/>
      <c r="Z232" s="114"/>
    </row>
    <row r="233" spans="1:26" ht="15.75" x14ac:dyDescent="0.25">
      <c r="A233" s="24"/>
      <c r="B233" s="174"/>
      <c r="C233" s="24"/>
      <c r="D233" s="24"/>
      <c r="E233" s="24"/>
      <c r="F233" s="114"/>
      <c r="G233" s="114"/>
      <c r="H233" s="114"/>
      <c r="I233" s="60"/>
      <c r="J233" s="60"/>
      <c r="K233" s="7"/>
      <c r="L233" s="7"/>
      <c r="M233" s="7"/>
      <c r="N233" s="114"/>
      <c r="O233" s="114"/>
      <c r="P233" s="114"/>
      <c r="Q233" s="114"/>
      <c r="R233" s="114"/>
      <c r="S233" s="114"/>
      <c r="T233" s="114"/>
      <c r="U233" s="114"/>
      <c r="V233" s="114"/>
      <c r="W233" s="114"/>
      <c r="X233" s="114"/>
      <c r="Y233" s="114"/>
      <c r="Z233" s="114"/>
    </row>
    <row r="234" spans="1:26" ht="15.75" x14ac:dyDescent="0.25">
      <c r="A234" s="24"/>
      <c r="B234" s="174"/>
      <c r="C234" s="24"/>
      <c r="D234" s="24"/>
      <c r="E234" s="24"/>
      <c r="F234" s="114"/>
      <c r="G234" s="114"/>
      <c r="H234" s="114"/>
      <c r="I234" s="60"/>
      <c r="J234" s="60"/>
      <c r="K234" s="7"/>
      <c r="L234" s="7"/>
      <c r="M234" s="7"/>
      <c r="N234" s="114"/>
      <c r="O234" s="114"/>
      <c r="P234" s="114"/>
      <c r="Q234" s="114"/>
      <c r="R234" s="114"/>
      <c r="S234" s="114"/>
      <c r="T234" s="114"/>
      <c r="U234" s="114"/>
      <c r="V234" s="114"/>
      <c r="W234" s="114"/>
      <c r="X234" s="114"/>
      <c r="Y234" s="114"/>
      <c r="Z234" s="114"/>
    </row>
    <row r="235" spans="1:26" ht="15.75" x14ac:dyDescent="0.25">
      <c r="A235" s="24"/>
      <c r="B235" s="174"/>
      <c r="C235" s="24"/>
      <c r="D235" s="24"/>
      <c r="E235" s="24"/>
      <c r="F235" s="114"/>
      <c r="G235" s="114"/>
      <c r="H235" s="114"/>
      <c r="I235" s="60"/>
      <c r="J235" s="60"/>
      <c r="K235" s="7"/>
      <c r="L235" s="7"/>
      <c r="M235" s="7"/>
      <c r="N235" s="114"/>
      <c r="O235" s="114"/>
      <c r="P235" s="114"/>
      <c r="Q235" s="114"/>
      <c r="R235" s="114"/>
      <c r="S235" s="114"/>
      <c r="T235" s="114"/>
      <c r="U235" s="114"/>
      <c r="V235" s="114"/>
      <c r="W235" s="114"/>
      <c r="X235" s="114"/>
      <c r="Y235" s="114"/>
      <c r="Z235" s="114"/>
    </row>
    <row r="236" spans="1:26" ht="15.75" x14ac:dyDescent="0.25">
      <c r="A236" s="24"/>
      <c r="B236" s="174"/>
      <c r="C236" s="24"/>
      <c r="D236" s="24"/>
      <c r="E236" s="24"/>
      <c r="F236" s="114"/>
      <c r="G236" s="114"/>
      <c r="H236" s="114"/>
      <c r="I236" s="60"/>
      <c r="J236" s="60"/>
      <c r="K236" s="7"/>
      <c r="L236" s="7"/>
      <c r="M236" s="7"/>
      <c r="N236" s="114"/>
      <c r="O236" s="114"/>
      <c r="P236" s="114"/>
      <c r="Q236" s="114"/>
      <c r="R236" s="114"/>
      <c r="S236" s="114"/>
      <c r="T236" s="114"/>
      <c r="U236" s="114"/>
      <c r="V236" s="114"/>
      <c r="W236" s="114"/>
      <c r="X236" s="114"/>
      <c r="Y236" s="114"/>
      <c r="Z236" s="114"/>
    </row>
    <row r="237" spans="1:26" ht="15.75" x14ac:dyDescent="0.25">
      <c r="A237" s="24"/>
      <c r="B237" s="174"/>
      <c r="C237" s="24"/>
      <c r="D237" s="24"/>
      <c r="E237" s="24"/>
      <c r="F237" s="114"/>
      <c r="G237" s="114"/>
      <c r="H237" s="114"/>
      <c r="I237" s="60"/>
      <c r="J237" s="60"/>
      <c r="K237" s="7"/>
      <c r="L237" s="7"/>
      <c r="M237" s="7"/>
      <c r="N237" s="114"/>
      <c r="O237" s="114"/>
      <c r="P237" s="114"/>
      <c r="Q237" s="114"/>
      <c r="R237" s="114"/>
      <c r="S237" s="114"/>
      <c r="T237" s="114"/>
      <c r="U237" s="114"/>
      <c r="V237" s="114"/>
      <c r="W237" s="114"/>
      <c r="X237" s="114"/>
      <c r="Y237" s="114"/>
      <c r="Z237" s="114"/>
    </row>
    <row r="238" spans="1:26" ht="15.75" x14ac:dyDescent="0.25">
      <c r="A238" s="24"/>
      <c r="B238" s="174"/>
      <c r="C238" s="24"/>
      <c r="D238" s="24"/>
      <c r="E238" s="24"/>
      <c r="F238" s="114"/>
      <c r="G238" s="114"/>
      <c r="H238" s="114"/>
      <c r="I238" s="60"/>
      <c r="J238" s="60"/>
      <c r="K238" s="7"/>
      <c r="L238" s="7"/>
      <c r="M238" s="7"/>
      <c r="N238" s="114"/>
      <c r="O238" s="114"/>
      <c r="P238" s="114"/>
      <c r="Q238" s="114"/>
      <c r="R238" s="114"/>
      <c r="S238" s="114"/>
      <c r="T238" s="114"/>
      <c r="U238" s="114"/>
      <c r="V238" s="114"/>
      <c r="W238" s="114"/>
      <c r="X238" s="114"/>
      <c r="Y238" s="114"/>
      <c r="Z238" s="114"/>
    </row>
    <row r="239" spans="1:26" ht="15.75" x14ac:dyDescent="0.25">
      <c r="A239" s="24"/>
      <c r="B239" s="174"/>
      <c r="C239" s="24"/>
      <c r="D239" s="24"/>
      <c r="E239" s="24"/>
      <c r="F239" s="114"/>
      <c r="G239" s="114"/>
      <c r="H239" s="114"/>
      <c r="I239" s="60"/>
      <c r="J239" s="60"/>
      <c r="K239" s="7"/>
      <c r="L239" s="7"/>
      <c r="M239" s="7"/>
      <c r="N239" s="114"/>
      <c r="O239" s="114"/>
      <c r="P239" s="114"/>
      <c r="Q239" s="114"/>
      <c r="R239" s="114"/>
      <c r="S239" s="114"/>
      <c r="T239" s="114"/>
      <c r="U239" s="114"/>
      <c r="V239" s="114"/>
      <c r="W239" s="114"/>
      <c r="X239" s="114"/>
      <c r="Y239" s="114"/>
      <c r="Z239" s="114"/>
    </row>
    <row r="240" spans="1:26" ht="15.75" x14ac:dyDescent="0.25">
      <c r="A240" s="24"/>
      <c r="B240" s="174"/>
      <c r="C240" s="24"/>
      <c r="D240" s="24"/>
      <c r="E240" s="24"/>
      <c r="F240" s="114"/>
      <c r="G240" s="114"/>
      <c r="H240" s="114"/>
      <c r="I240" s="60"/>
      <c r="J240" s="60"/>
      <c r="K240" s="7"/>
      <c r="L240" s="7"/>
      <c r="M240" s="7"/>
      <c r="N240" s="114"/>
      <c r="O240" s="114"/>
      <c r="P240" s="114"/>
      <c r="Q240" s="114"/>
      <c r="R240" s="114"/>
      <c r="S240" s="114"/>
      <c r="T240" s="114"/>
      <c r="U240" s="114"/>
      <c r="V240" s="114"/>
      <c r="W240" s="114"/>
      <c r="X240" s="114"/>
      <c r="Y240" s="114"/>
      <c r="Z240" s="114"/>
    </row>
    <row r="241" spans="1:26" ht="15.75" x14ac:dyDescent="0.25">
      <c r="A241" s="24"/>
      <c r="B241" s="174"/>
      <c r="C241" s="24"/>
      <c r="D241" s="24"/>
      <c r="E241" s="24"/>
      <c r="F241" s="114"/>
      <c r="G241" s="114"/>
      <c r="H241" s="114"/>
      <c r="I241" s="60"/>
      <c r="J241" s="60"/>
      <c r="K241" s="7"/>
      <c r="L241" s="7"/>
      <c r="M241" s="7"/>
      <c r="N241" s="114"/>
      <c r="O241" s="114"/>
      <c r="P241" s="114"/>
      <c r="Q241" s="114"/>
      <c r="R241" s="114"/>
      <c r="S241" s="114"/>
      <c r="T241" s="114"/>
      <c r="U241" s="114"/>
      <c r="V241" s="114"/>
      <c r="W241" s="114"/>
      <c r="X241" s="114"/>
      <c r="Y241" s="114"/>
      <c r="Z241" s="114"/>
    </row>
    <row r="242" spans="1:26" ht="15.75" x14ac:dyDescent="0.25">
      <c r="A242" s="24"/>
      <c r="B242" s="174"/>
      <c r="C242" s="24"/>
      <c r="D242" s="24"/>
      <c r="E242" s="24"/>
      <c r="F242" s="114"/>
      <c r="G242" s="114"/>
      <c r="H242" s="114"/>
      <c r="I242" s="60"/>
      <c r="J242" s="60"/>
      <c r="K242" s="7"/>
      <c r="L242" s="7"/>
      <c r="M242" s="7"/>
      <c r="N242" s="114"/>
      <c r="O242" s="114"/>
      <c r="P242" s="114"/>
      <c r="Q242" s="114"/>
      <c r="R242" s="114"/>
      <c r="S242" s="114"/>
      <c r="T242" s="114"/>
      <c r="U242" s="114"/>
      <c r="V242" s="114"/>
      <c r="W242" s="114"/>
      <c r="X242" s="114"/>
      <c r="Y242" s="114"/>
      <c r="Z242" s="114"/>
    </row>
    <row r="243" spans="1:26" ht="15.75" x14ac:dyDescent="0.25">
      <c r="A243" s="24"/>
      <c r="B243" s="174"/>
      <c r="C243" s="24"/>
      <c r="D243" s="24"/>
      <c r="E243" s="24"/>
      <c r="F243" s="114"/>
      <c r="G243" s="114"/>
      <c r="H243" s="114"/>
      <c r="I243" s="60"/>
      <c r="J243" s="60"/>
      <c r="K243" s="7"/>
      <c r="L243" s="7"/>
      <c r="M243" s="7"/>
      <c r="N243" s="114"/>
      <c r="O243" s="114"/>
      <c r="P243" s="114"/>
      <c r="Q243" s="114"/>
      <c r="R243" s="114"/>
      <c r="S243" s="114"/>
      <c r="T243" s="114"/>
      <c r="U243" s="114"/>
      <c r="V243" s="114"/>
      <c r="W243" s="114"/>
      <c r="X243" s="114"/>
      <c r="Y243" s="114"/>
      <c r="Z243" s="114"/>
    </row>
    <row r="244" spans="1:26" ht="15.75" x14ac:dyDescent="0.25">
      <c r="A244" s="24"/>
      <c r="B244" s="174"/>
      <c r="C244" s="24"/>
      <c r="D244" s="24"/>
      <c r="E244" s="24"/>
      <c r="F244" s="114"/>
      <c r="G244" s="114"/>
      <c r="H244" s="114"/>
      <c r="I244" s="60"/>
      <c r="J244" s="60"/>
      <c r="K244" s="7"/>
      <c r="L244" s="7"/>
      <c r="M244" s="7"/>
      <c r="N244" s="114"/>
      <c r="O244" s="114"/>
      <c r="P244" s="114"/>
      <c r="Q244" s="114"/>
      <c r="R244" s="114"/>
      <c r="S244" s="114"/>
      <c r="T244" s="114"/>
      <c r="U244" s="114"/>
      <c r="V244" s="114"/>
      <c r="W244" s="114"/>
      <c r="X244" s="114"/>
      <c r="Y244" s="114"/>
      <c r="Z244" s="114"/>
    </row>
    <row r="245" spans="1:26" ht="15.75" x14ac:dyDescent="0.25">
      <c r="A245" s="24"/>
      <c r="B245" s="174"/>
      <c r="C245" s="24"/>
      <c r="D245" s="24"/>
      <c r="E245" s="24"/>
      <c r="F245" s="114"/>
      <c r="G245" s="114"/>
      <c r="H245" s="114"/>
      <c r="I245" s="60"/>
      <c r="J245" s="60"/>
      <c r="K245" s="7"/>
      <c r="L245" s="7"/>
      <c r="M245" s="7"/>
      <c r="N245" s="114"/>
      <c r="O245" s="114"/>
      <c r="P245" s="114"/>
      <c r="Q245" s="114"/>
      <c r="R245" s="114"/>
      <c r="S245" s="114"/>
      <c r="T245" s="114"/>
      <c r="U245" s="114"/>
      <c r="V245" s="114"/>
      <c r="W245" s="114"/>
      <c r="X245" s="114"/>
      <c r="Y245" s="114"/>
      <c r="Z245" s="114"/>
    </row>
    <row r="246" spans="1:26" ht="15.75" x14ac:dyDescent="0.25">
      <c r="A246" s="24"/>
      <c r="B246" s="174"/>
      <c r="C246" s="24"/>
      <c r="D246" s="24"/>
      <c r="E246" s="24"/>
      <c r="F246" s="114"/>
      <c r="G246" s="114"/>
      <c r="H246" s="114"/>
      <c r="I246" s="60"/>
      <c r="J246" s="60"/>
      <c r="K246" s="7"/>
      <c r="L246" s="7"/>
      <c r="M246" s="7"/>
      <c r="N246" s="114"/>
      <c r="O246" s="114"/>
      <c r="P246" s="114"/>
      <c r="Q246" s="114"/>
      <c r="R246" s="114"/>
      <c r="S246" s="114"/>
      <c r="T246" s="114"/>
      <c r="U246" s="114"/>
      <c r="V246" s="114"/>
      <c r="W246" s="114"/>
      <c r="X246" s="114"/>
      <c r="Y246" s="114"/>
      <c r="Z246" s="114"/>
    </row>
    <row r="247" spans="1:26" ht="15.75" x14ac:dyDescent="0.25">
      <c r="A247" s="24"/>
      <c r="B247" s="174"/>
      <c r="C247" s="24"/>
      <c r="D247" s="24"/>
      <c r="E247" s="24"/>
      <c r="F247" s="114"/>
      <c r="G247" s="114"/>
      <c r="H247" s="114"/>
      <c r="I247" s="60"/>
      <c r="J247" s="60"/>
      <c r="K247" s="7"/>
      <c r="L247" s="7"/>
      <c r="M247" s="7"/>
      <c r="N247" s="114"/>
      <c r="O247" s="114"/>
      <c r="P247" s="114"/>
      <c r="Q247" s="114"/>
      <c r="R247" s="114"/>
      <c r="S247" s="114"/>
      <c r="T247" s="114"/>
      <c r="U247" s="114"/>
      <c r="V247" s="114"/>
      <c r="W247" s="114"/>
      <c r="X247" s="114"/>
      <c r="Y247" s="114"/>
      <c r="Z247" s="114"/>
    </row>
    <row r="248" spans="1:26" ht="15.75" x14ac:dyDescent="0.25">
      <c r="A248" s="24"/>
      <c r="B248" s="174"/>
      <c r="C248" s="24"/>
      <c r="D248" s="24"/>
      <c r="E248" s="24"/>
      <c r="F248" s="114"/>
      <c r="G248" s="114"/>
      <c r="H248" s="114"/>
      <c r="I248" s="60"/>
      <c r="J248" s="60"/>
      <c r="K248" s="7"/>
      <c r="L248" s="7"/>
      <c r="M248" s="7"/>
      <c r="N248" s="114"/>
      <c r="O248" s="114"/>
      <c r="P248" s="114"/>
      <c r="Q248" s="114"/>
      <c r="R248" s="114"/>
      <c r="S248" s="114"/>
      <c r="T248" s="114"/>
      <c r="U248" s="114"/>
      <c r="V248" s="114"/>
      <c r="W248" s="114"/>
      <c r="X248" s="114"/>
      <c r="Y248" s="114"/>
      <c r="Z248" s="114"/>
    </row>
    <row r="249" spans="1:26" ht="15.75" x14ac:dyDescent="0.25">
      <c r="A249" s="24"/>
      <c r="B249" s="174"/>
      <c r="C249" s="24"/>
      <c r="D249" s="24"/>
      <c r="E249" s="24"/>
      <c r="F249" s="114"/>
      <c r="G249" s="114"/>
      <c r="H249" s="114"/>
      <c r="I249" s="60"/>
      <c r="J249" s="60"/>
      <c r="K249" s="7"/>
      <c r="L249" s="7"/>
      <c r="M249" s="7"/>
      <c r="N249" s="114"/>
      <c r="O249" s="114"/>
      <c r="P249" s="114"/>
      <c r="Q249" s="114"/>
      <c r="R249" s="114"/>
      <c r="S249" s="114"/>
      <c r="T249" s="114"/>
      <c r="U249" s="114"/>
      <c r="V249" s="114"/>
      <c r="W249" s="114"/>
      <c r="X249" s="114"/>
      <c r="Y249" s="114"/>
      <c r="Z249" s="114"/>
    </row>
    <row r="250" spans="1:26" ht="15.75" x14ac:dyDescent="0.25">
      <c r="A250" s="24"/>
      <c r="B250" s="174"/>
      <c r="C250" s="24"/>
      <c r="D250" s="24"/>
      <c r="E250" s="24"/>
      <c r="F250" s="114"/>
      <c r="G250" s="114"/>
      <c r="H250" s="114"/>
      <c r="I250" s="60"/>
      <c r="J250" s="60"/>
      <c r="K250" s="7"/>
      <c r="L250" s="7"/>
      <c r="M250" s="7"/>
      <c r="N250" s="114"/>
      <c r="O250" s="114"/>
      <c r="P250" s="114"/>
      <c r="Q250" s="114"/>
      <c r="R250" s="114"/>
      <c r="S250" s="114"/>
      <c r="T250" s="114"/>
      <c r="U250" s="114"/>
      <c r="V250" s="114"/>
      <c r="W250" s="114"/>
      <c r="X250" s="114"/>
      <c r="Y250" s="114"/>
      <c r="Z250" s="114"/>
    </row>
    <row r="251" spans="1:26" ht="15.75" x14ac:dyDescent="0.25">
      <c r="A251" s="24"/>
      <c r="B251" s="174"/>
      <c r="C251" s="24"/>
      <c r="D251" s="24"/>
      <c r="E251" s="24"/>
      <c r="F251" s="114"/>
      <c r="G251" s="114"/>
      <c r="H251" s="114"/>
      <c r="I251" s="60"/>
      <c r="J251" s="60"/>
      <c r="K251" s="7"/>
      <c r="L251" s="7"/>
      <c r="M251" s="7"/>
      <c r="N251" s="114"/>
      <c r="O251" s="114"/>
      <c r="P251" s="114"/>
      <c r="Q251" s="114"/>
      <c r="R251" s="114"/>
      <c r="S251" s="114"/>
      <c r="T251" s="114"/>
      <c r="U251" s="114"/>
      <c r="V251" s="114"/>
      <c r="W251" s="114"/>
      <c r="X251" s="114"/>
      <c r="Y251" s="114"/>
      <c r="Z251" s="114"/>
    </row>
    <row r="252" spans="1:26" ht="15.75" x14ac:dyDescent="0.25">
      <c r="A252" s="24"/>
      <c r="B252" s="174"/>
      <c r="C252" s="24"/>
      <c r="D252" s="24"/>
      <c r="E252" s="24"/>
      <c r="F252" s="114"/>
      <c r="G252" s="114"/>
      <c r="H252" s="114"/>
      <c r="I252" s="60"/>
      <c r="J252" s="60"/>
      <c r="K252" s="7"/>
      <c r="L252" s="7"/>
      <c r="M252" s="7"/>
      <c r="N252" s="114"/>
      <c r="O252" s="114"/>
      <c r="P252" s="114"/>
      <c r="Q252" s="114"/>
      <c r="R252" s="114"/>
      <c r="S252" s="114"/>
      <c r="T252" s="114"/>
      <c r="U252" s="114"/>
      <c r="V252" s="114"/>
      <c r="W252" s="114"/>
      <c r="X252" s="114"/>
      <c r="Y252" s="114"/>
      <c r="Z252" s="114"/>
    </row>
    <row r="253" spans="1:26" ht="15.75" x14ac:dyDescent="0.25">
      <c r="A253" s="24"/>
      <c r="B253" s="174"/>
      <c r="C253" s="24"/>
      <c r="D253" s="24"/>
      <c r="E253" s="24"/>
      <c r="F253" s="114"/>
      <c r="G253" s="114"/>
      <c r="H253" s="114"/>
      <c r="I253" s="60"/>
      <c r="J253" s="60"/>
      <c r="K253" s="7"/>
      <c r="L253" s="7"/>
      <c r="M253" s="7"/>
      <c r="N253" s="114"/>
      <c r="O253" s="114"/>
      <c r="P253" s="114"/>
      <c r="Q253" s="114"/>
      <c r="R253" s="114"/>
      <c r="S253" s="114"/>
      <c r="T253" s="114"/>
      <c r="U253" s="114"/>
      <c r="V253" s="114"/>
      <c r="W253" s="114"/>
      <c r="X253" s="114"/>
      <c r="Y253" s="114"/>
      <c r="Z253" s="114"/>
    </row>
    <row r="254" spans="1:26" ht="15.75" x14ac:dyDescent="0.25">
      <c r="A254" s="24"/>
      <c r="B254" s="174"/>
      <c r="C254" s="24"/>
      <c r="D254" s="24"/>
      <c r="E254" s="24"/>
      <c r="F254" s="114"/>
      <c r="G254" s="114"/>
      <c r="H254" s="114"/>
      <c r="I254" s="60"/>
      <c r="J254" s="60"/>
      <c r="K254" s="7"/>
      <c r="L254" s="7"/>
      <c r="M254" s="7"/>
      <c r="N254" s="114"/>
      <c r="O254" s="114"/>
      <c r="P254" s="114"/>
      <c r="Q254" s="114"/>
      <c r="R254" s="114"/>
      <c r="S254" s="114"/>
      <c r="T254" s="114"/>
      <c r="U254" s="114"/>
      <c r="V254" s="114"/>
      <c r="W254" s="114"/>
      <c r="X254" s="114"/>
      <c r="Y254" s="114"/>
      <c r="Z254" s="114"/>
    </row>
    <row r="255" spans="1:26" ht="15.75" x14ac:dyDescent="0.25">
      <c r="A255" s="24"/>
      <c r="B255" s="174"/>
      <c r="C255" s="24"/>
      <c r="D255" s="24"/>
      <c r="E255" s="24"/>
      <c r="F255" s="114"/>
      <c r="G255" s="114"/>
      <c r="H255" s="114"/>
      <c r="I255" s="60"/>
      <c r="J255" s="60"/>
      <c r="K255" s="7"/>
      <c r="L255" s="7"/>
      <c r="M255" s="7"/>
      <c r="N255" s="114"/>
      <c r="O255" s="114"/>
      <c r="P255" s="114"/>
      <c r="Q255" s="114"/>
      <c r="R255" s="114"/>
      <c r="S255" s="114"/>
      <c r="T255" s="114"/>
      <c r="U255" s="114"/>
      <c r="V255" s="114"/>
      <c r="W255" s="114"/>
      <c r="X255" s="114"/>
      <c r="Y255" s="114"/>
      <c r="Z255" s="114"/>
    </row>
    <row r="256" spans="1:26" ht="15.75" x14ac:dyDescent="0.25">
      <c r="A256" s="24"/>
      <c r="B256" s="174"/>
      <c r="C256" s="24"/>
      <c r="D256" s="24"/>
      <c r="E256" s="24"/>
      <c r="F256" s="114"/>
      <c r="G256" s="114"/>
      <c r="H256" s="114"/>
      <c r="I256" s="60"/>
      <c r="J256" s="60"/>
      <c r="K256" s="7"/>
      <c r="L256" s="7"/>
      <c r="M256" s="7"/>
      <c r="N256" s="114"/>
      <c r="O256" s="114"/>
      <c r="P256" s="114"/>
      <c r="Q256" s="114"/>
      <c r="R256" s="114"/>
      <c r="S256" s="114"/>
      <c r="T256" s="114"/>
      <c r="U256" s="114"/>
      <c r="V256" s="114"/>
      <c r="W256" s="114"/>
      <c r="X256" s="114"/>
      <c r="Y256" s="114"/>
      <c r="Z256" s="114"/>
    </row>
    <row r="257" spans="1:26" ht="15.75" x14ac:dyDescent="0.25">
      <c r="A257" s="24"/>
      <c r="B257" s="174"/>
      <c r="C257" s="24"/>
      <c r="D257" s="24"/>
      <c r="E257" s="24"/>
      <c r="F257" s="114"/>
      <c r="G257" s="114"/>
      <c r="H257" s="114"/>
      <c r="I257" s="60"/>
      <c r="J257" s="60"/>
      <c r="K257" s="7"/>
      <c r="L257" s="7"/>
      <c r="M257" s="7"/>
      <c r="N257" s="114"/>
      <c r="O257" s="114"/>
      <c r="P257" s="114"/>
      <c r="Q257" s="114"/>
      <c r="R257" s="114"/>
      <c r="S257" s="114"/>
      <c r="T257" s="114"/>
      <c r="U257" s="114"/>
      <c r="V257" s="114"/>
      <c r="W257" s="114"/>
      <c r="X257" s="114"/>
      <c r="Y257" s="114"/>
      <c r="Z257" s="114"/>
    </row>
    <row r="258" spans="1:26" ht="15.75" x14ac:dyDescent="0.25">
      <c r="A258" s="24"/>
      <c r="B258" s="174"/>
      <c r="C258" s="24"/>
      <c r="D258" s="24"/>
      <c r="E258" s="24"/>
      <c r="F258" s="114"/>
      <c r="G258" s="114"/>
      <c r="H258" s="114"/>
      <c r="I258" s="60"/>
      <c r="J258" s="60"/>
      <c r="K258" s="7"/>
      <c r="L258" s="7"/>
      <c r="M258" s="7"/>
      <c r="N258" s="114"/>
      <c r="O258" s="114"/>
      <c r="P258" s="114"/>
      <c r="Q258" s="114"/>
      <c r="R258" s="114"/>
      <c r="S258" s="114"/>
      <c r="T258" s="114"/>
      <c r="U258" s="114"/>
      <c r="V258" s="114"/>
      <c r="W258" s="114"/>
      <c r="X258" s="114"/>
      <c r="Y258" s="114"/>
      <c r="Z258" s="114"/>
    </row>
    <row r="259" spans="1:26" ht="15.75" x14ac:dyDescent="0.25">
      <c r="A259" s="24"/>
      <c r="B259" s="174"/>
      <c r="C259" s="24"/>
      <c r="D259" s="24"/>
      <c r="E259" s="24"/>
      <c r="F259" s="114"/>
      <c r="G259" s="114"/>
      <c r="H259" s="114"/>
      <c r="I259" s="60"/>
      <c r="J259" s="60"/>
      <c r="K259" s="7"/>
      <c r="L259" s="7"/>
      <c r="M259" s="7"/>
      <c r="N259" s="114"/>
      <c r="O259" s="114"/>
      <c r="P259" s="114"/>
      <c r="Q259" s="114"/>
      <c r="R259" s="114"/>
      <c r="S259" s="114"/>
      <c r="T259" s="114"/>
      <c r="U259" s="114"/>
      <c r="V259" s="114"/>
      <c r="W259" s="114"/>
      <c r="X259" s="114"/>
      <c r="Y259" s="114"/>
      <c r="Z259" s="114"/>
    </row>
    <row r="260" spans="1:26" ht="15.75" x14ac:dyDescent="0.25">
      <c r="A260" s="24"/>
      <c r="B260" s="174"/>
      <c r="C260" s="24"/>
      <c r="D260" s="24"/>
      <c r="E260" s="24"/>
      <c r="F260" s="114"/>
      <c r="G260" s="114"/>
      <c r="H260" s="114"/>
      <c r="I260" s="60"/>
      <c r="J260" s="60"/>
      <c r="K260" s="7"/>
      <c r="L260" s="7"/>
      <c r="M260" s="7"/>
      <c r="N260" s="114"/>
      <c r="O260" s="114"/>
      <c r="P260" s="114"/>
      <c r="Q260" s="114"/>
      <c r="R260" s="114"/>
      <c r="S260" s="114"/>
      <c r="T260" s="114"/>
      <c r="U260" s="114"/>
      <c r="V260" s="114"/>
      <c r="W260" s="114"/>
      <c r="X260" s="114"/>
      <c r="Y260" s="114"/>
      <c r="Z260" s="114"/>
    </row>
    <row r="261" spans="1:26" ht="15.75" x14ac:dyDescent="0.25">
      <c r="A261" s="24"/>
      <c r="B261" s="174"/>
      <c r="C261" s="24"/>
      <c r="D261" s="24"/>
      <c r="E261" s="24"/>
      <c r="F261" s="114"/>
      <c r="G261" s="114"/>
      <c r="H261" s="114"/>
      <c r="I261" s="60"/>
      <c r="J261" s="60"/>
      <c r="K261" s="7"/>
      <c r="L261" s="7"/>
      <c r="M261" s="7"/>
      <c r="N261" s="114"/>
      <c r="O261" s="114"/>
      <c r="P261" s="114"/>
      <c r="Q261" s="114"/>
      <c r="R261" s="114"/>
      <c r="S261" s="114"/>
      <c r="T261" s="114"/>
      <c r="U261" s="114"/>
      <c r="V261" s="114"/>
      <c r="W261" s="114"/>
      <c r="X261" s="114"/>
      <c r="Y261" s="114"/>
      <c r="Z261" s="114"/>
    </row>
    <row r="262" spans="1:26" ht="15.75" x14ac:dyDescent="0.25">
      <c r="A262" s="24"/>
      <c r="B262" s="174"/>
      <c r="C262" s="24"/>
      <c r="D262" s="24"/>
      <c r="E262" s="24"/>
      <c r="F262" s="114"/>
      <c r="G262" s="114"/>
      <c r="H262" s="114"/>
      <c r="I262" s="60"/>
      <c r="J262" s="60"/>
      <c r="K262" s="7"/>
      <c r="L262" s="7"/>
      <c r="M262" s="7"/>
      <c r="N262" s="114"/>
      <c r="O262" s="114"/>
      <c r="P262" s="114"/>
      <c r="Q262" s="114"/>
      <c r="R262" s="114"/>
      <c r="S262" s="114"/>
      <c r="T262" s="114"/>
      <c r="U262" s="114"/>
      <c r="V262" s="114"/>
      <c r="W262" s="114"/>
      <c r="X262" s="114"/>
      <c r="Y262" s="114"/>
      <c r="Z262" s="114"/>
    </row>
    <row r="263" spans="1:26" ht="15.75" x14ac:dyDescent="0.25">
      <c r="A263" s="24"/>
      <c r="B263" s="174"/>
      <c r="C263" s="24"/>
      <c r="D263" s="24"/>
      <c r="E263" s="24"/>
      <c r="F263" s="114"/>
      <c r="G263" s="114"/>
      <c r="H263" s="114"/>
      <c r="I263" s="60"/>
      <c r="J263" s="60"/>
      <c r="K263" s="7"/>
      <c r="L263" s="7"/>
      <c r="M263" s="7"/>
      <c r="N263" s="114"/>
      <c r="O263" s="114"/>
      <c r="P263" s="114"/>
      <c r="Q263" s="114"/>
      <c r="R263" s="114"/>
      <c r="S263" s="114"/>
      <c r="T263" s="114"/>
      <c r="U263" s="114"/>
      <c r="V263" s="114"/>
      <c r="W263" s="114"/>
      <c r="X263" s="114"/>
      <c r="Y263" s="114"/>
      <c r="Z263" s="114"/>
    </row>
    <row r="264" spans="1:26" ht="15.75" x14ac:dyDescent="0.25">
      <c r="A264" s="24"/>
      <c r="B264" s="174"/>
      <c r="C264" s="24"/>
      <c r="D264" s="24"/>
      <c r="E264" s="24"/>
      <c r="F264" s="114"/>
      <c r="G264" s="114"/>
      <c r="H264" s="114"/>
      <c r="I264" s="60"/>
      <c r="J264" s="60"/>
      <c r="K264" s="7"/>
      <c r="L264" s="7"/>
      <c r="M264" s="7"/>
      <c r="N264" s="114"/>
      <c r="O264" s="114"/>
      <c r="P264" s="114"/>
      <c r="Q264" s="114"/>
      <c r="R264" s="114"/>
      <c r="S264" s="114"/>
      <c r="T264" s="114"/>
      <c r="U264" s="114"/>
      <c r="V264" s="114"/>
      <c r="W264" s="114"/>
      <c r="X264" s="114"/>
      <c r="Y264" s="114"/>
      <c r="Z264" s="114"/>
    </row>
    <row r="265" spans="1:26" ht="15.75" x14ac:dyDescent="0.25">
      <c r="A265" s="24"/>
      <c r="B265" s="174"/>
      <c r="C265" s="24"/>
      <c r="D265" s="24"/>
      <c r="E265" s="24"/>
      <c r="F265" s="114"/>
      <c r="G265" s="114"/>
      <c r="H265" s="114"/>
      <c r="I265" s="60"/>
      <c r="J265" s="60"/>
      <c r="K265" s="7"/>
      <c r="L265" s="7"/>
      <c r="M265" s="7"/>
      <c r="N265" s="114"/>
      <c r="O265" s="114"/>
      <c r="P265" s="114"/>
      <c r="Q265" s="114"/>
      <c r="R265" s="114"/>
      <c r="S265" s="114"/>
      <c r="T265" s="114"/>
      <c r="U265" s="114"/>
      <c r="V265" s="114"/>
      <c r="W265" s="114"/>
      <c r="X265" s="114"/>
      <c r="Y265" s="114"/>
      <c r="Z265" s="114"/>
    </row>
    <row r="266" spans="1:26" ht="15.75" x14ac:dyDescent="0.25">
      <c r="A266" s="24"/>
      <c r="B266" s="174"/>
      <c r="C266" s="24"/>
      <c r="D266" s="24"/>
      <c r="E266" s="24"/>
      <c r="F266" s="114"/>
      <c r="G266" s="114"/>
      <c r="H266" s="114"/>
      <c r="I266" s="60"/>
      <c r="J266" s="60"/>
      <c r="K266" s="7"/>
      <c r="L266" s="7"/>
      <c r="M266" s="7"/>
      <c r="N266" s="114"/>
      <c r="O266" s="114"/>
      <c r="P266" s="114"/>
      <c r="Q266" s="114"/>
      <c r="R266" s="114"/>
      <c r="S266" s="114"/>
      <c r="T266" s="114"/>
      <c r="U266" s="114"/>
      <c r="V266" s="114"/>
      <c r="W266" s="114"/>
      <c r="X266" s="114"/>
      <c r="Y266" s="114"/>
      <c r="Z266" s="114"/>
    </row>
    <row r="267" spans="1:26" ht="15.75" x14ac:dyDescent="0.25">
      <c r="A267" s="24"/>
      <c r="B267" s="174"/>
      <c r="C267" s="24"/>
      <c r="D267" s="24"/>
      <c r="E267" s="24"/>
      <c r="F267" s="114"/>
      <c r="G267" s="114"/>
      <c r="H267" s="114"/>
      <c r="I267" s="60"/>
      <c r="J267" s="60"/>
      <c r="K267" s="7"/>
      <c r="L267" s="7"/>
      <c r="M267" s="7"/>
      <c r="N267" s="114"/>
      <c r="O267" s="114"/>
      <c r="P267" s="114"/>
      <c r="Q267" s="114"/>
      <c r="R267" s="114"/>
      <c r="S267" s="114"/>
      <c r="T267" s="114"/>
      <c r="U267" s="114"/>
      <c r="V267" s="114"/>
      <c r="W267" s="114"/>
      <c r="X267" s="114"/>
      <c r="Y267" s="114"/>
      <c r="Z267" s="114"/>
    </row>
    <row r="268" spans="1:26" ht="15.75" x14ac:dyDescent="0.25">
      <c r="A268" s="24"/>
      <c r="B268" s="174"/>
      <c r="C268" s="24"/>
      <c r="D268" s="24"/>
      <c r="E268" s="24"/>
      <c r="F268" s="114"/>
      <c r="G268" s="114"/>
      <c r="H268" s="114"/>
      <c r="I268" s="60"/>
      <c r="J268" s="60"/>
      <c r="K268" s="7"/>
      <c r="L268" s="7"/>
      <c r="M268" s="7"/>
      <c r="N268" s="114"/>
      <c r="O268" s="114"/>
      <c r="P268" s="114"/>
      <c r="Q268" s="114"/>
      <c r="R268" s="114"/>
      <c r="S268" s="114"/>
      <c r="T268" s="114"/>
      <c r="U268" s="114"/>
      <c r="V268" s="114"/>
      <c r="W268" s="114"/>
      <c r="X268" s="114"/>
      <c r="Y268" s="114"/>
      <c r="Z268" s="114"/>
    </row>
    <row r="269" spans="1:26" ht="15.75" x14ac:dyDescent="0.25">
      <c r="A269" s="24"/>
      <c r="B269" s="174"/>
      <c r="C269" s="24"/>
      <c r="D269" s="24"/>
      <c r="E269" s="24"/>
      <c r="F269" s="114"/>
      <c r="G269" s="114"/>
      <c r="H269" s="114"/>
      <c r="I269" s="60"/>
      <c r="J269" s="60"/>
      <c r="K269" s="7"/>
      <c r="L269" s="7"/>
      <c r="M269" s="7"/>
      <c r="N269" s="114"/>
      <c r="O269" s="114"/>
      <c r="P269" s="114"/>
      <c r="Q269" s="114"/>
      <c r="R269" s="114"/>
      <c r="S269" s="114"/>
      <c r="T269" s="114"/>
      <c r="U269" s="114"/>
      <c r="V269" s="114"/>
      <c r="W269" s="114"/>
      <c r="X269" s="114"/>
      <c r="Y269" s="114"/>
      <c r="Z269" s="114"/>
    </row>
    <row r="270" spans="1:26" ht="15.75" x14ac:dyDescent="0.25">
      <c r="A270" s="24"/>
      <c r="B270" s="174"/>
      <c r="C270" s="24"/>
      <c r="D270" s="24"/>
      <c r="E270" s="24"/>
      <c r="F270" s="114"/>
      <c r="G270" s="114"/>
      <c r="H270" s="114"/>
      <c r="I270" s="60"/>
      <c r="J270" s="60"/>
      <c r="K270" s="7"/>
      <c r="L270" s="7"/>
      <c r="M270" s="7"/>
      <c r="N270" s="114"/>
      <c r="O270" s="114"/>
      <c r="P270" s="114"/>
      <c r="Q270" s="114"/>
      <c r="R270" s="114"/>
      <c r="S270" s="114"/>
      <c r="T270" s="114"/>
      <c r="U270" s="114"/>
      <c r="V270" s="114"/>
      <c r="W270" s="114"/>
      <c r="X270" s="114"/>
      <c r="Y270" s="114"/>
      <c r="Z270" s="114"/>
    </row>
    <row r="271" spans="1:26" ht="15.75" x14ac:dyDescent="0.25">
      <c r="A271" s="24"/>
      <c r="B271" s="174"/>
      <c r="C271" s="24"/>
      <c r="D271" s="24"/>
      <c r="E271" s="24"/>
      <c r="F271" s="114"/>
      <c r="G271" s="114"/>
      <c r="H271" s="114"/>
      <c r="I271" s="60"/>
      <c r="J271" s="60"/>
      <c r="K271" s="7"/>
      <c r="L271" s="7"/>
      <c r="M271" s="7"/>
      <c r="N271" s="114"/>
      <c r="O271" s="114"/>
      <c r="P271" s="114"/>
      <c r="Q271" s="114"/>
      <c r="R271" s="114"/>
      <c r="S271" s="114"/>
      <c r="T271" s="114"/>
      <c r="U271" s="114"/>
      <c r="V271" s="114"/>
      <c r="W271" s="114"/>
      <c r="X271" s="114"/>
      <c r="Y271" s="114"/>
      <c r="Z271" s="114"/>
    </row>
    <row r="272" spans="1:26" ht="15.75" x14ac:dyDescent="0.25">
      <c r="A272" s="24"/>
      <c r="B272" s="174"/>
      <c r="C272" s="24"/>
      <c r="D272" s="24"/>
      <c r="E272" s="24"/>
      <c r="F272" s="114"/>
      <c r="G272" s="114"/>
      <c r="H272" s="114"/>
      <c r="I272" s="60"/>
      <c r="J272" s="60"/>
      <c r="K272" s="7"/>
      <c r="L272" s="7"/>
      <c r="M272" s="7"/>
      <c r="N272" s="114"/>
      <c r="O272" s="114"/>
      <c r="P272" s="114"/>
      <c r="Q272" s="114"/>
      <c r="R272" s="114"/>
      <c r="S272" s="114"/>
      <c r="T272" s="114"/>
      <c r="U272" s="114"/>
      <c r="V272" s="114"/>
      <c r="W272" s="114"/>
      <c r="X272" s="114"/>
      <c r="Y272" s="114"/>
      <c r="Z272" s="114"/>
    </row>
    <row r="273" spans="1:26" ht="15.75" x14ac:dyDescent="0.25">
      <c r="A273" s="24"/>
      <c r="B273" s="174"/>
      <c r="C273" s="24"/>
      <c r="D273" s="24"/>
      <c r="E273" s="24"/>
      <c r="F273" s="114"/>
      <c r="G273" s="114"/>
      <c r="H273" s="114"/>
      <c r="I273" s="60"/>
      <c r="J273" s="60"/>
      <c r="K273" s="7"/>
      <c r="L273" s="7"/>
      <c r="M273" s="7"/>
      <c r="N273" s="114"/>
      <c r="O273" s="114"/>
      <c r="P273" s="114"/>
      <c r="Q273" s="114"/>
      <c r="R273" s="114"/>
      <c r="S273" s="114"/>
      <c r="T273" s="114"/>
      <c r="U273" s="114"/>
      <c r="V273" s="114"/>
      <c r="W273" s="114"/>
      <c r="X273" s="114"/>
      <c r="Y273" s="114"/>
      <c r="Z273" s="114"/>
    </row>
    <row r="274" spans="1:26" ht="15.75" x14ac:dyDescent="0.25">
      <c r="A274" s="24"/>
      <c r="B274" s="174"/>
      <c r="C274" s="24"/>
      <c r="D274" s="24"/>
      <c r="E274" s="24"/>
      <c r="F274" s="114"/>
      <c r="G274" s="114"/>
      <c r="H274" s="114"/>
      <c r="I274" s="60"/>
      <c r="J274" s="60"/>
      <c r="K274" s="7"/>
      <c r="L274" s="7"/>
      <c r="M274" s="7"/>
      <c r="N274" s="114"/>
      <c r="O274" s="114"/>
      <c r="P274" s="114"/>
      <c r="Q274" s="114"/>
      <c r="R274" s="114"/>
      <c r="S274" s="114"/>
      <c r="T274" s="114"/>
      <c r="U274" s="114"/>
      <c r="V274" s="114"/>
      <c r="W274" s="114"/>
      <c r="X274" s="114"/>
      <c r="Y274" s="114"/>
      <c r="Z274" s="114"/>
    </row>
    <row r="275" spans="1:26" ht="15.75" x14ac:dyDescent="0.25">
      <c r="A275" s="24"/>
      <c r="B275" s="174"/>
      <c r="C275" s="24"/>
      <c r="D275" s="24"/>
      <c r="E275" s="24"/>
      <c r="F275" s="114"/>
      <c r="G275" s="114"/>
      <c r="H275" s="114"/>
      <c r="I275" s="60"/>
      <c r="J275" s="60"/>
      <c r="K275" s="7"/>
      <c r="L275" s="7"/>
      <c r="M275" s="7"/>
      <c r="N275" s="114"/>
      <c r="O275" s="114"/>
      <c r="P275" s="114"/>
      <c r="Q275" s="114"/>
      <c r="R275" s="114"/>
      <c r="S275" s="114"/>
      <c r="T275" s="114"/>
      <c r="U275" s="114"/>
      <c r="V275" s="114"/>
      <c r="W275" s="114"/>
      <c r="X275" s="114"/>
      <c r="Y275" s="114"/>
      <c r="Z275" s="114"/>
    </row>
    <row r="276" spans="1:26" ht="15.75" x14ac:dyDescent="0.25">
      <c r="A276" s="24"/>
      <c r="B276" s="174"/>
      <c r="C276" s="24"/>
      <c r="D276" s="24"/>
      <c r="E276" s="24"/>
      <c r="F276" s="114"/>
      <c r="G276" s="114"/>
      <c r="H276" s="114"/>
      <c r="I276" s="60"/>
      <c r="J276" s="60"/>
      <c r="K276" s="7"/>
      <c r="L276" s="7"/>
      <c r="M276" s="7"/>
      <c r="N276" s="114"/>
      <c r="O276" s="114"/>
      <c r="P276" s="114"/>
      <c r="Q276" s="114"/>
      <c r="R276" s="114"/>
      <c r="S276" s="114"/>
      <c r="T276" s="114"/>
      <c r="U276" s="114"/>
      <c r="V276" s="114"/>
      <c r="W276" s="114"/>
      <c r="X276" s="114"/>
      <c r="Y276" s="114"/>
      <c r="Z276" s="114"/>
    </row>
    <row r="277" spans="1:26" ht="15.75" x14ac:dyDescent="0.25">
      <c r="A277" s="24"/>
      <c r="B277" s="174"/>
      <c r="C277" s="24"/>
      <c r="D277" s="24"/>
      <c r="E277" s="24"/>
      <c r="F277" s="114"/>
      <c r="G277" s="114"/>
      <c r="H277" s="114"/>
      <c r="I277" s="60"/>
      <c r="J277" s="60"/>
      <c r="K277" s="7"/>
      <c r="L277" s="7"/>
      <c r="M277" s="7"/>
      <c r="N277" s="114"/>
      <c r="O277" s="114"/>
      <c r="P277" s="114"/>
      <c r="Q277" s="114"/>
      <c r="R277" s="114"/>
      <c r="S277" s="114"/>
      <c r="T277" s="114"/>
      <c r="U277" s="114"/>
      <c r="V277" s="114"/>
      <c r="W277" s="114"/>
      <c r="X277" s="114"/>
      <c r="Y277" s="114"/>
      <c r="Z277" s="114"/>
    </row>
    <row r="278" spans="1:26" ht="15.75" x14ac:dyDescent="0.25">
      <c r="A278" s="24"/>
      <c r="B278" s="174"/>
      <c r="C278" s="24"/>
      <c r="D278" s="24"/>
      <c r="E278" s="24"/>
      <c r="F278" s="114"/>
      <c r="G278" s="114"/>
      <c r="H278" s="114"/>
      <c r="I278" s="60"/>
      <c r="J278" s="60"/>
      <c r="K278" s="7"/>
      <c r="L278" s="7"/>
      <c r="M278" s="7"/>
      <c r="N278" s="114"/>
      <c r="O278" s="114"/>
      <c r="P278" s="114"/>
      <c r="Q278" s="114"/>
      <c r="R278" s="114"/>
      <c r="S278" s="114"/>
      <c r="T278" s="114"/>
      <c r="U278" s="114"/>
      <c r="V278" s="114"/>
      <c r="W278" s="114"/>
      <c r="X278" s="114"/>
      <c r="Y278" s="114"/>
      <c r="Z278" s="114"/>
    </row>
    <row r="279" spans="1:26" ht="15.75" x14ac:dyDescent="0.25">
      <c r="A279" s="24"/>
      <c r="B279" s="174"/>
      <c r="C279" s="24"/>
      <c r="D279" s="24"/>
      <c r="E279" s="24"/>
      <c r="F279" s="114"/>
      <c r="G279" s="114"/>
      <c r="H279" s="114"/>
      <c r="I279" s="60"/>
      <c r="J279" s="60"/>
      <c r="K279" s="7"/>
      <c r="L279" s="7"/>
      <c r="M279" s="7"/>
      <c r="N279" s="114"/>
      <c r="O279" s="114"/>
      <c r="P279" s="114"/>
      <c r="Q279" s="114"/>
      <c r="R279" s="114"/>
      <c r="S279" s="114"/>
      <c r="T279" s="114"/>
      <c r="U279" s="114"/>
      <c r="V279" s="114"/>
      <c r="W279" s="114"/>
      <c r="X279" s="114"/>
      <c r="Y279" s="114"/>
      <c r="Z279" s="114"/>
    </row>
    <row r="280" spans="1:26" ht="15.75" x14ac:dyDescent="0.25">
      <c r="A280" s="24"/>
      <c r="B280" s="174"/>
      <c r="C280" s="24"/>
      <c r="D280" s="24"/>
      <c r="E280" s="24"/>
      <c r="F280" s="114"/>
      <c r="G280" s="114"/>
      <c r="H280" s="114"/>
      <c r="I280" s="60"/>
      <c r="J280" s="60"/>
      <c r="K280" s="7"/>
      <c r="L280" s="7"/>
      <c r="M280" s="7"/>
      <c r="N280" s="114"/>
      <c r="O280" s="114"/>
      <c r="P280" s="114"/>
      <c r="Q280" s="114"/>
      <c r="R280" s="114"/>
      <c r="S280" s="114"/>
      <c r="T280" s="114"/>
      <c r="U280" s="114"/>
      <c r="V280" s="114"/>
      <c r="W280" s="114"/>
      <c r="X280" s="114"/>
      <c r="Y280" s="114"/>
      <c r="Z280" s="114"/>
    </row>
    <row r="281" spans="1:26" ht="15.75" x14ac:dyDescent="0.25">
      <c r="A281" s="24"/>
      <c r="B281" s="174"/>
      <c r="C281" s="24"/>
      <c r="D281" s="24"/>
      <c r="E281" s="24"/>
      <c r="F281" s="114"/>
      <c r="G281" s="114"/>
      <c r="H281" s="114"/>
      <c r="I281" s="60"/>
      <c r="J281" s="60"/>
      <c r="K281" s="7"/>
      <c r="L281" s="7"/>
      <c r="M281" s="7"/>
      <c r="N281" s="114"/>
      <c r="O281" s="114"/>
      <c r="P281" s="114"/>
      <c r="Q281" s="114"/>
      <c r="R281" s="114"/>
      <c r="S281" s="114"/>
      <c r="T281" s="114"/>
      <c r="U281" s="114"/>
      <c r="V281" s="114"/>
      <c r="W281" s="114"/>
      <c r="X281" s="114"/>
      <c r="Y281" s="114"/>
      <c r="Z281" s="114"/>
    </row>
    <row r="282" spans="1:26" ht="15.75" x14ac:dyDescent="0.25">
      <c r="A282" s="24"/>
      <c r="B282" s="174"/>
      <c r="C282" s="24"/>
      <c r="D282" s="24"/>
      <c r="E282" s="24"/>
      <c r="F282" s="114"/>
      <c r="G282" s="114"/>
      <c r="H282" s="114"/>
      <c r="I282" s="60"/>
      <c r="J282" s="60"/>
      <c r="K282" s="7"/>
      <c r="L282" s="7"/>
      <c r="M282" s="7"/>
      <c r="N282" s="114"/>
      <c r="O282" s="114"/>
      <c r="P282" s="114"/>
      <c r="Q282" s="114"/>
      <c r="R282" s="114"/>
      <c r="S282" s="114"/>
      <c r="T282" s="114"/>
      <c r="U282" s="114"/>
      <c r="V282" s="114"/>
      <c r="W282" s="114"/>
      <c r="X282" s="114"/>
      <c r="Y282" s="114"/>
      <c r="Z282" s="114"/>
    </row>
    <row r="283" spans="1:26" ht="15.75" x14ac:dyDescent="0.25">
      <c r="A283" s="24"/>
      <c r="B283" s="174"/>
      <c r="C283" s="24"/>
      <c r="D283" s="24"/>
      <c r="E283" s="24"/>
      <c r="F283" s="114"/>
      <c r="G283" s="114"/>
      <c r="H283" s="114"/>
      <c r="I283" s="60"/>
      <c r="J283" s="60"/>
      <c r="K283" s="7"/>
      <c r="L283" s="7"/>
      <c r="M283" s="7"/>
      <c r="N283" s="114"/>
      <c r="O283" s="114"/>
      <c r="P283" s="114"/>
      <c r="Q283" s="114"/>
      <c r="R283" s="114"/>
      <c r="S283" s="114"/>
      <c r="T283" s="114"/>
      <c r="U283" s="114"/>
      <c r="V283" s="114"/>
      <c r="W283" s="114"/>
      <c r="X283" s="114"/>
      <c r="Y283" s="114"/>
      <c r="Z283" s="114"/>
    </row>
    <row r="284" spans="1:26" ht="15.75" x14ac:dyDescent="0.25">
      <c r="A284" s="24"/>
      <c r="B284" s="174"/>
      <c r="C284" s="24"/>
      <c r="D284" s="24"/>
      <c r="E284" s="24"/>
      <c r="F284" s="114"/>
      <c r="G284" s="114"/>
      <c r="H284" s="114"/>
      <c r="I284" s="60"/>
      <c r="J284" s="60"/>
      <c r="K284" s="7"/>
      <c r="L284" s="7"/>
      <c r="M284" s="7"/>
      <c r="N284" s="114"/>
      <c r="O284" s="114"/>
      <c r="P284" s="114"/>
      <c r="Q284" s="114"/>
      <c r="R284" s="114"/>
      <c r="S284" s="114"/>
      <c r="T284" s="114"/>
      <c r="U284" s="114"/>
      <c r="V284" s="114"/>
      <c r="W284" s="114"/>
      <c r="X284" s="114"/>
      <c r="Y284" s="114"/>
      <c r="Z284" s="114"/>
    </row>
    <row r="285" spans="1:26" ht="15.75" x14ac:dyDescent="0.25">
      <c r="A285" s="24"/>
      <c r="B285" s="174"/>
      <c r="C285" s="24"/>
      <c r="D285" s="24"/>
      <c r="E285" s="24"/>
      <c r="F285" s="114"/>
      <c r="G285" s="114"/>
      <c r="H285" s="114"/>
      <c r="I285" s="60"/>
      <c r="J285" s="60"/>
      <c r="K285" s="7"/>
      <c r="L285" s="7"/>
      <c r="M285" s="7"/>
      <c r="N285" s="114"/>
      <c r="O285" s="114"/>
      <c r="P285" s="114"/>
      <c r="Q285" s="114"/>
      <c r="R285" s="114"/>
      <c r="S285" s="114"/>
      <c r="T285" s="114"/>
      <c r="U285" s="114"/>
      <c r="V285" s="114"/>
      <c r="W285" s="114"/>
      <c r="X285" s="114"/>
      <c r="Y285" s="114"/>
      <c r="Z285" s="114"/>
    </row>
    <row r="286" spans="1:26" ht="15.75" x14ac:dyDescent="0.25">
      <c r="A286" s="24"/>
      <c r="B286" s="174"/>
      <c r="C286" s="24"/>
      <c r="D286" s="24"/>
      <c r="E286" s="24"/>
      <c r="F286" s="114"/>
      <c r="G286" s="114"/>
      <c r="H286" s="114"/>
      <c r="I286" s="60"/>
      <c r="J286" s="60"/>
      <c r="K286" s="7"/>
      <c r="L286" s="7"/>
      <c r="M286" s="7"/>
      <c r="N286" s="114"/>
      <c r="O286" s="114"/>
      <c r="P286" s="114"/>
      <c r="Q286" s="114"/>
      <c r="R286" s="114"/>
      <c r="S286" s="114"/>
      <c r="T286" s="114"/>
      <c r="U286" s="114"/>
      <c r="V286" s="114"/>
      <c r="W286" s="114"/>
      <c r="X286" s="114"/>
      <c r="Y286" s="114"/>
      <c r="Z286" s="114"/>
    </row>
    <row r="287" spans="1:26" ht="15.75" x14ac:dyDescent="0.25">
      <c r="A287" s="24"/>
      <c r="B287" s="174"/>
      <c r="C287" s="24"/>
      <c r="D287" s="24"/>
      <c r="E287" s="24"/>
      <c r="F287" s="114"/>
      <c r="G287" s="114"/>
      <c r="H287" s="114"/>
      <c r="I287" s="60"/>
      <c r="J287" s="60"/>
      <c r="K287" s="7"/>
      <c r="L287" s="7"/>
      <c r="M287" s="7"/>
      <c r="N287" s="114"/>
      <c r="O287" s="114"/>
      <c r="P287" s="114"/>
      <c r="Q287" s="114"/>
      <c r="R287" s="114"/>
      <c r="S287" s="114"/>
      <c r="T287" s="114"/>
      <c r="U287" s="114"/>
      <c r="V287" s="114"/>
      <c r="W287" s="114"/>
      <c r="X287" s="114"/>
      <c r="Y287" s="114"/>
      <c r="Z287" s="114"/>
    </row>
    <row r="288" spans="1:26" ht="15.75" x14ac:dyDescent="0.25">
      <c r="A288" s="24"/>
      <c r="B288" s="174"/>
      <c r="C288" s="24"/>
      <c r="D288" s="24"/>
      <c r="E288" s="24"/>
      <c r="F288" s="114"/>
      <c r="G288" s="114"/>
      <c r="H288" s="114"/>
      <c r="I288" s="60"/>
      <c r="J288" s="60"/>
      <c r="K288" s="7"/>
      <c r="L288" s="7"/>
      <c r="M288" s="7"/>
      <c r="N288" s="114"/>
      <c r="O288" s="114"/>
      <c r="P288" s="114"/>
      <c r="Q288" s="114"/>
      <c r="R288" s="114"/>
      <c r="S288" s="114"/>
      <c r="T288" s="114"/>
      <c r="U288" s="114"/>
      <c r="V288" s="114"/>
      <c r="W288" s="114"/>
      <c r="X288" s="114"/>
      <c r="Y288" s="114"/>
      <c r="Z288" s="114"/>
    </row>
    <row r="289" spans="1:26" ht="15.75" x14ac:dyDescent="0.25">
      <c r="A289" s="24"/>
      <c r="B289" s="174"/>
      <c r="C289" s="24"/>
      <c r="D289" s="24"/>
      <c r="E289" s="24"/>
      <c r="F289" s="114"/>
      <c r="G289" s="114"/>
      <c r="H289" s="114"/>
      <c r="I289" s="60"/>
      <c r="J289" s="60"/>
      <c r="K289" s="7"/>
      <c r="L289" s="7"/>
      <c r="M289" s="7"/>
      <c r="N289" s="114"/>
      <c r="O289" s="114"/>
      <c r="P289" s="114"/>
      <c r="Q289" s="114"/>
      <c r="R289" s="114"/>
      <c r="S289" s="114"/>
      <c r="T289" s="114"/>
      <c r="U289" s="114"/>
      <c r="V289" s="114"/>
      <c r="W289" s="114"/>
      <c r="X289" s="114"/>
      <c r="Y289" s="114"/>
      <c r="Z289" s="114"/>
    </row>
    <row r="290" spans="1:26" ht="15.75" x14ac:dyDescent="0.25">
      <c r="A290" s="24"/>
      <c r="B290" s="174"/>
      <c r="C290" s="24"/>
      <c r="D290" s="24"/>
      <c r="E290" s="24"/>
      <c r="F290" s="114"/>
      <c r="G290" s="114"/>
      <c r="H290" s="114"/>
      <c r="I290" s="60"/>
      <c r="J290" s="60"/>
      <c r="K290" s="7"/>
      <c r="L290" s="7"/>
      <c r="M290" s="7"/>
      <c r="N290" s="114"/>
      <c r="O290" s="114"/>
      <c r="P290" s="114"/>
      <c r="Q290" s="114"/>
      <c r="R290" s="114"/>
      <c r="S290" s="114"/>
      <c r="T290" s="114"/>
      <c r="U290" s="114"/>
      <c r="V290" s="114"/>
      <c r="W290" s="114"/>
      <c r="X290" s="114"/>
      <c r="Y290" s="114"/>
      <c r="Z290" s="114"/>
    </row>
    <row r="291" spans="1:26" ht="15.75" x14ac:dyDescent="0.25">
      <c r="A291" s="24"/>
      <c r="B291" s="174"/>
      <c r="C291" s="24"/>
      <c r="D291" s="24"/>
      <c r="E291" s="24"/>
      <c r="F291" s="114"/>
      <c r="G291" s="114"/>
      <c r="H291" s="114"/>
      <c r="I291" s="60"/>
      <c r="J291" s="60"/>
      <c r="K291" s="7"/>
      <c r="L291" s="7"/>
      <c r="M291" s="7"/>
      <c r="N291" s="114"/>
      <c r="O291" s="114"/>
      <c r="P291" s="114"/>
      <c r="Q291" s="114"/>
      <c r="R291" s="114"/>
      <c r="S291" s="114"/>
      <c r="T291" s="114"/>
      <c r="U291" s="114"/>
      <c r="V291" s="114"/>
      <c r="W291" s="114"/>
      <c r="X291" s="114"/>
      <c r="Y291" s="114"/>
      <c r="Z291" s="114"/>
    </row>
    <row r="292" spans="1:26" ht="15.75" x14ac:dyDescent="0.25">
      <c r="A292" s="24"/>
      <c r="B292" s="174"/>
      <c r="C292" s="24"/>
      <c r="D292" s="24"/>
      <c r="E292" s="24"/>
      <c r="F292" s="114"/>
      <c r="G292" s="114"/>
      <c r="H292" s="114"/>
      <c r="I292" s="60"/>
      <c r="J292" s="60"/>
      <c r="K292" s="7"/>
      <c r="L292" s="7"/>
      <c r="M292" s="7"/>
      <c r="N292" s="114"/>
      <c r="O292" s="114"/>
      <c r="P292" s="114"/>
      <c r="Q292" s="114"/>
      <c r="R292" s="114"/>
      <c r="S292" s="114"/>
      <c r="T292" s="114"/>
      <c r="U292" s="114"/>
      <c r="V292" s="114"/>
      <c r="W292" s="114"/>
      <c r="X292" s="114"/>
      <c r="Y292" s="114"/>
      <c r="Z292" s="114"/>
    </row>
    <row r="293" spans="1:26" ht="15.75" x14ac:dyDescent="0.25">
      <c r="A293" s="24"/>
      <c r="B293" s="174"/>
      <c r="C293" s="24"/>
      <c r="D293" s="24"/>
      <c r="E293" s="24"/>
      <c r="F293" s="114"/>
      <c r="G293" s="114"/>
      <c r="H293" s="114"/>
      <c r="I293" s="60"/>
      <c r="J293" s="60"/>
      <c r="K293" s="7"/>
      <c r="L293" s="7"/>
      <c r="M293" s="7"/>
      <c r="N293" s="114"/>
      <c r="O293" s="114"/>
      <c r="P293" s="114"/>
      <c r="Q293" s="114"/>
      <c r="R293" s="114"/>
      <c r="S293" s="114"/>
      <c r="T293" s="114"/>
      <c r="U293" s="114"/>
      <c r="V293" s="114"/>
      <c r="W293" s="114"/>
      <c r="X293" s="114"/>
      <c r="Y293" s="114"/>
      <c r="Z293" s="114"/>
    </row>
    <row r="294" spans="1:26" ht="15.75" x14ac:dyDescent="0.25">
      <c r="A294" s="24"/>
      <c r="B294" s="174"/>
      <c r="C294" s="24"/>
      <c r="D294" s="24"/>
      <c r="E294" s="24"/>
      <c r="F294" s="114"/>
      <c r="G294" s="114"/>
      <c r="H294" s="114"/>
      <c r="I294" s="60"/>
      <c r="J294" s="60"/>
      <c r="K294" s="7"/>
      <c r="L294" s="7"/>
      <c r="M294" s="7"/>
      <c r="N294" s="114"/>
      <c r="O294" s="114"/>
      <c r="P294" s="114"/>
      <c r="Q294" s="114"/>
      <c r="R294" s="114"/>
      <c r="S294" s="114"/>
      <c r="T294" s="114"/>
      <c r="U294" s="114"/>
      <c r="V294" s="114"/>
      <c r="W294" s="114"/>
      <c r="X294" s="114"/>
      <c r="Y294" s="114"/>
      <c r="Z294" s="114"/>
    </row>
    <row r="295" spans="1:26" ht="15.75" x14ac:dyDescent="0.25">
      <c r="A295" s="24"/>
      <c r="B295" s="174"/>
      <c r="C295" s="24"/>
      <c r="D295" s="24"/>
      <c r="E295" s="24"/>
      <c r="F295" s="114"/>
      <c r="G295" s="114"/>
      <c r="H295" s="114"/>
      <c r="I295" s="60"/>
      <c r="J295" s="60"/>
      <c r="K295" s="7"/>
      <c r="L295" s="7"/>
      <c r="M295" s="7"/>
      <c r="N295" s="114"/>
      <c r="O295" s="114"/>
      <c r="P295" s="114"/>
      <c r="Q295" s="114"/>
      <c r="R295" s="114"/>
      <c r="S295" s="114"/>
      <c r="T295" s="114"/>
      <c r="U295" s="114"/>
      <c r="V295" s="114"/>
      <c r="W295" s="114"/>
      <c r="X295" s="114"/>
      <c r="Y295" s="114"/>
      <c r="Z295" s="114"/>
    </row>
    <row r="296" spans="1:26" ht="15.75" x14ac:dyDescent="0.25">
      <c r="A296" s="24"/>
      <c r="B296" s="174"/>
      <c r="C296" s="24"/>
      <c r="D296" s="24"/>
      <c r="E296" s="24"/>
      <c r="F296" s="114"/>
      <c r="G296" s="114"/>
      <c r="H296" s="114"/>
      <c r="I296" s="60"/>
      <c r="J296" s="60"/>
      <c r="K296" s="7"/>
      <c r="L296" s="7"/>
      <c r="M296" s="7"/>
      <c r="N296" s="114"/>
      <c r="O296" s="114"/>
      <c r="P296" s="114"/>
      <c r="Q296" s="114"/>
      <c r="R296" s="114"/>
      <c r="S296" s="114"/>
      <c r="T296" s="114"/>
      <c r="U296" s="114"/>
      <c r="V296" s="114"/>
      <c r="W296" s="114"/>
      <c r="X296" s="114"/>
      <c r="Y296" s="114"/>
      <c r="Z296" s="114"/>
    </row>
    <row r="297" spans="1:26" ht="15.75" x14ac:dyDescent="0.25">
      <c r="A297" s="24"/>
      <c r="B297" s="174"/>
      <c r="C297" s="24"/>
      <c r="D297" s="24"/>
      <c r="E297" s="24"/>
      <c r="F297" s="114"/>
      <c r="G297" s="114"/>
      <c r="H297" s="114"/>
      <c r="I297" s="60"/>
      <c r="J297" s="60"/>
      <c r="K297" s="7"/>
      <c r="L297" s="7"/>
      <c r="M297" s="7"/>
      <c r="N297" s="114"/>
      <c r="O297" s="114"/>
      <c r="P297" s="114"/>
      <c r="Q297" s="114"/>
      <c r="R297" s="114"/>
      <c r="S297" s="114"/>
      <c r="T297" s="114"/>
      <c r="U297" s="114"/>
      <c r="V297" s="114"/>
      <c r="W297" s="114"/>
      <c r="X297" s="114"/>
      <c r="Y297" s="114"/>
      <c r="Z297" s="114"/>
    </row>
    <row r="298" spans="1:26" ht="15.75" x14ac:dyDescent="0.25">
      <c r="A298" s="24"/>
      <c r="B298" s="174"/>
      <c r="C298" s="24"/>
      <c r="D298" s="24"/>
      <c r="E298" s="24"/>
      <c r="F298" s="114"/>
      <c r="G298" s="114"/>
      <c r="H298" s="114"/>
      <c r="I298" s="60"/>
      <c r="J298" s="60"/>
      <c r="K298" s="7"/>
      <c r="L298" s="7"/>
      <c r="M298" s="7"/>
      <c r="N298" s="114"/>
      <c r="O298" s="114"/>
      <c r="P298" s="114"/>
      <c r="Q298" s="114"/>
      <c r="R298" s="114"/>
      <c r="S298" s="114"/>
      <c r="T298" s="114"/>
      <c r="U298" s="114"/>
      <c r="V298" s="114"/>
      <c r="W298" s="114"/>
      <c r="X298" s="114"/>
      <c r="Y298" s="114"/>
      <c r="Z298" s="114"/>
    </row>
    <row r="299" spans="1:26" ht="15.75" x14ac:dyDescent="0.25">
      <c r="A299" s="24"/>
      <c r="B299" s="174"/>
      <c r="C299" s="24"/>
      <c r="D299" s="24"/>
      <c r="E299" s="24"/>
      <c r="F299" s="114"/>
      <c r="G299" s="114"/>
      <c r="H299" s="114"/>
      <c r="I299" s="60"/>
      <c r="J299" s="60"/>
      <c r="K299" s="7"/>
      <c r="L299" s="7"/>
      <c r="M299" s="7"/>
      <c r="N299" s="114"/>
      <c r="O299" s="114"/>
      <c r="P299" s="114"/>
      <c r="Q299" s="114"/>
      <c r="R299" s="114"/>
      <c r="S299" s="114"/>
      <c r="T299" s="114"/>
      <c r="U299" s="114"/>
      <c r="V299" s="114"/>
      <c r="W299" s="114"/>
      <c r="X299" s="114"/>
      <c r="Y299" s="114"/>
      <c r="Z299" s="114"/>
    </row>
    <row r="300" spans="1:26" ht="15.75" x14ac:dyDescent="0.25">
      <c r="A300" s="24"/>
      <c r="B300" s="174"/>
      <c r="C300" s="24"/>
      <c r="D300" s="24"/>
      <c r="E300" s="24"/>
      <c r="F300" s="114"/>
      <c r="G300" s="114"/>
      <c r="H300" s="114"/>
      <c r="I300" s="60"/>
      <c r="J300" s="60"/>
      <c r="K300" s="7"/>
      <c r="L300" s="7"/>
      <c r="M300" s="7"/>
      <c r="N300" s="114"/>
      <c r="O300" s="114"/>
      <c r="P300" s="114"/>
      <c r="Q300" s="114"/>
      <c r="R300" s="114"/>
      <c r="S300" s="114"/>
      <c r="T300" s="114"/>
      <c r="U300" s="114"/>
      <c r="V300" s="114"/>
      <c r="W300" s="114"/>
      <c r="X300" s="114"/>
      <c r="Y300" s="114"/>
      <c r="Z300" s="114"/>
    </row>
    <row r="301" spans="1:26" ht="15.75" x14ac:dyDescent="0.25">
      <c r="A301" s="24"/>
      <c r="B301" s="174"/>
      <c r="C301" s="24"/>
      <c r="D301" s="24"/>
      <c r="E301" s="24"/>
      <c r="F301" s="114"/>
      <c r="G301" s="114"/>
      <c r="H301" s="114"/>
      <c r="I301" s="60"/>
      <c r="J301" s="60"/>
      <c r="K301" s="7"/>
      <c r="L301" s="7"/>
      <c r="M301" s="7"/>
      <c r="N301" s="114"/>
      <c r="O301" s="114"/>
      <c r="P301" s="114"/>
      <c r="Q301" s="114"/>
      <c r="R301" s="114"/>
      <c r="S301" s="114"/>
      <c r="T301" s="114"/>
      <c r="U301" s="114"/>
      <c r="V301" s="114"/>
      <c r="W301" s="114"/>
      <c r="X301" s="114"/>
      <c r="Y301" s="114"/>
      <c r="Z301" s="114"/>
    </row>
    <row r="302" spans="1:26" ht="15.75" x14ac:dyDescent="0.25">
      <c r="A302" s="24"/>
      <c r="B302" s="174"/>
      <c r="C302" s="24"/>
      <c r="D302" s="24"/>
      <c r="E302" s="24"/>
      <c r="F302" s="114"/>
      <c r="G302" s="114"/>
      <c r="H302" s="114"/>
      <c r="I302" s="60"/>
      <c r="J302" s="60"/>
      <c r="K302" s="7"/>
      <c r="L302" s="7"/>
      <c r="M302" s="7"/>
      <c r="N302" s="114"/>
      <c r="O302" s="114"/>
      <c r="P302" s="114"/>
      <c r="Q302" s="114"/>
      <c r="R302" s="114"/>
      <c r="S302" s="114"/>
      <c r="T302" s="114"/>
      <c r="U302" s="114"/>
      <c r="V302" s="114"/>
      <c r="W302" s="114"/>
      <c r="X302" s="114"/>
      <c r="Y302" s="114"/>
      <c r="Z302" s="114"/>
    </row>
    <row r="303" spans="1:26" ht="15.75" x14ac:dyDescent="0.25">
      <c r="A303" s="24"/>
      <c r="B303" s="174"/>
      <c r="C303" s="24"/>
      <c r="D303" s="24"/>
      <c r="E303" s="24"/>
      <c r="F303" s="114"/>
      <c r="G303" s="114"/>
      <c r="H303" s="114"/>
      <c r="I303" s="60"/>
      <c r="J303" s="60"/>
      <c r="K303" s="7"/>
      <c r="L303" s="7"/>
      <c r="M303" s="7"/>
      <c r="N303" s="114"/>
      <c r="O303" s="114"/>
      <c r="P303" s="114"/>
      <c r="Q303" s="114"/>
      <c r="R303" s="114"/>
      <c r="S303" s="114"/>
      <c r="T303" s="114"/>
      <c r="U303" s="114"/>
      <c r="V303" s="114"/>
      <c r="W303" s="114"/>
      <c r="X303" s="114"/>
      <c r="Y303" s="114"/>
      <c r="Z303" s="114"/>
    </row>
    <row r="304" spans="1:26" x14ac:dyDescent="0.25">
      <c r="I304" s="40"/>
      <c r="J304" s="40"/>
    </row>
    <row r="305" spans="9:10" x14ac:dyDescent="0.25">
      <c r="I305" s="40"/>
      <c r="J305" s="40"/>
    </row>
    <row r="306" spans="9:10" x14ac:dyDescent="0.25">
      <c r="I306" s="40"/>
      <c r="J306" s="40"/>
    </row>
    <row r="307" spans="9:10" x14ac:dyDescent="0.25">
      <c r="I307" s="40"/>
      <c r="J307" s="40"/>
    </row>
    <row r="308" spans="9:10" x14ac:dyDescent="0.25">
      <c r="I308" s="40"/>
      <c r="J308" s="40"/>
    </row>
    <row r="309" spans="9:10" x14ac:dyDescent="0.25">
      <c r="I309" s="40"/>
      <c r="J309" s="40"/>
    </row>
    <row r="310" spans="9:10" x14ac:dyDescent="0.25">
      <c r="I310" s="40"/>
      <c r="J310" s="40"/>
    </row>
    <row r="311" spans="9:10" x14ac:dyDescent="0.25">
      <c r="I311" s="40"/>
      <c r="J311" s="40"/>
    </row>
    <row r="312" spans="9:10" x14ac:dyDescent="0.25">
      <c r="I312" s="40"/>
      <c r="J312" s="40"/>
    </row>
    <row r="313" spans="9:10" x14ac:dyDescent="0.25">
      <c r="I313" s="40"/>
      <c r="J313" s="40"/>
    </row>
    <row r="314" spans="9:10" x14ac:dyDescent="0.25">
      <c r="I314" s="40"/>
      <c r="J314" s="40"/>
    </row>
    <row r="315" spans="9:10" x14ac:dyDescent="0.25">
      <c r="I315" s="40"/>
      <c r="J315" s="40"/>
    </row>
    <row r="316" spans="9:10" x14ac:dyDescent="0.25">
      <c r="I316" s="40"/>
      <c r="J316" s="40"/>
    </row>
    <row r="317" spans="9:10" x14ac:dyDescent="0.25">
      <c r="I317" s="40"/>
      <c r="J317" s="40"/>
    </row>
    <row r="318" spans="9:10" x14ac:dyDescent="0.25">
      <c r="I318" s="40"/>
      <c r="J318" s="40"/>
    </row>
    <row r="319" spans="9:10" x14ac:dyDescent="0.25">
      <c r="I319" s="40"/>
      <c r="J319" s="40"/>
    </row>
    <row r="320" spans="9:10" x14ac:dyDescent="0.25">
      <c r="I320" s="40"/>
      <c r="J320" s="40"/>
    </row>
    <row r="321" spans="9:10" x14ac:dyDescent="0.25">
      <c r="I321" s="40"/>
      <c r="J321" s="40"/>
    </row>
    <row r="322" spans="9:10" x14ac:dyDescent="0.25">
      <c r="I322" s="40"/>
      <c r="J322" s="40"/>
    </row>
    <row r="323" spans="9:10" x14ac:dyDescent="0.25">
      <c r="I323" s="40"/>
      <c r="J323" s="40"/>
    </row>
    <row r="324" spans="9:10" x14ac:dyDescent="0.25">
      <c r="I324" s="40"/>
      <c r="J324" s="40"/>
    </row>
    <row r="325" spans="9:10" x14ac:dyDescent="0.25">
      <c r="I325" s="40"/>
      <c r="J325" s="40"/>
    </row>
    <row r="326" spans="9:10" x14ac:dyDescent="0.25">
      <c r="I326" s="40"/>
      <c r="J326" s="40"/>
    </row>
    <row r="327" spans="9:10" x14ac:dyDescent="0.25">
      <c r="I327" s="40"/>
      <c r="J327" s="40"/>
    </row>
    <row r="328" spans="9:10" x14ac:dyDescent="0.25">
      <c r="I328" s="40"/>
      <c r="J328" s="40"/>
    </row>
    <row r="329" spans="9:10" x14ac:dyDescent="0.25">
      <c r="I329" s="40"/>
      <c r="J329" s="40"/>
    </row>
    <row r="330" spans="9:10" x14ac:dyDescent="0.25">
      <c r="I330" s="40"/>
      <c r="J330" s="40"/>
    </row>
    <row r="331" spans="9:10" x14ac:dyDescent="0.25">
      <c r="I331" s="40"/>
      <c r="J331" s="40"/>
    </row>
    <row r="332" spans="9:10" x14ac:dyDescent="0.25">
      <c r="I332" s="40"/>
      <c r="J332" s="40"/>
    </row>
    <row r="333" spans="9:10" x14ac:dyDescent="0.25">
      <c r="I333" s="40"/>
      <c r="J333" s="40"/>
    </row>
    <row r="334" spans="9:10" x14ac:dyDescent="0.25">
      <c r="I334" s="40"/>
      <c r="J334" s="40"/>
    </row>
    <row r="335" spans="9:10" x14ac:dyDescent="0.25">
      <c r="I335" s="40"/>
      <c r="J335" s="40"/>
    </row>
    <row r="336" spans="9:10" x14ac:dyDescent="0.25">
      <c r="I336" s="40"/>
      <c r="J336" s="40"/>
    </row>
    <row r="337" spans="9:10" x14ac:dyDescent="0.25">
      <c r="I337" s="40"/>
      <c r="J337" s="40"/>
    </row>
    <row r="338" spans="9:10" x14ac:dyDescent="0.25">
      <c r="I338" s="40"/>
      <c r="J338" s="40"/>
    </row>
    <row r="339" spans="9:10" x14ac:dyDescent="0.25">
      <c r="I339" s="40"/>
      <c r="J339" s="40"/>
    </row>
    <row r="340" spans="9:10" x14ac:dyDescent="0.25">
      <c r="I340" s="40"/>
      <c r="J340" s="40"/>
    </row>
    <row r="341" spans="9:10" x14ac:dyDescent="0.25">
      <c r="I341" s="40"/>
      <c r="J341" s="40"/>
    </row>
    <row r="342" spans="9:10" x14ac:dyDescent="0.25">
      <c r="I342" s="40"/>
      <c r="J342" s="40"/>
    </row>
    <row r="343" spans="9:10" x14ac:dyDescent="0.25">
      <c r="I343" s="40"/>
      <c r="J343" s="40"/>
    </row>
    <row r="344" spans="9:10" x14ac:dyDescent="0.25">
      <c r="I344" s="40"/>
      <c r="J344" s="40"/>
    </row>
    <row r="345" spans="9:10" x14ac:dyDescent="0.25">
      <c r="I345" s="40"/>
      <c r="J345" s="40"/>
    </row>
    <row r="346" spans="9:10" x14ac:dyDescent="0.25">
      <c r="I346" s="40"/>
      <c r="J346" s="40"/>
    </row>
    <row r="347" spans="9:10" x14ac:dyDescent="0.25">
      <c r="I347" s="40"/>
      <c r="J347" s="40"/>
    </row>
    <row r="348" spans="9:10" x14ac:dyDescent="0.25">
      <c r="I348" s="40"/>
      <c r="J348" s="40"/>
    </row>
    <row r="349" spans="9:10" x14ac:dyDescent="0.25">
      <c r="I349" s="40"/>
      <c r="J349" s="40"/>
    </row>
    <row r="350" spans="9:10" x14ac:dyDescent="0.25">
      <c r="I350" s="40"/>
      <c r="J350" s="40"/>
    </row>
    <row r="351" spans="9:10" x14ac:dyDescent="0.25">
      <c r="I351" s="40"/>
      <c r="J351" s="40"/>
    </row>
    <row r="352" spans="9:10" x14ac:dyDescent="0.25">
      <c r="I352" s="40"/>
      <c r="J352" s="40"/>
    </row>
    <row r="353" spans="9:10" x14ac:dyDescent="0.25">
      <c r="I353" s="40"/>
      <c r="J353" s="40"/>
    </row>
    <row r="354" spans="9:10" x14ac:dyDescent="0.25">
      <c r="I354" s="40"/>
      <c r="J354" s="40"/>
    </row>
    <row r="355" spans="9:10" x14ac:dyDescent="0.25">
      <c r="I355" s="40"/>
      <c r="J355" s="40"/>
    </row>
    <row r="356" spans="9:10" x14ac:dyDescent="0.25">
      <c r="I356" s="40"/>
      <c r="J356" s="40"/>
    </row>
    <row r="357" spans="9:10" x14ac:dyDescent="0.25">
      <c r="I357" s="40"/>
      <c r="J357" s="40"/>
    </row>
    <row r="358" spans="9:10" x14ac:dyDescent="0.25">
      <c r="I358" s="40"/>
      <c r="J358" s="40"/>
    </row>
    <row r="359" spans="9:10" x14ac:dyDescent="0.25">
      <c r="I359" s="40"/>
      <c r="J359" s="40"/>
    </row>
    <row r="360" spans="9:10" x14ac:dyDescent="0.25">
      <c r="I360" s="40"/>
      <c r="J360" s="40"/>
    </row>
    <row r="361" spans="9:10" x14ac:dyDescent="0.25">
      <c r="I361" s="40"/>
      <c r="J361" s="40"/>
    </row>
    <row r="362" spans="9:10" x14ac:dyDescent="0.25">
      <c r="I362" s="40"/>
      <c r="J362" s="40"/>
    </row>
    <row r="363" spans="9:10" x14ac:dyDescent="0.25">
      <c r="I363" s="40"/>
      <c r="J363" s="40"/>
    </row>
    <row r="364" spans="9:10" x14ac:dyDescent="0.25">
      <c r="I364" s="40"/>
      <c r="J364" s="40"/>
    </row>
    <row r="365" spans="9:10" x14ac:dyDescent="0.25">
      <c r="I365" s="40"/>
      <c r="J365" s="40"/>
    </row>
    <row r="366" spans="9:10" x14ac:dyDescent="0.25">
      <c r="I366" s="40"/>
      <c r="J366" s="40"/>
    </row>
    <row r="367" spans="9:10" x14ac:dyDescent="0.25">
      <c r="I367" s="40"/>
      <c r="J367" s="40"/>
    </row>
    <row r="368" spans="9:10" x14ac:dyDescent="0.25">
      <c r="I368" s="40"/>
      <c r="J368" s="40"/>
    </row>
    <row r="369" spans="9:10" x14ac:dyDescent="0.25">
      <c r="I369" s="40"/>
      <c r="J369" s="40"/>
    </row>
    <row r="370" spans="9:10" x14ac:dyDescent="0.25">
      <c r="I370" s="40"/>
      <c r="J370" s="40"/>
    </row>
    <row r="371" spans="9:10" x14ac:dyDescent="0.25">
      <c r="I371" s="40"/>
      <c r="J371" s="40"/>
    </row>
    <row r="372" spans="9:10" x14ac:dyDescent="0.25">
      <c r="I372" s="40"/>
      <c r="J372" s="40"/>
    </row>
    <row r="373" spans="9:10" x14ac:dyDescent="0.25">
      <c r="I373" s="40"/>
      <c r="J373" s="40"/>
    </row>
    <row r="374" spans="9:10" x14ac:dyDescent="0.25">
      <c r="I374" s="40"/>
      <c r="J374" s="40"/>
    </row>
    <row r="375" spans="9:10" x14ac:dyDescent="0.25">
      <c r="I375" s="40"/>
      <c r="J375" s="40"/>
    </row>
    <row r="376" spans="9:10" x14ac:dyDescent="0.25">
      <c r="I376" s="40"/>
      <c r="J376" s="40"/>
    </row>
    <row r="377" spans="9:10" x14ac:dyDescent="0.25">
      <c r="I377" s="40"/>
      <c r="J377" s="40"/>
    </row>
    <row r="378" spans="9:10" x14ac:dyDescent="0.25">
      <c r="I378" s="40"/>
      <c r="J378" s="40"/>
    </row>
    <row r="379" spans="9:10" x14ac:dyDescent="0.25">
      <c r="I379" s="40"/>
      <c r="J379" s="40"/>
    </row>
    <row r="380" spans="9:10" x14ac:dyDescent="0.25">
      <c r="I380" s="40"/>
      <c r="J380" s="40"/>
    </row>
    <row r="381" spans="9:10" x14ac:dyDescent="0.25">
      <c r="I381" s="40"/>
      <c r="J381" s="40"/>
    </row>
    <row r="382" spans="9:10" x14ac:dyDescent="0.25">
      <c r="I382" s="40"/>
      <c r="J382" s="40"/>
    </row>
    <row r="383" spans="9:10" x14ac:dyDescent="0.25">
      <c r="I383" s="40"/>
      <c r="J383" s="40"/>
    </row>
    <row r="384" spans="9:10" x14ac:dyDescent="0.25">
      <c r="I384" s="40"/>
      <c r="J384" s="40"/>
    </row>
    <row r="385" spans="9:10" x14ac:dyDescent="0.25">
      <c r="I385" s="40"/>
      <c r="J385" s="40"/>
    </row>
    <row r="386" spans="9:10" x14ac:dyDescent="0.25">
      <c r="I386" s="40"/>
      <c r="J386" s="40"/>
    </row>
    <row r="387" spans="9:10" x14ac:dyDescent="0.25">
      <c r="I387" s="40"/>
      <c r="J387" s="40"/>
    </row>
    <row r="388" spans="9:10" x14ac:dyDescent="0.25">
      <c r="I388" s="40"/>
      <c r="J388" s="40"/>
    </row>
    <row r="389" spans="9:10" x14ac:dyDescent="0.25">
      <c r="I389" s="40"/>
      <c r="J389" s="40"/>
    </row>
    <row r="390" spans="9:10" x14ac:dyDescent="0.25">
      <c r="I390" s="40"/>
      <c r="J390" s="40"/>
    </row>
    <row r="391" spans="9:10" x14ac:dyDescent="0.25">
      <c r="I391" s="40"/>
      <c r="J391" s="40"/>
    </row>
    <row r="392" spans="9:10" x14ac:dyDescent="0.25">
      <c r="I392" s="40"/>
      <c r="J392" s="40"/>
    </row>
    <row r="393" spans="9:10" x14ac:dyDescent="0.25">
      <c r="I393" s="40"/>
      <c r="J393" s="40"/>
    </row>
    <row r="394" spans="9:10" x14ac:dyDescent="0.25">
      <c r="I394" s="40"/>
      <c r="J394" s="40"/>
    </row>
    <row r="395" spans="9:10" x14ac:dyDescent="0.25">
      <c r="I395" s="40"/>
      <c r="J395" s="40"/>
    </row>
    <row r="396" spans="9:10" x14ac:dyDescent="0.25">
      <c r="I396" s="40"/>
      <c r="J396" s="40"/>
    </row>
    <row r="397" spans="9:10" x14ac:dyDescent="0.25">
      <c r="I397" s="40"/>
      <c r="J397" s="40"/>
    </row>
    <row r="398" spans="9:10" x14ac:dyDescent="0.25">
      <c r="I398" s="40"/>
      <c r="J398" s="40"/>
    </row>
    <row r="399" spans="9:10" x14ac:dyDescent="0.25">
      <c r="I399" s="40"/>
      <c r="J399" s="40"/>
    </row>
    <row r="400" spans="9:10" x14ac:dyDescent="0.25">
      <c r="I400" s="40"/>
      <c r="J400" s="40"/>
    </row>
    <row r="401" spans="9:10" x14ac:dyDescent="0.25">
      <c r="I401" s="40"/>
      <c r="J401" s="40"/>
    </row>
    <row r="402" spans="9:10" x14ac:dyDescent="0.25">
      <c r="I402" s="40"/>
      <c r="J402" s="40"/>
    </row>
    <row r="403" spans="9:10" x14ac:dyDescent="0.25">
      <c r="I403" s="40"/>
      <c r="J403" s="40"/>
    </row>
    <row r="404" spans="9:10" x14ac:dyDescent="0.25">
      <c r="I404" s="40"/>
      <c r="J404" s="40"/>
    </row>
    <row r="405" spans="9:10" x14ac:dyDescent="0.25">
      <c r="I405" s="40"/>
      <c r="J405" s="40"/>
    </row>
    <row r="406" spans="9:10" x14ac:dyDescent="0.25">
      <c r="I406" s="40"/>
      <c r="J406" s="40"/>
    </row>
    <row r="407" spans="9:10" x14ac:dyDescent="0.25">
      <c r="I407" s="40"/>
      <c r="J407" s="40"/>
    </row>
    <row r="408" spans="9:10" x14ac:dyDescent="0.25">
      <c r="I408" s="40"/>
      <c r="J408" s="40"/>
    </row>
    <row r="409" spans="9:10" x14ac:dyDescent="0.25">
      <c r="I409" s="40"/>
      <c r="J409" s="40"/>
    </row>
    <row r="410" spans="9:10" x14ac:dyDescent="0.25">
      <c r="I410" s="40"/>
      <c r="J410" s="40"/>
    </row>
    <row r="411" spans="9:10" x14ac:dyDescent="0.25">
      <c r="I411" s="40"/>
      <c r="J411" s="40"/>
    </row>
    <row r="412" spans="9:10" x14ac:dyDescent="0.25">
      <c r="I412" s="40"/>
      <c r="J412" s="40"/>
    </row>
    <row r="413" spans="9:10" x14ac:dyDescent="0.25">
      <c r="I413" s="40"/>
      <c r="J413" s="40"/>
    </row>
    <row r="414" spans="9:10" x14ac:dyDescent="0.25">
      <c r="I414" s="40"/>
      <c r="J414" s="40"/>
    </row>
    <row r="415" spans="9:10" x14ac:dyDescent="0.25">
      <c r="I415" s="40"/>
      <c r="J415" s="40"/>
    </row>
    <row r="416" spans="9:10" x14ac:dyDescent="0.25">
      <c r="I416" s="40"/>
      <c r="J416" s="40"/>
    </row>
    <row r="417" spans="9:10" x14ac:dyDescent="0.25">
      <c r="I417" s="40"/>
      <c r="J417" s="40"/>
    </row>
    <row r="418" spans="9:10" x14ac:dyDescent="0.25">
      <c r="I418" s="40"/>
      <c r="J418" s="40"/>
    </row>
    <row r="419" spans="9:10" x14ac:dyDescent="0.25">
      <c r="I419" s="40"/>
      <c r="J419" s="40"/>
    </row>
    <row r="420" spans="9:10" x14ac:dyDescent="0.25">
      <c r="I420" s="40"/>
      <c r="J420" s="40"/>
    </row>
    <row r="421" spans="9:10" x14ac:dyDescent="0.25">
      <c r="I421" s="40"/>
      <c r="J421" s="40"/>
    </row>
    <row r="422" spans="9:10" x14ac:dyDescent="0.25">
      <c r="I422" s="40"/>
      <c r="J422" s="40"/>
    </row>
    <row r="423" spans="9:10" x14ac:dyDescent="0.25">
      <c r="I423" s="40"/>
      <c r="J423" s="40"/>
    </row>
    <row r="424" spans="9:10" x14ac:dyDescent="0.25">
      <c r="I424" s="40"/>
      <c r="J424" s="40"/>
    </row>
    <row r="425" spans="9:10" x14ac:dyDescent="0.25">
      <c r="I425" s="40"/>
      <c r="J425" s="40"/>
    </row>
    <row r="426" spans="9:10" x14ac:dyDescent="0.25">
      <c r="I426" s="40"/>
      <c r="J426" s="40"/>
    </row>
    <row r="427" spans="9:10" x14ac:dyDescent="0.25">
      <c r="I427" s="40"/>
      <c r="J427" s="40"/>
    </row>
    <row r="428" spans="9:10" x14ac:dyDescent="0.25">
      <c r="I428" s="40"/>
      <c r="J428" s="40"/>
    </row>
    <row r="429" spans="9:10" x14ac:dyDescent="0.25">
      <c r="I429" s="40"/>
      <c r="J429" s="40"/>
    </row>
    <row r="430" spans="9:10" x14ac:dyDescent="0.25">
      <c r="I430" s="40"/>
      <c r="J430" s="40"/>
    </row>
    <row r="431" spans="9:10" x14ac:dyDescent="0.25">
      <c r="I431" s="40"/>
      <c r="J431" s="40"/>
    </row>
    <row r="432" spans="9:10" x14ac:dyDescent="0.25">
      <c r="I432" s="40"/>
      <c r="J432" s="40"/>
    </row>
    <row r="433" spans="9:10" x14ac:dyDescent="0.25">
      <c r="I433" s="40"/>
      <c r="J433" s="40"/>
    </row>
    <row r="434" spans="9:10" x14ac:dyDescent="0.25">
      <c r="I434" s="40"/>
      <c r="J434" s="40"/>
    </row>
    <row r="435" spans="9:10" x14ac:dyDescent="0.25">
      <c r="I435" s="40"/>
      <c r="J435" s="40"/>
    </row>
    <row r="436" spans="9:10" x14ac:dyDescent="0.25">
      <c r="I436" s="40"/>
      <c r="J436" s="40"/>
    </row>
    <row r="437" spans="9:10" x14ac:dyDescent="0.25">
      <c r="I437" s="40"/>
      <c r="J437" s="40"/>
    </row>
    <row r="438" spans="9:10" x14ac:dyDescent="0.25">
      <c r="I438" s="40"/>
      <c r="J438" s="40"/>
    </row>
    <row r="439" spans="9:10" x14ac:dyDescent="0.25">
      <c r="I439" s="40"/>
      <c r="J439" s="40"/>
    </row>
    <row r="440" spans="9:10" x14ac:dyDescent="0.25">
      <c r="I440" s="40"/>
      <c r="J440" s="40"/>
    </row>
    <row r="441" spans="9:10" x14ac:dyDescent="0.25">
      <c r="I441" s="40"/>
      <c r="J441" s="40"/>
    </row>
    <row r="442" spans="9:10" x14ac:dyDescent="0.25">
      <c r="I442" s="40"/>
      <c r="J442" s="40"/>
    </row>
    <row r="443" spans="9:10" x14ac:dyDescent="0.25">
      <c r="I443" s="40"/>
      <c r="J443" s="40"/>
    </row>
    <row r="444" spans="9:10" x14ac:dyDescent="0.25">
      <c r="I444" s="40"/>
      <c r="J444" s="40"/>
    </row>
    <row r="445" spans="9:10" x14ac:dyDescent="0.25">
      <c r="I445" s="40"/>
      <c r="J445" s="40"/>
    </row>
    <row r="446" spans="9:10" x14ac:dyDescent="0.25">
      <c r="I446" s="40"/>
      <c r="J446" s="40"/>
    </row>
    <row r="447" spans="9:10" x14ac:dyDescent="0.25">
      <c r="I447" s="40"/>
      <c r="J447" s="40"/>
    </row>
    <row r="448" spans="9:10" x14ac:dyDescent="0.25">
      <c r="I448" s="40"/>
      <c r="J448" s="40"/>
    </row>
    <row r="449" spans="9:10" x14ac:dyDescent="0.25">
      <c r="I449" s="40"/>
      <c r="J449" s="40"/>
    </row>
    <row r="450" spans="9:10" x14ac:dyDescent="0.25">
      <c r="I450" s="40"/>
      <c r="J450" s="40"/>
    </row>
    <row r="451" spans="9:10" x14ac:dyDescent="0.25">
      <c r="I451" s="40"/>
      <c r="J451" s="40"/>
    </row>
    <row r="452" spans="9:10" x14ac:dyDescent="0.25">
      <c r="I452" s="40"/>
      <c r="J452" s="40"/>
    </row>
    <row r="453" spans="9:10" x14ac:dyDescent="0.25">
      <c r="I453" s="40"/>
      <c r="J453" s="40"/>
    </row>
    <row r="454" spans="9:10" x14ac:dyDescent="0.25">
      <c r="I454" s="40"/>
      <c r="J454" s="40"/>
    </row>
    <row r="455" spans="9:10" x14ac:dyDescent="0.25">
      <c r="I455" s="40"/>
      <c r="J455" s="40"/>
    </row>
    <row r="456" spans="9:10" x14ac:dyDescent="0.25">
      <c r="I456" s="40"/>
      <c r="J456" s="40"/>
    </row>
    <row r="457" spans="9:10" x14ac:dyDescent="0.25">
      <c r="I457" s="40"/>
      <c r="J457" s="40"/>
    </row>
    <row r="458" spans="9:10" x14ac:dyDescent="0.25">
      <c r="I458" s="40"/>
      <c r="J458" s="40"/>
    </row>
    <row r="459" spans="9:10" x14ac:dyDescent="0.25">
      <c r="I459" s="40"/>
      <c r="J459" s="40"/>
    </row>
    <row r="460" spans="9:10" x14ac:dyDescent="0.25">
      <c r="I460" s="40"/>
      <c r="J460" s="40"/>
    </row>
    <row r="461" spans="9:10" x14ac:dyDescent="0.25">
      <c r="I461" s="40"/>
      <c r="J461" s="40"/>
    </row>
    <row r="462" spans="9:10" x14ac:dyDescent="0.25">
      <c r="I462" s="40"/>
      <c r="J462" s="40"/>
    </row>
    <row r="463" spans="9:10" x14ac:dyDescent="0.25">
      <c r="I463" s="40"/>
      <c r="J463" s="40"/>
    </row>
    <row r="464" spans="9:10" x14ac:dyDescent="0.25">
      <c r="I464" s="40"/>
      <c r="J464" s="40"/>
    </row>
    <row r="465" spans="9:10" x14ac:dyDescent="0.25">
      <c r="I465" s="40"/>
      <c r="J465" s="40"/>
    </row>
    <row r="466" spans="9:10" x14ac:dyDescent="0.25">
      <c r="I466" s="40"/>
      <c r="J466" s="40"/>
    </row>
    <row r="467" spans="9:10" x14ac:dyDescent="0.25">
      <c r="I467" s="40"/>
      <c r="J467" s="40"/>
    </row>
    <row r="468" spans="9:10" x14ac:dyDescent="0.25">
      <c r="I468" s="40"/>
      <c r="J468" s="40"/>
    </row>
    <row r="469" spans="9:10" x14ac:dyDescent="0.25">
      <c r="I469" s="40"/>
      <c r="J469" s="40"/>
    </row>
    <row r="470" spans="9:10" x14ac:dyDescent="0.25">
      <c r="I470" s="40"/>
      <c r="J470" s="40"/>
    </row>
    <row r="471" spans="9:10" x14ac:dyDescent="0.25">
      <c r="I471" s="40"/>
      <c r="J471" s="40"/>
    </row>
    <row r="472" spans="9:10" x14ac:dyDescent="0.25">
      <c r="I472" s="40"/>
      <c r="J472" s="40"/>
    </row>
    <row r="473" spans="9:10" x14ac:dyDescent="0.25">
      <c r="I473" s="40"/>
      <c r="J473" s="40"/>
    </row>
    <row r="474" spans="9:10" x14ac:dyDescent="0.25">
      <c r="I474" s="40"/>
      <c r="J474" s="40"/>
    </row>
    <row r="475" spans="9:10" x14ac:dyDescent="0.25">
      <c r="I475" s="40"/>
      <c r="J475" s="40"/>
    </row>
    <row r="476" spans="9:10" x14ac:dyDescent="0.25">
      <c r="I476" s="40"/>
      <c r="J476" s="40"/>
    </row>
    <row r="477" spans="9:10" x14ac:dyDescent="0.25">
      <c r="I477" s="40"/>
      <c r="J477" s="40"/>
    </row>
    <row r="478" spans="9:10" x14ac:dyDescent="0.25">
      <c r="I478" s="40"/>
      <c r="J478" s="40"/>
    </row>
    <row r="479" spans="9:10" x14ac:dyDescent="0.25">
      <c r="I479" s="40"/>
      <c r="J479" s="40"/>
    </row>
    <row r="480" spans="9:10" x14ac:dyDescent="0.25">
      <c r="I480" s="40"/>
      <c r="J480" s="40"/>
    </row>
    <row r="481" spans="9:10" x14ac:dyDescent="0.25">
      <c r="I481" s="40"/>
      <c r="J481" s="40"/>
    </row>
    <row r="482" spans="9:10" x14ac:dyDescent="0.25">
      <c r="I482" s="40"/>
      <c r="J482" s="40"/>
    </row>
    <row r="483" spans="9:10" x14ac:dyDescent="0.25">
      <c r="I483" s="40"/>
      <c r="J483" s="40"/>
    </row>
    <row r="484" spans="9:10" x14ac:dyDescent="0.25">
      <c r="I484" s="40"/>
      <c r="J484" s="40"/>
    </row>
    <row r="485" spans="9:10" x14ac:dyDescent="0.25">
      <c r="I485" s="40"/>
      <c r="J485" s="40"/>
    </row>
    <row r="486" spans="9:10" x14ac:dyDescent="0.25">
      <c r="I486" s="40"/>
      <c r="J486" s="40"/>
    </row>
    <row r="487" spans="9:10" x14ac:dyDescent="0.25">
      <c r="I487" s="40"/>
      <c r="J487" s="40"/>
    </row>
    <row r="488" spans="9:10" x14ac:dyDescent="0.25">
      <c r="I488" s="40"/>
      <c r="J488" s="40"/>
    </row>
    <row r="489" spans="9:10" x14ac:dyDescent="0.25">
      <c r="I489" s="40"/>
      <c r="J489" s="40"/>
    </row>
    <row r="490" spans="9:10" x14ac:dyDescent="0.25">
      <c r="I490" s="40"/>
      <c r="J490" s="40"/>
    </row>
    <row r="491" spans="9:10" x14ac:dyDescent="0.25">
      <c r="I491" s="40"/>
      <c r="J491" s="40"/>
    </row>
    <row r="492" spans="9:10" x14ac:dyDescent="0.25">
      <c r="I492" s="40"/>
      <c r="J492" s="40"/>
    </row>
    <row r="493" spans="9:10" x14ac:dyDescent="0.25">
      <c r="I493" s="40"/>
      <c r="J493" s="40"/>
    </row>
    <row r="494" spans="9:10" x14ac:dyDescent="0.25">
      <c r="I494" s="40"/>
      <c r="J494" s="40"/>
    </row>
    <row r="495" spans="9:10" x14ac:dyDescent="0.25">
      <c r="I495" s="40"/>
      <c r="J495" s="40"/>
    </row>
    <row r="496" spans="9:10" x14ac:dyDescent="0.25">
      <c r="I496" s="40"/>
      <c r="J496" s="40"/>
    </row>
    <row r="497" spans="9:10" x14ac:dyDescent="0.25">
      <c r="I497" s="40"/>
      <c r="J497" s="40"/>
    </row>
    <row r="498" spans="9:10" x14ac:dyDescent="0.25">
      <c r="I498" s="40"/>
      <c r="J498" s="40"/>
    </row>
    <row r="499" spans="9:10" x14ac:dyDescent="0.25">
      <c r="I499" s="40"/>
      <c r="J499" s="40"/>
    </row>
    <row r="500" spans="9:10" x14ac:dyDescent="0.25">
      <c r="I500" s="40"/>
      <c r="J500" s="40"/>
    </row>
    <row r="501" spans="9:10" x14ac:dyDescent="0.25">
      <c r="I501" s="40"/>
      <c r="J501" s="40"/>
    </row>
    <row r="502" spans="9:10" x14ac:dyDescent="0.25">
      <c r="I502" s="40"/>
      <c r="J502" s="40"/>
    </row>
    <row r="503" spans="9:10" x14ac:dyDescent="0.25">
      <c r="I503" s="40"/>
      <c r="J503" s="40"/>
    </row>
    <row r="504" spans="9:10" x14ac:dyDescent="0.25">
      <c r="I504" s="40"/>
      <c r="J504" s="40"/>
    </row>
    <row r="505" spans="9:10" x14ac:dyDescent="0.25">
      <c r="I505" s="40"/>
      <c r="J505" s="40"/>
    </row>
    <row r="506" spans="9:10" x14ac:dyDescent="0.25">
      <c r="I506" s="40"/>
      <c r="J506" s="40"/>
    </row>
    <row r="507" spans="9:10" x14ac:dyDescent="0.25">
      <c r="I507" s="40"/>
      <c r="J507" s="40"/>
    </row>
    <row r="508" spans="9:10" x14ac:dyDescent="0.25">
      <c r="I508" s="40"/>
      <c r="J508" s="40"/>
    </row>
    <row r="509" spans="9:10" x14ac:dyDescent="0.25">
      <c r="I509" s="40"/>
      <c r="J509" s="40"/>
    </row>
    <row r="510" spans="9:10" x14ac:dyDescent="0.25">
      <c r="I510" s="40"/>
      <c r="J510" s="40"/>
    </row>
    <row r="511" spans="9:10" x14ac:dyDescent="0.25">
      <c r="I511" s="40"/>
      <c r="J511" s="40"/>
    </row>
    <row r="512" spans="9:10" x14ac:dyDescent="0.25">
      <c r="I512" s="40"/>
      <c r="J512" s="40"/>
    </row>
    <row r="513" spans="9:10" x14ac:dyDescent="0.25">
      <c r="I513" s="40"/>
      <c r="J513" s="40"/>
    </row>
    <row r="514" spans="9:10" x14ac:dyDescent="0.25">
      <c r="I514" s="40"/>
      <c r="J514" s="40"/>
    </row>
    <row r="515" spans="9:10" x14ac:dyDescent="0.25">
      <c r="I515" s="40"/>
      <c r="J515" s="40"/>
    </row>
    <row r="516" spans="9:10" x14ac:dyDescent="0.25">
      <c r="I516" s="40"/>
      <c r="J516" s="40"/>
    </row>
    <row r="517" spans="9:10" x14ac:dyDescent="0.25">
      <c r="I517" s="40"/>
      <c r="J517" s="40"/>
    </row>
    <row r="518" spans="9:10" x14ac:dyDescent="0.25">
      <c r="I518" s="40"/>
      <c r="J518" s="40"/>
    </row>
    <row r="519" spans="9:10" x14ac:dyDescent="0.25">
      <c r="I519" s="40"/>
      <c r="J519" s="40"/>
    </row>
    <row r="520" spans="9:10" x14ac:dyDescent="0.25">
      <c r="I520" s="40"/>
      <c r="J520" s="40"/>
    </row>
    <row r="521" spans="9:10" x14ac:dyDescent="0.25">
      <c r="I521" s="40"/>
      <c r="J521" s="40"/>
    </row>
    <row r="522" spans="9:10" x14ac:dyDescent="0.25">
      <c r="I522" s="40"/>
      <c r="J522" s="40"/>
    </row>
    <row r="523" spans="9:10" x14ac:dyDescent="0.25">
      <c r="I523" s="40"/>
      <c r="J523" s="40"/>
    </row>
    <row r="524" spans="9:10" x14ac:dyDescent="0.25">
      <c r="I524" s="40"/>
      <c r="J524" s="40"/>
    </row>
    <row r="525" spans="9:10" x14ac:dyDescent="0.25">
      <c r="I525" s="40"/>
      <c r="J525" s="40"/>
    </row>
    <row r="526" spans="9:10" x14ac:dyDescent="0.25">
      <c r="I526" s="40"/>
      <c r="J526" s="40"/>
    </row>
    <row r="527" spans="9:10" x14ac:dyDescent="0.25">
      <c r="I527" s="40"/>
      <c r="J527" s="40"/>
    </row>
    <row r="528" spans="9:10" x14ac:dyDescent="0.25">
      <c r="I528" s="40"/>
      <c r="J528" s="40"/>
    </row>
    <row r="529" spans="9:10" x14ac:dyDescent="0.25">
      <c r="I529" s="40"/>
      <c r="J529" s="40"/>
    </row>
    <row r="530" spans="9:10" x14ac:dyDescent="0.25">
      <c r="I530" s="40"/>
      <c r="J530" s="40"/>
    </row>
    <row r="531" spans="9:10" x14ac:dyDescent="0.25">
      <c r="I531" s="40"/>
      <c r="J531" s="40"/>
    </row>
    <row r="532" spans="9:10" x14ac:dyDescent="0.25">
      <c r="I532" s="40"/>
      <c r="J532" s="40"/>
    </row>
    <row r="533" spans="9:10" x14ac:dyDescent="0.25">
      <c r="I533" s="40"/>
      <c r="J533" s="40"/>
    </row>
    <row r="534" spans="9:10" x14ac:dyDescent="0.25">
      <c r="I534" s="40"/>
      <c r="J534" s="40"/>
    </row>
    <row r="535" spans="9:10" x14ac:dyDescent="0.25">
      <c r="I535" s="40"/>
      <c r="J535" s="40"/>
    </row>
    <row r="536" spans="9:10" x14ac:dyDescent="0.25">
      <c r="I536" s="40"/>
      <c r="J536" s="40"/>
    </row>
    <row r="537" spans="9:10" x14ac:dyDescent="0.25">
      <c r="I537" s="40"/>
      <c r="J537" s="40"/>
    </row>
    <row r="538" spans="9:10" x14ac:dyDescent="0.25">
      <c r="I538" s="40"/>
      <c r="J538" s="40"/>
    </row>
    <row r="539" spans="9:10" x14ac:dyDescent="0.25">
      <c r="I539" s="40"/>
      <c r="J539" s="40"/>
    </row>
    <row r="540" spans="9:10" x14ac:dyDescent="0.25">
      <c r="I540" s="40"/>
      <c r="J540" s="40"/>
    </row>
    <row r="541" spans="9:10" x14ac:dyDescent="0.25">
      <c r="I541" s="40"/>
      <c r="J541" s="40"/>
    </row>
    <row r="542" spans="9:10" x14ac:dyDescent="0.25">
      <c r="I542" s="40"/>
      <c r="J542" s="40"/>
    </row>
    <row r="543" spans="9:10" x14ac:dyDescent="0.25">
      <c r="I543" s="40"/>
      <c r="J543" s="40"/>
    </row>
    <row r="544" spans="9:10" x14ac:dyDescent="0.25">
      <c r="I544" s="40"/>
      <c r="J544" s="40"/>
    </row>
    <row r="545" spans="9:10" x14ac:dyDescent="0.25">
      <c r="I545" s="40"/>
      <c r="J545" s="40"/>
    </row>
    <row r="546" spans="9:10" x14ac:dyDescent="0.25">
      <c r="I546" s="40"/>
      <c r="J546" s="40"/>
    </row>
    <row r="547" spans="9:10" x14ac:dyDescent="0.25">
      <c r="I547" s="40"/>
      <c r="J547" s="40"/>
    </row>
    <row r="548" spans="9:10" x14ac:dyDescent="0.25">
      <c r="I548" s="40"/>
      <c r="J548" s="40"/>
    </row>
    <row r="549" spans="9:10" x14ac:dyDescent="0.25">
      <c r="I549" s="40"/>
      <c r="J549" s="40"/>
    </row>
    <row r="550" spans="9:10" x14ac:dyDescent="0.25">
      <c r="I550" s="40"/>
      <c r="J550" s="40"/>
    </row>
    <row r="551" spans="9:10" x14ac:dyDescent="0.25">
      <c r="I551" s="40"/>
      <c r="J551" s="40"/>
    </row>
    <row r="552" spans="9:10" x14ac:dyDescent="0.25">
      <c r="I552" s="40"/>
      <c r="J552" s="40"/>
    </row>
    <row r="553" spans="9:10" x14ac:dyDescent="0.25">
      <c r="I553" s="40"/>
      <c r="J553" s="40"/>
    </row>
    <row r="554" spans="9:10" x14ac:dyDescent="0.25">
      <c r="I554" s="40"/>
      <c r="J554" s="40"/>
    </row>
    <row r="555" spans="9:10" x14ac:dyDescent="0.25">
      <c r="I555" s="40"/>
      <c r="J555" s="40"/>
    </row>
    <row r="556" spans="9:10" x14ac:dyDescent="0.25">
      <c r="I556" s="40"/>
      <c r="J556" s="40"/>
    </row>
    <row r="557" spans="9:10" x14ac:dyDescent="0.25">
      <c r="I557" s="40"/>
      <c r="J557" s="40"/>
    </row>
    <row r="558" spans="9:10" x14ac:dyDescent="0.25">
      <c r="I558" s="40"/>
      <c r="J558" s="40"/>
    </row>
    <row r="559" spans="9:10" x14ac:dyDescent="0.25">
      <c r="I559" s="40"/>
      <c r="J559" s="40"/>
    </row>
    <row r="560" spans="9:10" x14ac:dyDescent="0.25">
      <c r="I560" s="40"/>
      <c r="J560" s="40"/>
    </row>
    <row r="561" spans="9:10" x14ac:dyDescent="0.25">
      <c r="I561" s="40"/>
      <c r="J561" s="40"/>
    </row>
    <row r="562" spans="9:10" x14ac:dyDescent="0.25">
      <c r="I562" s="40"/>
      <c r="J562" s="40"/>
    </row>
    <row r="563" spans="9:10" x14ac:dyDescent="0.25">
      <c r="I563" s="40"/>
      <c r="J563" s="40"/>
    </row>
    <row r="564" spans="9:10" x14ac:dyDescent="0.25">
      <c r="I564" s="40"/>
      <c r="J564" s="40"/>
    </row>
    <row r="565" spans="9:10" x14ac:dyDescent="0.25">
      <c r="I565" s="40"/>
      <c r="J565" s="40"/>
    </row>
    <row r="566" spans="9:10" x14ac:dyDescent="0.25">
      <c r="I566" s="40"/>
      <c r="J566" s="40"/>
    </row>
    <row r="567" spans="9:10" x14ac:dyDescent="0.25">
      <c r="I567" s="40"/>
      <c r="J567" s="40"/>
    </row>
    <row r="568" spans="9:10" x14ac:dyDescent="0.25">
      <c r="I568" s="40"/>
      <c r="J568" s="40"/>
    </row>
    <row r="569" spans="9:10" x14ac:dyDescent="0.25">
      <c r="I569" s="40"/>
      <c r="J569" s="40"/>
    </row>
    <row r="570" spans="9:10" x14ac:dyDescent="0.25">
      <c r="I570" s="40"/>
      <c r="J570" s="40"/>
    </row>
    <row r="571" spans="9:10" x14ac:dyDescent="0.25">
      <c r="I571" s="40"/>
      <c r="J571" s="40"/>
    </row>
    <row r="572" spans="9:10" x14ac:dyDescent="0.25">
      <c r="I572" s="40"/>
      <c r="J572" s="40"/>
    </row>
    <row r="573" spans="9:10" x14ac:dyDescent="0.25">
      <c r="I573" s="40"/>
      <c r="J573" s="40"/>
    </row>
    <row r="574" spans="9:10" x14ac:dyDescent="0.25">
      <c r="I574" s="40"/>
      <c r="J574" s="40"/>
    </row>
    <row r="575" spans="9:10" x14ac:dyDescent="0.25">
      <c r="I575" s="40"/>
      <c r="J575" s="40"/>
    </row>
    <row r="576" spans="9:10" x14ac:dyDescent="0.25">
      <c r="I576" s="40"/>
      <c r="J576" s="40"/>
    </row>
    <row r="577" spans="9:10" x14ac:dyDescent="0.25">
      <c r="I577" s="40"/>
      <c r="J577" s="40"/>
    </row>
    <row r="578" spans="9:10" x14ac:dyDescent="0.25">
      <c r="I578" s="40"/>
      <c r="J578" s="40"/>
    </row>
    <row r="579" spans="9:10" x14ac:dyDescent="0.25">
      <c r="I579" s="40"/>
      <c r="J579" s="40"/>
    </row>
    <row r="580" spans="9:10" x14ac:dyDescent="0.25">
      <c r="I580" s="40"/>
      <c r="J580" s="40"/>
    </row>
    <row r="581" spans="9:10" x14ac:dyDescent="0.25">
      <c r="I581" s="40"/>
      <c r="J581" s="40"/>
    </row>
    <row r="582" spans="9:10" x14ac:dyDescent="0.25">
      <c r="I582" s="40"/>
      <c r="J582" s="40"/>
    </row>
    <row r="583" spans="9:10" x14ac:dyDescent="0.25">
      <c r="I583" s="40"/>
      <c r="J583" s="40"/>
    </row>
    <row r="584" spans="9:10" x14ac:dyDescent="0.25">
      <c r="I584" s="40"/>
      <c r="J584" s="40"/>
    </row>
    <row r="585" spans="9:10" x14ac:dyDescent="0.25">
      <c r="I585" s="40"/>
      <c r="J585" s="40"/>
    </row>
    <row r="586" spans="9:10" x14ac:dyDescent="0.25">
      <c r="I586" s="40"/>
      <c r="J586" s="40"/>
    </row>
    <row r="587" spans="9:10" x14ac:dyDescent="0.25">
      <c r="I587" s="40"/>
      <c r="J587" s="40"/>
    </row>
    <row r="588" spans="9:10" x14ac:dyDescent="0.25">
      <c r="I588" s="40"/>
      <c r="J588" s="40"/>
    </row>
    <row r="589" spans="9:10" x14ac:dyDescent="0.25">
      <c r="I589" s="40"/>
      <c r="J589" s="40"/>
    </row>
    <row r="590" spans="9:10" x14ac:dyDescent="0.25">
      <c r="I590" s="40"/>
      <c r="J590" s="40"/>
    </row>
    <row r="591" spans="9:10" x14ac:dyDescent="0.25">
      <c r="I591" s="40"/>
      <c r="J591" s="40"/>
    </row>
    <row r="592" spans="9:10" x14ac:dyDescent="0.25">
      <c r="I592" s="40"/>
      <c r="J592" s="40"/>
    </row>
    <row r="593" spans="9:10" x14ac:dyDescent="0.25">
      <c r="I593" s="40"/>
      <c r="J593" s="40"/>
    </row>
    <row r="594" spans="9:10" x14ac:dyDescent="0.25">
      <c r="I594" s="40"/>
      <c r="J594" s="40"/>
    </row>
    <row r="595" spans="9:10" x14ac:dyDescent="0.25">
      <c r="I595" s="40"/>
      <c r="J595" s="40"/>
    </row>
    <row r="596" spans="9:10" x14ac:dyDescent="0.25">
      <c r="I596" s="40"/>
      <c r="J596" s="40"/>
    </row>
    <row r="597" spans="9:10" x14ac:dyDescent="0.25">
      <c r="I597" s="40"/>
      <c r="J597" s="40"/>
    </row>
    <row r="598" spans="9:10" x14ac:dyDescent="0.25">
      <c r="I598" s="40"/>
      <c r="J598" s="40"/>
    </row>
    <row r="599" spans="9:10" x14ac:dyDescent="0.25">
      <c r="I599" s="40"/>
      <c r="J599" s="40"/>
    </row>
    <row r="600" spans="9:10" x14ac:dyDescent="0.25">
      <c r="I600" s="40"/>
      <c r="J600" s="40"/>
    </row>
    <row r="601" spans="9:10" x14ac:dyDescent="0.25">
      <c r="I601" s="40"/>
      <c r="J601" s="40"/>
    </row>
    <row r="602" spans="9:10" x14ac:dyDescent="0.25">
      <c r="I602" s="40"/>
      <c r="J602" s="40"/>
    </row>
    <row r="603" spans="9:10" x14ac:dyDescent="0.25">
      <c r="I603" s="40"/>
      <c r="J603" s="40"/>
    </row>
    <row r="604" spans="9:10" x14ac:dyDescent="0.25">
      <c r="I604" s="40"/>
      <c r="J604" s="40"/>
    </row>
    <row r="605" spans="9:10" x14ac:dyDescent="0.25">
      <c r="I605" s="40"/>
      <c r="J605" s="40"/>
    </row>
    <row r="606" spans="9:10" x14ac:dyDescent="0.25">
      <c r="I606" s="40"/>
      <c r="J606" s="40"/>
    </row>
    <row r="607" spans="9:10" x14ac:dyDescent="0.25">
      <c r="I607" s="40"/>
      <c r="J607" s="40"/>
    </row>
    <row r="608" spans="9:10" x14ac:dyDescent="0.25">
      <c r="I608" s="40"/>
      <c r="J608" s="40"/>
    </row>
    <row r="609" spans="9:10" x14ac:dyDescent="0.25">
      <c r="I609" s="40"/>
      <c r="J609" s="40"/>
    </row>
    <row r="610" spans="9:10" x14ac:dyDescent="0.25">
      <c r="I610" s="40"/>
      <c r="J610" s="40"/>
    </row>
    <row r="611" spans="9:10" x14ac:dyDescent="0.25">
      <c r="I611" s="40"/>
      <c r="J611" s="40"/>
    </row>
    <row r="612" spans="9:10" x14ac:dyDescent="0.25">
      <c r="I612" s="40"/>
      <c r="J612" s="40"/>
    </row>
    <row r="613" spans="9:10" x14ac:dyDescent="0.25">
      <c r="I613" s="40"/>
      <c r="J613" s="40"/>
    </row>
    <row r="614" spans="9:10" x14ac:dyDescent="0.25">
      <c r="I614" s="40"/>
      <c r="J614" s="40"/>
    </row>
    <row r="615" spans="9:10" x14ac:dyDescent="0.25">
      <c r="I615" s="40"/>
      <c r="J615" s="40"/>
    </row>
    <row r="616" spans="9:10" x14ac:dyDescent="0.25">
      <c r="I616" s="40"/>
      <c r="J616" s="40"/>
    </row>
    <row r="617" spans="9:10" x14ac:dyDescent="0.25">
      <c r="I617" s="40"/>
      <c r="J617" s="40"/>
    </row>
    <row r="618" spans="9:10" x14ac:dyDescent="0.25">
      <c r="I618" s="40"/>
      <c r="J618" s="40"/>
    </row>
    <row r="619" spans="9:10" x14ac:dyDescent="0.25">
      <c r="I619" s="40"/>
      <c r="J619" s="40"/>
    </row>
    <row r="620" spans="9:10" x14ac:dyDescent="0.25">
      <c r="I620" s="40"/>
      <c r="J620" s="40"/>
    </row>
    <row r="621" spans="9:10" x14ac:dyDescent="0.25">
      <c r="I621" s="40"/>
      <c r="J621" s="40"/>
    </row>
    <row r="622" spans="9:10" x14ac:dyDescent="0.25">
      <c r="I622" s="40"/>
      <c r="J622" s="40"/>
    </row>
    <row r="623" spans="9:10" x14ac:dyDescent="0.25">
      <c r="I623" s="40"/>
      <c r="J623" s="40"/>
    </row>
    <row r="624" spans="9:10" x14ac:dyDescent="0.25">
      <c r="I624" s="40"/>
      <c r="J624" s="40"/>
    </row>
    <row r="625" spans="9:10" x14ac:dyDescent="0.25">
      <c r="I625" s="40"/>
      <c r="J625" s="40"/>
    </row>
    <row r="626" spans="9:10" x14ac:dyDescent="0.25">
      <c r="I626" s="40"/>
      <c r="J626" s="40"/>
    </row>
    <row r="627" spans="9:10" x14ac:dyDescent="0.25">
      <c r="I627" s="40"/>
      <c r="J627" s="40"/>
    </row>
    <row r="628" spans="9:10" x14ac:dyDescent="0.25">
      <c r="I628" s="40"/>
      <c r="J628" s="40"/>
    </row>
    <row r="629" spans="9:10" x14ac:dyDescent="0.25">
      <c r="I629" s="40"/>
      <c r="J629" s="40"/>
    </row>
    <row r="630" spans="9:10" x14ac:dyDescent="0.25">
      <c r="I630" s="40"/>
      <c r="J630" s="40"/>
    </row>
    <row r="631" spans="9:10" x14ac:dyDescent="0.25">
      <c r="I631" s="40"/>
      <c r="J631" s="40"/>
    </row>
    <row r="632" spans="9:10" x14ac:dyDescent="0.25">
      <c r="I632" s="40"/>
      <c r="J632" s="40"/>
    </row>
    <row r="633" spans="9:10" x14ac:dyDescent="0.25">
      <c r="I633" s="40"/>
      <c r="J633" s="40"/>
    </row>
    <row r="634" spans="9:10" x14ac:dyDescent="0.25">
      <c r="I634" s="40"/>
      <c r="J634" s="40"/>
    </row>
    <row r="635" spans="9:10" x14ac:dyDescent="0.25">
      <c r="I635" s="40"/>
      <c r="J635" s="40"/>
    </row>
    <row r="636" spans="9:10" x14ac:dyDescent="0.25">
      <c r="I636" s="40"/>
      <c r="J636" s="40"/>
    </row>
    <row r="637" spans="9:10" x14ac:dyDescent="0.25">
      <c r="I637" s="40"/>
      <c r="J637" s="40"/>
    </row>
    <row r="638" spans="9:10" x14ac:dyDescent="0.25">
      <c r="I638" s="40"/>
      <c r="J638" s="40"/>
    </row>
    <row r="639" spans="9:10" x14ac:dyDescent="0.25">
      <c r="I639" s="40"/>
      <c r="J639" s="40"/>
    </row>
    <row r="640" spans="9:10" x14ac:dyDescent="0.25">
      <c r="I640" s="40"/>
      <c r="J640" s="40"/>
    </row>
    <row r="641" spans="9:10" x14ac:dyDescent="0.25">
      <c r="I641" s="40"/>
      <c r="J641" s="40"/>
    </row>
    <row r="642" spans="9:10" x14ac:dyDescent="0.25">
      <c r="I642" s="40"/>
      <c r="J642" s="40"/>
    </row>
    <row r="643" spans="9:10" x14ac:dyDescent="0.25">
      <c r="I643" s="40"/>
      <c r="J643" s="40"/>
    </row>
    <row r="644" spans="9:10" x14ac:dyDescent="0.25">
      <c r="I644" s="40"/>
      <c r="J644" s="40"/>
    </row>
    <row r="645" spans="9:10" x14ac:dyDescent="0.25">
      <c r="I645" s="40"/>
      <c r="J645" s="40"/>
    </row>
    <row r="646" spans="9:10" x14ac:dyDescent="0.25">
      <c r="I646" s="40"/>
      <c r="J646" s="40"/>
    </row>
    <row r="647" spans="9:10" x14ac:dyDescent="0.25">
      <c r="I647" s="40"/>
      <c r="J647" s="40"/>
    </row>
    <row r="648" spans="9:10" x14ac:dyDescent="0.25">
      <c r="I648" s="40"/>
      <c r="J648" s="40"/>
    </row>
    <row r="649" spans="9:10" x14ac:dyDescent="0.25">
      <c r="I649" s="40"/>
      <c r="J649" s="40"/>
    </row>
    <row r="650" spans="9:10" x14ac:dyDescent="0.25">
      <c r="I650" s="40"/>
      <c r="J650" s="40"/>
    </row>
    <row r="651" spans="9:10" x14ac:dyDescent="0.25">
      <c r="I651" s="40"/>
      <c r="J651" s="40"/>
    </row>
    <row r="652" spans="9:10" x14ac:dyDescent="0.25">
      <c r="I652" s="40"/>
      <c r="J652" s="40"/>
    </row>
    <row r="653" spans="9:10" x14ac:dyDescent="0.25">
      <c r="I653" s="40"/>
      <c r="J653" s="40"/>
    </row>
    <row r="654" spans="9:10" x14ac:dyDescent="0.25">
      <c r="I654" s="40"/>
      <c r="J654" s="40"/>
    </row>
    <row r="655" spans="9:10" x14ac:dyDescent="0.25">
      <c r="I655" s="40"/>
      <c r="J655" s="40"/>
    </row>
    <row r="656" spans="9:10" x14ac:dyDescent="0.25">
      <c r="I656" s="40"/>
      <c r="J656" s="40"/>
    </row>
    <row r="657" spans="9:10" x14ac:dyDescent="0.25">
      <c r="I657" s="40"/>
      <c r="J657" s="40"/>
    </row>
    <row r="658" spans="9:10" x14ac:dyDescent="0.25">
      <c r="I658" s="40"/>
      <c r="J658" s="40"/>
    </row>
    <row r="659" spans="9:10" x14ac:dyDescent="0.25">
      <c r="I659" s="40"/>
      <c r="J659" s="40"/>
    </row>
    <row r="660" spans="9:10" x14ac:dyDescent="0.25">
      <c r="I660" s="40"/>
      <c r="J660" s="40"/>
    </row>
    <row r="661" spans="9:10" x14ac:dyDescent="0.25">
      <c r="I661" s="40"/>
      <c r="J661" s="40"/>
    </row>
    <row r="662" spans="9:10" x14ac:dyDescent="0.25">
      <c r="I662" s="40"/>
      <c r="J662" s="40"/>
    </row>
    <row r="663" spans="9:10" x14ac:dyDescent="0.25">
      <c r="I663" s="40"/>
      <c r="J663" s="40"/>
    </row>
    <row r="664" spans="9:10" x14ac:dyDescent="0.25">
      <c r="I664" s="40"/>
      <c r="J664" s="40"/>
    </row>
    <row r="665" spans="9:10" x14ac:dyDescent="0.25">
      <c r="I665" s="40"/>
      <c r="J665" s="40"/>
    </row>
    <row r="666" spans="9:10" x14ac:dyDescent="0.25">
      <c r="I666" s="40"/>
      <c r="J666" s="40"/>
    </row>
    <row r="667" spans="9:10" x14ac:dyDescent="0.25">
      <c r="I667" s="40"/>
      <c r="J667" s="40"/>
    </row>
    <row r="668" spans="9:10" x14ac:dyDescent="0.25">
      <c r="I668" s="40"/>
      <c r="J668" s="40"/>
    </row>
    <row r="669" spans="9:10" x14ac:dyDescent="0.25">
      <c r="I669" s="40"/>
      <c r="J669" s="40"/>
    </row>
    <row r="670" spans="9:10" x14ac:dyDescent="0.25">
      <c r="I670" s="40"/>
      <c r="J670" s="40"/>
    </row>
    <row r="671" spans="9:10" x14ac:dyDescent="0.25">
      <c r="I671" s="40"/>
      <c r="J671" s="40"/>
    </row>
    <row r="672" spans="9:10" x14ac:dyDescent="0.25">
      <c r="I672" s="40"/>
      <c r="J672" s="40"/>
    </row>
    <row r="673" spans="9:10" x14ac:dyDescent="0.25">
      <c r="I673" s="40"/>
      <c r="J673" s="40"/>
    </row>
    <row r="674" spans="9:10" x14ac:dyDescent="0.25">
      <c r="I674" s="40"/>
      <c r="J674" s="40"/>
    </row>
    <row r="675" spans="9:10" x14ac:dyDescent="0.25">
      <c r="I675" s="40"/>
      <c r="J675" s="40"/>
    </row>
    <row r="676" spans="9:10" x14ac:dyDescent="0.25">
      <c r="I676" s="40"/>
      <c r="J676" s="40"/>
    </row>
    <row r="677" spans="9:10" x14ac:dyDescent="0.25">
      <c r="I677" s="40"/>
      <c r="J677" s="40"/>
    </row>
    <row r="678" spans="9:10" x14ac:dyDescent="0.25">
      <c r="I678" s="40"/>
      <c r="J678" s="40"/>
    </row>
    <row r="679" spans="9:10" x14ac:dyDescent="0.25">
      <c r="I679" s="40"/>
      <c r="J679" s="40"/>
    </row>
    <row r="680" spans="9:10" x14ac:dyDescent="0.25">
      <c r="I680" s="40"/>
      <c r="J680" s="40"/>
    </row>
    <row r="681" spans="9:10" x14ac:dyDescent="0.25">
      <c r="I681" s="40"/>
      <c r="J681" s="40"/>
    </row>
    <row r="682" spans="9:10" x14ac:dyDescent="0.25">
      <c r="I682" s="40"/>
      <c r="J682" s="40"/>
    </row>
    <row r="683" spans="9:10" x14ac:dyDescent="0.25">
      <c r="I683" s="40"/>
      <c r="J683" s="40"/>
    </row>
    <row r="684" spans="9:10" x14ac:dyDescent="0.25">
      <c r="I684" s="40"/>
      <c r="J684" s="40"/>
    </row>
    <row r="685" spans="9:10" x14ac:dyDescent="0.25">
      <c r="I685" s="40"/>
      <c r="J685" s="40"/>
    </row>
    <row r="686" spans="9:10" x14ac:dyDescent="0.25">
      <c r="I686" s="40"/>
      <c r="J686" s="40"/>
    </row>
    <row r="687" spans="9:10" x14ac:dyDescent="0.25">
      <c r="I687" s="40"/>
      <c r="J687" s="40"/>
    </row>
    <row r="688" spans="9:10" x14ac:dyDescent="0.25">
      <c r="I688" s="40"/>
      <c r="J688" s="40"/>
    </row>
    <row r="689" spans="9:10" x14ac:dyDescent="0.25">
      <c r="I689" s="40"/>
      <c r="J689" s="40"/>
    </row>
    <row r="690" spans="9:10" x14ac:dyDescent="0.25">
      <c r="I690" s="40"/>
      <c r="J690" s="40"/>
    </row>
    <row r="691" spans="9:10" x14ac:dyDescent="0.25">
      <c r="I691" s="40"/>
      <c r="J691" s="40"/>
    </row>
    <row r="692" spans="9:10" x14ac:dyDescent="0.25">
      <c r="I692" s="40"/>
      <c r="J692" s="40"/>
    </row>
    <row r="693" spans="9:10" x14ac:dyDescent="0.25">
      <c r="I693" s="40"/>
      <c r="J693" s="40"/>
    </row>
    <row r="694" spans="9:10" x14ac:dyDescent="0.25">
      <c r="I694" s="40"/>
      <c r="J694" s="40"/>
    </row>
    <row r="695" spans="9:10" x14ac:dyDescent="0.25">
      <c r="I695" s="40"/>
      <c r="J695" s="40"/>
    </row>
    <row r="696" spans="9:10" x14ac:dyDescent="0.25">
      <c r="I696" s="40"/>
      <c r="J696" s="40"/>
    </row>
    <row r="697" spans="9:10" x14ac:dyDescent="0.25">
      <c r="I697" s="40"/>
      <c r="J697" s="40"/>
    </row>
    <row r="698" spans="9:10" x14ac:dyDescent="0.25">
      <c r="I698" s="40"/>
      <c r="J698" s="40"/>
    </row>
    <row r="699" spans="9:10" x14ac:dyDescent="0.25">
      <c r="I699" s="40"/>
      <c r="J699" s="40"/>
    </row>
    <row r="700" spans="9:10" x14ac:dyDescent="0.25">
      <c r="I700" s="40"/>
      <c r="J700" s="40"/>
    </row>
    <row r="701" spans="9:10" x14ac:dyDescent="0.25">
      <c r="I701" s="40"/>
      <c r="J701" s="40"/>
    </row>
    <row r="702" spans="9:10" x14ac:dyDescent="0.25">
      <c r="I702" s="40"/>
      <c r="J702" s="40"/>
    </row>
    <row r="703" spans="9:10" x14ac:dyDescent="0.25">
      <c r="I703" s="40"/>
      <c r="J703" s="40"/>
    </row>
    <row r="704" spans="9:10" x14ac:dyDescent="0.25">
      <c r="I704" s="40"/>
      <c r="J704" s="40"/>
    </row>
    <row r="705" spans="9:10" x14ac:dyDescent="0.25">
      <c r="I705" s="40"/>
      <c r="J705" s="40"/>
    </row>
    <row r="706" spans="9:10" x14ac:dyDescent="0.25">
      <c r="I706" s="40"/>
      <c r="J706" s="40"/>
    </row>
    <row r="707" spans="9:10" x14ac:dyDescent="0.25">
      <c r="I707" s="40"/>
      <c r="J707" s="40"/>
    </row>
    <row r="708" spans="9:10" x14ac:dyDescent="0.25">
      <c r="I708" s="40"/>
      <c r="J708" s="40"/>
    </row>
    <row r="709" spans="9:10" x14ac:dyDescent="0.25">
      <c r="I709" s="40"/>
      <c r="J709" s="40"/>
    </row>
    <row r="710" spans="9:10" x14ac:dyDescent="0.25">
      <c r="I710" s="40"/>
      <c r="J710" s="40"/>
    </row>
    <row r="711" spans="9:10" x14ac:dyDescent="0.25">
      <c r="I711" s="40"/>
      <c r="J711" s="40"/>
    </row>
    <row r="712" spans="9:10" x14ac:dyDescent="0.25">
      <c r="I712" s="40"/>
      <c r="J712" s="40"/>
    </row>
    <row r="713" spans="9:10" x14ac:dyDescent="0.25">
      <c r="I713" s="40"/>
      <c r="J713" s="40"/>
    </row>
    <row r="714" spans="9:10" x14ac:dyDescent="0.25">
      <c r="I714" s="40"/>
      <c r="J714" s="40"/>
    </row>
    <row r="715" spans="9:10" x14ac:dyDescent="0.25">
      <c r="I715" s="40"/>
      <c r="J715" s="40"/>
    </row>
    <row r="716" spans="9:10" x14ac:dyDescent="0.25">
      <c r="I716" s="40"/>
      <c r="J716" s="40"/>
    </row>
    <row r="717" spans="9:10" x14ac:dyDescent="0.25">
      <c r="I717" s="40"/>
      <c r="J717" s="40"/>
    </row>
    <row r="718" spans="9:10" x14ac:dyDescent="0.25">
      <c r="I718" s="40"/>
      <c r="J718" s="40"/>
    </row>
    <row r="719" spans="9:10" x14ac:dyDescent="0.25">
      <c r="I719" s="40"/>
      <c r="J719" s="40"/>
    </row>
    <row r="720" spans="9:10" x14ac:dyDescent="0.25">
      <c r="I720" s="40"/>
      <c r="J720" s="40"/>
    </row>
    <row r="721" spans="9:10" x14ac:dyDescent="0.25">
      <c r="I721" s="40"/>
      <c r="J721" s="40"/>
    </row>
    <row r="722" spans="9:10" x14ac:dyDescent="0.25">
      <c r="I722" s="40"/>
      <c r="J722" s="40"/>
    </row>
    <row r="723" spans="9:10" x14ac:dyDescent="0.25">
      <c r="I723" s="40"/>
      <c r="J723" s="40"/>
    </row>
    <row r="724" spans="9:10" x14ac:dyDescent="0.25">
      <c r="I724" s="40"/>
      <c r="J724" s="40"/>
    </row>
    <row r="725" spans="9:10" x14ac:dyDescent="0.25">
      <c r="I725" s="40"/>
      <c r="J725" s="40"/>
    </row>
    <row r="726" spans="9:10" x14ac:dyDescent="0.25">
      <c r="I726" s="40"/>
      <c r="J726" s="40"/>
    </row>
    <row r="727" spans="9:10" x14ac:dyDescent="0.25">
      <c r="I727" s="40"/>
      <c r="J727" s="40"/>
    </row>
    <row r="728" spans="9:10" x14ac:dyDescent="0.25">
      <c r="I728" s="40"/>
      <c r="J728" s="40"/>
    </row>
    <row r="729" spans="9:10" x14ac:dyDescent="0.25">
      <c r="I729" s="40"/>
      <c r="J729" s="40"/>
    </row>
    <row r="730" spans="9:10" x14ac:dyDescent="0.25">
      <c r="I730" s="40"/>
      <c r="J730" s="40"/>
    </row>
    <row r="731" spans="9:10" x14ac:dyDescent="0.25">
      <c r="I731" s="40"/>
      <c r="J731" s="40"/>
    </row>
    <row r="732" spans="9:10" x14ac:dyDescent="0.25">
      <c r="I732" s="40"/>
      <c r="J732" s="40"/>
    </row>
    <row r="733" spans="9:10" x14ac:dyDescent="0.25">
      <c r="I733" s="40"/>
      <c r="J733" s="40"/>
    </row>
    <row r="734" spans="9:10" x14ac:dyDescent="0.25">
      <c r="I734" s="40"/>
      <c r="J734" s="40"/>
    </row>
    <row r="735" spans="9:10" x14ac:dyDescent="0.25">
      <c r="I735" s="40"/>
      <c r="J735" s="40"/>
    </row>
    <row r="736" spans="9:10" x14ac:dyDescent="0.25">
      <c r="I736" s="40"/>
      <c r="J736" s="40"/>
    </row>
    <row r="737" spans="9:10" x14ac:dyDescent="0.25">
      <c r="I737" s="40"/>
      <c r="J737" s="40"/>
    </row>
    <row r="738" spans="9:10" x14ac:dyDescent="0.25">
      <c r="I738" s="40"/>
      <c r="J738" s="40"/>
    </row>
    <row r="739" spans="9:10" x14ac:dyDescent="0.25">
      <c r="I739" s="40"/>
      <c r="J739" s="40"/>
    </row>
    <row r="740" spans="9:10" x14ac:dyDescent="0.25">
      <c r="I740" s="40"/>
      <c r="J740" s="40"/>
    </row>
    <row r="741" spans="9:10" x14ac:dyDescent="0.25">
      <c r="I741" s="40"/>
      <c r="J741" s="40"/>
    </row>
    <row r="742" spans="9:10" x14ac:dyDescent="0.25">
      <c r="I742" s="40"/>
      <c r="J742" s="40"/>
    </row>
    <row r="743" spans="9:10" x14ac:dyDescent="0.25">
      <c r="I743" s="40"/>
      <c r="J743" s="40"/>
    </row>
    <row r="744" spans="9:10" x14ac:dyDescent="0.25">
      <c r="I744" s="40"/>
      <c r="J744" s="40"/>
    </row>
    <row r="745" spans="9:10" x14ac:dyDescent="0.25">
      <c r="I745" s="40"/>
      <c r="J745" s="40"/>
    </row>
    <row r="746" spans="9:10" x14ac:dyDescent="0.25">
      <c r="I746" s="40"/>
      <c r="J746" s="40"/>
    </row>
    <row r="747" spans="9:10" x14ac:dyDescent="0.25">
      <c r="I747" s="40"/>
      <c r="J747" s="40"/>
    </row>
    <row r="748" spans="9:10" x14ac:dyDescent="0.25">
      <c r="I748" s="40"/>
      <c r="J748" s="40"/>
    </row>
    <row r="749" spans="9:10" x14ac:dyDescent="0.25">
      <c r="I749" s="40"/>
      <c r="J749" s="40"/>
    </row>
    <row r="750" spans="9:10" x14ac:dyDescent="0.25">
      <c r="I750" s="40"/>
      <c r="J750" s="40"/>
    </row>
    <row r="751" spans="9:10" x14ac:dyDescent="0.25">
      <c r="I751" s="40"/>
      <c r="J751" s="40"/>
    </row>
    <row r="752" spans="9:10" x14ac:dyDescent="0.25">
      <c r="I752" s="40"/>
      <c r="J752" s="40"/>
    </row>
    <row r="753" spans="9:10" x14ac:dyDescent="0.25">
      <c r="I753" s="40"/>
      <c r="J753" s="40"/>
    </row>
    <row r="754" spans="9:10" x14ac:dyDescent="0.25">
      <c r="I754" s="40"/>
      <c r="J754" s="40"/>
    </row>
    <row r="755" spans="9:10" x14ac:dyDescent="0.25">
      <c r="I755" s="40"/>
      <c r="J755" s="40"/>
    </row>
    <row r="756" spans="9:10" x14ac:dyDescent="0.25">
      <c r="I756" s="40"/>
      <c r="J756" s="40"/>
    </row>
    <row r="757" spans="9:10" x14ac:dyDescent="0.25">
      <c r="I757" s="40"/>
      <c r="J757" s="40"/>
    </row>
    <row r="758" spans="9:10" x14ac:dyDescent="0.25">
      <c r="I758" s="40"/>
      <c r="J758" s="40"/>
    </row>
    <row r="759" spans="9:10" x14ac:dyDescent="0.25">
      <c r="I759" s="40"/>
      <c r="J759" s="40"/>
    </row>
    <row r="760" spans="9:10" x14ac:dyDescent="0.25">
      <c r="I760" s="40"/>
      <c r="J760" s="40"/>
    </row>
    <row r="761" spans="9:10" x14ac:dyDescent="0.25">
      <c r="I761" s="40"/>
      <c r="J761" s="40"/>
    </row>
    <row r="762" spans="9:10" x14ac:dyDescent="0.25">
      <c r="I762" s="40"/>
      <c r="J762" s="40"/>
    </row>
    <row r="763" spans="9:10" x14ac:dyDescent="0.25">
      <c r="I763" s="40"/>
      <c r="J763" s="40"/>
    </row>
    <row r="764" spans="9:10" x14ac:dyDescent="0.25">
      <c r="I764" s="40"/>
      <c r="J764" s="40"/>
    </row>
    <row r="765" spans="9:10" x14ac:dyDescent="0.25">
      <c r="I765" s="40"/>
      <c r="J765" s="40"/>
    </row>
    <row r="766" spans="9:10" x14ac:dyDescent="0.25">
      <c r="I766" s="40"/>
      <c r="J766" s="40"/>
    </row>
    <row r="767" spans="9:10" x14ac:dyDescent="0.25">
      <c r="I767" s="40"/>
      <c r="J767" s="40"/>
    </row>
    <row r="768" spans="9:10" x14ac:dyDescent="0.25">
      <c r="I768" s="40"/>
      <c r="J768" s="40"/>
    </row>
    <row r="769" spans="9:10" x14ac:dyDescent="0.25">
      <c r="I769" s="40"/>
      <c r="J769" s="40"/>
    </row>
    <row r="770" spans="9:10" x14ac:dyDescent="0.25">
      <c r="I770" s="40"/>
      <c r="J770" s="40"/>
    </row>
    <row r="771" spans="9:10" x14ac:dyDescent="0.25">
      <c r="I771" s="40"/>
      <c r="J771" s="40"/>
    </row>
    <row r="772" spans="9:10" x14ac:dyDescent="0.25">
      <c r="I772" s="40"/>
      <c r="J772" s="40"/>
    </row>
    <row r="773" spans="9:10" x14ac:dyDescent="0.25">
      <c r="I773" s="40"/>
      <c r="J773" s="40"/>
    </row>
    <row r="774" spans="9:10" x14ac:dyDescent="0.25">
      <c r="I774" s="40"/>
      <c r="J774" s="40"/>
    </row>
    <row r="775" spans="9:10" x14ac:dyDescent="0.25">
      <c r="I775" s="40"/>
      <c r="J775" s="40"/>
    </row>
    <row r="776" spans="9:10" x14ac:dyDescent="0.25">
      <c r="I776" s="40"/>
      <c r="J776" s="40"/>
    </row>
    <row r="777" spans="9:10" x14ac:dyDescent="0.25">
      <c r="I777" s="40"/>
      <c r="J777" s="40"/>
    </row>
    <row r="778" spans="9:10" x14ac:dyDescent="0.25">
      <c r="I778" s="40"/>
      <c r="J778" s="40"/>
    </row>
    <row r="779" spans="9:10" x14ac:dyDescent="0.25">
      <c r="I779" s="40"/>
      <c r="J779" s="40"/>
    </row>
    <row r="780" spans="9:10" x14ac:dyDescent="0.25">
      <c r="I780" s="40"/>
      <c r="J780" s="40"/>
    </row>
    <row r="781" spans="9:10" x14ac:dyDescent="0.25">
      <c r="I781" s="40"/>
      <c r="J781" s="40"/>
    </row>
    <row r="782" spans="9:10" x14ac:dyDescent="0.25">
      <c r="I782" s="40"/>
      <c r="J782" s="40"/>
    </row>
    <row r="783" spans="9:10" x14ac:dyDescent="0.25">
      <c r="I783" s="40"/>
      <c r="J783" s="40"/>
    </row>
    <row r="784" spans="9:10" x14ac:dyDescent="0.25">
      <c r="I784" s="40"/>
      <c r="J784" s="40"/>
    </row>
    <row r="785" spans="9:10" x14ac:dyDescent="0.25">
      <c r="I785" s="40"/>
      <c r="J785" s="40"/>
    </row>
    <row r="786" spans="9:10" x14ac:dyDescent="0.25">
      <c r="I786" s="40"/>
      <c r="J786" s="40"/>
    </row>
    <row r="787" spans="9:10" x14ac:dyDescent="0.25">
      <c r="I787" s="40"/>
      <c r="J787" s="40"/>
    </row>
    <row r="788" spans="9:10" x14ac:dyDescent="0.25">
      <c r="I788" s="40"/>
      <c r="J788" s="40"/>
    </row>
    <row r="789" spans="9:10" x14ac:dyDescent="0.25">
      <c r="I789" s="40"/>
      <c r="J789" s="40"/>
    </row>
    <row r="790" spans="9:10" x14ac:dyDescent="0.25">
      <c r="I790" s="40"/>
      <c r="J790" s="40"/>
    </row>
    <row r="791" spans="9:10" x14ac:dyDescent="0.25">
      <c r="I791" s="40"/>
      <c r="J791" s="40"/>
    </row>
    <row r="792" spans="9:10" x14ac:dyDescent="0.25">
      <c r="I792" s="40"/>
      <c r="J792" s="40"/>
    </row>
    <row r="793" spans="9:10" x14ac:dyDescent="0.25">
      <c r="I793" s="40"/>
      <c r="J793" s="40"/>
    </row>
    <row r="794" spans="9:10" x14ac:dyDescent="0.25">
      <c r="I794" s="40"/>
      <c r="J794" s="40"/>
    </row>
    <row r="795" spans="9:10" x14ac:dyDescent="0.25">
      <c r="I795" s="40"/>
      <c r="J795" s="40"/>
    </row>
    <row r="796" spans="9:10" x14ac:dyDescent="0.25">
      <c r="I796" s="40"/>
      <c r="J796" s="40"/>
    </row>
    <row r="797" spans="9:10" x14ac:dyDescent="0.25">
      <c r="I797" s="40"/>
      <c r="J797" s="40"/>
    </row>
    <row r="798" spans="9:10" x14ac:dyDescent="0.25">
      <c r="I798" s="40"/>
      <c r="J798" s="40"/>
    </row>
    <row r="799" spans="9:10" x14ac:dyDescent="0.25">
      <c r="I799" s="40"/>
      <c r="J799" s="40"/>
    </row>
    <row r="800" spans="9:10" x14ac:dyDescent="0.25">
      <c r="I800" s="40"/>
      <c r="J800" s="40"/>
    </row>
    <row r="801" spans="9:10" x14ac:dyDescent="0.25">
      <c r="I801" s="40"/>
      <c r="J801" s="40"/>
    </row>
    <row r="802" spans="9:10" x14ac:dyDescent="0.25">
      <c r="I802" s="40"/>
      <c r="J802" s="40"/>
    </row>
    <row r="803" spans="9:10" x14ac:dyDescent="0.25">
      <c r="I803" s="40"/>
      <c r="J803" s="40"/>
    </row>
    <row r="804" spans="9:10" x14ac:dyDescent="0.25">
      <c r="I804" s="40"/>
      <c r="J804" s="40"/>
    </row>
    <row r="805" spans="9:10" x14ac:dyDescent="0.25">
      <c r="I805" s="40"/>
      <c r="J805" s="40"/>
    </row>
    <row r="806" spans="9:10" x14ac:dyDescent="0.25">
      <c r="I806" s="40"/>
      <c r="J806" s="40"/>
    </row>
    <row r="807" spans="9:10" x14ac:dyDescent="0.25">
      <c r="I807" s="40"/>
      <c r="J807" s="40"/>
    </row>
    <row r="808" spans="9:10" x14ac:dyDescent="0.25">
      <c r="I808" s="40"/>
      <c r="J808" s="40"/>
    </row>
    <row r="809" spans="9:10" x14ac:dyDescent="0.25">
      <c r="I809" s="40"/>
      <c r="J809" s="40"/>
    </row>
    <row r="810" spans="9:10" x14ac:dyDescent="0.25">
      <c r="I810" s="40"/>
      <c r="J810" s="40"/>
    </row>
    <row r="811" spans="9:10" x14ac:dyDescent="0.25">
      <c r="I811" s="40"/>
      <c r="J811" s="40"/>
    </row>
    <row r="812" spans="9:10" x14ac:dyDescent="0.25">
      <c r="I812" s="40"/>
      <c r="J812" s="40"/>
    </row>
    <row r="813" spans="9:10" x14ac:dyDescent="0.25">
      <c r="I813" s="40"/>
      <c r="J813" s="40"/>
    </row>
    <row r="814" spans="9:10" x14ac:dyDescent="0.25">
      <c r="I814" s="40"/>
      <c r="J814" s="40"/>
    </row>
    <row r="815" spans="9:10" x14ac:dyDescent="0.25">
      <c r="I815" s="40"/>
      <c r="J815" s="40"/>
    </row>
    <row r="816" spans="9:10" x14ac:dyDescent="0.25">
      <c r="I816" s="40"/>
      <c r="J816" s="40"/>
    </row>
    <row r="817" spans="9:10" x14ac:dyDescent="0.25">
      <c r="I817" s="40"/>
      <c r="J817" s="40"/>
    </row>
    <row r="818" spans="9:10" x14ac:dyDescent="0.25">
      <c r="I818" s="40"/>
      <c r="J818" s="40"/>
    </row>
    <row r="819" spans="9:10" x14ac:dyDescent="0.25">
      <c r="I819" s="40"/>
      <c r="J819" s="40"/>
    </row>
    <row r="820" spans="9:10" x14ac:dyDescent="0.25">
      <c r="I820" s="40"/>
      <c r="J820" s="40"/>
    </row>
    <row r="821" spans="9:10" x14ac:dyDescent="0.25">
      <c r="I821" s="40"/>
      <c r="J821" s="40"/>
    </row>
    <row r="822" spans="9:10" x14ac:dyDescent="0.25">
      <c r="I822" s="40"/>
      <c r="J822" s="40"/>
    </row>
    <row r="823" spans="9:10" x14ac:dyDescent="0.25">
      <c r="I823" s="40"/>
      <c r="J823" s="40"/>
    </row>
    <row r="824" spans="9:10" x14ac:dyDescent="0.25">
      <c r="I824" s="40"/>
      <c r="J824" s="40"/>
    </row>
    <row r="825" spans="9:10" x14ac:dyDescent="0.25">
      <c r="I825" s="40"/>
      <c r="J825" s="40"/>
    </row>
    <row r="826" spans="9:10" x14ac:dyDescent="0.25">
      <c r="I826" s="40"/>
      <c r="J826" s="40"/>
    </row>
    <row r="827" spans="9:10" x14ac:dyDescent="0.25">
      <c r="I827" s="40"/>
      <c r="J827" s="40"/>
    </row>
    <row r="828" spans="9:10" x14ac:dyDescent="0.25">
      <c r="I828" s="40"/>
      <c r="J828" s="40"/>
    </row>
    <row r="829" spans="9:10" x14ac:dyDescent="0.25">
      <c r="I829" s="40"/>
      <c r="J829" s="40"/>
    </row>
    <row r="830" spans="9:10" x14ac:dyDescent="0.25">
      <c r="I830" s="40"/>
      <c r="J830" s="40"/>
    </row>
    <row r="831" spans="9:10" x14ac:dyDescent="0.25">
      <c r="I831" s="40"/>
      <c r="J831" s="40"/>
    </row>
    <row r="832" spans="9:10" x14ac:dyDescent="0.25">
      <c r="I832" s="40"/>
      <c r="J832" s="40"/>
    </row>
    <row r="833" spans="9:10" x14ac:dyDescent="0.25">
      <c r="I833" s="40"/>
      <c r="J833" s="40"/>
    </row>
    <row r="834" spans="9:10" x14ac:dyDescent="0.25">
      <c r="I834" s="40"/>
      <c r="J834" s="40"/>
    </row>
    <row r="835" spans="9:10" x14ac:dyDescent="0.25">
      <c r="I835" s="40"/>
      <c r="J835" s="40"/>
    </row>
    <row r="836" spans="9:10" x14ac:dyDescent="0.25">
      <c r="I836" s="40"/>
      <c r="J836" s="40"/>
    </row>
    <row r="837" spans="9:10" x14ac:dyDescent="0.25">
      <c r="I837" s="40"/>
      <c r="J837" s="40"/>
    </row>
    <row r="838" spans="9:10" x14ac:dyDescent="0.25">
      <c r="I838" s="40"/>
      <c r="J838" s="40"/>
    </row>
    <row r="839" spans="9:10" x14ac:dyDescent="0.25">
      <c r="I839" s="40"/>
      <c r="J839" s="40"/>
    </row>
    <row r="840" spans="9:10" x14ac:dyDescent="0.25">
      <c r="I840" s="40"/>
      <c r="J840" s="40"/>
    </row>
    <row r="841" spans="9:10" x14ac:dyDescent="0.25">
      <c r="I841" s="40"/>
      <c r="J841" s="40"/>
    </row>
    <row r="842" spans="9:10" x14ac:dyDescent="0.25">
      <c r="I842" s="40"/>
      <c r="J842" s="40"/>
    </row>
    <row r="843" spans="9:10" x14ac:dyDescent="0.25">
      <c r="I843" s="40"/>
      <c r="J843" s="40"/>
    </row>
    <row r="844" spans="9:10" x14ac:dyDescent="0.25">
      <c r="I844" s="40"/>
      <c r="J844" s="40"/>
    </row>
    <row r="845" spans="9:10" x14ac:dyDescent="0.25">
      <c r="I845" s="40"/>
      <c r="J845" s="40"/>
    </row>
    <row r="846" spans="9:10" x14ac:dyDescent="0.25">
      <c r="I846" s="40"/>
      <c r="J846" s="40"/>
    </row>
    <row r="847" spans="9:10" x14ac:dyDescent="0.25">
      <c r="I847" s="40"/>
      <c r="J847" s="40"/>
    </row>
    <row r="848" spans="9:10" x14ac:dyDescent="0.25">
      <c r="I848" s="40"/>
      <c r="J848" s="40"/>
    </row>
    <row r="849" spans="9:10" x14ac:dyDescent="0.25">
      <c r="I849" s="40"/>
      <c r="J849" s="40"/>
    </row>
    <row r="850" spans="9:10" x14ac:dyDescent="0.25">
      <c r="I850" s="40"/>
      <c r="J850" s="40"/>
    </row>
    <row r="851" spans="9:10" x14ac:dyDescent="0.25">
      <c r="I851" s="40"/>
      <c r="J851" s="40"/>
    </row>
    <row r="852" spans="9:10" x14ac:dyDescent="0.25">
      <c r="I852" s="40"/>
      <c r="J852" s="40"/>
    </row>
    <row r="853" spans="9:10" x14ac:dyDescent="0.25">
      <c r="I853" s="40"/>
      <c r="J853" s="40"/>
    </row>
    <row r="854" spans="9:10" x14ac:dyDescent="0.25">
      <c r="I854" s="40"/>
      <c r="J854" s="40"/>
    </row>
    <row r="855" spans="9:10" x14ac:dyDescent="0.25">
      <c r="I855" s="40"/>
      <c r="J855" s="40"/>
    </row>
    <row r="856" spans="9:10" x14ac:dyDescent="0.25">
      <c r="I856" s="40"/>
      <c r="J856" s="40"/>
    </row>
    <row r="857" spans="9:10" x14ac:dyDescent="0.25">
      <c r="I857" s="40"/>
      <c r="J857" s="40"/>
    </row>
    <row r="858" spans="9:10" x14ac:dyDescent="0.25">
      <c r="I858" s="40"/>
      <c r="J858" s="40"/>
    </row>
    <row r="859" spans="9:10" x14ac:dyDescent="0.25">
      <c r="I859" s="40"/>
      <c r="J859" s="40"/>
    </row>
    <row r="860" spans="9:10" x14ac:dyDescent="0.25">
      <c r="I860" s="40"/>
      <c r="J860" s="40"/>
    </row>
    <row r="861" spans="9:10" x14ac:dyDescent="0.25">
      <c r="I861" s="40"/>
      <c r="J861" s="40"/>
    </row>
    <row r="862" spans="9:10" x14ac:dyDescent="0.25">
      <c r="I862" s="40"/>
      <c r="J862" s="40"/>
    </row>
    <row r="863" spans="9:10" x14ac:dyDescent="0.25">
      <c r="I863" s="40"/>
      <c r="J863" s="40"/>
    </row>
    <row r="864" spans="9:10" x14ac:dyDescent="0.25">
      <c r="I864" s="40"/>
      <c r="J864" s="40"/>
    </row>
    <row r="865" spans="9:10" x14ac:dyDescent="0.25">
      <c r="I865" s="40"/>
      <c r="J865" s="40"/>
    </row>
    <row r="866" spans="9:10" x14ac:dyDescent="0.25">
      <c r="I866" s="40"/>
      <c r="J866" s="40"/>
    </row>
    <row r="867" spans="9:10" x14ac:dyDescent="0.25">
      <c r="I867" s="40"/>
      <c r="J867" s="40"/>
    </row>
    <row r="868" spans="9:10" x14ac:dyDescent="0.25">
      <c r="I868" s="40"/>
      <c r="J868" s="40"/>
    </row>
    <row r="869" spans="9:10" x14ac:dyDescent="0.25">
      <c r="I869" s="40"/>
      <c r="J869" s="40"/>
    </row>
    <row r="870" spans="9:10" x14ac:dyDescent="0.25">
      <c r="I870" s="40"/>
      <c r="J870" s="40"/>
    </row>
    <row r="871" spans="9:10" x14ac:dyDescent="0.25">
      <c r="I871" s="40"/>
      <c r="J871" s="40"/>
    </row>
    <row r="872" spans="9:10" x14ac:dyDescent="0.25">
      <c r="I872" s="40"/>
      <c r="J872" s="40"/>
    </row>
    <row r="873" spans="9:10" x14ac:dyDescent="0.25">
      <c r="I873" s="40"/>
      <c r="J873" s="40"/>
    </row>
    <row r="874" spans="9:10" x14ac:dyDescent="0.25">
      <c r="I874" s="40"/>
      <c r="J874" s="40"/>
    </row>
    <row r="875" spans="9:10" x14ac:dyDescent="0.25">
      <c r="I875" s="40"/>
      <c r="J875" s="40"/>
    </row>
    <row r="876" spans="9:10" x14ac:dyDescent="0.25">
      <c r="I876" s="40"/>
      <c r="J876" s="40"/>
    </row>
    <row r="877" spans="9:10" x14ac:dyDescent="0.25">
      <c r="I877" s="40"/>
      <c r="J877" s="40"/>
    </row>
    <row r="878" spans="9:10" x14ac:dyDescent="0.25">
      <c r="I878" s="40"/>
      <c r="J878" s="40"/>
    </row>
    <row r="879" spans="9:10" x14ac:dyDescent="0.25">
      <c r="I879" s="40"/>
      <c r="J879" s="40"/>
    </row>
    <row r="880" spans="9:10" x14ac:dyDescent="0.25">
      <c r="I880" s="40"/>
      <c r="J880" s="40"/>
    </row>
    <row r="881" spans="9:10" x14ac:dyDescent="0.25">
      <c r="I881" s="40"/>
      <c r="J881" s="40"/>
    </row>
    <row r="882" spans="9:10" x14ac:dyDescent="0.25">
      <c r="I882" s="40"/>
      <c r="J882" s="40"/>
    </row>
    <row r="883" spans="9:10" x14ac:dyDescent="0.25">
      <c r="I883" s="40"/>
      <c r="J883" s="40"/>
    </row>
    <row r="884" spans="9:10" x14ac:dyDescent="0.25">
      <c r="I884" s="40"/>
      <c r="J884" s="40"/>
    </row>
    <row r="885" spans="9:10" x14ac:dyDescent="0.25">
      <c r="I885" s="40"/>
      <c r="J885" s="40"/>
    </row>
    <row r="886" spans="9:10" x14ac:dyDescent="0.25">
      <c r="I886" s="40"/>
      <c r="J886" s="40"/>
    </row>
    <row r="887" spans="9:10" x14ac:dyDescent="0.25">
      <c r="I887" s="40"/>
      <c r="J887" s="40"/>
    </row>
    <row r="888" spans="9:10" x14ac:dyDescent="0.25">
      <c r="I888" s="40"/>
      <c r="J888" s="40"/>
    </row>
    <row r="889" spans="9:10" x14ac:dyDescent="0.25">
      <c r="I889" s="40"/>
      <c r="J889" s="40"/>
    </row>
    <row r="890" spans="9:10" x14ac:dyDescent="0.25">
      <c r="I890" s="40"/>
      <c r="J890" s="40"/>
    </row>
    <row r="891" spans="9:10" x14ac:dyDescent="0.25">
      <c r="I891" s="40"/>
      <c r="J891" s="40"/>
    </row>
    <row r="892" spans="9:10" x14ac:dyDescent="0.25">
      <c r="I892" s="40"/>
      <c r="J892" s="40"/>
    </row>
    <row r="893" spans="9:10" x14ac:dyDescent="0.25">
      <c r="I893" s="40"/>
      <c r="J893" s="40"/>
    </row>
    <row r="894" spans="9:10" x14ac:dyDescent="0.25">
      <c r="I894" s="40"/>
      <c r="J894" s="40"/>
    </row>
    <row r="895" spans="9:10" x14ac:dyDescent="0.25">
      <c r="I895" s="40"/>
      <c r="J895" s="40"/>
    </row>
    <row r="896" spans="9:10" x14ac:dyDescent="0.25">
      <c r="I896" s="40"/>
      <c r="J896" s="40"/>
    </row>
    <row r="897" spans="9:10" x14ac:dyDescent="0.25">
      <c r="I897" s="40"/>
      <c r="J897" s="40"/>
    </row>
    <row r="898" spans="9:10" x14ac:dyDescent="0.25">
      <c r="I898" s="40"/>
      <c r="J898" s="40"/>
    </row>
    <row r="899" spans="9:10" x14ac:dyDescent="0.25">
      <c r="I899" s="40"/>
      <c r="J899" s="40"/>
    </row>
    <row r="900" spans="9:10" x14ac:dyDescent="0.25">
      <c r="I900" s="40"/>
      <c r="J900" s="40"/>
    </row>
    <row r="901" spans="9:10" x14ac:dyDescent="0.25">
      <c r="I901" s="40"/>
      <c r="J901" s="40"/>
    </row>
    <row r="902" spans="9:10" x14ac:dyDescent="0.25">
      <c r="I902" s="40"/>
      <c r="J902" s="40"/>
    </row>
    <row r="903" spans="9:10" x14ac:dyDescent="0.25">
      <c r="I903" s="40"/>
      <c r="J903" s="40"/>
    </row>
    <row r="904" spans="9:10" x14ac:dyDescent="0.25">
      <c r="I904" s="40"/>
      <c r="J904" s="40"/>
    </row>
    <row r="905" spans="9:10" x14ac:dyDescent="0.25">
      <c r="I905" s="40"/>
      <c r="J905" s="40"/>
    </row>
    <row r="906" spans="9:10" x14ac:dyDescent="0.25">
      <c r="I906" s="40"/>
      <c r="J906" s="40"/>
    </row>
    <row r="907" spans="9:10" x14ac:dyDescent="0.25">
      <c r="I907" s="40"/>
      <c r="J907" s="40"/>
    </row>
    <row r="908" spans="9:10" x14ac:dyDescent="0.25">
      <c r="I908" s="40"/>
      <c r="J908" s="40"/>
    </row>
    <row r="909" spans="9:10" x14ac:dyDescent="0.25">
      <c r="I909" s="40"/>
      <c r="J909" s="40"/>
    </row>
    <row r="910" spans="9:10" x14ac:dyDescent="0.25">
      <c r="I910" s="40"/>
      <c r="J910" s="40"/>
    </row>
    <row r="911" spans="9:10" x14ac:dyDescent="0.25">
      <c r="I911" s="40"/>
      <c r="J911" s="40"/>
    </row>
    <row r="912" spans="9:10" x14ac:dyDescent="0.25">
      <c r="I912" s="40"/>
      <c r="J912" s="40"/>
    </row>
    <row r="913" spans="9:10" x14ac:dyDescent="0.25">
      <c r="I913" s="40"/>
      <c r="J913" s="40"/>
    </row>
    <row r="914" spans="9:10" x14ac:dyDescent="0.25">
      <c r="I914" s="40"/>
      <c r="J914" s="40"/>
    </row>
    <row r="915" spans="9:10" x14ac:dyDescent="0.25">
      <c r="I915" s="40"/>
      <c r="J915" s="40"/>
    </row>
    <row r="916" spans="9:10" x14ac:dyDescent="0.25">
      <c r="I916" s="40"/>
      <c r="J916" s="40"/>
    </row>
    <row r="917" spans="9:10" x14ac:dyDescent="0.25">
      <c r="I917" s="40"/>
      <c r="J917" s="40"/>
    </row>
    <row r="918" spans="9:10" x14ac:dyDescent="0.25">
      <c r="I918" s="40"/>
      <c r="J918" s="40"/>
    </row>
    <row r="919" spans="9:10" x14ac:dyDescent="0.25">
      <c r="I919" s="40"/>
      <c r="J919" s="40"/>
    </row>
    <row r="920" spans="9:10" x14ac:dyDescent="0.25">
      <c r="I920" s="40"/>
      <c r="J920" s="40"/>
    </row>
    <row r="921" spans="9:10" x14ac:dyDescent="0.25">
      <c r="I921" s="40"/>
      <c r="J921" s="40"/>
    </row>
    <row r="922" spans="9:10" x14ac:dyDescent="0.25">
      <c r="I922" s="40"/>
      <c r="J922" s="40"/>
    </row>
    <row r="923" spans="9:10" x14ac:dyDescent="0.25">
      <c r="I923" s="40"/>
      <c r="J923" s="40"/>
    </row>
    <row r="924" spans="9:10" x14ac:dyDescent="0.25">
      <c r="I924" s="40"/>
      <c r="J924" s="40"/>
    </row>
    <row r="925" spans="9:10" x14ac:dyDescent="0.25">
      <c r="I925" s="40"/>
      <c r="J925" s="40"/>
    </row>
    <row r="926" spans="9:10" x14ac:dyDescent="0.25">
      <c r="I926" s="40"/>
      <c r="J926" s="40"/>
    </row>
    <row r="927" spans="9:10" x14ac:dyDescent="0.25">
      <c r="I927" s="40"/>
      <c r="J927" s="40"/>
    </row>
    <row r="928" spans="9:10" x14ac:dyDescent="0.25">
      <c r="I928" s="40"/>
      <c r="J928" s="40"/>
    </row>
    <row r="929" spans="9:10" x14ac:dyDescent="0.25">
      <c r="I929" s="40"/>
      <c r="J929" s="40"/>
    </row>
    <row r="930" spans="9:10" x14ac:dyDescent="0.25">
      <c r="I930" s="40"/>
      <c r="J930" s="40"/>
    </row>
    <row r="931" spans="9:10" x14ac:dyDescent="0.25">
      <c r="I931" s="40"/>
      <c r="J931" s="40"/>
    </row>
    <row r="932" spans="9:10" x14ac:dyDescent="0.25">
      <c r="I932" s="40"/>
      <c r="J932" s="40"/>
    </row>
    <row r="933" spans="9:10" x14ac:dyDescent="0.25">
      <c r="I933" s="40"/>
      <c r="J933" s="40"/>
    </row>
    <row r="934" spans="9:10" x14ac:dyDescent="0.25">
      <c r="I934" s="40"/>
      <c r="J934" s="40"/>
    </row>
    <row r="935" spans="9:10" x14ac:dyDescent="0.25">
      <c r="I935" s="40"/>
      <c r="J935" s="40"/>
    </row>
    <row r="936" spans="9:10" x14ac:dyDescent="0.25">
      <c r="I936" s="40"/>
      <c r="J936" s="40"/>
    </row>
    <row r="937" spans="9:10" x14ac:dyDescent="0.25">
      <c r="I937" s="40"/>
      <c r="J937" s="40"/>
    </row>
    <row r="938" spans="9:10" x14ac:dyDescent="0.25">
      <c r="I938" s="40"/>
      <c r="J938" s="40"/>
    </row>
    <row r="939" spans="9:10" x14ac:dyDescent="0.25">
      <c r="I939" s="40"/>
      <c r="J939" s="40"/>
    </row>
    <row r="940" spans="9:10" x14ac:dyDescent="0.25">
      <c r="I940" s="40"/>
      <c r="J940" s="40"/>
    </row>
    <row r="941" spans="9:10" x14ac:dyDescent="0.25">
      <c r="I941" s="40"/>
      <c r="J941" s="40"/>
    </row>
    <row r="942" spans="9:10" x14ac:dyDescent="0.25">
      <c r="I942" s="40"/>
      <c r="J942" s="40"/>
    </row>
    <row r="943" spans="9:10" x14ac:dyDescent="0.25">
      <c r="I943" s="40"/>
      <c r="J943" s="40"/>
    </row>
    <row r="944" spans="9:10" x14ac:dyDescent="0.25">
      <c r="I944" s="40"/>
      <c r="J944" s="40"/>
    </row>
    <row r="945" spans="9:10" x14ac:dyDescent="0.25">
      <c r="I945" s="40"/>
      <c r="J945" s="40"/>
    </row>
    <row r="946" spans="9:10" x14ac:dyDescent="0.25">
      <c r="I946" s="40"/>
      <c r="J946" s="40"/>
    </row>
    <row r="947" spans="9:10" x14ac:dyDescent="0.25">
      <c r="I947" s="40"/>
      <c r="J947" s="40"/>
    </row>
    <row r="948" spans="9:10" x14ac:dyDescent="0.25">
      <c r="I948" s="40"/>
      <c r="J948" s="40"/>
    </row>
    <row r="949" spans="9:10" x14ac:dyDescent="0.25">
      <c r="I949" s="40"/>
      <c r="J949" s="40"/>
    </row>
    <row r="950" spans="9:10" x14ac:dyDescent="0.25">
      <c r="I950" s="40"/>
      <c r="J950" s="40"/>
    </row>
    <row r="951" spans="9:10" x14ac:dyDescent="0.25">
      <c r="I951" s="40"/>
      <c r="J951" s="40"/>
    </row>
    <row r="952" spans="9:10" x14ac:dyDescent="0.25">
      <c r="I952" s="40"/>
      <c r="J952" s="40"/>
    </row>
    <row r="953" spans="9:10" x14ac:dyDescent="0.25">
      <c r="I953" s="40"/>
      <c r="J953" s="40"/>
    </row>
    <row r="954" spans="9:10" x14ac:dyDescent="0.25">
      <c r="I954" s="40"/>
      <c r="J954" s="40"/>
    </row>
    <row r="955" spans="9:10" x14ac:dyDescent="0.25">
      <c r="I955" s="40"/>
      <c r="J955" s="40"/>
    </row>
    <row r="956" spans="9:10" x14ac:dyDescent="0.25">
      <c r="I956" s="40"/>
      <c r="J956" s="40"/>
    </row>
    <row r="957" spans="9:10" x14ac:dyDescent="0.25">
      <c r="I957" s="40"/>
      <c r="J957" s="40"/>
    </row>
    <row r="958" spans="9:10" x14ac:dyDescent="0.25">
      <c r="I958" s="40"/>
      <c r="J958" s="40"/>
    </row>
    <row r="959" spans="9:10" x14ac:dyDescent="0.25">
      <c r="I959" s="40"/>
      <c r="J959" s="40"/>
    </row>
    <row r="960" spans="9:10" x14ac:dyDescent="0.25">
      <c r="I960" s="40"/>
      <c r="J960" s="40"/>
    </row>
    <row r="961" spans="9:10" x14ac:dyDescent="0.25">
      <c r="I961" s="40"/>
      <c r="J961" s="40"/>
    </row>
    <row r="962" spans="9:10" x14ac:dyDescent="0.25">
      <c r="I962" s="40"/>
      <c r="J962" s="40"/>
    </row>
    <row r="963" spans="9:10" x14ac:dyDescent="0.25">
      <c r="I963" s="40"/>
      <c r="J963" s="40"/>
    </row>
    <row r="964" spans="9:10" x14ac:dyDescent="0.25">
      <c r="I964" s="40"/>
      <c r="J964" s="40"/>
    </row>
    <row r="965" spans="9:10" x14ac:dyDescent="0.25">
      <c r="I965" s="40"/>
      <c r="J965" s="40"/>
    </row>
    <row r="966" spans="9:10" x14ac:dyDescent="0.25">
      <c r="I966" s="40"/>
      <c r="J966" s="40"/>
    </row>
    <row r="967" spans="9:10" x14ac:dyDescent="0.25">
      <c r="I967" s="40"/>
      <c r="J967" s="40"/>
    </row>
    <row r="968" spans="9:10" x14ac:dyDescent="0.25">
      <c r="I968" s="40"/>
      <c r="J968" s="40"/>
    </row>
    <row r="969" spans="9:10" x14ac:dyDescent="0.25">
      <c r="I969" s="40"/>
      <c r="J969" s="40"/>
    </row>
    <row r="970" spans="9:10" x14ac:dyDescent="0.25">
      <c r="I970" s="40"/>
      <c r="J970" s="40"/>
    </row>
    <row r="971" spans="9:10" x14ac:dyDescent="0.25">
      <c r="I971" s="40"/>
      <c r="J971" s="40"/>
    </row>
    <row r="972" spans="9:10" x14ac:dyDescent="0.25">
      <c r="I972" s="40"/>
      <c r="J972" s="40"/>
    </row>
    <row r="973" spans="9:10" x14ac:dyDescent="0.25">
      <c r="I973" s="40"/>
      <c r="J973" s="40"/>
    </row>
    <row r="974" spans="9:10" x14ac:dyDescent="0.25">
      <c r="I974" s="40"/>
      <c r="J974" s="40"/>
    </row>
    <row r="975" spans="9:10" x14ac:dyDescent="0.25">
      <c r="I975" s="40"/>
      <c r="J975" s="40"/>
    </row>
    <row r="976" spans="9:10" x14ac:dyDescent="0.25">
      <c r="I976" s="40"/>
      <c r="J976" s="40"/>
    </row>
    <row r="977" spans="9:10" x14ac:dyDescent="0.25">
      <c r="I977" s="40"/>
      <c r="J977" s="40"/>
    </row>
    <row r="978" spans="9:10" x14ac:dyDescent="0.25">
      <c r="I978" s="40"/>
      <c r="J978" s="40"/>
    </row>
    <row r="979" spans="9:10" x14ac:dyDescent="0.25">
      <c r="I979" s="40"/>
      <c r="J979" s="40"/>
    </row>
    <row r="980" spans="9:10" x14ac:dyDescent="0.25">
      <c r="I980" s="40"/>
      <c r="J980" s="40"/>
    </row>
    <row r="981" spans="9:10" x14ac:dyDescent="0.25">
      <c r="I981" s="40"/>
      <c r="J981" s="40"/>
    </row>
    <row r="982" spans="9:10" x14ac:dyDescent="0.25">
      <c r="I982" s="40"/>
      <c r="J982" s="40"/>
    </row>
    <row r="983" spans="9:10" x14ac:dyDescent="0.25">
      <c r="I983" s="40"/>
      <c r="J983" s="40"/>
    </row>
    <row r="984" spans="9:10" x14ac:dyDescent="0.25">
      <c r="I984" s="40"/>
      <c r="J984" s="40"/>
    </row>
    <row r="985" spans="9:10" x14ac:dyDescent="0.25">
      <c r="I985" s="40"/>
      <c r="J985" s="40"/>
    </row>
    <row r="986" spans="9:10" x14ac:dyDescent="0.25">
      <c r="I986" s="40"/>
      <c r="J986" s="40"/>
    </row>
    <row r="987" spans="9:10" x14ac:dyDescent="0.25">
      <c r="I987" s="40"/>
      <c r="J987" s="40"/>
    </row>
    <row r="988" spans="9:10" x14ac:dyDescent="0.25">
      <c r="I988" s="40"/>
      <c r="J988" s="40"/>
    </row>
    <row r="989" spans="9:10" x14ac:dyDescent="0.25">
      <c r="I989" s="40"/>
      <c r="J989" s="40"/>
    </row>
    <row r="990" spans="9:10" x14ac:dyDescent="0.25">
      <c r="I990" s="40"/>
      <c r="J990" s="40"/>
    </row>
    <row r="991" spans="9:10" x14ac:dyDescent="0.25">
      <c r="I991" s="40"/>
      <c r="J991" s="40"/>
    </row>
    <row r="992" spans="9:10" x14ac:dyDescent="0.25">
      <c r="I992" s="40"/>
      <c r="J992" s="40"/>
    </row>
    <row r="993" spans="9:10" x14ac:dyDescent="0.25">
      <c r="I993" s="40"/>
      <c r="J993" s="40"/>
    </row>
    <row r="994" spans="9:10" x14ac:dyDescent="0.25">
      <c r="I994" s="40"/>
      <c r="J994" s="40"/>
    </row>
    <row r="995" spans="9:10" x14ac:dyDescent="0.25">
      <c r="I995" s="40"/>
      <c r="J995" s="40"/>
    </row>
    <row r="996" spans="9:10" x14ac:dyDescent="0.25">
      <c r="I996" s="40"/>
      <c r="J996" s="40"/>
    </row>
    <row r="997" spans="9:10" x14ac:dyDescent="0.25">
      <c r="I997" s="40"/>
      <c r="J997" s="40"/>
    </row>
    <row r="998" spans="9:10" x14ac:dyDescent="0.25">
      <c r="I998" s="40"/>
      <c r="J998" s="40"/>
    </row>
    <row r="999" spans="9:10" x14ac:dyDescent="0.25">
      <c r="I999" s="40"/>
      <c r="J999" s="40"/>
    </row>
    <row r="1000" spans="9:10" x14ac:dyDescent="0.25">
      <c r="I1000" s="40"/>
      <c r="J1000" s="40"/>
    </row>
    <row r="1001" spans="9:10" x14ac:dyDescent="0.25">
      <c r="I1001" s="40"/>
      <c r="J1001" s="40"/>
    </row>
    <row r="1002" spans="9:10" x14ac:dyDescent="0.25">
      <c r="I1002" s="40"/>
      <c r="J1002" s="40"/>
    </row>
    <row r="1003" spans="9:10" x14ac:dyDescent="0.25">
      <c r="I1003" s="40"/>
      <c r="J1003" s="40"/>
    </row>
    <row r="1004" spans="9:10" x14ac:dyDescent="0.25">
      <c r="I1004" s="40"/>
      <c r="J1004" s="40"/>
    </row>
    <row r="1005" spans="9:10" x14ac:dyDescent="0.25">
      <c r="I1005" s="40"/>
      <c r="J1005" s="40"/>
    </row>
    <row r="1006" spans="9:10" x14ac:dyDescent="0.25">
      <c r="I1006" s="40"/>
      <c r="J1006" s="40"/>
    </row>
    <row r="1007" spans="9:10" x14ac:dyDescent="0.25">
      <c r="I1007" s="40"/>
      <c r="J1007" s="40"/>
    </row>
    <row r="1008" spans="9:10" x14ac:dyDescent="0.25">
      <c r="I1008" s="40"/>
      <c r="J1008" s="40"/>
    </row>
    <row r="1009" spans="9:10" x14ac:dyDescent="0.25">
      <c r="I1009" s="40"/>
      <c r="J1009" s="40"/>
    </row>
    <row r="1010" spans="9:10" x14ac:dyDescent="0.25">
      <c r="I1010" s="40"/>
      <c r="J1010" s="40"/>
    </row>
    <row r="1011" spans="9:10" x14ac:dyDescent="0.25">
      <c r="I1011" s="40"/>
      <c r="J1011" s="40"/>
    </row>
    <row r="1012" spans="9:10" x14ac:dyDescent="0.25">
      <c r="I1012" s="40"/>
      <c r="J1012" s="40"/>
    </row>
    <row r="1013" spans="9:10" x14ac:dyDescent="0.25">
      <c r="I1013" s="40"/>
      <c r="J1013" s="40"/>
    </row>
    <row r="1014" spans="9:10" x14ac:dyDescent="0.25">
      <c r="I1014" s="40"/>
      <c r="J1014" s="40"/>
    </row>
    <row r="1015" spans="9:10" x14ac:dyDescent="0.25">
      <c r="I1015" s="40"/>
      <c r="J1015" s="40"/>
    </row>
    <row r="1016" spans="9:10" x14ac:dyDescent="0.25">
      <c r="I1016" s="40"/>
      <c r="J1016" s="40"/>
    </row>
    <row r="1017" spans="9:10" x14ac:dyDescent="0.25">
      <c r="I1017" s="40"/>
      <c r="J1017" s="40"/>
    </row>
    <row r="1018" spans="9:10" x14ac:dyDescent="0.25">
      <c r="I1018" s="40"/>
      <c r="J1018" s="40"/>
    </row>
    <row r="1019" spans="9:10" x14ac:dyDescent="0.25">
      <c r="I1019" s="40"/>
      <c r="J1019" s="40"/>
    </row>
    <row r="1020" spans="9:10" x14ac:dyDescent="0.25">
      <c r="I1020" s="40"/>
      <c r="J1020"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5" fitToHeight="0" orientation="portrait" r:id="rId1"/>
  <rowBreaks count="1" manualBreakCount="1">
    <brk id="5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74" workbookViewId="0">
      <selection activeCell="A109" sqref="A109"/>
    </sheetView>
  </sheetViews>
  <sheetFormatPr defaultColWidth="14.42578125" defaultRowHeight="15" customHeight="1" x14ac:dyDescent="0.25"/>
  <cols>
    <col min="1" max="1" width="74.5703125" customWidth="1"/>
    <col min="2" max="2" width="17.140625" customWidth="1"/>
    <col min="3" max="6" width="8.7109375" customWidth="1"/>
  </cols>
  <sheetData>
    <row r="1" spans="1:2" x14ac:dyDescent="0.25">
      <c r="A1" s="1" t="s">
        <v>0</v>
      </c>
      <c r="B1" s="2" t="s">
        <v>1</v>
      </c>
    </row>
    <row r="2" spans="1:2" x14ac:dyDescent="0.25">
      <c r="A2" s="3" t="s">
        <v>2</v>
      </c>
      <c r="B2" s="4" t="s">
        <v>3</v>
      </c>
    </row>
    <row r="3" spans="1:2" x14ac:dyDescent="0.25">
      <c r="A3" s="3" t="s">
        <v>4</v>
      </c>
      <c r="B3" s="4" t="s">
        <v>5</v>
      </c>
    </row>
    <row r="4" spans="1:2" x14ac:dyDescent="0.25">
      <c r="A4" s="3" t="s">
        <v>6</v>
      </c>
      <c r="B4" s="4" t="s">
        <v>7</v>
      </c>
    </row>
    <row r="5" spans="1:2" x14ac:dyDescent="0.25">
      <c r="A5" s="3" t="s">
        <v>8</v>
      </c>
      <c r="B5" s="4" t="s">
        <v>9</v>
      </c>
    </row>
    <row r="6" spans="1:2" x14ac:dyDescent="0.25">
      <c r="A6" s="3" t="s">
        <v>10</v>
      </c>
      <c r="B6" s="4" t="s">
        <v>11</v>
      </c>
    </row>
    <row r="7" spans="1:2" x14ac:dyDescent="0.25">
      <c r="A7" s="3" t="s">
        <v>12</v>
      </c>
      <c r="B7" s="4" t="s">
        <v>13</v>
      </c>
    </row>
    <row r="8" spans="1:2" x14ac:dyDescent="0.25">
      <c r="A8" s="3" t="s">
        <v>14</v>
      </c>
      <c r="B8" s="4" t="s">
        <v>15</v>
      </c>
    </row>
    <row r="9" spans="1:2" x14ac:dyDescent="0.25">
      <c r="A9" s="3" t="s">
        <v>16</v>
      </c>
      <c r="B9" s="4" t="s">
        <v>17</v>
      </c>
    </row>
    <row r="10" spans="1:2" x14ac:dyDescent="0.25">
      <c r="A10" s="3" t="s">
        <v>18</v>
      </c>
      <c r="B10" s="4" t="s">
        <v>19</v>
      </c>
    </row>
    <row r="11" spans="1:2" x14ac:dyDescent="0.25">
      <c r="A11" s="3" t="s">
        <v>20</v>
      </c>
      <c r="B11" s="4" t="s">
        <v>21</v>
      </c>
    </row>
    <row r="12" spans="1:2" x14ac:dyDescent="0.25">
      <c r="A12" s="3" t="s">
        <v>22</v>
      </c>
      <c r="B12" s="4" t="s">
        <v>23</v>
      </c>
    </row>
    <row r="13" spans="1:2" x14ac:dyDescent="0.25">
      <c r="A13" s="3" t="s">
        <v>24</v>
      </c>
      <c r="B13" s="4" t="s">
        <v>25</v>
      </c>
    </row>
    <row r="14" spans="1:2" x14ac:dyDescent="0.25">
      <c r="A14" s="3" t="s">
        <v>26</v>
      </c>
      <c r="B14" s="4" t="s">
        <v>27</v>
      </c>
    </row>
    <row r="15" spans="1:2" x14ac:dyDescent="0.25">
      <c r="A15" s="3" t="s">
        <v>28</v>
      </c>
      <c r="B15" s="4" t="s">
        <v>29</v>
      </c>
    </row>
    <row r="16" spans="1:2" x14ac:dyDescent="0.25">
      <c r="A16" s="3" t="s">
        <v>30</v>
      </c>
      <c r="B16" s="4" t="s">
        <v>31</v>
      </c>
    </row>
    <row r="17" spans="1:4" x14ac:dyDescent="0.25">
      <c r="A17" s="3" t="s">
        <v>32</v>
      </c>
      <c r="B17" s="4" t="s">
        <v>33</v>
      </c>
    </row>
    <row r="18" spans="1:4" x14ac:dyDescent="0.25">
      <c r="A18" s="3" t="s">
        <v>34</v>
      </c>
      <c r="B18" s="4" t="s">
        <v>35</v>
      </c>
    </row>
    <row r="19" spans="1:4" x14ac:dyDescent="0.25">
      <c r="A19" s="3" t="s">
        <v>36</v>
      </c>
      <c r="B19" s="4" t="s">
        <v>37</v>
      </c>
    </row>
    <row r="20" spans="1:4" x14ac:dyDescent="0.25">
      <c r="A20" s="3" t="s">
        <v>38</v>
      </c>
      <c r="B20" s="4" t="s">
        <v>39</v>
      </c>
    </row>
    <row r="21" spans="1:4" ht="15.75" customHeight="1" x14ac:dyDescent="0.25">
      <c r="A21" s="3" t="s">
        <v>40</v>
      </c>
      <c r="B21" s="4" t="s">
        <v>41</v>
      </c>
    </row>
    <row r="22" spans="1:4" ht="15.75" customHeight="1" x14ac:dyDescent="0.25">
      <c r="A22" s="3" t="s">
        <v>42</v>
      </c>
      <c r="B22" s="4" t="s">
        <v>43</v>
      </c>
    </row>
    <row r="23" spans="1:4" ht="15.75" customHeight="1" x14ac:dyDescent="0.25">
      <c r="A23" s="3" t="s">
        <v>44</v>
      </c>
      <c r="B23" s="4" t="s">
        <v>45</v>
      </c>
    </row>
    <row r="24" spans="1:4" ht="15.75" customHeight="1" x14ac:dyDescent="0.25">
      <c r="A24" s="3" t="s">
        <v>46</v>
      </c>
      <c r="B24" s="4" t="s">
        <v>47</v>
      </c>
    </row>
    <row r="25" spans="1:4" ht="15.75" customHeight="1" x14ac:dyDescent="0.25">
      <c r="A25" s="3" t="s">
        <v>48</v>
      </c>
      <c r="B25" s="4" t="s">
        <v>49</v>
      </c>
      <c r="D25" s="5" t="s">
        <v>49</v>
      </c>
    </row>
    <row r="26" spans="1:4" ht="15.75" customHeight="1" x14ac:dyDescent="0.25">
      <c r="A26" s="3" t="s">
        <v>50</v>
      </c>
      <c r="B26" s="4" t="s">
        <v>51</v>
      </c>
      <c r="D26" s="5" t="s">
        <v>52</v>
      </c>
    </row>
    <row r="27" spans="1:4" ht="15.75" customHeight="1" x14ac:dyDescent="0.25">
      <c r="A27" s="3" t="s">
        <v>53</v>
      </c>
      <c r="B27" s="4" t="s">
        <v>54</v>
      </c>
      <c r="D27" s="5" t="s">
        <v>55</v>
      </c>
    </row>
    <row r="28" spans="1:4" ht="15.75" customHeight="1" x14ac:dyDescent="0.25">
      <c r="A28" s="3" t="s">
        <v>56</v>
      </c>
      <c r="B28" s="4" t="s">
        <v>57</v>
      </c>
    </row>
    <row r="29" spans="1:4" ht="15.75" customHeight="1" x14ac:dyDescent="0.25">
      <c r="A29" s="3" t="s">
        <v>58</v>
      </c>
      <c r="B29" s="4" t="s">
        <v>52</v>
      </c>
    </row>
    <row r="30" spans="1:4" ht="15.75" customHeight="1" x14ac:dyDescent="0.25">
      <c r="A30" s="3" t="s">
        <v>59</v>
      </c>
      <c r="B30" s="4" t="s">
        <v>60</v>
      </c>
    </row>
    <row r="31" spans="1:4" ht="15.75" customHeight="1" x14ac:dyDescent="0.25">
      <c r="A31" s="3" t="s">
        <v>61</v>
      </c>
      <c r="B31" s="4" t="s">
        <v>62</v>
      </c>
    </row>
    <row r="32" spans="1:4" ht="15.75" customHeight="1" x14ac:dyDescent="0.25">
      <c r="A32" s="3" t="s">
        <v>63</v>
      </c>
      <c r="B32" s="4" t="s">
        <v>64</v>
      </c>
    </row>
    <row r="33" spans="1:2" ht="15.75" customHeight="1" x14ac:dyDescent="0.25">
      <c r="A33" s="3" t="s">
        <v>65</v>
      </c>
      <c r="B33" s="4" t="s">
        <v>66</v>
      </c>
    </row>
    <row r="34" spans="1:2" ht="15.75" customHeight="1" x14ac:dyDescent="0.25">
      <c r="A34" s="3" t="s">
        <v>67</v>
      </c>
      <c r="B34" s="4" t="s">
        <v>68</v>
      </c>
    </row>
    <row r="35" spans="1:2" ht="15.75" customHeight="1" x14ac:dyDescent="0.25">
      <c r="A35" s="3" t="s">
        <v>69</v>
      </c>
      <c r="B35" s="4" t="s">
        <v>70</v>
      </c>
    </row>
    <row r="36" spans="1:2" ht="15.75" customHeight="1" x14ac:dyDescent="0.25">
      <c r="A36" s="3" t="s">
        <v>71</v>
      </c>
      <c r="B36" s="4" t="s">
        <v>72</v>
      </c>
    </row>
    <row r="37" spans="1:2" ht="15.75" customHeight="1" x14ac:dyDescent="0.25">
      <c r="A37" s="3" t="s">
        <v>73</v>
      </c>
      <c r="B37" s="4" t="s">
        <v>74</v>
      </c>
    </row>
    <row r="38" spans="1:2" ht="15.75" customHeight="1" x14ac:dyDescent="0.25">
      <c r="A38" s="3" t="s">
        <v>75</v>
      </c>
      <c r="B38" s="4" t="s">
        <v>55</v>
      </c>
    </row>
    <row r="39" spans="1:2" ht="15.75" customHeight="1" x14ac:dyDescent="0.25">
      <c r="A39" s="3" t="s">
        <v>76</v>
      </c>
      <c r="B39" s="4" t="s">
        <v>77</v>
      </c>
    </row>
    <row r="40" spans="1:2" ht="15.75" customHeight="1" x14ac:dyDescent="0.25">
      <c r="A40" s="3" t="s">
        <v>78</v>
      </c>
      <c r="B40" s="4" t="s">
        <v>79</v>
      </c>
    </row>
    <row r="41" spans="1:2" ht="15.75" customHeight="1" x14ac:dyDescent="0.25">
      <c r="A41" s="3" t="s">
        <v>80</v>
      </c>
      <c r="B41" s="4" t="s">
        <v>81</v>
      </c>
    </row>
    <row r="42" spans="1:2" ht="15.75" customHeight="1" x14ac:dyDescent="0.25">
      <c r="A42" s="3" t="s">
        <v>82</v>
      </c>
      <c r="B42" s="4" t="s">
        <v>83</v>
      </c>
    </row>
    <row r="43" spans="1:2" ht="15.75" customHeight="1" x14ac:dyDescent="0.25">
      <c r="A43" s="3" t="s">
        <v>84</v>
      </c>
      <c r="B43" s="4" t="s">
        <v>85</v>
      </c>
    </row>
    <row r="44" spans="1:2" ht="15.75" customHeight="1" x14ac:dyDescent="0.25">
      <c r="A44" s="3" t="s">
        <v>86</v>
      </c>
      <c r="B44" s="4" t="s">
        <v>87</v>
      </c>
    </row>
    <row r="45" spans="1:2" ht="15.75" customHeight="1" x14ac:dyDescent="0.25">
      <c r="A45" s="3" t="s">
        <v>88</v>
      </c>
      <c r="B45" s="4" t="s">
        <v>89</v>
      </c>
    </row>
    <row r="46" spans="1:2" ht="15.75" customHeight="1" x14ac:dyDescent="0.25">
      <c r="A46" s="3" t="s">
        <v>90</v>
      </c>
      <c r="B46" s="4" t="s">
        <v>91</v>
      </c>
    </row>
    <row r="47" spans="1:2" ht="15.75" customHeight="1" x14ac:dyDescent="0.25">
      <c r="A47" s="3" t="s">
        <v>92</v>
      </c>
      <c r="B47" s="4" t="s">
        <v>93</v>
      </c>
    </row>
    <row r="48" spans="1:2" ht="15.75" customHeight="1" x14ac:dyDescent="0.25">
      <c r="A48" s="3" t="s">
        <v>94</v>
      </c>
      <c r="B48" s="4" t="s">
        <v>95</v>
      </c>
    </row>
    <row r="49" spans="1:2" ht="15.75" customHeight="1" x14ac:dyDescent="0.25">
      <c r="A49" s="3" t="s">
        <v>96</v>
      </c>
      <c r="B49" s="4" t="s">
        <v>97</v>
      </c>
    </row>
    <row r="50" spans="1:2" ht="15.75" customHeight="1" x14ac:dyDescent="0.25">
      <c r="A50" s="3" t="s">
        <v>98</v>
      </c>
      <c r="B50" s="4" t="s">
        <v>99</v>
      </c>
    </row>
    <row r="51" spans="1:2" ht="15.75" customHeight="1" x14ac:dyDescent="0.25">
      <c r="A51" s="3" t="s">
        <v>100</v>
      </c>
      <c r="B51" s="4" t="s">
        <v>101</v>
      </c>
    </row>
    <row r="52" spans="1:2" ht="15.75" customHeight="1" x14ac:dyDescent="0.25">
      <c r="A52" s="3" t="s">
        <v>102</v>
      </c>
      <c r="B52" s="4" t="s">
        <v>103</v>
      </c>
    </row>
    <row r="53" spans="1:2" ht="15.75" customHeight="1" x14ac:dyDescent="0.25">
      <c r="A53" s="3" t="s">
        <v>104</v>
      </c>
      <c r="B53" s="4" t="s">
        <v>105</v>
      </c>
    </row>
    <row r="54" spans="1:2" ht="15.75" customHeight="1" x14ac:dyDescent="0.25">
      <c r="A54" s="3" t="s">
        <v>106</v>
      </c>
      <c r="B54" s="4" t="s">
        <v>107</v>
      </c>
    </row>
    <row r="55" spans="1:2" ht="15.75" customHeight="1" x14ac:dyDescent="0.25">
      <c r="A55" s="3" t="s">
        <v>108</v>
      </c>
      <c r="B55" s="4" t="s">
        <v>109</v>
      </c>
    </row>
    <row r="56" spans="1:2" ht="15.75" customHeight="1" x14ac:dyDescent="0.25">
      <c r="A56" s="3" t="s">
        <v>110</v>
      </c>
      <c r="B56" s="4" t="s">
        <v>111</v>
      </c>
    </row>
    <row r="57" spans="1:2" ht="15.75" customHeight="1" x14ac:dyDescent="0.25">
      <c r="A57" s="3" t="s">
        <v>112</v>
      </c>
      <c r="B57" s="4" t="s">
        <v>113</v>
      </c>
    </row>
    <row r="58" spans="1:2" ht="15.75" customHeight="1" x14ac:dyDescent="0.25">
      <c r="A58" s="3" t="s">
        <v>114</v>
      </c>
      <c r="B58" s="4" t="s">
        <v>115</v>
      </c>
    </row>
    <row r="59" spans="1:2" ht="15.75" customHeight="1" x14ac:dyDescent="0.25">
      <c r="A59" s="3" t="s">
        <v>116</v>
      </c>
      <c r="B59" s="4" t="s">
        <v>117</v>
      </c>
    </row>
    <row r="60" spans="1:2" ht="15.75" customHeight="1" x14ac:dyDescent="0.25">
      <c r="A60" s="3" t="s">
        <v>118</v>
      </c>
      <c r="B60" s="4" t="s">
        <v>119</v>
      </c>
    </row>
    <row r="61" spans="1:2" ht="15.75" customHeight="1" x14ac:dyDescent="0.25">
      <c r="A61" s="3" t="s">
        <v>120</v>
      </c>
      <c r="B61" s="4" t="s">
        <v>121</v>
      </c>
    </row>
    <row r="62" spans="1:2" ht="15.75" customHeight="1" x14ac:dyDescent="0.25">
      <c r="A62" s="3" t="s">
        <v>122</v>
      </c>
      <c r="B62" s="4" t="s">
        <v>123</v>
      </c>
    </row>
    <row r="63" spans="1:2" ht="15.75" customHeight="1" x14ac:dyDescent="0.25">
      <c r="A63" s="3" t="s">
        <v>124</v>
      </c>
      <c r="B63" s="4" t="s">
        <v>125</v>
      </c>
    </row>
    <row r="64" spans="1:2" ht="15.75" customHeight="1" x14ac:dyDescent="0.25">
      <c r="A64" s="3" t="s">
        <v>126</v>
      </c>
      <c r="B64" s="4" t="s">
        <v>127</v>
      </c>
    </row>
    <row r="65" spans="1:2" ht="15.75" customHeight="1" x14ac:dyDescent="0.25">
      <c r="A65" s="3" t="s">
        <v>128</v>
      </c>
      <c r="B65" s="4" t="s">
        <v>129</v>
      </c>
    </row>
    <row r="66" spans="1:2" ht="15.75" customHeight="1" x14ac:dyDescent="0.25">
      <c r="A66" s="3" t="s">
        <v>130</v>
      </c>
      <c r="B66" s="4" t="s">
        <v>131</v>
      </c>
    </row>
    <row r="67" spans="1:2" ht="15.75" customHeight="1" x14ac:dyDescent="0.25">
      <c r="A67" s="3" t="s">
        <v>132</v>
      </c>
      <c r="B67" s="4" t="s">
        <v>133</v>
      </c>
    </row>
    <row r="68" spans="1:2" ht="15.75" customHeight="1" x14ac:dyDescent="0.25">
      <c r="A68" s="3" t="s">
        <v>134</v>
      </c>
      <c r="B68" s="4" t="s">
        <v>135</v>
      </c>
    </row>
    <row r="69" spans="1:2" ht="15.75" customHeight="1" x14ac:dyDescent="0.25">
      <c r="A69" s="3" t="s">
        <v>136</v>
      </c>
      <c r="B69" s="4" t="s">
        <v>137</v>
      </c>
    </row>
    <row r="70" spans="1:2" ht="15.75" customHeight="1" x14ac:dyDescent="0.25">
      <c r="A70" s="3" t="s">
        <v>138</v>
      </c>
      <c r="B70" s="4" t="s">
        <v>139</v>
      </c>
    </row>
    <row r="71" spans="1:2" ht="15.75" customHeight="1" x14ac:dyDescent="0.25">
      <c r="A71" s="3" t="s">
        <v>140</v>
      </c>
      <c r="B71" s="4" t="s">
        <v>141</v>
      </c>
    </row>
    <row r="72" spans="1:2" ht="15.75" customHeight="1" x14ac:dyDescent="0.25">
      <c r="A72" s="3" t="s">
        <v>142</v>
      </c>
      <c r="B72" s="4" t="s">
        <v>143</v>
      </c>
    </row>
    <row r="73" spans="1:2" ht="15.75" customHeight="1" x14ac:dyDescent="0.25">
      <c r="A73" s="3" t="s">
        <v>144</v>
      </c>
      <c r="B73" s="4" t="s">
        <v>145</v>
      </c>
    </row>
    <row r="74" spans="1:2" ht="15.75" customHeight="1" x14ac:dyDescent="0.25">
      <c r="A74" s="3" t="s">
        <v>146</v>
      </c>
      <c r="B74" s="4" t="s">
        <v>147</v>
      </c>
    </row>
    <row r="75" spans="1:2" ht="15.75" customHeight="1" x14ac:dyDescent="0.25">
      <c r="A75" s="3" t="s">
        <v>148</v>
      </c>
      <c r="B75" s="4" t="s">
        <v>149</v>
      </c>
    </row>
    <row r="76" spans="1:2" ht="15.75" customHeight="1" x14ac:dyDescent="0.25">
      <c r="A76" s="3" t="s">
        <v>150</v>
      </c>
      <c r="B76" s="4" t="s">
        <v>151</v>
      </c>
    </row>
    <row r="77" spans="1:2" ht="15.75" customHeight="1" x14ac:dyDescent="0.25">
      <c r="A77" s="3" t="s">
        <v>152</v>
      </c>
      <c r="B77" s="4" t="s">
        <v>153</v>
      </c>
    </row>
    <row r="78" spans="1:2" ht="15.75" customHeight="1" x14ac:dyDescent="0.25">
      <c r="A78" s="3" t="s">
        <v>154</v>
      </c>
      <c r="B78" s="4" t="s">
        <v>155</v>
      </c>
    </row>
    <row r="79" spans="1:2" ht="15.75" customHeight="1" x14ac:dyDescent="0.25">
      <c r="A79" s="3" t="s">
        <v>156</v>
      </c>
      <c r="B79" s="4" t="s">
        <v>157</v>
      </c>
    </row>
    <row r="80" spans="1:2" ht="15.75" customHeight="1" x14ac:dyDescent="0.25">
      <c r="A80" s="3" t="s">
        <v>158</v>
      </c>
      <c r="B80" s="4" t="s">
        <v>159</v>
      </c>
    </row>
    <row r="81" spans="1:2" ht="15.75" customHeight="1" x14ac:dyDescent="0.25">
      <c r="A81" s="3" t="s">
        <v>160</v>
      </c>
      <c r="B81" s="4" t="s">
        <v>161</v>
      </c>
    </row>
    <row r="82" spans="1:2" ht="15.75" customHeight="1" x14ac:dyDescent="0.25">
      <c r="A82" s="3" t="s">
        <v>162</v>
      </c>
      <c r="B82" s="4" t="s">
        <v>163</v>
      </c>
    </row>
    <row r="83" spans="1:2" ht="15.75" customHeight="1" x14ac:dyDescent="0.25">
      <c r="A83" s="3" t="s">
        <v>164</v>
      </c>
      <c r="B83" s="4" t="s">
        <v>165</v>
      </c>
    </row>
    <row r="84" spans="1:2" ht="15.75" customHeight="1" x14ac:dyDescent="0.25">
      <c r="A84" s="3" t="s">
        <v>166</v>
      </c>
      <c r="B84" s="4" t="s">
        <v>167</v>
      </c>
    </row>
    <row r="85" spans="1:2" ht="15.75" customHeight="1" x14ac:dyDescent="0.25">
      <c r="A85" s="3" t="s">
        <v>168</v>
      </c>
      <c r="B85" s="4" t="s">
        <v>169</v>
      </c>
    </row>
    <row r="86" spans="1:2" ht="15.75" customHeight="1" x14ac:dyDescent="0.25">
      <c r="A86" s="3" t="s">
        <v>170</v>
      </c>
      <c r="B86" s="4" t="s">
        <v>171</v>
      </c>
    </row>
    <row r="87" spans="1:2" ht="15.75" customHeight="1" x14ac:dyDescent="0.25">
      <c r="A87" s="3" t="s">
        <v>172</v>
      </c>
      <c r="B87" s="4" t="s">
        <v>173</v>
      </c>
    </row>
    <row r="88" spans="1:2" ht="15.75" customHeight="1" x14ac:dyDescent="0.25">
      <c r="A88" s="3" t="s">
        <v>174</v>
      </c>
      <c r="B88" s="4" t="s">
        <v>175</v>
      </c>
    </row>
    <row r="89" spans="1:2" ht="15.75" customHeight="1" x14ac:dyDescent="0.25">
      <c r="A89" s="3" t="s">
        <v>176</v>
      </c>
      <c r="B89" s="4" t="s">
        <v>177</v>
      </c>
    </row>
    <row r="90" spans="1:2" ht="15.75" customHeight="1" x14ac:dyDescent="0.25">
      <c r="A90" s="3" t="s">
        <v>178</v>
      </c>
      <c r="B90" s="4" t="s">
        <v>179</v>
      </c>
    </row>
    <row r="91" spans="1:2" ht="15.75" customHeight="1" x14ac:dyDescent="0.25">
      <c r="A91" s="3" t="s">
        <v>180</v>
      </c>
      <c r="B91" s="4" t="s">
        <v>181</v>
      </c>
    </row>
    <row r="92" spans="1:2" ht="15.75" customHeight="1" x14ac:dyDescent="0.25">
      <c r="A92" s="3" t="s">
        <v>182</v>
      </c>
      <c r="B92" s="4" t="s">
        <v>183</v>
      </c>
    </row>
    <row r="93" spans="1:2" ht="15.75" customHeight="1" x14ac:dyDescent="0.25">
      <c r="A93" s="3" t="s">
        <v>184</v>
      </c>
      <c r="B93" s="4" t="s">
        <v>185</v>
      </c>
    </row>
    <row r="94" spans="1:2" ht="15.75" customHeight="1" x14ac:dyDescent="0.25">
      <c r="A94" s="3" t="s">
        <v>186</v>
      </c>
      <c r="B94" s="4" t="s">
        <v>187</v>
      </c>
    </row>
    <row r="95" spans="1:2" ht="15.75" customHeight="1" x14ac:dyDescent="0.25">
      <c r="A95" s="3" t="s">
        <v>188</v>
      </c>
      <c r="B95" s="4" t="s">
        <v>189</v>
      </c>
    </row>
    <row r="96" spans="1:2" ht="15.75" customHeight="1" x14ac:dyDescent="0.25">
      <c r="A96" s="3" t="s">
        <v>190</v>
      </c>
      <c r="B96" s="4" t="s">
        <v>191</v>
      </c>
    </row>
    <row r="97" spans="1:2" ht="15.75" customHeight="1" x14ac:dyDescent="0.25">
      <c r="A97" s="3" t="s">
        <v>192</v>
      </c>
      <c r="B97" s="4" t="s">
        <v>193</v>
      </c>
    </row>
    <row r="98" spans="1:2" ht="15.75" customHeight="1" x14ac:dyDescent="0.25">
      <c r="A98" s="3" t="s">
        <v>194</v>
      </c>
      <c r="B98" s="4" t="s">
        <v>195</v>
      </c>
    </row>
    <row r="99" spans="1:2" ht="15.75" customHeight="1" x14ac:dyDescent="0.25">
      <c r="A99" s="3" t="s">
        <v>196</v>
      </c>
      <c r="B99" s="4" t="s">
        <v>197</v>
      </c>
    </row>
    <row r="100" spans="1:2" ht="15.75" customHeight="1" x14ac:dyDescent="0.25">
      <c r="A100" s="3" t="s">
        <v>198</v>
      </c>
      <c r="B100" s="4" t="s">
        <v>199</v>
      </c>
    </row>
    <row r="101" spans="1:2" ht="15.75" customHeight="1" x14ac:dyDescent="0.25">
      <c r="A101" s="3" t="s">
        <v>200</v>
      </c>
      <c r="B101" s="4" t="s">
        <v>201</v>
      </c>
    </row>
    <row r="102" spans="1:2" ht="15.75" customHeight="1" x14ac:dyDescent="0.25">
      <c r="A102" s="3" t="s">
        <v>202</v>
      </c>
      <c r="B102" s="4" t="s">
        <v>203</v>
      </c>
    </row>
    <row r="103" spans="1:2" ht="15.75" customHeight="1" x14ac:dyDescent="0.25">
      <c r="A103" s="3" t="s">
        <v>204</v>
      </c>
      <c r="B103" s="4" t="s">
        <v>205</v>
      </c>
    </row>
    <row r="104" spans="1:2" ht="15.75" customHeight="1" x14ac:dyDescent="0.25">
      <c r="A104" s="3" t="s">
        <v>206</v>
      </c>
      <c r="B104" s="4" t="s">
        <v>207</v>
      </c>
    </row>
    <row r="105" spans="1:2" ht="15.75" customHeight="1" x14ac:dyDescent="0.25">
      <c r="A105" s="3" t="s">
        <v>208</v>
      </c>
      <c r="B105" s="4" t="s">
        <v>209</v>
      </c>
    </row>
    <row r="106" spans="1:2" ht="15.75" customHeight="1" x14ac:dyDescent="0.25">
      <c r="A106" s="3" t="s">
        <v>210</v>
      </c>
      <c r="B106" s="4" t="s">
        <v>211</v>
      </c>
    </row>
    <row r="107" spans="1:2" ht="15.75" customHeight="1" x14ac:dyDescent="0.25">
      <c r="A107" s="3" t="s">
        <v>212</v>
      </c>
      <c r="B107" s="4" t="s">
        <v>213</v>
      </c>
    </row>
    <row r="108" spans="1:2" ht="15.75" customHeight="1" x14ac:dyDescent="0.25">
      <c r="A108" s="3" t="s">
        <v>214</v>
      </c>
      <c r="B108" s="4" t="s">
        <v>215</v>
      </c>
    </row>
    <row r="109" spans="1:2" ht="15.75" customHeight="1" x14ac:dyDescent="0.25">
      <c r="A109" s="3" t="s">
        <v>216</v>
      </c>
      <c r="B109" s="4" t="s">
        <v>217</v>
      </c>
    </row>
    <row r="110" spans="1:2" ht="15.75" customHeight="1" x14ac:dyDescent="0.25">
      <c r="A110" s="3" t="s">
        <v>218</v>
      </c>
      <c r="B110" s="4" t="s">
        <v>219</v>
      </c>
    </row>
    <row r="111" spans="1:2" ht="15.75" customHeight="1" x14ac:dyDescent="0.25">
      <c r="A111" s="3" t="s">
        <v>220</v>
      </c>
      <c r="B111" s="6" t="s">
        <v>221</v>
      </c>
    </row>
    <row r="112" spans="1:2" ht="15.75" customHeight="1" x14ac:dyDescent="0.25">
      <c r="A112" s="3" t="s">
        <v>222</v>
      </c>
      <c r="B112" s="6" t="s">
        <v>223</v>
      </c>
    </row>
    <row r="113" spans="1:2" ht="15.75" customHeight="1" x14ac:dyDescent="0.25">
      <c r="A113" s="3" t="s">
        <v>224</v>
      </c>
      <c r="B113" s="4" t="s">
        <v>225</v>
      </c>
    </row>
    <row r="114" spans="1:2" ht="15.75" customHeight="1" x14ac:dyDescent="0.25">
      <c r="A114" s="3" t="s">
        <v>226</v>
      </c>
      <c r="B114" s="4" t="s">
        <v>227</v>
      </c>
    </row>
    <row r="115" spans="1:2" ht="15.75" customHeight="1" x14ac:dyDescent="0.25">
      <c r="A115" s="3" t="s">
        <v>228</v>
      </c>
      <c r="B115" s="4" t="s">
        <v>229</v>
      </c>
    </row>
    <row r="116" spans="1:2" ht="15.75" customHeight="1" x14ac:dyDescent="0.25">
      <c r="A116" s="3" t="s">
        <v>230</v>
      </c>
      <c r="B116" s="4" t="s">
        <v>231</v>
      </c>
    </row>
    <row r="117" spans="1:2" ht="15.75" customHeight="1" x14ac:dyDescent="0.25">
      <c r="A117" s="3" t="s">
        <v>232</v>
      </c>
      <c r="B117" s="4" t="s">
        <v>233</v>
      </c>
    </row>
    <row r="118" spans="1:2" ht="15.75" customHeight="1" x14ac:dyDescent="0.25">
      <c r="A118" s="3" t="s">
        <v>234</v>
      </c>
      <c r="B118" s="4" t="s">
        <v>235</v>
      </c>
    </row>
    <row r="119" spans="1:2" ht="15.75" customHeight="1" x14ac:dyDescent="0.25">
      <c r="A119" s="3" t="s">
        <v>236</v>
      </c>
      <c r="B119" s="4" t="s">
        <v>237</v>
      </c>
    </row>
    <row r="120" spans="1:2" ht="15.75" customHeight="1" x14ac:dyDescent="0.25">
      <c r="A120" s="3" t="s">
        <v>238</v>
      </c>
      <c r="B120" s="4" t="s">
        <v>239</v>
      </c>
    </row>
    <row r="121" spans="1:2" ht="15.75" customHeight="1" x14ac:dyDescent="0.25">
      <c r="A121" s="3" t="s">
        <v>240</v>
      </c>
      <c r="B121" s="4" t="s">
        <v>241</v>
      </c>
    </row>
    <row r="122" spans="1:2" ht="15.75" customHeight="1" x14ac:dyDescent="0.25">
      <c r="A122" s="3" t="s">
        <v>242</v>
      </c>
      <c r="B122" s="4" t="s">
        <v>243</v>
      </c>
    </row>
    <row r="123" spans="1:2" ht="15.75" customHeight="1" x14ac:dyDescent="0.25">
      <c r="A123" s="3" t="s">
        <v>244</v>
      </c>
      <c r="B123" s="4" t="s">
        <v>245</v>
      </c>
    </row>
    <row r="124" spans="1:2" ht="15.75" customHeight="1" x14ac:dyDescent="0.25">
      <c r="A124" s="3" t="s">
        <v>246</v>
      </c>
      <c r="B124" s="4" t="s">
        <v>247</v>
      </c>
    </row>
    <row r="125" spans="1:2" ht="15.75" customHeight="1" x14ac:dyDescent="0.25">
      <c r="A125" s="3" t="s">
        <v>248</v>
      </c>
      <c r="B125" s="4" t="s">
        <v>249</v>
      </c>
    </row>
    <row r="126" spans="1:2" ht="15.75" customHeight="1" x14ac:dyDescent="0.25">
      <c r="A126" s="3" t="s">
        <v>250</v>
      </c>
      <c r="B126" s="4" t="s">
        <v>251</v>
      </c>
    </row>
    <row r="127" spans="1:2" ht="15.75" customHeight="1" x14ac:dyDescent="0.25">
      <c r="A127" s="3" t="s">
        <v>252</v>
      </c>
      <c r="B127" s="4" t="s">
        <v>253</v>
      </c>
    </row>
    <row r="128" spans="1:2" ht="15.75" customHeight="1" x14ac:dyDescent="0.25">
      <c r="A128" s="3" t="s">
        <v>254</v>
      </c>
      <c r="B128" s="4" t="s">
        <v>255</v>
      </c>
    </row>
    <row r="129" spans="1:2" ht="15.75" customHeight="1" x14ac:dyDescent="0.25">
      <c r="A129" s="3" t="s">
        <v>256</v>
      </c>
      <c r="B129" s="4" t="s">
        <v>257</v>
      </c>
    </row>
    <row r="130" spans="1:2" ht="15.75" customHeight="1" x14ac:dyDescent="0.25">
      <c r="A130" s="3" t="s">
        <v>258</v>
      </c>
      <c r="B130" s="4" t="s">
        <v>259</v>
      </c>
    </row>
    <row r="131" spans="1:2" ht="15.75" customHeight="1" x14ac:dyDescent="0.25">
      <c r="A131" s="3" t="s">
        <v>260</v>
      </c>
      <c r="B131" s="4" t="s">
        <v>261</v>
      </c>
    </row>
    <row r="132" spans="1:2" ht="15.75" customHeight="1" x14ac:dyDescent="0.25">
      <c r="A132" s="3" t="s">
        <v>262</v>
      </c>
      <c r="B132" s="4" t="s">
        <v>263</v>
      </c>
    </row>
    <row r="133" spans="1:2" ht="15.75" customHeight="1" x14ac:dyDescent="0.25">
      <c r="A133" s="3" t="s">
        <v>264</v>
      </c>
      <c r="B133" s="4" t="s">
        <v>265</v>
      </c>
    </row>
    <row r="134" spans="1:2" ht="15.75" customHeight="1" x14ac:dyDescent="0.25">
      <c r="A134" s="3" t="s">
        <v>266</v>
      </c>
      <c r="B134" s="4" t="s">
        <v>267</v>
      </c>
    </row>
    <row r="135" spans="1:2" ht="15.75" customHeight="1" x14ac:dyDescent="0.25">
      <c r="A135" s="3" t="s">
        <v>268</v>
      </c>
      <c r="B135" s="4" t="s">
        <v>269</v>
      </c>
    </row>
    <row r="136" spans="1:2" ht="15.75" customHeight="1" x14ac:dyDescent="0.25">
      <c r="A136" s="3" t="s">
        <v>270</v>
      </c>
      <c r="B136" s="4" t="s">
        <v>271</v>
      </c>
    </row>
    <row r="137" spans="1:2" ht="15.75" customHeight="1" x14ac:dyDescent="0.25">
      <c r="A137" s="3" t="s">
        <v>272</v>
      </c>
      <c r="B137" s="4" t="s">
        <v>273</v>
      </c>
    </row>
    <row r="138" spans="1:2" ht="15.75" customHeight="1" x14ac:dyDescent="0.25">
      <c r="A138" s="3" t="s">
        <v>274</v>
      </c>
      <c r="B138" s="4" t="s">
        <v>275</v>
      </c>
    </row>
    <row r="139" spans="1:2" ht="15.75" customHeight="1" x14ac:dyDescent="0.25">
      <c r="A139" s="3" t="s">
        <v>276</v>
      </c>
      <c r="B139" s="4" t="s">
        <v>277</v>
      </c>
    </row>
    <row r="140" spans="1:2" ht="15.75" customHeight="1" x14ac:dyDescent="0.25">
      <c r="A140" s="3" t="s">
        <v>278</v>
      </c>
      <c r="B140" s="4" t="s">
        <v>279</v>
      </c>
    </row>
    <row r="141" spans="1:2" ht="15.75" customHeight="1" x14ac:dyDescent="0.25">
      <c r="A141" s="3" t="s">
        <v>280</v>
      </c>
      <c r="B141" s="4" t="s">
        <v>281</v>
      </c>
    </row>
    <row r="142" spans="1:2" ht="15.75" customHeight="1" x14ac:dyDescent="0.25">
      <c r="A142" s="3" t="s">
        <v>282</v>
      </c>
      <c r="B142" s="4" t="s">
        <v>283</v>
      </c>
    </row>
    <row r="143" spans="1:2" ht="15.75" customHeight="1" x14ac:dyDescent="0.25">
      <c r="A143" s="3" t="s">
        <v>284</v>
      </c>
      <c r="B143" s="4" t="s">
        <v>285</v>
      </c>
    </row>
    <row r="144" spans="1:2" ht="15.75" customHeight="1" x14ac:dyDescent="0.25">
      <c r="A144" s="3" t="s">
        <v>286</v>
      </c>
      <c r="B144" s="4" t="s">
        <v>287</v>
      </c>
    </row>
    <row r="145" spans="1:2" ht="15.75" customHeight="1" x14ac:dyDescent="0.25">
      <c r="A145" s="3" t="s">
        <v>288</v>
      </c>
      <c r="B145" s="4" t="s">
        <v>289</v>
      </c>
    </row>
    <row r="146" spans="1:2" ht="15.75" customHeight="1" x14ac:dyDescent="0.25">
      <c r="A146" s="3" t="s">
        <v>290</v>
      </c>
      <c r="B146" s="4" t="s">
        <v>291</v>
      </c>
    </row>
    <row r="147" spans="1:2" ht="15.75" customHeight="1" x14ac:dyDescent="0.25">
      <c r="A147" s="3" t="s">
        <v>292</v>
      </c>
      <c r="B147" s="4" t="s">
        <v>293</v>
      </c>
    </row>
    <row r="148" spans="1:2" ht="15.75" customHeight="1" x14ac:dyDescent="0.25">
      <c r="A148" s="3" t="s">
        <v>294</v>
      </c>
      <c r="B148" s="4" t="s">
        <v>295</v>
      </c>
    </row>
    <row r="149" spans="1:2" ht="15.75" customHeight="1" x14ac:dyDescent="0.25">
      <c r="A149" s="3" t="s">
        <v>296</v>
      </c>
      <c r="B149" s="4" t="s">
        <v>297</v>
      </c>
    </row>
    <row r="150" spans="1:2" ht="15.75" customHeight="1" x14ac:dyDescent="0.25">
      <c r="A150" s="3" t="s">
        <v>298</v>
      </c>
      <c r="B150" s="4" t="s">
        <v>299</v>
      </c>
    </row>
    <row r="151" spans="1:2" ht="15.75" customHeight="1" x14ac:dyDescent="0.25">
      <c r="A151" s="3" t="s">
        <v>300</v>
      </c>
      <c r="B151" s="4" t="s">
        <v>301</v>
      </c>
    </row>
    <row r="152" spans="1:2" ht="15.75" customHeight="1" x14ac:dyDescent="0.25">
      <c r="A152" s="3" t="s">
        <v>302</v>
      </c>
      <c r="B152" s="4" t="s">
        <v>303</v>
      </c>
    </row>
    <row r="153" spans="1:2" ht="15.75" customHeight="1" x14ac:dyDescent="0.25">
      <c r="A153" s="3" t="s">
        <v>304</v>
      </c>
      <c r="B153" s="4" t="s">
        <v>305</v>
      </c>
    </row>
    <row r="154" spans="1:2" ht="15.75" customHeight="1" x14ac:dyDescent="0.25">
      <c r="A154" s="3" t="s">
        <v>306</v>
      </c>
      <c r="B154" s="4" t="s">
        <v>307</v>
      </c>
    </row>
    <row r="155" spans="1:2" ht="15.75" customHeight="1" x14ac:dyDescent="0.25">
      <c r="A155" s="3" t="s">
        <v>308</v>
      </c>
      <c r="B155" s="4" t="s">
        <v>309</v>
      </c>
    </row>
    <row r="156" spans="1:2" ht="15.75" customHeight="1" x14ac:dyDescent="0.25">
      <c r="A156" s="3" t="s">
        <v>310</v>
      </c>
      <c r="B156" s="4" t="s">
        <v>311</v>
      </c>
    </row>
    <row r="157" spans="1:2" ht="15.75" customHeight="1" x14ac:dyDescent="0.25">
      <c r="A157" s="3" t="s">
        <v>312</v>
      </c>
      <c r="B157" s="4" t="s">
        <v>313</v>
      </c>
    </row>
    <row r="158" spans="1:2" ht="15.75" customHeight="1" x14ac:dyDescent="0.25">
      <c r="A158" s="3" t="s">
        <v>314</v>
      </c>
      <c r="B158" s="4" t="s">
        <v>315</v>
      </c>
    </row>
    <row r="159" spans="1:2" ht="15.75" customHeight="1" x14ac:dyDescent="0.25">
      <c r="A159" s="3" t="s">
        <v>316</v>
      </c>
      <c r="B159" s="4" t="s">
        <v>317</v>
      </c>
    </row>
    <row r="160" spans="1:2" ht="15.75" customHeight="1" x14ac:dyDescent="0.25">
      <c r="A160" s="3" t="s">
        <v>318</v>
      </c>
      <c r="B160" s="4" t="s">
        <v>319</v>
      </c>
    </row>
    <row r="161" spans="1:2" ht="15.75" customHeight="1" x14ac:dyDescent="0.25">
      <c r="A161" s="3" t="s">
        <v>320</v>
      </c>
      <c r="B161" s="4" t="s">
        <v>321</v>
      </c>
    </row>
    <row r="162" spans="1:2" ht="15.75" customHeight="1" x14ac:dyDescent="0.25">
      <c r="A162" s="3" t="s">
        <v>322</v>
      </c>
      <c r="B162" s="4" t="s">
        <v>323</v>
      </c>
    </row>
    <row r="163" spans="1:2" ht="15.75" customHeight="1" x14ac:dyDescent="0.25">
      <c r="A163" s="3" t="s">
        <v>324</v>
      </c>
      <c r="B163" s="4" t="s">
        <v>325</v>
      </c>
    </row>
    <row r="164" spans="1:2" ht="15.75" customHeight="1" x14ac:dyDescent="0.25">
      <c r="A164" s="3" t="s">
        <v>326</v>
      </c>
      <c r="B164" s="4" t="s">
        <v>327</v>
      </c>
    </row>
    <row r="165" spans="1:2" ht="15.75" customHeight="1" x14ac:dyDescent="0.25">
      <c r="A165" s="3" t="s">
        <v>328</v>
      </c>
      <c r="B165" s="4" t="s">
        <v>329</v>
      </c>
    </row>
    <row r="166" spans="1:2" ht="15.75" customHeight="1" x14ac:dyDescent="0.25">
      <c r="A166" s="3" t="s">
        <v>330</v>
      </c>
      <c r="B166" s="4" t="s">
        <v>331</v>
      </c>
    </row>
    <row r="167" spans="1:2" ht="15.75" customHeight="1" x14ac:dyDescent="0.25">
      <c r="A167" s="3" t="s">
        <v>332</v>
      </c>
      <c r="B167" s="4" t="s">
        <v>333</v>
      </c>
    </row>
    <row r="168" spans="1:2" ht="15.75" customHeight="1" x14ac:dyDescent="0.25">
      <c r="A168" s="3" t="s">
        <v>334</v>
      </c>
      <c r="B168" s="4" t="s">
        <v>335</v>
      </c>
    </row>
    <row r="169" spans="1:2" ht="15.75" customHeight="1" x14ac:dyDescent="0.25">
      <c r="A169" s="3" t="s">
        <v>336</v>
      </c>
      <c r="B169" s="4" t="s">
        <v>337</v>
      </c>
    </row>
    <row r="170" spans="1:2" ht="15.75" customHeight="1" x14ac:dyDescent="0.25">
      <c r="A170" s="3" t="s">
        <v>338</v>
      </c>
      <c r="B170" s="4" t="s">
        <v>339</v>
      </c>
    </row>
    <row r="171" spans="1:2" ht="15.75" customHeight="1" x14ac:dyDescent="0.25">
      <c r="A171" s="3" t="s">
        <v>340</v>
      </c>
      <c r="B171" s="4" t="s">
        <v>341</v>
      </c>
    </row>
    <row r="172" spans="1:2" ht="15.75" customHeight="1" x14ac:dyDescent="0.25">
      <c r="A172" s="3" t="s">
        <v>342</v>
      </c>
      <c r="B172" s="4" t="s">
        <v>343</v>
      </c>
    </row>
    <row r="173" spans="1:2" ht="15.75" customHeight="1" x14ac:dyDescent="0.25">
      <c r="A173" s="3" t="s">
        <v>344</v>
      </c>
      <c r="B173" s="4" t="s">
        <v>345</v>
      </c>
    </row>
    <row r="174" spans="1:2" ht="15.75" customHeight="1" x14ac:dyDescent="0.25">
      <c r="A174" s="3" t="s">
        <v>346</v>
      </c>
      <c r="B174" s="4" t="s">
        <v>347</v>
      </c>
    </row>
    <row r="175" spans="1:2" ht="15.75" customHeight="1" x14ac:dyDescent="0.25">
      <c r="A175" s="7"/>
      <c r="B175" s="8"/>
    </row>
    <row r="176" spans="1:2" ht="15.75" customHeight="1" x14ac:dyDescent="0.25">
      <c r="A176" s="7"/>
      <c r="B176" s="8"/>
    </row>
    <row r="177" spans="1:2" ht="15.75" customHeight="1" x14ac:dyDescent="0.25">
      <c r="A177" s="7"/>
      <c r="B177" s="8"/>
    </row>
    <row r="178" spans="1:2" ht="15.75" customHeight="1" x14ac:dyDescent="0.25">
      <c r="A178" s="7"/>
      <c r="B178" s="8"/>
    </row>
    <row r="179" spans="1:2" ht="15.75" customHeight="1" x14ac:dyDescent="0.25">
      <c r="A179" s="7"/>
      <c r="B179" s="8"/>
    </row>
    <row r="180" spans="1:2" ht="15.75" customHeight="1" x14ac:dyDescent="0.25">
      <c r="A180" s="7"/>
      <c r="B180" s="8"/>
    </row>
    <row r="181" spans="1:2" ht="15.75" customHeight="1" x14ac:dyDescent="0.25">
      <c r="A181" s="7"/>
      <c r="B181" s="8"/>
    </row>
    <row r="182" spans="1:2" ht="15.75" customHeight="1" x14ac:dyDescent="0.25">
      <c r="A182" s="7"/>
      <c r="B182" s="8"/>
    </row>
    <row r="183" spans="1:2" ht="15.75" customHeight="1" x14ac:dyDescent="0.25">
      <c r="A183" s="7"/>
      <c r="B183" s="8"/>
    </row>
    <row r="184" spans="1:2" ht="15.75" customHeight="1" x14ac:dyDescent="0.25">
      <c r="A184" s="7"/>
      <c r="B184" s="8"/>
    </row>
    <row r="185" spans="1:2" ht="15.75" customHeight="1" x14ac:dyDescent="0.25">
      <c r="A185" s="7"/>
      <c r="B185" s="8"/>
    </row>
    <row r="186" spans="1:2" ht="15.75" customHeight="1" x14ac:dyDescent="0.25">
      <c r="A186" s="7"/>
      <c r="B186" s="8"/>
    </row>
    <row r="187" spans="1:2" ht="15.75" customHeight="1" x14ac:dyDescent="0.25">
      <c r="A187" s="7"/>
      <c r="B187" s="8"/>
    </row>
    <row r="188" spans="1:2" ht="15.75" customHeight="1" x14ac:dyDescent="0.25">
      <c r="A188" s="7"/>
      <c r="B188" s="8"/>
    </row>
    <row r="189" spans="1:2" ht="15.75" customHeight="1" x14ac:dyDescent="0.25">
      <c r="A189" s="7"/>
      <c r="B189" s="8"/>
    </row>
    <row r="190" spans="1:2" ht="15.75" customHeight="1" x14ac:dyDescent="0.25">
      <c r="A190" s="7"/>
      <c r="B190" s="8"/>
    </row>
    <row r="191" spans="1:2" ht="15.75" customHeight="1" x14ac:dyDescent="0.25">
      <c r="A191" s="7"/>
      <c r="B191" s="8"/>
    </row>
    <row r="192" spans="1:2" ht="15.75" customHeight="1" x14ac:dyDescent="0.25">
      <c r="A192" s="7"/>
      <c r="B192" s="8"/>
    </row>
    <row r="193" spans="1:2" ht="15.75" customHeight="1" x14ac:dyDescent="0.25">
      <c r="A193" s="7"/>
      <c r="B193" s="8"/>
    </row>
    <row r="194" spans="1:2" ht="15.75" customHeight="1" x14ac:dyDescent="0.25">
      <c r="A194" s="7"/>
      <c r="B194" s="8"/>
    </row>
    <row r="195" spans="1:2" ht="15.75" customHeight="1" x14ac:dyDescent="0.25">
      <c r="A195" s="7"/>
      <c r="B195" s="8"/>
    </row>
    <row r="196" spans="1:2" ht="15.75" customHeight="1" x14ac:dyDescent="0.25">
      <c r="A196" s="7"/>
      <c r="B196" s="8"/>
    </row>
    <row r="197" spans="1:2" ht="15.75" customHeight="1" x14ac:dyDescent="0.25">
      <c r="A197" s="7"/>
      <c r="B197" s="8"/>
    </row>
    <row r="198" spans="1:2" ht="15.75" customHeight="1" x14ac:dyDescent="0.25">
      <c r="A198" s="7"/>
      <c r="B198" s="8"/>
    </row>
    <row r="199" spans="1:2" ht="15.75" customHeight="1" x14ac:dyDescent="0.25">
      <c r="A199" s="7"/>
      <c r="B199" s="8"/>
    </row>
    <row r="200" spans="1:2" ht="15.75" customHeight="1" x14ac:dyDescent="0.25">
      <c r="A200" s="7"/>
      <c r="B200" s="8"/>
    </row>
    <row r="201" spans="1:2" ht="15.75" customHeight="1" x14ac:dyDescent="0.25">
      <c r="A201" s="7"/>
      <c r="B201" s="8"/>
    </row>
    <row r="202" spans="1:2" ht="15.75" customHeight="1" x14ac:dyDescent="0.25">
      <c r="A202" s="7"/>
      <c r="B202" s="8"/>
    </row>
    <row r="203" spans="1:2" ht="15.75" customHeight="1" x14ac:dyDescent="0.25">
      <c r="A203" s="7"/>
      <c r="B203" s="8"/>
    </row>
    <row r="204" spans="1:2" ht="15.75" customHeight="1" x14ac:dyDescent="0.25">
      <c r="A204" s="7"/>
      <c r="B204" s="8"/>
    </row>
    <row r="205" spans="1:2" ht="15.75" customHeight="1" x14ac:dyDescent="0.25">
      <c r="A205" s="7"/>
      <c r="B205" s="8"/>
    </row>
    <row r="206" spans="1:2" ht="15.75" customHeight="1" x14ac:dyDescent="0.25">
      <c r="A206" s="7"/>
      <c r="B206" s="8"/>
    </row>
    <row r="207" spans="1:2" ht="15.75" customHeight="1" x14ac:dyDescent="0.25">
      <c r="A207" s="7"/>
      <c r="B207" s="8"/>
    </row>
    <row r="208" spans="1:2" ht="15.75" customHeight="1" x14ac:dyDescent="0.25">
      <c r="A208" s="7"/>
      <c r="B208" s="8"/>
    </row>
    <row r="209" spans="1:2" ht="15.75" customHeight="1" x14ac:dyDescent="0.25">
      <c r="A209" s="7"/>
      <c r="B209" s="8"/>
    </row>
    <row r="210" spans="1:2" ht="15.75" customHeight="1" x14ac:dyDescent="0.25">
      <c r="A210" s="7"/>
      <c r="B210" s="8"/>
    </row>
    <row r="211" spans="1:2" ht="15.75" customHeight="1" x14ac:dyDescent="0.25">
      <c r="A211" s="7"/>
      <c r="B211" s="8"/>
    </row>
    <row r="212" spans="1:2" ht="15.75" customHeight="1" x14ac:dyDescent="0.25">
      <c r="A212" s="7"/>
      <c r="B212" s="8"/>
    </row>
    <row r="213" spans="1:2" ht="15.75" customHeight="1" x14ac:dyDescent="0.25">
      <c r="A213" s="7"/>
      <c r="B213" s="8"/>
    </row>
    <row r="214" spans="1:2" ht="15.75" customHeight="1" x14ac:dyDescent="0.25">
      <c r="A214" s="7"/>
      <c r="B214" s="8"/>
    </row>
    <row r="215" spans="1:2" ht="15.75" customHeight="1" x14ac:dyDescent="0.25">
      <c r="A215" s="7"/>
      <c r="B215" s="8"/>
    </row>
    <row r="216" spans="1:2" ht="15.75" customHeight="1" x14ac:dyDescent="0.25">
      <c r="A216" s="7"/>
      <c r="B216" s="8"/>
    </row>
    <row r="217" spans="1:2" ht="15.75" customHeight="1" x14ac:dyDescent="0.25">
      <c r="A217" s="7"/>
      <c r="B217" s="8"/>
    </row>
    <row r="218" spans="1:2" ht="15.75" customHeight="1" x14ac:dyDescent="0.25">
      <c r="A218" s="7"/>
      <c r="B218" s="8"/>
    </row>
    <row r="219" spans="1:2" ht="15.75" customHeight="1" x14ac:dyDescent="0.25">
      <c r="A219" s="7"/>
      <c r="B219" s="8"/>
    </row>
    <row r="220" spans="1:2" ht="15.75" customHeight="1" x14ac:dyDescent="0.25">
      <c r="A220" s="7"/>
      <c r="B220" s="8"/>
    </row>
    <row r="221" spans="1:2" ht="15.75" customHeight="1" x14ac:dyDescent="0.25">
      <c r="A221" s="7"/>
      <c r="B221" s="8"/>
    </row>
    <row r="222" spans="1:2" ht="15.75" customHeight="1" x14ac:dyDescent="0.25">
      <c r="A222" s="7"/>
      <c r="B222" s="8"/>
    </row>
    <row r="223" spans="1:2" ht="15.75" customHeight="1" x14ac:dyDescent="0.25">
      <c r="A223" s="7"/>
      <c r="B223" s="8"/>
    </row>
    <row r="224" spans="1:2" ht="15.75" customHeight="1" x14ac:dyDescent="0.25">
      <c r="A224" s="7"/>
      <c r="B224" s="8"/>
    </row>
    <row r="225" spans="1:2" ht="15.75" customHeight="1" x14ac:dyDescent="0.25">
      <c r="A225" s="7"/>
      <c r="B225" s="8"/>
    </row>
    <row r="226" spans="1:2" ht="15.75" customHeight="1" x14ac:dyDescent="0.25">
      <c r="A226" s="7"/>
      <c r="B226" s="8"/>
    </row>
    <row r="227" spans="1:2" ht="15.75" customHeight="1" x14ac:dyDescent="0.25">
      <c r="A227" s="7"/>
      <c r="B227" s="8"/>
    </row>
    <row r="228" spans="1:2" ht="15.75" customHeight="1" x14ac:dyDescent="0.25">
      <c r="A228" s="7"/>
      <c r="B228" s="8"/>
    </row>
    <row r="229" spans="1:2" ht="15.75" customHeight="1" x14ac:dyDescent="0.25">
      <c r="A229" s="7"/>
      <c r="B229" s="8"/>
    </row>
    <row r="230" spans="1:2" ht="15.75" customHeight="1" x14ac:dyDescent="0.25">
      <c r="A230" s="7"/>
      <c r="B230" s="8"/>
    </row>
    <row r="231" spans="1:2" ht="15.75" customHeight="1" x14ac:dyDescent="0.25">
      <c r="A231" s="7"/>
      <c r="B231" s="8"/>
    </row>
    <row r="232" spans="1:2" ht="15.75" customHeight="1" x14ac:dyDescent="0.25">
      <c r="A232" s="7"/>
      <c r="B232" s="8"/>
    </row>
    <row r="233" spans="1:2" ht="15.75" customHeight="1" x14ac:dyDescent="0.25">
      <c r="A233" s="7"/>
      <c r="B233" s="8"/>
    </row>
    <row r="234" spans="1:2" ht="15.75" customHeight="1" x14ac:dyDescent="0.25">
      <c r="A234" s="7"/>
      <c r="B234" s="8"/>
    </row>
    <row r="235" spans="1:2" ht="15.75" customHeight="1" x14ac:dyDescent="0.25">
      <c r="A235" s="7"/>
      <c r="B235" s="8"/>
    </row>
    <row r="236" spans="1:2" ht="15.75" customHeight="1" x14ac:dyDescent="0.25">
      <c r="A236" s="7"/>
      <c r="B236" s="8"/>
    </row>
    <row r="237" spans="1:2" ht="15.75" customHeight="1" x14ac:dyDescent="0.25">
      <c r="A237" s="7"/>
      <c r="B237" s="8"/>
    </row>
    <row r="238" spans="1:2" ht="15.75" customHeight="1" x14ac:dyDescent="0.25">
      <c r="A238" s="7"/>
      <c r="B238" s="8"/>
    </row>
    <row r="239" spans="1:2" ht="15.75" customHeight="1" x14ac:dyDescent="0.25">
      <c r="A239" s="7"/>
      <c r="B239" s="8"/>
    </row>
    <row r="240" spans="1:2" ht="15.75" customHeight="1" x14ac:dyDescent="0.25">
      <c r="A240" s="7"/>
      <c r="B240" s="8"/>
    </row>
    <row r="241" spans="1:2" ht="15.75" customHeight="1" x14ac:dyDescent="0.25">
      <c r="A241" s="7"/>
      <c r="B241" s="8"/>
    </row>
    <row r="242" spans="1:2" ht="15.75" customHeight="1" x14ac:dyDescent="0.25">
      <c r="A242" s="7"/>
      <c r="B242" s="8"/>
    </row>
    <row r="243" spans="1:2" ht="15.75" customHeight="1" x14ac:dyDescent="0.25">
      <c r="A243" s="7"/>
      <c r="B243" s="8"/>
    </row>
    <row r="244" spans="1:2" ht="15.75" customHeight="1" x14ac:dyDescent="0.25">
      <c r="A244" s="7"/>
      <c r="B244" s="8"/>
    </row>
    <row r="245" spans="1:2" ht="15.75" customHeight="1" x14ac:dyDescent="0.25">
      <c r="A245" s="7"/>
      <c r="B245" s="8"/>
    </row>
    <row r="246" spans="1:2" ht="15.75" customHeight="1" x14ac:dyDescent="0.25">
      <c r="A246" s="7"/>
      <c r="B246" s="8"/>
    </row>
    <row r="247" spans="1:2" ht="15.75" customHeight="1" x14ac:dyDescent="0.25">
      <c r="A247" s="7"/>
      <c r="B247" s="8"/>
    </row>
    <row r="248" spans="1:2" ht="15.75" customHeight="1" x14ac:dyDescent="0.25">
      <c r="A248" s="7"/>
      <c r="B248" s="8"/>
    </row>
    <row r="249" spans="1:2" ht="15.75" customHeight="1" x14ac:dyDescent="0.25">
      <c r="A249" s="7"/>
      <c r="B249" s="8"/>
    </row>
    <row r="250" spans="1:2" ht="15.75" customHeight="1" x14ac:dyDescent="0.25">
      <c r="A250" s="7"/>
      <c r="B250" s="8"/>
    </row>
    <row r="251" spans="1:2" ht="15.75" customHeight="1" x14ac:dyDescent="0.25">
      <c r="A251" s="7"/>
      <c r="B251" s="8"/>
    </row>
    <row r="252" spans="1:2" ht="15.75" customHeight="1" x14ac:dyDescent="0.25">
      <c r="A252" s="7"/>
      <c r="B252" s="8"/>
    </row>
    <row r="253" spans="1:2" ht="15.75" customHeight="1" x14ac:dyDescent="0.25">
      <c r="A253" s="7"/>
      <c r="B253" s="8"/>
    </row>
    <row r="254" spans="1:2" ht="15.75" customHeight="1" x14ac:dyDescent="0.25">
      <c r="A254" s="7"/>
      <c r="B254" s="8"/>
    </row>
    <row r="255" spans="1:2" ht="15.75" customHeight="1" x14ac:dyDescent="0.25">
      <c r="A255" s="7"/>
      <c r="B255" s="8"/>
    </row>
    <row r="256" spans="1:2" ht="15.75" customHeight="1" x14ac:dyDescent="0.25">
      <c r="A256" s="7"/>
      <c r="B256" s="8"/>
    </row>
    <row r="257" spans="1:2" ht="15.75" customHeight="1" x14ac:dyDescent="0.25">
      <c r="A257" s="7"/>
      <c r="B257" s="8"/>
    </row>
    <row r="258" spans="1:2" ht="15.75" customHeight="1" x14ac:dyDescent="0.25">
      <c r="A258" s="7"/>
      <c r="B258" s="8"/>
    </row>
    <row r="259" spans="1:2" ht="15.75" customHeight="1" x14ac:dyDescent="0.25">
      <c r="A259" s="7"/>
      <c r="B259" s="8"/>
    </row>
    <row r="260" spans="1:2" ht="15.75" customHeight="1" x14ac:dyDescent="0.25">
      <c r="A260" s="7"/>
      <c r="B260" s="8"/>
    </row>
    <row r="261" spans="1:2" ht="15.75" customHeight="1" x14ac:dyDescent="0.25">
      <c r="A261" s="7"/>
      <c r="B261" s="8"/>
    </row>
    <row r="262" spans="1:2" ht="15.75" customHeight="1" x14ac:dyDescent="0.25">
      <c r="A262" s="7"/>
      <c r="B262" s="8"/>
    </row>
    <row r="263" spans="1:2" ht="15.75" customHeight="1" x14ac:dyDescent="0.25">
      <c r="A263" s="7"/>
      <c r="B263" s="8"/>
    </row>
    <row r="264" spans="1:2" ht="15.75" customHeight="1" x14ac:dyDescent="0.25">
      <c r="A264" s="7"/>
      <c r="B264" s="8"/>
    </row>
    <row r="265" spans="1:2" ht="15.75" customHeight="1" x14ac:dyDescent="0.25">
      <c r="A265" s="7"/>
      <c r="B265" s="8"/>
    </row>
    <row r="266" spans="1:2" ht="15.75" customHeight="1" x14ac:dyDescent="0.25">
      <c r="A266" s="7"/>
      <c r="B266" s="8"/>
    </row>
    <row r="267" spans="1:2" ht="15.75" customHeight="1" x14ac:dyDescent="0.25">
      <c r="A267" s="7"/>
      <c r="B267" s="8"/>
    </row>
    <row r="268" spans="1:2" ht="15.75" customHeight="1" x14ac:dyDescent="0.25">
      <c r="A268" s="7"/>
      <c r="B268" s="8"/>
    </row>
    <row r="269" spans="1:2" ht="15.75" customHeight="1" x14ac:dyDescent="0.25">
      <c r="A269" s="7"/>
      <c r="B269" s="8"/>
    </row>
    <row r="270" spans="1:2" ht="15.75" customHeight="1" x14ac:dyDescent="0.25">
      <c r="A270" s="7"/>
      <c r="B270" s="8"/>
    </row>
    <row r="271" spans="1:2" ht="15.75" customHeight="1" x14ac:dyDescent="0.25">
      <c r="A271" s="7"/>
      <c r="B271" s="8"/>
    </row>
    <row r="272" spans="1:2" ht="15.75" customHeight="1" x14ac:dyDescent="0.25">
      <c r="A272" s="7"/>
      <c r="B272" s="8"/>
    </row>
    <row r="273" spans="1:2" ht="15.75" customHeight="1" x14ac:dyDescent="0.25">
      <c r="A273" s="7"/>
      <c r="B273" s="8"/>
    </row>
    <row r="274" spans="1:2" ht="15.75" customHeight="1" x14ac:dyDescent="0.25">
      <c r="A274" s="7"/>
      <c r="B274" s="8"/>
    </row>
    <row r="275" spans="1:2" ht="15.75" customHeight="1" x14ac:dyDescent="0.25">
      <c r="A275" s="7"/>
      <c r="B275" s="8"/>
    </row>
    <row r="276" spans="1:2" ht="15.75" customHeight="1" x14ac:dyDescent="0.25">
      <c r="A276" s="7"/>
      <c r="B276" s="8"/>
    </row>
    <row r="277" spans="1:2" ht="15.75" customHeight="1" x14ac:dyDescent="0.25">
      <c r="A277" s="7"/>
      <c r="B277" s="8"/>
    </row>
    <row r="278" spans="1:2" ht="15.75" customHeight="1" x14ac:dyDescent="0.25">
      <c r="A278" s="7"/>
      <c r="B278" s="8"/>
    </row>
    <row r="279" spans="1:2" ht="15.75" customHeight="1" x14ac:dyDescent="0.25">
      <c r="A279" s="7"/>
      <c r="B279" s="8"/>
    </row>
    <row r="280" spans="1:2" ht="15.75" customHeight="1" x14ac:dyDescent="0.25">
      <c r="A280" s="7"/>
      <c r="B280" s="8"/>
    </row>
    <row r="281" spans="1:2" ht="15.75" customHeight="1" x14ac:dyDescent="0.25">
      <c r="A281" s="7"/>
      <c r="B281" s="8"/>
    </row>
    <row r="282" spans="1:2" ht="15.75" customHeight="1" x14ac:dyDescent="0.25">
      <c r="A282" s="7"/>
      <c r="B282" s="8"/>
    </row>
    <row r="283" spans="1:2" ht="15.75" customHeight="1" x14ac:dyDescent="0.25">
      <c r="A283" s="7"/>
      <c r="B283" s="8"/>
    </row>
    <row r="284" spans="1:2" ht="15.75" customHeight="1" x14ac:dyDescent="0.25">
      <c r="A284" s="7"/>
      <c r="B284" s="8"/>
    </row>
    <row r="285" spans="1:2" ht="15.75" customHeight="1" x14ac:dyDescent="0.25">
      <c r="A285" s="7"/>
      <c r="B285" s="8"/>
    </row>
    <row r="286" spans="1:2" ht="15.75" customHeight="1" x14ac:dyDescent="0.25">
      <c r="A286" s="7"/>
      <c r="B286" s="8"/>
    </row>
    <row r="287" spans="1:2" ht="15.75" customHeight="1" x14ac:dyDescent="0.25">
      <c r="A287" s="7"/>
      <c r="B287" s="8"/>
    </row>
    <row r="288" spans="1:2" ht="15.75" customHeight="1" x14ac:dyDescent="0.25">
      <c r="A288" s="7"/>
      <c r="B288" s="8"/>
    </row>
    <row r="289" spans="1:2" ht="15.75" customHeight="1" x14ac:dyDescent="0.25">
      <c r="A289" s="7"/>
      <c r="B289" s="8"/>
    </row>
    <row r="290" spans="1:2" ht="15.75" customHeight="1" x14ac:dyDescent="0.25">
      <c r="A290" s="7"/>
      <c r="B290" s="8"/>
    </row>
    <row r="291" spans="1:2" ht="15.75" customHeight="1" x14ac:dyDescent="0.25">
      <c r="A291" s="7"/>
      <c r="B291" s="8"/>
    </row>
    <row r="292" spans="1:2" ht="15.75" customHeight="1" x14ac:dyDescent="0.25">
      <c r="A292" s="7"/>
      <c r="B292" s="8"/>
    </row>
    <row r="293" spans="1:2" ht="15.75" customHeight="1" x14ac:dyDescent="0.25">
      <c r="A293" s="7"/>
      <c r="B293" s="8"/>
    </row>
    <row r="294" spans="1:2" ht="15.75" customHeight="1" x14ac:dyDescent="0.25">
      <c r="A294" s="7"/>
      <c r="B294" s="8"/>
    </row>
    <row r="295" spans="1:2" ht="15.75" customHeight="1" x14ac:dyDescent="0.25">
      <c r="A295" s="7"/>
      <c r="B295" s="8"/>
    </row>
    <row r="296" spans="1:2" ht="15.75" customHeight="1" x14ac:dyDescent="0.25">
      <c r="A296" s="7"/>
      <c r="B296" s="8"/>
    </row>
    <row r="297" spans="1:2" ht="15.75" customHeight="1" x14ac:dyDescent="0.25">
      <c r="A297" s="7"/>
      <c r="B297" s="8"/>
    </row>
    <row r="298" spans="1:2" ht="15.75" customHeight="1" x14ac:dyDescent="0.25">
      <c r="A298" s="7"/>
      <c r="B298" s="8"/>
    </row>
    <row r="299" spans="1:2" ht="15.75" customHeight="1" x14ac:dyDescent="0.25">
      <c r="A299" s="7"/>
      <c r="B299" s="8"/>
    </row>
    <row r="300" spans="1:2" ht="15.75" customHeight="1" x14ac:dyDescent="0.25">
      <c r="A300" s="7"/>
      <c r="B300" s="8"/>
    </row>
    <row r="301" spans="1:2" ht="15.75" customHeight="1" x14ac:dyDescent="0.25">
      <c r="A301" s="7"/>
      <c r="B301" s="8"/>
    </row>
    <row r="302" spans="1:2" ht="15.75" customHeight="1" x14ac:dyDescent="0.25">
      <c r="A302" s="7"/>
      <c r="B302" s="8"/>
    </row>
    <row r="303" spans="1:2" ht="15.75" customHeight="1" x14ac:dyDescent="0.25">
      <c r="A303" s="7"/>
      <c r="B303" s="8"/>
    </row>
    <row r="304" spans="1:2" ht="15.75" customHeight="1" x14ac:dyDescent="0.25">
      <c r="A304" s="7"/>
      <c r="B304" s="8"/>
    </row>
    <row r="305" spans="1:2" ht="15.75" customHeight="1" x14ac:dyDescent="0.25">
      <c r="A305" s="7"/>
      <c r="B305" s="8"/>
    </row>
    <row r="306" spans="1:2" ht="15.75" customHeight="1" x14ac:dyDescent="0.25">
      <c r="A306" s="7"/>
      <c r="B306" s="8"/>
    </row>
    <row r="307" spans="1:2" ht="15.75" customHeight="1" x14ac:dyDescent="0.25">
      <c r="A307" s="7"/>
      <c r="B307" s="8"/>
    </row>
    <row r="308" spans="1:2" ht="15.75" customHeight="1" x14ac:dyDescent="0.25">
      <c r="A308" s="7"/>
      <c r="B308" s="8"/>
    </row>
    <row r="309" spans="1:2" ht="15.75" customHeight="1" x14ac:dyDescent="0.25">
      <c r="A309" s="7"/>
      <c r="B309" s="8"/>
    </row>
    <row r="310" spans="1:2" ht="15.75" customHeight="1" x14ac:dyDescent="0.25">
      <c r="A310" s="7"/>
      <c r="B310" s="8"/>
    </row>
    <row r="311" spans="1:2" ht="15.75" customHeight="1" x14ac:dyDescent="0.25">
      <c r="A311" s="7"/>
      <c r="B311" s="8"/>
    </row>
    <row r="312" spans="1:2" ht="15.75" customHeight="1" x14ac:dyDescent="0.25">
      <c r="A312" s="7"/>
      <c r="B312" s="8"/>
    </row>
    <row r="313" spans="1:2" ht="15.75" customHeight="1" x14ac:dyDescent="0.25">
      <c r="A313" s="7"/>
      <c r="B313" s="8"/>
    </row>
    <row r="314" spans="1:2" ht="15.75" customHeight="1" x14ac:dyDescent="0.25">
      <c r="A314" s="7"/>
      <c r="B314" s="8"/>
    </row>
    <row r="315" spans="1:2" ht="15.75" customHeight="1" x14ac:dyDescent="0.25">
      <c r="A315" s="7"/>
      <c r="B315" s="8"/>
    </row>
    <row r="316" spans="1:2" ht="15.75" customHeight="1" x14ac:dyDescent="0.25">
      <c r="A316" s="7"/>
      <c r="B316" s="8"/>
    </row>
    <row r="317" spans="1:2" ht="15.75" customHeight="1" x14ac:dyDescent="0.25">
      <c r="A317" s="7"/>
      <c r="B317" s="8"/>
    </row>
    <row r="318" spans="1:2" ht="15.75" customHeight="1" x14ac:dyDescent="0.25">
      <c r="A318" s="7"/>
      <c r="B318" s="8"/>
    </row>
    <row r="319" spans="1:2" ht="15.75" customHeight="1" x14ac:dyDescent="0.25">
      <c r="A319" s="7"/>
      <c r="B319" s="8"/>
    </row>
    <row r="320" spans="1:2" ht="15.75" customHeight="1" x14ac:dyDescent="0.25">
      <c r="A320" s="7"/>
      <c r="B320" s="8"/>
    </row>
    <row r="321" spans="1:2" ht="15.75" customHeight="1" x14ac:dyDescent="0.25">
      <c r="A321" s="7"/>
      <c r="B321" s="8"/>
    </row>
    <row r="322" spans="1:2" ht="15.75" customHeight="1" x14ac:dyDescent="0.25">
      <c r="A322" s="7"/>
      <c r="B322" s="8"/>
    </row>
    <row r="323" spans="1:2" ht="15.75" customHeight="1" x14ac:dyDescent="0.25">
      <c r="A323" s="7"/>
      <c r="B323" s="8"/>
    </row>
    <row r="324" spans="1:2" ht="15.75" customHeight="1" x14ac:dyDescent="0.25">
      <c r="A324" s="7"/>
      <c r="B324" s="8"/>
    </row>
    <row r="325" spans="1:2" ht="15.75" customHeight="1" x14ac:dyDescent="0.25">
      <c r="A325" s="7"/>
      <c r="B325" s="8"/>
    </row>
    <row r="326" spans="1:2" ht="15.75" customHeight="1" x14ac:dyDescent="0.25">
      <c r="A326" s="7"/>
      <c r="B326" s="8"/>
    </row>
    <row r="327" spans="1:2" ht="15.75" customHeight="1" x14ac:dyDescent="0.25">
      <c r="A327" s="7"/>
      <c r="B327" s="8"/>
    </row>
    <row r="328" spans="1:2" ht="15.75" customHeight="1" x14ac:dyDescent="0.25">
      <c r="A328" s="7"/>
      <c r="B328" s="8"/>
    </row>
    <row r="329" spans="1:2" ht="15.75" customHeight="1" x14ac:dyDescent="0.25">
      <c r="A329" s="7"/>
      <c r="B329" s="8"/>
    </row>
    <row r="330" spans="1:2" ht="15.75" customHeight="1" x14ac:dyDescent="0.25">
      <c r="A330" s="7"/>
      <c r="B330" s="8"/>
    </row>
    <row r="331" spans="1:2" ht="15.75" customHeight="1" x14ac:dyDescent="0.25">
      <c r="A331" s="7"/>
      <c r="B331" s="8"/>
    </row>
    <row r="332" spans="1:2" ht="15.75" customHeight="1" x14ac:dyDescent="0.25">
      <c r="A332" s="7"/>
      <c r="B332" s="8"/>
    </row>
    <row r="333" spans="1:2" ht="15.75" customHeight="1" x14ac:dyDescent="0.25">
      <c r="A333" s="7"/>
      <c r="B333" s="8"/>
    </row>
    <row r="334" spans="1:2" ht="15.75" customHeight="1" x14ac:dyDescent="0.25">
      <c r="A334" s="7"/>
      <c r="B334" s="8"/>
    </row>
    <row r="335" spans="1:2" ht="15.75" customHeight="1" x14ac:dyDescent="0.25">
      <c r="A335" s="7"/>
      <c r="B335" s="8"/>
    </row>
    <row r="336" spans="1:2" ht="15.75" customHeight="1" x14ac:dyDescent="0.25">
      <c r="A336" s="7"/>
      <c r="B336" s="8"/>
    </row>
    <row r="337" spans="1:2" ht="15.75" customHeight="1" x14ac:dyDescent="0.25">
      <c r="A337" s="7"/>
      <c r="B337" s="8"/>
    </row>
    <row r="338" spans="1:2" ht="15.75" customHeight="1" x14ac:dyDescent="0.25">
      <c r="A338" s="7"/>
      <c r="B338" s="8"/>
    </row>
    <row r="339" spans="1:2" ht="15.75" customHeight="1" x14ac:dyDescent="0.25">
      <c r="A339" s="7"/>
      <c r="B339" s="8"/>
    </row>
    <row r="340" spans="1:2" ht="15.75" customHeight="1" x14ac:dyDescent="0.25">
      <c r="A340" s="7"/>
      <c r="B340" s="8"/>
    </row>
    <row r="341" spans="1:2" ht="15.75" customHeight="1" x14ac:dyDescent="0.25">
      <c r="A341" s="7"/>
      <c r="B341" s="8"/>
    </row>
    <row r="342" spans="1:2" ht="15.75" customHeight="1" x14ac:dyDescent="0.25">
      <c r="A342" s="7"/>
      <c r="B342" s="8"/>
    </row>
    <row r="343" spans="1:2" ht="15.75" customHeight="1" x14ac:dyDescent="0.25">
      <c r="A343" s="7"/>
      <c r="B343" s="8"/>
    </row>
    <row r="344" spans="1:2" ht="15.75" customHeight="1" x14ac:dyDescent="0.25">
      <c r="A344" s="7"/>
      <c r="B344" s="8"/>
    </row>
    <row r="345" spans="1:2" ht="15.75" customHeight="1" x14ac:dyDescent="0.25">
      <c r="A345" s="7"/>
      <c r="B345" s="8"/>
    </row>
    <row r="346" spans="1:2" ht="15.75" customHeight="1" x14ac:dyDescent="0.25">
      <c r="A346" s="7"/>
      <c r="B346" s="8"/>
    </row>
    <row r="347" spans="1:2" ht="15.75" customHeight="1" x14ac:dyDescent="0.25">
      <c r="A347" s="7"/>
      <c r="B347" s="8"/>
    </row>
    <row r="348" spans="1:2" ht="15.75" customHeight="1" x14ac:dyDescent="0.25">
      <c r="A348" s="7"/>
      <c r="B348" s="8"/>
    </row>
    <row r="349" spans="1:2" ht="15.75" customHeight="1" x14ac:dyDescent="0.25">
      <c r="A349" s="7"/>
      <c r="B349" s="8"/>
    </row>
    <row r="350" spans="1:2" ht="15.75" customHeight="1" x14ac:dyDescent="0.25">
      <c r="A350" s="7"/>
      <c r="B350" s="8"/>
    </row>
    <row r="351" spans="1:2" ht="15.75" customHeight="1" x14ac:dyDescent="0.25">
      <c r="A351" s="7"/>
      <c r="B351" s="8"/>
    </row>
    <row r="352" spans="1:2" ht="15.75" customHeight="1" x14ac:dyDescent="0.25">
      <c r="A352" s="7"/>
      <c r="B352" s="8"/>
    </row>
    <row r="353" spans="1:2" ht="15.75" customHeight="1" x14ac:dyDescent="0.25">
      <c r="A353" s="7"/>
      <c r="B353" s="8"/>
    </row>
    <row r="354" spans="1:2" ht="15.75" customHeight="1" x14ac:dyDescent="0.25">
      <c r="A354" s="7"/>
      <c r="B354" s="8"/>
    </row>
    <row r="355" spans="1:2" ht="15.75" customHeight="1" x14ac:dyDescent="0.25">
      <c r="A355" s="7"/>
      <c r="B355" s="8"/>
    </row>
    <row r="356" spans="1:2" ht="15.75" customHeight="1" x14ac:dyDescent="0.25">
      <c r="A356" s="7"/>
      <c r="B356" s="8"/>
    </row>
    <row r="357" spans="1:2" ht="15.75" customHeight="1" x14ac:dyDescent="0.25">
      <c r="A357" s="7"/>
      <c r="B357" s="8"/>
    </row>
    <row r="358" spans="1:2" ht="15.75" customHeight="1" x14ac:dyDescent="0.25">
      <c r="A358" s="7"/>
      <c r="B358" s="8"/>
    </row>
    <row r="359" spans="1:2" ht="15.75" customHeight="1" x14ac:dyDescent="0.25">
      <c r="A359" s="7"/>
      <c r="B359" s="8"/>
    </row>
    <row r="360" spans="1:2" ht="15.75" customHeight="1" x14ac:dyDescent="0.25">
      <c r="A360" s="7"/>
      <c r="B360" s="8"/>
    </row>
    <row r="361" spans="1:2" ht="15.75" customHeight="1" x14ac:dyDescent="0.25">
      <c r="A361" s="7"/>
      <c r="B361" s="8"/>
    </row>
    <row r="362" spans="1:2" ht="15.75" customHeight="1" x14ac:dyDescent="0.25">
      <c r="A362" s="7"/>
      <c r="B362" s="8"/>
    </row>
    <row r="363" spans="1:2" ht="15.75" customHeight="1" x14ac:dyDescent="0.25">
      <c r="A363" s="7"/>
      <c r="B363" s="8"/>
    </row>
    <row r="364" spans="1:2" ht="15.75" customHeight="1" x14ac:dyDescent="0.25">
      <c r="A364" s="7"/>
      <c r="B364" s="8"/>
    </row>
    <row r="365" spans="1:2" ht="15.75" customHeight="1" x14ac:dyDescent="0.25">
      <c r="A365" s="7"/>
      <c r="B365" s="8"/>
    </row>
    <row r="366" spans="1:2" ht="15.75" customHeight="1" x14ac:dyDescent="0.25">
      <c r="A366" s="7"/>
      <c r="B366" s="8"/>
    </row>
    <row r="367" spans="1:2" ht="15.75" customHeight="1" x14ac:dyDescent="0.25">
      <c r="A367" s="7"/>
      <c r="B367" s="8"/>
    </row>
    <row r="368" spans="1:2" ht="15.75" customHeight="1" x14ac:dyDescent="0.25">
      <c r="A368" s="7"/>
      <c r="B368" s="8"/>
    </row>
    <row r="369" spans="1:2" ht="15.75" customHeight="1" x14ac:dyDescent="0.25">
      <c r="A369" s="7"/>
      <c r="B369" s="8"/>
    </row>
    <row r="370" spans="1:2" ht="15.75" customHeight="1" x14ac:dyDescent="0.25">
      <c r="A370" s="7"/>
      <c r="B370" s="8"/>
    </row>
    <row r="371" spans="1:2" ht="15.75" customHeight="1" x14ac:dyDescent="0.25">
      <c r="A371" s="7"/>
      <c r="B371" s="8"/>
    </row>
    <row r="372" spans="1:2" ht="15.75" customHeight="1" x14ac:dyDescent="0.25">
      <c r="A372" s="7"/>
      <c r="B372" s="8"/>
    </row>
    <row r="373" spans="1:2" ht="15.75" customHeight="1" x14ac:dyDescent="0.25">
      <c r="A373" s="7"/>
      <c r="B373" s="8"/>
    </row>
    <row r="374" spans="1:2" ht="15.75" customHeight="1" x14ac:dyDescent="0.25">
      <c r="A374" s="7"/>
      <c r="B374" s="8"/>
    </row>
    <row r="375" spans="1:2" ht="15.75" customHeight="1" x14ac:dyDescent="0.25"/>
    <row r="376" spans="1:2" ht="15.75" customHeight="1" x14ac:dyDescent="0.25"/>
    <row r="377" spans="1:2" ht="15.75" customHeight="1" x14ac:dyDescent="0.25"/>
    <row r="378" spans="1:2" ht="15.75" customHeight="1" x14ac:dyDescent="0.25"/>
    <row r="379" spans="1:2" ht="15.75" customHeight="1" x14ac:dyDescent="0.25"/>
    <row r="380" spans="1:2" ht="15.75" customHeight="1" x14ac:dyDescent="0.25"/>
    <row r="381" spans="1:2" ht="15.75" customHeight="1" x14ac:dyDescent="0.25"/>
    <row r="382" spans="1:2" ht="15.75" customHeight="1" x14ac:dyDescent="0.25"/>
    <row r="383" spans="1:2" ht="15.75" customHeight="1" x14ac:dyDescent="0.25"/>
    <row r="384" spans="1:2"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5"/>
  <sheetViews>
    <sheetView view="pageBreakPreview" topLeftCell="A33" zoomScale="130" zoomScaleNormal="100" zoomScaleSheetLayoutView="130" workbookViewId="0">
      <selection activeCell="A20" sqref="A20"/>
    </sheetView>
  </sheetViews>
  <sheetFormatPr defaultColWidth="14.42578125" defaultRowHeight="15" customHeight="1" x14ac:dyDescent="0.25"/>
  <cols>
    <col min="1" max="1" width="73.5703125" customWidth="1"/>
    <col min="2" max="2" width="16.5703125" customWidth="1"/>
    <col min="3" max="6" width="18" hidden="1" customWidth="1"/>
    <col min="7" max="7" width="18" customWidth="1"/>
    <col min="8" max="8" width="15" customWidth="1"/>
    <col min="9" max="9" width="12.7109375" customWidth="1"/>
    <col min="10" max="10" width="15.7109375" customWidth="1"/>
    <col min="11" max="11" width="13.28515625" customWidth="1"/>
    <col min="12" max="26" width="10.28515625" customWidth="1"/>
  </cols>
  <sheetData>
    <row r="1" spans="1:26" ht="15.7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7"/>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67"/>
      <c r="L5" s="15"/>
      <c r="M5" s="15"/>
      <c r="N5" s="15"/>
      <c r="O5" s="15"/>
      <c r="P5" s="15"/>
      <c r="Q5" s="15"/>
      <c r="R5" s="15"/>
      <c r="S5" s="15"/>
      <c r="T5" s="15"/>
      <c r="U5" s="15"/>
      <c r="V5" s="15"/>
      <c r="W5" s="15"/>
      <c r="X5" s="15"/>
      <c r="Y5" s="15"/>
      <c r="Z5" s="15"/>
    </row>
    <row r="6" spans="1:26" ht="15.75" customHeight="1" x14ac:dyDescent="0.25">
      <c r="A6" s="17" t="s">
        <v>1464</v>
      </c>
      <c r="B6" s="24"/>
      <c r="C6" s="25"/>
      <c r="D6" s="25"/>
      <c r="E6" s="25"/>
      <c r="F6" s="24"/>
      <c r="G6" s="19"/>
      <c r="H6" s="14"/>
      <c r="I6" s="15"/>
      <c r="J6" s="15"/>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I13" s="7"/>
      <c r="K13" s="168"/>
    </row>
    <row r="14" spans="1:26" ht="15.75" customHeight="1" x14ac:dyDescent="0.25">
      <c r="A14" s="17" t="s">
        <v>365</v>
      </c>
      <c r="B14" s="172"/>
      <c r="C14" s="42"/>
      <c r="D14" s="42"/>
      <c r="E14" s="42"/>
      <c r="F14" s="42"/>
      <c r="G14" s="42"/>
      <c r="H14" s="7"/>
      <c r="I14" s="7"/>
      <c r="K14" s="168"/>
    </row>
    <row r="15" spans="1:26" ht="15.75" customHeight="1" x14ac:dyDescent="0.25">
      <c r="A15" s="17" t="s">
        <v>366</v>
      </c>
      <c r="B15" s="172"/>
      <c r="C15" s="42"/>
      <c r="D15" s="42"/>
      <c r="E15" s="42"/>
      <c r="F15" s="42"/>
      <c r="G15" s="42"/>
      <c r="H15" s="7"/>
      <c r="I15" s="7"/>
      <c r="K15" s="168"/>
    </row>
    <row r="16" spans="1:26" ht="15.75" customHeight="1" x14ac:dyDescent="0.25">
      <c r="A16" s="44" t="s">
        <v>367</v>
      </c>
      <c r="B16" s="41" t="s">
        <v>121</v>
      </c>
      <c r="C16" s="43">
        <v>18371265.539999999</v>
      </c>
      <c r="D16" s="43">
        <v>9586515.5099999998</v>
      </c>
      <c r="E16" s="43">
        <f>F16-D16</f>
        <v>10727852.49</v>
      </c>
      <c r="F16" s="43">
        <v>20314368</v>
      </c>
      <c r="G16" s="43">
        <v>21278268</v>
      </c>
      <c r="H16" s="7"/>
      <c r="I16" s="7"/>
      <c r="K16" s="168"/>
    </row>
    <row r="17" spans="1:26" ht="15.75" customHeight="1" x14ac:dyDescent="0.25">
      <c r="A17" s="17" t="s">
        <v>368</v>
      </c>
      <c r="B17" s="172"/>
      <c r="C17" s="43"/>
      <c r="D17" s="43"/>
      <c r="E17" s="43"/>
      <c r="F17" s="43"/>
      <c r="G17" s="43"/>
      <c r="H17" s="7"/>
      <c r="I17" s="7"/>
      <c r="K17" s="168"/>
    </row>
    <row r="18" spans="1:26" ht="15.75" customHeight="1" x14ac:dyDescent="0.25">
      <c r="A18" s="44" t="s">
        <v>369</v>
      </c>
      <c r="B18" s="41" t="s">
        <v>125</v>
      </c>
      <c r="C18" s="43">
        <v>950309.67</v>
      </c>
      <c r="D18" s="43">
        <v>483818.18</v>
      </c>
      <c r="E18" s="43">
        <f t="shared" ref="E18:E23" si="0">F18-D18</f>
        <v>548181.82000000007</v>
      </c>
      <c r="F18" s="43">
        <v>1032000</v>
      </c>
      <c r="G18" s="43">
        <v>1032000</v>
      </c>
      <c r="H18" s="14"/>
      <c r="I18" s="14"/>
      <c r="J18" s="15"/>
      <c r="K18" s="167"/>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216000</v>
      </c>
      <c r="D19" s="43">
        <v>108000</v>
      </c>
      <c r="E19" s="43">
        <f t="shared" si="0"/>
        <v>108000</v>
      </c>
      <c r="F19" s="43">
        <v>216000</v>
      </c>
      <c r="G19" s="43">
        <v>216000</v>
      </c>
      <c r="H19" s="14"/>
      <c r="I19" s="14"/>
      <c r="J19" s="15"/>
      <c r="K19" s="167"/>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216000</v>
      </c>
      <c r="D20" s="43">
        <v>108000</v>
      </c>
      <c r="E20" s="43">
        <f t="shared" si="0"/>
        <v>108000</v>
      </c>
      <c r="F20" s="43">
        <v>216000</v>
      </c>
      <c r="G20" s="43">
        <v>216000</v>
      </c>
      <c r="H20" s="14"/>
      <c r="I20" s="14"/>
      <c r="J20" s="15"/>
      <c r="K20" s="167"/>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259000</v>
      </c>
      <c r="D21" s="43">
        <v>280000</v>
      </c>
      <c r="E21" s="43">
        <f t="shared" si="0"/>
        <v>21000</v>
      </c>
      <c r="F21" s="43">
        <v>301000</v>
      </c>
      <c r="G21" s="43">
        <v>301000</v>
      </c>
      <c r="H21" s="14"/>
      <c r="I21" s="14"/>
      <c r="J21" s="15"/>
      <c r="K21" s="167"/>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1592883</v>
      </c>
      <c r="D22" s="43">
        <v>0</v>
      </c>
      <c r="E22" s="43">
        <f t="shared" si="0"/>
        <v>1692864</v>
      </c>
      <c r="F22" s="43">
        <v>1692864</v>
      </c>
      <c r="G22" s="43">
        <v>1773189</v>
      </c>
      <c r="H22" s="14"/>
      <c r="I22" s="14"/>
      <c r="J22" s="15"/>
      <c r="K22" s="167"/>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201000</v>
      </c>
      <c r="D23" s="43">
        <v>0</v>
      </c>
      <c r="E23" s="43">
        <f t="shared" si="0"/>
        <v>215000</v>
      </c>
      <c r="F23" s="43">
        <v>215000</v>
      </c>
      <c r="G23" s="43">
        <v>215000</v>
      </c>
      <c r="H23" s="14"/>
      <c r="I23" s="14"/>
      <c r="J23" s="15"/>
      <c r="K23" s="167"/>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4"/>
      <c r="I24" s="14"/>
      <c r="J24" s="15"/>
      <c r="K24" s="167"/>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10000</v>
      </c>
      <c r="D25" s="43">
        <v>10000</v>
      </c>
      <c r="E25" s="43">
        <f t="shared" ref="E25:E27" si="1">F25-D25</f>
        <v>35000</v>
      </c>
      <c r="F25" s="43">
        <v>45000</v>
      </c>
      <c r="G25" s="43">
        <v>60000</v>
      </c>
      <c r="H25" s="14"/>
      <c r="I25" s="14"/>
      <c r="J25" s="15"/>
      <c r="K25" s="167"/>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111000</v>
      </c>
      <c r="E26" s="43">
        <f t="shared" si="1"/>
        <v>18000</v>
      </c>
      <c r="F26" s="43">
        <v>129000</v>
      </c>
      <c r="G26" s="43">
        <v>0</v>
      </c>
      <c r="H26" s="14"/>
      <c r="I26" s="14"/>
      <c r="J26" s="15"/>
      <c r="K26" s="167"/>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1420624</v>
      </c>
      <c r="D27" s="43">
        <v>1599103</v>
      </c>
      <c r="E27" s="43">
        <f t="shared" si="1"/>
        <v>93761</v>
      </c>
      <c r="F27" s="43">
        <v>1692864</v>
      </c>
      <c r="G27" s="43">
        <v>1773189</v>
      </c>
      <c r="H27" s="14"/>
      <c r="I27" s="14"/>
      <c r="J27" s="15"/>
      <c r="K27" s="167"/>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4"/>
      <c r="I28" s="14"/>
      <c r="J28" s="15"/>
      <c r="K28" s="167"/>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2205870.4300000002</v>
      </c>
      <c r="D29" s="43">
        <v>1150607.8899999999</v>
      </c>
      <c r="E29" s="43">
        <f t="shared" ref="E29:E32" si="2">F29-D29</f>
        <v>1287117.1100000001</v>
      </c>
      <c r="F29" s="43">
        <v>2437725</v>
      </c>
      <c r="G29" s="43">
        <v>2553393</v>
      </c>
      <c r="H29" s="14"/>
      <c r="I29" s="14"/>
      <c r="J29" s="15"/>
      <c r="K29" s="167"/>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367645.06</v>
      </c>
      <c r="D30" s="43">
        <v>191767.99</v>
      </c>
      <c r="E30" s="43">
        <f t="shared" si="2"/>
        <v>214520.01</v>
      </c>
      <c r="F30" s="43">
        <v>406288</v>
      </c>
      <c r="G30" s="43">
        <v>425566</v>
      </c>
      <c r="H30" s="14"/>
      <c r="I30" s="14"/>
      <c r="J30" s="15"/>
      <c r="K30" s="167"/>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452945.08</v>
      </c>
      <c r="D31" s="43">
        <v>235940.44</v>
      </c>
      <c r="E31" s="43">
        <f t="shared" si="2"/>
        <v>263784.56</v>
      </c>
      <c r="F31" s="43">
        <v>499725</v>
      </c>
      <c r="G31" s="43">
        <v>521910</v>
      </c>
      <c r="H31" s="14"/>
      <c r="I31" s="14"/>
      <c r="J31" s="15"/>
      <c r="K31" s="167"/>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47700</v>
      </c>
      <c r="D32" s="43">
        <v>24200</v>
      </c>
      <c r="E32" s="43">
        <f t="shared" si="2"/>
        <v>27400</v>
      </c>
      <c r="F32" s="43">
        <v>51600</v>
      </c>
      <c r="G32" s="43">
        <v>51600</v>
      </c>
      <c r="H32" s="14"/>
      <c r="I32" s="14"/>
      <c r="J32" s="15"/>
      <c r="K32" s="167"/>
      <c r="L32" s="15"/>
      <c r="M32" s="15"/>
      <c r="N32" s="15"/>
      <c r="O32" s="15"/>
      <c r="P32" s="15"/>
      <c r="Q32" s="15"/>
      <c r="R32" s="15"/>
      <c r="S32" s="15"/>
      <c r="T32" s="15"/>
      <c r="U32" s="15"/>
      <c r="V32" s="15"/>
      <c r="W32" s="15"/>
      <c r="X32" s="15"/>
      <c r="Y32" s="15"/>
      <c r="Z32" s="15"/>
    </row>
    <row r="33" spans="1:26" ht="15.75" customHeight="1" x14ac:dyDescent="0.25">
      <c r="A33" s="17" t="s">
        <v>624</v>
      </c>
      <c r="B33" s="41"/>
      <c r="C33" s="43"/>
      <c r="D33" s="43"/>
      <c r="E33" s="43"/>
      <c r="F33" s="43"/>
      <c r="G33" s="43"/>
      <c r="H33" s="14"/>
      <c r="I33" s="14"/>
      <c r="J33" s="15"/>
      <c r="K33" s="167"/>
      <c r="L33" s="15"/>
      <c r="M33" s="15"/>
      <c r="N33" s="15"/>
      <c r="O33" s="15"/>
      <c r="P33" s="15"/>
      <c r="Q33" s="15"/>
      <c r="R33" s="15"/>
      <c r="S33" s="15"/>
      <c r="T33" s="15"/>
      <c r="U33" s="15"/>
      <c r="V33" s="15"/>
      <c r="W33" s="15"/>
      <c r="X33" s="15"/>
      <c r="Y33" s="15"/>
      <c r="Z33" s="15"/>
    </row>
    <row r="34" spans="1:26" ht="15.75" customHeight="1" x14ac:dyDescent="0.25">
      <c r="A34" s="74" t="s">
        <v>791</v>
      </c>
      <c r="B34" s="49" t="s">
        <v>179</v>
      </c>
      <c r="C34" s="43">
        <v>0</v>
      </c>
      <c r="D34" s="43">
        <v>0</v>
      </c>
      <c r="E34" s="43">
        <f t="shared" ref="E34:E36" si="3">F34-D34</f>
        <v>0</v>
      </c>
      <c r="F34" s="43">
        <v>0</v>
      </c>
      <c r="G34" s="43">
        <v>751165</v>
      </c>
      <c r="H34" s="14"/>
      <c r="I34" s="14"/>
      <c r="J34" s="15"/>
      <c r="K34" s="167"/>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524120.65</v>
      </c>
      <c r="D35" s="43">
        <v>386173.9</v>
      </c>
      <c r="E35" s="43">
        <f t="shared" si="3"/>
        <v>429663.1</v>
      </c>
      <c r="F35" s="43">
        <v>815837</v>
      </c>
      <c r="G35" s="43">
        <v>854548</v>
      </c>
      <c r="H35" s="14"/>
      <c r="I35" s="14"/>
      <c r="J35" s="15"/>
      <c r="K35" s="167"/>
      <c r="L35" s="15"/>
      <c r="M35" s="15"/>
      <c r="N35" s="15"/>
      <c r="O35" s="15"/>
      <c r="P35" s="15"/>
      <c r="Q35" s="15"/>
      <c r="R35" s="15"/>
      <c r="S35" s="15"/>
      <c r="T35" s="15"/>
      <c r="U35" s="15"/>
      <c r="V35" s="15"/>
      <c r="W35" s="15"/>
      <c r="X35" s="15"/>
      <c r="Y35" s="15"/>
      <c r="Z35" s="15"/>
    </row>
    <row r="36" spans="1:26" ht="15.75" customHeight="1" x14ac:dyDescent="0.25">
      <c r="A36" s="44" t="s">
        <v>388</v>
      </c>
      <c r="B36" s="41" t="s">
        <v>183</v>
      </c>
      <c r="C36" s="43">
        <v>202000</v>
      </c>
      <c r="D36" s="43">
        <v>0</v>
      </c>
      <c r="E36" s="43">
        <f t="shared" si="3"/>
        <v>215000</v>
      </c>
      <c r="F36" s="43">
        <v>215000</v>
      </c>
      <c r="G36" s="43">
        <v>215000</v>
      </c>
      <c r="H36" s="14"/>
      <c r="I36" s="14"/>
      <c r="J36" s="15"/>
      <c r="K36" s="167"/>
      <c r="L36" s="15"/>
      <c r="M36" s="15"/>
      <c r="N36" s="15"/>
      <c r="O36" s="15"/>
      <c r="P36" s="15"/>
      <c r="Q36" s="15"/>
      <c r="R36" s="15"/>
      <c r="S36" s="15"/>
      <c r="T36" s="15"/>
      <c r="U36" s="15"/>
      <c r="V36" s="15"/>
      <c r="W36" s="15"/>
      <c r="X36" s="15"/>
      <c r="Y36" s="15"/>
      <c r="Z36" s="15"/>
    </row>
    <row r="37" spans="1:26" ht="31.5" x14ac:dyDescent="0.25">
      <c r="A37" s="117" t="s">
        <v>1465</v>
      </c>
      <c r="B37" s="41"/>
      <c r="C37" s="43"/>
      <c r="D37" s="43"/>
      <c r="E37" s="43"/>
      <c r="F37" s="43"/>
      <c r="G37" s="43">
        <v>604871</v>
      </c>
      <c r="H37" s="14"/>
      <c r="I37" s="14"/>
      <c r="J37" s="15"/>
      <c r="K37" s="167"/>
      <c r="L37" s="15"/>
      <c r="M37" s="15"/>
      <c r="N37" s="15"/>
      <c r="O37" s="15"/>
      <c r="P37" s="15"/>
      <c r="Q37" s="15"/>
      <c r="R37" s="15"/>
      <c r="S37" s="15"/>
      <c r="T37" s="15"/>
      <c r="U37" s="15"/>
      <c r="V37" s="15"/>
      <c r="W37" s="15"/>
      <c r="X37" s="15"/>
      <c r="Y37" s="15"/>
      <c r="Z37" s="15"/>
    </row>
    <row r="38" spans="1:26" ht="15.75" customHeight="1" x14ac:dyDescent="0.25">
      <c r="A38" s="446" t="s">
        <v>390</v>
      </c>
      <c r="B38" s="437"/>
      <c r="C38" s="54">
        <f t="shared" ref="C38:G38" si="4">+SUM(C16:C37)</f>
        <v>27037363.429999996</v>
      </c>
      <c r="D38" s="54">
        <f t="shared" si="4"/>
        <v>14275126.91</v>
      </c>
      <c r="E38" s="54">
        <f t="shared" si="4"/>
        <v>16005144.09</v>
      </c>
      <c r="F38" s="54">
        <f t="shared" si="4"/>
        <v>30280271</v>
      </c>
      <c r="G38" s="54">
        <f t="shared" si="4"/>
        <v>32842699</v>
      </c>
      <c r="H38" s="193"/>
      <c r="I38" s="193"/>
      <c r="J38" s="232"/>
      <c r="K38" s="263"/>
      <c r="L38" s="232"/>
      <c r="M38" s="232"/>
      <c r="N38" s="232"/>
      <c r="O38" s="232"/>
      <c r="P38" s="232"/>
      <c r="Q38" s="232"/>
      <c r="R38" s="232"/>
      <c r="S38" s="232"/>
      <c r="T38" s="232"/>
      <c r="U38" s="232"/>
      <c r="V38" s="232"/>
      <c r="W38" s="232"/>
      <c r="X38" s="232"/>
      <c r="Y38" s="232"/>
      <c r="Z38" s="232"/>
    </row>
    <row r="39" spans="1:26" ht="15.75" customHeight="1" x14ac:dyDescent="0.25">
      <c r="A39" s="456"/>
      <c r="B39" s="454"/>
      <c r="C39" s="449"/>
      <c r="D39" s="55"/>
      <c r="E39" s="43"/>
      <c r="F39" s="55"/>
      <c r="G39" s="55"/>
      <c r="H39" s="12"/>
      <c r="I39" s="12"/>
      <c r="J39" s="10"/>
      <c r="K39" s="265"/>
      <c r="L39" s="10"/>
      <c r="M39" s="10"/>
      <c r="N39" s="10"/>
      <c r="O39" s="10"/>
      <c r="P39" s="10"/>
      <c r="Q39" s="10"/>
      <c r="R39" s="10"/>
      <c r="S39" s="10"/>
      <c r="T39" s="10"/>
      <c r="U39" s="10"/>
      <c r="V39" s="10"/>
      <c r="W39" s="10"/>
      <c r="X39" s="10"/>
      <c r="Y39" s="10"/>
      <c r="Z39" s="10"/>
    </row>
    <row r="40" spans="1:26" ht="15.75" customHeight="1" x14ac:dyDescent="0.25">
      <c r="A40" s="42" t="s">
        <v>391</v>
      </c>
      <c r="B40" s="41"/>
      <c r="C40" s="41"/>
      <c r="D40" s="43"/>
      <c r="E40" s="43"/>
      <c r="F40" s="41"/>
      <c r="G40" s="41"/>
      <c r="H40" s="14"/>
      <c r="I40" s="14"/>
      <c r="J40" s="15"/>
      <c r="K40" s="167"/>
      <c r="L40" s="15"/>
      <c r="M40" s="15"/>
      <c r="N40" s="15"/>
      <c r="O40" s="15"/>
      <c r="P40" s="15"/>
      <c r="Q40" s="15"/>
      <c r="R40" s="15"/>
      <c r="S40" s="15"/>
      <c r="T40" s="15"/>
      <c r="U40" s="15"/>
      <c r="V40" s="15"/>
      <c r="W40" s="15"/>
      <c r="X40" s="15"/>
      <c r="Y40" s="15"/>
      <c r="Z40" s="15"/>
    </row>
    <row r="41" spans="1:26" ht="15.75" customHeight="1" x14ac:dyDescent="0.25">
      <c r="A41" s="42" t="s">
        <v>642</v>
      </c>
      <c r="B41" s="41"/>
      <c r="C41" s="43"/>
      <c r="D41" s="43"/>
      <c r="E41" s="43"/>
      <c r="F41" s="43"/>
      <c r="G41" s="43"/>
      <c r="H41" s="14"/>
      <c r="I41" s="14"/>
      <c r="J41" s="15"/>
      <c r="K41" s="167"/>
      <c r="L41" s="15"/>
      <c r="M41" s="15"/>
      <c r="N41" s="15"/>
      <c r="O41" s="15"/>
      <c r="P41" s="15"/>
      <c r="Q41" s="15"/>
      <c r="R41" s="15"/>
      <c r="S41" s="15"/>
      <c r="T41" s="15"/>
      <c r="U41" s="15"/>
      <c r="V41" s="15"/>
      <c r="W41" s="15"/>
      <c r="X41" s="15"/>
      <c r="Y41" s="15"/>
      <c r="Z41" s="15"/>
    </row>
    <row r="42" spans="1:26" ht="15.75" customHeight="1" x14ac:dyDescent="0.25">
      <c r="A42" s="44" t="s">
        <v>393</v>
      </c>
      <c r="B42" s="41" t="s">
        <v>187</v>
      </c>
      <c r="C42" s="43">
        <v>73307.199999999997</v>
      </c>
      <c r="D42" s="43">
        <v>0</v>
      </c>
      <c r="E42" s="43">
        <f>F42-D42</f>
        <v>200000</v>
      </c>
      <c r="F42" s="43">
        <v>200000</v>
      </c>
      <c r="G42" s="43">
        <v>200000</v>
      </c>
      <c r="H42" s="14"/>
      <c r="I42" s="14"/>
      <c r="J42" s="15"/>
      <c r="K42" s="167"/>
      <c r="L42" s="15"/>
      <c r="M42" s="15"/>
      <c r="N42" s="15"/>
      <c r="O42" s="15"/>
      <c r="P42" s="15"/>
      <c r="Q42" s="15"/>
      <c r="R42" s="15"/>
      <c r="S42" s="15"/>
      <c r="T42" s="15"/>
      <c r="U42" s="15"/>
      <c r="V42" s="15"/>
      <c r="W42" s="15"/>
      <c r="X42" s="15"/>
      <c r="Y42" s="15"/>
      <c r="Z42" s="15"/>
    </row>
    <row r="43" spans="1:26" ht="15.75" customHeight="1" x14ac:dyDescent="0.25">
      <c r="A43" s="17" t="s">
        <v>493</v>
      </c>
      <c r="B43" s="41"/>
      <c r="C43" s="43"/>
      <c r="D43" s="43"/>
      <c r="E43" s="43"/>
      <c r="F43" s="43"/>
      <c r="G43" s="43"/>
      <c r="H43" s="14"/>
      <c r="I43" s="14"/>
      <c r="J43" s="15"/>
      <c r="K43" s="167"/>
      <c r="L43" s="15"/>
      <c r="M43" s="15"/>
      <c r="N43" s="15"/>
      <c r="O43" s="15"/>
      <c r="P43" s="15"/>
      <c r="Q43" s="15"/>
      <c r="R43" s="15"/>
      <c r="S43" s="15"/>
      <c r="T43" s="15"/>
      <c r="U43" s="15"/>
      <c r="V43" s="15"/>
      <c r="W43" s="15"/>
      <c r="X43" s="15"/>
      <c r="Y43" s="15"/>
      <c r="Z43" s="15"/>
    </row>
    <row r="44" spans="1:26" ht="15.75" customHeight="1" x14ac:dyDescent="0.25">
      <c r="A44" s="44" t="s">
        <v>396</v>
      </c>
      <c r="B44" s="41" t="s">
        <v>191</v>
      </c>
      <c r="C44" s="43">
        <v>381651.61</v>
      </c>
      <c r="D44" s="43">
        <v>234154.88</v>
      </c>
      <c r="E44" s="43">
        <f>F44-D44</f>
        <v>265845.12</v>
      </c>
      <c r="F44" s="43">
        <v>500000</v>
      </c>
      <c r="G44" s="43">
        <v>845000</v>
      </c>
      <c r="H44" s="14"/>
      <c r="I44" s="14"/>
      <c r="J44" s="15"/>
      <c r="K44" s="167"/>
      <c r="L44" s="15"/>
      <c r="M44" s="15"/>
      <c r="N44" s="15"/>
      <c r="O44" s="15"/>
      <c r="P44" s="15"/>
      <c r="Q44" s="15"/>
      <c r="R44" s="15"/>
      <c r="S44" s="15"/>
      <c r="T44" s="15"/>
      <c r="U44" s="15"/>
      <c r="V44" s="15"/>
      <c r="W44" s="15"/>
      <c r="X44" s="15"/>
      <c r="Y44" s="15"/>
      <c r="Z44" s="15"/>
    </row>
    <row r="45" spans="1:26" ht="15.75" customHeight="1" x14ac:dyDescent="0.25">
      <c r="A45" s="17" t="s">
        <v>499</v>
      </c>
      <c r="B45" s="41"/>
      <c r="C45" s="43"/>
      <c r="D45" s="43"/>
      <c r="E45" s="43"/>
      <c r="F45" s="15"/>
      <c r="G45" s="43"/>
      <c r="H45" s="14"/>
      <c r="I45" s="14"/>
      <c r="J45" s="15"/>
      <c r="K45" s="167"/>
      <c r="L45" s="15"/>
      <c r="M45" s="15"/>
      <c r="N45" s="15"/>
      <c r="O45" s="15"/>
      <c r="P45" s="15"/>
      <c r="Q45" s="15"/>
      <c r="R45" s="15"/>
      <c r="S45" s="15"/>
      <c r="T45" s="15"/>
      <c r="U45" s="15"/>
      <c r="V45" s="15"/>
      <c r="W45" s="15"/>
      <c r="X45" s="15"/>
      <c r="Y45" s="15"/>
      <c r="Z45" s="15"/>
    </row>
    <row r="46" spans="1:26" ht="15.75" customHeight="1" x14ac:dyDescent="0.25">
      <c r="A46" s="44" t="s">
        <v>398</v>
      </c>
      <c r="B46" s="41" t="s">
        <v>195</v>
      </c>
      <c r="C46" s="43">
        <v>950269</v>
      </c>
      <c r="D46" s="43">
        <v>0</v>
      </c>
      <c r="E46" s="43">
        <f t="shared" ref="E46:E49" si="5">F46-D46</f>
        <v>1323290</v>
      </c>
      <c r="F46" s="43">
        <v>1323290</v>
      </c>
      <c r="G46" s="43">
        <v>1889799</v>
      </c>
      <c r="H46" s="14"/>
      <c r="I46" s="14"/>
      <c r="J46" s="15"/>
      <c r="K46" s="167"/>
      <c r="L46" s="15"/>
      <c r="M46" s="15"/>
      <c r="N46" s="15"/>
      <c r="O46" s="15"/>
      <c r="P46" s="15"/>
      <c r="Q46" s="15"/>
      <c r="R46" s="15"/>
      <c r="S46" s="15"/>
      <c r="T46" s="15"/>
      <c r="U46" s="15"/>
      <c r="V46" s="15"/>
      <c r="W46" s="15"/>
      <c r="X46" s="15"/>
      <c r="Y46" s="15"/>
      <c r="Z46" s="15"/>
    </row>
    <row r="47" spans="1:26" ht="15.75" customHeight="1" x14ac:dyDescent="0.25">
      <c r="A47" s="96" t="s">
        <v>400</v>
      </c>
      <c r="B47" s="41" t="s">
        <v>221</v>
      </c>
      <c r="C47" s="43">
        <v>0</v>
      </c>
      <c r="D47" s="43">
        <v>0</v>
      </c>
      <c r="E47" s="43">
        <f t="shared" si="5"/>
        <v>376940</v>
      </c>
      <c r="F47" s="45">
        <v>376940</v>
      </c>
      <c r="G47" s="43">
        <v>329550</v>
      </c>
      <c r="H47" s="14"/>
      <c r="I47" s="14"/>
      <c r="J47" s="15"/>
      <c r="K47" s="167"/>
      <c r="L47" s="15"/>
      <c r="M47" s="15"/>
      <c r="N47" s="15"/>
      <c r="O47" s="15"/>
      <c r="P47" s="15"/>
      <c r="Q47" s="15"/>
      <c r="R47" s="15"/>
      <c r="S47" s="15"/>
      <c r="T47" s="15"/>
      <c r="U47" s="15"/>
      <c r="V47" s="15"/>
      <c r="W47" s="15"/>
      <c r="X47" s="15"/>
      <c r="Y47" s="15"/>
      <c r="Z47" s="15"/>
    </row>
    <row r="48" spans="1:26" ht="15.75" customHeight="1" x14ac:dyDescent="0.25">
      <c r="A48" s="96" t="s">
        <v>401</v>
      </c>
      <c r="B48" s="41" t="s">
        <v>223</v>
      </c>
      <c r="C48" s="43">
        <v>0</v>
      </c>
      <c r="D48" s="43">
        <v>0</v>
      </c>
      <c r="E48" s="43">
        <f t="shared" si="5"/>
        <v>404640</v>
      </c>
      <c r="F48" s="45">
        <v>404640</v>
      </c>
      <c r="G48" s="43">
        <v>208000</v>
      </c>
      <c r="H48" s="14"/>
      <c r="I48" s="14"/>
      <c r="J48" s="15"/>
      <c r="K48" s="167"/>
      <c r="L48" s="15"/>
      <c r="M48" s="15"/>
      <c r="N48" s="15"/>
      <c r="O48" s="15"/>
      <c r="P48" s="15"/>
      <c r="Q48" s="15"/>
      <c r="R48" s="15"/>
      <c r="S48" s="15"/>
      <c r="T48" s="15"/>
      <c r="U48" s="15"/>
      <c r="V48" s="15"/>
      <c r="W48" s="15"/>
      <c r="X48" s="15"/>
      <c r="Y48" s="15"/>
      <c r="Z48" s="15"/>
    </row>
    <row r="49" spans="1:26" ht="15.75" customHeight="1" x14ac:dyDescent="0.25">
      <c r="A49" s="44" t="s">
        <v>402</v>
      </c>
      <c r="B49" s="41" t="s">
        <v>225</v>
      </c>
      <c r="C49" s="43">
        <v>461000</v>
      </c>
      <c r="D49" s="43">
        <v>0</v>
      </c>
      <c r="E49" s="43">
        <f t="shared" si="5"/>
        <v>49269</v>
      </c>
      <c r="F49" s="45">
        <v>49269</v>
      </c>
      <c r="G49" s="43">
        <v>70831</v>
      </c>
      <c r="H49" s="14"/>
      <c r="I49" s="14"/>
      <c r="J49" s="15"/>
      <c r="K49" s="167"/>
      <c r="L49" s="15"/>
      <c r="M49" s="15"/>
      <c r="N49" s="15"/>
      <c r="O49" s="15"/>
      <c r="P49" s="15"/>
      <c r="Q49" s="15"/>
      <c r="R49" s="15"/>
      <c r="S49" s="15"/>
      <c r="T49" s="15"/>
      <c r="U49" s="15"/>
      <c r="V49" s="15"/>
      <c r="W49" s="15"/>
      <c r="X49" s="15"/>
      <c r="Y49" s="15"/>
      <c r="Z49" s="15"/>
    </row>
    <row r="50" spans="1:26" ht="15.75" customHeight="1" x14ac:dyDescent="0.25">
      <c r="A50" s="17" t="s">
        <v>503</v>
      </c>
      <c r="B50" s="41"/>
      <c r="C50" s="43"/>
      <c r="D50" s="43"/>
      <c r="E50" s="43"/>
      <c r="F50" s="43"/>
      <c r="G50" s="43"/>
      <c r="H50" s="14"/>
      <c r="I50" s="14"/>
      <c r="J50" s="15"/>
      <c r="K50" s="167"/>
      <c r="L50" s="15"/>
      <c r="M50" s="15"/>
      <c r="N50" s="15"/>
      <c r="O50" s="15"/>
      <c r="P50" s="15"/>
      <c r="Q50" s="15"/>
      <c r="R50" s="15"/>
      <c r="S50" s="15"/>
      <c r="T50" s="15"/>
      <c r="U50" s="15"/>
      <c r="V50" s="15"/>
      <c r="W50" s="15"/>
      <c r="X50" s="15"/>
      <c r="Y50" s="15"/>
      <c r="Z50" s="15"/>
    </row>
    <row r="51" spans="1:26" ht="15.75" customHeight="1" x14ac:dyDescent="0.25">
      <c r="A51" s="48" t="s">
        <v>1303</v>
      </c>
      <c r="B51" s="41" t="s">
        <v>231</v>
      </c>
      <c r="C51" s="43">
        <v>10000</v>
      </c>
      <c r="D51" s="43">
        <v>0</v>
      </c>
      <c r="E51" s="43">
        <f t="shared" ref="E51:E52" si="6">F51-D51</f>
        <v>10000</v>
      </c>
      <c r="F51" s="43">
        <v>10000</v>
      </c>
      <c r="G51" s="43">
        <v>10000</v>
      </c>
      <c r="H51" s="14"/>
      <c r="I51" s="14"/>
      <c r="J51" s="15"/>
      <c r="K51" s="167"/>
      <c r="L51" s="15"/>
      <c r="M51" s="15"/>
      <c r="N51" s="15"/>
      <c r="O51" s="15"/>
      <c r="P51" s="15"/>
      <c r="Q51" s="15"/>
      <c r="R51" s="15"/>
      <c r="S51" s="15"/>
      <c r="T51" s="15"/>
      <c r="U51" s="15"/>
      <c r="V51" s="15"/>
      <c r="W51" s="15"/>
      <c r="X51" s="15"/>
      <c r="Y51" s="15"/>
      <c r="Z51" s="15"/>
    </row>
    <row r="52" spans="1:26" ht="15.75" customHeight="1" x14ac:dyDescent="0.25">
      <c r="A52" s="48" t="s">
        <v>405</v>
      </c>
      <c r="B52" s="41" t="s">
        <v>235</v>
      </c>
      <c r="C52" s="43">
        <v>42000</v>
      </c>
      <c r="D52" s="43">
        <v>25000</v>
      </c>
      <c r="E52" s="43">
        <f t="shared" si="6"/>
        <v>29000</v>
      </c>
      <c r="F52" s="43">
        <v>54000</v>
      </c>
      <c r="G52" s="43">
        <f>(2000+2500)*12</f>
        <v>54000</v>
      </c>
      <c r="H52" s="14"/>
      <c r="I52" s="14"/>
      <c r="J52" s="15"/>
      <c r="K52" s="167"/>
      <c r="L52" s="15"/>
      <c r="M52" s="15"/>
      <c r="N52" s="15"/>
      <c r="O52" s="15"/>
      <c r="P52" s="15"/>
      <c r="Q52" s="15"/>
      <c r="R52" s="15"/>
      <c r="S52" s="15"/>
      <c r="T52" s="15"/>
      <c r="U52" s="15"/>
      <c r="V52" s="15"/>
      <c r="W52" s="15"/>
      <c r="X52" s="15"/>
      <c r="Y52" s="15"/>
      <c r="Z52" s="15"/>
    </row>
    <row r="53" spans="1:26" ht="15.75" customHeight="1" x14ac:dyDescent="0.25">
      <c r="A53" s="42" t="s">
        <v>511</v>
      </c>
      <c r="B53" s="41"/>
      <c r="C53" s="43"/>
      <c r="D53" s="43"/>
      <c r="E53" s="43"/>
      <c r="F53" s="43"/>
      <c r="G53" s="43"/>
      <c r="H53" s="14"/>
      <c r="I53" s="14"/>
      <c r="J53" s="15"/>
      <c r="K53" s="167"/>
      <c r="L53" s="15"/>
      <c r="M53" s="15"/>
      <c r="N53" s="15"/>
      <c r="O53" s="15"/>
      <c r="P53" s="15"/>
      <c r="Q53" s="15"/>
      <c r="R53" s="15"/>
      <c r="S53" s="15"/>
      <c r="T53" s="15"/>
      <c r="U53" s="15"/>
      <c r="V53" s="15"/>
      <c r="W53" s="15"/>
      <c r="X53" s="15"/>
      <c r="Y53" s="15"/>
      <c r="Z53" s="15"/>
    </row>
    <row r="54" spans="1:26" ht="15.75" customHeight="1" x14ac:dyDescent="0.25">
      <c r="A54" s="44" t="s">
        <v>794</v>
      </c>
      <c r="B54" s="41" t="s">
        <v>321</v>
      </c>
      <c r="C54" s="43">
        <v>49800</v>
      </c>
      <c r="D54" s="43">
        <v>0</v>
      </c>
      <c r="E54" s="43">
        <f t="shared" ref="E54:E55" si="7">F54-D54</f>
        <v>50000</v>
      </c>
      <c r="F54" s="43">
        <v>50000</v>
      </c>
      <c r="G54" s="43">
        <v>50000</v>
      </c>
      <c r="H54" s="14"/>
      <c r="I54" s="14"/>
      <c r="J54" s="15"/>
      <c r="K54" s="167"/>
      <c r="L54" s="15"/>
      <c r="M54" s="15"/>
      <c r="N54" s="15"/>
      <c r="O54" s="15"/>
      <c r="P54" s="15"/>
      <c r="Q54" s="15"/>
      <c r="R54" s="15"/>
      <c r="S54" s="15"/>
      <c r="T54" s="15"/>
      <c r="U54" s="15"/>
      <c r="V54" s="15"/>
      <c r="W54" s="15"/>
      <c r="X54" s="15"/>
      <c r="Y54" s="15"/>
      <c r="Z54" s="15"/>
    </row>
    <row r="55" spans="1:26" ht="15.75" customHeight="1" x14ac:dyDescent="0.25">
      <c r="A55" s="610" t="s">
        <v>424</v>
      </c>
      <c r="B55" s="483" t="s">
        <v>335</v>
      </c>
      <c r="C55" s="457">
        <v>1664571.2</v>
      </c>
      <c r="D55" s="457">
        <f>33595.2+677375.18</f>
        <v>710970.38</v>
      </c>
      <c r="E55" s="457">
        <f t="shared" si="7"/>
        <v>1049969.6200000001</v>
      </c>
      <c r="F55" s="457">
        <v>1760940</v>
      </c>
      <c r="G55" s="452">
        <v>2215404</v>
      </c>
      <c r="H55" s="14"/>
      <c r="I55" s="14"/>
      <c r="J55" s="15"/>
      <c r="K55" s="167">
        <f>SUM(K57:K59)</f>
        <v>2215404</v>
      </c>
      <c r="L55" s="15"/>
      <c r="M55" s="15"/>
      <c r="N55" s="15"/>
      <c r="O55" s="15"/>
      <c r="P55" s="15"/>
      <c r="Q55" s="15"/>
      <c r="R55" s="15"/>
      <c r="S55" s="15"/>
      <c r="T55" s="15"/>
      <c r="U55" s="15"/>
      <c r="V55" s="15"/>
      <c r="W55" s="15"/>
      <c r="X55" s="15"/>
      <c r="Y55" s="15"/>
      <c r="Z55" s="15"/>
    </row>
    <row r="56" spans="1:26" ht="15.75" customHeight="1" x14ac:dyDescent="0.25">
      <c r="A56" s="599" t="s">
        <v>1466</v>
      </c>
      <c r="B56" s="601"/>
      <c r="C56" s="448"/>
      <c r="D56" s="448"/>
      <c r="E56" s="448"/>
      <c r="F56" s="448"/>
      <c r="G56" s="449"/>
      <c r="H56" s="14"/>
      <c r="I56" s="14"/>
      <c r="J56" s="14"/>
      <c r="K56" s="167"/>
      <c r="L56" s="15"/>
      <c r="M56" s="15"/>
      <c r="N56" s="15"/>
      <c r="O56" s="15"/>
      <c r="P56" s="15"/>
      <c r="Q56" s="15"/>
      <c r="R56" s="15"/>
      <c r="S56" s="15"/>
      <c r="T56" s="15"/>
      <c r="U56" s="15"/>
      <c r="V56" s="15"/>
      <c r="W56" s="15"/>
      <c r="X56" s="15"/>
      <c r="Y56" s="15"/>
      <c r="Z56" s="15"/>
    </row>
    <row r="57" spans="1:26" ht="15.75" customHeight="1" x14ac:dyDescent="0.25">
      <c r="A57" s="44" t="s">
        <v>1467</v>
      </c>
      <c r="B57" s="41"/>
      <c r="C57" s="43"/>
      <c r="D57" s="43"/>
      <c r="E57" s="43"/>
      <c r="F57" s="43"/>
      <c r="G57" s="45"/>
      <c r="H57" s="14">
        <v>264</v>
      </c>
      <c r="I57" s="14">
        <v>678</v>
      </c>
      <c r="J57" s="14">
        <v>12</v>
      </c>
      <c r="K57" s="167">
        <f>J57*I57*H57</f>
        <v>2147904</v>
      </c>
      <c r="L57" s="15"/>
      <c r="M57" s="15"/>
      <c r="N57" s="15"/>
      <c r="O57" s="15"/>
      <c r="P57" s="15"/>
      <c r="Q57" s="15"/>
      <c r="R57" s="15"/>
      <c r="S57" s="15"/>
      <c r="T57" s="15"/>
      <c r="U57" s="15"/>
      <c r="V57" s="15"/>
      <c r="W57" s="15"/>
      <c r="X57" s="15"/>
      <c r="Y57" s="15"/>
      <c r="Z57" s="15"/>
    </row>
    <row r="58" spans="1:26" ht="15.75" customHeight="1" x14ac:dyDescent="0.25">
      <c r="A58" s="17" t="s">
        <v>1468</v>
      </c>
      <c r="B58" s="41"/>
      <c r="C58" s="43"/>
      <c r="D58" s="43"/>
      <c r="E58" s="43"/>
      <c r="F58" s="43"/>
      <c r="G58" s="45"/>
      <c r="H58" s="14"/>
      <c r="I58" s="14"/>
      <c r="J58" s="14"/>
      <c r="K58" s="167"/>
      <c r="L58" s="15"/>
      <c r="M58" s="15"/>
      <c r="N58" s="15"/>
      <c r="O58" s="15"/>
      <c r="P58" s="15"/>
      <c r="Q58" s="15"/>
      <c r="R58" s="15"/>
      <c r="S58" s="15"/>
      <c r="T58" s="15"/>
      <c r="U58" s="15"/>
      <c r="V58" s="15"/>
      <c r="W58" s="15"/>
      <c r="X58" s="15"/>
      <c r="Y58" s="15"/>
      <c r="Z58" s="15"/>
    </row>
    <row r="59" spans="1:26" ht="15.75" customHeight="1" x14ac:dyDescent="0.25">
      <c r="A59" s="188" t="s">
        <v>1469</v>
      </c>
      <c r="B59" s="41"/>
      <c r="C59" s="43"/>
      <c r="D59" s="43"/>
      <c r="E59" s="43"/>
      <c r="F59" s="43"/>
      <c r="G59" s="45"/>
      <c r="H59" s="14"/>
      <c r="I59" s="14"/>
      <c r="J59" s="14"/>
      <c r="K59" s="167">
        <v>67500</v>
      </c>
      <c r="L59" s="15"/>
      <c r="M59" s="15"/>
      <c r="N59" s="15"/>
      <c r="O59" s="15"/>
      <c r="P59" s="15"/>
      <c r="Q59" s="15"/>
      <c r="R59" s="15"/>
      <c r="S59" s="15"/>
      <c r="T59" s="15"/>
      <c r="U59" s="15"/>
      <c r="V59" s="15"/>
      <c r="W59" s="15"/>
      <c r="X59" s="15"/>
      <c r="Y59" s="15"/>
      <c r="Z59" s="15"/>
    </row>
    <row r="60" spans="1:26" ht="15.75" customHeight="1" x14ac:dyDescent="0.25">
      <c r="A60" s="42" t="s">
        <v>466</v>
      </c>
      <c r="B60" s="41"/>
      <c r="C60" s="54">
        <f>SUM(C39:C55)</f>
        <v>3632599.01</v>
      </c>
      <c r="D60" s="54">
        <f>+SUM(D42:D55)</f>
        <v>970125.26</v>
      </c>
      <c r="E60" s="54">
        <f>F60-D60</f>
        <v>3758953.74</v>
      </c>
      <c r="F60" s="54">
        <f t="shared" ref="F60:G60" si="8">+SUM(F42:F55)</f>
        <v>4729079</v>
      </c>
      <c r="G60" s="54">
        <f t="shared" si="8"/>
        <v>5872584</v>
      </c>
      <c r="H60" s="14" t="s">
        <v>488</v>
      </c>
      <c r="I60" s="14" t="s">
        <v>488</v>
      </c>
      <c r="J60" s="14" t="s">
        <v>488</v>
      </c>
      <c r="K60" s="167"/>
      <c r="L60" s="15"/>
      <c r="M60" s="15"/>
      <c r="N60" s="15"/>
      <c r="O60" s="15"/>
      <c r="P60" s="15"/>
      <c r="Q60" s="15"/>
      <c r="R60" s="15"/>
      <c r="S60" s="15"/>
      <c r="T60" s="15"/>
      <c r="U60" s="15"/>
      <c r="V60" s="15"/>
      <c r="W60" s="15"/>
      <c r="X60" s="15"/>
      <c r="Y60" s="15"/>
      <c r="Z60" s="15"/>
    </row>
    <row r="61" spans="1:26" ht="15.75" customHeight="1" x14ac:dyDescent="0.25">
      <c r="A61" s="17"/>
      <c r="B61" s="41"/>
      <c r="C61" s="55"/>
      <c r="D61" s="55"/>
      <c r="E61" s="43"/>
      <c r="F61" s="55"/>
      <c r="G61" s="55"/>
      <c r="H61" s="14"/>
      <c r="I61" s="14"/>
      <c r="J61" s="15"/>
      <c r="K61" s="167"/>
      <c r="L61" s="15"/>
      <c r="M61" s="15"/>
      <c r="N61" s="15"/>
      <c r="O61" s="15"/>
      <c r="P61" s="15"/>
      <c r="Q61" s="15"/>
      <c r="R61" s="15"/>
      <c r="S61" s="15"/>
      <c r="T61" s="15"/>
      <c r="U61" s="15"/>
      <c r="V61" s="15"/>
      <c r="W61" s="15"/>
      <c r="X61" s="15"/>
      <c r="Y61" s="15"/>
      <c r="Z61" s="15"/>
    </row>
    <row r="62" spans="1:26" ht="15.75" customHeight="1" x14ac:dyDescent="0.25">
      <c r="A62" s="17" t="s">
        <v>467</v>
      </c>
      <c r="B62" s="41"/>
      <c r="C62" s="43">
        <f t="shared" ref="C62:D62" si="9">+C60+C38</f>
        <v>30669962.439999998</v>
      </c>
      <c r="D62" s="43">
        <f t="shared" si="9"/>
        <v>15245252.17</v>
      </c>
      <c r="E62" s="43">
        <f>F62-D62</f>
        <v>19764097.829999998</v>
      </c>
      <c r="F62" s="43">
        <f>SUM(F60+F38)</f>
        <v>35009350</v>
      </c>
      <c r="G62" s="43">
        <f>+G60+G38</f>
        <v>38715283</v>
      </c>
      <c r="H62" s="14"/>
      <c r="I62" s="14"/>
      <c r="J62" s="15"/>
      <c r="K62" s="167"/>
      <c r="L62" s="15"/>
      <c r="M62" s="15"/>
      <c r="N62" s="15"/>
      <c r="O62" s="15"/>
      <c r="P62" s="15"/>
      <c r="Q62" s="15"/>
      <c r="R62" s="15"/>
      <c r="S62" s="15"/>
      <c r="T62" s="15"/>
      <c r="U62" s="15"/>
      <c r="V62" s="15"/>
      <c r="W62" s="15"/>
      <c r="X62" s="15"/>
      <c r="Y62" s="15"/>
      <c r="Z62" s="15"/>
    </row>
    <row r="63" spans="1:26" ht="15.75" customHeight="1" x14ac:dyDescent="0.25">
      <c r="A63" s="17"/>
      <c r="B63" s="41"/>
      <c r="C63" s="43"/>
      <c r="D63" s="43"/>
      <c r="E63" s="43"/>
      <c r="F63" s="43"/>
      <c r="G63" s="43"/>
      <c r="H63" s="14"/>
      <c r="I63" s="14"/>
      <c r="J63" s="15"/>
      <c r="K63" s="167"/>
      <c r="L63" s="15"/>
      <c r="M63" s="15"/>
      <c r="N63" s="15"/>
      <c r="O63" s="15"/>
      <c r="P63" s="15"/>
      <c r="Q63" s="15"/>
      <c r="R63" s="15"/>
      <c r="S63" s="15"/>
      <c r="T63" s="15"/>
      <c r="U63" s="15"/>
      <c r="V63" s="15"/>
      <c r="W63" s="15"/>
      <c r="X63" s="15"/>
      <c r="Y63" s="15"/>
      <c r="Z63" s="15"/>
    </row>
    <row r="64" spans="1:26" ht="15.75" customHeight="1" x14ac:dyDescent="0.25">
      <c r="A64" s="42" t="s">
        <v>529</v>
      </c>
      <c r="B64" s="41"/>
      <c r="C64" s="41"/>
      <c r="D64" s="26"/>
      <c r="E64" s="43"/>
      <c r="F64" s="41"/>
      <c r="G64" s="41"/>
      <c r="H64" s="14"/>
      <c r="I64" s="14"/>
      <c r="J64" s="15"/>
      <c r="K64" s="167"/>
      <c r="L64" s="15"/>
      <c r="M64" s="15"/>
      <c r="N64" s="15"/>
      <c r="O64" s="15"/>
      <c r="P64" s="15"/>
      <c r="Q64" s="15"/>
      <c r="R64" s="15"/>
      <c r="S64" s="15"/>
      <c r="T64" s="15"/>
      <c r="U64" s="15"/>
      <c r="V64" s="15"/>
      <c r="W64" s="15"/>
      <c r="X64" s="15"/>
      <c r="Y64" s="15"/>
      <c r="Z64" s="15"/>
    </row>
    <row r="65" spans="1:26" ht="15.75" customHeight="1" x14ac:dyDescent="0.25">
      <c r="A65" s="17" t="s">
        <v>476</v>
      </c>
      <c r="B65" s="94"/>
      <c r="C65" s="43"/>
      <c r="D65" s="43"/>
      <c r="E65" s="43">
        <f t="shared" ref="E65:E66" si="10">F65-D65</f>
        <v>0</v>
      </c>
      <c r="F65" s="43"/>
      <c r="G65" s="43"/>
      <c r="H65" s="14"/>
      <c r="I65" s="14"/>
      <c r="J65" s="15"/>
      <c r="L65" s="15"/>
      <c r="M65" s="15"/>
      <c r="N65" s="15"/>
      <c r="O65" s="15"/>
      <c r="P65" s="15"/>
      <c r="Q65" s="15"/>
      <c r="R65" s="15"/>
      <c r="S65" s="15"/>
      <c r="T65" s="15"/>
      <c r="U65" s="15"/>
      <c r="V65" s="15"/>
      <c r="W65" s="15"/>
      <c r="X65" s="15"/>
      <c r="Y65" s="15"/>
      <c r="Z65" s="15"/>
    </row>
    <row r="66" spans="1:26" ht="15.75" customHeight="1" x14ac:dyDescent="0.25">
      <c r="A66" s="44" t="s">
        <v>639</v>
      </c>
      <c r="B66" s="41" t="s">
        <v>47</v>
      </c>
      <c r="C66" s="43">
        <v>617554</v>
      </c>
      <c r="D66" s="43">
        <v>1173920</v>
      </c>
      <c r="E66" s="43">
        <f t="shared" si="10"/>
        <v>0</v>
      </c>
      <c r="F66" s="43">
        <v>1173920</v>
      </c>
      <c r="G66" s="43">
        <v>652228</v>
      </c>
      <c r="H66" s="14"/>
      <c r="I66" s="14"/>
      <c r="J66" s="15"/>
      <c r="K66" s="167">
        <f>SUM(K68:K70)</f>
        <v>652228</v>
      </c>
      <c r="L66" s="15"/>
      <c r="M66" s="15"/>
      <c r="N66" s="15"/>
      <c r="O66" s="15"/>
      <c r="P66" s="15"/>
      <c r="Q66" s="15"/>
      <c r="R66" s="15"/>
      <c r="S66" s="15"/>
      <c r="T66" s="15"/>
      <c r="U66" s="15"/>
      <c r="V66" s="15"/>
      <c r="W66" s="15"/>
      <c r="X66" s="15"/>
      <c r="Y66" s="15"/>
      <c r="Z66" s="15"/>
    </row>
    <row r="67" spans="1:26" ht="15.75" customHeight="1" x14ac:dyDescent="0.25">
      <c r="A67" s="44" t="s">
        <v>1470</v>
      </c>
      <c r="B67" s="172"/>
      <c r="C67" s="43"/>
      <c r="D67" s="43"/>
      <c r="E67" s="43"/>
      <c r="F67" s="43"/>
      <c r="G67" s="43"/>
      <c r="H67" s="15"/>
      <c r="I67" s="15"/>
      <c r="J67" s="15"/>
      <c r="K67" s="167"/>
      <c r="L67" s="15"/>
      <c r="M67" s="15"/>
      <c r="N67" s="15"/>
      <c r="O67" s="15"/>
      <c r="P67" s="15"/>
      <c r="Q67" s="15"/>
      <c r="R67" s="15"/>
      <c r="S67" s="15"/>
      <c r="T67" s="15"/>
      <c r="U67" s="15"/>
      <c r="V67" s="15"/>
      <c r="W67" s="15"/>
      <c r="X67" s="15"/>
      <c r="Y67" s="15"/>
      <c r="Z67" s="15"/>
    </row>
    <row r="68" spans="1:26" ht="15.75" customHeight="1" x14ac:dyDescent="0.25">
      <c r="A68" s="44" t="s">
        <v>1471</v>
      </c>
      <c r="B68" s="172"/>
      <c r="C68" s="43"/>
      <c r="D68" s="43"/>
      <c r="E68" s="43"/>
      <c r="F68" s="43"/>
      <c r="G68" s="43"/>
      <c r="H68" s="15"/>
      <c r="I68" s="15"/>
      <c r="J68" s="15"/>
      <c r="K68" s="167">
        <v>300000</v>
      </c>
      <c r="L68" s="15"/>
      <c r="M68" s="15"/>
      <c r="N68" s="15"/>
      <c r="O68" s="15"/>
      <c r="P68" s="15"/>
      <c r="Q68" s="15"/>
      <c r="R68" s="15"/>
      <c r="S68" s="15"/>
      <c r="T68" s="15"/>
      <c r="U68" s="15"/>
      <c r="V68" s="15"/>
      <c r="W68" s="15"/>
      <c r="X68" s="15"/>
      <c r="Y68" s="15"/>
      <c r="Z68" s="15"/>
    </row>
    <row r="69" spans="1:26" ht="15.75" customHeight="1" x14ac:dyDescent="0.25">
      <c r="A69" s="44" t="s">
        <v>1472</v>
      </c>
      <c r="B69" s="172"/>
      <c r="C69" s="43"/>
      <c r="D69" s="43"/>
      <c r="E69" s="43"/>
      <c r="F69" s="43"/>
      <c r="G69" s="43"/>
      <c r="H69" s="15"/>
      <c r="I69" s="15"/>
      <c r="J69" s="15"/>
      <c r="K69" s="167">
        <v>238228</v>
      </c>
      <c r="L69" s="15"/>
      <c r="M69" s="15"/>
      <c r="N69" s="15"/>
      <c r="O69" s="15"/>
      <c r="P69" s="15"/>
      <c r="Q69" s="15"/>
      <c r="R69" s="15"/>
      <c r="S69" s="15"/>
      <c r="T69" s="15"/>
      <c r="U69" s="15"/>
      <c r="V69" s="15"/>
      <c r="W69" s="15"/>
      <c r="X69" s="15"/>
      <c r="Y69" s="15"/>
      <c r="Z69" s="15"/>
    </row>
    <row r="70" spans="1:26" ht="15.75" customHeight="1" x14ac:dyDescent="0.25">
      <c r="A70" s="44" t="s">
        <v>1473</v>
      </c>
      <c r="B70" s="172"/>
      <c r="C70" s="43"/>
      <c r="D70" s="43"/>
      <c r="E70" s="43"/>
      <c r="F70" s="43"/>
      <c r="G70" s="43"/>
      <c r="H70" s="15"/>
      <c r="I70" s="15"/>
      <c r="J70" s="15"/>
      <c r="K70" s="167">
        <v>114000</v>
      </c>
      <c r="L70" s="15"/>
      <c r="M70" s="15"/>
      <c r="N70" s="15"/>
      <c r="O70" s="15"/>
      <c r="P70" s="15"/>
      <c r="Q70" s="15"/>
      <c r="R70" s="15"/>
      <c r="S70" s="15"/>
      <c r="T70" s="15"/>
      <c r="U70" s="15"/>
      <c r="V70" s="15"/>
      <c r="W70" s="15"/>
      <c r="X70" s="15"/>
      <c r="Y70" s="15"/>
      <c r="Z70" s="15"/>
    </row>
    <row r="71" spans="1:26" ht="15.75" customHeight="1" x14ac:dyDescent="0.25">
      <c r="A71" s="17" t="s">
        <v>570</v>
      </c>
      <c r="B71" s="41"/>
      <c r="C71" s="43"/>
      <c r="D71" s="43"/>
      <c r="E71" s="43"/>
      <c r="F71" s="43"/>
      <c r="G71" s="43"/>
      <c r="H71" s="15"/>
      <c r="I71" s="15"/>
      <c r="J71" s="15"/>
      <c r="K71" s="167"/>
      <c r="L71" s="15"/>
      <c r="M71" s="15"/>
      <c r="N71" s="15"/>
      <c r="O71" s="15"/>
      <c r="P71" s="15"/>
      <c r="Q71" s="15"/>
      <c r="R71" s="15"/>
      <c r="S71" s="15"/>
      <c r="T71" s="15"/>
      <c r="U71" s="15"/>
      <c r="V71" s="15"/>
      <c r="W71" s="15"/>
      <c r="X71" s="15"/>
      <c r="Y71" s="15"/>
      <c r="Z71" s="15"/>
    </row>
    <row r="72" spans="1:26" ht="15.75" customHeight="1" x14ac:dyDescent="0.25">
      <c r="A72" s="44" t="s">
        <v>802</v>
      </c>
      <c r="B72" s="41" t="s">
        <v>55</v>
      </c>
      <c r="C72" s="43">
        <v>0</v>
      </c>
      <c r="D72" s="43">
        <v>0</v>
      </c>
      <c r="E72" s="43">
        <f>F72-D72</f>
        <v>0</v>
      </c>
      <c r="F72" s="43">
        <v>0</v>
      </c>
      <c r="G72" s="43">
        <v>490000</v>
      </c>
      <c r="H72" s="15"/>
      <c r="I72" s="15"/>
      <c r="J72" s="15"/>
      <c r="K72" s="167"/>
      <c r="L72" s="15"/>
      <c r="M72" s="15"/>
      <c r="N72" s="15"/>
      <c r="O72" s="15"/>
      <c r="P72" s="15"/>
      <c r="Q72" s="15"/>
      <c r="R72" s="15"/>
      <c r="S72" s="15"/>
      <c r="T72" s="15"/>
      <c r="U72" s="15"/>
      <c r="V72" s="15"/>
      <c r="W72" s="15"/>
      <c r="X72" s="15"/>
      <c r="Y72" s="15"/>
      <c r="Z72" s="15"/>
    </row>
    <row r="73" spans="1:26" ht="15.75" customHeight="1" x14ac:dyDescent="0.25">
      <c r="A73" s="44" t="s">
        <v>1474</v>
      </c>
      <c r="B73" s="172"/>
      <c r="C73" s="43"/>
      <c r="D73" s="43"/>
      <c r="E73" s="43"/>
      <c r="F73" s="43"/>
      <c r="G73" s="43"/>
      <c r="H73" s="15"/>
      <c r="I73" s="15"/>
      <c r="J73" s="15"/>
      <c r="K73" s="167"/>
      <c r="L73" s="15"/>
      <c r="M73" s="15"/>
      <c r="N73" s="15"/>
      <c r="O73" s="15"/>
      <c r="P73" s="15"/>
      <c r="Q73" s="15"/>
      <c r="R73" s="15"/>
      <c r="S73" s="15"/>
      <c r="T73" s="15"/>
      <c r="U73" s="15"/>
      <c r="V73" s="15"/>
      <c r="W73" s="15"/>
      <c r="X73" s="15"/>
      <c r="Y73" s="15"/>
      <c r="Z73" s="15"/>
    </row>
    <row r="74" spans="1:26" ht="15.75" customHeight="1" x14ac:dyDescent="0.25">
      <c r="A74" s="42" t="s">
        <v>1145</v>
      </c>
      <c r="B74" s="199"/>
      <c r="C74" s="79">
        <f>+SUM(C66)</f>
        <v>617554</v>
      </c>
      <c r="D74" s="54">
        <f>SUM(D66)</f>
        <v>1173920</v>
      </c>
      <c r="E74" s="54">
        <f>F74-D74</f>
        <v>0</v>
      </c>
      <c r="F74" s="54">
        <f t="shared" ref="F74:G74" si="11">+SUM(F66:F73)</f>
        <v>1173920</v>
      </c>
      <c r="G74" s="54">
        <f t="shared" si="11"/>
        <v>1142228</v>
      </c>
      <c r="H74" s="15"/>
      <c r="I74" s="15"/>
      <c r="J74" s="15"/>
      <c r="K74" s="167"/>
      <c r="L74" s="15"/>
      <c r="M74" s="15"/>
      <c r="N74" s="15"/>
      <c r="O74" s="15"/>
      <c r="P74" s="15"/>
      <c r="Q74" s="15"/>
      <c r="R74" s="15"/>
      <c r="S74" s="15"/>
      <c r="T74" s="15"/>
      <c r="U74" s="15"/>
      <c r="V74" s="15"/>
      <c r="W74" s="15"/>
      <c r="X74" s="15"/>
      <c r="Y74" s="15"/>
      <c r="Z74" s="15"/>
    </row>
    <row r="75" spans="1:26" ht="15.75" customHeight="1" x14ac:dyDescent="0.25">
      <c r="A75" s="42"/>
      <c r="B75" s="49"/>
      <c r="C75" s="45"/>
      <c r="D75" s="45"/>
      <c r="E75" s="43"/>
      <c r="F75" s="43"/>
      <c r="G75" s="43"/>
      <c r="H75" s="15"/>
      <c r="I75" s="15"/>
      <c r="J75" s="15"/>
      <c r="K75" s="167"/>
      <c r="L75" s="15"/>
      <c r="M75" s="15"/>
      <c r="N75" s="15"/>
      <c r="O75" s="15"/>
      <c r="P75" s="15"/>
      <c r="Q75" s="15"/>
      <c r="R75" s="15"/>
      <c r="S75" s="15"/>
      <c r="T75" s="15"/>
      <c r="U75" s="15"/>
      <c r="V75" s="15"/>
      <c r="W75" s="15"/>
      <c r="X75" s="15"/>
      <c r="Y75" s="15"/>
      <c r="Z75" s="15"/>
    </row>
    <row r="76" spans="1:26" ht="15.75" customHeight="1" x14ac:dyDescent="0.25">
      <c r="A76" s="640" t="s">
        <v>487</v>
      </c>
      <c r="B76" s="641" t="s">
        <v>488</v>
      </c>
      <c r="C76" s="634">
        <f t="shared" ref="C76:D76" si="12">+C74+C62</f>
        <v>31287516.439999998</v>
      </c>
      <c r="D76" s="634">
        <f t="shared" si="12"/>
        <v>16419172.17</v>
      </c>
      <c r="E76" s="634">
        <f>F76-D76</f>
        <v>19764097.829999998</v>
      </c>
      <c r="F76" s="634">
        <f t="shared" ref="F76:G76" si="13">+F74+F62</f>
        <v>36183270</v>
      </c>
      <c r="G76" s="634">
        <f t="shared" si="13"/>
        <v>39857511</v>
      </c>
      <c r="H76" s="15"/>
      <c r="I76" s="15"/>
      <c r="J76" s="15"/>
      <c r="K76" s="167"/>
      <c r="L76" s="15"/>
      <c r="M76" s="15"/>
      <c r="N76" s="15"/>
      <c r="O76" s="15"/>
      <c r="P76" s="15"/>
      <c r="Q76" s="15"/>
      <c r="R76" s="15"/>
      <c r="S76" s="15"/>
      <c r="T76" s="15"/>
      <c r="U76" s="15"/>
      <c r="V76" s="15"/>
      <c r="W76" s="15"/>
      <c r="X76" s="15"/>
      <c r="Y76" s="15"/>
      <c r="Z76" s="15"/>
    </row>
    <row r="77" spans="1:26" ht="15.75" customHeight="1" x14ac:dyDescent="0.25">
      <c r="A77" s="637"/>
      <c r="B77" s="663"/>
      <c r="C77" s="664"/>
      <c r="D77" s="664"/>
      <c r="E77" s="664"/>
      <c r="F77" s="665"/>
      <c r="G77" s="665"/>
      <c r="H77" s="15"/>
      <c r="I77" s="15"/>
      <c r="J77" s="15"/>
      <c r="K77" s="167"/>
      <c r="L77" s="15"/>
      <c r="M77" s="15"/>
      <c r="N77" s="15"/>
      <c r="O77" s="15"/>
      <c r="P77" s="15"/>
      <c r="Q77" s="15"/>
      <c r="R77" s="15"/>
      <c r="S77" s="15"/>
      <c r="T77" s="15"/>
      <c r="U77" s="15"/>
      <c r="V77" s="15"/>
      <c r="W77" s="15"/>
      <c r="X77" s="15"/>
      <c r="Y77" s="15"/>
      <c r="Z77" s="15"/>
    </row>
    <row r="78" spans="1:26" ht="15.75" customHeight="1" x14ac:dyDescent="0.25">
      <c r="A78" s="24"/>
      <c r="B78" s="174"/>
      <c r="C78" s="99"/>
      <c r="D78" s="99"/>
      <c r="E78" s="99"/>
      <c r="F78" s="139"/>
      <c r="G78" s="139"/>
      <c r="H78" s="15"/>
      <c r="I78" s="15"/>
      <c r="J78" s="15"/>
      <c r="K78" s="167"/>
      <c r="L78" s="15"/>
      <c r="M78" s="15"/>
      <c r="N78" s="15"/>
      <c r="O78" s="15"/>
      <c r="P78" s="15"/>
      <c r="Q78" s="15"/>
      <c r="R78" s="15"/>
      <c r="S78" s="15"/>
      <c r="T78" s="15"/>
      <c r="U78" s="15"/>
      <c r="V78" s="15"/>
      <c r="W78" s="15"/>
      <c r="X78" s="15"/>
      <c r="Y78" s="15"/>
      <c r="Z78" s="15"/>
    </row>
    <row r="79" spans="1:26" ht="15.75" customHeight="1" x14ac:dyDescent="0.25">
      <c r="A79" s="24"/>
      <c r="B79" s="174"/>
      <c r="C79" s="24"/>
      <c r="D79" s="24"/>
      <c r="E79" s="24"/>
      <c r="F79" s="24"/>
      <c r="G79" s="24"/>
      <c r="H79" s="7"/>
      <c r="I79" s="7"/>
      <c r="K79" s="168"/>
    </row>
    <row r="80" spans="1:26" ht="15.75" customHeight="1" x14ac:dyDescent="0.25">
      <c r="A80" s="24"/>
      <c r="B80" s="174"/>
      <c r="C80" s="24"/>
      <c r="D80" s="24"/>
      <c r="E80" s="24"/>
      <c r="H80" s="7"/>
      <c r="I80" s="7"/>
      <c r="K80" s="168"/>
    </row>
    <row r="81" spans="1:11" ht="15.75" customHeight="1" x14ac:dyDescent="0.25">
      <c r="A81" s="24"/>
      <c r="B81" s="174"/>
      <c r="C81" s="24"/>
      <c r="D81" s="24"/>
      <c r="E81" s="24"/>
      <c r="H81" s="7"/>
      <c r="I81" s="7"/>
      <c r="K81" s="168"/>
    </row>
    <row r="82" spans="1:11" ht="15.75" customHeight="1" x14ac:dyDescent="0.25">
      <c r="A82" s="24"/>
      <c r="B82" s="174"/>
      <c r="C82" s="24"/>
      <c r="D82" s="24"/>
      <c r="E82" s="24"/>
      <c r="H82" s="7"/>
      <c r="I82" s="7"/>
      <c r="K82" s="168"/>
    </row>
    <row r="83" spans="1:11" ht="15.75" customHeight="1" x14ac:dyDescent="0.25">
      <c r="A83" s="24"/>
      <c r="B83" s="174"/>
      <c r="C83" s="24"/>
      <c r="D83" s="24"/>
      <c r="E83" s="24"/>
      <c r="H83" s="7"/>
      <c r="I83" s="7"/>
      <c r="K83" s="168"/>
    </row>
    <row r="84" spans="1:11" ht="15.75" customHeight="1" x14ac:dyDescent="0.25">
      <c r="A84" s="24"/>
      <c r="B84" s="174"/>
      <c r="C84" s="24"/>
      <c r="D84" s="24"/>
      <c r="E84" s="24"/>
      <c r="H84" s="7"/>
      <c r="I84" s="7"/>
      <c r="K84" s="168"/>
    </row>
    <row r="85" spans="1:11" ht="15.75" customHeight="1" x14ac:dyDescent="0.25">
      <c r="A85" s="24"/>
      <c r="B85" s="174"/>
      <c r="C85" s="24"/>
      <c r="D85" s="24"/>
      <c r="E85" s="24"/>
      <c r="H85" s="7"/>
      <c r="I85" s="7"/>
      <c r="K85" s="168"/>
    </row>
    <row r="86" spans="1:11" ht="15.75" customHeight="1" x14ac:dyDescent="0.25">
      <c r="A86" s="24"/>
      <c r="B86" s="174"/>
      <c r="C86" s="24"/>
      <c r="D86" s="24"/>
      <c r="E86" s="24"/>
      <c r="H86" s="7"/>
      <c r="I86" s="7"/>
      <c r="K86" s="168"/>
    </row>
    <row r="87" spans="1:11" ht="15.75" customHeight="1" x14ac:dyDescent="0.25">
      <c r="A87" s="24"/>
      <c r="B87" s="174"/>
      <c r="C87" s="24"/>
      <c r="D87" s="24"/>
      <c r="E87" s="24"/>
      <c r="H87" s="7"/>
      <c r="I87" s="7"/>
      <c r="K87" s="168"/>
    </row>
    <row r="88" spans="1:11" ht="15.75" customHeight="1" x14ac:dyDescent="0.25">
      <c r="A88" s="24"/>
      <c r="B88" s="174"/>
      <c r="C88" s="24"/>
      <c r="D88" s="24"/>
      <c r="E88" s="24"/>
      <c r="H88" s="7"/>
      <c r="I88" s="7"/>
      <c r="K88" s="168"/>
    </row>
    <row r="89" spans="1:11" ht="15.75" customHeight="1" x14ac:dyDescent="0.25">
      <c r="A89" s="24"/>
      <c r="B89" s="174"/>
      <c r="C89" s="24"/>
      <c r="D89" s="24"/>
      <c r="E89" s="24"/>
      <c r="H89" s="7"/>
      <c r="I89" s="7"/>
      <c r="K89" s="168"/>
    </row>
    <row r="90" spans="1:11" ht="15.75" customHeight="1" x14ac:dyDescent="0.25">
      <c r="A90" s="24"/>
      <c r="B90" s="174"/>
      <c r="C90" s="24"/>
      <c r="D90" s="24"/>
      <c r="E90" s="24"/>
      <c r="H90" s="7"/>
      <c r="I90" s="7"/>
      <c r="K90" s="168"/>
    </row>
    <row r="91" spans="1:11" ht="15.75" customHeight="1" x14ac:dyDescent="0.25">
      <c r="A91" s="24"/>
      <c r="B91" s="174"/>
      <c r="C91" s="24"/>
      <c r="D91" s="24"/>
      <c r="E91" s="24"/>
      <c r="H91" s="7"/>
      <c r="I91" s="7"/>
      <c r="K91" s="168"/>
    </row>
    <row r="92" spans="1:11" ht="15.75" customHeight="1" x14ac:dyDescent="0.25">
      <c r="A92" s="24"/>
      <c r="B92" s="174"/>
      <c r="C92" s="24"/>
      <c r="D92" s="24"/>
      <c r="E92" s="24"/>
      <c r="H92" s="7"/>
      <c r="I92" s="7"/>
      <c r="K92" s="168"/>
    </row>
    <row r="93" spans="1:11" ht="15.75" customHeight="1" x14ac:dyDescent="0.25">
      <c r="A93" s="24"/>
      <c r="B93" s="174"/>
      <c r="C93" s="24"/>
      <c r="D93" s="24"/>
      <c r="E93" s="24"/>
      <c r="H93" s="7"/>
      <c r="I93" s="7"/>
      <c r="K93" s="168"/>
    </row>
    <row r="94" spans="1:11" ht="15.75" customHeight="1" x14ac:dyDescent="0.25">
      <c r="A94" s="24"/>
      <c r="B94" s="174"/>
      <c r="C94" s="24"/>
      <c r="D94" s="24"/>
      <c r="E94" s="24"/>
      <c r="H94" s="7"/>
      <c r="I94" s="7"/>
      <c r="K94" s="168"/>
    </row>
    <row r="95" spans="1:11" ht="15.75" customHeight="1" x14ac:dyDescent="0.25">
      <c r="A95" s="24"/>
      <c r="B95" s="174"/>
      <c r="C95" s="24"/>
      <c r="D95" s="24"/>
      <c r="E95" s="24"/>
      <c r="H95" s="7"/>
      <c r="I95" s="7"/>
      <c r="K95" s="168"/>
    </row>
    <row r="96" spans="1:11" ht="15.75" customHeight="1" x14ac:dyDescent="0.25">
      <c r="A96" s="24"/>
      <c r="B96" s="174"/>
      <c r="C96" s="24"/>
      <c r="D96" s="24"/>
      <c r="E96" s="24"/>
      <c r="H96" s="7"/>
      <c r="I96" s="7"/>
      <c r="K96" s="168"/>
    </row>
    <row r="97" spans="1:11" ht="15.75" customHeight="1" x14ac:dyDescent="0.25">
      <c r="A97" s="24"/>
      <c r="B97" s="174"/>
      <c r="C97" s="24"/>
      <c r="D97" s="24"/>
      <c r="E97" s="24"/>
      <c r="H97" s="7"/>
      <c r="I97" s="7"/>
      <c r="K97" s="168"/>
    </row>
    <row r="98" spans="1:11" ht="15.75" customHeight="1" x14ac:dyDescent="0.25">
      <c r="A98" s="24"/>
      <c r="B98" s="174"/>
      <c r="C98" s="24"/>
      <c r="D98" s="24"/>
      <c r="E98" s="24"/>
      <c r="H98" s="7"/>
      <c r="I98" s="7"/>
      <c r="K98" s="168"/>
    </row>
    <row r="99" spans="1:11" ht="15.75" customHeight="1" x14ac:dyDescent="0.25">
      <c r="A99" s="24"/>
      <c r="B99" s="174"/>
      <c r="C99" s="24"/>
      <c r="D99" s="24"/>
      <c r="E99" s="24"/>
      <c r="H99" s="7"/>
      <c r="I99" s="7"/>
      <c r="K99" s="168"/>
    </row>
    <row r="100" spans="1:11" ht="15.75" customHeight="1" x14ac:dyDescent="0.25">
      <c r="A100" s="24"/>
      <c r="B100" s="174"/>
      <c r="C100" s="24"/>
      <c r="D100" s="24"/>
      <c r="E100" s="24"/>
      <c r="H100" s="7"/>
      <c r="I100" s="7"/>
      <c r="K100" s="168"/>
    </row>
    <row r="101" spans="1:11" ht="15.75" customHeight="1" x14ac:dyDescent="0.25">
      <c r="A101" s="24"/>
      <c r="B101" s="174"/>
      <c r="C101" s="24"/>
      <c r="D101" s="24"/>
      <c r="E101" s="24"/>
      <c r="H101" s="7"/>
      <c r="I101" s="7"/>
      <c r="K101" s="168"/>
    </row>
    <row r="102" spans="1:11" ht="15.75" customHeight="1" x14ac:dyDescent="0.25">
      <c r="A102" s="24"/>
      <c r="B102" s="174"/>
      <c r="C102" s="24"/>
      <c r="D102" s="24"/>
      <c r="E102" s="24"/>
      <c r="H102" s="7"/>
      <c r="I102" s="7"/>
      <c r="K102" s="168"/>
    </row>
    <row r="103" spans="1:11" ht="15.75" customHeight="1" x14ac:dyDescent="0.25">
      <c r="A103" s="24"/>
      <c r="B103" s="174"/>
      <c r="C103" s="24"/>
      <c r="D103" s="24"/>
      <c r="E103" s="24"/>
      <c r="H103" s="7"/>
      <c r="I103" s="7"/>
      <c r="K103" s="168"/>
    </row>
    <row r="104" spans="1:11" ht="15.75" customHeight="1" x14ac:dyDescent="0.25">
      <c r="A104" s="24"/>
      <c r="B104" s="174"/>
      <c r="C104" s="24"/>
      <c r="D104" s="24"/>
      <c r="E104" s="24"/>
      <c r="H104" s="7"/>
      <c r="I104" s="7"/>
      <c r="K104" s="168"/>
    </row>
    <row r="105" spans="1:11" ht="15.75" customHeight="1" x14ac:dyDescent="0.25">
      <c r="A105" s="24"/>
      <c r="B105" s="174"/>
      <c r="C105" s="24"/>
      <c r="D105" s="24"/>
      <c r="E105" s="24"/>
      <c r="H105" s="7"/>
      <c r="I105" s="7"/>
      <c r="K105" s="168"/>
    </row>
    <row r="106" spans="1:11" ht="15.75" customHeight="1" x14ac:dyDescent="0.25">
      <c r="A106" s="24"/>
      <c r="B106" s="174"/>
      <c r="C106" s="24"/>
      <c r="D106" s="24"/>
      <c r="E106" s="24"/>
      <c r="H106" s="7"/>
      <c r="I106" s="7"/>
      <c r="K106" s="168"/>
    </row>
    <row r="107" spans="1:11" ht="15.75" customHeight="1" x14ac:dyDescent="0.25">
      <c r="A107" s="24"/>
      <c r="B107" s="174"/>
      <c r="C107" s="24"/>
      <c r="D107" s="24"/>
      <c r="E107" s="24"/>
      <c r="H107" s="7"/>
      <c r="I107" s="7"/>
      <c r="K107" s="168"/>
    </row>
    <row r="108" spans="1:11" ht="15.75" customHeight="1" x14ac:dyDescent="0.25">
      <c r="A108" s="24"/>
      <c r="B108" s="174"/>
      <c r="C108" s="24"/>
      <c r="D108" s="24"/>
      <c r="E108" s="24"/>
      <c r="H108" s="7"/>
      <c r="I108" s="7"/>
      <c r="K108" s="168"/>
    </row>
    <row r="109" spans="1:11" ht="15.75" customHeight="1" x14ac:dyDescent="0.25">
      <c r="A109" s="24"/>
      <c r="B109" s="174"/>
      <c r="C109" s="24"/>
      <c r="D109" s="24"/>
      <c r="E109" s="24"/>
      <c r="H109" s="7"/>
      <c r="I109" s="7"/>
      <c r="K109" s="168"/>
    </row>
    <row r="110" spans="1:11" ht="15.75" customHeight="1" x14ac:dyDescent="0.25">
      <c r="A110" s="24"/>
      <c r="B110" s="174"/>
      <c r="C110" s="24"/>
      <c r="D110" s="24"/>
      <c r="E110" s="24"/>
      <c r="H110" s="7"/>
      <c r="I110" s="7"/>
      <c r="K110" s="168"/>
    </row>
    <row r="111" spans="1:11" ht="15.75" customHeight="1" x14ac:dyDescent="0.25">
      <c r="A111" s="24"/>
      <c r="B111" s="174"/>
      <c r="C111" s="24"/>
      <c r="D111" s="24"/>
      <c r="E111" s="24"/>
      <c r="H111" s="7"/>
      <c r="I111" s="7"/>
      <c r="K111" s="168"/>
    </row>
    <row r="112" spans="1:11" ht="15.75" customHeight="1" x14ac:dyDescent="0.25">
      <c r="A112" s="24"/>
      <c r="B112" s="174"/>
      <c r="C112" s="24"/>
      <c r="D112" s="24"/>
      <c r="E112" s="24"/>
      <c r="H112" s="7"/>
      <c r="I112" s="7"/>
      <c r="K112" s="168"/>
    </row>
    <row r="113" spans="1:11" ht="15.75" customHeight="1" x14ac:dyDescent="0.25">
      <c r="A113" s="24"/>
      <c r="B113" s="174"/>
      <c r="C113" s="24"/>
      <c r="D113" s="24"/>
      <c r="E113" s="24"/>
      <c r="H113" s="7"/>
      <c r="I113" s="7"/>
      <c r="K113" s="168"/>
    </row>
    <row r="114" spans="1:11" ht="15.75" customHeight="1" x14ac:dyDescent="0.25">
      <c r="A114" s="24"/>
      <c r="B114" s="174"/>
      <c r="C114" s="24"/>
      <c r="D114" s="24"/>
      <c r="E114" s="24"/>
      <c r="H114" s="7"/>
      <c r="I114" s="7"/>
      <c r="K114" s="168"/>
    </row>
    <row r="115" spans="1:11" ht="15.75" customHeight="1" x14ac:dyDescent="0.25">
      <c r="A115" s="24"/>
      <c r="B115" s="174"/>
      <c r="C115" s="24"/>
      <c r="D115" s="24"/>
      <c r="E115" s="24"/>
      <c r="H115" s="7"/>
      <c r="I115" s="7"/>
      <c r="K115" s="168"/>
    </row>
    <row r="116" spans="1:11" ht="15.75" customHeight="1" x14ac:dyDescent="0.25">
      <c r="A116" s="24"/>
      <c r="B116" s="174"/>
      <c r="C116" s="24"/>
      <c r="D116" s="24"/>
      <c r="E116" s="24"/>
      <c r="H116" s="7"/>
      <c r="I116" s="7"/>
      <c r="K116" s="168"/>
    </row>
    <row r="117" spans="1:11" ht="15.75" customHeight="1" x14ac:dyDescent="0.25">
      <c r="A117" s="24"/>
      <c r="B117" s="174"/>
      <c r="C117" s="24"/>
      <c r="D117" s="24"/>
      <c r="E117" s="24"/>
      <c r="H117" s="7"/>
      <c r="I117" s="7"/>
      <c r="K117" s="168"/>
    </row>
    <row r="118" spans="1:11" ht="15.75" customHeight="1" x14ac:dyDescent="0.25">
      <c r="A118" s="24"/>
      <c r="B118" s="174"/>
      <c r="C118" s="24"/>
      <c r="D118" s="24"/>
      <c r="E118" s="24"/>
      <c r="H118" s="7"/>
      <c r="I118" s="7"/>
      <c r="K118" s="168"/>
    </row>
    <row r="119" spans="1:11" ht="15.75" customHeight="1" x14ac:dyDescent="0.25">
      <c r="A119" s="24"/>
      <c r="B119" s="174"/>
      <c r="C119" s="24"/>
      <c r="D119" s="24"/>
      <c r="E119" s="24"/>
      <c r="H119" s="7"/>
      <c r="I119" s="7"/>
      <c r="K119" s="168"/>
    </row>
    <row r="120" spans="1:11" ht="15.75" customHeight="1" x14ac:dyDescent="0.25">
      <c r="A120" s="24"/>
      <c r="B120" s="174"/>
      <c r="C120" s="24"/>
      <c r="D120" s="24"/>
      <c r="E120" s="24"/>
      <c r="H120" s="7"/>
      <c r="I120" s="7"/>
      <c r="K120" s="168"/>
    </row>
    <row r="121" spans="1:11" ht="15.75" customHeight="1" x14ac:dyDescent="0.25">
      <c r="A121" s="24"/>
      <c r="B121" s="174"/>
      <c r="C121" s="24"/>
      <c r="D121" s="24"/>
      <c r="E121" s="24"/>
      <c r="H121" s="7"/>
      <c r="I121" s="7"/>
      <c r="K121" s="168"/>
    </row>
    <row r="122" spans="1:11" ht="15.75" customHeight="1" x14ac:dyDescent="0.25">
      <c r="A122" s="24"/>
      <c r="B122" s="174"/>
      <c r="C122" s="24"/>
      <c r="D122" s="24"/>
      <c r="E122" s="24"/>
      <c r="H122" s="7"/>
      <c r="I122" s="7"/>
      <c r="K122" s="168"/>
    </row>
    <row r="123" spans="1:11" ht="15.75" customHeight="1" x14ac:dyDescent="0.25">
      <c r="A123" s="24"/>
      <c r="B123" s="174"/>
      <c r="C123" s="24"/>
      <c r="D123" s="24"/>
      <c r="E123" s="24"/>
      <c r="H123" s="7"/>
      <c r="I123" s="7"/>
      <c r="K123" s="168"/>
    </row>
    <row r="124" spans="1:11" ht="15.75" customHeight="1" x14ac:dyDescent="0.25">
      <c r="A124" s="24"/>
      <c r="B124" s="174"/>
      <c r="C124" s="24"/>
      <c r="D124" s="24"/>
      <c r="E124" s="24"/>
      <c r="H124" s="7"/>
      <c r="I124" s="7"/>
      <c r="K124" s="168"/>
    </row>
    <row r="125" spans="1:11" ht="15.75" customHeight="1" x14ac:dyDescent="0.25">
      <c r="A125" s="24"/>
      <c r="B125" s="174"/>
      <c r="C125" s="24"/>
      <c r="D125" s="24"/>
      <c r="E125" s="24"/>
      <c r="H125" s="7"/>
      <c r="I125" s="7"/>
      <c r="K125" s="168"/>
    </row>
    <row r="126" spans="1:11" ht="15.75" customHeight="1" x14ac:dyDescent="0.25">
      <c r="A126" s="24"/>
      <c r="B126" s="174"/>
      <c r="C126" s="24"/>
      <c r="D126" s="24"/>
      <c r="E126" s="24"/>
      <c r="H126" s="7"/>
      <c r="I126" s="7"/>
      <c r="K126" s="168"/>
    </row>
    <row r="127" spans="1:11" ht="15.75" customHeight="1" x14ac:dyDescent="0.25">
      <c r="A127" s="24"/>
      <c r="B127" s="174"/>
      <c r="C127" s="24"/>
      <c r="D127" s="24"/>
      <c r="E127" s="24"/>
      <c r="H127" s="7"/>
      <c r="I127" s="7"/>
      <c r="K127" s="168"/>
    </row>
    <row r="128" spans="1:11" ht="15.75" customHeight="1" x14ac:dyDescent="0.25">
      <c r="A128" s="24"/>
      <c r="B128" s="174"/>
      <c r="C128" s="24"/>
      <c r="D128" s="24"/>
      <c r="E128" s="24"/>
      <c r="H128" s="7"/>
      <c r="I128" s="7"/>
      <c r="K128" s="168"/>
    </row>
    <row r="129" spans="1:11" ht="15.75" customHeight="1" x14ac:dyDescent="0.25">
      <c r="A129" s="24"/>
      <c r="B129" s="174"/>
      <c r="C129" s="24"/>
      <c r="D129" s="24"/>
      <c r="E129" s="24"/>
      <c r="H129" s="7"/>
      <c r="I129" s="7"/>
      <c r="K129" s="168"/>
    </row>
    <row r="130" spans="1:11" ht="15.75" customHeight="1" x14ac:dyDescent="0.25">
      <c r="A130" s="24"/>
      <c r="B130" s="174"/>
      <c r="C130" s="24"/>
      <c r="D130" s="24"/>
      <c r="E130" s="24"/>
      <c r="H130" s="7"/>
      <c r="I130" s="7"/>
      <c r="K130" s="168"/>
    </row>
    <row r="131" spans="1:11" ht="15.75" customHeight="1" x14ac:dyDescent="0.25">
      <c r="A131" s="24"/>
      <c r="B131" s="174"/>
      <c r="C131" s="24"/>
      <c r="D131" s="24"/>
      <c r="E131" s="24"/>
      <c r="H131" s="7"/>
      <c r="I131" s="7"/>
      <c r="K131" s="168"/>
    </row>
    <row r="132" spans="1:11" ht="15.75" customHeight="1" x14ac:dyDescent="0.25">
      <c r="A132" s="24"/>
      <c r="B132" s="174"/>
      <c r="C132" s="24"/>
      <c r="D132" s="24"/>
      <c r="E132" s="24"/>
      <c r="H132" s="7"/>
      <c r="I132" s="7"/>
      <c r="K132" s="168"/>
    </row>
    <row r="133" spans="1:11" ht="15.75" customHeight="1" x14ac:dyDescent="0.25">
      <c r="A133" s="24"/>
      <c r="B133" s="174"/>
      <c r="C133" s="24"/>
      <c r="D133" s="24"/>
      <c r="E133" s="24"/>
      <c r="H133" s="7"/>
      <c r="I133" s="7"/>
      <c r="K133" s="168"/>
    </row>
    <row r="134" spans="1:11" ht="15.75" customHeight="1" x14ac:dyDescent="0.25">
      <c r="A134" s="24"/>
      <c r="B134" s="174"/>
      <c r="C134" s="24"/>
      <c r="D134" s="24"/>
      <c r="E134" s="24"/>
      <c r="H134" s="7"/>
      <c r="I134" s="7"/>
      <c r="K134" s="168"/>
    </row>
    <row r="135" spans="1:11" ht="15.75" customHeight="1" x14ac:dyDescent="0.25">
      <c r="A135" s="24"/>
      <c r="B135" s="174"/>
      <c r="C135" s="24"/>
      <c r="D135" s="24"/>
      <c r="E135" s="24"/>
      <c r="H135" s="7"/>
      <c r="I135" s="7"/>
      <c r="K135" s="168"/>
    </row>
    <row r="136" spans="1:11" ht="15.75" customHeight="1" x14ac:dyDescent="0.25">
      <c r="A136" s="24"/>
      <c r="B136" s="174"/>
      <c r="C136" s="24"/>
      <c r="D136" s="24"/>
      <c r="E136" s="24"/>
      <c r="H136" s="7"/>
      <c r="I136" s="7"/>
      <c r="K136" s="168"/>
    </row>
    <row r="137" spans="1:11" ht="15.75" customHeight="1" x14ac:dyDescent="0.25">
      <c r="A137" s="24"/>
      <c r="B137" s="174"/>
      <c r="C137" s="24"/>
      <c r="D137" s="24"/>
      <c r="E137" s="24"/>
      <c r="H137" s="7"/>
      <c r="I137" s="7"/>
      <c r="K137" s="168"/>
    </row>
    <row r="138" spans="1:11" ht="15.75" customHeight="1" x14ac:dyDescent="0.25">
      <c r="A138" s="24"/>
      <c r="B138" s="174"/>
      <c r="C138" s="24"/>
      <c r="D138" s="24"/>
      <c r="E138" s="24"/>
      <c r="H138" s="7"/>
      <c r="I138" s="7"/>
      <c r="K138" s="168"/>
    </row>
    <row r="139" spans="1:11" ht="15.75" customHeight="1" x14ac:dyDescent="0.25">
      <c r="A139" s="24"/>
      <c r="B139" s="174"/>
      <c r="C139" s="24"/>
      <c r="D139" s="24"/>
      <c r="E139" s="24"/>
      <c r="H139" s="7"/>
      <c r="I139" s="7"/>
      <c r="K139" s="168"/>
    </row>
    <row r="140" spans="1:11" ht="15.75" customHeight="1" x14ac:dyDescent="0.25">
      <c r="A140" s="24"/>
      <c r="B140" s="174"/>
      <c r="C140" s="24"/>
      <c r="D140" s="24"/>
      <c r="E140" s="24"/>
      <c r="H140" s="7"/>
      <c r="I140" s="7"/>
      <c r="K140" s="168"/>
    </row>
    <row r="141" spans="1:11" ht="15.75" customHeight="1" x14ac:dyDescent="0.25">
      <c r="A141" s="24"/>
      <c r="B141" s="174"/>
      <c r="C141" s="24"/>
      <c r="D141" s="24"/>
      <c r="E141" s="24"/>
      <c r="H141" s="7"/>
      <c r="I141" s="7"/>
      <c r="K141" s="168"/>
    </row>
    <row r="142" spans="1:11" ht="15.75" customHeight="1" x14ac:dyDescent="0.25">
      <c r="A142" s="24"/>
      <c r="B142" s="174"/>
      <c r="C142" s="24"/>
      <c r="D142" s="24"/>
      <c r="E142" s="24"/>
      <c r="H142" s="7"/>
      <c r="I142" s="7"/>
      <c r="K142" s="168"/>
    </row>
    <row r="143" spans="1:11" ht="15.75" customHeight="1" x14ac:dyDescent="0.25">
      <c r="A143" s="24"/>
      <c r="B143" s="174"/>
      <c r="C143" s="24"/>
      <c r="D143" s="24"/>
      <c r="E143" s="24"/>
      <c r="H143" s="7"/>
      <c r="I143" s="7"/>
      <c r="K143" s="168"/>
    </row>
    <row r="144" spans="1:11" ht="15.75" customHeight="1" x14ac:dyDescent="0.25">
      <c r="A144" s="24"/>
      <c r="B144" s="174"/>
      <c r="C144" s="24"/>
      <c r="D144" s="24"/>
      <c r="E144" s="24"/>
      <c r="H144" s="7"/>
      <c r="I144" s="7"/>
      <c r="K144" s="168"/>
    </row>
    <row r="145" spans="1:11" ht="15.75" customHeight="1" x14ac:dyDescent="0.25">
      <c r="A145" s="24"/>
      <c r="B145" s="174"/>
      <c r="C145" s="24"/>
      <c r="D145" s="24"/>
      <c r="E145" s="24"/>
      <c r="H145" s="7"/>
      <c r="I145" s="7"/>
      <c r="K145" s="168"/>
    </row>
    <row r="146" spans="1:11" ht="15.75" customHeight="1" x14ac:dyDescent="0.25">
      <c r="A146" s="24"/>
      <c r="B146" s="174"/>
      <c r="C146" s="24"/>
      <c r="D146" s="24"/>
      <c r="E146" s="24"/>
      <c r="H146" s="7"/>
      <c r="I146" s="7"/>
      <c r="K146" s="168"/>
    </row>
    <row r="147" spans="1:11" ht="15.75" customHeight="1" x14ac:dyDescent="0.25">
      <c r="A147" s="24"/>
      <c r="B147" s="174"/>
      <c r="C147" s="24"/>
      <c r="D147" s="24"/>
      <c r="E147" s="24"/>
      <c r="H147" s="7"/>
      <c r="I147" s="7"/>
      <c r="K147" s="168"/>
    </row>
    <row r="148" spans="1:11" ht="15.75" customHeight="1" x14ac:dyDescent="0.25">
      <c r="A148" s="24"/>
      <c r="B148" s="174"/>
      <c r="C148" s="24"/>
      <c r="D148" s="24"/>
      <c r="E148" s="24"/>
      <c r="H148" s="7"/>
      <c r="I148" s="7"/>
      <c r="K148" s="168"/>
    </row>
    <row r="149" spans="1:11" ht="15.75" customHeight="1" x14ac:dyDescent="0.25">
      <c r="A149" s="24"/>
      <c r="B149" s="174"/>
      <c r="C149" s="24"/>
      <c r="D149" s="24"/>
      <c r="E149" s="24"/>
      <c r="H149" s="7"/>
      <c r="I149" s="7"/>
      <c r="K149" s="168"/>
    </row>
    <row r="150" spans="1:11" ht="15.75" customHeight="1" x14ac:dyDescent="0.25">
      <c r="A150" s="24"/>
      <c r="B150" s="174"/>
      <c r="C150" s="24"/>
      <c r="D150" s="24"/>
      <c r="E150" s="24"/>
      <c r="H150" s="7"/>
      <c r="I150" s="7"/>
      <c r="K150" s="168"/>
    </row>
    <row r="151" spans="1:11" ht="15.75" customHeight="1" x14ac:dyDescent="0.25">
      <c r="A151" s="24"/>
      <c r="B151" s="174"/>
      <c r="C151" s="24"/>
      <c r="D151" s="24"/>
      <c r="E151" s="24"/>
      <c r="H151" s="7"/>
      <c r="I151" s="7"/>
      <c r="K151" s="168"/>
    </row>
    <row r="152" spans="1:11" ht="15.75" customHeight="1" x14ac:dyDescent="0.25">
      <c r="A152" s="24"/>
      <c r="B152" s="174"/>
      <c r="C152" s="24"/>
      <c r="D152" s="24"/>
      <c r="E152" s="24"/>
      <c r="H152" s="7"/>
      <c r="I152" s="7"/>
      <c r="K152" s="168"/>
    </row>
    <row r="153" spans="1:11" ht="15.75" customHeight="1" x14ac:dyDescent="0.25">
      <c r="A153" s="24"/>
      <c r="B153" s="174"/>
      <c r="C153" s="24"/>
      <c r="D153" s="24"/>
      <c r="E153" s="24"/>
      <c r="H153" s="7"/>
      <c r="I153" s="7"/>
      <c r="K153" s="168"/>
    </row>
    <row r="154" spans="1:11" ht="15.75" customHeight="1" x14ac:dyDescent="0.25">
      <c r="A154" s="24"/>
      <c r="B154" s="174"/>
      <c r="C154" s="24"/>
      <c r="D154" s="24"/>
      <c r="E154" s="24"/>
      <c r="H154" s="7"/>
      <c r="I154" s="7"/>
      <c r="K154" s="168"/>
    </row>
    <row r="155" spans="1:11" ht="15.75" customHeight="1" x14ac:dyDescent="0.25">
      <c r="A155" s="24"/>
      <c r="B155" s="174"/>
      <c r="C155" s="24"/>
      <c r="D155" s="24"/>
      <c r="E155" s="24"/>
      <c r="H155" s="7"/>
      <c r="I155" s="7"/>
      <c r="K155" s="168"/>
    </row>
    <row r="156" spans="1:11" ht="15.75" customHeight="1" x14ac:dyDescent="0.25">
      <c r="A156" s="24"/>
      <c r="B156" s="174"/>
      <c r="C156" s="24"/>
      <c r="D156" s="24"/>
      <c r="E156" s="24"/>
      <c r="H156" s="7"/>
      <c r="I156" s="7"/>
      <c r="K156" s="168"/>
    </row>
    <row r="157" spans="1:11" ht="15.75" customHeight="1" x14ac:dyDescent="0.25">
      <c r="A157" s="24"/>
      <c r="B157" s="174"/>
      <c r="C157" s="24"/>
      <c r="D157" s="24"/>
      <c r="E157" s="24"/>
      <c r="H157" s="7"/>
      <c r="I157" s="7"/>
      <c r="K157" s="168"/>
    </row>
    <row r="158" spans="1:11" ht="15.75" customHeight="1" x14ac:dyDescent="0.25">
      <c r="A158" s="24"/>
      <c r="B158" s="174"/>
      <c r="C158" s="24"/>
      <c r="D158" s="24"/>
      <c r="E158" s="24"/>
      <c r="H158" s="7"/>
      <c r="I158" s="7"/>
      <c r="K158" s="168"/>
    </row>
    <row r="159" spans="1:11" ht="15.75" customHeight="1" x14ac:dyDescent="0.25">
      <c r="A159" s="24"/>
      <c r="B159" s="174"/>
      <c r="C159" s="24"/>
      <c r="D159" s="24"/>
      <c r="E159" s="24"/>
      <c r="H159" s="7"/>
      <c r="I159" s="7"/>
      <c r="K159" s="168"/>
    </row>
    <row r="160" spans="1:11" ht="15.75" customHeight="1" x14ac:dyDescent="0.25">
      <c r="A160" s="24"/>
      <c r="B160" s="174"/>
      <c r="C160" s="24"/>
      <c r="D160" s="24"/>
      <c r="E160" s="24"/>
      <c r="H160" s="7"/>
      <c r="I160" s="7"/>
      <c r="K160" s="168"/>
    </row>
    <row r="161" spans="1:11" ht="15.75" customHeight="1" x14ac:dyDescent="0.25">
      <c r="A161" s="24"/>
      <c r="B161" s="174"/>
      <c r="C161" s="24"/>
      <c r="D161" s="24"/>
      <c r="E161" s="24"/>
      <c r="H161" s="7"/>
      <c r="I161" s="7"/>
      <c r="K161" s="168"/>
    </row>
    <row r="162" spans="1:11" ht="15.75" customHeight="1" x14ac:dyDescent="0.25">
      <c r="A162" s="24"/>
      <c r="B162" s="174"/>
      <c r="C162" s="24"/>
      <c r="D162" s="24"/>
      <c r="E162" s="24"/>
      <c r="H162" s="7"/>
      <c r="I162" s="7"/>
      <c r="K162" s="168"/>
    </row>
    <row r="163" spans="1:11" ht="15.75" customHeight="1" x14ac:dyDescent="0.25">
      <c r="A163" s="24"/>
      <c r="B163" s="174"/>
      <c r="C163" s="24"/>
      <c r="D163" s="24"/>
      <c r="E163" s="24"/>
      <c r="H163" s="7"/>
      <c r="I163" s="7"/>
      <c r="K163" s="168"/>
    </row>
    <row r="164" spans="1:11" ht="15.75" customHeight="1" x14ac:dyDescent="0.25">
      <c r="A164" s="24"/>
      <c r="B164" s="174"/>
      <c r="C164" s="24"/>
      <c r="D164" s="24"/>
      <c r="E164" s="24"/>
      <c r="H164" s="7"/>
      <c r="I164" s="7"/>
      <c r="K164" s="168"/>
    </row>
    <row r="165" spans="1:11" ht="15.75" customHeight="1" x14ac:dyDescent="0.25">
      <c r="A165" s="24"/>
      <c r="B165" s="174"/>
      <c r="C165" s="24"/>
      <c r="D165" s="24"/>
      <c r="E165" s="24"/>
      <c r="H165" s="7"/>
      <c r="I165" s="7"/>
      <c r="K165" s="168"/>
    </row>
    <row r="166" spans="1:11" ht="15.75" customHeight="1" x14ac:dyDescent="0.25">
      <c r="A166" s="24"/>
      <c r="B166" s="174"/>
      <c r="C166" s="24"/>
      <c r="D166" s="24"/>
      <c r="E166" s="24"/>
      <c r="H166" s="7"/>
      <c r="I166" s="7"/>
      <c r="K166" s="168"/>
    </row>
    <row r="167" spans="1:11" ht="15.75" customHeight="1" x14ac:dyDescent="0.25">
      <c r="A167" s="24"/>
      <c r="B167" s="174"/>
      <c r="C167" s="24"/>
      <c r="D167" s="24"/>
      <c r="E167" s="24"/>
      <c r="H167" s="7"/>
      <c r="I167" s="7"/>
      <c r="K167" s="168"/>
    </row>
    <row r="168" spans="1:11" ht="15.75" customHeight="1" x14ac:dyDescent="0.25">
      <c r="A168" s="24"/>
      <c r="B168" s="174"/>
      <c r="C168" s="24"/>
      <c r="D168" s="24"/>
      <c r="E168" s="24"/>
      <c r="H168" s="7"/>
      <c r="I168" s="7"/>
      <c r="K168" s="168"/>
    </row>
    <row r="169" spans="1:11" ht="15.75" customHeight="1" x14ac:dyDescent="0.25">
      <c r="A169" s="24"/>
      <c r="B169" s="174"/>
      <c r="C169" s="24"/>
      <c r="D169" s="24"/>
      <c r="E169" s="24"/>
      <c r="H169" s="7"/>
      <c r="I169" s="7"/>
      <c r="K169" s="168"/>
    </row>
    <row r="170" spans="1:11" ht="15.75" customHeight="1" x14ac:dyDescent="0.25">
      <c r="A170" s="24"/>
      <c r="B170" s="174"/>
      <c r="C170" s="24"/>
      <c r="D170" s="24"/>
      <c r="E170" s="24"/>
      <c r="H170" s="7"/>
      <c r="I170" s="7"/>
      <c r="K170" s="168"/>
    </row>
    <row r="171" spans="1:11" ht="15.75" customHeight="1" x14ac:dyDescent="0.25">
      <c r="A171" s="24"/>
      <c r="B171" s="174"/>
      <c r="C171" s="24"/>
      <c r="D171" s="24"/>
      <c r="E171" s="24"/>
      <c r="H171" s="7"/>
      <c r="I171" s="7"/>
      <c r="K171" s="168"/>
    </row>
    <row r="172" spans="1:11" ht="15.75" customHeight="1" x14ac:dyDescent="0.25">
      <c r="A172" s="24"/>
      <c r="B172" s="174"/>
      <c r="C172" s="24"/>
      <c r="D172" s="24"/>
      <c r="E172" s="24"/>
      <c r="H172" s="7"/>
      <c r="I172" s="7"/>
      <c r="K172" s="168"/>
    </row>
    <row r="173" spans="1:11" ht="15.75" customHeight="1" x14ac:dyDescent="0.25">
      <c r="A173" s="24"/>
      <c r="B173" s="174"/>
      <c r="C173" s="24"/>
      <c r="D173" s="24"/>
      <c r="E173" s="24"/>
      <c r="H173" s="7"/>
      <c r="I173" s="7"/>
      <c r="K173" s="168"/>
    </row>
    <row r="174" spans="1:11" ht="15.75" customHeight="1" x14ac:dyDescent="0.25">
      <c r="A174" s="24"/>
      <c r="B174" s="174"/>
      <c r="C174" s="24"/>
      <c r="D174" s="24"/>
      <c r="E174" s="24"/>
      <c r="H174" s="7"/>
      <c r="I174" s="7"/>
      <c r="K174" s="168"/>
    </row>
    <row r="175" spans="1:11" ht="15.75" customHeight="1" x14ac:dyDescent="0.25">
      <c r="A175" s="24"/>
      <c r="B175" s="174"/>
      <c r="C175" s="24"/>
      <c r="D175" s="24"/>
      <c r="E175" s="24"/>
      <c r="H175" s="7"/>
      <c r="I175" s="7"/>
      <c r="K175" s="168"/>
    </row>
    <row r="176" spans="1:11" ht="15.75" customHeight="1" x14ac:dyDescent="0.25">
      <c r="A176" s="24"/>
      <c r="B176" s="174"/>
      <c r="C176" s="24"/>
      <c r="D176" s="24"/>
      <c r="E176" s="24"/>
      <c r="H176" s="7"/>
      <c r="I176" s="7"/>
      <c r="K176" s="168"/>
    </row>
    <row r="177" spans="1:11" ht="15.75" customHeight="1" x14ac:dyDescent="0.25">
      <c r="A177" s="24"/>
      <c r="B177" s="174"/>
      <c r="C177" s="24"/>
      <c r="D177" s="24"/>
      <c r="E177" s="24"/>
      <c r="H177" s="7"/>
      <c r="I177" s="7"/>
      <c r="K177" s="168"/>
    </row>
    <row r="178" spans="1:11" ht="15.75" customHeight="1" x14ac:dyDescent="0.25">
      <c r="A178" s="24"/>
      <c r="B178" s="174"/>
      <c r="C178" s="24"/>
      <c r="D178" s="24"/>
      <c r="E178" s="24"/>
      <c r="H178" s="7"/>
      <c r="I178" s="7"/>
      <c r="K178" s="168"/>
    </row>
    <row r="179" spans="1:11" ht="15.75" customHeight="1" x14ac:dyDescent="0.25">
      <c r="A179" s="24"/>
      <c r="B179" s="174"/>
      <c r="C179" s="24"/>
      <c r="D179" s="24"/>
      <c r="E179" s="24"/>
      <c r="H179" s="7"/>
      <c r="I179" s="7"/>
      <c r="K179" s="168"/>
    </row>
    <row r="180" spans="1:11" ht="15.75" customHeight="1" x14ac:dyDescent="0.25">
      <c r="A180" s="24"/>
      <c r="B180" s="174"/>
      <c r="C180" s="24"/>
      <c r="D180" s="24"/>
      <c r="E180" s="24"/>
      <c r="H180" s="7"/>
      <c r="I180" s="7"/>
      <c r="K180" s="168"/>
    </row>
    <row r="181" spans="1:11" ht="15.75" customHeight="1" x14ac:dyDescent="0.25">
      <c r="A181" s="24"/>
      <c r="B181" s="174"/>
      <c r="C181" s="24"/>
      <c r="D181" s="24"/>
      <c r="E181" s="24"/>
      <c r="H181" s="7"/>
      <c r="I181" s="7"/>
      <c r="K181" s="168"/>
    </row>
    <row r="182" spans="1:11" ht="15.75" customHeight="1" x14ac:dyDescent="0.25">
      <c r="A182" s="24"/>
      <c r="B182" s="174"/>
      <c r="C182" s="24"/>
      <c r="D182" s="24"/>
      <c r="E182" s="24"/>
      <c r="H182" s="7"/>
      <c r="I182" s="7"/>
      <c r="K182" s="168"/>
    </row>
    <row r="183" spans="1:11" ht="15.75" customHeight="1" x14ac:dyDescent="0.25">
      <c r="A183" s="24"/>
      <c r="B183" s="174"/>
      <c r="C183" s="24"/>
      <c r="D183" s="24"/>
      <c r="E183" s="24"/>
      <c r="H183" s="7"/>
      <c r="I183" s="7"/>
      <c r="K183" s="168"/>
    </row>
    <row r="184" spans="1:11" ht="15.75" customHeight="1" x14ac:dyDescent="0.25">
      <c r="A184" s="24"/>
      <c r="B184" s="174"/>
      <c r="C184" s="24"/>
      <c r="D184" s="24"/>
      <c r="E184" s="24"/>
      <c r="H184" s="7"/>
      <c r="I184" s="7"/>
      <c r="K184" s="168"/>
    </row>
    <row r="185" spans="1:11" ht="15.75" customHeight="1" x14ac:dyDescent="0.25">
      <c r="A185" s="24"/>
      <c r="B185" s="174"/>
      <c r="C185" s="24"/>
      <c r="D185" s="24"/>
      <c r="E185" s="24"/>
      <c r="H185" s="7"/>
      <c r="I185" s="7"/>
      <c r="K185" s="168"/>
    </row>
    <row r="186" spans="1:11" ht="15.75" customHeight="1" x14ac:dyDescent="0.25">
      <c r="A186" s="24"/>
      <c r="B186" s="174"/>
      <c r="C186" s="24"/>
      <c r="D186" s="24"/>
      <c r="E186" s="24"/>
      <c r="H186" s="7"/>
      <c r="I186" s="7"/>
      <c r="K186" s="168"/>
    </row>
    <row r="187" spans="1:11" ht="15.75" customHeight="1" x14ac:dyDescent="0.25">
      <c r="A187" s="24"/>
      <c r="B187" s="174"/>
      <c r="C187" s="24"/>
      <c r="D187" s="24"/>
      <c r="E187" s="24"/>
      <c r="H187" s="7"/>
      <c r="I187" s="7"/>
      <c r="K187" s="168"/>
    </row>
    <row r="188" spans="1:11" ht="15.75" customHeight="1" x14ac:dyDescent="0.25">
      <c r="A188" s="24"/>
      <c r="B188" s="174"/>
      <c r="C188" s="24"/>
      <c r="D188" s="24"/>
      <c r="E188" s="24"/>
      <c r="H188" s="7"/>
      <c r="I188" s="7"/>
      <c r="K188" s="168"/>
    </row>
    <row r="189" spans="1:11" ht="15.75" customHeight="1" x14ac:dyDescent="0.25">
      <c r="A189" s="24"/>
      <c r="B189" s="174"/>
      <c r="C189" s="24"/>
      <c r="D189" s="24"/>
      <c r="E189" s="24"/>
      <c r="H189" s="7"/>
      <c r="I189" s="7"/>
      <c r="K189" s="168"/>
    </row>
    <row r="190" spans="1:11" ht="15.75" customHeight="1" x14ac:dyDescent="0.25">
      <c r="A190" s="24"/>
      <c r="B190" s="174"/>
      <c r="C190" s="24"/>
      <c r="D190" s="24"/>
      <c r="E190" s="24"/>
      <c r="H190" s="7"/>
      <c r="I190" s="7"/>
      <c r="K190" s="168"/>
    </row>
    <row r="191" spans="1:11" ht="15.75" customHeight="1" x14ac:dyDescent="0.25">
      <c r="A191" s="24"/>
      <c r="B191" s="174"/>
      <c r="C191" s="24"/>
      <c r="D191" s="24"/>
      <c r="E191" s="24"/>
      <c r="H191" s="7"/>
      <c r="I191" s="7"/>
      <c r="K191" s="168"/>
    </row>
    <row r="192" spans="1:11" ht="15.75" customHeight="1" x14ac:dyDescent="0.25">
      <c r="A192" s="24"/>
      <c r="B192" s="174"/>
      <c r="C192" s="24"/>
      <c r="D192" s="24"/>
      <c r="E192" s="24"/>
      <c r="H192" s="7"/>
      <c r="I192" s="7"/>
      <c r="K192" s="168"/>
    </row>
    <row r="193" spans="1:11" ht="15.75" customHeight="1" x14ac:dyDescent="0.25">
      <c r="A193" s="24"/>
      <c r="B193" s="174"/>
      <c r="C193" s="24"/>
      <c r="D193" s="24"/>
      <c r="E193" s="24"/>
      <c r="H193" s="7"/>
      <c r="I193" s="7"/>
      <c r="K193" s="168"/>
    </row>
    <row r="194" spans="1:11" ht="15.75" customHeight="1" x14ac:dyDescent="0.25">
      <c r="A194" s="24"/>
      <c r="B194" s="174"/>
      <c r="C194" s="24"/>
      <c r="D194" s="24"/>
      <c r="E194" s="24"/>
      <c r="H194" s="7"/>
      <c r="I194" s="7"/>
      <c r="K194" s="168"/>
    </row>
    <row r="195" spans="1:11" ht="15.75" customHeight="1" x14ac:dyDescent="0.25">
      <c r="A195" s="24"/>
      <c r="B195" s="174"/>
      <c r="C195" s="24"/>
      <c r="D195" s="24"/>
      <c r="E195" s="24"/>
      <c r="H195" s="7"/>
      <c r="I195" s="7"/>
      <c r="K195" s="168"/>
    </row>
    <row r="196" spans="1:11" ht="15.75" customHeight="1" x14ac:dyDescent="0.25">
      <c r="A196" s="24"/>
      <c r="B196" s="174"/>
      <c r="C196" s="24"/>
      <c r="D196" s="24"/>
      <c r="E196" s="24"/>
      <c r="H196" s="7"/>
      <c r="I196" s="7"/>
      <c r="K196" s="168"/>
    </row>
    <row r="197" spans="1:11" ht="15.75" customHeight="1" x14ac:dyDescent="0.25">
      <c r="A197" s="24"/>
      <c r="B197" s="174"/>
      <c r="C197" s="24"/>
      <c r="D197" s="24"/>
      <c r="E197" s="24"/>
      <c r="H197" s="7"/>
      <c r="I197" s="7"/>
      <c r="K197" s="168"/>
    </row>
    <row r="198" spans="1:11" ht="15.75" customHeight="1" x14ac:dyDescent="0.25">
      <c r="A198" s="24"/>
      <c r="B198" s="174"/>
      <c r="C198" s="24"/>
      <c r="D198" s="24"/>
      <c r="E198" s="24"/>
      <c r="H198" s="7"/>
      <c r="I198" s="7"/>
      <c r="K198" s="168"/>
    </row>
    <row r="199" spans="1:11" ht="15.75" customHeight="1" x14ac:dyDescent="0.25">
      <c r="A199" s="24"/>
      <c r="B199" s="174"/>
      <c r="C199" s="24"/>
      <c r="D199" s="24"/>
      <c r="E199" s="24"/>
      <c r="H199" s="7"/>
      <c r="I199" s="7"/>
      <c r="K199" s="168"/>
    </row>
    <row r="200" spans="1:11" ht="15.75" customHeight="1" x14ac:dyDescent="0.25">
      <c r="A200" s="24"/>
      <c r="B200" s="174"/>
      <c r="C200" s="24"/>
      <c r="D200" s="24"/>
      <c r="E200" s="24"/>
      <c r="H200" s="7"/>
      <c r="I200" s="7"/>
      <c r="K200" s="168"/>
    </row>
    <row r="201" spans="1:11" ht="15.75" customHeight="1" x14ac:dyDescent="0.25">
      <c r="A201" s="24"/>
      <c r="B201" s="174"/>
      <c r="C201" s="24"/>
      <c r="D201" s="24"/>
      <c r="E201" s="24"/>
      <c r="H201" s="7"/>
      <c r="I201" s="7"/>
      <c r="K201" s="168"/>
    </row>
    <row r="202" spans="1:11" ht="15.75" customHeight="1" x14ac:dyDescent="0.25">
      <c r="A202" s="24"/>
      <c r="B202" s="174"/>
      <c r="C202" s="24"/>
      <c r="D202" s="24"/>
      <c r="E202" s="24"/>
      <c r="H202" s="7"/>
      <c r="I202" s="7"/>
      <c r="K202" s="168"/>
    </row>
    <row r="203" spans="1:11" ht="15.75" customHeight="1" x14ac:dyDescent="0.25">
      <c r="A203" s="24"/>
      <c r="B203" s="174"/>
      <c r="C203" s="24"/>
      <c r="D203" s="24"/>
      <c r="E203" s="24"/>
      <c r="H203" s="7"/>
      <c r="I203" s="7"/>
      <c r="K203" s="168"/>
    </row>
    <row r="204" spans="1:11" ht="15.75" customHeight="1" x14ac:dyDescent="0.25">
      <c r="A204" s="24"/>
      <c r="B204" s="174"/>
      <c r="C204" s="24"/>
      <c r="D204" s="24"/>
      <c r="E204" s="24"/>
      <c r="H204" s="7"/>
      <c r="I204" s="7"/>
      <c r="K204" s="168"/>
    </row>
    <row r="205" spans="1:11" ht="15.75" customHeight="1" x14ac:dyDescent="0.25">
      <c r="A205" s="24"/>
      <c r="B205" s="174"/>
      <c r="C205" s="24"/>
      <c r="D205" s="24"/>
      <c r="E205" s="24"/>
      <c r="H205" s="7"/>
      <c r="I205" s="7"/>
      <c r="K205" s="168"/>
    </row>
    <row r="206" spans="1:11" ht="15.75" customHeight="1" x14ac:dyDescent="0.25">
      <c r="A206" s="24"/>
      <c r="B206" s="174"/>
      <c r="C206" s="24"/>
      <c r="D206" s="24"/>
      <c r="E206" s="24"/>
      <c r="H206" s="7"/>
      <c r="I206" s="7"/>
      <c r="K206" s="168"/>
    </row>
    <row r="207" spans="1:11" ht="15.75" customHeight="1" x14ac:dyDescent="0.25">
      <c r="A207" s="24"/>
      <c r="B207" s="174"/>
      <c r="C207" s="24"/>
      <c r="D207" s="24"/>
      <c r="E207" s="24"/>
      <c r="H207" s="7"/>
      <c r="I207" s="7"/>
      <c r="K207" s="168"/>
    </row>
    <row r="208" spans="1:11" ht="15.75" customHeight="1" x14ac:dyDescent="0.25">
      <c r="A208" s="24"/>
      <c r="B208" s="174"/>
      <c r="C208" s="24"/>
      <c r="D208" s="24"/>
      <c r="E208" s="24"/>
      <c r="H208" s="7"/>
      <c r="I208" s="7"/>
      <c r="K208" s="168"/>
    </row>
    <row r="209" spans="1:11" ht="15.75" customHeight="1" x14ac:dyDescent="0.25">
      <c r="A209" s="24"/>
      <c r="B209" s="174"/>
      <c r="C209" s="24"/>
      <c r="D209" s="24"/>
      <c r="E209" s="24"/>
      <c r="H209" s="7"/>
      <c r="I209" s="7"/>
      <c r="K209" s="168"/>
    </row>
    <row r="210" spans="1:11" ht="15.75" customHeight="1" x14ac:dyDescent="0.25">
      <c r="A210" s="24"/>
      <c r="B210" s="174"/>
      <c r="C210" s="24"/>
      <c r="D210" s="24"/>
      <c r="E210" s="24"/>
      <c r="H210" s="7"/>
      <c r="I210" s="7"/>
      <c r="K210" s="168"/>
    </row>
    <row r="211" spans="1:11" ht="15.75" customHeight="1" x14ac:dyDescent="0.25">
      <c r="A211" s="24"/>
      <c r="B211" s="174"/>
      <c r="C211" s="24"/>
      <c r="D211" s="24"/>
      <c r="E211" s="24"/>
      <c r="H211" s="7"/>
      <c r="I211" s="7"/>
      <c r="K211" s="168"/>
    </row>
    <row r="212" spans="1:11" ht="15.75" customHeight="1" x14ac:dyDescent="0.25">
      <c r="A212" s="24"/>
      <c r="B212" s="174"/>
      <c r="C212" s="24"/>
      <c r="D212" s="24"/>
      <c r="E212" s="24"/>
      <c r="H212" s="7"/>
      <c r="I212" s="7"/>
      <c r="K212" s="168"/>
    </row>
    <row r="213" spans="1:11" ht="15.75" customHeight="1" x14ac:dyDescent="0.25">
      <c r="A213" s="24"/>
      <c r="B213" s="174"/>
      <c r="C213" s="24"/>
      <c r="D213" s="24"/>
      <c r="E213" s="24"/>
      <c r="H213" s="7"/>
      <c r="I213" s="7"/>
      <c r="K213" s="168"/>
    </row>
    <row r="214" spans="1:11" ht="15.75" customHeight="1" x14ac:dyDescent="0.25">
      <c r="A214" s="24"/>
      <c r="B214" s="174"/>
      <c r="C214" s="24"/>
      <c r="D214" s="24"/>
      <c r="E214" s="24"/>
      <c r="H214" s="7"/>
      <c r="I214" s="7"/>
      <c r="K214" s="168"/>
    </row>
    <row r="215" spans="1:11" ht="15.75" customHeight="1" x14ac:dyDescent="0.25">
      <c r="A215" s="24"/>
      <c r="B215" s="174"/>
      <c r="C215" s="24"/>
      <c r="D215" s="24"/>
      <c r="E215" s="24"/>
      <c r="H215" s="7"/>
      <c r="I215" s="7"/>
      <c r="K215" s="168"/>
    </row>
    <row r="216" spans="1:11" ht="15.75" customHeight="1" x14ac:dyDescent="0.25">
      <c r="A216" s="24"/>
      <c r="B216" s="174"/>
      <c r="C216" s="24"/>
      <c r="D216" s="24"/>
      <c r="E216" s="24"/>
      <c r="H216" s="7"/>
      <c r="I216" s="7"/>
      <c r="K216" s="168"/>
    </row>
    <row r="217" spans="1:11" ht="15.75" customHeight="1" x14ac:dyDescent="0.25">
      <c r="A217" s="24"/>
      <c r="B217" s="174"/>
      <c r="C217" s="24"/>
      <c r="D217" s="24"/>
      <c r="E217" s="24"/>
      <c r="H217" s="7"/>
      <c r="I217" s="7"/>
      <c r="K217" s="168"/>
    </row>
    <row r="218" spans="1:11" ht="15.75" customHeight="1" x14ac:dyDescent="0.25">
      <c r="A218" s="24"/>
      <c r="B218" s="174"/>
      <c r="C218" s="24"/>
      <c r="D218" s="24"/>
      <c r="E218" s="24"/>
      <c r="H218" s="7"/>
      <c r="I218" s="7"/>
      <c r="K218" s="168"/>
    </row>
    <row r="219" spans="1:11" ht="15.75" customHeight="1" x14ac:dyDescent="0.25">
      <c r="A219" s="24"/>
      <c r="B219" s="174"/>
      <c r="C219" s="24"/>
      <c r="D219" s="24"/>
      <c r="E219" s="24"/>
      <c r="H219" s="7"/>
      <c r="I219" s="7"/>
      <c r="K219" s="168"/>
    </row>
    <row r="220" spans="1:11" ht="15.75" customHeight="1" x14ac:dyDescent="0.25">
      <c r="A220" s="24"/>
      <c r="B220" s="174"/>
      <c r="C220" s="24"/>
      <c r="D220" s="24"/>
      <c r="E220" s="24"/>
      <c r="H220" s="7"/>
      <c r="I220" s="7"/>
      <c r="K220" s="168"/>
    </row>
    <row r="221" spans="1:11" ht="15.75" customHeight="1" x14ac:dyDescent="0.25">
      <c r="A221" s="24"/>
      <c r="B221" s="174"/>
      <c r="C221" s="24"/>
      <c r="D221" s="24"/>
      <c r="E221" s="24"/>
      <c r="H221" s="7"/>
      <c r="I221" s="7"/>
      <c r="K221" s="168"/>
    </row>
    <row r="222" spans="1:11" ht="15.75" customHeight="1" x14ac:dyDescent="0.25">
      <c r="A222" s="24"/>
      <c r="B222" s="174"/>
      <c r="C222" s="24"/>
      <c r="D222" s="24"/>
      <c r="E222" s="24"/>
      <c r="H222" s="7"/>
      <c r="I222" s="7"/>
      <c r="K222" s="168"/>
    </row>
    <row r="223" spans="1:11" ht="15.75" customHeight="1" x14ac:dyDescent="0.25">
      <c r="A223" s="24"/>
      <c r="B223" s="174"/>
      <c r="C223" s="24"/>
      <c r="D223" s="24"/>
      <c r="E223" s="24"/>
      <c r="H223" s="7"/>
      <c r="I223" s="7"/>
      <c r="K223" s="168"/>
    </row>
    <row r="224" spans="1:11" ht="15.75" customHeight="1" x14ac:dyDescent="0.25">
      <c r="A224" s="24"/>
      <c r="B224" s="174"/>
      <c r="C224" s="24"/>
      <c r="D224" s="24"/>
      <c r="E224" s="24"/>
      <c r="H224" s="7"/>
      <c r="I224" s="7"/>
      <c r="K224" s="168"/>
    </row>
    <row r="225" spans="1:11" ht="15.75" customHeight="1" x14ac:dyDescent="0.25">
      <c r="A225" s="24"/>
      <c r="B225" s="174"/>
      <c r="C225" s="24"/>
      <c r="D225" s="24"/>
      <c r="E225" s="24"/>
      <c r="H225" s="7"/>
      <c r="I225" s="7"/>
      <c r="K225" s="168"/>
    </row>
    <row r="226" spans="1:11" ht="15.75" customHeight="1" x14ac:dyDescent="0.25">
      <c r="A226" s="24"/>
      <c r="B226" s="174"/>
      <c r="C226" s="24"/>
      <c r="D226" s="24"/>
      <c r="E226" s="24"/>
      <c r="H226" s="7"/>
      <c r="I226" s="7"/>
      <c r="K226" s="168"/>
    </row>
    <row r="227" spans="1:11" ht="15.75" customHeight="1" x14ac:dyDescent="0.25">
      <c r="A227" s="24"/>
      <c r="B227" s="174"/>
      <c r="C227" s="24"/>
      <c r="D227" s="24"/>
      <c r="E227" s="24"/>
      <c r="H227" s="7"/>
      <c r="I227" s="7"/>
      <c r="K227" s="168"/>
    </row>
    <row r="228" spans="1:11" ht="15.75" customHeight="1" x14ac:dyDescent="0.25">
      <c r="A228" s="24"/>
      <c r="B228" s="174"/>
      <c r="C228" s="24"/>
      <c r="D228" s="24"/>
      <c r="E228" s="24"/>
      <c r="H228" s="7"/>
      <c r="I228" s="7"/>
      <c r="K228" s="168"/>
    </row>
    <row r="229" spans="1:11" ht="15.75" customHeight="1" x14ac:dyDescent="0.25">
      <c r="A229" s="24"/>
      <c r="B229" s="174"/>
      <c r="C229" s="24"/>
      <c r="D229" s="24"/>
      <c r="E229" s="24"/>
      <c r="H229" s="7"/>
      <c r="I229" s="7"/>
      <c r="K229" s="168"/>
    </row>
    <row r="230" spans="1:11" ht="15.75" customHeight="1" x14ac:dyDescent="0.25">
      <c r="A230" s="24"/>
      <c r="B230" s="174"/>
      <c r="C230" s="24"/>
      <c r="D230" s="24"/>
      <c r="E230" s="24"/>
      <c r="H230" s="7"/>
      <c r="I230" s="7"/>
      <c r="K230" s="168"/>
    </row>
    <row r="231" spans="1:11" ht="15.75" customHeight="1" x14ac:dyDescent="0.25">
      <c r="A231" s="24"/>
      <c r="B231" s="174"/>
      <c r="C231" s="24"/>
      <c r="D231" s="24"/>
      <c r="E231" s="24"/>
      <c r="H231" s="7"/>
      <c r="I231" s="7"/>
      <c r="K231" s="168"/>
    </row>
    <row r="232" spans="1:11" ht="15.75" customHeight="1" x14ac:dyDescent="0.25">
      <c r="A232" s="24"/>
      <c r="B232" s="174"/>
      <c r="C232" s="24"/>
      <c r="D232" s="24"/>
      <c r="E232" s="24"/>
      <c r="H232" s="7"/>
      <c r="I232" s="7"/>
      <c r="K232" s="168"/>
    </row>
    <row r="233" spans="1:11" ht="15.75" customHeight="1" x14ac:dyDescent="0.25">
      <c r="A233" s="24"/>
      <c r="B233" s="174"/>
      <c r="C233" s="24"/>
      <c r="D233" s="24"/>
      <c r="E233" s="24"/>
      <c r="H233" s="7"/>
      <c r="I233" s="7"/>
      <c r="K233" s="168"/>
    </row>
    <row r="234" spans="1:11" ht="15.75" customHeight="1" x14ac:dyDescent="0.25">
      <c r="A234" s="24"/>
      <c r="B234" s="174"/>
      <c r="C234" s="24"/>
      <c r="D234" s="24"/>
      <c r="E234" s="24"/>
      <c r="H234" s="7"/>
      <c r="I234" s="7"/>
      <c r="K234" s="168"/>
    </row>
    <row r="235" spans="1:11" ht="15.75" customHeight="1" x14ac:dyDescent="0.25">
      <c r="A235" s="24"/>
      <c r="B235" s="174"/>
      <c r="C235" s="24"/>
      <c r="D235" s="24"/>
      <c r="E235" s="24"/>
      <c r="H235" s="7"/>
      <c r="I235" s="7"/>
      <c r="K235" s="168"/>
    </row>
    <row r="236" spans="1:11" ht="15.75" customHeight="1" x14ac:dyDescent="0.25">
      <c r="A236" s="24"/>
      <c r="B236" s="174"/>
      <c r="C236" s="24"/>
      <c r="D236" s="24"/>
      <c r="E236" s="24"/>
      <c r="H236" s="7"/>
      <c r="I236" s="7"/>
      <c r="K236" s="168"/>
    </row>
    <row r="237" spans="1:11" ht="15.75" customHeight="1" x14ac:dyDescent="0.25">
      <c r="A237" s="24"/>
      <c r="B237" s="174"/>
      <c r="C237" s="24"/>
      <c r="D237" s="24"/>
      <c r="E237" s="24"/>
      <c r="H237" s="7"/>
      <c r="I237" s="7"/>
      <c r="K237" s="168"/>
    </row>
    <row r="238" spans="1:11" ht="15.75" customHeight="1" x14ac:dyDescent="0.25">
      <c r="A238" s="24"/>
      <c r="B238" s="174"/>
      <c r="C238" s="24"/>
      <c r="D238" s="24"/>
      <c r="E238" s="24"/>
      <c r="H238" s="7"/>
      <c r="I238" s="7"/>
      <c r="K238" s="168"/>
    </row>
    <row r="239" spans="1:11" ht="15.75" customHeight="1" x14ac:dyDescent="0.25">
      <c r="A239" s="24"/>
      <c r="B239" s="174"/>
      <c r="C239" s="24"/>
      <c r="D239" s="24"/>
      <c r="E239" s="24"/>
      <c r="H239" s="7"/>
      <c r="I239" s="7"/>
      <c r="K239" s="168"/>
    </row>
    <row r="240" spans="1:11" ht="15.75" customHeight="1" x14ac:dyDescent="0.25">
      <c r="A240" s="24"/>
      <c r="B240" s="174"/>
      <c r="C240" s="24"/>
      <c r="D240" s="24"/>
      <c r="E240" s="24"/>
      <c r="H240" s="7"/>
      <c r="I240" s="7"/>
      <c r="K240" s="168"/>
    </row>
    <row r="241" spans="1:11" ht="15.75" customHeight="1" x14ac:dyDescent="0.25">
      <c r="A241" s="24"/>
      <c r="B241" s="174"/>
      <c r="C241" s="24"/>
      <c r="D241" s="24"/>
      <c r="E241" s="24"/>
      <c r="H241" s="7"/>
      <c r="I241" s="7"/>
      <c r="K241" s="168"/>
    </row>
    <row r="242" spans="1:11" ht="15.75" customHeight="1" x14ac:dyDescent="0.25">
      <c r="A242" s="24"/>
      <c r="B242" s="174"/>
      <c r="C242" s="24"/>
      <c r="D242" s="24"/>
      <c r="E242" s="24"/>
      <c r="H242" s="7"/>
      <c r="I242" s="7"/>
      <c r="K242" s="168"/>
    </row>
    <row r="243" spans="1:11" ht="15.75" customHeight="1" x14ac:dyDescent="0.25">
      <c r="A243" s="24"/>
      <c r="B243" s="174"/>
      <c r="C243" s="24"/>
      <c r="D243" s="24"/>
      <c r="E243" s="24"/>
      <c r="H243" s="7"/>
      <c r="I243" s="7"/>
      <c r="K243" s="168"/>
    </row>
    <row r="244" spans="1:11" ht="15.75" customHeight="1" x14ac:dyDescent="0.25">
      <c r="A244" s="24"/>
      <c r="B244" s="174"/>
      <c r="C244" s="24"/>
      <c r="D244" s="24"/>
      <c r="E244" s="24"/>
      <c r="H244" s="7"/>
      <c r="I244" s="7"/>
      <c r="K244" s="168"/>
    </row>
    <row r="245" spans="1:11" ht="15.75" customHeight="1" x14ac:dyDescent="0.25">
      <c r="A245" s="24"/>
      <c r="B245" s="174"/>
      <c r="C245" s="24"/>
      <c r="D245" s="24"/>
      <c r="E245" s="24"/>
      <c r="H245" s="7"/>
      <c r="I245" s="7"/>
      <c r="K245" s="168"/>
    </row>
    <row r="246" spans="1:11" ht="15.75" customHeight="1" x14ac:dyDescent="0.25">
      <c r="A246" s="24"/>
      <c r="B246" s="174"/>
      <c r="C246" s="24"/>
      <c r="D246" s="24"/>
      <c r="E246" s="24"/>
      <c r="H246" s="7"/>
      <c r="I246" s="7"/>
      <c r="K246" s="168"/>
    </row>
    <row r="247" spans="1:11" ht="15.75" customHeight="1" x14ac:dyDescent="0.25">
      <c r="A247" s="24"/>
      <c r="B247" s="174"/>
      <c r="C247" s="24"/>
      <c r="D247" s="24"/>
      <c r="E247" s="24"/>
      <c r="H247" s="7"/>
      <c r="I247" s="7"/>
      <c r="K247" s="168"/>
    </row>
    <row r="248" spans="1:11" ht="15.75" customHeight="1" x14ac:dyDescent="0.25">
      <c r="A248" s="24"/>
      <c r="B248" s="174"/>
      <c r="C248" s="24"/>
      <c r="D248" s="24"/>
      <c r="E248" s="24"/>
      <c r="H248" s="7"/>
      <c r="I248" s="7"/>
      <c r="K248" s="168"/>
    </row>
    <row r="249" spans="1:11" ht="15.75" customHeight="1" x14ac:dyDescent="0.25">
      <c r="A249" s="24"/>
      <c r="B249" s="174"/>
      <c r="C249" s="24"/>
      <c r="D249" s="24"/>
      <c r="E249" s="24"/>
      <c r="H249" s="7"/>
      <c r="I249" s="7"/>
      <c r="K249" s="168"/>
    </row>
    <row r="250" spans="1:11" ht="15.75" customHeight="1" x14ac:dyDescent="0.25">
      <c r="A250" s="24"/>
      <c r="B250" s="174"/>
      <c r="C250" s="24"/>
      <c r="D250" s="24"/>
      <c r="E250" s="24"/>
      <c r="H250" s="7"/>
      <c r="I250" s="7"/>
      <c r="K250" s="168"/>
    </row>
    <row r="251" spans="1:11" ht="15.75" customHeight="1" x14ac:dyDescent="0.25">
      <c r="A251" s="24"/>
      <c r="B251" s="174"/>
      <c r="C251" s="24"/>
      <c r="D251" s="24"/>
      <c r="E251" s="24"/>
      <c r="H251" s="7"/>
      <c r="I251" s="7"/>
      <c r="K251" s="168"/>
    </row>
    <row r="252" spans="1:11" ht="15.75" customHeight="1" x14ac:dyDescent="0.25">
      <c r="A252" s="24"/>
      <c r="B252" s="174"/>
      <c r="C252" s="24"/>
      <c r="D252" s="24"/>
      <c r="E252" s="24"/>
      <c r="H252" s="7"/>
      <c r="I252" s="7"/>
      <c r="K252" s="168"/>
    </row>
    <row r="253" spans="1:11" ht="15.75" customHeight="1" x14ac:dyDescent="0.25">
      <c r="A253" s="24"/>
      <c r="B253" s="174"/>
      <c r="C253" s="24"/>
      <c r="D253" s="24"/>
      <c r="E253" s="24"/>
      <c r="H253" s="7"/>
      <c r="I253" s="7"/>
      <c r="K253" s="168"/>
    </row>
    <row r="254" spans="1:11" ht="15.75" customHeight="1" x14ac:dyDescent="0.25">
      <c r="A254" s="24"/>
      <c r="B254" s="174"/>
      <c r="C254" s="24"/>
      <c r="D254" s="24"/>
      <c r="E254" s="24"/>
      <c r="H254" s="7"/>
      <c r="I254" s="7"/>
      <c r="K254" s="168"/>
    </row>
    <row r="255" spans="1:11" ht="15.75" customHeight="1" x14ac:dyDescent="0.25">
      <c r="A255" s="24"/>
      <c r="B255" s="174"/>
      <c r="C255" s="24"/>
      <c r="D255" s="24"/>
      <c r="E255" s="24"/>
      <c r="H255" s="7"/>
      <c r="I255" s="7"/>
      <c r="K255" s="168"/>
    </row>
    <row r="256" spans="1:11" ht="15.75" customHeight="1" x14ac:dyDescent="0.25">
      <c r="A256" s="24"/>
      <c r="B256" s="174"/>
      <c r="C256" s="24"/>
      <c r="D256" s="24"/>
      <c r="E256" s="24"/>
      <c r="H256" s="7"/>
      <c r="I256" s="7"/>
      <c r="K256" s="168"/>
    </row>
    <row r="257" spans="1:11" ht="15.75" customHeight="1" x14ac:dyDescent="0.25">
      <c r="A257" s="24"/>
      <c r="B257" s="174"/>
      <c r="C257" s="24"/>
      <c r="D257" s="24"/>
      <c r="E257" s="24"/>
      <c r="H257" s="7"/>
      <c r="I257" s="7"/>
      <c r="K257" s="168"/>
    </row>
    <row r="258" spans="1:11" ht="15.75" customHeight="1" x14ac:dyDescent="0.25">
      <c r="A258" s="24"/>
      <c r="B258" s="174"/>
      <c r="C258" s="24"/>
      <c r="D258" s="24"/>
      <c r="E258" s="24"/>
      <c r="H258" s="7"/>
      <c r="I258" s="7"/>
      <c r="K258" s="168"/>
    </row>
    <row r="259" spans="1:11" ht="15.75" customHeight="1" x14ac:dyDescent="0.25">
      <c r="A259" s="24"/>
      <c r="B259" s="174"/>
      <c r="C259" s="24"/>
      <c r="D259" s="24"/>
      <c r="E259" s="24"/>
      <c r="H259" s="7"/>
      <c r="I259" s="7"/>
      <c r="K259" s="168"/>
    </row>
    <row r="260" spans="1:11" ht="15.75" customHeight="1" x14ac:dyDescent="0.25">
      <c r="A260" s="24"/>
      <c r="B260" s="174"/>
      <c r="C260" s="24"/>
      <c r="D260" s="24"/>
      <c r="E260" s="24"/>
      <c r="H260" s="7"/>
      <c r="I260" s="7"/>
      <c r="K260" s="168"/>
    </row>
    <row r="261" spans="1:11" ht="15.75" customHeight="1" x14ac:dyDescent="0.25">
      <c r="A261" s="24"/>
      <c r="B261" s="174"/>
      <c r="C261" s="24"/>
      <c r="D261" s="24"/>
      <c r="E261" s="24"/>
      <c r="H261" s="7"/>
      <c r="I261" s="7"/>
      <c r="K261" s="168"/>
    </row>
    <row r="262" spans="1:11" ht="15.75" customHeight="1" x14ac:dyDescent="0.25">
      <c r="A262" s="24"/>
      <c r="B262" s="174"/>
      <c r="C262" s="24"/>
      <c r="D262" s="24"/>
      <c r="E262" s="24"/>
      <c r="H262" s="7"/>
      <c r="I262" s="7"/>
      <c r="K262" s="168"/>
    </row>
    <row r="263" spans="1:11" ht="15.75" customHeight="1" x14ac:dyDescent="0.25">
      <c r="A263" s="24"/>
      <c r="B263" s="174"/>
      <c r="C263" s="24"/>
      <c r="D263" s="24"/>
      <c r="E263" s="24"/>
      <c r="H263" s="7"/>
      <c r="I263" s="7"/>
      <c r="K263" s="168"/>
    </row>
    <row r="264" spans="1:11" ht="15.75" customHeight="1" x14ac:dyDescent="0.25">
      <c r="A264" s="24"/>
      <c r="B264" s="174"/>
      <c r="C264" s="24"/>
      <c r="D264" s="24"/>
      <c r="E264" s="24"/>
      <c r="H264" s="7"/>
      <c r="I264" s="7"/>
      <c r="K264" s="168"/>
    </row>
    <row r="265" spans="1:11" ht="15.75" customHeight="1" x14ac:dyDescent="0.25">
      <c r="A265" s="24"/>
      <c r="B265" s="174"/>
      <c r="C265" s="24"/>
      <c r="D265" s="24"/>
      <c r="E265" s="24"/>
      <c r="H265" s="7"/>
      <c r="I265" s="7"/>
      <c r="K265" s="168"/>
    </row>
    <row r="266" spans="1:11" ht="15.75" customHeight="1" x14ac:dyDescent="0.25">
      <c r="A266" s="24"/>
      <c r="B266" s="174"/>
      <c r="C266" s="24"/>
      <c r="D266" s="24"/>
      <c r="E266" s="24"/>
      <c r="H266" s="7"/>
      <c r="I266" s="7"/>
      <c r="K266" s="168"/>
    </row>
    <row r="267" spans="1:11" ht="15.75" customHeight="1" x14ac:dyDescent="0.25">
      <c r="A267" s="24"/>
      <c r="B267" s="174"/>
      <c r="C267" s="24"/>
      <c r="D267" s="24"/>
      <c r="E267" s="24"/>
      <c r="H267" s="7"/>
      <c r="I267" s="7"/>
      <c r="K267" s="168"/>
    </row>
    <row r="268" spans="1:11" ht="15.75" customHeight="1" x14ac:dyDescent="0.25">
      <c r="A268" s="24"/>
      <c r="B268" s="174"/>
      <c r="C268" s="24"/>
      <c r="D268" s="24"/>
      <c r="E268" s="24"/>
      <c r="H268" s="7"/>
      <c r="I268" s="7"/>
      <c r="K268" s="168"/>
    </row>
    <row r="269" spans="1:11" ht="15.75" customHeight="1" x14ac:dyDescent="0.25">
      <c r="A269" s="24"/>
      <c r="B269" s="174"/>
      <c r="C269" s="24"/>
      <c r="D269" s="24"/>
      <c r="E269" s="24"/>
      <c r="H269" s="7"/>
      <c r="I269" s="7"/>
      <c r="K269" s="168"/>
    </row>
    <row r="270" spans="1:11" ht="15.75" customHeight="1" x14ac:dyDescent="0.25">
      <c r="A270" s="24"/>
      <c r="B270" s="174"/>
      <c r="C270" s="24"/>
      <c r="D270" s="24"/>
      <c r="E270" s="24"/>
      <c r="H270" s="7"/>
      <c r="I270" s="7"/>
      <c r="K270" s="168"/>
    </row>
    <row r="271" spans="1:11" ht="15.75" customHeight="1" x14ac:dyDescent="0.25">
      <c r="A271" s="24"/>
      <c r="B271" s="174"/>
      <c r="C271" s="24"/>
      <c r="D271" s="24"/>
      <c r="E271" s="24"/>
      <c r="H271" s="7"/>
      <c r="I271" s="7"/>
      <c r="K271" s="168"/>
    </row>
    <row r="272" spans="1:11" ht="15.75" customHeight="1" x14ac:dyDescent="0.25">
      <c r="A272" s="24"/>
      <c r="B272" s="174"/>
      <c r="C272" s="24"/>
      <c r="D272" s="24"/>
      <c r="E272" s="24"/>
      <c r="H272" s="7"/>
      <c r="I272" s="7"/>
      <c r="K272" s="168"/>
    </row>
    <row r="273" spans="1:11" ht="15.75" customHeight="1" x14ac:dyDescent="0.25">
      <c r="A273" s="24"/>
      <c r="B273" s="174"/>
      <c r="C273" s="24"/>
      <c r="D273" s="24"/>
      <c r="E273" s="24"/>
      <c r="H273" s="7"/>
      <c r="I273" s="7"/>
      <c r="K273" s="168"/>
    </row>
    <row r="274" spans="1:11" ht="15.75" customHeight="1" x14ac:dyDescent="0.25">
      <c r="A274" s="24"/>
      <c r="B274" s="174"/>
      <c r="C274" s="24"/>
      <c r="D274" s="24"/>
      <c r="E274" s="24"/>
      <c r="H274" s="7"/>
      <c r="I274" s="7"/>
      <c r="K274" s="168"/>
    </row>
    <row r="275" spans="1:11" ht="15.75" customHeight="1" x14ac:dyDescent="0.25">
      <c r="A275" s="24"/>
      <c r="B275" s="174"/>
      <c r="C275" s="24"/>
      <c r="D275" s="24"/>
      <c r="E275" s="24"/>
      <c r="H275" s="7"/>
      <c r="I275" s="7"/>
      <c r="K275" s="168"/>
    </row>
    <row r="276" spans="1:11" ht="15.75" customHeight="1" x14ac:dyDescent="0.25">
      <c r="K276" s="168"/>
    </row>
    <row r="277" spans="1:11" ht="15.75" customHeight="1" x14ac:dyDescent="0.25">
      <c r="K277" s="168"/>
    </row>
    <row r="278" spans="1:11" ht="15.75" customHeight="1" x14ac:dyDescent="0.25">
      <c r="K278" s="168"/>
    </row>
    <row r="279" spans="1:11" ht="15.75" customHeight="1" x14ac:dyDescent="0.25">
      <c r="K279" s="168"/>
    </row>
    <row r="280" spans="1:11" ht="15.75" customHeight="1" x14ac:dyDescent="0.25">
      <c r="K280" s="168"/>
    </row>
    <row r="281" spans="1:11" ht="15.75" customHeight="1" x14ac:dyDescent="0.25">
      <c r="K281" s="168"/>
    </row>
    <row r="282" spans="1:11" ht="15.75" customHeight="1" x14ac:dyDescent="0.25">
      <c r="K282" s="168"/>
    </row>
    <row r="283" spans="1:11" ht="15.75" customHeight="1" x14ac:dyDescent="0.25">
      <c r="K283" s="168"/>
    </row>
    <row r="284" spans="1:11" ht="15.75" customHeight="1" x14ac:dyDescent="0.25">
      <c r="K284" s="168"/>
    </row>
    <row r="285" spans="1:11" ht="15.75" customHeight="1" x14ac:dyDescent="0.25">
      <c r="K285" s="168"/>
    </row>
    <row r="286" spans="1:11" ht="15.75" customHeight="1" x14ac:dyDescent="0.25">
      <c r="K286" s="168"/>
    </row>
    <row r="287" spans="1:11" ht="15.75" customHeight="1" x14ac:dyDescent="0.25">
      <c r="K287" s="168"/>
    </row>
    <row r="288" spans="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row r="990" spans="11:11" ht="15.75" customHeight="1" x14ac:dyDescent="0.25">
      <c r="K990" s="168"/>
    </row>
    <row r="991" spans="11:11" ht="15.75" customHeight="1" x14ac:dyDescent="0.25">
      <c r="K991" s="168"/>
    </row>
    <row r="992" spans="11:11" ht="15.75" customHeight="1" x14ac:dyDescent="0.25">
      <c r="K992" s="168"/>
    </row>
    <row r="993" spans="11:11" ht="15.75" customHeight="1" x14ac:dyDescent="0.25">
      <c r="K993" s="168"/>
    </row>
    <row r="994" spans="11:11" ht="15.75" customHeight="1" x14ac:dyDescent="0.25">
      <c r="K994" s="168"/>
    </row>
    <row r="995" spans="11:11" ht="15.75" customHeight="1" x14ac:dyDescent="0.25">
      <c r="K995" s="168"/>
    </row>
    <row r="996" spans="11:11" ht="15.75" customHeight="1" x14ac:dyDescent="0.25">
      <c r="K996" s="168"/>
    </row>
    <row r="997" spans="11:11" ht="15.75" customHeight="1" x14ac:dyDescent="0.25">
      <c r="K997" s="168"/>
    </row>
    <row r="998" spans="11:11" ht="15.75" customHeight="1" x14ac:dyDescent="0.25">
      <c r="K998" s="168"/>
    </row>
    <row r="999" spans="11:11" ht="15.75" customHeight="1" x14ac:dyDescent="0.25">
      <c r="K999" s="168"/>
    </row>
    <row r="1000" spans="11:11" ht="15.75" customHeight="1" x14ac:dyDescent="0.25">
      <c r="K1000" s="168"/>
    </row>
    <row r="1001" spans="11:11" ht="15.75" customHeight="1" x14ac:dyDescent="0.25">
      <c r="K1001" s="168"/>
    </row>
    <row r="1002" spans="11:11" ht="15.75" customHeight="1" x14ac:dyDescent="0.25">
      <c r="K1002" s="168"/>
    </row>
    <row r="1003" spans="11:11" ht="15.75" customHeight="1" x14ac:dyDescent="0.25">
      <c r="K1003" s="168"/>
    </row>
    <row r="1004" spans="11:11" ht="15.75" customHeight="1" x14ac:dyDescent="0.25">
      <c r="K1004" s="168"/>
    </row>
    <row r="1005" spans="11:11" ht="15.75" customHeight="1" x14ac:dyDescent="0.25">
      <c r="K1005"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04"/>
  <sheetViews>
    <sheetView view="pageBreakPreview" zoomScale="130" zoomScaleNormal="100" zoomScaleSheetLayoutView="130" workbookViewId="0">
      <selection activeCell="A16" sqref="A16"/>
    </sheetView>
  </sheetViews>
  <sheetFormatPr defaultColWidth="14.42578125" defaultRowHeight="15" customHeight="1" x14ac:dyDescent="0.25"/>
  <cols>
    <col min="1" max="1" width="72.7109375" customWidth="1"/>
    <col min="2" max="2" width="16.140625" customWidth="1"/>
    <col min="3" max="6" width="16.85546875" hidden="1" customWidth="1"/>
    <col min="7" max="7" width="16.85546875" customWidth="1"/>
    <col min="8" max="10" width="10.28515625" customWidth="1"/>
    <col min="11" max="11" width="13.28515625" customWidth="1"/>
    <col min="12" max="26" width="10.28515625" customWidth="1"/>
  </cols>
  <sheetData>
    <row r="1" spans="1:26" ht="15.75" customHeight="1" x14ac:dyDescent="0.25">
      <c r="A1" s="9"/>
      <c r="B1" s="104"/>
      <c r="C1" s="105"/>
      <c r="D1" s="105"/>
      <c r="E1" s="105"/>
      <c r="F1" s="10"/>
      <c r="G1" s="180"/>
      <c r="H1" s="15"/>
      <c r="I1" s="15"/>
      <c r="J1" s="15"/>
      <c r="K1" s="15"/>
      <c r="L1" s="15"/>
      <c r="M1" s="15"/>
      <c r="N1" s="15"/>
      <c r="O1" s="15"/>
      <c r="P1" s="15"/>
      <c r="Q1" s="15"/>
      <c r="R1" s="15"/>
      <c r="S1" s="15"/>
      <c r="T1" s="15"/>
      <c r="U1" s="15"/>
      <c r="V1" s="15"/>
      <c r="W1" s="15"/>
      <c r="X1" s="15"/>
      <c r="Y1" s="15"/>
      <c r="Z1" s="15"/>
    </row>
    <row r="2" spans="1:26" ht="15.75" customHeight="1" x14ac:dyDescent="0.25">
      <c r="A2" s="17" t="s">
        <v>489</v>
      </c>
      <c r="B2" s="25"/>
      <c r="C2" s="24"/>
      <c r="D2" s="24"/>
      <c r="E2" s="24"/>
      <c r="F2" s="15"/>
      <c r="G2" s="181"/>
      <c r="H2" s="15"/>
      <c r="I2" s="15"/>
      <c r="J2" s="15"/>
      <c r="K2" s="15"/>
      <c r="L2" s="15"/>
      <c r="M2" s="15"/>
      <c r="N2" s="15"/>
      <c r="O2" s="15"/>
      <c r="P2" s="15"/>
      <c r="Q2" s="15"/>
      <c r="R2" s="15"/>
      <c r="S2" s="15"/>
      <c r="T2" s="15"/>
      <c r="U2" s="15"/>
      <c r="V2" s="15"/>
      <c r="W2" s="15"/>
      <c r="X2" s="15"/>
      <c r="Y2" s="15"/>
      <c r="Z2" s="15"/>
    </row>
    <row r="3" spans="1:26" ht="15.75" customHeight="1" x14ac:dyDescent="0.25">
      <c r="A3" s="17"/>
      <c r="B3" s="25"/>
      <c r="C3" s="24"/>
      <c r="D3" s="24"/>
      <c r="E3" s="24"/>
      <c r="F3" s="15"/>
      <c r="G3" s="181"/>
      <c r="H3" s="15"/>
      <c r="I3" s="15"/>
      <c r="J3" s="15"/>
      <c r="K3" s="15"/>
      <c r="L3" s="15"/>
      <c r="M3" s="15"/>
      <c r="N3" s="15"/>
      <c r="O3" s="15"/>
      <c r="P3" s="15"/>
      <c r="Q3" s="15"/>
      <c r="R3" s="15"/>
      <c r="S3" s="15"/>
      <c r="T3" s="15"/>
      <c r="U3" s="15"/>
      <c r="V3" s="15"/>
      <c r="W3" s="15"/>
      <c r="X3" s="15"/>
      <c r="Y3" s="15"/>
      <c r="Z3" s="15"/>
    </row>
    <row r="4" spans="1:26" ht="15.75" customHeight="1" x14ac:dyDescent="0.25">
      <c r="A4" s="108" t="s">
        <v>1475</v>
      </c>
      <c r="B4" s="25"/>
      <c r="C4" s="26"/>
      <c r="D4" s="26"/>
      <c r="E4" s="26"/>
      <c r="F4" s="14"/>
      <c r="G4" s="181"/>
      <c r="H4" s="15"/>
      <c r="I4" s="15"/>
      <c r="J4" s="15"/>
      <c r="K4" s="15"/>
      <c r="L4" s="15"/>
      <c r="M4" s="15"/>
      <c r="N4" s="15"/>
      <c r="O4" s="15"/>
      <c r="P4" s="15"/>
      <c r="Q4" s="15"/>
      <c r="R4" s="15"/>
      <c r="S4" s="15"/>
      <c r="T4" s="15"/>
      <c r="U4" s="15"/>
      <c r="V4" s="15"/>
      <c r="W4" s="15"/>
      <c r="X4" s="15"/>
      <c r="Y4" s="15"/>
      <c r="Z4" s="15"/>
    </row>
    <row r="5" spans="1:26" ht="15.75" customHeight="1" x14ac:dyDescent="0.25">
      <c r="A5" s="108"/>
      <c r="B5" s="25"/>
      <c r="C5" s="26"/>
      <c r="D5" s="26"/>
      <c r="E5" s="26"/>
      <c r="F5" s="14"/>
      <c r="G5" s="181"/>
      <c r="H5" s="15"/>
      <c r="I5" s="15"/>
      <c r="J5" s="15"/>
      <c r="K5" s="15"/>
      <c r="L5" s="15"/>
      <c r="M5" s="15"/>
      <c r="N5" s="15"/>
      <c r="O5" s="15"/>
      <c r="P5" s="15"/>
      <c r="Q5" s="15"/>
      <c r="R5" s="15"/>
      <c r="S5" s="15"/>
      <c r="T5" s="15"/>
      <c r="U5" s="15"/>
      <c r="V5" s="15"/>
      <c r="W5" s="15"/>
      <c r="X5" s="15"/>
      <c r="Y5" s="15"/>
      <c r="Z5" s="15"/>
    </row>
    <row r="6" spans="1:26" ht="15.75" customHeight="1" x14ac:dyDescent="0.25">
      <c r="A6" s="44"/>
      <c r="B6" s="25"/>
      <c r="C6" s="26"/>
      <c r="D6" s="26"/>
      <c r="E6" s="26"/>
      <c r="F6" s="14"/>
      <c r="G6" s="181"/>
      <c r="H6" s="15"/>
      <c r="I6" s="15"/>
      <c r="J6" s="15"/>
      <c r="K6" s="15"/>
      <c r="L6" s="15"/>
      <c r="M6" s="15"/>
      <c r="N6" s="15"/>
      <c r="O6" s="15"/>
      <c r="P6" s="15"/>
      <c r="Q6" s="15"/>
      <c r="R6" s="15"/>
      <c r="S6" s="15"/>
      <c r="T6" s="15"/>
      <c r="U6" s="15"/>
      <c r="V6" s="15"/>
      <c r="W6" s="15"/>
      <c r="X6" s="15"/>
      <c r="Y6" s="15"/>
      <c r="Z6" s="15"/>
    </row>
    <row r="7" spans="1:26" ht="15.75" customHeight="1" x14ac:dyDescent="0.25">
      <c r="A7" s="865" t="s">
        <v>352</v>
      </c>
      <c r="B7" s="866"/>
      <c r="C7" s="866"/>
      <c r="D7" s="866"/>
      <c r="E7" s="866"/>
      <c r="F7" s="866"/>
      <c r="G7" s="867"/>
      <c r="H7" s="15"/>
      <c r="I7" s="15"/>
      <c r="J7" s="15"/>
      <c r="K7" s="15"/>
      <c r="L7" s="15"/>
      <c r="M7" s="15"/>
      <c r="N7" s="15"/>
      <c r="O7" s="15"/>
      <c r="P7" s="15"/>
      <c r="Q7" s="15"/>
      <c r="R7" s="15"/>
      <c r="S7" s="15"/>
      <c r="T7" s="15"/>
      <c r="U7" s="15"/>
      <c r="V7" s="15"/>
      <c r="W7" s="15"/>
      <c r="X7" s="15"/>
      <c r="Y7" s="15"/>
      <c r="Z7" s="15"/>
    </row>
    <row r="8" spans="1:26" ht="15.75" customHeight="1" x14ac:dyDescent="0.25">
      <c r="A8" s="868" t="s">
        <v>1194</v>
      </c>
      <c r="B8" s="857" t="s">
        <v>354</v>
      </c>
      <c r="C8" s="870" t="s">
        <v>355</v>
      </c>
      <c r="D8" s="872" t="s">
        <v>356</v>
      </c>
      <c r="E8" s="873"/>
      <c r="F8" s="874"/>
      <c r="G8" s="857" t="s">
        <v>357</v>
      </c>
      <c r="H8" s="15"/>
      <c r="I8" s="15"/>
      <c r="J8" s="15"/>
      <c r="K8" s="15"/>
      <c r="L8" s="15"/>
      <c r="M8" s="15"/>
      <c r="N8" s="15"/>
      <c r="O8" s="15"/>
      <c r="P8" s="15"/>
      <c r="Q8" s="15"/>
      <c r="R8" s="15"/>
      <c r="S8" s="15"/>
      <c r="T8" s="15"/>
      <c r="U8" s="15"/>
      <c r="V8" s="15"/>
      <c r="W8" s="15"/>
      <c r="X8" s="15"/>
      <c r="Y8" s="15"/>
      <c r="Z8" s="15"/>
    </row>
    <row r="9" spans="1:26" ht="15.75" customHeight="1" x14ac:dyDescent="0.25">
      <c r="A9" s="858"/>
      <c r="B9" s="858"/>
      <c r="C9" s="871"/>
      <c r="D9" s="28" t="s">
        <v>358</v>
      </c>
      <c r="E9" s="29" t="s">
        <v>359</v>
      </c>
      <c r="F9" s="875" t="s">
        <v>360</v>
      </c>
      <c r="G9" s="858"/>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60"/>
      <c r="G10" s="442" t="s">
        <v>2717</v>
      </c>
      <c r="H10" s="15"/>
      <c r="I10" s="15"/>
      <c r="J10" s="15"/>
      <c r="K10" s="15"/>
      <c r="L10" s="15"/>
      <c r="M10" s="15"/>
      <c r="N10" s="15"/>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17" t="s">
        <v>364</v>
      </c>
      <c r="B12" s="172"/>
      <c r="C12" s="42"/>
      <c r="D12" s="42"/>
      <c r="E12" s="42"/>
      <c r="F12" s="42"/>
      <c r="G12" s="42"/>
      <c r="H12" s="114"/>
      <c r="I12" s="114"/>
      <c r="J12" s="114"/>
      <c r="K12" s="114"/>
      <c r="L12" s="114"/>
      <c r="M12" s="114"/>
      <c r="N12" s="114"/>
      <c r="O12" s="114"/>
      <c r="P12" s="114"/>
      <c r="Q12" s="114"/>
      <c r="R12" s="114"/>
      <c r="S12" s="114"/>
      <c r="T12" s="114"/>
      <c r="U12" s="114"/>
      <c r="V12" s="114"/>
      <c r="W12" s="114"/>
      <c r="X12" s="114"/>
      <c r="Y12" s="114"/>
      <c r="Z12" s="114"/>
    </row>
    <row r="13" spans="1:26" ht="15.75" customHeight="1" x14ac:dyDescent="0.25">
      <c r="A13" s="42" t="s">
        <v>1481</v>
      </c>
      <c r="B13" s="199"/>
      <c r="C13" s="41"/>
      <c r="D13" s="41"/>
      <c r="E13" s="20"/>
      <c r="F13" s="120"/>
      <c r="G13" s="49"/>
      <c r="H13" s="114"/>
      <c r="I13" s="114"/>
      <c r="J13" s="114"/>
      <c r="K13" s="114"/>
      <c r="L13" s="114"/>
      <c r="M13" s="114"/>
      <c r="N13" s="114"/>
      <c r="O13" s="114"/>
      <c r="P13" s="114"/>
      <c r="Q13" s="114"/>
      <c r="R13" s="114"/>
      <c r="S13" s="114"/>
      <c r="T13" s="114"/>
      <c r="U13" s="114"/>
      <c r="V13" s="114"/>
      <c r="W13" s="114"/>
      <c r="X13" s="114"/>
      <c r="Y13" s="114"/>
      <c r="Z13" s="114"/>
    </row>
    <row r="14" spans="1:26" ht="15.75" customHeight="1" x14ac:dyDescent="0.25">
      <c r="A14" s="17" t="s">
        <v>499</v>
      </c>
      <c r="B14" s="41"/>
      <c r="C14" s="43"/>
      <c r="D14" s="43"/>
      <c r="E14" s="91"/>
      <c r="F14" s="43"/>
      <c r="G14" s="440"/>
      <c r="H14" s="114"/>
      <c r="I14" s="114"/>
      <c r="J14" s="114"/>
      <c r="K14" s="114"/>
      <c r="L14" s="114"/>
      <c r="M14" s="114"/>
      <c r="N14" s="114"/>
      <c r="O14" s="114"/>
      <c r="P14" s="114"/>
      <c r="Q14" s="114"/>
      <c r="R14" s="114"/>
      <c r="S14" s="114"/>
      <c r="T14" s="114"/>
      <c r="U14" s="114"/>
      <c r="V14" s="114"/>
      <c r="W14" s="114"/>
      <c r="X14" s="114"/>
      <c r="Y14" s="114"/>
      <c r="Z14" s="114"/>
    </row>
    <row r="15" spans="1:26" ht="15.75" customHeight="1" x14ac:dyDescent="0.25">
      <c r="A15" s="44" t="s">
        <v>398</v>
      </c>
      <c r="B15" s="41" t="s">
        <v>195</v>
      </c>
      <c r="C15" s="43">
        <v>0</v>
      </c>
      <c r="D15" s="43">
        <v>0</v>
      </c>
      <c r="E15" s="43">
        <f t="shared" ref="E15:E16" si="0">F15-D15</f>
        <v>0</v>
      </c>
      <c r="F15" s="43">
        <v>0</v>
      </c>
      <c r="G15" s="440">
        <v>16717</v>
      </c>
      <c r="H15" s="14"/>
      <c r="I15" s="14"/>
      <c r="J15" s="15"/>
      <c r="K15" s="167"/>
      <c r="L15" s="15"/>
      <c r="M15" s="15"/>
      <c r="N15" s="15"/>
      <c r="O15" s="15"/>
      <c r="P15" s="15"/>
      <c r="Q15" s="15"/>
      <c r="R15" s="15"/>
      <c r="S15" s="15"/>
      <c r="T15" s="15"/>
      <c r="U15" s="15"/>
      <c r="V15" s="15"/>
      <c r="W15" s="15"/>
      <c r="X15" s="15"/>
      <c r="Y15" s="15"/>
      <c r="Z15" s="15"/>
    </row>
    <row r="16" spans="1:26" ht="15.75" customHeight="1" x14ac:dyDescent="0.25">
      <c r="A16" s="96" t="s">
        <v>402</v>
      </c>
      <c r="B16" s="41" t="s">
        <v>225</v>
      </c>
      <c r="C16" s="43">
        <v>29800</v>
      </c>
      <c r="D16" s="43">
        <v>0</v>
      </c>
      <c r="E16" s="91">
        <f t="shared" si="0"/>
        <v>0</v>
      </c>
      <c r="F16" s="43">
        <v>0</v>
      </c>
      <c r="G16" s="440">
        <v>59033</v>
      </c>
      <c r="H16" s="114"/>
      <c r="I16" s="114"/>
      <c r="J16" s="114"/>
      <c r="K16" s="114"/>
      <c r="L16" s="114"/>
      <c r="M16" s="114"/>
      <c r="N16" s="114"/>
      <c r="O16" s="114"/>
      <c r="P16" s="114"/>
      <c r="Q16" s="114"/>
      <c r="R16" s="114"/>
      <c r="S16" s="114"/>
      <c r="T16" s="114"/>
      <c r="U16" s="114"/>
      <c r="V16" s="114"/>
      <c r="W16" s="114"/>
      <c r="X16" s="114"/>
      <c r="Y16" s="114"/>
      <c r="Z16" s="114"/>
    </row>
    <row r="17" spans="1:26" ht="15.75" customHeight="1" x14ac:dyDescent="0.25">
      <c r="A17" s="17" t="s">
        <v>424</v>
      </c>
      <c r="B17" s="41"/>
      <c r="C17" s="43"/>
      <c r="D17" s="43"/>
      <c r="E17" s="91"/>
      <c r="F17" s="43"/>
      <c r="G17" s="440"/>
      <c r="H17" s="114"/>
      <c r="I17" s="114"/>
      <c r="J17" s="114"/>
      <c r="K17" s="114"/>
      <c r="L17" s="114"/>
      <c r="M17" s="114"/>
      <c r="N17" s="114"/>
      <c r="O17" s="114"/>
      <c r="P17" s="114"/>
      <c r="Q17" s="114"/>
      <c r="R17" s="114"/>
      <c r="S17" s="114"/>
      <c r="T17" s="114"/>
      <c r="U17" s="114"/>
      <c r="V17" s="114"/>
      <c r="W17" s="114"/>
      <c r="X17" s="114"/>
      <c r="Y17" s="114"/>
      <c r="Z17" s="114"/>
    </row>
    <row r="18" spans="1:26" ht="15.75" customHeight="1" x14ac:dyDescent="0.25">
      <c r="A18" s="44" t="s">
        <v>424</v>
      </c>
      <c r="B18" s="41" t="s">
        <v>335</v>
      </c>
      <c r="C18" s="43">
        <v>513128</v>
      </c>
      <c r="D18" s="43">
        <v>221087.18</v>
      </c>
      <c r="E18" s="91">
        <f>F18-D18</f>
        <v>343392.82</v>
      </c>
      <c r="F18" s="43">
        <v>564480</v>
      </c>
      <c r="G18" s="440">
        <v>1073952</v>
      </c>
      <c r="H18" s="114"/>
      <c r="I18" s="114"/>
      <c r="J18" s="114"/>
      <c r="K18" s="114"/>
      <c r="L18" s="114"/>
      <c r="M18" s="114"/>
      <c r="N18" s="114"/>
      <c r="O18" s="114"/>
      <c r="P18" s="114"/>
      <c r="Q18" s="114"/>
      <c r="R18" s="114"/>
      <c r="S18" s="114"/>
      <c r="T18" s="114"/>
      <c r="U18" s="114"/>
      <c r="V18" s="114"/>
      <c r="W18" s="114"/>
      <c r="X18" s="114"/>
      <c r="Y18" s="114"/>
      <c r="Z18" s="114"/>
    </row>
    <row r="19" spans="1:26" ht="15.75" customHeight="1" x14ac:dyDescent="0.25">
      <c r="A19" s="17" t="s">
        <v>1476</v>
      </c>
      <c r="B19" s="41"/>
      <c r="C19" s="43"/>
      <c r="D19" s="43"/>
      <c r="E19" s="43"/>
      <c r="F19" s="43"/>
      <c r="G19" s="494"/>
      <c r="H19" s="14"/>
      <c r="I19" s="14"/>
      <c r="J19" s="14"/>
      <c r="K19" s="167"/>
      <c r="L19" s="15"/>
      <c r="M19" s="15"/>
      <c r="N19" s="15"/>
      <c r="O19" s="15"/>
      <c r="P19" s="15"/>
      <c r="Q19" s="15"/>
      <c r="R19" s="15"/>
      <c r="S19" s="15"/>
      <c r="T19" s="15"/>
      <c r="U19" s="15"/>
      <c r="V19" s="15"/>
      <c r="W19" s="15"/>
      <c r="X19" s="15"/>
      <c r="Y19" s="15"/>
      <c r="Z19" s="15"/>
    </row>
    <row r="20" spans="1:26" ht="15.75" customHeight="1" x14ac:dyDescent="0.25">
      <c r="A20" s="44" t="s">
        <v>1477</v>
      </c>
      <c r="B20" s="41"/>
      <c r="C20" s="43"/>
      <c r="D20" s="43"/>
      <c r="E20" s="43"/>
      <c r="F20" s="43"/>
      <c r="G20" s="494"/>
      <c r="H20" s="14">
        <v>264</v>
      </c>
      <c r="I20" s="14">
        <v>678</v>
      </c>
      <c r="J20" s="14">
        <v>6</v>
      </c>
      <c r="K20" s="167">
        <f>J20*I20*H20</f>
        <v>1073952</v>
      </c>
      <c r="L20" s="15"/>
      <c r="M20" s="15"/>
      <c r="N20" s="15"/>
      <c r="O20" s="15"/>
      <c r="P20" s="15"/>
      <c r="Q20" s="15"/>
      <c r="R20" s="15"/>
      <c r="S20" s="15"/>
      <c r="T20" s="15"/>
      <c r="U20" s="15"/>
      <c r="V20" s="15"/>
      <c r="W20" s="15"/>
      <c r="X20" s="15"/>
      <c r="Y20" s="15"/>
      <c r="Z20" s="15"/>
    </row>
    <row r="21" spans="1:26" ht="15.75" customHeight="1" x14ac:dyDescent="0.25">
      <c r="A21" s="42" t="s">
        <v>466</v>
      </c>
      <c r="B21" s="172"/>
      <c r="C21" s="54">
        <f t="shared" ref="C21:D21" si="1">SUM(C14:C18)</f>
        <v>542928</v>
      </c>
      <c r="D21" s="54">
        <f t="shared" si="1"/>
        <v>221087.18</v>
      </c>
      <c r="E21" s="221">
        <f t="shared" ref="E21:E23" si="2">F21-D21</f>
        <v>343392.82</v>
      </c>
      <c r="F21" s="54">
        <f t="shared" ref="F21:G21" si="3">SUM(F14:F18)</f>
        <v>564480</v>
      </c>
      <c r="G21" s="476">
        <f t="shared" si="3"/>
        <v>1149702</v>
      </c>
      <c r="H21" s="114"/>
      <c r="I21" s="114"/>
      <c r="J21" s="114"/>
      <c r="K21" s="114"/>
      <c r="L21" s="114"/>
      <c r="M21" s="114"/>
      <c r="N21" s="114"/>
      <c r="O21" s="114"/>
      <c r="P21" s="114"/>
      <c r="Q21" s="114"/>
      <c r="R21" s="114"/>
      <c r="S21" s="114"/>
      <c r="T21" s="114"/>
      <c r="U21" s="114"/>
      <c r="V21" s="114"/>
      <c r="W21" s="114"/>
      <c r="X21" s="114"/>
      <c r="Y21" s="114"/>
      <c r="Z21" s="114"/>
    </row>
    <row r="22" spans="1:26" ht="15.75" customHeight="1" x14ac:dyDescent="0.25">
      <c r="A22" s="17"/>
      <c r="B22" s="172"/>
      <c r="C22" s="55"/>
      <c r="D22" s="55"/>
      <c r="E22" s="91">
        <f t="shared" si="2"/>
        <v>0</v>
      </c>
      <c r="F22" s="55"/>
      <c r="G22" s="554"/>
      <c r="H22" s="114"/>
      <c r="I22" s="114"/>
      <c r="J22" s="114"/>
      <c r="K22" s="114"/>
      <c r="L22" s="114"/>
      <c r="M22" s="114"/>
      <c r="N22" s="114"/>
      <c r="O22" s="114"/>
      <c r="P22" s="114"/>
      <c r="Q22" s="114"/>
      <c r="R22" s="114"/>
      <c r="S22" s="114"/>
      <c r="T22" s="114"/>
      <c r="U22" s="114"/>
      <c r="V22" s="114"/>
      <c r="W22" s="114"/>
      <c r="X22" s="114"/>
      <c r="Y22" s="114"/>
      <c r="Z22" s="114"/>
    </row>
    <row r="23" spans="1:26" ht="15.75" customHeight="1" x14ac:dyDescent="0.25">
      <c r="A23" s="17" t="s">
        <v>467</v>
      </c>
      <c r="B23" s="172"/>
      <c r="C23" s="43">
        <f t="shared" ref="C23:D23" si="4">+C21</f>
        <v>542928</v>
      </c>
      <c r="D23" s="43">
        <f t="shared" si="4"/>
        <v>221087.18</v>
      </c>
      <c r="E23" s="91">
        <f t="shared" si="2"/>
        <v>343392.82</v>
      </c>
      <c r="F23" s="43">
        <f t="shared" ref="F23:G23" si="5">+F21</f>
        <v>564480</v>
      </c>
      <c r="G23" s="440">
        <f t="shared" si="5"/>
        <v>1149702</v>
      </c>
      <c r="H23" s="114"/>
      <c r="I23" s="114"/>
      <c r="J23" s="114"/>
      <c r="K23" s="114"/>
      <c r="L23" s="114"/>
      <c r="M23" s="114"/>
      <c r="N23" s="114"/>
      <c r="O23" s="114"/>
      <c r="P23" s="114"/>
      <c r="Q23" s="114"/>
      <c r="R23" s="114"/>
      <c r="S23" s="114"/>
      <c r="T23" s="114"/>
      <c r="U23" s="114"/>
      <c r="V23" s="114"/>
      <c r="W23" s="114"/>
      <c r="X23" s="114"/>
      <c r="Y23" s="114"/>
      <c r="Z23" s="114"/>
    </row>
    <row r="24" spans="1:26" ht="15.75" customHeight="1" x14ac:dyDescent="0.25">
      <c r="A24" s="17"/>
      <c r="B24" s="172"/>
      <c r="C24" s="43"/>
      <c r="D24" s="43"/>
      <c r="E24" s="91"/>
      <c r="F24" s="43"/>
      <c r="G24" s="440"/>
      <c r="H24" s="114"/>
      <c r="I24" s="114"/>
      <c r="J24" s="114"/>
      <c r="K24" s="114"/>
      <c r="L24" s="114"/>
      <c r="M24" s="114"/>
      <c r="N24" s="114"/>
      <c r="O24" s="114"/>
      <c r="P24" s="114"/>
      <c r="Q24" s="114"/>
      <c r="R24" s="114"/>
      <c r="S24" s="114"/>
      <c r="T24" s="114"/>
      <c r="U24" s="114"/>
      <c r="V24" s="114"/>
      <c r="W24" s="114"/>
      <c r="X24" s="114"/>
      <c r="Y24" s="114"/>
      <c r="Z24" s="114"/>
    </row>
    <row r="25" spans="1:26" ht="15.75" customHeight="1" x14ac:dyDescent="0.25">
      <c r="A25" s="50" t="s">
        <v>487</v>
      </c>
      <c r="B25" s="133" t="s">
        <v>488</v>
      </c>
      <c r="C25" s="54" t="e">
        <f>+C23+#REF!</f>
        <v>#REF!</v>
      </c>
      <c r="D25" s="54" t="e">
        <f>+D23+#REF!</f>
        <v>#REF!</v>
      </c>
      <c r="E25" s="221" t="e">
        <f>F25-D25</f>
        <v>#REF!</v>
      </c>
      <c r="F25" s="54" t="e">
        <f>+F23+#REF!</f>
        <v>#REF!</v>
      </c>
      <c r="G25" s="54">
        <f>+G23</f>
        <v>1149702</v>
      </c>
      <c r="H25" s="114"/>
      <c r="I25" s="114"/>
      <c r="J25" s="114"/>
      <c r="K25" s="114"/>
      <c r="L25" s="114"/>
      <c r="M25" s="114"/>
      <c r="N25" s="114"/>
      <c r="O25" s="114"/>
      <c r="P25" s="114"/>
      <c r="Q25" s="114"/>
      <c r="R25" s="114"/>
      <c r="S25" s="114"/>
      <c r="T25" s="114"/>
      <c r="U25" s="114"/>
      <c r="V25" s="114"/>
      <c r="W25" s="114"/>
      <c r="X25" s="114"/>
      <c r="Y25" s="114"/>
      <c r="Z25" s="114"/>
    </row>
    <row r="26" spans="1:26" ht="15.75" customHeight="1" x14ac:dyDescent="0.25">
      <c r="A26" s="24"/>
      <c r="B26" s="25"/>
      <c r="C26" s="99"/>
      <c r="D26" s="99"/>
      <c r="E26" s="99"/>
      <c r="F26" s="99"/>
      <c r="G26" s="60"/>
      <c r="H26" s="114"/>
      <c r="I26" s="114"/>
      <c r="J26" s="114"/>
      <c r="K26" s="114"/>
      <c r="L26" s="114"/>
      <c r="M26" s="114"/>
      <c r="N26" s="114"/>
      <c r="O26" s="114"/>
      <c r="P26" s="114"/>
      <c r="Q26" s="114"/>
      <c r="R26" s="114"/>
      <c r="S26" s="114"/>
      <c r="T26" s="114"/>
      <c r="U26" s="114"/>
      <c r="V26" s="114"/>
      <c r="W26" s="114"/>
      <c r="X26" s="114"/>
      <c r="Y26" s="114"/>
      <c r="Z26" s="114"/>
    </row>
    <row r="27" spans="1:26" ht="15.75" customHeight="1" x14ac:dyDescent="0.25">
      <c r="A27" s="24"/>
      <c r="B27" s="25"/>
      <c r="C27" s="24"/>
      <c r="D27" s="24"/>
      <c r="E27" s="24"/>
      <c r="F27" s="15"/>
      <c r="G27" s="15"/>
      <c r="H27" s="15"/>
      <c r="I27" s="15"/>
      <c r="J27" s="15"/>
      <c r="K27" s="15"/>
      <c r="L27" s="15"/>
      <c r="M27" s="15"/>
      <c r="N27" s="15"/>
      <c r="O27" s="15"/>
      <c r="P27" s="15"/>
      <c r="Q27" s="15"/>
      <c r="R27" s="15"/>
      <c r="S27" s="15"/>
      <c r="T27" s="15"/>
      <c r="U27" s="15"/>
      <c r="V27" s="15"/>
      <c r="W27" s="15"/>
      <c r="X27" s="15"/>
      <c r="Y27" s="15"/>
      <c r="Z27" s="15"/>
    </row>
    <row r="28" spans="1:26" ht="15.75" customHeight="1" x14ac:dyDescent="0.25">
      <c r="A28" s="9"/>
      <c r="B28" s="104"/>
      <c r="C28" s="105"/>
      <c r="D28" s="105"/>
      <c r="E28" s="105"/>
      <c r="F28" s="10"/>
      <c r="G28" s="180"/>
      <c r="H28" s="15"/>
      <c r="I28" s="15"/>
      <c r="J28" s="15"/>
      <c r="K28" s="15"/>
      <c r="L28" s="15"/>
      <c r="M28" s="15"/>
      <c r="N28" s="15"/>
      <c r="O28" s="15"/>
      <c r="P28" s="15"/>
      <c r="Q28" s="15"/>
      <c r="R28" s="15"/>
      <c r="S28" s="15"/>
      <c r="T28" s="15"/>
      <c r="U28" s="15"/>
      <c r="V28" s="15"/>
      <c r="W28" s="15"/>
      <c r="X28" s="15"/>
      <c r="Y28" s="15"/>
      <c r="Z28" s="15"/>
    </row>
    <row r="29" spans="1:26" ht="15.75" customHeight="1" x14ac:dyDescent="0.25">
      <c r="A29" s="878" t="s">
        <v>2775</v>
      </c>
      <c r="B29" s="879"/>
      <c r="C29" s="879"/>
      <c r="D29" s="879"/>
      <c r="E29" s="879"/>
      <c r="F29" s="879"/>
      <c r="G29" s="880"/>
      <c r="H29" s="15"/>
      <c r="I29" s="15"/>
      <c r="J29" s="15"/>
      <c r="K29" s="15"/>
      <c r="L29" s="15"/>
      <c r="M29" s="15"/>
      <c r="N29" s="15"/>
      <c r="O29" s="15"/>
      <c r="P29" s="15"/>
      <c r="Q29" s="15"/>
      <c r="R29" s="15"/>
      <c r="S29" s="15"/>
      <c r="T29" s="15"/>
      <c r="U29" s="15"/>
      <c r="V29" s="15"/>
      <c r="W29" s="15"/>
      <c r="X29" s="15"/>
      <c r="Y29" s="15"/>
      <c r="Z29" s="15"/>
    </row>
    <row r="30" spans="1:26" ht="15.75" customHeight="1" x14ac:dyDescent="0.25">
      <c r="A30" s="878"/>
      <c r="B30" s="879"/>
      <c r="C30" s="879"/>
      <c r="D30" s="879"/>
      <c r="E30" s="879"/>
      <c r="F30" s="879"/>
      <c r="G30" s="880"/>
      <c r="H30" s="15"/>
      <c r="I30" s="15"/>
      <c r="J30" s="15"/>
      <c r="K30" s="15"/>
      <c r="L30" s="15"/>
      <c r="M30" s="15"/>
      <c r="N30" s="15"/>
      <c r="O30" s="15"/>
      <c r="P30" s="15"/>
      <c r="Q30" s="15"/>
      <c r="R30" s="15"/>
      <c r="S30" s="15"/>
      <c r="T30" s="15"/>
      <c r="U30" s="15"/>
      <c r="V30" s="15"/>
      <c r="W30" s="15"/>
      <c r="X30" s="15"/>
      <c r="Y30" s="15"/>
      <c r="Z30" s="15"/>
    </row>
    <row r="31" spans="1:26" ht="15.75" customHeight="1" x14ac:dyDescent="0.25">
      <c r="A31" s="878"/>
      <c r="B31" s="879"/>
      <c r="C31" s="879"/>
      <c r="D31" s="879"/>
      <c r="E31" s="879"/>
      <c r="F31" s="879"/>
      <c r="G31" s="880"/>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c r="B32" s="25"/>
      <c r="C32" s="26"/>
      <c r="D32" s="26"/>
      <c r="E32" s="26"/>
      <c r="F32" s="14"/>
      <c r="G32" s="181"/>
      <c r="H32" s="15"/>
      <c r="I32" s="15"/>
      <c r="J32" s="15"/>
      <c r="K32" s="15"/>
      <c r="L32" s="15"/>
      <c r="M32" s="15"/>
      <c r="N32" s="15"/>
      <c r="O32" s="15"/>
      <c r="P32" s="15"/>
      <c r="Q32" s="15"/>
      <c r="R32" s="15"/>
      <c r="S32" s="15"/>
      <c r="T32" s="15"/>
      <c r="U32" s="15"/>
      <c r="V32" s="15"/>
      <c r="W32" s="15"/>
      <c r="X32" s="15"/>
      <c r="Y32" s="15"/>
      <c r="Z32" s="15"/>
    </row>
    <row r="33" spans="1:26" ht="15.75" customHeight="1" x14ac:dyDescent="0.25">
      <c r="A33" s="865" t="s">
        <v>352</v>
      </c>
      <c r="B33" s="866"/>
      <c r="C33" s="866"/>
      <c r="D33" s="866"/>
      <c r="E33" s="866"/>
      <c r="F33" s="866"/>
      <c r="G33" s="867"/>
      <c r="H33" s="15"/>
      <c r="I33" s="15"/>
      <c r="J33" s="15"/>
      <c r="K33" s="15"/>
      <c r="L33" s="15"/>
      <c r="M33" s="15"/>
      <c r="N33" s="15"/>
      <c r="O33" s="15"/>
      <c r="P33" s="15"/>
      <c r="Q33" s="15"/>
      <c r="R33" s="15"/>
      <c r="S33" s="15"/>
      <c r="T33" s="15"/>
      <c r="U33" s="15"/>
      <c r="V33" s="15"/>
      <c r="W33" s="15"/>
      <c r="X33" s="15"/>
      <c r="Y33" s="15"/>
      <c r="Z33" s="15"/>
    </row>
    <row r="34" spans="1:26" ht="15.75" customHeight="1" x14ac:dyDescent="0.25">
      <c r="A34" s="868" t="s">
        <v>1194</v>
      </c>
      <c r="B34" s="857" t="s">
        <v>354</v>
      </c>
      <c r="C34" s="870" t="s">
        <v>355</v>
      </c>
      <c r="D34" s="872" t="s">
        <v>356</v>
      </c>
      <c r="E34" s="873"/>
      <c r="F34" s="874"/>
      <c r="G34" s="857" t="s">
        <v>357</v>
      </c>
      <c r="H34" s="15"/>
      <c r="I34" s="15"/>
      <c r="J34" s="15"/>
      <c r="K34" s="15"/>
      <c r="L34" s="15"/>
      <c r="M34" s="15"/>
      <c r="N34" s="15"/>
      <c r="O34" s="15"/>
      <c r="P34" s="15"/>
      <c r="Q34" s="15"/>
      <c r="R34" s="15"/>
      <c r="S34" s="15"/>
      <c r="T34" s="15"/>
      <c r="U34" s="15"/>
      <c r="V34" s="15"/>
      <c r="W34" s="15"/>
      <c r="X34" s="15"/>
      <c r="Y34" s="15"/>
      <c r="Z34" s="15"/>
    </row>
    <row r="35" spans="1:26" ht="15.75" customHeight="1" x14ac:dyDescent="0.25">
      <c r="A35" s="858"/>
      <c r="B35" s="858"/>
      <c r="C35" s="871"/>
      <c r="D35" s="28" t="s">
        <v>358</v>
      </c>
      <c r="E35" s="29" t="s">
        <v>359</v>
      </c>
      <c r="F35" s="875" t="s">
        <v>360</v>
      </c>
      <c r="G35" s="858"/>
      <c r="H35" s="15"/>
      <c r="I35" s="15"/>
      <c r="J35" s="15"/>
      <c r="K35" s="15"/>
      <c r="L35" s="15"/>
      <c r="M35" s="15"/>
      <c r="N35" s="15"/>
      <c r="O35" s="15"/>
      <c r="P35" s="15"/>
      <c r="Q35" s="15"/>
      <c r="R35" s="15"/>
      <c r="S35" s="15"/>
      <c r="T35" s="15"/>
      <c r="U35" s="15"/>
      <c r="V35" s="15"/>
      <c r="W35" s="15"/>
      <c r="X35" s="15"/>
      <c r="Y35" s="15"/>
      <c r="Z35" s="15"/>
    </row>
    <row r="36" spans="1:26" ht="15.75" customHeight="1" x14ac:dyDescent="0.25">
      <c r="A36" s="858"/>
      <c r="B36" s="858"/>
      <c r="C36" s="30" t="s">
        <v>361</v>
      </c>
      <c r="D36" s="31" t="s">
        <v>361</v>
      </c>
      <c r="E36" s="32" t="s">
        <v>362</v>
      </c>
      <c r="F36" s="860"/>
      <c r="G36" s="442" t="s">
        <v>2717</v>
      </c>
      <c r="H36" s="15"/>
      <c r="I36" s="15"/>
      <c r="J36" s="15"/>
      <c r="K36" s="15"/>
      <c r="L36" s="15"/>
      <c r="M36" s="15"/>
      <c r="N36" s="15"/>
      <c r="O36" s="15"/>
      <c r="P36" s="15"/>
      <c r="Q36" s="15"/>
      <c r="R36" s="15"/>
      <c r="S36" s="15"/>
      <c r="T36" s="15"/>
      <c r="U36" s="15"/>
      <c r="V36" s="15"/>
      <c r="W36" s="15"/>
      <c r="X36" s="15"/>
      <c r="Y36" s="15"/>
      <c r="Z36" s="15"/>
    </row>
    <row r="37" spans="1:26" ht="15.75" customHeight="1" x14ac:dyDescent="0.25">
      <c r="A37" s="869"/>
      <c r="B37" s="869"/>
      <c r="C37" s="33">
        <v>2024</v>
      </c>
      <c r="D37" s="34">
        <v>2025</v>
      </c>
      <c r="E37" s="35">
        <v>2025</v>
      </c>
      <c r="F37" s="34">
        <v>2025</v>
      </c>
      <c r="G37" s="36" t="s">
        <v>2668</v>
      </c>
      <c r="H37" s="15"/>
      <c r="I37" s="15"/>
      <c r="J37" s="15"/>
      <c r="K37" s="15"/>
      <c r="L37" s="15"/>
      <c r="M37" s="15"/>
      <c r="N37" s="15"/>
      <c r="O37" s="15"/>
      <c r="P37" s="15"/>
      <c r="Q37" s="15"/>
      <c r="R37" s="15"/>
      <c r="S37" s="15"/>
      <c r="T37" s="15"/>
      <c r="U37" s="15"/>
      <c r="V37" s="15"/>
      <c r="W37" s="15"/>
      <c r="X37" s="15"/>
      <c r="Y37" s="15"/>
      <c r="Z37" s="15"/>
    </row>
    <row r="38" spans="1:26" ht="15.75" customHeight="1" x14ac:dyDescent="0.25">
      <c r="A38" s="17" t="s">
        <v>364</v>
      </c>
      <c r="B38" s="172"/>
      <c r="C38" s="42"/>
      <c r="D38" s="42"/>
      <c r="E38" s="42"/>
      <c r="F38" s="42"/>
      <c r="G38" s="42"/>
      <c r="H38" s="114"/>
      <c r="I38" s="114"/>
      <c r="J38" s="114"/>
      <c r="K38" s="114"/>
      <c r="L38" s="114"/>
      <c r="M38" s="114"/>
      <c r="N38" s="114"/>
      <c r="O38" s="114"/>
      <c r="P38" s="114"/>
      <c r="Q38" s="114"/>
      <c r="R38" s="114"/>
      <c r="S38" s="114"/>
      <c r="T38" s="114"/>
      <c r="U38" s="114"/>
      <c r="V38" s="114"/>
      <c r="W38" s="114"/>
      <c r="X38" s="114"/>
      <c r="Y38" s="114"/>
      <c r="Z38" s="114"/>
    </row>
    <row r="39" spans="1:26" ht="15.75" customHeight="1" x14ac:dyDescent="0.25">
      <c r="A39" s="42" t="s">
        <v>1481</v>
      </c>
      <c r="B39" s="199"/>
      <c r="C39" s="41"/>
      <c r="D39" s="41"/>
      <c r="E39" s="20"/>
      <c r="F39" s="120"/>
      <c r="G39" s="49"/>
      <c r="H39" s="114"/>
      <c r="I39" s="114"/>
      <c r="J39" s="114"/>
      <c r="K39" s="114"/>
      <c r="L39" s="114"/>
      <c r="M39" s="114"/>
      <c r="N39" s="114"/>
      <c r="O39" s="114"/>
      <c r="P39" s="114"/>
      <c r="Q39" s="114"/>
      <c r="R39" s="114"/>
      <c r="S39" s="114"/>
      <c r="T39" s="114"/>
      <c r="U39" s="114"/>
      <c r="V39" s="114"/>
      <c r="W39" s="114"/>
      <c r="X39" s="114"/>
      <c r="Y39" s="114"/>
      <c r="Z39" s="114"/>
    </row>
    <row r="40" spans="1:26" ht="15.75" customHeight="1" x14ac:dyDescent="0.25">
      <c r="A40" s="42" t="s">
        <v>511</v>
      </c>
      <c r="B40" s="41"/>
      <c r="C40" s="43"/>
      <c r="D40" s="43"/>
      <c r="E40" s="86"/>
      <c r="F40" s="43"/>
      <c r="G40" s="43"/>
      <c r="H40" s="114"/>
      <c r="I40" s="114"/>
      <c r="J40" s="114"/>
      <c r="K40" s="114"/>
      <c r="L40" s="114"/>
      <c r="M40" s="114"/>
      <c r="N40" s="114"/>
      <c r="O40" s="114"/>
      <c r="P40" s="114"/>
      <c r="Q40" s="114"/>
      <c r="R40" s="114"/>
      <c r="S40" s="114"/>
      <c r="T40" s="114"/>
      <c r="U40" s="114"/>
      <c r="V40" s="114"/>
      <c r="W40" s="114"/>
      <c r="X40" s="114"/>
      <c r="Y40" s="114"/>
      <c r="Z40" s="114"/>
    </row>
    <row r="41" spans="1:26" ht="15.75" customHeight="1" x14ac:dyDescent="0.25">
      <c r="A41" s="44" t="s">
        <v>424</v>
      </c>
      <c r="B41" s="41" t="s">
        <v>335</v>
      </c>
      <c r="C41" s="43">
        <v>366128</v>
      </c>
      <c r="D41" s="43">
        <v>145040</v>
      </c>
      <c r="E41" s="86">
        <f>F41-D41</f>
        <v>278320</v>
      </c>
      <c r="F41" s="43">
        <v>423360</v>
      </c>
      <c r="G41" s="43">
        <v>536976</v>
      </c>
      <c r="H41" s="114"/>
      <c r="I41" s="114"/>
      <c r="J41" s="114"/>
      <c r="K41" s="114"/>
      <c r="L41" s="114"/>
      <c r="M41" s="114"/>
      <c r="N41" s="114"/>
      <c r="O41" s="114"/>
      <c r="P41" s="114"/>
      <c r="Q41" s="114"/>
      <c r="R41" s="114"/>
      <c r="S41" s="114"/>
      <c r="T41" s="114"/>
      <c r="U41" s="114"/>
      <c r="V41" s="114"/>
      <c r="W41" s="114"/>
      <c r="X41" s="114"/>
      <c r="Y41" s="114"/>
      <c r="Z41" s="114"/>
    </row>
    <row r="42" spans="1:26" ht="15.75" customHeight="1" x14ac:dyDescent="0.25">
      <c r="A42" s="17" t="s">
        <v>1478</v>
      </c>
      <c r="B42" s="41"/>
      <c r="C42" s="43"/>
      <c r="D42" s="43"/>
      <c r="E42" s="43"/>
      <c r="F42" s="43"/>
      <c r="G42" s="45"/>
      <c r="H42" s="14"/>
      <c r="I42" s="14"/>
      <c r="J42" s="14"/>
      <c r="K42" s="167"/>
      <c r="L42" s="15"/>
      <c r="M42" s="15"/>
      <c r="N42" s="15"/>
      <c r="O42" s="15"/>
      <c r="P42" s="15"/>
      <c r="Q42" s="15"/>
      <c r="R42" s="15"/>
      <c r="S42" s="15"/>
      <c r="T42" s="15"/>
      <c r="U42" s="15"/>
      <c r="V42" s="15"/>
      <c r="W42" s="15"/>
      <c r="X42" s="15"/>
      <c r="Y42" s="15"/>
      <c r="Z42" s="15"/>
    </row>
    <row r="43" spans="1:26" ht="15.75" customHeight="1" x14ac:dyDescent="0.25">
      <c r="A43" s="44" t="s">
        <v>1479</v>
      </c>
      <c r="B43" s="41"/>
      <c r="C43" s="43"/>
      <c r="D43" s="43"/>
      <c r="E43" s="43"/>
      <c r="F43" s="43"/>
      <c r="G43" s="45"/>
      <c r="H43" s="14">
        <v>264</v>
      </c>
      <c r="I43" s="14">
        <v>678</v>
      </c>
      <c r="J43" s="14">
        <v>3</v>
      </c>
      <c r="K43" s="167">
        <f>J43*I43*H43</f>
        <v>536976</v>
      </c>
      <c r="L43" s="15"/>
      <c r="M43" s="15"/>
      <c r="N43" s="15"/>
      <c r="O43" s="15"/>
      <c r="P43" s="15"/>
      <c r="Q43" s="15"/>
      <c r="R43" s="15"/>
      <c r="S43" s="15"/>
      <c r="T43" s="15"/>
      <c r="U43" s="15"/>
      <c r="V43" s="15"/>
      <c r="W43" s="15"/>
      <c r="X43" s="15"/>
      <c r="Y43" s="15"/>
      <c r="Z43" s="15"/>
    </row>
    <row r="44" spans="1:26" ht="15.75" customHeight="1" x14ac:dyDescent="0.25">
      <c r="A44" s="42" t="s">
        <v>466</v>
      </c>
      <c r="B44" s="172"/>
      <c r="C44" s="54">
        <f>SUM(C40:C41)</f>
        <v>366128</v>
      </c>
      <c r="D44" s="54">
        <f>SUM(D40:D41)</f>
        <v>145040</v>
      </c>
      <c r="E44" s="221">
        <f>F44-D44</f>
        <v>278320</v>
      </c>
      <c r="F44" s="54">
        <f>SUM(F40:F41)</f>
        <v>423360</v>
      </c>
      <c r="G44" s="54">
        <f>SUM(G40:G41)</f>
        <v>536976</v>
      </c>
      <c r="H44" s="114"/>
      <c r="I44" s="114"/>
      <c r="J44" s="114"/>
      <c r="K44" s="114"/>
      <c r="L44" s="114"/>
      <c r="M44" s="114"/>
      <c r="N44" s="114"/>
      <c r="O44" s="114"/>
      <c r="P44" s="114"/>
      <c r="Q44" s="114"/>
      <c r="R44" s="114"/>
      <c r="S44" s="114"/>
      <c r="T44" s="114"/>
      <c r="U44" s="114"/>
      <c r="V44" s="114"/>
      <c r="W44" s="114"/>
      <c r="X44" s="114"/>
      <c r="Y44" s="114"/>
      <c r="Z44" s="114"/>
    </row>
    <row r="45" spans="1:26" ht="15.75" customHeight="1" x14ac:dyDescent="0.25">
      <c r="A45" s="17"/>
      <c r="B45" s="172"/>
      <c r="C45" s="55"/>
      <c r="D45" s="55"/>
      <c r="E45" s="86"/>
      <c r="F45" s="55"/>
      <c r="G45" s="55"/>
      <c r="H45" s="114"/>
      <c r="I45" s="114"/>
      <c r="J45" s="114"/>
      <c r="K45" s="114"/>
      <c r="L45" s="114"/>
      <c r="M45" s="114"/>
      <c r="N45" s="114"/>
      <c r="O45" s="114"/>
      <c r="P45" s="114"/>
      <c r="Q45" s="114"/>
      <c r="R45" s="114"/>
      <c r="S45" s="114"/>
      <c r="T45" s="114"/>
      <c r="U45" s="114"/>
      <c r="V45" s="114"/>
      <c r="W45" s="114"/>
      <c r="X45" s="114"/>
      <c r="Y45" s="114"/>
      <c r="Z45" s="114"/>
    </row>
    <row r="46" spans="1:26" ht="15.75" customHeight="1" x14ac:dyDescent="0.25">
      <c r="A46" s="17" t="s">
        <v>467</v>
      </c>
      <c r="B46" s="172"/>
      <c r="C46" s="43">
        <f>C44</f>
        <v>366128</v>
      </c>
      <c r="D46" s="43">
        <f>+D44</f>
        <v>145040</v>
      </c>
      <c r="E46" s="86">
        <f>F46-D46</f>
        <v>278320</v>
      </c>
      <c r="F46" s="43">
        <f t="shared" ref="F46:G46" si="6">+F44</f>
        <v>423360</v>
      </c>
      <c r="G46" s="43">
        <f t="shared" si="6"/>
        <v>536976</v>
      </c>
      <c r="H46" s="114"/>
      <c r="I46" s="114"/>
      <c r="J46" s="114"/>
      <c r="K46" s="114"/>
      <c r="L46" s="114"/>
      <c r="M46" s="114"/>
      <c r="N46" s="114"/>
      <c r="O46" s="114"/>
      <c r="P46" s="114"/>
      <c r="Q46" s="114"/>
      <c r="R46" s="114"/>
      <c r="S46" s="114"/>
      <c r="T46" s="114"/>
      <c r="U46" s="114"/>
      <c r="V46" s="114"/>
      <c r="W46" s="114"/>
      <c r="X46" s="114"/>
      <c r="Y46" s="114"/>
      <c r="Z46" s="114"/>
    </row>
    <row r="47" spans="1:26" ht="15.75" customHeight="1" x14ac:dyDescent="0.25">
      <c r="A47" s="17"/>
      <c r="B47" s="172"/>
      <c r="C47" s="43"/>
      <c r="D47" s="43"/>
      <c r="E47" s="86"/>
      <c r="F47" s="43"/>
      <c r="G47" s="43"/>
      <c r="H47" s="114"/>
      <c r="I47" s="114"/>
      <c r="J47" s="114"/>
      <c r="K47" s="114"/>
      <c r="L47" s="114"/>
      <c r="M47" s="114"/>
      <c r="N47" s="114"/>
      <c r="O47" s="114"/>
      <c r="P47" s="114"/>
      <c r="Q47" s="114"/>
      <c r="R47" s="114"/>
      <c r="S47" s="114"/>
      <c r="T47" s="114"/>
      <c r="U47" s="114"/>
      <c r="V47" s="114"/>
      <c r="W47" s="114"/>
      <c r="X47" s="114"/>
      <c r="Y47" s="114"/>
      <c r="Z47" s="114"/>
    </row>
    <row r="48" spans="1:26" ht="15.75" customHeight="1" x14ac:dyDescent="0.25">
      <c r="A48" s="50" t="s">
        <v>487</v>
      </c>
      <c r="B48" s="133" t="s">
        <v>488</v>
      </c>
      <c r="C48" s="54" t="e">
        <f>+C44+#REF!</f>
        <v>#REF!</v>
      </c>
      <c r="D48" s="54" t="e">
        <f>+D44+#REF!</f>
        <v>#REF!</v>
      </c>
      <c r="E48" s="221" t="e">
        <f>F48-D48</f>
        <v>#REF!</v>
      </c>
      <c r="F48" s="54" t="e">
        <f>F46+#REF!</f>
        <v>#REF!</v>
      </c>
      <c r="G48" s="54">
        <f>+G46</f>
        <v>536976</v>
      </c>
      <c r="H48" s="114"/>
      <c r="I48" s="114"/>
      <c r="J48" s="114"/>
      <c r="K48" s="114"/>
      <c r="L48" s="114"/>
      <c r="M48" s="114"/>
      <c r="N48" s="114"/>
      <c r="O48" s="114"/>
      <c r="P48" s="114"/>
      <c r="Q48" s="114"/>
      <c r="R48" s="114"/>
      <c r="S48" s="114"/>
      <c r="T48" s="114"/>
      <c r="U48" s="114"/>
      <c r="V48" s="114"/>
      <c r="W48" s="114"/>
      <c r="X48" s="114"/>
      <c r="Y48" s="114"/>
      <c r="Z48" s="114"/>
    </row>
    <row r="49" spans="1:26" ht="15.75" customHeight="1" x14ac:dyDescent="0.25">
      <c r="A49" s="24"/>
      <c r="B49" s="174"/>
      <c r="C49" s="24"/>
      <c r="D49" s="24"/>
      <c r="E49" s="24"/>
      <c r="F49" s="114"/>
      <c r="G49" s="114"/>
      <c r="H49" s="114"/>
      <c r="I49" s="114"/>
      <c r="J49" s="114"/>
      <c r="K49" s="114"/>
      <c r="L49" s="114"/>
      <c r="M49" s="114"/>
      <c r="N49" s="114"/>
      <c r="O49" s="114"/>
      <c r="P49" s="114"/>
      <c r="Q49" s="114"/>
      <c r="R49" s="114"/>
      <c r="S49" s="114"/>
      <c r="T49" s="114"/>
      <c r="U49" s="114"/>
      <c r="V49" s="114"/>
      <c r="W49" s="114"/>
      <c r="X49" s="114"/>
      <c r="Y49" s="114"/>
      <c r="Z49" s="114"/>
    </row>
    <row r="50" spans="1:26" ht="15.75" customHeight="1" x14ac:dyDescent="0.25">
      <c r="A50" s="24"/>
      <c r="B50" s="174"/>
      <c r="C50" s="24"/>
      <c r="D50" s="24"/>
      <c r="E50" s="24"/>
      <c r="F50" s="114"/>
      <c r="G50" s="114"/>
      <c r="H50" s="114"/>
      <c r="I50" s="114"/>
      <c r="J50" s="114"/>
      <c r="K50" s="114"/>
      <c r="L50" s="114"/>
      <c r="M50" s="114"/>
      <c r="N50" s="114"/>
      <c r="O50" s="114"/>
      <c r="P50" s="114"/>
      <c r="Q50" s="114"/>
      <c r="R50" s="114"/>
      <c r="S50" s="114"/>
      <c r="T50" s="114"/>
      <c r="U50" s="114"/>
      <c r="V50" s="114"/>
      <c r="W50" s="114"/>
      <c r="X50" s="114"/>
      <c r="Y50" s="114"/>
      <c r="Z50" s="114"/>
    </row>
    <row r="51" spans="1:26" ht="15.75" customHeight="1" x14ac:dyDescent="0.25">
      <c r="A51" s="24"/>
      <c r="B51" s="174"/>
      <c r="C51" s="24"/>
      <c r="D51" s="24"/>
      <c r="E51" s="24"/>
      <c r="F51" s="114"/>
      <c r="G51" s="114"/>
      <c r="H51" s="114"/>
      <c r="I51" s="114"/>
      <c r="J51" s="114"/>
      <c r="K51" s="114"/>
      <c r="L51" s="114"/>
      <c r="M51" s="114"/>
      <c r="N51" s="114"/>
      <c r="O51" s="114"/>
      <c r="P51" s="114"/>
      <c r="Q51" s="114"/>
      <c r="R51" s="114"/>
      <c r="S51" s="114"/>
      <c r="T51" s="114"/>
      <c r="U51" s="114"/>
      <c r="V51" s="114"/>
      <c r="W51" s="114"/>
      <c r="X51" s="114"/>
      <c r="Y51" s="114"/>
      <c r="Z51" s="114"/>
    </row>
    <row r="52" spans="1:26" ht="15.75" customHeight="1" x14ac:dyDescent="0.25">
      <c r="A52" s="24"/>
      <c r="B52" s="174"/>
      <c r="C52" s="24"/>
      <c r="D52" s="24"/>
      <c r="E52" s="24"/>
      <c r="F52" s="114"/>
      <c r="G52" s="114"/>
      <c r="H52" s="114"/>
      <c r="I52" s="114"/>
      <c r="J52" s="114"/>
      <c r="K52" s="114"/>
      <c r="L52" s="114"/>
      <c r="M52" s="114"/>
      <c r="N52" s="114"/>
      <c r="O52" s="114"/>
      <c r="P52" s="114"/>
      <c r="Q52" s="114"/>
      <c r="R52" s="114"/>
      <c r="S52" s="114"/>
      <c r="T52" s="114"/>
      <c r="U52" s="114"/>
      <c r="V52" s="114"/>
      <c r="W52" s="114"/>
      <c r="X52" s="114"/>
      <c r="Y52" s="114"/>
      <c r="Z52" s="114"/>
    </row>
    <row r="53" spans="1:26" ht="15.75" customHeight="1" x14ac:dyDescent="0.25">
      <c r="A53" s="24"/>
      <c r="B53" s="174"/>
      <c r="C53" s="24"/>
      <c r="D53" s="24"/>
      <c r="E53" s="24"/>
      <c r="F53" s="114"/>
      <c r="G53" s="114"/>
      <c r="H53" s="114"/>
      <c r="I53" s="114"/>
      <c r="J53" s="114"/>
      <c r="K53" s="114"/>
      <c r="L53" s="114"/>
      <c r="M53" s="114"/>
      <c r="N53" s="114"/>
      <c r="O53" s="114"/>
      <c r="P53" s="114"/>
      <c r="Q53" s="114"/>
      <c r="R53" s="114"/>
      <c r="S53" s="114"/>
      <c r="T53" s="114"/>
      <c r="U53" s="114"/>
      <c r="V53" s="114"/>
      <c r="W53" s="114"/>
      <c r="X53" s="114"/>
      <c r="Y53" s="114"/>
      <c r="Z53" s="114"/>
    </row>
    <row r="54" spans="1:26" ht="15.75" customHeight="1" x14ac:dyDescent="0.25">
      <c r="A54" s="24"/>
      <c r="B54" s="174"/>
      <c r="C54" s="24"/>
      <c r="D54" s="24"/>
      <c r="E54" s="24"/>
      <c r="F54" s="114"/>
      <c r="G54" s="114"/>
      <c r="H54" s="114"/>
      <c r="I54" s="114"/>
      <c r="J54" s="114"/>
      <c r="K54" s="114"/>
      <c r="L54" s="114"/>
      <c r="M54" s="114"/>
      <c r="N54" s="114"/>
      <c r="O54" s="114"/>
      <c r="P54" s="114"/>
      <c r="Q54" s="114"/>
      <c r="R54" s="114"/>
      <c r="S54" s="114"/>
      <c r="T54" s="114"/>
      <c r="U54" s="114"/>
      <c r="V54" s="114"/>
      <c r="W54" s="114"/>
      <c r="X54" s="114"/>
      <c r="Y54" s="114"/>
      <c r="Z54" s="114"/>
    </row>
    <row r="55" spans="1:26" ht="15.75" customHeight="1" x14ac:dyDescent="0.25">
      <c r="A55" s="24"/>
      <c r="B55" s="174"/>
      <c r="C55" s="24"/>
      <c r="D55" s="24"/>
      <c r="E55" s="24"/>
      <c r="F55" s="114"/>
      <c r="G55" s="114"/>
      <c r="H55" s="114"/>
      <c r="I55" s="114"/>
      <c r="J55" s="114"/>
      <c r="K55" s="114"/>
      <c r="L55" s="114"/>
      <c r="M55" s="114"/>
      <c r="N55" s="114"/>
      <c r="O55" s="114"/>
      <c r="P55" s="114"/>
      <c r="Q55" s="114"/>
      <c r="R55" s="114"/>
      <c r="S55" s="114"/>
      <c r="T55" s="114"/>
      <c r="U55" s="114"/>
      <c r="V55" s="114"/>
      <c r="W55" s="114"/>
      <c r="X55" s="114"/>
      <c r="Y55" s="114"/>
      <c r="Z55" s="114"/>
    </row>
    <row r="56" spans="1:26" ht="15.75" customHeight="1" x14ac:dyDescent="0.25">
      <c r="A56" s="24"/>
      <c r="B56" s="174"/>
      <c r="C56" s="24"/>
      <c r="D56" s="24"/>
      <c r="E56" s="24"/>
      <c r="F56" s="114"/>
      <c r="G56" s="114"/>
      <c r="H56" s="114"/>
      <c r="I56" s="114"/>
      <c r="J56" s="114"/>
      <c r="K56" s="114"/>
      <c r="L56" s="114"/>
      <c r="M56" s="114"/>
      <c r="N56" s="114"/>
      <c r="O56" s="114"/>
      <c r="P56" s="114"/>
      <c r="Q56" s="114"/>
      <c r="R56" s="114"/>
      <c r="S56" s="114"/>
      <c r="T56" s="114"/>
      <c r="U56" s="114"/>
      <c r="V56" s="114"/>
      <c r="W56" s="114"/>
      <c r="X56" s="114"/>
      <c r="Y56" s="114"/>
      <c r="Z56" s="114"/>
    </row>
    <row r="57" spans="1:26" ht="15.75" customHeight="1" x14ac:dyDescent="0.25">
      <c r="A57" s="24"/>
      <c r="B57" s="174"/>
      <c r="C57" s="24"/>
      <c r="D57" s="24"/>
      <c r="E57" s="24"/>
      <c r="F57" s="114"/>
      <c r="G57" s="114"/>
      <c r="H57" s="114"/>
      <c r="I57" s="114"/>
      <c r="J57" s="114"/>
      <c r="K57" s="114"/>
      <c r="L57" s="114"/>
      <c r="M57" s="114"/>
      <c r="N57" s="114"/>
      <c r="O57" s="114"/>
      <c r="P57" s="114"/>
      <c r="Q57" s="114"/>
      <c r="R57" s="114"/>
      <c r="S57" s="114"/>
      <c r="T57" s="114"/>
      <c r="U57" s="114"/>
      <c r="V57" s="114"/>
      <c r="W57" s="114"/>
      <c r="X57" s="114"/>
      <c r="Y57" s="114"/>
      <c r="Z57" s="114"/>
    </row>
    <row r="58" spans="1:26" ht="15.75" customHeight="1" x14ac:dyDescent="0.25">
      <c r="A58" s="24"/>
      <c r="B58" s="174"/>
      <c r="C58" s="24"/>
      <c r="D58" s="24"/>
      <c r="E58" s="24"/>
      <c r="F58" s="114"/>
      <c r="G58" s="114"/>
      <c r="H58" s="114"/>
      <c r="I58" s="114"/>
      <c r="J58" s="114"/>
      <c r="K58" s="114"/>
      <c r="L58" s="114"/>
      <c r="M58" s="114"/>
      <c r="N58" s="114"/>
      <c r="O58" s="114"/>
      <c r="P58" s="114"/>
      <c r="Q58" s="114"/>
      <c r="R58" s="114"/>
      <c r="S58" s="114"/>
      <c r="T58" s="114"/>
      <c r="U58" s="114"/>
      <c r="V58" s="114"/>
      <c r="W58" s="114"/>
      <c r="X58" s="114"/>
      <c r="Y58" s="114"/>
      <c r="Z58" s="114"/>
    </row>
    <row r="59" spans="1:26" ht="15.75" customHeight="1" x14ac:dyDescent="0.25">
      <c r="A59" s="24"/>
      <c r="B59" s="174"/>
      <c r="C59" s="24"/>
      <c r="D59" s="24"/>
      <c r="E59" s="24"/>
      <c r="F59" s="114"/>
      <c r="G59" s="114"/>
      <c r="H59" s="114"/>
      <c r="I59" s="114"/>
      <c r="J59" s="114"/>
      <c r="K59" s="114"/>
      <c r="L59" s="114"/>
      <c r="M59" s="114"/>
      <c r="N59" s="114"/>
      <c r="O59" s="114"/>
      <c r="P59" s="114"/>
      <c r="Q59" s="114"/>
      <c r="R59" s="114"/>
      <c r="S59" s="114"/>
      <c r="T59" s="114"/>
      <c r="U59" s="114"/>
      <c r="V59" s="114"/>
      <c r="W59" s="114"/>
      <c r="X59" s="114"/>
      <c r="Y59" s="114"/>
      <c r="Z59" s="114"/>
    </row>
    <row r="60" spans="1:26" ht="15.75" customHeight="1" x14ac:dyDescent="0.25">
      <c r="A60" s="24"/>
      <c r="B60" s="174"/>
      <c r="C60" s="24"/>
      <c r="D60" s="24"/>
      <c r="E60" s="24"/>
      <c r="F60" s="114"/>
      <c r="G60" s="114"/>
      <c r="H60" s="114"/>
      <c r="I60" s="114"/>
      <c r="J60" s="114"/>
      <c r="K60" s="114"/>
      <c r="L60" s="114"/>
      <c r="M60" s="114"/>
      <c r="N60" s="114"/>
      <c r="O60" s="114"/>
      <c r="P60" s="114"/>
      <c r="Q60" s="114"/>
      <c r="R60" s="114"/>
      <c r="S60" s="114"/>
      <c r="T60" s="114"/>
      <c r="U60" s="114"/>
      <c r="V60" s="114"/>
      <c r="W60" s="114"/>
      <c r="X60" s="114"/>
      <c r="Y60" s="114"/>
      <c r="Z60" s="114"/>
    </row>
    <row r="61" spans="1:26" ht="15.75" customHeight="1" x14ac:dyDescent="0.25">
      <c r="A61" s="24"/>
      <c r="B61" s="174"/>
      <c r="C61" s="24"/>
      <c r="D61" s="24"/>
      <c r="E61" s="24"/>
      <c r="F61" s="114"/>
      <c r="G61" s="114"/>
      <c r="H61" s="114"/>
      <c r="I61" s="114"/>
      <c r="J61" s="114"/>
      <c r="K61" s="114"/>
      <c r="L61" s="114"/>
      <c r="M61" s="114"/>
      <c r="N61" s="114"/>
      <c r="O61" s="114"/>
      <c r="P61" s="114"/>
      <c r="Q61" s="114"/>
      <c r="R61" s="114"/>
      <c r="S61" s="114"/>
      <c r="T61" s="114"/>
      <c r="U61" s="114"/>
      <c r="V61" s="114"/>
      <c r="W61" s="114"/>
      <c r="X61" s="114"/>
      <c r="Y61" s="114"/>
      <c r="Z61" s="114"/>
    </row>
    <row r="62" spans="1:26" ht="15.75" customHeight="1" x14ac:dyDescent="0.25">
      <c r="A62" s="24"/>
      <c r="B62" s="174"/>
      <c r="C62" s="24"/>
      <c r="D62" s="24"/>
      <c r="E62" s="24"/>
      <c r="F62" s="114"/>
      <c r="G62" s="114"/>
      <c r="H62" s="114"/>
      <c r="I62" s="114"/>
      <c r="J62" s="114"/>
      <c r="K62" s="114"/>
      <c r="L62" s="114"/>
      <c r="M62" s="114"/>
      <c r="N62" s="114"/>
      <c r="O62" s="114"/>
      <c r="P62" s="114"/>
      <c r="Q62" s="114"/>
      <c r="R62" s="114"/>
      <c r="S62" s="114"/>
      <c r="T62" s="114"/>
      <c r="U62" s="114"/>
      <c r="V62" s="114"/>
      <c r="W62" s="114"/>
      <c r="X62" s="114"/>
      <c r="Y62" s="114"/>
      <c r="Z62" s="114"/>
    </row>
    <row r="63" spans="1:26" ht="15.75" customHeight="1" x14ac:dyDescent="0.25">
      <c r="A63" s="24"/>
      <c r="B63" s="174"/>
      <c r="C63" s="24"/>
      <c r="D63" s="24"/>
      <c r="E63" s="24"/>
      <c r="F63" s="114"/>
      <c r="G63" s="114"/>
      <c r="H63" s="114"/>
      <c r="I63" s="114"/>
      <c r="J63" s="114"/>
      <c r="K63" s="114"/>
      <c r="L63" s="114"/>
      <c r="M63" s="114"/>
      <c r="N63" s="114"/>
      <c r="O63" s="114"/>
      <c r="P63" s="114"/>
      <c r="Q63" s="114"/>
      <c r="R63" s="114"/>
      <c r="S63" s="114"/>
      <c r="T63" s="114"/>
      <c r="U63" s="114"/>
      <c r="V63" s="114"/>
      <c r="W63" s="114"/>
      <c r="X63" s="114"/>
      <c r="Y63" s="114"/>
      <c r="Z63" s="114"/>
    </row>
    <row r="64" spans="1:26" ht="15.75" customHeight="1" x14ac:dyDescent="0.25">
      <c r="A64" s="24"/>
      <c r="B64" s="174"/>
      <c r="C64" s="24"/>
      <c r="D64" s="24"/>
      <c r="E64" s="24"/>
      <c r="F64" s="114"/>
      <c r="G64" s="114"/>
      <c r="H64" s="114"/>
      <c r="I64" s="114"/>
      <c r="J64" s="114"/>
      <c r="K64" s="114"/>
      <c r="L64" s="114"/>
      <c r="M64" s="114"/>
      <c r="N64" s="114"/>
      <c r="O64" s="114"/>
      <c r="P64" s="114"/>
      <c r="Q64" s="114"/>
      <c r="R64" s="114"/>
      <c r="S64" s="114"/>
      <c r="T64" s="114"/>
      <c r="U64" s="114"/>
      <c r="V64" s="114"/>
      <c r="W64" s="114"/>
      <c r="X64" s="114"/>
      <c r="Y64" s="114"/>
      <c r="Z64" s="114"/>
    </row>
    <row r="65" spans="1:26" ht="15.75" customHeight="1" x14ac:dyDescent="0.25">
      <c r="A65" s="24"/>
      <c r="B65" s="174"/>
      <c r="C65" s="24"/>
      <c r="D65" s="24"/>
      <c r="E65" s="24"/>
      <c r="F65" s="114"/>
      <c r="G65" s="114"/>
      <c r="H65" s="114"/>
      <c r="I65" s="114"/>
      <c r="J65" s="114"/>
      <c r="K65" s="114"/>
      <c r="L65" s="114"/>
      <c r="M65" s="114"/>
      <c r="N65" s="114"/>
      <c r="O65" s="114"/>
      <c r="P65" s="114"/>
      <c r="Q65" s="114"/>
      <c r="R65" s="114"/>
      <c r="S65" s="114"/>
      <c r="T65" s="114"/>
      <c r="U65" s="114"/>
      <c r="V65" s="114"/>
      <c r="W65" s="114"/>
      <c r="X65" s="114"/>
      <c r="Y65" s="114"/>
      <c r="Z65" s="114"/>
    </row>
    <row r="66" spans="1:26" ht="15.75" customHeight="1" x14ac:dyDescent="0.25">
      <c r="A66" s="24"/>
      <c r="B66" s="174"/>
      <c r="C66" s="24"/>
      <c r="D66" s="24"/>
      <c r="E66" s="24"/>
      <c r="F66" s="114"/>
      <c r="G66" s="114"/>
      <c r="H66" s="114"/>
      <c r="I66" s="114"/>
      <c r="J66" s="114"/>
      <c r="K66" s="114"/>
      <c r="L66" s="114"/>
      <c r="M66" s="114"/>
      <c r="N66" s="114"/>
      <c r="O66" s="114"/>
      <c r="P66" s="114"/>
      <c r="Q66" s="114"/>
      <c r="R66" s="114"/>
      <c r="S66" s="114"/>
      <c r="T66" s="114"/>
      <c r="U66" s="114"/>
      <c r="V66" s="114"/>
      <c r="W66" s="114"/>
      <c r="X66" s="114"/>
      <c r="Y66" s="114"/>
      <c r="Z66" s="114"/>
    </row>
    <row r="67" spans="1:26" ht="15.75" customHeight="1" x14ac:dyDescent="0.25">
      <c r="A67" s="24"/>
      <c r="B67" s="174"/>
      <c r="C67" s="24"/>
      <c r="D67" s="24"/>
      <c r="E67" s="24"/>
      <c r="F67" s="114"/>
      <c r="G67" s="114"/>
      <c r="H67" s="114"/>
      <c r="I67" s="114"/>
      <c r="J67" s="114"/>
      <c r="K67" s="114"/>
      <c r="L67" s="114"/>
      <c r="M67" s="114"/>
      <c r="N67" s="114"/>
      <c r="O67" s="114"/>
      <c r="P67" s="114"/>
      <c r="Q67" s="114"/>
      <c r="R67" s="114"/>
      <c r="S67" s="114"/>
      <c r="T67" s="114"/>
      <c r="U67" s="114"/>
      <c r="V67" s="114"/>
      <c r="W67" s="114"/>
      <c r="X67" s="114"/>
      <c r="Y67" s="114"/>
      <c r="Z67" s="114"/>
    </row>
    <row r="68" spans="1:26" ht="15.75" customHeight="1" x14ac:dyDescent="0.25">
      <c r="A68" s="24"/>
      <c r="B68" s="174"/>
      <c r="C68" s="24"/>
      <c r="D68" s="24"/>
      <c r="E68" s="24"/>
      <c r="F68" s="114"/>
      <c r="G68" s="114"/>
      <c r="H68" s="114"/>
      <c r="I68" s="114"/>
      <c r="J68" s="114"/>
      <c r="K68" s="114"/>
      <c r="L68" s="114"/>
      <c r="M68" s="114"/>
      <c r="N68" s="114"/>
      <c r="O68" s="114"/>
      <c r="P68" s="114"/>
      <c r="Q68" s="114"/>
      <c r="R68" s="114"/>
      <c r="S68" s="114"/>
      <c r="T68" s="114"/>
      <c r="U68" s="114"/>
      <c r="V68" s="114"/>
      <c r="W68" s="114"/>
      <c r="X68" s="114"/>
      <c r="Y68" s="114"/>
      <c r="Z68" s="114"/>
    </row>
    <row r="69" spans="1:26" ht="15.75" customHeight="1" x14ac:dyDescent="0.25">
      <c r="A69" s="24"/>
      <c r="B69" s="174"/>
      <c r="C69" s="24"/>
      <c r="D69" s="24"/>
      <c r="E69" s="24"/>
      <c r="F69" s="114"/>
      <c r="G69" s="114"/>
      <c r="H69" s="114"/>
      <c r="I69" s="114"/>
      <c r="J69" s="114"/>
      <c r="K69" s="114"/>
      <c r="L69" s="114"/>
      <c r="M69" s="114"/>
      <c r="N69" s="114"/>
      <c r="O69" s="114"/>
      <c r="P69" s="114"/>
      <c r="Q69" s="114"/>
      <c r="R69" s="114"/>
      <c r="S69" s="114"/>
      <c r="T69" s="114"/>
      <c r="U69" s="114"/>
      <c r="V69" s="114"/>
      <c r="W69" s="114"/>
      <c r="X69" s="114"/>
      <c r="Y69" s="114"/>
      <c r="Z69" s="114"/>
    </row>
    <row r="70" spans="1:26" ht="15.75" customHeight="1" x14ac:dyDescent="0.25">
      <c r="A70" s="24"/>
      <c r="B70" s="174"/>
      <c r="C70" s="24"/>
      <c r="D70" s="24"/>
      <c r="E70" s="24"/>
      <c r="F70" s="114"/>
      <c r="G70" s="114"/>
      <c r="H70" s="114"/>
      <c r="I70" s="114"/>
      <c r="J70" s="114"/>
      <c r="K70" s="114"/>
      <c r="L70" s="114"/>
      <c r="M70" s="114"/>
      <c r="N70" s="114"/>
      <c r="O70" s="114"/>
      <c r="P70" s="114"/>
      <c r="Q70" s="114"/>
      <c r="R70" s="114"/>
      <c r="S70" s="114"/>
      <c r="T70" s="114"/>
      <c r="U70" s="114"/>
      <c r="V70" s="114"/>
      <c r="W70" s="114"/>
      <c r="X70" s="114"/>
      <c r="Y70" s="114"/>
      <c r="Z70" s="114"/>
    </row>
    <row r="71" spans="1:26" ht="15.75" customHeight="1" x14ac:dyDescent="0.25">
      <c r="A71" s="24"/>
      <c r="B71" s="174"/>
      <c r="C71" s="24"/>
      <c r="D71" s="24"/>
      <c r="E71" s="24"/>
      <c r="F71" s="114"/>
      <c r="G71" s="114"/>
      <c r="H71" s="114"/>
      <c r="I71" s="114"/>
      <c r="J71" s="114"/>
      <c r="K71" s="114"/>
      <c r="L71" s="114"/>
      <c r="M71" s="114"/>
      <c r="N71" s="114"/>
      <c r="O71" s="114"/>
      <c r="P71" s="114"/>
      <c r="Q71" s="114"/>
      <c r="R71" s="114"/>
      <c r="S71" s="114"/>
      <c r="T71" s="114"/>
      <c r="U71" s="114"/>
      <c r="V71" s="114"/>
      <c r="W71" s="114"/>
      <c r="X71" s="114"/>
      <c r="Y71" s="114"/>
      <c r="Z71" s="114"/>
    </row>
    <row r="72" spans="1:26" ht="15.75" customHeight="1" x14ac:dyDescent="0.25">
      <c r="A72" s="24"/>
      <c r="B72" s="174"/>
      <c r="C72" s="24"/>
      <c r="D72" s="24"/>
      <c r="E72" s="24"/>
      <c r="F72" s="114"/>
      <c r="G72" s="114"/>
      <c r="H72" s="114"/>
      <c r="I72" s="114"/>
      <c r="J72" s="114"/>
      <c r="K72" s="114"/>
      <c r="L72" s="114"/>
      <c r="M72" s="114"/>
      <c r="N72" s="114"/>
      <c r="O72" s="114"/>
      <c r="P72" s="114"/>
      <c r="Q72" s="114"/>
      <c r="R72" s="114"/>
      <c r="S72" s="114"/>
      <c r="T72" s="114"/>
      <c r="U72" s="114"/>
      <c r="V72" s="114"/>
      <c r="W72" s="114"/>
      <c r="X72" s="114"/>
      <c r="Y72" s="114"/>
      <c r="Z72" s="114"/>
    </row>
    <row r="73" spans="1:26" ht="15.75" customHeight="1" x14ac:dyDescent="0.25">
      <c r="A73" s="24"/>
      <c r="B73" s="174"/>
      <c r="C73" s="24"/>
      <c r="D73" s="24"/>
      <c r="E73" s="24"/>
      <c r="F73" s="114"/>
      <c r="G73" s="114"/>
      <c r="H73" s="114"/>
      <c r="I73" s="114"/>
      <c r="J73" s="114"/>
      <c r="K73" s="114"/>
      <c r="L73" s="114"/>
      <c r="M73" s="114"/>
      <c r="N73" s="114"/>
      <c r="O73" s="114"/>
      <c r="P73" s="114"/>
      <c r="Q73" s="114"/>
      <c r="R73" s="114"/>
      <c r="S73" s="114"/>
      <c r="T73" s="114"/>
      <c r="U73" s="114"/>
      <c r="V73" s="114"/>
      <c r="W73" s="114"/>
      <c r="X73" s="114"/>
      <c r="Y73" s="114"/>
      <c r="Z73" s="114"/>
    </row>
    <row r="74" spans="1:26" ht="15.75" customHeight="1" x14ac:dyDescent="0.25">
      <c r="A74" s="24"/>
      <c r="B74" s="174"/>
      <c r="C74" s="24"/>
      <c r="D74" s="24"/>
      <c r="E74" s="24"/>
      <c r="F74" s="114"/>
      <c r="G74" s="114"/>
      <c r="H74" s="114"/>
      <c r="I74" s="114"/>
      <c r="J74" s="114"/>
      <c r="K74" s="114"/>
      <c r="L74" s="114"/>
      <c r="M74" s="114"/>
      <c r="N74" s="114"/>
      <c r="O74" s="114"/>
      <c r="P74" s="114"/>
      <c r="Q74" s="114"/>
      <c r="R74" s="114"/>
      <c r="S74" s="114"/>
      <c r="T74" s="114"/>
      <c r="U74" s="114"/>
      <c r="V74" s="114"/>
      <c r="W74" s="114"/>
      <c r="X74" s="114"/>
      <c r="Y74" s="114"/>
      <c r="Z74" s="114"/>
    </row>
    <row r="75" spans="1:26" ht="15.75" customHeight="1" x14ac:dyDescent="0.25">
      <c r="A75" s="24"/>
      <c r="B75" s="174"/>
      <c r="C75" s="24"/>
      <c r="D75" s="24"/>
      <c r="E75" s="24"/>
      <c r="F75" s="114"/>
      <c r="G75" s="114"/>
      <c r="H75" s="114"/>
      <c r="I75" s="114"/>
      <c r="J75" s="114"/>
      <c r="K75" s="114"/>
      <c r="L75" s="114"/>
      <c r="M75" s="114"/>
      <c r="N75" s="114"/>
      <c r="O75" s="114"/>
      <c r="P75" s="114"/>
      <c r="Q75" s="114"/>
      <c r="R75" s="114"/>
      <c r="S75" s="114"/>
      <c r="T75" s="114"/>
      <c r="U75" s="114"/>
      <c r="V75" s="114"/>
      <c r="W75" s="114"/>
      <c r="X75" s="114"/>
      <c r="Y75" s="114"/>
      <c r="Z75" s="114"/>
    </row>
    <row r="76" spans="1:26" ht="15.75" customHeight="1" x14ac:dyDescent="0.25">
      <c r="A76" s="24"/>
      <c r="B76" s="174"/>
      <c r="C76" s="24"/>
      <c r="D76" s="24"/>
      <c r="E76" s="24"/>
      <c r="F76" s="114"/>
      <c r="G76" s="114"/>
      <c r="H76" s="114"/>
      <c r="I76" s="114"/>
      <c r="J76" s="114"/>
      <c r="K76" s="114"/>
      <c r="L76" s="114"/>
      <c r="M76" s="114"/>
      <c r="N76" s="114"/>
      <c r="O76" s="114"/>
      <c r="P76" s="114"/>
      <c r="Q76" s="114"/>
      <c r="R76" s="114"/>
      <c r="S76" s="114"/>
      <c r="T76" s="114"/>
      <c r="U76" s="114"/>
      <c r="V76" s="114"/>
      <c r="W76" s="114"/>
      <c r="X76" s="114"/>
      <c r="Y76" s="114"/>
      <c r="Z76" s="114"/>
    </row>
    <row r="77" spans="1:26" ht="15.75" customHeight="1" x14ac:dyDescent="0.25">
      <c r="A77" s="24"/>
      <c r="B77" s="174"/>
      <c r="C77" s="24"/>
      <c r="D77" s="24"/>
      <c r="E77" s="24"/>
      <c r="F77" s="114"/>
      <c r="G77" s="114"/>
      <c r="H77" s="114"/>
      <c r="I77" s="114"/>
      <c r="J77" s="114"/>
      <c r="K77" s="114"/>
      <c r="L77" s="114"/>
      <c r="M77" s="114"/>
      <c r="N77" s="114"/>
      <c r="O77" s="114"/>
      <c r="P77" s="114"/>
      <c r="Q77" s="114"/>
      <c r="R77" s="114"/>
      <c r="S77" s="114"/>
      <c r="T77" s="114"/>
      <c r="U77" s="114"/>
      <c r="V77" s="114"/>
      <c r="W77" s="114"/>
      <c r="X77" s="114"/>
      <c r="Y77" s="114"/>
      <c r="Z77" s="114"/>
    </row>
    <row r="78" spans="1:26" ht="15.75" customHeight="1" x14ac:dyDescent="0.25">
      <c r="A78" s="24"/>
      <c r="B78" s="174"/>
      <c r="C78" s="24"/>
      <c r="D78" s="24"/>
      <c r="E78" s="24"/>
      <c r="F78" s="114"/>
      <c r="G78" s="114"/>
      <c r="H78" s="114"/>
      <c r="I78" s="114"/>
      <c r="J78" s="114"/>
      <c r="K78" s="114"/>
      <c r="L78" s="114"/>
      <c r="M78" s="114"/>
      <c r="N78" s="114"/>
      <c r="O78" s="114"/>
      <c r="P78" s="114"/>
      <c r="Q78" s="114"/>
      <c r="R78" s="114"/>
      <c r="S78" s="114"/>
      <c r="T78" s="114"/>
      <c r="U78" s="114"/>
      <c r="V78" s="114"/>
      <c r="W78" s="114"/>
      <c r="X78" s="114"/>
      <c r="Y78" s="114"/>
      <c r="Z78" s="114"/>
    </row>
    <row r="79" spans="1:26" ht="15.75" customHeight="1" x14ac:dyDescent="0.25">
      <c r="A79" s="24"/>
      <c r="B79" s="174"/>
      <c r="C79" s="24"/>
      <c r="D79" s="24"/>
      <c r="E79" s="24"/>
      <c r="F79" s="114"/>
      <c r="G79" s="114"/>
      <c r="H79" s="114"/>
      <c r="I79" s="114"/>
      <c r="J79" s="114"/>
      <c r="K79" s="114"/>
      <c r="L79" s="114"/>
      <c r="M79" s="114"/>
      <c r="N79" s="114"/>
      <c r="O79" s="114"/>
      <c r="P79" s="114"/>
      <c r="Q79" s="114"/>
      <c r="R79" s="114"/>
      <c r="S79" s="114"/>
      <c r="T79" s="114"/>
      <c r="U79" s="114"/>
      <c r="V79" s="114"/>
      <c r="W79" s="114"/>
      <c r="X79" s="114"/>
      <c r="Y79" s="114"/>
      <c r="Z79" s="114"/>
    </row>
    <row r="80" spans="1:26" ht="15.75" customHeight="1" x14ac:dyDescent="0.25">
      <c r="A80" s="24"/>
      <c r="B80" s="174"/>
      <c r="C80" s="24"/>
      <c r="D80" s="24"/>
      <c r="E80" s="24"/>
      <c r="F80" s="114"/>
      <c r="G80" s="114"/>
      <c r="H80" s="114"/>
      <c r="I80" s="114"/>
      <c r="J80" s="114"/>
      <c r="K80" s="114"/>
      <c r="L80" s="114"/>
      <c r="M80" s="114"/>
      <c r="N80" s="114"/>
      <c r="O80" s="114"/>
      <c r="P80" s="114"/>
      <c r="Q80" s="114"/>
      <c r="R80" s="114"/>
      <c r="S80" s="114"/>
      <c r="T80" s="114"/>
      <c r="U80" s="114"/>
      <c r="V80" s="114"/>
      <c r="W80" s="114"/>
      <c r="X80" s="114"/>
      <c r="Y80" s="114"/>
      <c r="Z80" s="114"/>
    </row>
    <row r="81" spans="1:26" ht="15.75" customHeight="1" x14ac:dyDescent="0.25">
      <c r="A81" s="24"/>
      <c r="B81" s="174"/>
      <c r="C81" s="24"/>
      <c r="D81" s="24"/>
      <c r="E81" s="24"/>
      <c r="F81" s="114"/>
      <c r="G81" s="114"/>
      <c r="H81" s="114"/>
      <c r="I81" s="114"/>
      <c r="J81" s="114"/>
      <c r="K81" s="114"/>
      <c r="L81" s="114"/>
      <c r="M81" s="114"/>
      <c r="N81" s="114"/>
      <c r="O81" s="114"/>
      <c r="P81" s="114"/>
      <c r="Q81" s="114"/>
      <c r="R81" s="114"/>
      <c r="S81" s="114"/>
      <c r="T81" s="114"/>
      <c r="U81" s="114"/>
      <c r="V81" s="114"/>
      <c r="W81" s="114"/>
      <c r="X81" s="114"/>
      <c r="Y81" s="114"/>
      <c r="Z81" s="114"/>
    </row>
    <row r="82" spans="1:26" ht="15.75" customHeight="1" x14ac:dyDescent="0.25">
      <c r="A82" s="24"/>
      <c r="B82" s="174"/>
      <c r="C82" s="24"/>
      <c r="D82" s="24"/>
      <c r="E82" s="24"/>
      <c r="F82" s="114"/>
      <c r="G82" s="114"/>
      <c r="H82" s="114"/>
      <c r="I82" s="114"/>
      <c r="J82" s="114"/>
      <c r="K82" s="114"/>
      <c r="L82" s="114"/>
      <c r="M82" s="114"/>
      <c r="N82" s="114"/>
      <c r="O82" s="114"/>
      <c r="P82" s="114"/>
      <c r="Q82" s="114"/>
      <c r="R82" s="114"/>
      <c r="S82" s="114"/>
      <c r="T82" s="114"/>
      <c r="U82" s="114"/>
      <c r="V82" s="114"/>
      <c r="W82" s="114"/>
      <c r="X82" s="114"/>
      <c r="Y82" s="114"/>
      <c r="Z82" s="114"/>
    </row>
    <row r="83" spans="1:26" ht="15.75" customHeight="1" x14ac:dyDescent="0.25">
      <c r="A83" s="24"/>
      <c r="B83" s="174"/>
      <c r="C83" s="24"/>
      <c r="D83" s="24"/>
      <c r="E83" s="24"/>
      <c r="F83" s="114"/>
      <c r="G83" s="114"/>
      <c r="H83" s="114"/>
      <c r="I83" s="114"/>
      <c r="J83" s="114"/>
      <c r="K83" s="114"/>
      <c r="L83" s="114"/>
      <c r="M83" s="114"/>
      <c r="N83" s="114"/>
      <c r="O83" s="114"/>
      <c r="P83" s="114"/>
      <c r="Q83" s="114"/>
      <c r="R83" s="114"/>
      <c r="S83" s="114"/>
      <c r="T83" s="114"/>
      <c r="U83" s="114"/>
      <c r="V83" s="114"/>
      <c r="W83" s="114"/>
      <c r="X83" s="114"/>
      <c r="Y83" s="114"/>
      <c r="Z83" s="114"/>
    </row>
    <row r="84" spans="1:26" ht="15.75" customHeight="1" x14ac:dyDescent="0.25">
      <c r="A84" s="24"/>
      <c r="B84" s="174"/>
      <c r="C84" s="24"/>
      <c r="D84" s="24"/>
      <c r="E84" s="24"/>
      <c r="F84" s="114"/>
      <c r="G84" s="114"/>
      <c r="H84" s="114"/>
      <c r="I84" s="114"/>
      <c r="J84" s="114"/>
      <c r="K84" s="114"/>
      <c r="L84" s="114"/>
      <c r="M84" s="114"/>
      <c r="N84" s="114"/>
      <c r="O84" s="114"/>
      <c r="P84" s="114"/>
      <c r="Q84" s="114"/>
      <c r="R84" s="114"/>
      <c r="S84" s="114"/>
      <c r="T84" s="114"/>
      <c r="U84" s="114"/>
      <c r="V84" s="114"/>
      <c r="W84" s="114"/>
      <c r="X84" s="114"/>
      <c r="Y84" s="114"/>
      <c r="Z84" s="114"/>
    </row>
    <row r="85" spans="1:26" ht="15.75" customHeight="1" x14ac:dyDescent="0.25">
      <c r="A85" s="24"/>
      <c r="B85" s="174"/>
      <c r="C85" s="24"/>
      <c r="D85" s="24"/>
      <c r="E85" s="24"/>
      <c r="F85" s="114"/>
      <c r="G85" s="114"/>
      <c r="H85" s="114"/>
      <c r="I85" s="114"/>
      <c r="J85" s="114"/>
      <c r="K85" s="114"/>
      <c r="L85" s="114"/>
      <c r="M85" s="114"/>
      <c r="N85" s="114"/>
      <c r="O85" s="114"/>
      <c r="P85" s="114"/>
      <c r="Q85" s="114"/>
      <c r="R85" s="114"/>
      <c r="S85" s="114"/>
      <c r="T85" s="114"/>
      <c r="U85" s="114"/>
      <c r="V85" s="114"/>
      <c r="W85" s="114"/>
      <c r="X85" s="114"/>
      <c r="Y85" s="114"/>
      <c r="Z85" s="114"/>
    </row>
    <row r="86" spans="1:26" ht="15.75" customHeight="1" x14ac:dyDescent="0.25">
      <c r="A86" s="24"/>
      <c r="B86" s="174"/>
      <c r="C86" s="24"/>
      <c r="D86" s="24"/>
      <c r="E86" s="24"/>
      <c r="F86" s="114"/>
      <c r="G86" s="114"/>
      <c r="H86" s="114"/>
      <c r="I86" s="114"/>
      <c r="J86" s="114"/>
      <c r="K86" s="114"/>
      <c r="L86" s="114"/>
      <c r="M86" s="114"/>
      <c r="N86" s="114"/>
      <c r="O86" s="114"/>
      <c r="P86" s="114"/>
      <c r="Q86" s="114"/>
      <c r="R86" s="114"/>
      <c r="S86" s="114"/>
      <c r="T86" s="114"/>
      <c r="U86" s="114"/>
      <c r="V86" s="114"/>
      <c r="W86" s="114"/>
      <c r="X86" s="114"/>
      <c r="Y86" s="114"/>
      <c r="Z86" s="114"/>
    </row>
    <row r="87" spans="1:26" ht="15.75" customHeight="1" x14ac:dyDescent="0.25">
      <c r="A87" s="24"/>
      <c r="B87" s="174"/>
      <c r="C87" s="24"/>
      <c r="D87" s="24"/>
      <c r="E87" s="24"/>
      <c r="F87" s="114"/>
      <c r="G87" s="114"/>
      <c r="H87" s="114"/>
      <c r="I87" s="114"/>
      <c r="J87" s="114"/>
      <c r="K87" s="114"/>
      <c r="L87" s="114"/>
      <c r="M87" s="114"/>
      <c r="N87" s="114"/>
      <c r="O87" s="114"/>
      <c r="P87" s="114"/>
      <c r="Q87" s="114"/>
      <c r="R87" s="114"/>
      <c r="S87" s="114"/>
      <c r="T87" s="114"/>
      <c r="U87" s="114"/>
      <c r="V87" s="114"/>
      <c r="W87" s="114"/>
      <c r="X87" s="114"/>
      <c r="Y87" s="114"/>
      <c r="Z87" s="114"/>
    </row>
    <row r="88" spans="1:26" ht="15.75" customHeight="1" x14ac:dyDescent="0.25">
      <c r="A88" s="24"/>
      <c r="B88" s="174"/>
      <c r="C88" s="24"/>
      <c r="D88" s="24"/>
      <c r="E88" s="24"/>
      <c r="F88" s="114"/>
      <c r="G88" s="114"/>
      <c r="H88" s="114"/>
      <c r="I88" s="114"/>
      <c r="J88" s="114"/>
      <c r="K88" s="114"/>
      <c r="L88" s="114"/>
      <c r="M88" s="114"/>
      <c r="N88" s="114"/>
      <c r="O88" s="114"/>
      <c r="P88" s="114"/>
      <c r="Q88" s="114"/>
      <c r="R88" s="114"/>
      <c r="S88" s="114"/>
      <c r="T88" s="114"/>
      <c r="U88" s="114"/>
      <c r="V88" s="114"/>
      <c r="W88" s="114"/>
      <c r="X88" s="114"/>
      <c r="Y88" s="114"/>
      <c r="Z88" s="114"/>
    </row>
    <row r="89" spans="1:26" ht="15.75" customHeight="1" x14ac:dyDescent="0.25">
      <c r="A89" s="24"/>
      <c r="B89" s="174"/>
      <c r="C89" s="24"/>
      <c r="D89" s="24"/>
      <c r="E89" s="24"/>
      <c r="F89" s="114"/>
      <c r="G89" s="114"/>
      <c r="H89" s="114"/>
      <c r="I89" s="114"/>
      <c r="J89" s="114"/>
      <c r="K89" s="114"/>
      <c r="L89" s="114"/>
      <c r="M89" s="114"/>
      <c r="N89" s="114"/>
      <c r="O89" s="114"/>
      <c r="P89" s="114"/>
      <c r="Q89" s="114"/>
      <c r="R89" s="114"/>
      <c r="S89" s="114"/>
      <c r="T89" s="114"/>
      <c r="U89" s="114"/>
      <c r="V89" s="114"/>
      <c r="W89" s="114"/>
      <c r="X89" s="114"/>
      <c r="Y89" s="114"/>
      <c r="Z89" s="114"/>
    </row>
    <row r="90" spans="1:26" ht="15.75" customHeight="1" x14ac:dyDescent="0.25">
      <c r="A90" s="24"/>
      <c r="B90" s="174"/>
      <c r="C90" s="24"/>
      <c r="D90" s="24"/>
      <c r="E90" s="24"/>
      <c r="F90" s="114"/>
      <c r="G90" s="114"/>
      <c r="H90" s="114"/>
      <c r="I90" s="114"/>
      <c r="J90" s="114"/>
      <c r="K90" s="114"/>
      <c r="L90" s="114"/>
      <c r="M90" s="114"/>
      <c r="N90" s="114"/>
      <c r="O90" s="114"/>
      <c r="P90" s="114"/>
      <c r="Q90" s="114"/>
      <c r="R90" s="114"/>
      <c r="S90" s="114"/>
      <c r="T90" s="114"/>
      <c r="U90" s="114"/>
      <c r="V90" s="114"/>
      <c r="W90" s="114"/>
      <c r="X90" s="114"/>
      <c r="Y90" s="114"/>
      <c r="Z90" s="114"/>
    </row>
    <row r="91" spans="1:26" ht="15.75" customHeight="1" x14ac:dyDescent="0.25">
      <c r="A91" s="24"/>
      <c r="B91" s="174"/>
      <c r="C91" s="24"/>
      <c r="D91" s="24"/>
      <c r="E91" s="24"/>
      <c r="F91" s="114"/>
      <c r="G91" s="114"/>
      <c r="H91" s="114"/>
      <c r="I91" s="114"/>
      <c r="J91" s="114"/>
      <c r="K91" s="114"/>
      <c r="L91" s="114"/>
      <c r="M91" s="114"/>
      <c r="N91" s="114"/>
      <c r="O91" s="114"/>
      <c r="P91" s="114"/>
      <c r="Q91" s="114"/>
      <c r="R91" s="114"/>
      <c r="S91" s="114"/>
      <c r="T91" s="114"/>
      <c r="U91" s="114"/>
      <c r="V91" s="114"/>
      <c r="W91" s="114"/>
      <c r="X91" s="114"/>
      <c r="Y91" s="114"/>
      <c r="Z91" s="114"/>
    </row>
    <row r="92" spans="1:26" ht="15.75" customHeight="1" x14ac:dyDescent="0.25">
      <c r="A92" s="24"/>
      <c r="B92" s="174"/>
      <c r="C92" s="24"/>
      <c r="D92" s="24"/>
      <c r="E92" s="24"/>
      <c r="F92" s="114"/>
      <c r="G92" s="114"/>
      <c r="H92" s="114"/>
      <c r="I92" s="114"/>
      <c r="J92" s="114"/>
      <c r="K92" s="114"/>
      <c r="L92" s="114"/>
      <c r="M92" s="114"/>
      <c r="N92" s="114"/>
      <c r="O92" s="114"/>
      <c r="P92" s="114"/>
      <c r="Q92" s="114"/>
      <c r="R92" s="114"/>
      <c r="S92" s="114"/>
      <c r="T92" s="114"/>
      <c r="U92" s="114"/>
      <c r="V92" s="114"/>
      <c r="W92" s="114"/>
      <c r="X92" s="114"/>
      <c r="Y92" s="114"/>
      <c r="Z92" s="114"/>
    </row>
    <row r="93" spans="1:26" ht="15.75" customHeight="1" x14ac:dyDescent="0.25">
      <c r="A93" s="24"/>
      <c r="B93" s="174"/>
      <c r="C93" s="24"/>
      <c r="D93" s="24"/>
      <c r="E93" s="24"/>
      <c r="F93" s="114"/>
      <c r="G93" s="114"/>
      <c r="H93" s="114"/>
      <c r="I93" s="114"/>
      <c r="J93" s="114"/>
      <c r="K93" s="114"/>
      <c r="L93" s="114"/>
      <c r="M93" s="114"/>
      <c r="N93" s="114"/>
      <c r="O93" s="114"/>
      <c r="P93" s="114"/>
      <c r="Q93" s="114"/>
      <c r="R93" s="114"/>
      <c r="S93" s="114"/>
      <c r="T93" s="114"/>
      <c r="U93" s="114"/>
      <c r="V93" s="114"/>
      <c r="W93" s="114"/>
      <c r="X93" s="114"/>
      <c r="Y93" s="114"/>
      <c r="Z93" s="114"/>
    </row>
    <row r="94" spans="1:26" ht="15.75" customHeight="1" x14ac:dyDescent="0.25">
      <c r="A94" s="24"/>
      <c r="B94" s="174"/>
      <c r="C94" s="24"/>
      <c r="D94" s="24"/>
      <c r="E94" s="24"/>
      <c r="F94" s="114"/>
      <c r="G94" s="114"/>
      <c r="H94" s="114"/>
      <c r="I94" s="114"/>
      <c r="J94" s="114"/>
      <c r="K94" s="114"/>
      <c r="L94" s="114"/>
      <c r="M94" s="114"/>
      <c r="N94" s="114"/>
      <c r="O94" s="114"/>
      <c r="P94" s="114"/>
      <c r="Q94" s="114"/>
      <c r="R94" s="114"/>
      <c r="S94" s="114"/>
      <c r="T94" s="114"/>
      <c r="U94" s="114"/>
      <c r="V94" s="114"/>
      <c r="W94" s="114"/>
      <c r="X94" s="114"/>
      <c r="Y94" s="114"/>
      <c r="Z94" s="114"/>
    </row>
    <row r="95" spans="1:26" ht="15.75" customHeight="1" x14ac:dyDescent="0.25">
      <c r="A95" s="24"/>
      <c r="B95" s="174"/>
      <c r="C95" s="24"/>
      <c r="D95" s="24"/>
      <c r="E95" s="24"/>
      <c r="F95" s="114"/>
      <c r="G95" s="114"/>
      <c r="H95" s="114"/>
      <c r="I95" s="114"/>
      <c r="J95" s="114"/>
      <c r="K95" s="114"/>
      <c r="L95" s="114"/>
      <c r="M95" s="114"/>
      <c r="N95" s="114"/>
      <c r="O95" s="114"/>
      <c r="P95" s="114"/>
      <c r="Q95" s="114"/>
      <c r="R95" s="114"/>
      <c r="S95" s="114"/>
      <c r="T95" s="114"/>
      <c r="U95" s="114"/>
      <c r="V95" s="114"/>
      <c r="W95" s="114"/>
      <c r="X95" s="114"/>
      <c r="Y95" s="114"/>
      <c r="Z95" s="114"/>
    </row>
    <row r="96" spans="1:26" ht="15.75" customHeight="1" x14ac:dyDescent="0.25">
      <c r="A96" s="24"/>
      <c r="B96" s="174"/>
      <c r="C96" s="24"/>
      <c r="D96" s="24"/>
      <c r="E96" s="24"/>
      <c r="F96" s="114"/>
      <c r="G96" s="114"/>
      <c r="H96" s="114"/>
      <c r="I96" s="114"/>
      <c r="J96" s="114"/>
      <c r="K96" s="114"/>
      <c r="L96" s="114"/>
      <c r="M96" s="114"/>
      <c r="N96" s="114"/>
      <c r="O96" s="114"/>
      <c r="P96" s="114"/>
      <c r="Q96" s="114"/>
      <c r="R96" s="114"/>
      <c r="S96" s="114"/>
      <c r="T96" s="114"/>
      <c r="U96" s="114"/>
      <c r="V96" s="114"/>
      <c r="W96" s="114"/>
      <c r="X96" s="114"/>
      <c r="Y96" s="114"/>
      <c r="Z96" s="114"/>
    </row>
    <row r="97" spans="1:26" ht="15.75" customHeight="1" x14ac:dyDescent="0.25">
      <c r="A97" s="24"/>
      <c r="B97" s="174"/>
      <c r="C97" s="24"/>
      <c r="D97" s="24"/>
      <c r="E97" s="24"/>
      <c r="F97" s="114"/>
      <c r="G97" s="114"/>
      <c r="H97" s="114"/>
      <c r="I97" s="114"/>
      <c r="J97" s="114"/>
      <c r="K97" s="114"/>
      <c r="L97" s="114"/>
      <c r="M97" s="114"/>
      <c r="N97" s="114"/>
      <c r="O97" s="114"/>
      <c r="P97" s="114"/>
      <c r="Q97" s="114"/>
      <c r="R97" s="114"/>
      <c r="S97" s="114"/>
      <c r="T97" s="114"/>
      <c r="U97" s="114"/>
      <c r="V97" s="114"/>
      <c r="W97" s="114"/>
      <c r="X97" s="114"/>
      <c r="Y97" s="114"/>
      <c r="Z97" s="114"/>
    </row>
    <row r="98" spans="1:26" ht="15.75" customHeight="1" x14ac:dyDescent="0.25">
      <c r="A98" s="24"/>
      <c r="B98" s="174"/>
      <c r="C98" s="24"/>
      <c r="D98" s="24"/>
      <c r="E98" s="24"/>
      <c r="F98" s="114"/>
      <c r="G98" s="114"/>
      <c r="H98" s="114"/>
      <c r="I98" s="114"/>
      <c r="J98" s="114"/>
      <c r="K98" s="114"/>
      <c r="L98" s="114"/>
      <c r="M98" s="114"/>
      <c r="N98" s="114"/>
      <c r="O98" s="114"/>
      <c r="P98" s="114"/>
      <c r="Q98" s="114"/>
      <c r="R98" s="114"/>
      <c r="S98" s="114"/>
      <c r="T98" s="114"/>
      <c r="U98" s="114"/>
      <c r="V98" s="114"/>
      <c r="W98" s="114"/>
      <c r="X98" s="114"/>
      <c r="Y98" s="114"/>
      <c r="Z98" s="114"/>
    </row>
    <row r="99" spans="1:26" ht="15.75" customHeight="1" x14ac:dyDescent="0.25">
      <c r="A99" s="24"/>
      <c r="B99" s="174"/>
      <c r="C99" s="24"/>
      <c r="D99" s="24"/>
      <c r="E99" s="24"/>
      <c r="F99" s="114"/>
      <c r="G99" s="114"/>
      <c r="H99" s="114"/>
      <c r="I99" s="114"/>
      <c r="J99" s="114"/>
      <c r="K99" s="114"/>
      <c r="L99" s="114"/>
      <c r="M99" s="114"/>
      <c r="N99" s="114"/>
      <c r="O99" s="114"/>
      <c r="P99" s="114"/>
      <c r="Q99" s="114"/>
      <c r="R99" s="114"/>
      <c r="S99" s="114"/>
      <c r="T99" s="114"/>
      <c r="U99" s="114"/>
      <c r="V99" s="114"/>
      <c r="W99" s="114"/>
      <c r="X99" s="114"/>
      <c r="Y99" s="114"/>
      <c r="Z99" s="114"/>
    </row>
    <row r="100" spans="1:26" ht="15.75" customHeight="1" x14ac:dyDescent="0.25">
      <c r="A100" s="24"/>
      <c r="B100" s="174"/>
      <c r="C100" s="24"/>
      <c r="D100" s="24"/>
      <c r="E100" s="2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25">
      <c r="A101" s="24"/>
      <c r="B101" s="174"/>
      <c r="C101" s="24"/>
      <c r="D101" s="24"/>
      <c r="E101" s="2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25">
      <c r="A102" s="24"/>
      <c r="B102" s="174"/>
      <c r="C102" s="24"/>
      <c r="D102" s="24"/>
      <c r="E102" s="2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25">
      <c r="A103" s="24"/>
      <c r="B103" s="174"/>
      <c r="C103" s="24"/>
      <c r="D103" s="24"/>
      <c r="E103" s="2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25">
      <c r="A104" s="24"/>
      <c r="B104" s="174"/>
      <c r="C104" s="24"/>
      <c r="D104" s="24"/>
      <c r="E104" s="2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25">
      <c r="A105" s="24"/>
      <c r="B105" s="174"/>
      <c r="C105" s="24"/>
      <c r="D105" s="24"/>
      <c r="E105" s="2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25">
      <c r="A106" s="24"/>
      <c r="B106" s="174"/>
      <c r="C106" s="24"/>
      <c r="D106" s="24"/>
      <c r="E106" s="2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25">
      <c r="A107" s="24"/>
      <c r="B107" s="174"/>
      <c r="C107" s="24"/>
      <c r="D107" s="24"/>
      <c r="E107" s="2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25">
      <c r="A108" s="24"/>
      <c r="B108" s="174"/>
      <c r="C108" s="24"/>
      <c r="D108" s="24"/>
      <c r="E108" s="2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25">
      <c r="A109" s="24"/>
      <c r="B109" s="174"/>
      <c r="C109" s="24"/>
      <c r="D109" s="24"/>
      <c r="E109" s="2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25">
      <c r="A110" s="24"/>
      <c r="B110" s="174"/>
      <c r="C110" s="24"/>
      <c r="D110" s="24"/>
      <c r="E110" s="2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25">
      <c r="A111" s="24"/>
      <c r="B111" s="174"/>
      <c r="C111" s="24"/>
      <c r="D111" s="24"/>
      <c r="E111" s="2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25">
      <c r="A112" s="24"/>
      <c r="B112" s="174"/>
      <c r="C112" s="24"/>
      <c r="D112" s="24"/>
      <c r="E112" s="2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25">
      <c r="A113" s="24"/>
      <c r="B113" s="174"/>
      <c r="C113" s="24"/>
      <c r="D113" s="24"/>
      <c r="E113" s="2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25">
      <c r="A114" s="24"/>
      <c r="B114" s="174"/>
      <c r="C114" s="24"/>
      <c r="D114" s="24"/>
      <c r="E114" s="2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25">
      <c r="A115" s="24"/>
      <c r="B115" s="174"/>
      <c r="C115" s="24"/>
      <c r="D115" s="24"/>
      <c r="E115" s="2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25">
      <c r="A116" s="24"/>
      <c r="B116" s="174"/>
      <c r="C116" s="24"/>
      <c r="D116" s="24"/>
      <c r="E116" s="2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25">
      <c r="A117" s="24"/>
      <c r="B117" s="174"/>
      <c r="C117" s="24"/>
      <c r="D117" s="24"/>
      <c r="E117" s="2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25">
      <c r="A118" s="24"/>
      <c r="B118" s="174"/>
      <c r="C118" s="24"/>
      <c r="D118" s="24"/>
      <c r="E118" s="2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25">
      <c r="A119" s="24"/>
      <c r="B119" s="174"/>
      <c r="C119" s="24"/>
      <c r="D119" s="24"/>
      <c r="E119" s="2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25">
      <c r="A120" s="24"/>
      <c r="B120" s="174"/>
      <c r="C120" s="24"/>
      <c r="D120" s="24"/>
      <c r="E120" s="2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25">
      <c r="A121" s="24"/>
      <c r="B121" s="174"/>
      <c r="C121" s="24"/>
      <c r="D121" s="24"/>
      <c r="E121" s="2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25">
      <c r="A122" s="24"/>
      <c r="B122" s="174"/>
      <c r="C122" s="24"/>
      <c r="D122" s="24"/>
      <c r="E122" s="2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25">
      <c r="A123" s="24"/>
      <c r="B123" s="174"/>
      <c r="C123" s="24"/>
      <c r="D123" s="24"/>
      <c r="E123" s="2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25">
      <c r="A124" s="24"/>
      <c r="B124" s="174"/>
      <c r="C124" s="24"/>
      <c r="D124" s="24"/>
      <c r="E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25">
      <c r="A125" s="24"/>
      <c r="B125" s="174"/>
      <c r="C125" s="24"/>
      <c r="D125" s="24"/>
      <c r="E125" s="2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25">
      <c r="A126" s="24"/>
      <c r="B126" s="174"/>
      <c r="C126" s="24"/>
      <c r="D126" s="24"/>
      <c r="E126" s="2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25">
      <c r="A127" s="24"/>
      <c r="B127" s="174"/>
      <c r="C127" s="24"/>
      <c r="D127" s="24"/>
      <c r="E127" s="2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25">
      <c r="A128" s="24"/>
      <c r="B128" s="174"/>
      <c r="C128" s="24"/>
      <c r="D128" s="24"/>
      <c r="E128" s="2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25">
      <c r="A129" s="24"/>
      <c r="B129" s="174"/>
      <c r="C129" s="24"/>
      <c r="D129" s="24"/>
      <c r="E129" s="2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25">
      <c r="A130" s="24"/>
      <c r="B130" s="174"/>
      <c r="C130" s="24"/>
      <c r="D130" s="24"/>
      <c r="E130" s="2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25">
      <c r="A131" s="24"/>
      <c r="B131" s="174"/>
      <c r="C131" s="24"/>
      <c r="D131" s="24"/>
      <c r="E131" s="2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25">
      <c r="A132" s="24"/>
      <c r="B132" s="174"/>
      <c r="C132" s="24"/>
      <c r="D132" s="24"/>
      <c r="E132" s="2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25">
      <c r="A133" s="24"/>
      <c r="B133" s="174"/>
      <c r="C133" s="24"/>
      <c r="D133" s="24"/>
      <c r="E133" s="2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25">
      <c r="A134" s="24"/>
      <c r="B134" s="174"/>
      <c r="C134" s="24"/>
      <c r="D134" s="24"/>
      <c r="E134" s="2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25">
      <c r="A135" s="24"/>
      <c r="B135" s="174"/>
      <c r="C135" s="24"/>
      <c r="D135" s="24"/>
      <c r="E135" s="2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25">
      <c r="A136" s="24"/>
      <c r="B136" s="174"/>
      <c r="C136" s="24"/>
      <c r="D136" s="24"/>
      <c r="E136" s="2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25">
      <c r="A137" s="24"/>
      <c r="B137" s="174"/>
      <c r="C137" s="24"/>
      <c r="D137" s="24"/>
      <c r="E137" s="2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25">
      <c r="A138" s="24"/>
      <c r="B138" s="174"/>
      <c r="C138" s="24"/>
      <c r="D138" s="24"/>
      <c r="E138" s="2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25">
      <c r="A139" s="24"/>
      <c r="B139" s="174"/>
      <c r="C139" s="24"/>
      <c r="D139" s="24"/>
      <c r="E139" s="2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25">
      <c r="A140" s="24"/>
      <c r="B140" s="174"/>
      <c r="C140" s="24"/>
      <c r="D140" s="24"/>
      <c r="E140" s="2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25">
      <c r="A141" s="24"/>
      <c r="B141" s="174"/>
      <c r="C141" s="24"/>
      <c r="D141" s="24"/>
      <c r="E141" s="2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25">
      <c r="A142" s="24"/>
      <c r="B142" s="174"/>
      <c r="C142" s="24"/>
      <c r="D142" s="24"/>
      <c r="E142" s="2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25">
      <c r="A143" s="24"/>
      <c r="B143" s="174"/>
      <c r="C143" s="24"/>
      <c r="D143" s="24"/>
      <c r="E143" s="2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25">
      <c r="A144" s="24"/>
      <c r="B144" s="174"/>
      <c r="C144" s="24"/>
      <c r="D144" s="24"/>
      <c r="E144" s="2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25">
      <c r="A145" s="24"/>
      <c r="B145" s="174"/>
      <c r="C145" s="24"/>
      <c r="D145" s="24"/>
      <c r="E145" s="2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25">
      <c r="A146" s="24"/>
      <c r="B146" s="174"/>
      <c r="C146" s="24"/>
      <c r="D146" s="24"/>
      <c r="E146" s="2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25">
      <c r="A147" s="24"/>
      <c r="B147" s="174"/>
      <c r="C147" s="24"/>
      <c r="D147" s="24"/>
      <c r="E147" s="2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25">
      <c r="A148" s="24"/>
      <c r="B148" s="174"/>
      <c r="C148" s="24"/>
      <c r="D148" s="24"/>
      <c r="E148" s="2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25">
      <c r="A149" s="24"/>
      <c r="B149" s="174"/>
      <c r="C149" s="24"/>
      <c r="D149" s="24"/>
      <c r="E149" s="2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25">
      <c r="A150" s="24"/>
      <c r="B150" s="174"/>
      <c r="C150" s="24"/>
      <c r="D150" s="24"/>
      <c r="E150" s="2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25">
      <c r="A151" s="24"/>
      <c r="B151" s="174"/>
      <c r="C151" s="24"/>
      <c r="D151" s="24"/>
      <c r="E151" s="2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25">
      <c r="A152" s="24"/>
      <c r="B152" s="174"/>
      <c r="C152" s="24"/>
      <c r="D152" s="24"/>
      <c r="E152" s="2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25">
      <c r="A153" s="24"/>
      <c r="B153" s="174"/>
      <c r="C153" s="24"/>
      <c r="D153" s="24"/>
      <c r="E153" s="2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25">
      <c r="A154" s="24"/>
      <c r="B154" s="174"/>
      <c r="C154" s="24"/>
      <c r="D154" s="24"/>
      <c r="E154" s="2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25">
      <c r="A155" s="24"/>
      <c r="B155" s="174"/>
      <c r="C155" s="24"/>
      <c r="D155" s="24"/>
      <c r="E155" s="2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25">
      <c r="A156" s="24"/>
      <c r="B156" s="174"/>
      <c r="C156" s="24"/>
      <c r="D156" s="24"/>
      <c r="E156" s="2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25">
      <c r="A157" s="24"/>
      <c r="B157" s="174"/>
      <c r="C157" s="24"/>
      <c r="D157" s="24"/>
      <c r="E157" s="2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25">
      <c r="A158" s="24"/>
      <c r="B158" s="174"/>
      <c r="C158" s="24"/>
      <c r="D158" s="24"/>
      <c r="E158" s="2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25">
      <c r="A159" s="24"/>
      <c r="B159" s="174"/>
      <c r="C159" s="24"/>
      <c r="D159" s="24"/>
      <c r="E159" s="2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25">
      <c r="A160" s="24"/>
      <c r="B160" s="174"/>
      <c r="C160" s="24"/>
      <c r="D160" s="24"/>
      <c r="E160" s="2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25">
      <c r="A161" s="24"/>
      <c r="B161" s="174"/>
      <c r="C161" s="24"/>
      <c r="D161" s="24"/>
      <c r="E161" s="2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25">
      <c r="A162" s="24"/>
      <c r="B162" s="174"/>
      <c r="C162" s="24"/>
      <c r="D162" s="24"/>
      <c r="E162" s="2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25">
      <c r="A163" s="24"/>
      <c r="B163" s="174"/>
      <c r="C163" s="24"/>
      <c r="D163" s="24"/>
      <c r="E163" s="2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25">
      <c r="A164" s="24"/>
      <c r="B164" s="174"/>
      <c r="C164" s="24"/>
      <c r="D164" s="24"/>
      <c r="E164" s="2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25">
      <c r="A165" s="24"/>
      <c r="B165" s="174"/>
      <c r="C165" s="24"/>
      <c r="D165" s="24"/>
      <c r="E165" s="2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25">
      <c r="A166" s="24"/>
      <c r="B166" s="174"/>
      <c r="C166" s="24"/>
      <c r="D166" s="24"/>
      <c r="E166" s="2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25">
      <c r="A167" s="24"/>
      <c r="B167" s="174"/>
      <c r="C167" s="24"/>
      <c r="D167" s="24"/>
      <c r="E167" s="2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25">
      <c r="A168" s="24"/>
      <c r="B168" s="174"/>
      <c r="C168" s="24"/>
      <c r="D168" s="24"/>
      <c r="E168" s="2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25">
      <c r="A169" s="24"/>
      <c r="B169" s="174"/>
      <c r="C169" s="24"/>
      <c r="D169" s="24"/>
      <c r="E169" s="2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25">
      <c r="A170" s="24"/>
      <c r="B170" s="174"/>
      <c r="C170" s="24"/>
      <c r="D170" s="24"/>
      <c r="E170" s="2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25">
      <c r="A171" s="24"/>
      <c r="B171" s="174"/>
      <c r="C171" s="24"/>
      <c r="D171" s="24"/>
      <c r="E171" s="2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25">
      <c r="A172" s="24"/>
      <c r="B172" s="174"/>
      <c r="C172" s="24"/>
      <c r="D172" s="24"/>
      <c r="E172" s="2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25">
      <c r="A173" s="24"/>
      <c r="B173" s="174"/>
      <c r="C173" s="24"/>
      <c r="D173" s="24"/>
      <c r="E173" s="2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25">
      <c r="A174" s="24"/>
      <c r="B174" s="174"/>
      <c r="C174" s="24"/>
      <c r="D174" s="24"/>
      <c r="E174" s="2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25"/>
    <row r="176" spans="1:2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sheetData>
  <mergeCells count="15">
    <mergeCell ref="A33:G33"/>
    <mergeCell ref="A34:A37"/>
    <mergeCell ref="B34:B37"/>
    <mergeCell ref="C34:C35"/>
    <mergeCell ref="D34:F34"/>
    <mergeCell ref="G34:G35"/>
    <mergeCell ref="F35:F36"/>
    <mergeCell ref="A29:G31"/>
    <mergeCell ref="A7:G7"/>
    <mergeCell ref="A8:A11"/>
    <mergeCell ref="B8:B11"/>
    <mergeCell ref="C8:C9"/>
    <mergeCell ref="D8:F8"/>
    <mergeCell ref="G8:G9"/>
    <mergeCell ref="F9:F10"/>
  </mergeCells>
  <printOptions horizontalCentered="1"/>
  <pageMargins left="0.39370078740157483" right="0.39370078740157483" top="0.39370078740157483" bottom="0.39370078740157483" header="0" footer="0"/>
  <pageSetup paperSize="9" scale="9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0"/>
  <sheetViews>
    <sheetView view="pageBreakPreview" zoomScale="115" zoomScaleNormal="100" zoomScaleSheetLayoutView="115" workbookViewId="0">
      <selection activeCell="A15" sqref="A15"/>
    </sheetView>
  </sheetViews>
  <sheetFormatPr defaultColWidth="14.42578125" defaultRowHeight="15" customHeight="1" x14ac:dyDescent="0.25"/>
  <cols>
    <col min="1" max="1" width="77.140625" customWidth="1"/>
    <col min="2" max="2" width="14.42578125" customWidth="1"/>
    <col min="3" max="6" width="18" hidden="1" customWidth="1"/>
    <col min="7" max="7" width="18" customWidth="1"/>
    <col min="8" max="8" width="10.28515625" customWidth="1"/>
    <col min="9" max="9" width="7" customWidth="1"/>
    <col min="10" max="10" width="9.7109375" customWidth="1"/>
    <col min="11" max="11" width="12" customWidth="1"/>
    <col min="12" max="12" width="11.5703125" customWidth="1"/>
    <col min="13" max="13" width="13.140625" customWidth="1"/>
    <col min="14"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1480</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 customHeight="1" x14ac:dyDescent="0.25">
      <c r="A13" s="17" t="s">
        <v>364</v>
      </c>
      <c r="B13" s="172"/>
      <c r="C13" s="42"/>
      <c r="D13" s="42"/>
      <c r="E13" s="42"/>
      <c r="F13" s="42"/>
      <c r="G13" s="42"/>
    </row>
    <row r="14" spans="1:26" ht="15" customHeight="1" x14ac:dyDescent="0.25">
      <c r="A14" s="42" t="s">
        <v>1481</v>
      </c>
      <c r="B14" s="199"/>
      <c r="C14" s="41"/>
      <c r="D14" s="41"/>
      <c r="E14" s="20"/>
      <c r="F14" s="120"/>
      <c r="G14" s="49"/>
    </row>
    <row r="15" spans="1:26" ht="15" customHeight="1" x14ac:dyDescent="0.25">
      <c r="A15" s="17" t="s">
        <v>642</v>
      </c>
      <c r="B15" s="172"/>
      <c r="C15" s="43"/>
      <c r="D15" s="43"/>
      <c r="E15" s="43"/>
      <c r="F15" s="43"/>
      <c r="G15" s="43"/>
    </row>
    <row r="16" spans="1:26" ht="15" customHeight="1" x14ac:dyDescent="0.25">
      <c r="A16" s="44" t="s">
        <v>393</v>
      </c>
      <c r="B16" s="41" t="s">
        <v>187</v>
      </c>
      <c r="C16" s="43">
        <v>244208.8</v>
      </c>
      <c r="D16" s="43">
        <v>11373.11</v>
      </c>
      <c r="E16" s="43">
        <f>F16-D16</f>
        <v>168626.89</v>
      </c>
      <c r="F16" s="43">
        <v>180000</v>
      </c>
      <c r="G16" s="43">
        <v>180000</v>
      </c>
      <c r="H16" s="15"/>
      <c r="I16" s="15"/>
      <c r="J16" s="15"/>
      <c r="K16" s="15"/>
      <c r="L16" s="15"/>
      <c r="M16" s="15"/>
      <c r="N16" s="15"/>
      <c r="O16" s="15"/>
      <c r="P16" s="15"/>
      <c r="Q16" s="15"/>
      <c r="R16" s="15"/>
      <c r="S16" s="15"/>
      <c r="T16" s="15"/>
      <c r="U16" s="15"/>
      <c r="V16" s="15"/>
      <c r="W16" s="15"/>
      <c r="X16" s="15"/>
      <c r="Y16" s="15"/>
      <c r="Z16" s="15"/>
    </row>
    <row r="17" spans="1:26" ht="15" customHeight="1" x14ac:dyDescent="0.25">
      <c r="A17" s="17" t="s">
        <v>493</v>
      </c>
      <c r="B17" s="41"/>
      <c r="C17" s="43"/>
      <c r="D17" s="43"/>
      <c r="E17" s="43"/>
      <c r="F17" s="43"/>
      <c r="G17" s="43"/>
      <c r="H17" s="15"/>
      <c r="I17" s="15"/>
      <c r="J17" s="15"/>
      <c r="K17" s="15"/>
      <c r="L17" s="15"/>
      <c r="M17" s="15"/>
      <c r="N17" s="15"/>
      <c r="O17" s="15"/>
      <c r="P17" s="15"/>
      <c r="Q17" s="15"/>
      <c r="R17" s="15"/>
      <c r="S17" s="15"/>
      <c r="T17" s="15"/>
      <c r="U17" s="15"/>
      <c r="V17" s="15"/>
      <c r="W17" s="15"/>
      <c r="X17" s="15"/>
      <c r="Y17" s="15"/>
      <c r="Z17" s="15"/>
    </row>
    <row r="18" spans="1:26" ht="15" customHeight="1" x14ac:dyDescent="0.25">
      <c r="A18" s="44" t="s">
        <v>396</v>
      </c>
      <c r="B18" s="41" t="s">
        <v>191</v>
      </c>
      <c r="C18" s="43">
        <v>24714.639999999999</v>
      </c>
      <c r="D18" s="43">
        <v>0</v>
      </c>
      <c r="E18" s="43">
        <f>F18-D18</f>
        <v>100000</v>
      </c>
      <c r="F18" s="43">
        <v>100000</v>
      </c>
      <c r="G18" s="43">
        <v>100000</v>
      </c>
      <c r="H18" s="15"/>
      <c r="I18" s="15"/>
      <c r="J18" s="15"/>
      <c r="K18" s="15"/>
      <c r="L18" s="15"/>
      <c r="M18" s="15"/>
      <c r="N18" s="15"/>
      <c r="O18" s="15"/>
      <c r="P18" s="15"/>
      <c r="Q18" s="15"/>
      <c r="R18" s="15"/>
      <c r="S18" s="15"/>
      <c r="T18" s="15"/>
      <c r="U18" s="15"/>
      <c r="V18" s="15"/>
      <c r="W18" s="15"/>
      <c r="X18" s="15"/>
      <c r="Y18" s="15"/>
      <c r="Z18" s="15"/>
    </row>
    <row r="19" spans="1:26" ht="15" customHeight="1" x14ac:dyDescent="0.25">
      <c r="A19" s="17" t="s">
        <v>499</v>
      </c>
      <c r="B19" s="41"/>
      <c r="C19" s="43"/>
      <c r="D19" s="43"/>
      <c r="E19" s="43"/>
      <c r="F19" s="43"/>
      <c r="G19" s="43"/>
      <c r="H19" s="15"/>
      <c r="I19" s="15"/>
      <c r="J19" s="15"/>
      <c r="K19" s="15"/>
      <c r="L19" s="15"/>
      <c r="M19" s="15"/>
      <c r="N19" s="15"/>
      <c r="O19" s="15"/>
      <c r="P19" s="15"/>
      <c r="Q19" s="15"/>
      <c r="R19" s="15"/>
      <c r="S19" s="15"/>
      <c r="T19" s="15"/>
      <c r="U19" s="15"/>
      <c r="V19" s="15"/>
      <c r="W19" s="15"/>
      <c r="X19" s="15"/>
      <c r="Y19" s="15"/>
      <c r="Z19" s="15"/>
    </row>
    <row r="20" spans="1:26" ht="15" customHeight="1" x14ac:dyDescent="0.25">
      <c r="A20" s="44" t="s">
        <v>398</v>
      </c>
      <c r="B20" s="41" t="s">
        <v>195</v>
      </c>
      <c r="C20" s="43">
        <v>171851.7</v>
      </c>
      <c r="D20" s="43">
        <v>111435.5</v>
      </c>
      <c r="E20" s="43">
        <f t="shared" ref="E20:E21" si="0">F20-D20</f>
        <v>113189.5</v>
      </c>
      <c r="F20" s="43">
        <v>224625</v>
      </c>
      <c r="G20" s="43">
        <v>246938</v>
      </c>
      <c r="H20" s="15"/>
      <c r="I20" s="15"/>
      <c r="J20" s="15"/>
      <c r="K20" s="15"/>
      <c r="L20" s="15"/>
      <c r="M20" s="15"/>
      <c r="N20" s="15"/>
      <c r="O20" s="15"/>
      <c r="P20" s="15"/>
      <c r="Q20" s="15"/>
      <c r="R20" s="15"/>
      <c r="S20" s="15"/>
      <c r="T20" s="15"/>
      <c r="U20" s="15"/>
      <c r="V20" s="15"/>
      <c r="W20" s="15"/>
      <c r="X20" s="15"/>
      <c r="Y20" s="15"/>
      <c r="Z20" s="15"/>
    </row>
    <row r="21" spans="1:26" ht="15" customHeight="1" x14ac:dyDescent="0.25">
      <c r="A21" s="44" t="s">
        <v>402</v>
      </c>
      <c r="B21" s="41" t="s">
        <v>225</v>
      </c>
      <c r="C21" s="43">
        <v>76691.100000000006</v>
      </c>
      <c r="D21" s="43">
        <v>33934.639999999999</v>
      </c>
      <c r="E21" s="43">
        <f t="shared" si="0"/>
        <v>36632.36</v>
      </c>
      <c r="F21" s="43">
        <v>70567</v>
      </c>
      <c r="G21" s="43">
        <v>80027</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17" t="s">
        <v>503</v>
      </c>
      <c r="B22" s="41"/>
      <c r="C22" s="43"/>
      <c r="D22" s="43"/>
      <c r="E22" s="43"/>
      <c r="F22" s="43"/>
      <c r="G22" s="43"/>
      <c r="H22" s="14"/>
      <c r="I22" s="14"/>
      <c r="J22" s="14"/>
      <c r="K22" s="15"/>
      <c r="L22" s="15"/>
      <c r="M22" s="15"/>
      <c r="N22" s="15"/>
      <c r="O22" s="15"/>
      <c r="P22" s="15"/>
      <c r="Q22" s="15"/>
      <c r="R22" s="15"/>
      <c r="S22" s="15"/>
      <c r="T22" s="15"/>
      <c r="U22" s="15"/>
      <c r="V22" s="15"/>
      <c r="W22" s="15"/>
      <c r="X22" s="15"/>
      <c r="Y22" s="15"/>
      <c r="Z22" s="15"/>
    </row>
    <row r="23" spans="1:26" ht="15.75" customHeight="1" x14ac:dyDescent="0.25">
      <c r="A23" s="48" t="s">
        <v>405</v>
      </c>
      <c r="B23" s="41" t="s">
        <v>235</v>
      </c>
      <c r="C23" s="43">
        <v>40000</v>
      </c>
      <c r="D23" s="43">
        <v>27000</v>
      </c>
      <c r="E23" s="43">
        <f>F23-D23</f>
        <v>27000</v>
      </c>
      <c r="F23" s="43">
        <v>54000</v>
      </c>
      <c r="G23" s="43">
        <v>15000</v>
      </c>
      <c r="H23" s="14"/>
      <c r="I23" s="14"/>
      <c r="J23" s="14"/>
      <c r="K23" s="15"/>
      <c r="L23" s="15"/>
      <c r="M23" s="15"/>
      <c r="N23" s="15"/>
      <c r="O23" s="15"/>
      <c r="P23" s="15"/>
      <c r="Q23" s="15"/>
      <c r="R23" s="15"/>
      <c r="S23" s="15"/>
      <c r="T23" s="15"/>
      <c r="U23" s="15"/>
      <c r="V23" s="15"/>
      <c r="W23" s="15"/>
      <c r="X23" s="15"/>
      <c r="Y23" s="15"/>
      <c r="Z23" s="15"/>
    </row>
    <row r="24" spans="1:26" ht="15" customHeight="1" x14ac:dyDescent="0.25">
      <c r="A24" s="17" t="s">
        <v>511</v>
      </c>
      <c r="B24" s="41"/>
      <c r="C24" s="43"/>
      <c r="D24" s="43"/>
      <c r="E24" s="43"/>
      <c r="F24" s="43"/>
      <c r="G24" s="43"/>
      <c r="H24" s="15"/>
      <c r="I24" s="15"/>
      <c r="J24" s="15"/>
      <c r="K24" s="15"/>
      <c r="L24" s="15"/>
      <c r="M24" s="15"/>
      <c r="N24" s="15"/>
      <c r="O24" s="15"/>
      <c r="P24" s="15"/>
      <c r="Q24" s="15"/>
      <c r="R24" s="15"/>
      <c r="S24" s="15"/>
      <c r="T24" s="15"/>
      <c r="U24" s="15"/>
      <c r="V24" s="15"/>
      <c r="W24" s="15"/>
      <c r="X24" s="15"/>
      <c r="Y24" s="15"/>
      <c r="Z24" s="15"/>
    </row>
    <row r="25" spans="1:26" ht="15" customHeight="1" x14ac:dyDescent="0.25">
      <c r="A25" s="44" t="s">
        <v>424</v>
      </c>
      <c r="B25" s="41" t="s">
        <v>335</v>
      </c>
      <c r="C25" s="43">
        <v>890174.49</v>
      </c>
      <c r="D25" s="43">
        <v>426044.96</v>
      </c>
      <c r="E25" s="43">
        <f>F25-D25</f>
        <v>646755.04</v>
      </c>
      <c r="F25" s="43">
        <v>1072800</v>
      </c>
      <c r="G25" s="43">
        <v>1431936</v>
      </c>
      <c r="H25" s="15"/>
      <c r="I25" s="210" t="s">
        <v>877</v>
      </c>
      <c r="J25" s="211" t="s">
        <v>878</v>
      </c>
      <c r="K25" s="210" t="s">
        <v>879</v>
      </c>
      <c r="L25" s="8" t="s">
        <v>880</v>
      </c>
      <c r="M25" s="210" t="s">
        <v>881</v>
      </c>
      <c r="N25" s="15"/>
      <c r="O25" s="15"/>
      <c r="P25" s="15"/>
      <c r="Q25" s="15"/>
      <c r="R25" s="15"/>
      <c r="S25" s="15"/>
      <c r="T25" s="15"/>
      <c r="U25" s="15"/>
      <c r="V25" s="15"/>
      <c r="W25" s="15"/>
      <c r="X25" s="15"/>
      <c r="Y25" s="15"/>
      <c r="Z25" s="15"/>
    </row>
    <row r="26" spans="1:26" ht="15.75" x14ac:dyDescent="0.25">
      <c r="A26" s="44" t="s">
        <v>864</v>
      </c>
      <c r="B26" s="41"/>
      <c r="C26" s="43"/>
      <c r="D26" s="43"/>
      <c r="E26" s="43"/>
      <c r="F26" s="43"/>
      <c r="G26" s="43"/>
      <c r="H26" s="15"/>
      <c r="I26" s="60"/>
      <c r="J26" s="211"/>
      <c r="K26" s="8"/>
      <c r="L26" s="8"/>
      <c r="M26" s="60"/>
      <c r="N26" s="15"/>
      <c r="O26" s="15"/>
      <c r="P26" s="15"/>
      <c r="Q26" s="15"/>
      <c r="R26" s="15"/>
      <c r="S26" s="15"/>
      <c r="T26" s="15"/>
      <c r="U26" s="15"/>
      <c r="V26" s="15"/>
      <c r="W26" s="15"/>
      <c r="X26" s="15"/>
      <c r="Y26" s="15"/>
      <c r="Z26" s="15"/>
    </row>
    <row r="27" spans="1:26" ht="31.5" x14ac:dyDescent="0.25">
      <c r="A27" s="118" t="s">
        <v>1482</v>
      </c>
      <c r="B27" s="41"/>
      <c r="C27" s="43"/>
      <c r="D27" s="43"/>
      <c r="E27" s="43"/>
      <c r="F27" s="43"/>
      <c r="G27" s="43"/>
      <c r="H27" s="15"/>
      <c r="I27" s="60">
        <v>678</v>
      </c>
      <c r="J27" s="211">
        <v>8</v>
      </c>
      <c r="K27" s="8">
        <v>22</v>
      </c>
      <c r="L27" s="8">
        <v>12</v>
      </c>
      <c r="M27" s="60">
        <f>I27*J27*K27*L27</f>
        <v>1431936</v>
      </c>
      <c r="N27" s="15"/>
      <c r="O27" s="15"/>
      <c r="P27" s="15"/>
      <c r="Q27" s="15"/>
      <c r="R27" s="15"/>
      <c r="S27" s="15"/>
      <c r="T27" s="15"/>
      <c r="U27" s="15"/>
      <c r="V27" s="15"/>
      <c r="W27" s="15"/>
      <c r="X27" s="15"/>
      <c r="Y27" s="15"/>
      <c r="Z27" s="15"/>
    </row>
    <row r="28" spans="1:26" ht="15" customHeight="1" x14ac:dyDescent="0.25">
      <c r="A28" s="42" t="s">
        <v>466</v>
      </c>
      <c r="B28" s="41"/>
      <c r="C28" s="54">
        <f>SUM(C13:C25)</f>
        <v>1447640.73</v>
      </c>
      <c r="D28" s="54">
        <f>+SUM(D16:D25)</f>
        <v>609788.21</v>
      </c>
      <c r="E28" s="54">
        <f>F28-D28</f>
        <v>1092203.79</v>
      </c>
      <c r="F28" s="54">
        <f>+SUM(F16:F25)</f>
        <v>1701992</v>
      </c>
      <c r="G28" s="54">
        <f>SUM(G16:G25)</f>
        <v>2053901</v>
      </c>
      <c r="H28" s="15"/>
      <c r="I28" s="15"/>
      <c r="J28" s="15"/>
      <c r="K28" s="15"/>
      <c r="L28" s="15"/>
      <c r="M28" s="15"/>
      <c r="N28" s="15"/>
      <c r="O28" s="15"/>
      <c r="P28" s="15"/>
      <c r="Q28" s="15"/>
      <c r="R28" s="15"/>
      <c r="S28" s="15"/>
      <c r="T28" s="15"/>
      <c r="U28" s="15"/>
      <c r="V28" s="15"/>
      <c r="W28" s="15"/>
      <c r="X28" s="15"/>
      <c r="Y28" s="15"/>
      <c r="Z28" s="15"/>
    </row>
    <row r="29" spans="1:26" ht="15" customHeight="1" x14ac:dyDescent="0.25">
      <c r="A29" s="17"/>
      <c r="B29" s="41"/>
      <c r="C29" s="43"/>
      <c r="D29" s="43"/>
      <c r="E29" s="43"/>
      <c r="F29" s="43"/>
      <c r="G29" s="43"/>
      <c r="H29" s="15"/>
      <c r="I29" s="15"/>
      <c r="J29" s="15"/>
      <c r="K29" s="15"/>
      <c r="L29" s="15"/>
      <c r="M29" s="15"/>
      <c r="N29" s="15"/>
      <c r="O29" s="15"/>
      <c r="P29" s="15"/>
      <c r="Q29" s="15"/>
      <c r="R29" s="15"/>
      <c r="S29" s="15"/>
      <c r="T29" s="15"/>
      <c r="U29" s="15"/>
      <c r="V29" s="15"/>
      <c r="W29" s="15"/>
      <c r="X29" s="15"/>
      <c r="Y29" s="15"/>
      <c r="Z29" s="15"/>
    </row>
    <row r="30" spans="1:26" ht="15" customHeight="1" x14ac:dyDescent="0.25">
      <c r="A30" s="17" t="s">
        <v>467</v>
      </c>
      <c r="B30" s="41"/>
      <c r="C30" s="43">
        <f t="shared" ref="C30:D30" si="1">+C28</f>
        <v>1447640.73</v>
      </c>
      <c r="D30" s="43">
        <f t="shared" si="1"/>
        <v>609788.21</v>
      </c>
      <c r="E30" s="43">
        <f>F30-D30</f>
        <v>1092203.79</v>
      </c>
      <c r="F30" s="43">
        <f t="shared" ref="F30:G30" si="2">+F28</f>
        <v>1701992</v>
      </c>
      <c r="G30" s="43">
        <f t="shared" si="2"/>
        <v>2053901</v>
      </c>
      <c r="H30" s="15"/>
      <c r="I30" s="15"/>
      <c r="J30" s="15"/>
      <c r="K30" s="15"/>
      <c r="L30" s="15"/>
      <c r="M30" s="15"/>
      <c r="N30" s="15"/>
      <c r="O30" s="15"/>
      <c r="P30" s="15"/>
      <c r="Q30" s="15"/>
      <c r="R30" s="15"/>
      <c r="S30" s="15"/>
      <c r="T30" s="15"/>
      <c r="U30" s="15"/>
      <c r="V30" s="15"/>
      <c r="W30" s="15"/>
      <c r="X30" s="15"/>
      <c r="Y30" s="15"/>
      <c r="Z30" s="15"/>
    </row>
    <row r="31" spans="1:26" ht="15" customHeight="1" x14ac:dyDescent="0.25">
      <c r="A31" s="17"/>
      <c r="B31" s="41"/>
      <c r="C31" s="43"/>
      <c r="D31" s="43"/>
      <c r="E31" s="43"/>
      <c r="F31" s="43"/>
      <c r="G31" s="43"/>
      <c r="H31" s="15"/>
      <c r="I31" s="15"/>
      <c r="J31" s="15"/>
      <c r="K31" s="15"/>
      <c r="L31" s="15"/>
      <c r="M31" s="15"/>
      <c r="N31" s="15"/>
      <c r="O31" s="15"/>
      <c r="P31" s="15"/>
      <c r="Q31" s="15"/>
      <c r="R31" s="15"/>
      <c r="S31" s="15"/>
      <c r="T31" s="15"/>
      <c r="U31" s="15"/>
      <c r="V31" s="15"/>
      <c r="W31" s="15"/>
      <c r="X31" s="15"/>
      <c r="Y31" s="15"/>
      <c r="Z31" s="15"/>
    </row>
    <row r="32" spans="1:26" ht="15" customHeight="1" x14ac:dyDescent="0.25">
      <c r="A32" s="42" t="s">
        <v>529</v>
      </c>
      <c r="B32" s="41"/>
      <c r="C32" s="43"/>
      <c r="D32" s="43"/>
      <c r="E32" s="43"/>
      <c r="F32" s="43"/>
      <c r="G32" s="43"/>
      <c r="H32" s="15"/>
      <c r="I32" s="15"/>
      <c r="J32" s="15"/>
      <c r="K32" s="15"/>
      <c r="L32" s="15"/>
      <c r="M32" s="15"/>
      <c r="N32" s="15"/>
      <c r="O32" s="15"/>
      <c r="P32" s="15"/>
      <c r="Q32" s="15"/>
      <c r="R32" s="15"/>
      <c r="S32" s="15"/>
      <c r="T32" s="15"/>
      <c r="U32" s="15"/>
      <c r="V32" s="15"/>
      <c r="W32" s="15"/>
      <c r="X32" s="15"/>
      <c r="Y32" s="15"/>
      <c r="Z32" s="15"/>
    </row>
    <row r="33" spans="1:26" ht="15" customHeight="1" x14ac:dyDescent="0.25">
      <c r="A33" s="42" t="s">
        <v>673</v>
      </c>
      <c r="B33" s="41"/>
      <c r="C33" s="43"/>
      <c r="D33" s="43"/>
      <c r="E33" s="43"/>
      <c r="F33" s="43"/>
      <c r="G33" s="43"/>
      <c r="H33" s="15"/>
      <c r="I33" s="15"/>
      <c r="J33" s="15"/>
      <c r="K33" s="15"/>
      <c r="L33" s="15"/>
      <c r="M33" s="15"/>
      <c r="N33" s="15"/>
      <c r="O33" s="15"/>
      <c r="P33" s="15"/>
      <c r="Q33" s="15"/>
      <c r="R33" s="15"/>
      <c r="S33" s="15"/>
      <c r="T33" s="15"/>
      <c r="U33" s="15"/>
      <c r="V33" s="15"/>
      <c r="W33" s="15"/>
      <c r="X33" s="15"/>
      <c r="Y33" s="15"/>
      <c r="Z33" s="15"/>
    </row>
    <row r="34" spans="1:26" ht="15" customHeight="1" x14ac:dyDescent="0.25">
      <c r="A34" s="44" t="s">
        <v>1352</v>
      </c>
      <c r="B34" s="41" t="s">
        <v>45</v>
      </c>
      <c r="C34" s="43">
        <v>0</v>
      </c>
      <c r="D34" s="43">
        <v>0</v>
      </c>
      <c r="E34" s="43">
        <v>0</v>
      </c>
      <c r="F34" s="43">
        <v>0</v>
      </c>
      <c r="G34" s="43">
        <v>270000</v>
      </c>
      <c r="H34" s="15"/>
      <c r="I34" s="15"/>
      <c r="J34" s="15"/>
      <c r="K34" s="15"/>
      <c r="L34" s="15"/>
      <c r="M34" s="15"/>
      <c r="N34" s="15"/>
      <c r="O34" s="15"/>
      <c r="P34" s="15"/>
      <c r="Q34" s="15"/>
      <c r="R34" s="15"/>
      <c r="S34" s="15"/>
      <c r="T34" s="15"/>
      <c r="U34" s="15"/>
      <c r="V34" s="15"/>
      <c r="W34" s="15"/>
      <c r="X34" s="15"/>
      <c r="Y34" s="15"/>
      <c r="Z34" s="15"/>
    </row>
    <row r="35" spans="1:26" ht="15" customHeight="1" x14ac:dyDescent="0.25">
      <c r="A35" s="17" t="s">
        <v>1483</v>
      </c>
      <c r="B35" s="41"/>
      <c r="C35" s="43"/>
      <c r="D35" s="43"/>
      <c r="E35" s="43"/>
      <c r="F35" s="43"/>
      <c r="G35" s="43"/>
      <c r="H35" s="15"/>
      <c r="I35" s="15"/>
      <c r="J35" s="15"/>
      <c r="K35" s="15"/>
      <c r="L35" s="15"/>
      <c r="M35" s="15"/>
      <c r="N35" s="15"/>
      <c r="O35" s="15"/>
      <c r="P35" s="15"/>
      <c r="Q35" s="15"/>
      <c r="R35" s="15"/>
      <c r="S35" s="15"/>
      <c r="T35" s="15"/>
      <c r="U35" s="15"/>
      <c r="V35" s="15"/>
      <c r="W35" s="15"/>
      <c r="X35" s="15"/>
      <c r="Y35" s="15"/>
      <c r="Z35" s="15"/>
    </row>
    <row r="36" spans="1:26" ht="15.75" customHeight="1" x14ac:dyDescent="0.25">
      <c r="A36" s="456" t="s">
        <v>536</v>
      </c>
      <c r="B36" s="519"/>
      <c r="C36" s="453">
        <f t="shared" ref="C36:G36" si="3">C34</f>
        <v>0</v>
      </c>
      <c r="D36" s="54">
        <f t="shared" si="3"/>
        <v>0</v>
      </c>
      <c r="E36" s="54">
        <f t="shared" si="3"/>
        <v>0</v>
      </c>
      <c r="F36" s="54">
        <f t="shared" si="3"/>
        <v>0</v>
      </c>
      <c r="G36" s="54">
        <f t="shared" si="3"/>
        <v>270000</v>
      </c>
      <c r="H36" s="114"/>
      <c r="I36" s="114"/>
      <c r="J36" s="114"/>
      <c r="K36" s="7"/>
      <c r="L36" s="7"/>
      <c r="M36" s="7"/>
      <c r="N36" s="7"/>
      <c r="O36" s="114"/>
      <c r="P36" s="114"/>
      <c r="Q36" s="114"/>
      <c r="R36" s="114"/>
      <c r="S36" s="114"/>
      <c r="T36" s="114"/>
      <c r="U36" s="114"/>
      <c r="V36" s="114"/>
      <c r="W36" s="114"/>
      <c r="X36" s="114"/>
      <c r="Y36" s="114"/>
      <c r="Z36" s="114"/>
    </row>
    <row r="37" spans="1:26" ht="15" customHeight="1" x14ac:dyDescent="0.25">
      <c r="A37" s="456"/>
      <c r="B37" s="454"/>
      <c r="C37" s="473"/>
      <c r="D37" s="43"/>
      <c r="E37" s="43"/>
      <c r="F37" s="43"/>
      <c r="G37" s="43"/>
      <c r="H37" s="15"/>
      <c r="I37" s="15"/>
      <c r="J37" s="15"/>
      <c r="K37" s="15"/>
      <c r="L37" s="15"/>
      <c r="M37" s="15"/>
      <c r="N37" s="15"/>
      <c r="O37" s="15"/>
      <c r="P37" s="15"/>
      <c r="Q37" s="15"/>
      <c r="R37" s="15"/>
      <c r="S37" s="15"/>
      <c r="T37" s="15"/>
      <c r="U37" s="15"/>
      <c r="V37" s="15"/>
      <c r="W37" s="15"/>
      <c r="X37" s="15"/>
      <c r="Y37" s="15"/>
      <c r="Z37" s="15"/>
    </row>
    <row r="38" spans="1:26" ht="15.75" customHeight="1" x14ac:dyDescent="0.25">
      <c r="A38" s="482" t="s">
        <v>487</v>
      </c>
      <c r="B38" s="555" t="s">
        <v>488</v>
      </c>
      <c r="C38" s="54">
        <f t="shared" ref="C38:D38" si="4">+C30</f>
        <v>1447640.73</v>
      </c>
      <c r="D38" s="54">
        <f t="shared" si="4"/>
        <v>609788.21</v>
      </c>
      <c r="E38" s="54">
        <f>F38-D38</f>
        <v>1092203.79</v>
      </c>
      <c r="F38" s="54">
        <f>+F30</f>
        <v>1701992</v>
      </c>
      <c r="G38" s="54">
        <f>G30+G36</f>
        <v>2323901</v>
      </c>
    </row>
    <row r="39" spans="1:26" ht="15.75" customHeight="1" x14ac:dyDescent="0.25">
      <c r="A39" s="24"/>
      <c r="B39" s="174"/>
      <c r="C39" s="26"/>
      <c r="D39" s="26"/>
      <c r="E39" s="26"/>
      <c r="F39" s="26"/>
      <c r="G39" s="290"/>
    </row>
    <row r="40" spans="1:26" ht="15.75" customHeight="1" x14ac:dyDescent="0.25">
      <c r="A40" s="24"/>
      <c r="B40" s="174"/>
      <c r="C40" s="24"/>
      <c r="D40" s="24"/>
      <c r="E40" s="24"/>
    </row>
    <row r="41" spans="1:26" ht="15.75" customHeight="1" x14ac:dyDescent="0.25">
      <c r="A41" s="24"/>
      <c r="B41" s="174"/>
      <c r="C41" s="24"/>
      <c r="D41" s="24"/>
      <c r="E41" s="24"/>
    </row>
    <row r="42" spans="1:26" ht="15.75" customHeight="1" x14ac:dyDescent="0.25">
      <c r="A42" s="24"/>
      <c r="B42" s="174"/>
      <c r="C42" s="24"/>
      <c r="D42" s="24"/>
      <c r="E42" s="24"/>
    </row>
    <row r="43" spans="1:26" ht="15.75" customHeight="1" x14ac:dyDescent="0.25">
      <c r="A43" s="24"/>
      <c r="B43" s="174"/>
      <c r="C43" s="24"/>
      <c r="D43" s="24"/>
      <c r="E43" s="24"/>
    </row>
    <row r="44" spans="1:26" ht="15.75" customHeight="1" x14ac:dyDescent="0.25">
      <c r="A44" s="24"/>
      <c r="B44" s="174"/>
      <c r="C44" s="24"/>
      <c r="D44" s="24"/>
      <c r="E44" s="24"/>
    </row>
    <row r="45" spans="1:26" ht="15.75" customHeight="1" x14ac:dyDescent="0.25">
      <c r="A45" s="24"/>
      <c r="B45" s="174"/>
      <c r="C45" s="24"/>
      <c r="D45" s="24"/>
      <c r="E45" s="24"/>
    </row>
    <row r="46" spans="1:26" ht="15.75" customHeight="1" x14ac:dyDescent="0.25">
      <c r="A46" s="24"/>
      <c r="B46" s="174"/>
      <c r="C46" s="24"/>
      <c r="D46" s="24"/>
      <c r="E46" s="24"/>
    </row>
    <row r="47" spans="1:26" ht="15.75" customHeight="1" x14ac:dyDescent="0.25">
      <c r="A47" s="24"/>
      <c r="B47" s="174"/>
      <c r="C47" s="24"/>
      <c r="D47" s="24"/>
      <c r="E47" s="24"/>
    </row>
    <row r="48" spans="1:26" ht="15.75" customHeight="1" x14ac:dyDescent="0.25">
      <c r="A48" s="24"/>
      <c r="B48" s="174"/>
      <c r="C48" s="24"/>
      <c r="D48" s="24"/>
      <c r="E48" s="24"/>
    </row>
    <row r="49" spans="1:5" ht="15.75" customHeight="1" x14ac:dyDescent="0.25">
      <c r="A49" s="24"/>
      <c r="B49" s="174"/>
      <c r="C49" s="24"/>
      <c r="D49" s="24"/>
      <c r="E49" s="24"/>
    </row>
    <row r="50" spans="1:5" ht="15.75" customHeight="1" x14ac:dyDescent="0.25">
      <c r="A50" s="24"/>
      <c r="B50" s="174"/>
      <c r="C50" s="24"/>
      <c r="D50" s="24"/>
      <c r="E50" s="24"/>
    </row>
    <row r="51" spans="1:5" ht="15.75" customHeight="1" x14ac:dyDescent="0.25">
      <c r="A51" s="24"/>
      <c r="B51" s="174"/>
      <c r="C51" s="24"/>
      <c r="D51" s="24"/>
      <c r="E51" s="24"/>
    </row>
    <row r="52" spans="1:5" ht="15.75" customHeight="1" x14ac:dyDescent="0.25">
      <c r="A52" s="24"/>
      <c r="B52" s="174"/>
      <c r="C52" s="24"/>
      <c r="D52" s="24"/>
      <c r="E52" s="24"/>
    </row>
    <row r="53" spans="1:5" ht="15.75" customHeight="1" x14ac:dyDescent="0.25">
      <c r="A53" s="24"/>
      <c r="B53" s="174"/>
      <c r="C53" s="24"/>
      <c r="D53" s="24"/>
      <c r="E53" s="24"/>
    </row>
    <row r="54" spans="1:5" ht="15.75" customHeight="1" x14ac:dyDescent="0.25">
      <c r="A54" s="24"/>
      <c r="B54" s="174"/>
      <c r="C54" s="24"/>
      <c r="D54" s="24"/>
      <c r="E54" s="24"/>
    </row>
    <row r="55" spans="1:5" ht="15.75" customHeight="1" x14ac:dyDescent="0.25">
      <c r="A55" s="24"/>
      <c r="B55" s="174"/>
      <c r="C55" s="24"/>
      <c r="D55" s="24"/>
      <c r="E55" s="24"/>
    </row>
    <row r="56" spans="1:5" ht="15.75" customHeight="1" x14ac:dyDescent="0.25">
      <c r="A56" s="24"/>
      <c r="B56" s="174"/>
      <c r="C56" s="24"/>
      <c r="D56" s="24"/>
      <c r="E56" s="24"/>
    </row>
    <row r="57" spans="1:5" ht="15.75" customHeight="1" x14ac:dyDescent="0.25">
      <c r="A57" s="24"/>
      <c r="B57" s="174"/>
      <c r="C57" s="24"/>
      <c r="D57" s="24"/>
      <c r="E57" s="24"/>
    </row>
    <row r="58" spans="1:5" ht="15.75" customHeight="1" x14ac:dyDescent="0.25">
      <c r="A58" s="24"/>
      <c r="B58" s="174"/>
      <c r="C58" s="24"/>
      <c r="D58" s="24"/>
      <c r="E58" s="24"/>
    </row>
    <row r="59" spans="1:5" ht="15.75" customHeight="1" x14ac:dyDescent="0.25">
      <c r="A59" s="24"/>
      <c r="B59" s="174"/>
      <c r="C59" s="24"/>
      <c r="D59" s="24"/>
      <c r="E59" s="24"/>
    </row>
    <row r="60" spans="1:5" ht="15.75" customHeight="1" x14ac:dyDescent="0.25">
      <c r="A60" s="24"/>
      <c r="B60" s="174"/>
      <c r="C60" s="24"/>
      <c r="D60" s="24"/>
      <c r="E60" s="24"/>
    </row>
    <row r="61" spans="1:5" ht="15.75" customHeight="1" x14ac:dyDescent="0.25">
      <c r="A61" s="24"/>
      <c r="B61" s="174"/>
      <c r="C61" s="24"/>
      <c r="D61" s="24"/>
      <c r="E61" s="24"/>
    </row>
    <row r="62" spans="1:5" ht="15.75" customHeight="1" x14ac:dyDescent="0.25">
      <c r="A62" s="24"/>
      <c r="B62" s="174"/>
      <c r="C62" s="24"/>
      <c r="D62" s="24"/>
      <c r="E62" s="24"/>
    </row>
    <row r="63" spans="1:5" ht="15.75" customHeight="1" x14ac:dyDescent="0.25">
      <c r="A63" s="24"/>
      <c r="B63" s="174"/>
      <c r="C63" s="24"/>
      <c r="D63" s="24"/>
      <c r="E63" s="24"/>
    </row>
    <row r="64" spans="1:5" ht="15.75" customHeight="1" x14ac:dyDescent="0.25">
      <c r="A64" s="24"/>
      <c r="B64" s="174"/>
      <c r="C64" s="24"/>
      <c r="D64" s="24"/>
      <c r="E64" s="24"/>
    </row>
    <row r="65" spans="1:5" ht="15.75" customHeight="1" x14ac:dyDescent="0.25">
      <c r="A65" s="24"/>
      <c r="B65" s="174"/>
      <c r="C65" s="24"/>
      <c r="D65" s="24"/>
      <c r="E65" s="24"/>
    </row>
    <row r="66" spans="1:5" ht="15.75" customHeight="1" x14ac:dyDescent="0.25">
      <c r="A66" s="24"/>
      <c r="B66" s="174"/>
      <c r="C66" s="24"/>
      <c r="D66" s="24"/>
      <c r="E66" s="24"/>
    </row>
    <row r="67" spans="1:5" ht="15.75" customHeight="1" x14ac:dyDescent="0.25">
      <c r="A67" s="24"/>
      <c r="B67" s="174"/>
      <c r="C67" s="24"/>
      <c r="D67" s="24"/>
      <c r="E67" s="24"/>
    </row>
    <row r="68" spans="1:5" ht="15.75" customHeight="1" x14ac:dyDescent="0.25">
      <c r="A68" s="24"/>
      <c r="B68" s="174"/>
      <c r="C68" s="24"/>
      <c r="D68" s="24"/>
      <c r="E68" s="24"/>
    </row>
    <row r="69" spans="1:5" ht="15.75" customHeight="1" x14ac:dyDescent="0.25">
      <c r="A69" s="24"/>
      <c r="B69" s="174"/>
      <c r="C69" s="24"/>
      <c r="D69" s="24"/>
      <c r="E69" s="24"/>
    </row>
    <row r="70" spans="1:5" ht="15.75" customHeight="1" x14ac:dyDescent="0.25">
      <c r="A70" s="24"/>
      <c r="B70" s="174"/>
      <c r="C70" s="24"/>
      <c r="D70" s="24"/>
      <c r="E70" s="24"/>
    </row>
    <row r="71" spans="1:5" ht="15.75" customHeight="1" x14ac:dyDescent="0.25">
      <c r="A71" s="24"/>
      <c r="B71" s="174"/>
      <c r="C71" s="24"/>
      <c r="D71" s="24"/>
      <c r="E71" s="24"/>
    </row>
    <row r="72" spans="1:5" ht="15.75" customHeight="1" x14ac:dyDescent="0.25">
      <c r="A72" s="24"/>
      <c r="B72" s="174"/>
      <c r="C72" s="24"/>
      <c r="D72" s="24"/>
      <c r="E72" s="24"/>
    </row>
    <row r="73" spans="1:5" ht="15.75" customHeight="1" x14ac:dyDescent="0.25">
      <c r="A73" s="24"/>
      <c r="B73" s="174"/>
      <c r="C73" s="24"/>
      <c r="D73" s="24"/>
      <c r="E73" s="24"/>
    </row>
    <row r="74" spans="1:5" ht="15.75" customHeight="1" x14ac:dyDescent="0.25">
      <c r="A74" s="24"/>
      <c r="B74" s="174"/>
      <c r="C74" s="24"/>
      <c r="D74" s="24"/>
      <c r="E74" s="24"/>
    </row>
    <row r="75" spans="1:5" ht="15.75" customHeight="1" x14ac:dyDescent="0.25">
      <c r="A75" s="24"/>
      <c r="B75" s="174"/>
      <c r="C75" s="24"/>
      <c r="D75" s="24"/>
      <c r="E75" s="24"/>
    </row>
    <row r="76" spans="1:5" ht="15.75" customHeight="1" x14ac:dyDescent="0.25">
      <c r="A76" s="24"/>
      <c r="B76" s="174"/>
      <c r="C76" s="24"/>
      <c r="D76" s="24"/>
      <c r="E76" s="24"/>
    </row>
    <row r="77" spans="1:5" ht="15.75" customHeight="1" x14ac:dyDescent="0.25">
      <c r="A77" s="24"/>
      <c r="B77" s="174"/>
      <c r="C77" s="24"/>
      <c r="D77" s="24"/>
      <c r="E77" s="24"/>
    </row>
    <row r="78" spans="1:5" ht="15.75" customHeight="1" x14ac:dyDescent="0.25">
      <c r="A78" s="24"/>
      <c r="B78" s="174"/>
      <c r="C78" s="24"/>
      <c r="D78" s="24"/>
      <c r="E78" s="24"/>
    </row>
    <row r="79" spans="1:5" ht="15.75" customHeight="1" x14ac:dyDescent="0.25">
      <c r="A79" s="24"/>
      <c r="B79" s="174"/>
      <c r="C79" s="24"/>
      <c r="D79" s="24"/>
      <c r="E79" s="24"/>
    </row>
    <row r="80" spans="1:5" ht="15.75" customHeight="1" x14ac:dyDescent="0.25">
      <c r="A80" s="24"/>
      <c r="B80" s="174"/>
      <c r="C80" s="24"/>
      <c r="D80" s="24"/>
      <c r="E80" s="24"/>
    </row>
    <row r="81" spans="1:5" ht="15.75" customHeight="1" x14ac:dyDescent="0.25">
      <c r="A81" s="24"/>
      <c r="B81" s="174"/>
      <c r="C81" s="24"/>
      <c r="D81" s="24"/>
      <c r="E81" s="24"/>
    </row>
    <row r="82" spans="1:5" ht="15.75" customHeight="1" x14ac:dyDescent="0.25">
      <c r="A82" s="24"/>
      <c r="B82" s="174"/>
      <c r="C82" s="24"/>
      <c r="D82" s="24"/>
      <c r="E82" s="24"/>
    </row>
    <row r="83" spans="1:5" ht="15.75" customHeight="1" x14ac:dyDescent="0.25">
      <c r="A83" s="24"/>
      <c r="B83" s="174"/>
      <c r="C83" s="24"/>
      <c r="D83" s="24"/>
      <c r="E83" s="24"/>
    </row>
    <row r="84" spans="1:5" ht="15.75" customHeight="1" x14ac:dyDescent="0.25">
      <c r="A84" s="24"/>
      <c r="B84" s="174"/>
      <c r="C84" s="24"/>
      <c r="D84" s="24"/>
      <c r="E84" s="24"/>
    </row>
    <row r="85" spans="1:5" ht="15.75" customHeight="1" x14ac:dyDescent="0.25">
      <c r="A85" s="24"/>
      <c r="B85" s="174"/>
      <c r="C85" s="24"/>
      <c r="D85" s="24"/>
      <c r="E85" s="24"/>
    </row>
    <row r="86" spans="1:5" ht="15.75" customHeight="1" x14ac:dyDescent="0.25">
      <c r="A86" s="24"/>
      <c r="B86" s="174"/>
      <c r="C86" s="24"/>
      <c r="D86" s="24"/>
      <c r="E86" s="24"/>
    </row>
    <row r="87" spans="1:5" ht="15.75" customHeight="1" x14ac:dyDescent="0.25">
      <c r="A87" s="24"/>
      <c r="B87" s="174"/>
      <c r="C87" s="24"/>
      <c r="D87" s="24"/>
      <c r="E87" s="24"/>
    </row>
    <row r="88" spans="1:5" ht="15.75" customHeight="1" x14ac:dyDescent="0.25">
      <c r="A88" s="24"/>
      <c r="B88" s="174"/>
      <c r="C88" s="24"/>
      <c r="D88" s="24"/>
      <c r="E88" s="24"/>
    </row>
    <row r="89" spans="1:5" ht="15.75" customHeight="1" x14ac:dyDescent="0.25">
      <c r="A89" s="24"/>
      <c r="B89" s="174"/>
      <c r="C89" s="24"/>
      <c r="D89" s="24"/>
      <c r="E89" s="24"/>
    </row>
    <row r="90" spans="1:5" ht="15.75" customHeight="1" x14ac:dyDescent="0.25">
      <c r="A90" s="24"/>
      <c r="B90" s="174"/>
      <c r="C90" s="24"/>
      <c r="D90" s="24"/>
      <c r="E90" s="24"/>
    </row>
    <row r="91" spans="1:5" ht="15.75" customHeight="1" x14ac:dyDescent="0.25">
      <c r="A91" s="24"/>
      <c r="B91" s="174"/>
      <c r="C91" s="24"/>
      <c r="D91" s="24"/>
      <c r="E91" s="24"/>
    </row>
    <row r="92" spans="1:5" ht="15.75" customHeight="1" x14ac:dyDescent="0.25">
      <c r="A92" s="24"/>
      <c r="B92" s="174"/>
      <c r="C92" s="24"/>
      <c r="D92" s="24"/>
      <c r="E92" s="24"/>
    </row>
    <row r="93" spans="1:5" ht="15.75" customHeight="1" x14ac:dyDescent="0.25">
      <c r="A93" s="24"/>
      <c r="B93" s="174"/>
      <c r="C93" s="24"/>
      <c r="D93" s="24"/>
      <c r="E93" s="24"/>
    </row>
    <row r="94" spans="1:5" ht="15.75" customHeight="1" x14ac:dyDescent="0.25">
      <c r="A94" s="24"/>
      <c r="B94" s="174"/>
      <c r="C94" s="24"/>
      <c r="D94" s="24"/>
      <c r="E94" s="24"/>
    </row>
    <row r="95" spans="1:5" ht="15.75" customHeight="1" x14ac:dyDescent="0.25">
      <c r="A95" s="24"/>
      <c r="B95" s="174"/>
      <c r="C95" s="24"/>
      <c r="D95" s="24"/>
      <c r="E95" s="24"/>
    </row>
    <row r="96" spans="1:5" ht="15.75" customHeight="1" x14ac:dyDescent="0.25">
      <c r="A96" s="24"/>
      <c r="B96" s="174"/>
      <c r="C96" s="24"/>
      <c r="D96" s="24"/>
      <c r="E96" s="24"/>
    </row>
    <row r="97" spans="1:5" ht="15.75" customHeight="1" x14ac:dyDescent="0.25">
      <c r="A97" s="24"/>
      <c r="B97" s="174"/>
      <c r="C97" s="24"/>
      <c r="D97" s="24"/>
      <c r="E97" s="24"/>
    </row>
    <row r="98" spans="1:5" ht="15.75" customHeight="1" x14ac:dyDescent="0.25">
      <c r="A98" s="24"/>
      <c r="B98" s="174"/>
      <c r="C98" s="24"/>
      <c r="D98" s="24"/>
      <c r="E98" s="24"/>
    </row>
    <row r="99" spans="1:5" ht="15.75" customHeight="1" x14ac:dyDescent="0.25">
      <c r="A99" s="24"/>
      <c r="B99" s="174"/>
      <c r="C99" s="24"/>
      <c r="D99" s="24"/>
      <c r="E99" s="24"/>
    </row>
    <row r="100" spans="1:5" ht="15.75" customHeight="1" x14ac:dyDescent="0.25">
      <c r="A100" s="24"/>
      <c r="B100" s="174"/>
      <c r="C100" s="24"/>
      <c r="D100" s="24"/>
      <c r="E100" s="24"/>
    </row>
    <row r="101" spans="1:5" ht="15.75" customHeight="1" x14ac:dyDescent="0.25">
      <c r="A101" s="24"/>
      <c r="B101" s="174"/>
      <c r="C101" s="24"/>
      <c r="D101" s="24"/>
      <c r="E101" s="24"/>
    </row>
    <row r="102" spans="1:5" ht="15.75" customHeight="1" x14ac:dyDescent="0.25">
      <c r="A102" s="24"/>
      <c r="B102" s="174"/>
      <c r="C102" s="24"/>
      <c r="D102" s="24"/>
      <c r="E102" s="24"/>
    </row>
    <row r="103" spans="1:5" ht="15.75" customHeight="1" x14ac:dyDescent="0.25">
      <c r="A103" s="24"/>
      <c r="B103" s="174"/>
      <c r="C103" s="24"/>
      <c r="D103" s="24"/>
      <c r="E103" s="24"/>
    </row>
    <row r="104" spans="1:5" ht="15.75" customHeight="1" x14ac:dyDescent="0.25">
      <c r="A104" s="24"/>
      <c r="B104" s="174"/>
      <c r="C104" s="24"/>
      <c r="D104" s="24"/>
      <c r="E104" s="24"/>
    </row>
    <row r="105" spans="1:5" ht="15.75" customHeight="1" x14ac:dyDescent="0.25">
      <c r="A105" s="24"/>
      <c r="B105" s="174"/>
      <c r="C105" s="24"/>
      <c r="D105" s="24"/>
      <c r="E105" s="24"/>
    </row>
    <row r="106" spans="1:5" ht="15.75" customHeight="1" x14ac:dyDescent="0.25">
      <c r="A106" s="24"/>
      <c r="B106" s="174"/>
      <c r="C106" s="24"/>
      <c r="D106" s="24"/>
      <c r="E106" s="24"/>
    </row>
    <row r="107" spans="1:5" ht="15.75" customHeight="1" x14ac:dyDescent="0.25">
      <c r="A107" s="24"/>
      <c r="B107" s="174"/>
      <c r="C107" s="24"/>
      <c r="D107" s="24"/>
      <c r="E107" s="24"/>
    </row>
    <row r="108" spans="1:5" ht="15.75" customHeight="1" x14ac:dyDescent="0.25">
      <c r="A108" s="24"/>
      <c r="B108" s="174"/>
      <c r="C108" s="24"/>
      <c r="D108" s="24"/>
      <c r="E108" s="24"/>
    </row>
    <row r="109" spans="1:5" ht="15.75" customHeight="1" x14ac:dyDescent="0.25">
      <c r="A109" s="24"/>
      <c r="B109" s="174"/>
      <c r="C109" s="24"/>
      <c r="D109" s="24"/>
      <c r="E109" s="24"/>
    </row>
    <row r="110" spans="1:5" ht="15.75" customHeight="1" x14ac:dyDescent="0.25">
      <c r="A110" s="24"/>
      <c r="B110" s="174"/>
      <c r="C110" s="24"/>
      <c r="D110" s="24"/>
      <c r="E110" s="24"/>
    </row>
    <row r="111" spans="1:5" ht="15.75" customHeight="1" x14ac:dyDescent="0.25">
      <c r="A111" s="24"/>
      <c r="B111" s="174"/>
      <c r="C111" s="24"/>
      <c r="D111" s="24"/>
      <c r="E111" s="24"/>
    </row>
    <row r="112" spans="1:5" ht="15.75" customHeight="1" x14ac:dyDescent="0.25">
      <c r="A112" s="24"/>
      <c r="B112" s="174"/>
      <c r="C112" s="24"/>
      <c r="D112" s="24"/>
      <c r="E112" s="24"/>
    </row>
    <row r="113" spans="1:5" ht="15.75" customHeight="1" x14ac:dyDescent="0.25">
      <c r="A113" s="24"/>
      <c r="B113" s="174"/>
      <c r="C113" s="24"/>
      <c r="D113" s="24"/>
      <c r="E113" s="24"/>
    </row>
    <row r="114" spans="1:5" ht="15.75" customHeight="1" x14ac:dyDescent="0.25">
      <c r="A114" s="24"/>
      <c r="B114" s="174"/>
      <c r="C114" s="24"/>
      <c r="D114" s="24"/>
      <c r="E114" s="24"/>
    </row>
    <row r="115" spans="1:5" ht="15.75" customHeight="1" x14ac:dyDescent="0.25">
      <c r="A115" s="24"/>
      <c r="B115" s="174"/>
      <c r="C115" s="24"/>
      <c r="D115" s="24"/>
      <c r="E115" s="24"/>
    </row>
    <row r="116" spans="1:5" ht="15.75" customHeight="1" x14ac:dyDescent="0.25">
      <c r="A116" s="24"/>
      <c r="B116" s="174"/>
      <c r="C116" s="24"/>
      <c r="D116" s="24"/>
      <c r="E116" s="24"/>
    </row>
    <row r="117" spans="1:5" ht="15.75" customHeight="1" x14ac:dyDescent="0.25">
      <c r="A117" s="24"/>
      <c r="B117" s="174"/>
      <c r="C117" s="24"/>
      <c r="D117" s="24"/>
      <c r="E117" s="24"/>
    </row>
    <row r="118" spans="1:5" ht="15.75" customHeight="1" x14ac:dyDescent="0.25">
      <c r="A118" s="24"/>
      <c r="B118" s="174"/>
      <c r="C118" s="24"/>
      <c r="D118" s="24"/>
      <c r="E118" s="24"/>
    </row>
    <row r="119" spans="1:5" ht="15.75" customHeight="1" x14ac:dyDescent="0.25">
      <c r="A119" s="24"/>
      <c r="B119" s="174"/>
      <c r="C119" s="24"/>
      <c r="D119" s="24"/>
      <c r="E119" s="24"/>
    </row>
    <row r="120" spans="1:5" ht="15.75" customHeight="1" x14ac:dyDescent="0.25">
      <c r="A120" s="24"/>
      <c r="B120" s="174"/>
      <c r="C120" s="24"/>
      <c r="D120" s="24"/>
      <c r="E120" s="24"/>
    </row>
    <row r="121" spans="1:5" ht="15.75" customHeight="1" x14ac:dyDescent="0.25">
      <c r="A121" s="24"/>
      <c r="B121" s="174"/>
      <c r="C121" s="24"/>
      <c r="D121" s="24"/>
      <c r="E121" s="24"/>
    </row>
    <row r="122" spans="1:5" ht="15.75" customHeight="1" x14ac:dyDescent="0.25">
      <c r="A122" s="24"/>
      <c r="B122" s="174"/>
      <c r="C122" s="24"/>
      <c r="D122" s="24"/>
      <c r="E122" s="24"/>
    </row>
    <row r="123" spans="1:5" ht="15.75" customHeight="1" x14ac:dyDescent="0.25">
      <c r="A123" s="24"/>
      <c r="B123" s="174"/>
      <c r="C123" s="24"/>
      <c r="D123" s="24"/>
      <c r="E123" s="24"/>
    </row>
    <row r="124" spans="1:5" ht="15.75" customHeight="1" x14ac:dyDescent="0.25">
      <c r="A124" s="24"/>
      <c r="B124" s="174"/>
      <c r="C124" s="24"/>
      <c r="D124" s="24"/>
      <c r="E124" s="24"/>
    </row>
    <row r="125" spans="1:5" ht="15.75" customHeight="1" x14ac:dyDescent="0.25">
      <c r="A125" s="24"/>
      <c r="B125" s="174"/>
      <c r="C125" s="24"/>
      <c r="D125" s="24"/>
      <c r="E125" s="24"/>
    </row>
    <row r="126" spans="1:5" ht="15.75" customHeight="1" x14ac:dyDescent="0.25">
      <c r="A126" s="24"/>
      <c r="B126" s="174"/>
      <c r="C126" s="24"/>
      <c r="D126" s="24"/>
      <c r="E126" s="24"/>
    </row>
    <row r="127" spans="1:5" ht="15.75" customHeight="1" x14ac:dyDescent="0.25">
      <c r="A127" s="24"/>
      <c r="B127" s="174"/>
      <c r="C127" s="24"/>
      <c r="D127" s="24"/>
      <c r="E127" s="24"/>
    </row>
    <row r="128" spans="1:5" ht="15.75" customHeight="1" x14ac:dyDescent="0.25">
      <c r="A128" s="24"/>
      <c r="B128" s="174"/>
      <c r="C128" s="24"/>
      <c r="D128" s="24"/>
      <c r="E128" s="24"/>
    </row>
    <row r="129" spans="1:5" ht="15.75" customHeight="1" x14ac:dyDescent="0.25">
      <c r="A129" s="24"/>
      <c r="B129" s="174"/>
      <c r="C129" s="24"/>
      <c r="D129" s="24"/>
      <c r="E129" s="24"/>
    </row>
    <row r="130" spans="1:5" ht="15.75" customHeight="1" x14ac:dyDescent="0.25">
      <c r="A130" s="24"/>
      <c r="B130" s="174"/>
      <c r="C130" s="24"/>
      <c r="D130" s="24"/>
      <c r="E130" s="24"/>
    </row>
    <row r="131" spans="1:5" ht="15.75" customHeight="1" x14ac:dyDescent="0.25">
      <c r="A131" s="24"/>
      <c r="B131" s="174"/>
      <c r="C131" s="24"/>
      <c r="D131" s="24"/>
      <c r="E131" s="24"/>
    </row>
    <row r="132" spans="1:5" ht="15.75" customHeight="1" x14ac:dyDescent="0.25">
      <c r="A132" s="24"/>
      <c r="B132" s="174"/>
      <c r="C132" s="24"/>
      <c r="D132" s="24"/>
      <c r="E132" s="24"/>
    </row>
    <row r="133" spans="1:5" ht="15.75" customHeight="1" x14ac:dyDescent="0.25">
      <c r="A133" s="24"/>
      <c r="B133" s="174"/>
      <c r="C133" s="24"/>
      <c r="D133" s="24"/>
      <c r="E133" s="24"/>
    </row>
    <row r="134" spans="1:5" ht="15.75" customHeight="1" x14ac:dyDescent="0.25">
      <c r="A134" s="24"/>
      <c r="B134" s="174"/>
      <c r="C134" s="24"/>
      <c r="D134" s="24"/>
      <c r="E134" s="24"/>
    </row>
    <row r="135" spans="1:5" ht="15.75" customHeight="1" x14ac:dyDescent="0.25">
      <c r="A135" s="24"/>
      <c r="B135" s="174"/>
      <c r="C135" s="24"/>
      <c r="D135" s="24"/>
      <c r="E135" s="24"/>
    </row>
    <row r="136" spans="1:5" ht="15.75" customHeight="1" x14ac:dyDescent="0.25">
      <c r="A136" s="24"/>
      <c r="B136" s="174"/>
      <c r="C136" s="24"/>
      <c r="D136" s="24"/>
      <c r="E136" s="24"/>
    </row>
    <row r="137" spans="1:5" ht="15.75" customHeight="1" x14ac:dyDescent="0.25">
      <c r="A137" s="24"/>
      <c r="B137" s="174"/>
      <c r="C137" s="24"/>
      <c r="D137" s="24"/>
      <c r="E137" s="24"/>
    </row>
    <row r="138" spans="1:5" ht="15.75" customHeight="1" x14ac:dyDescent="0.25">
      <c r="A138" s="24"/>
      <c r="B138" s="174"/>
      <c r="C138" s="24"/>
      <c r="D138" s="24"/>
      <c r="E138" s="24"/>
    </row>
    <row r="139" spans="1:5" ht="15.75" customHeight="1" x14ac:dyDescent="0.25">
      <c r="A139" s="24"/>
      <c r="B139" s="174"/>
      <c r="C139" s="24"/>
      <c r="D139" s="24"/>
      <c r="E139" s="24"/>
    </row>
    <row r="140" spans="1:5" ht="15.75" customHeight="1" x14ac:dyDescent="0.25">
      <c r="A140" s="24"/>
      <c r="B140" s="174"/>
      <c r="C140" s="24"/>
      <c r="D140" s="24"/>
      <c r="E140" s="24"/>
    </row>
    <row r="141" spans="1:5" ht="15.75" customHeight="1" x14ac:dyDescent="0.25">
      <c r="A141" s="24"/>
      <c r="B141" s="174"/>
      <c r="C141" s="24"/>
      <c r="D141" s="24"/>
      <c r="E141" s="24"/>
    </row>
    <row r="142" spans="1:5" ht="15.75" customHeight="1" x14ac:dyDescent="0.25">
      <c r="A142" s="24"/>
      <c r="B142" s="174"/>
      <c r="C142" s="24"/>
      <c r="D142" s="24"/>
      <c r="E142" s="24"/>
    </row>
    <row r="143" spans="1:5" ht="15.75" customHeight="1" x14ac:dyDescent="0.25">
      <c r="A143" s="24"/>
      <c r="B143" s="174"/>
      <c r="C143" s="24"/>
      <c r="D143" s="24"/>
      <c r="E143" s="24"/>
    </row>
    <row r="144" spans="1:5" ht="15.75" customHeight="1" x14ac:dyDescent="0.25">
      <c r="A144" s="24"/>
      <c r="B144" s="174"/>
      <c r="C144" s="24"/>
      <c r="D144" s="24"/>
      <c r="E144" s="24"/>
    </row>
    <row r="145" spans="1:5" ht="15.75" customHeight="1" x14ac:dyDescent="0.25">
      <c r="A145" s="24"/>
      <c r="B145" s="174"/>
      <c r="C145" s="24"/>
      <c r="D145" s="24"/>
      <c r="E145" s="24"/>
    </row>
    <row r="146" spans="1:5" ht="15.75" customHeight="1" x14ac:dyDescent="0.25">
      <c r="A146" s="24"/>
      <c r="B146" s="174"/>
      <c r="C146" s="24"/>
      <c r="D146" s="24"/>
      <c r="E146" s="24"/>
    </row>
    <row r="147" spans="1:5" ht="15.75" customHeight="1" x14ac:dyDescent="0.25">
      <c r="A147" s="24"/>
      <c r="B147" s="174"/>
      <c r="C147" s="24"/>
      <c r="D147" s="24"/>
      <c r="E147" s="24"/>
    </row>
    <row r="148" spans="1:5" ht="15.75" customHeight="1" x14ac:dyDescent="0.25">
      <c r="A148" s="24"/>
      <c r="B148" s="174"/>
      <c r="C148" s="24"/>
      <c r="D148" s="24"/>
      <c r="E148" s="24"/>
    </row>
    <row r="149" spans="1:5" ht="15.75" customHeight="1" x14ac:dyDescent="0.25">
      <c r="A149" s="24"/>
      <c r="B149" s="174"/>
      <c r="C149" s="24"/>
      <c r="D149" s="24"/>
      <c r="E149" s="24"/>
    </row>
    <row r="150" spans="1:5" ht="15.75" customHeight="1" x14ac:dyDescent="0.25">
      <c r="A150" s="24"/>
      <c r="B150" s="174"/>
      <c r="C150" s="24"/>
      <c r="D150" s="24"/>
      <c r="E150" s="24"/>
    </row>
    <row r="151" spans="1:5" ht="15.75" customHeight="1" x14ac:dyDescent="0.25">
      <c r="A151" s="24"/>
      <c r="B151" s="174"/>
      <c r="C151" s="24"/>
      <c r="D151" s="24"/>
      <c r="E151" s="24"/>
    </row>
    <row r="152" spans="1:5" ht="15.75" customHeight="1" x14ac:dyDescent="0.25">
      <c r="A152" s="24"/>
      <c r="B152" s="174"/>
      <c r="C152" s="24"/>
      <c r="D152" s="24"/>
      <c r="E152" s="24"/>
    </row>
    <row r="153" spans="1:5" ht="15.75" customHeight="1" x14ac:dyDescent="0.25">
      <c r="A153" s="24"/>
      <c r="B153" s="174"/>
      <c r="C153" s="24"/>
      <c r="D153" s="24"/>
      <c r="E153" s="24"/>
    </row>
    <row r="154" spans="1:5" ht="15.75" customHeight="1" x14ac:dyDescent="0.25">
      <c r="A154" s="24"/>
      <c r="B154" s="174"/>
      <c r="C154" s="24"/>
      <c r="D154" s="24"/>
      <c r="E154" s="24"/>
    </row>
    <row r="155" spans="1:5" ht="15.75" customHeight="1" x14ac:dyDescent="0.25">
      <c r="A155" s="24"/>
      <c r="B155" s="174"/>
      <c r="C155" s="24"/>
      <c r="D155" s="24"/>
      <c r="E155" s="24"/>
    </row>
    <row r="156" spans="1:5" ht="15.75" customHeight="1" x14ac:dyDescent="0.25">
      <c r="A156" s="24"/>
      <c r="B156" s="174"/>
      <c r="C156" s="24"/>
      <c r="D156" s="24"/>
      <c r="E156" s="24"/>
    </row>
    <row r="157" spans="1:5" ht="15.75" customHeight="1" x14ac:dyDescent="0.25">
      <c r="A157" s="24"/>
      <c r="B157" s="174"/>
      <c r="C157" s="24"/>
      <c r="D157" s="24"/>
      <c r="E157" s="24"/>
    </row>
    <row r="158" spans="1:5" ht="15.75" customHeight="1" x14ac:dyDescent="0.25">
      <c r="A158" s="24"/>
      <c r="B158" s="174"/>
      <c r="C158" s="24"/>
      <c r="D158" s="24"/>
      <c r="E158" s="24"/>
    </row>
    <row r="159" spans="1:5" ht="15.75" customHeight="1" x14ac:dyDescent="0.25">
      <c r="A159" s="24"/>
      <c r="B159" s="174"/>
      <c r="C159" s="24"/>
      <c r="D159" s="24"/>
      <c r="E159" s="24"/>
    </row>
    <row r="160" spans="1:5" ht="15.75" customHeight="1" x14ac:dyDescent="0.25">
      <c r="A160" s="24"/>
      <c r="B160" s="174"/>
      <c r="C160" s="24"/>
      <c r="D160" s="24"/>
      <c r="E160" s="24"/>
    </row>
    <row r="161" spans="1:5" ht="15.75" customHeight="1" x14ac:dyDescent="0.25">
      <c r="A161" s="24"/>
      <c r="B161" s="174"/>
      <c r="C161" s="24"/>
      <c r="D161" s="24"/>
      <c r="E161" s="24"/>
    </row>
    <row r="162" spans="1:5" ht="15.75" customHeight="1" x14ac:dyDescent="0.25">
      <c r="A162" s="24"/>
      <c r="B162" s="174"/>
      <c r="C162" s="24"/>
      <c r="D162" s="24"/>
      <c r="E162" s="24"/>
    </row>
    <row r="163" spans="1:5" ht="15.75" customHeight="1" x14ac:dyDescent="0.25">
      <c r="A163" s="24"/>
      <c r="B163" s="174"/>
      <c r="C163" s="24"/>
      <c r="D163" s="24"/>
      <c r="E163" s="24"/>
    </row>
    <row r="164" spans="1:5" ht="15.75" customHeight="1" x14ac:dyDescent="0.25">
      <c r="A164" s="24"/>
      <c r="B164" s="174"/>
      <c r="C164" s="24"/>
      <c r="D164" s="24"/>
      <c r="E164" s="24"/>
    </row>
    <row r="165" spans="1:5" ht="15.75" customHeight="1" x14ac:dyDescent="0.25">
      <c r="A165" s="24"/>
      <c r="B165" s="174"/>
      <c r="C165" s="24"/>
      <c r="D165" s="24"/>
      <c r="E165" s="24"/>
    </row>
    <row r="166" spans="1:5" ht="15.75" customHeight="1" x14ac:dyDescent="0.25">
      <c r="A166" s="24"/>
      <c r="B166" s="174"/>
      <c r="C166" s="24"/>
      <c r="D166" s="24"/>
      <c r="E166" s="24"/>
    </row>
    <row r="167" spans="1:5" ht="15.75" customHeight="1" x14ac:dyDescent="0.25">
      <c r="A167" s="24"/>
      <c r="B167" s="174"/>
      <c r="C167" s="24"/>
      <c r="D167" s="24"/>
      <c r="E167" s="24"/>
    </row>
    <row r="168" spans="1:5" ht="15.75" customHeight="1" x14ac:dyDescent="0.25">
      <c r="A168" s="24"/>
      <c r="B168" s="174"/>
      <c r="C168" s="24"/>
      <c r="D168" s="24"/>
      <c r="E168" s="24"/>
    </row>
    <row r="169" spans="1:5" ht="15.75" customHeight="1" x14ac:dyDescent="0.25">
      <c r="A169" s="24"/>
      <c r="B169" s="174"/>
      <c r="C169" s="24"/>
      <c r="D169" s="24"/>
      <c r="E169" s="24"/>
    </row>
    <row r="170" spans="1:5" ht="15.75" customHeight="1" x14ac:dyDescent="0.25">
      <c r="A170" s="24"/>
      <c r="B170" s="174"/>
      <c r="C170" s="24"/>
      <c r="D170" s="24"/>
      <c r="E170" s="24"/>
    </row>
    <row r="171" spans="1:5" ht="15.75" customHeight="1" x14ac:dyDescent="0.25">
      <c r="A171" s="24"/>
      <c r="B171" s="174"/>
      <c r="C171" s="24"/>
      <c r="D171" s="24"/>
      <c r="E171" s="24"/>
    </row>
    <row r="172" spans="1:5" ht="15.75" customHeight="1" x14ac:dyDescent="0.25">
      <c r="A172" s="24"/>
      <c r="B172" s="174"/>
      <c r="C172" s="24"/>
      <c r="D172" s="24"/>
      <c r="E172" s="24"/>
    </row>
    <row r="173" spans="1:5" ht="15.75" customHeight="1" x14ac:dyDescent="0.25">
      <c r="A173" s="24"/>
      <c r="B173" s="174"/>
      <c r="C173" s="24"/>
      <c r="D173" s="24"/>
      <c r="E173" s="24"/>
    </row>
    <row r="174" spans="1:5" ht="15.75" customHeight="1" x14ac:dyDescent="0.25">
      <c r="A174" s="24"/>
      <c r="B174" s="174"/>
      <c r="C174" s="24"/>
      <c r="D174" s="24"/>
      <c r="E174" s="24"/>
    </row>
    <row r="175" spans="1:5" ht="15.75" customHeight="1" x14ac:dyDescent="0.25">
      <c r="A175" s="24"/>
      <c r="B175" s="174"/>
      <c r="C175" s="24"/>
      <c r="D175" s="24"/>
      <c r="E175" s="24"/>
    </row>
    <row r="176" spans="1:5" ht="15.75" customHeight="1" x14ac:dyDescent="0.25">
      <c r="A176" s="24"/>
      <c r="B176" s="174"/>
      <c r="C176" s="24"/>
      <c r="D176" s="24"/>
      <c r="E176" s="24"/>
    </row>
    <row r="177" spans="1:5" ht="15.75" customHeight="1" x14ac:dyDescent="0.25">
      <c r="A177" s="24"/>
      <c r="B177" s="174"/>
      <c r="C177" s="24"/>
      <c r="D177" s="24"/>
      <c r="E177" s="24"/>
    </row>
    <row r="178" spans="1:5" ht="15.75" customHeight="1" x14ac:dyDescent="0.25">
      <c r="A178" s="24"/>
      <c r="B178" s="174"/>
      <c r="C178" s="24"/>
      <c r="D178" s="24"/>
      <c r="E178" s="24"/>
    </row>
    <row r="179" spans="1:5" ht="15.75" customHeight="1" x14ac:dyDescent="0.25">
      <c r="A179" s="24"/>
      <c r="B179" s="174"/>
      <c r="C179" s="24"/>
      <c r="D179" s="24"/>
      <c r="E179" s="24"/>
    </row>
    <row r="180" spans="1:5" ht="15.75" customHeight="1" x14ac:dyDescent="0.25">
      <c r="A180" s="24"/>
      <c r="B180" s="174"/>
      <c r="C180" s="24"/>
      <c r="D180" s="24"/>
      <c r="E180" s="24"/>
    </row>
    <row r="181" spans="1:5" ht="15.75" customHeight="1" x14ac:dyDescent="0.25">
      <c r="A181" s="24"/>
      <c r="B181" s="174"/>
      <c r="C181" s="24"/>
      <c r="D181" s="24"/>
      <c r="E181" s="24"/>
    </row>
    <row r="182" spans="1:5" ht="15.75" customHeight="1" x14ac:dyDescent="0.25">
      <c r="A182" s="24"/>
      <c r="B182" s="174"/>
      <c r="C182" s="24"/>
      <c r="D182" s="24"/>
      <c r="E182" s="24"/>
    </row>
    <row r="183" spans="1:5" ht="15.75" customHeight="1" x14ac:dyDescent="0.25">
      <c r="A183" s="24"/>
      <c r="B183" s="174"/>
      <c r="C183" s="24"/>
      <c r="D183" s="24"/>
      <c r="E183" s="24"/>
    </row>
    <row r="184" spans="1:5" ht="15.75" customHeight="1" x14ac:dyDescent="0.25">
      <c r="A184" s="24"/>
      <c r="B184" s="174"/>
      <c r="C184" s="24"/>
      <c r="D184" s="24"/>
      <c r="E184" s="24"/>
    </row>
    <row r="185" spans="1:5" ht="15.75" customHeight="1" x14ac:dyDescent="0.25">
      <c r="A185" s="24"/>
      <c r="B185" s="174"/>
      <c r="C185" s="24"/>
      <c r="D185" s="24"/>
      <c r="E185" s="24"/>
    </row>
    <row r="186" spans="1:5" ht="15.75" customHeight="1" x14ac:dyDescent="0.25">
      <c r="A186" s="24"/>
      <c r="B186" s="174"/>
      <c r="C186" s="24"/>
      <c r="D186" s="24"/>
      <c r="E186" s="24"/>
    </row>
    <row r="187" spans="1:5" ht="15.75" customHeight="1" x14ac:dyDescent="0.25">
      <c r="A187" s="24"/>
      <c r="B187" s="174"/>
      <c r="C187" s="24"/>
      <c r="D187" s="24"/>
      <c r="E187" s="24"/>
    </row>
    <row r="188" spans="1:5" ht="15.75" customHeight="1" x14ac:dyDescent="0.25">
      <c r="A188" s="24"/>
      <c r="B188" s="174"/>
      <c r="C188" s="24"/>
      <c r="D188" s="24"/>
      <c r="E188" s="24"/>
    </row>
    <row r="189" spans="1:5" ht="15.75" customHeight="1" x14ac:dyDescent="0.25">
      <c r="A189" s="24"/>
      <c r="B189" s="174"/>
      <c r="C189" s="24"/>
      <c r="D189" s="24"/>
      <c r="E189" s="24"/>
    </row>
    <row r="190" spans="1:5" ht="15.75" customHeight="1" x14ac:dyDescent="0.25">
      <c r="A190" s="24"/>
      <c r="B190" s="174"/>
      <c r="C190" s="24"/>
      <c r="D190" s="24"/>
      <c r="E190" s="24"/>
    </row>
    <row r="191" spans="1:5" ht="15.75" customHeight="1" x14ac:dyDescent="0.25">
      <c r="A191" s="24"/>
      <c r="B191" s="174"/>
      <c r="C191" s="24"/>
      <c r="D191" s="24"/>
      <c r="E191" s="24"/>
    </row>
    <row r="192" spans="1:5" ht="15.75" customHeight="1" x14ac:dyDescent="0.25">
      <c r="A192" s="24"/>
      <c r="B192" s="174"/>
      <c r="C192" s="24"/>
      <c r="D192" s="24"/>
      <c r="E192" s="24"/>
    </row>
    <row r="193" spans="1:5" ht="15.75" customHeight="1" x14ac:dyDescent="0.25">
      <c r="A193" s="24"/>
      <c r="B193" s="174"/>
      <c r="C193" s="24"/>
      <c r="D193" s="24"/>
      <c r="E193" s="24"/>
    </row>
    <row r="194" spans="1:5" ht="15.75" customHeight="1" x14ac:dyDescent="0.25">
      <c r="A194" s="24"/>
      <c r="B194" s="174"/>
      <c r="C194" s="24"/>
      <c r="D194" s="24"/>
      <c r="E194" s="24"/>
    </row>
    <row r="195" spans="1:5" ht="15.75" customHeight="1" x14ac:dyDescent="0.25">
      <c r="A195" s="24"/>
      <c r="B195" s="174"/>
      <c r="C195" s="24"/>
      <c r="D195" s="24"/>
      <c r="E195" s="24"/>
    </row>
    <row r="196" spans="1:5" ht="15.75" customHeight="1" x14ac:dyDescent="0.25">
      <c r="A196" s="24"/>
      <c r="B196" s="174"/>
      <c r="C196" s="24"/>
      <c r="D196" s="24"/>
      <c r="E196" s="24"/>
    </row>
    <row r="197" spans="1:5" ht="15.75" customHeight="1" x14ac:dyDescent="0.25">
      <c r="A197" s="24"/>
      <c r="B197" s="174"/>
      <c r="C197" s="24"/>
      <c r="D197" s="24"/>
      <c r="E197" s="24"/>
    </row>
    <row r="198" spans="1:5" ht="15.75" customHeight="1" x14ac:dyDescent="0.25">
      <c r="A198" s="24"/>
      <c r="B198" s="174"/>
      <c r="C198" s="24"/>
      <c r="D198" s="24"/>
      <c r="E198" s="24"/>
    </row>
    <row r="199" spans="1:5" ht="15.75" customHeight="1" x14ac:dyDescent="0.25">
      <c r="A199" s="24"/>
      <c r="B199" s="174"/>
      <c r="C199" s="24"/>
      <c r="D199" s="24"/>
      <c r="E199" s="24"/>
    </row>
    <row r="200" spans="1:5" ht="15.75" customHeight="1" x14ac:dyDescent="0.25">
      <c r="A200" s="24"/>
      <c r="B200" s="174"/>
      <c r="C200" s="24"/>
      <c r="D200" s="24"/>
      <c r="E200" s="24"/>
    </row>
    <row r="201" spans="1:5" ht="15.75" customHeight="1" x14ac:dyDescent="0.25">
      <c r="A201" s="24"/>
      <c r="B201" s="174"/>
      <c r="C201" s="24"/>
      <c r="D201" s="24"/>
      <c r="E201" s="24"/>
    </row>
    <row r="202" spans="1:5" ht="15.75" customHeight="1" x14ac:dyDescent="0.25">
      <c r="A202" s="24"/>
      <c r="B202" s="174"/>
      <c r="C202" s="24"/>
      <c r="D202" s="24"/>
      <c r="E202" s="24"/>
    </row>
    <row r="203" spans="1:5" ht="15.75" customHeight="1" x14ac:dyDescent="0.25">
      <c r="A203" s="24"/>
      <c r="B203" s="174"/>
      <c r="C203" s="24"/>
      <c r="D203" s="24"/>
      <c r="E203" s="24"/>
    </row>
    <row r="204" spans="1:5" ht="15.75" customHeight="1" x14ac:dyDescent="0.25">
      <c r="A204" s="24"/>
      <c r="B204" s="174"/>
      <c r="C204" s="24"/>
      <c r="D204" s="24"/>
      <c r="E204" s="24"/>
    </row>
    <row r="205" spans="1:5" ht="15.75" customHeight="1" x14ac:dyDescent="0.25">
      <c r="A205" s="24"/>
      <c r="B205" s="174"/>
      <c r="C205" s="24"/>
      <c r="D205" s="24"/>
      <c r="E205" s="24"/>
    </row>
    <row r="206" spans="1:5" ht="15.75" customHeight="1" x14ac:dyDescent="0.25">
      <c r="A206" s="24"/>
      <c r="B206" s="174"/>
      <c r="C206" s="24"/>
      <c r="D206" s="24"/>
      <c r="E206" s="24"/>
    </row>
    <row r="207" spans="1:5" ht="15.75" customHeight="1" x14ac:dyDescent="0.25">
      <c r="A207" s="24"/>
      <c r="B207" s="174"/>
      <c r="C207" s="24"/>
      <c r="D207" s="24"/>
      <c r="E207" s="24"/>
    </row>
    <row r="208" spans="1:5" ht="15.75" customHeight="1" x14ac:dyDescent="0.25">
      <c r="A208" s="24"/>
      <c r="B208" s="174"/>
      <c r="C208" s="24"/>
      <c r="D208" s="24"/>
      <c r="E208" s="24"/>
    </row>
    <row r="209" spans="1:5" ht="15.75" customHeight="1" x14ac:dyDescent="0.25">
      <c r="A209" s="24"/>
      <c r="B209" s="174"/>
      <c r="C209" s="24"/>
      <c r="D209" s="24"/>
      <c r="E209" s="24"/>
    </row>
    <row r="210" spans="1:5" ht="15.75" customHeight="1" x14ac:dyDescent="0.25">
      <c r="A210" s="24"/>
      <c r="B210" s="174"/>
      <c r="C210" s="24"/>
      <c r="D210" s="24"/>
      <c r="E210" s="24"/>
    </row>
    <row r="211" spans="1:5" ht="15.75" customHeight="1" x14ac:dyDescent="0.25">
      <c r="A211" s="24"/>
      <c r="B211" s="174"/>
      <c r="C211" s="24"/>
      <c r="D211" s="24"/>
      <c r="E211" s="24"/>
    </row>
    <row r="212" spans="1:5" ht="15.75" customHeight="1" x14ac:dyDescent="0.25">
      <c r="A212" s="24"/>
      <c r="B212" s="174"/>
      <c r="C212" s="24"/>
      <c r="D212" s="24"/>
      <c r="E212" s="24"/>
    </row>
    <row r="213" spans="1:5" ht="15.75" customHeight="1" x14ac:dyDescent="0.25">
      <c r="A213" s="24"/>
      <c r="B213" s="174"/>
      <c r="C213" s="24"/>
      <c r="D213" s="24"/>
      <c r="E213" s="24"/>
    </row>
    <row r="214" spans="1:5" ht="15.75" customHeight="1" x14ac:dyDescent="0.25">
      <c r="A214" s="24"/>
      <c r="B214" s="174"/>
      <c r="C214" s="24"/>
      <c r="D214" s="24"/>
      <c r="E214" s="24"/>
    </row>
    <row r="215" spans="1:5" ht="15.75" customHeight="1" x14ac:dyDescent="0.25">
      <c r="A215" s="24"/>
      <c r="B215" s="174"/>
      <c r="C215" s="24"/>
      <c r="D215" s="24"/>
      <c r="E215" s="24"/>
    </row>
    <row r="216" spans="1:5" ht="15.75" customHeight="1" x14ac:dyDescent="0.25">
      <c r="A216" s="24"/>
      <c r="B216" s="174"/>
      <c r="C216" s="24"/>
      <c r="D216" s="24"/>
      <c r="E216" s="24"/>
    </row>
    <row r="217" spans="1:5" ht="15.75" customHeight="1" x14ac:dyDescent="0.25">
      <c r="A217" s="24"/>
      <c r="B217" s="174"/>
      <c r="C217" s="24"/>
      <c r="D217" s="24"/>
      <c r="E217" s="24"/>
    </row>
    <row r="218" spans="1:5" ht="15.75" customHeight="1" x14ac:dyDescent="0.25">
      <c r="A218" s="24"/>
      <c r="B218" s="174"/>
      <c r="C218" s="24"/>
      <c r="D218" s="24"/>
      <c r="E218" s="24"/>
    </row>
    <row r="219" spans="1:5" ht="15.75" customHeight="1" x14ac:dyDescent="0.25">
      <c r="A219" s="24"/>
      <c r="B219" s="174"/>
      <c r="C219" s="24"/>
      <c r="D219" s="24"/>
      <c r="E219" s="24"/>
    </row>
    <row r="220" spans="1:5" ht="15.75" customHeight="1" x14ac:dyDescent="0.25">
      <c r="A220" s="24"/>
      <c r="B220" s="174"/>
      <c r="C220" s="24"/>
      <c r="D220" s="24"/>
      <c r="E220" s="24"/>
    </row>
    <row r="221" spans="1:5" ht="15.75" customHeight="1" x14ac:dyDescent="0.25">
      <c r="A221" s="24"/>
      <c r="B221" s="174"/>
      <c r="C221" s="24"/>
      <c r="D221" s="24"/>
      <c r="E221" s="24"/>
    </row>
    <row r="222" spans="1:5" ht="15.75" customHeight="1" x14ac:dyDescent="0.25">
      <c r="A222" s="24"/>
      <c r="B222" s="174"/>
      <c r="C222" s="24"/>
      <c r="D222" s="24"/>
      <c r="E222" s="24"/>
    </row>
    <row r="223" spans="1:5" ht="15.75" customHeight="1" x14ac:dyDescent="0.25">
      <c r="A223" s="24"/>
      <c r="B223" s="174"/>
      <c r="C223" s="24"/>
      <c r="D223" s="24"/>
      <c r="E223" s="24"/>
    </row>
    <row r="224" spans="1:5" ht="15.75" customHeight="1" x14ac:dyDescent="0.25">
      <c r="A224" s="24"/>
      <c r="B224" s="174"/>
      <c r="C224" s="24"/>
      <c r="D224" s="24"/>
      <c r="E224" s="24"/>
    </row>
    <row r="225" spans="1:5" ht="15.75" customHeight="1" x14ac:dyDescent="0.25">
      <c r="A225" s="24"/>
      <c r="B225" s="174"/>
      <c r="C225" s="24"/>
      <c r="D225" s="24"/>
      <c r="E225" s="24"/>
    </row>
    <row r="226" spans="1:5" ht="15.75" customHeight="1" x14ac:dyDescent="0.25">
      <c r="A226" s="24"/>
      <c r="B226" s="174"/>
      <c r="C226" s="24"/>
      <c r="D226" s="24"/>
      <c r="E226" s="24"/>
    </row>
    <row r="227" spans="1:5" ht="15.75" customHeight="1" x14ac:dyDescent="0.25">
      <c r="A227" s="24"/>
      <c r="B227" s="174"/>
      <c r="C227" s="24"/>
      <c r="D227" s="24"/>
      <c r="E227" s="24"/>
    </row>
    <row r="228" spans="1:5" ht="15.75" customHeight="1" x14ac:dyDescent="0.25">
      <c r="A228" s="24"/>
      <c r="B228" s="174"/>
      <c r="C228" s="24"/>
      <c r="D228" s="24"/>
      <c r="E228" s="24"/>
    </row>
    <row r="229" spans="1:5" ht="15.75" customHeight="1" x14ac:dyDescent="0.25">
      <c r="A229" s="24"/>
      <c r="B229" s="174"/>
      <c r="C229" s="24"/>
      <c r="D229" s="24"/>
      <c r="E229" s="24"/>
    </row>
    <row r="230" spans="1:5" ht="15.75" customHeight="1" x14ac:dyDescent="0.25">
      <c r="A230" s="24"/>
      <c r="B230" s="174"/>
      <c r="C230" s="24"/>
      <c r="D230" s="24"/>
      <c r="E230" s="24"/>
    </row>
    <row r="231" spans="1:5" ht="15.75" customHeight="1" x14ac:dyDescent="0.25">
      <c r="A231" s="24"/>
      <c r="B231" s="174"/>
      <c r="C231" s="24"/>
      <c r="D231" s="24"/>
      <c r="E231" s="24"/>
    </row>
    <row r="232" spans="1:5" ht="15.75" customHeight="1" x14ac:dyDescent="0.25">
      <c r="A232" s="24"/>
      <c r="B232" s="174"/>
      <c r="C232" s="24"/>
      <c r="D232" s="24"/>
      <c r="E232" s="24"/>
    </row>
    <row r="233" spans="1:5" ht="15.75" customHeight="1" x14ac:dyDescent="0.25">
      <c r="A233" s="24"/>
      <c r="B233" s="174"/>
      <c r="C233" s="24"/>
      <c r="D233" s="24"/>
      <c r="E233" s="24"/>
    </row>
    <row r="234" spans="1:5" ht="15.75" customHeight="1" x14ac:dyDescent="0.25">
      <c r="A234" s="24"/>
      <c r="B234" s="174"/>
      <c r="C234" s="24"/>
      <c r="D234" s="24"/>
      <c r="E234" s="24"/>
    </row>
    <row r="235" spans="1:5" ht="15.75" customHeight="1" x14ac:dyDescent="0.25">
      <c r="A235" s="24"/>
      <c r="B235" s="174"/>
      <c r="C235" s="24"/>
      <c r="D235" s="24"/>
      <c r="E235" s="24"/>
    </row>
    <row r="236" spans="1:5" ht="15.75" customHeight="1" x14ac:dyDescent="0.25">
      <c r="A236" s="24"/>
      <c r="B236" s="174"/>
      <c r="C236" s="24"/>
      <c r="D236" s="24"/>
      <c r="E236" s="24"/>
    </row>
    <row r="237" spans="1:5" ht="15.75" customHeight="1" x14ac:dyDescent="0.25"/>
    <row r="238" spans="1:5" ht="15.75" customHeight="1" x14ac:dyDescent="0.25"/>
    <row r="239" spans="1:5" ht="15.75" customHeight="1" x14ac:dyDescent="0.25"/>
    <row r="240" spans="1: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5"/>
  <sheetViews>
    <sheetView view="pageBreakPreview" zoomScale="115" zoomScaleNormal="100" zoomScaleSheetLayoutView="115" workbookViewId="0">
      <selection activeCell="A19" sqref="A19"/>
    </sheetView>
  </sheetViews>
  <sheetFormatPr defaultColWidth="14.42578125" defaultRowHeight="15" customHeight="1" x14ac:dyDescent="0.25"/>
  <cols>
    <col min="1" max="1" width="74" customWidth="1"/>
    <col min="2" max="2" width="14.7109375" customWidth="1"/>
    <col min="3" max="6" width="16.5703125" hidden="1" customWidth="1"/>
    <col min="7" max="7" width="16.5703125" customWidth="1"/>
    <col min="8"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1484</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 customHeight="1" x14ac:dyDescent="0.25">
      <c r="A13" s="17" t="s">
        <v>364</v>
      </c>
      <c r="B13" s="172"/>
      <c r="C13" s="42"/>
      <c r="D13" s="42"/>
      <c r="E13" s="42"/>
      <c r="F13" s="42"/>
      <c r="G13" s="42"/>
    </row>
    <row r="14" spans="1:26" ht="15" customHeight="1" x14ac:dyDescent="0.25">
      <c r="A14" s="42" t="s">
        <v>1481</v>
      </c>
      <c r="B14" s="199"/>
      <c r="C14" s="41"/>
      <c r="D14" s="41"/>
      <c r="E14" s="20"/>
      <c r="F14" s="120"/>
      <c r="G14" s="49"/>
    </row>
    <row r="15" spans="1:26" ht="15" customHeight="1" x14ac:dyDescent="0.25">
      <c r="A15" s="17" t="s">
        <v>642</v>
      </c>
      <c r="B15" s="172"/>
      <c r="C15" s="43"/>
      <c r="D15" s="43"/>
      <c r="E15" s="43"/>
      <c r="F15" s="43"/>
      <c r="G15" s="43"/>
    </row>
    <row r="16" spans="1:26" ht="15" customHeight="1" x14ac:dyDescent="0.25">
      <c r="A16" s="44" t="s">
        <v>393</v>
      </c>
      <c r="B16" s="41" t="s">
        <v>187</v>
      </c>
      <c r="C16" s="43">
        <v>37875.5</v>
      </c>
      <c r="D16" s="43">
        <v>30045.8</v>
      </c>
      <c r="E16" s="43">
        <f>F16-D16</f>
        <v>59954.2</v>
      </c>
      <c r="F16" s="43">
        <v>90000</v>
      </c>
      <c r="G16" s="43">
        <v>84351</v>
      </c>
      <c r="H16" s="15"/>
      <c r="I16" s="15"/>
      <c r="J16" s="15"/>
      <c r="K16" s="15"/>
      <c r="L16" s="15"/>
      <c r="M16" s="15"/>
      <c r="N16" s="15"/>
      <c r="O16" s="15"/>
      <c r="P16" s="15"/>
      <c r="Q16" s="15"/>
      <c r="R16" s="15"/>
      <c r="S16" s="15"/>
      <c r="T16" s="15"/>
      <c r="U16" s="15"/>
      <c r="V16" s="15"/>
      <c r="W16" s="15"/>
      <c r="X16" s="15"/>
      <c r="Y16" s="15"/>
      <c r="Z16" s="15"/>
    </row>
    <row r="17" spans="1:26" ht="15" customHeight="1" x14ac:dyDescent="0.25">
      <c r="A17" s="17" t="s">
        <v>493</v>
      </c>
      <c r="B17" s="41"/>
      <c r="C17" s="43"/>
      <c r="D17" s="43"/>
      <c r="E17" s="43"/>
      <c r="F17" s="43"/>
      <c r="G17" s="43"/>
      <c r="H17" s="15"/>
      <c r="I17" s="15"/>
      <c r="J17" s="15"/>
      <c r="K17" s="15"/>
      <c r="L17" s="15"/>
      <c r="M17" s="15"/>
      <c r="N17" s="15"/>
      <c r="O17" s="15"/>
      <c r="P17" s="15"/>
      <c r="Q17" s="15"/>
      <c r="R17" s="15"/>
      <c r="S17" s="15"/>
      <c r="T17" s="15"/>
      <c r="U17" s="15"/>
      <c r="V17" s="15"/>
      <c r="W17" s="15"/>
      <c r="X17" s="15"/>
      <c r="Y17" s="15"/>
      <c r="Z17" s="15"/>
    </row>
    <row r="18" spans="1:26" ht="15" customHeight="1" x14ac:dyDescent="0.25">
      <c r="A18" s="44" t="s">
        <v>396</v>
      </c>
      <c r="B18" s="41" t="s">
        <v>191</v>
      </c>
      <c r="C18" s="43">
        <v>0</v>
      </c>
      <c r="D18" s="43">
        <v>0</v>
      </c>
      <c r="E18" s="43">
        <f>+F18-D18</f>
        <v>0</v>
      </c>
      <c r="F18" s="43">
        <v>0</v>
      </c>
      <c r="G18" s="43">
        <v>4000</v>
      </c>
      <c r="H18" s="15"/>
      <c r="I18" s="15"/>
      <c r="J18" s="15"/>
      <c r="K18" s="15"/>
      <c r="L18" s="15"/>
      <c r="M18" s="15"/>
      <c r="N18" s="15"/>
      <c r="O18" s="15"/>
      <c r="P18" s="15"/>
      <c r="Q18" s="15"/>
      <c r="R18" s="15"/>
      <c r="S18" s="15"/>
      <c r="T18" s="15"/>
      <c r="U18" s="15"/>
      <c r="V18" s="15"/>
      <c r="W18" s="15"/>
      <c r="X18" s="15"/>
      <c r="Y18" s="15"/>
      <c r="Z18" s="15"/>
    </row>
    <row r="19" spans="1:26" ht="15" customHeight="1" x14ac:dyDescent="0.25">
      <c r="A19" s="17" t="s">
        <v>499</v>
      </c>
      <c r="B19" s="41"/>
      <c r="C19" s="43"/>
      <c r="D19" s="43"/>
      <c r="E19" s="43"/>
      <c r="F19" s="43"/>
      <c r="G19" s="43"/>
      <c r="H19" s="15"/>
      <c r="I19" s="15"/>
      <c r="J19" s="15"/>
      <c r="K19" s="15"/>
      <c r="L19" s="15"/>
      <c r="M19" s="15"/>
      <c r="N19" s="15"/>
      <c r="O19" s="15"/>
      <c r="P19" s="15"/>
      <c r="Q19" s="15"/>
      <c r="R19" s="15"/>
      <c r="S19" s="15"/>
      <c r="T19" s="15"/>
      <c r="U19" s="15"/>
      <c r="V19" s="15"/>
      <c r="W19" s="15"/>
      <c r="X19" s="15"/>
      <c r="Y19" s="15"/>
      <c r="Z19" s="15"/>
    </row>
    <row r="20" spans="1:26" ht="15" customHeight="1" x14ac:dyDescent="0.25">
      <c r="A20" s="44" t="s">
        <v>398</v>
      </c>
      <c r="B20" s="41" t="s">
        <v>195</v>
      </c>
      <c r="C20" s="43">
        <v>11445.2</v>
      </c>
      <c r="D20" s="43">
        <v>0</v>
      </c>
      <c r="E20" s="43">
        <f>+F20-D20</f>
        <v>58351</v>
      </c>
      <c r="F20" s="43">
        <v>58351</v>
      </c>
      <c r="G20" s="43">
        <v>58824</v>
      </c>
      <c r="H20" s="15"/>
      <c r="I20" s="15"/>
      <c r="J20" s="15"/>
      <c r="K20" s="15"/>
      <c r="L20" s="15"/>
      <c r="M20" s="15"/>
      <c r="N20" s="15"/>
      <c r="O20" s="15"/>
      <c r="P20" s="15"/>
      <c r="Q20" s="15"/>
      <c r="R20" s="15"/>
      <c r="S20" s="15"/>
      <c r="T20" s="15"/>
      <c r="U20" s="15"/>
      <c r="V20" s="15"/>
      <c r="W20" s="15"/>
      <c r="X20" s="15"/>
      <c r="Y20" s="15"/>
      <c r="Z20" s="15"/>
    </row>
    <row r="21" spans="1:26" ht="15" customHeight="1" x14ac:dyDescent="0.25">
      <c r="A21" s="96" t="s">
        <v>400</v>
      </c>
      <c r="B21" s="41" t="s">
        <v>221</v>
      </c>
      <c r="C21" s="43">
        <v>0</v>
      </c>
      <c r="D21" s="43">
        <v>0</v>
      </c>
      <c r="E21" s="43">
        <v>0</v>
      </c>
      <c r="F21" s="43">
        <v>0</v>
      </c>
      <c r="G21" s="43">
        <v>7500</v>
      </c>
      <c r="H21" s="15"/>
      <c r="I21" s="15"/>
      <c r="J21" s="15"/>
      <c r="K21" s="15"/>
      <c r="L21" s="15"/>
      <c r="M21" s="15"/>
      <c r="N21" s="15"/>
      <c r="O21" s="15"/>
      <c r="P21" s="15"/>
      <c r="Q21" s="15"/>
      <c r="R21" s="15"/>
      <c r="S21" s="15"/>
      <c r="T21" s="15"/>
      <c r="U21" s="15"/>
      <c r="V21" s="15"/>
      <c r="W21" s="15"/>
      <c r="X21" s="15"/>
      <c r="Y21" s="15"/>
      <c r="Z21" s="15"/>
    </row>
    <row r="22" spans="1:26" ht="15" customHeight="1" x14ac:dyDescent="0.25">
      <c r="A22" s="44" t="s">
        <v>402</v>
      </c>
      <c r="B22" s="41" t="s">
        <v>225</v>
      </c>
      <c r="C22" s="43">
        <v>71931.39</v>
      </c>
      <c r="D22" s="43">
        <v>0</v>
      </c>
      <c r="E22" s="43">
        <f>+F22-D22</f>
        <v>89200</v>
      </c>
      <c r="F22" s="43">
        <v>89200</v>
      </c>
      <c r="G22" s="43">
        <v>79719</v>
      </c>
      <c r="H22" s="15"/>
      <c r="I22" s="15"/>
      <c r="J22" s="15"/>
      <c r="K22" s="15"/>
      <c r="L22" s="15"/>
      <c r="M22" s="15"/>
      <c r="N22" s="15"/>
      <c r="O22" s="15"/>
      <c r="P22" s="15"/>
      <c r="Q22" s="15"/>
      <c r="R22" s="15"/>
      <c r="S22" s="15"/>
      <c r="T22" s="15"/>
      <c r="U22" s="15"/>
      <c r="V22" s="15"/>
      <c r="W22" s="15"/>
      <c r="X22" s="15"/>
      <c r="Y22" s="15"/>
      <c r="Z22" s="15"/>
    </row>
    <row r="23" spans="1:26" ht="15" customHeight="1" x14ac:dyDescent="0.25">
      <c r="A23" s="17" t="s">
        <v>503</v>
      </c>
      <c r="B23" s="41"/>
      <c r="C23" s="43"/>
      <c r="D23" s="43"/>
      <c r="E23" s="43"/>
      <c r="F23" s="43"/>
      <c r="G23" s="43"/>
      <c r="H23" s="15"/>
      <c r="I23" s="15"/>
      <c r="J23" s="15"/>
      <c r="K23" s="15"/>
      <c r="L23" s="15"/>
      <c r="M23" s="15"/>
      <c r="N23" s="15"/>
      <c r="O23" s="15"/>
      <c r="P23" s="15"/>
      <c r="Q23" s="15"/>
      <c r="R23" s="15"/>
      <c r="S23" s="15"/>
      <c r="T23" s="15"/>
      <c r="U23" s="15"/>
      <c r="V23" s="15"/>
      <c r="W23" s="15"/>
      <c r="X23" s="15"/>
      <c r="Y23" s="15"/>
      <c r="Z23" s="15"/>
    </row>
    <row r="24" spans="1:26" ht="15" customHeight="1" x14ac:dyDescent="0.25">
      <c r="A24" s="44" t="s">
        <v>1303</v>
      </c>
      <c r="B24" s="41" t="s">
        <v>231</v>
      </c>
      <c r="C24" s="43">
        <v>11177.81</v>
      </c>
      <c r="D24" s="43">
        <v>2256</v>
      </c>
      <c r="E24" s="43">
        <f t="shared" ref="E24:E26" si="0">+F24-D24</f>
        <v>17744</v>
      </c>
      <c r="F24" s="43">
        <v>20000</v>
      </c>
      <c r="G24" s="43">
        <v>20000</v>
      </c>
      <c r="H24" s="15"/>
      <c r="I24" s="15"/>
      <c r="J24" s="15"/>
      <c r="K24" s="15"/>
      <c r="L24" s="15"/>
      <c r="M24" s="15"/>
      <c r="N24" s="15"/>
      <c r="O24" s="15"/>
      <c r="P24" s="15"/>
      <c r="Q24" s="15"/>
      <c r="R24" s="15"/>
      <c r="S24" s="15"/>
      <c r="T24" s="15"/>
      <c r="U24" s="15"/>
      <c r="V24" s="15"/>
      <c r="W24" s="15"/>
      <c r="X24" s="15"/>
      <c r="Y24" s="15"/>
      <c r="Z24" s="15"/>
    </row>
    <row r="25" spans="1:26" ht="15" customHeight="1" x14ac:dyDescent="0.25">
      <c r="A25" s="44" t="s">
        <v>643</v>
      </c>
      <c r="B25" s="41" t="s">
        <v>233</v>
      </c>
      <c r="C25" s="43">
        <v>30000</v>
      </c>
      <c r="D25" s="43">
        <v>14986.24</v>
      </c>
      <c r="E25" s="43">
        <f t="shared" si="0"/>
        <v>15013.76</v>
      </c>
      <c r="F25" s="43">
        <v>30000</v>
      </c>
      <c r="G25" s="43">
        <v>30000</v>
      </c>
      <c r="H25" s="15"/>
      <c r="I25" s="15"/>
      <c r="J25" s="15"/>
      <c r="K25" s="15"/>
      <c r="L25" s="15"/>
      <c r="M25" s="15"/>
      <c r="N25" s="15"/>
      <c r="O25" s="15"/>
      <c r="P25" s="15"/>
      <c r="Q25" s="15"/>
      <c r="R25" s="15"/>
      <c r="S25" s="15"/>
      <c r="T25" s="15"/>
      <c r="U25" s="15"/>
      <c r="V25" s="15"/>
      <c r="W25" s="15"/>
      <c r="X25" s="15"/>
      <c r="Y25" s="15"/>
      <c r="Z25" s="15"/>
    </row>
    <row r="26" spans="1:26" ht="15" customHeight="1" x14ac:dyDescent="0.25">
      <c r="A26" s="44" t="s">
        <v>504</v>
      </c>
      <c r="B26" s="41" t="s">
        <v>237</v>
      </c>
      <c r="C26" s="43">
        <v>22780.89</v>
      </c>
      <c r="D26" s="43">
        <v>10687.5</v>
      </c>
      <c r="E26" s="43">
        <f t="shared" si="0"/>
        <v>14312.5</v>
      </c>
      <c r="F26" s="43">
        <v>25000</v>
      </c>
      <c r="G26" s="43">
        <v>25000</v>
      </c>
      <c r="H26" s="15"/>
      <c r="I26" s="15"/>
      <c r="J26" s="15"/>
      <c r="K26" s="15"/>
      <c r="L26" s="15"/>
      <c r="M26" s="15"/>
      <c r="N26" s="15"/>
      <c r="O26" s="15"/>
      <c r="P26" s="15"/>
      <c r="Q26" s="15"/>
      <c r="R26" s="15"/>
      <c r="S26" s="15"/>
      <c r="T26" s="15"/>
      <c r="U26" s="15"/>
      <c r="V26" s="15"/>
      <c r="W26" s="15"/>
      <c r="X26" s="15"/>
      <c r="Y26" s="15"/>
      <c r="Z26" s="15"/>
    </row>
    <row r="27" spans="1:26" ht="15" customHeight="1" x14ac:dyDescent="0.25">
      <c r="A27" s="17" t="s">
        <v>511</v>
      </c>
      <c r="B27" s="41"/>
      <c r="C27" s="43"/>
      <c r="D27" s="43"/>
      <c r="E27" s="43"/>
      <c r="F27" s="43"/>
      <c r="G27" s="43"/>
      <c r="H27" s="15"/>
      <c r="I27" s="15"/>
      <c r="J27" s="15"/>
      <c r="K27" s="15"/>
      <c r="L27" s="15"/>
      <c r="M27" s="15"/>
      <c r="N27" s="15"/>
      <c r="O27" s="15"/>
      <c r="P27" s="15"/>
      <c r="Q27" s="15"/>
      <c r="R27" s="15"/>
      <c r="S27" s="15"/>
      <c r="T27" s="15"/>
      <c r="U27" s="15"/>
      <c r="V27" s="15"/>
      <c r="W27" s="15"/>
      <c r="X27" s="15"/>
      <c r="Y27" s="15"/>
      <c r="Z27" s="15"/>
    </row>
    <row r="28" spans="1:26" ht="15" customHeight="1" x14ac:dyDescent="0.25">
      <c r="A28" s="44" t="s">
        <v>424</v>
      </c>
      <c r="B28" s="41" t="s">
        <v>335</v>
      </c>
      <c r="C28" s="43">
        <v>146495</v>
      </c>
      <c r="D28" s="43">
        <v>61420</v>
      </c>
      <c r="E28" s="43">
        <f>+F28-D28</f>
        <v>87980</v>
      </c>
      <c r="F28" s="43">
        <v>149400</v>
      </c>
      <c r="G28" s="43">
        <v>178992</v>
      </c>
      <c r="H28" s="15"/>
      <c r="I28" s="210" t="s">
        <v>877</v>
      </c>
      <c r="J28" s="211" t="s">
        <v>878</v>
      </c>
      <c r="K28" s="210" t="s">
        <v>879</v>
      </c>
      <c r="L28" s="8" t="s">
        <v>880</v>
      </c>
      <c r="M28" s="210" t="s">
        <v>881</v>
      </c>
      <c r="N28" s="15"/>
      <c r="O28" s="15"/>
      <c r="P28" s="15"/>
      <c r="Q28" s="15"/>
      <c r="R28" s="15"/>
      <c r="S28" s="15"/>
      <c r="T28" s="15"/>
      <c r="U28" s="15"/>
      <c r="V28" s="15"/>
      <c r="W28" s="15"/>
      <c r="X28" s="15"/>
      <c r="Y28" s="15"/>
      <c r="Z28" s="15"/>
    </row>
    <row r="29" spans="1:26" ht="15" customHeight="1" x14ac:dyDescent="0.25">
      <c r="A29" s="44" t="s">
        <v>885</v>
      </c>
      <c r="B29" s="41"/>
      <c r="C29" s="43"/>
      <c r="D29" s="43"/>
      <c r="E29" s="43"/>
      <c r="F29" s="43"/>
      <c r="G29" s="43"/>
      <c r="H29" s="15"/>
      <c r="I29" s="60"/>
      <c r="J29" s="211"/>
      <c r="K29" s="8"/>
      <c r="L29" s="8"/>
      <c r="M29" s="60"/>
      <c r="N29" s="15"/>
      <c r="O29" s="15"/>
      <c r="P29" s="15"/>
      <c r="Q29" s="15"/>
      <c r="R29" s="15"/>
      <c r="S29" s="15"/>
      <c r="T29" s="15"/>
      <c r="U29" s="15"/>
      <c r="V29" s="15"/>
      <c r="W29" s="15"/>
      <c r="X29" s="15"/>
      <c r="Y29" s="15"/>
      <c r="Z29" s="15"/>
    </row>
    <row r="30" spans="1:26" ht="15" customHeight="1" x14ac:dyDescent="0.25">
      <c r="A30" s="17" t="s">
        <v>1485</v>
      </c>
      <c r="B30" s="41"/>
      <c r="C30" s="43"/>
      <c r="D30" s="43"/>
      <c r="E30" s="43"/>
      <c r="F30" s="43"/>
      <c r="G30" s="43"/>
      <c r="H30" s="15"/>
      <c r="I30" s="60">
        <v>678</v>
      </c>
      <c r="J30" s="211">
        <v>1</v>
      </c>
      <c r="K30" s="8">
        <v>22</v>
      </c>
      <c r="L30" s="8">
        <v>12</v>
      </c>
      <c r="M30" s="60">
        <f>I30*J30*K30*L30</f>
        <v>178992</v>
      </c>
      <c r="N30" s="15"/>
      <c r="O30" s="15"/>
      <c r="P30" s="15"/>
      <c r="Q30" s="15"/>
      <c r="R30" s="15"/>
      <c r="S30" s="15"/>
      <c r="T30" s="15"/>
      <c r="U30" s="15"/>
      <c r="V30" s="15"/>
      <c r="W30" s="15"/>
      <c r="X30" s="15"/>
      <c r="Y30" s="15"/>
      <c r="Z30" s="15"/>
    </row>
    <row r="31" spans="1:26" ht="15" customHeight="1" x14ac:dyDescent="0.25">
      <c r="A31" s="42" t="s">
        <v>466</v>
      </c>
      <c r="B31" s="41"/>
      <c r="C31" s="54">
        <f t="shared" ref="C31:F31" si="1">+SUM(C16:C28)</f>
        <v>331705.78999999998</v>
      </c>
      <c r="D31" s="54">
        <f t="shared" si="1"/>
        <v>119395.54000000001</v>
      </c>
      <c r="E31" s="54">
        <f t="shared" si="1"/>
        <v>342555.46</v>
      </c>
      <c r="F31" s="54">
        <f t="shared" si="1"/>
        <v>461951</v>
      </c>
      <c r="G31" s="54">
        <f>SUM(G16:G30)</f>
        <v>488386</v>
      </c>
      <c r="H31" s="15"/>
      <c r="I31" s="15"/>
      <c r="J31" s="15"/>
      <c r="K31" s="15"/>
      <c r="L31" s="15"/>
      <c r="M31" s="15"/>
      <c r="N31" s="15"/>
      <c r="O31" s="15"/>
      <c r="P31" s="15"/>
      <c r="Q31" s="15"/>
      <c r="R31" s="15"/>
      <c r="S31" s="15"/>
      <c r="T31" s="15"/>
      <c r="U31" s="15"/>
      <c r="V31" s="15"/>
      <c r="W31" s="15"/>
      <c r="X31" s="15"/>
      <c r="Y31" s="15"/>
      <c r="Z31" s="15"/>
    </row>
    <row r="32" spans="1:26" ht="15" customHeight="1" x14ac:dyDescent="0.25">
      <c r="A32" s="17"/>
      <c r="B32" s="41"/>
      <c r="C32" s="43"/>
      <c r="D32" s="43"/>
      <c r="E32" s="43"/>
      <c r="F32" s="43"/>
      <c r="G32" s="43"/>
      <c r="H32" s="15"/>
      <c r="I32" s="15"/>
      <c r="J32" s="15"/>
      <c r="K32" s="15"/>
      <c r="L32" s="15"/>
      <c r="M32" s="15"/>
      <c r="N32" s="15"/>
      <c r="O32" s="15"/>
      <c r="P32" s="15"/>
      <c r="Q32" s="15"/>
      <c r="R32" s="15"/>
      <c r="S32" s="15"/>
      <c r="T32" s="15"/>
      <c r="U32" s="15"/>
      <c r="V32" s="15"/>
      <c r="W32" s="15"/>
      <c r="X32" s="15"/>
      <c r="Y32" s="15"/>
      <c r="Z32" s="15"/>
    </row>
    <row r="33" spans="1:26" ht="15" customHeight="1" x14ac:dyDescent="0.25">
      <c r="A33" s="17" t="s">
        <v>467</v>
      </c>
      <c r="B33" s="20"/>
      <c r="C33" s="43">
        <f t="shared" ref="C33:G33" si="2">+C31</f>
        <v>331705.78999999998</v>
      </c>
      <c r="D33" s="43">
        <f t="shared" si="2"/>
        <v>119395.54000000001</v>
      </c>
      <c r="E33" s="43">
        <f t="shared" si="2"/>
        <v>342555.46</v>
      </c>
      <c r="F33" s="43">
        <f t="shared" si="2"/>
        <v>461951</v>
      </c>
      <c r="G33" s="43">
        <f t="shared" si="2"/>
        <v>488386</v>
      </c>
      <c r="H33" s="15"/>
      <c r="I33" s="15"/>
      <c r="J33" s="15"/>
      <c r="K33" s="15"/>
      <c r="L33" s="15"/>
      <c r="M33" s="15"/>
      <c r="N33" s="15"/>
      <c r="O33" s="15"/>
      <c r="P33" s="15"/>
      <c r="Q33" s="15"/>
      <c r="R33" s="15"/>
      <c r="S33" s="15"/>
      <c r="T33" s="15"/>
      <c r="U33" s="15"/>
      <c r="V33" s="15"/>
      <c r="W33" s="15"/>
      <c r="X33" s="15"/>
      <c r="Y33" s="15"/>
      <c r="Z33" s="15"/>
    </row>
    <row r="34" spans="1:26" ht="15" customHeight="1" x14ac:dyDescent="0.25">
      <c r="A34" s="17"/>
      <c r="B34" s="20"/>
      <c r="C34" s="43"/>
      <c r="D34" s="43"/>
      <c r="E34" s="43"/>
      <c r="F34" s="43"/>
      <c r="G34" s="43"/>
    </row>
    <row r="35" spans="1:26" ht="15" customHeight="1" x14ac:dyDescent="0.25">
      <c r="A35" s="50" t="s">
        <v>487</v>
      </c>
      <c r="B35" s="51" t="s">
        <v>488</v>
      </c>
      <c r="C35" s="54">
        <f t="shared" ref="C35:G35" si="3">+C33</f>
        <v>331705.78999999998</v>
      </c>
      <c r="D35" s="54">
        <f t="shared" si="3"/>
        <v>119395.54000000001</v>
      </c>
      <c r="E35" s="54">
        <f t="shared" si="3"/>
        <v>342555.46</v>
      </c>
      <c r="F35" s="54">
        <f t="shared" si="3"/>
        <v>461951</v>
      </c>
      <c r="G35" s="54">
        <f t="shared" si="3"/>
        <v>488386</v>
      </c>
    </row>
    <row r="36" spans="1:26" ht="15.75" customHeight="1" x14ac:dyDescent="0.25">
      <c r="A36" s="24"/>
      <c r="B36" s="25"/>
      <c r="C36" s="24"/>
      <c r="D36" s="24"/>
      <c r="E36" s="24"/>
    </row>
    <row r="37" spans="1:26" ht="15.75" customHeight="1" x14ac:dyDescent="0.25">
      <c r="A37" s="24"/>
      <c r="B37" s="25"/>
      <c r="C37" s="24"/>
      <c r="D37" s="24"/>
      <c r="E37" s="24"/>
    </row>
    <row r="38" spans="1:26" ht="15.75" customHeight="1" x14ac:dyDescent="0.25">
      <c r="A38" s="24"/>
      <c r="B38" s="25"/>
      <c r="C38" s="24"/>
      <c r="D38" s="24"/>
      <c r="E38" s="24"/>
    </row>
    <row r="39" spans="1:26" ht="15.75" customHeight="1" x14ac:dyDescent="0.25">
      <c r="A39" s="24"/>
      <c r="B39" s="25"/>
      <c r="C39" s="24"/>
      <c r="D39" s="24"/>
      <c r="E39" s="24"/>
    </row>
    <row r="40" spans="1:26" ht="15.75" customHeight="1" x14ac:dyDescent="0.25">
      <c r="A40" s="24"/>
      <c r="B40" s="25"/>
      <c r="C40" s="24"/>
      <c r="D40" s="24"/>
      <c r="E40" s="24"/>
    </row>
    <row r="41" spans="1:26" ht="15.75" customHeight="1" x14ac:dyDescent="0.25">
      <c r="A41" s="24"/>
      <c r="B41" s="25"/>
      <c r="C41" s="24"/>
      <c r="D41" s="24"/>
      <c r="E41" s="24"/>
    </row>
    <row r="42" spans="1:26" ht="15.75" customHeight="1" x14ac:dyDescent="0.25">
      <c r="A42" s="24"/>
      <c r="B42" s="25"/>
      <c r="C42" s="24"/>
      <c r="D42" s="24"/>
      <c r="E42" s="24"/>
    </row>
    <row r="43" spans="1:26" ht="15.75" customHeight="1" x14ac:dyDescent="0.25">
      <c r="A43" s="24"/>
      <c r="B43" s="25"/>
      <c r="C43" s="24"/>
      <c r="D43" s="24"/>
      <c r="E43" s="24"/>
    </row>
    <row r="44" spans="1:26" ht="15.75" customHeight="1" x14ac:dyDescent="0.25">
      <c r="A44" s="24"/>
      <c r="B44" s="25"/>
      <c r="C44" s="24"/>
      <c r="D44" s="24"/>
      <c r="E44" s="24"/>
    </row>
    <row r="45" spans="1:26" ht="15.75" customHeight="1" x14ac:dyDescent="0.25">
      <c r="A45" s="24"/>
      <c r="B45" s="25"/>
      <c r="C45" s="24"/>
      <c r="D45" s="24"/>
      <c r="E45" s="24"/>
    </row>
    <row r="46" spans="1:26" ht="15.75" customHeight="1" x14ac:dyDescent="0.25">
      <c r="A46" s="24"/>
      <c r="B46" s="25"/>
      <c r="C46" s="24"/>
      <c r="D46" s="24"/>
      <c r="E46" s="24"/>
    </row>
    <row r="47" spans="1:26" ht="15.75" customHeight="1" x14ac:dyDescent="0.25">
      <c r="A47" s="24"/>
      <c r="B47" s="25"/>
      <c r="C47" s="24"/>
      <c r="D47" s="24"/>
      <c r="E47" s="24"/>
    </row>
    <row r="48" spans="1:26" ht="15.75" customHeight="1" x14ac:dyDescent="0.25">
      <c r="A48" s="24"/>
      <c r="B48" s="25"/>
      <c r="C48" s="24"/>
      <c r="D48" s="24"/>
      <c r="E48" s="24"/>
    </row>
    <row r="49" spans="1:5" ht="15.75" customHeight="1" x14ac:dyDescent="0.25">
      <c r="A49" s="24"/>
      <c r="B49" s="25"/>
      <c r="C49" s="24"/>
      <c r="D49" s="24"/>
      <c r="E49" s="24"/>
    </row>
    <row r="50" spans="1:5" ht="15.75" customHeight="1" x14ac:dyDescent="0.25">
      <c r="A50" s="24"/>
      <c r="B50" s="25"/>
      <c r="C50" s="24"/>
      <c r="D50" s="24"/>
      <c r="E50" s="24"/>
    </row>
    <row r="51" spans="1:5" ht="15.75" customHeight="1" x14ac:dyDescent="0.25">
      <c r="A51" s="24"/>
      <c r="B51" s="25"/>
      <c r="C51" s="24"/>
      <c r="D51" s="24"/>
      <c r="E51" s="24"/>
    </row>
    <row r="52" spans="1:5" ht="15.75" customHeight="1" x14ac:dyDescent="0.25">
      <c r="A52" s="24"/>
      <c r="B52" s="25"/>
      <c r="C52" s="24"/>
      <c r="D52" s="24"/>
      <c r="E52" s="24"/>
    </row>
    <row r="53" spans="1:5" ht="15.75" customHeight="1" x14ac:dyDescent="0.25">
      <c r="A53" s="24"/>
      <c r="B53" s="25"/>
      <c r="C53" s="24"/>
      <c r="D53" s="24"/>
      <c r="E53" s="24"/>
    </row>
    <row r="54" spans="1:5" ht="15.75" customHeight="1" x14ac:dyDescent="0.25">
      <c r="A54" s="24"/>
      <c r="B54" s="25"/>
      <c r="C54" s="24"/>
      <c r="D54" s="24"/>
      <c r="E54" s="24"/>
    </row>
    <row r="55" spans="1:5" ht="15.75" customHeight="1" x14ac:dyDescent="0.25">
      <c r="A55" s="24"/>
      <c r="B55" s="25"/>
      <c r="C55" s="24"/>
      <c r="D55" s="24"/>
      <c r="E55" s="24"/>
    </row>
    <row r="56" spans="1:5" ht="15.75" customHeight="1" x14ac:dyDescent="0.25">
      <c r="A56" s="24"/>
      <c r="B56" s="25"/>
      <c r="C56" s="24"/>
      <c r="D56" s="24"/>
      <c r="E56" s="24"/>
    </row>
    <row r="57" spans="1:5" ht="15.75" customHeight="1" x14ac:dyDescent="0.25">
      <c r="A57" s="24"/>
      <c r="B57" s="25"/>
      <c r="C57" s="24"/>
      <c r="D57" s="24"/>
      <c r="E57" s="24"/>
    </row>
    <row r="58" spans="1:5" ht="15.75" customHeight="1" x14ac:dyDescent="0.25">
      <c r="A58" s="24"/>
      <c r="B58" s="25"/>
      <c r="C58" s="24"/>
      <c r="D58" s="24"/>
      <c r="E58" s="24"/>
    </row>
    <row r="59" spans="1:5" ht="15.75" customHeight="1" x14ac:dyDescent="0.25">
      <c r="A59" s="24"/>
      <c r="B59" s="25"/>
      <c r="C59" s="24"/>
      <c r="D59" s="24"/>
      <c r="E59" s="24"/>
    </row>
    <row r="60" spans="1:5" ht="15.75" customHeight="1" x14ac:dyDescent="0.25">
      <c r="A60" s="24"/>
      <c r="B60" s="25"/>
      <c r="C60" s="24"/>
      <c r="D60" s="24"/>
      <c r="E60" s="24"/>
    </row>
    <row r="61" spans="1:5" ht="15.75" customHeight="1" x14ac:dyDescent="0.25">
      <c r="A61" s="24"/>
      <c r="B61" s="25"/>
      <c r="C61" s="24"/>
      <c r="D61" s="24"/>
      <c r="E61" s="24"/>
    </row>
    <row r="62" spans="1:5" ht="15.75" customHeight="1" x14ac:dyDescent="0.25">
      <c r="A62" s="24"/>
      <c r="B62" s="25"/>
      <c r="C62" s="24"/>
      <c r="D62" s="24"/>
      <c r="E62" s="24"/>
    </row>
    <row r="63" spans="1:5" ht="15.75" customHeight="1" x14ac:dyDescent="0.25">
      <c r="A63" s="24"/>
      <c r="B63" s="25"/>
      <c r="C63" s="24"/>
      <c r="D63" s="24"/>
      <c r="E63" s="24"/>
    </row>
    <row r="64" spans="1:5" ht="15.75" customHeight="1" x14ac:dyDescent="0.25">
      <c r="A64" s="24"/>
      <c r="B64" s="25"/>
      <c r="C64" s="24"/>
      <c r="D64" s="24"/>
      <c r="E64" s="24"/>
    </row>
    <row r="65" spans="1:5" ht="15.75" customHeight="1" x14ac:dyDescent="0.25">
      <c r="A65" s="24"/>
      <c r="B65" s="25"/>
      <c r="C65" s="24"/>
      <c r="D65" s="24"/>
      <c r="E65" s="24"/>
    </row>
    <row r="66" spans="1:5" ht="15.75" customHeight="1" x14ac:dyDescent="0.25">
      <c r="A66" s="24"/>
      <c r="B66" s="25"/>
      <c r="C66" s="24"/>
      <c r="D66" s="24"/>
      <c r="E66" s="24"/>
    </row>
    <row r="67" spans="1:5" ht="15.75" customHeight="1" x14ac:dyDescent="0.25">
      <c r="A67" s="24"/>
      <c r="B67" s="25"/>
      <c r="C67" s="24"/>
      <c r="D67" s="24"/>
      <c r="E67" s="24"/>
    </row>
    <row r="68" spans="1:5" ht="15.75" customHeight="1" x14ac:dyDescent="0.25">
      <c r="A68" s="24"/>
      <c r="B68" s="25"/>
      <c r="C68" s="24"/>
      <c r="D68" s="24"/>
      <c r="E68" s="24"/>
    </row>
    <row r="69" spans="1:5" ht="15.75" customHeight="1" x14ac:dyDescent="0.25">
      <c r="A69" s="24"/>
      <c r="B69" s="25"/>
      <c r="C69" s="24"/>
      <c r="D69" s="24"/>
      <c r="E69" s="24"/>
    </row>
    <row r="70" spans="1:5" ht="15.75" customHeight="1" x14ac:dyDescent="0.25">
      <c r="A70" s="24"/>
      <c r="B70" s="25"/>
      <c r="C70" s="24"/>
      <c r="D70" s="24"/>
      <c r="E70" s="24"/>
    </row>
    <row r="71" spans="1:5" ht="15.75" customHeight="1" x14ac:dyDescent="0.25">
      <c r="A71" s="24"/>
      <c r="B71" s="25"/>
      <c r="C71" s="24"/>
      <c r="D71" s="24"/>
      <c r="E71" s="24"/>
    </row>
    <row r="72" spans="1:5" ht="15.75" customHeight="1" x14ac:dyDescent="0.25">
      <c r="A72" s="24"/>
      <c r="B72" s="25"/>
      <c r="C72" s="24"/>
      <c r="D72" s="24"/>
      <c r="E72" s="24"/>
    </row>
    <row r="73" spans="1:5" ht="15.75" customHeight="1" x14ac:dyDescent="0.25">
      <c r="A73" s="24"/>
      <c r="B73" s="25"/>
      <c r="C73" s="24"/>
      <c r="D73" s="24"/>
      <c r="E73" s="24"/>
    </row>
    <row r="74" spans="1:5" ht="15.75" customHeight="1" x14ac:dyDescent="0.25">
      <c r="A74" s="24"/>
      <c r="B74" s="25"/>
      <c r="C74" s="24"/>
      <c r="D74" s="24"/>
      <c r="E74" s="24"/>
    </row>
    <row r="75" spans="1:5" ht="15.75" customHeight="1" x14ac:dyDescent="0.25">
      <c r="A75" s="24"/>
      <c r="B75" s="25"/>
      <c r="C75" s="24"/>
      <c r="D75" s="24"/>
      <c r="E75" s="24"/>
    </row>
    <row r="76" spans="1:5" ht="15.75" customHeight="1" x14ac:dyDescent="0.25">
      <c r="A76" s="24"/>
      <c r="B76" s="25"/>
      <c r="C76" s="24"/>
      <c r="D76" s="24"/>
      <c r="E76" s="24"/>
    </row>
    <row r="77" spans="1:5" ht="15.75" customHeight="1" x14ac:dyDescent="0.25">
      <c r="A77" s="24"/>
      <c r="B77" s="25"/>
      <c r="C77" s="24"/>
      <c r="D77" s="24"/>
      <c r="E77" s="24"/>
    </row>
    <row r="78" spans="1:5" ht="15.75" customHeight="1" x14ac:dyDescent="0.25">
      <c r="A78" s="24"/>
      <c r="B78" s="25"/>
      <c r="C78" s="24"/>
      <c r="D78" s="24"/>
      <c r="E78" s="24"/>
    </row>
    <row r="79" spans="1:5" ht="15.75" customHeight="1" x14ac:dyDescent="0.25">
      <c r="A79" s="24"/>
      <c r="B79" s="25"/>
      <c r="C79" s="24"/>
      <c r="D79" s="24"/>
      <c r="E79" s="24"/>
    </row>
    <row r="80" spans="1:5" ht="15.75" customHeight="1" x14ac:dyDescent="0.25">
      <c r="A80" s="24"/>
      <c r="B80" s="25"/>
      <c r="C80" s="24"/>
      <c r="D80" s="24"/>
      <c r="E80" s="24"/>
    </row>
    <row r="81" spans="1:5" ht="15.75" customHeight="1" x14ac:dyDescent="0.25">
      <c r="A81" s="24"/>
      <c r="B81" s="25"/>
      <c r="C81" s="24"/>
      <c r="D81" s="24"/>
      <c r="E81" s="24"/>
    </row>
    <row r="82" spans="1:5" ht="15.75" customHeight="1" x14ac:dyDescent="0.25">
      <c r="A82" s="24"/>
      <c r="B82" s="25"/>
      <c r="C82" s="24"/>
      <c r="D82" s="24"/>
      <c r="E82" s="24"/>
    </row>
    <row r="83" spans="1:5" ht="15.75" customHeight="1" x14ac:dyDescent="0.25">
      <c r="A83" s="24"/>
      <c r="B83" s="25"/>
      <c r="C83" s="24"/>
      <c r="D83" s="24"/>
      <c r="E83" s="24"/>
    </row>
    <row r="84" spans="1:5" ht="15.75" customHeight="1" x14ac:dyDescent="0.25">
      <c r="A84" s="24"/>
      <c r="B84" s="25"/>
      <c r="C84" s="24"/>
      <c r="D84" s="24"/>
      <c r="E84" s="24"/>
    </row>
    <row r="85" spans="1:5" ht="15.75" customHeight="1" x14ac:dyDescent="0.25">
      <c r="A85" s="24"/>
      <c r="B85" s="25"/>
      <c r="C85" s="24"/>
      <c r="D85" s="24"/>
      <c r="E85" s="24"/>
    </row>
    <row r="86" spans="1:5" ht="15.75" customHeight="1" x14ac:dyDescent="0.25">
      <c r="A86" s="24"/>
      <c r="B86" s="25"/>
      <c r="C86" s="24"/>
      <c r="D86" s="24"/>
      <c r="E86" s="24"/>
    </row>
    <row r="87" spans="1:5" ht="15.75" customHeight="1" x14ac:dyDescent="0.25">
      <c r="A87" s="24"/>
      <c r="B87" s="25"/>
      <c r="C87" s="24"/>
      <c r="D87" s="24"/>
      <c r="E87" s="24"/>
    </row>
    <row r="88" spans="1:5" ht="15.75" customHeight="1" x14ac:dyDescent="0.25">
      <c r="A88" s="24"/>
      <c r="B88" s="25"/>
      <c r="C88" s="24"/>
      <c r="D88" s="24"/>
      <c r="E88" s="24"/>
    </row>
    <row r="89" spans="1:5" ht="15.75" customHeight="1" x14ac:dyDescent="0.25">
      <c r="A89" s="24"/>
      <c r="B89" s="25"/>
      <c r="C89" s="24"/>
      <c r="D89" s="24"/>
      <c r="E89" s="24"/>
    </row>
    <row r="90" spans="1:5" ht="15.75" customHeight="1" x14ac:dyDescent="0.25">
      <c r="A90" s="24"/>
      <c r="B90" s="25"/>
      <c r="C90" s="24"/>
      <c r="D90" s="24"/>
      <c r="E90" s="24"/>
    </row>
    <row r="91" spans="1:5" ht="15.75" customHeight="1" x14ac:dyDescent="0.25">
      <c r="A91" s="24"/>
      <c r="B91" s="25"/>
      <c r="C91" s="24"/>
      <c r="D91" s="24"/>
      <c r="E91" s="24"/>
    </row>
    <row r="92" spans="1:5" ht="15.75" customHeight="1" x14ac:dyDescent="0.25">
      <c r="A92" s="24"/>
      <c r="B92" s="25"/>
      <c r="C92" s="24"/>
      <c r="D92" s="24"/>
      <c r="E92" s="24"/>
    </row>
    <row r="93" spans="1:5" ht="15.75" customHeight="1" x14ac:dyDescent="0.25">
      <c r="A93" s="24"/>
      <c r="B93" s="25"/>
      <c r="C93" s="24"/>
      <c r="D93" s="24"/>
      <c r="E93" s="24"/>
    </row>
    <row r="94" spans="1:5" ht="15.75" customHeight="1" x14ac:dyDescent="0.25">
      <c r="A94" s="24"/>
      <c r="B94" s="25"/>
      <c r="C94" s="24"/>
      <c r="D94" s="24"/>
      <c r="E94" s="24"/>
    </row>
    <row r="95" spans="1:5" ht="15.75" customHeight="1" x14ac:dyDescent="0.25">
      <c r="A95" s="24"/>
      <c r="B95" s="25"/>
      <c r="C95" s="24"/>
      <c r="D95" s="24"/>
      <c r="E95" s="24"/>
    </row>
    <row r="96" spans="1:5" ht="15.75" customHeight="1" x14ac:dyDescent="0.25">
      <c r="A96" s="24"/>
      <c r="B96" s="25"/>
      <c r="C96" s="24"/>
      <c r="D96" s="24"/>
      <c r="E96" s="24"/>
    </row>
    <row r="97" spans="1:5" ht="15.75" customHeight="1" x14ac:dyDescent="0.25">
      <c r="A97" s="24"/>
      <c r="B97" s="25"/>
      <c r="C97" s="24"/>
      <c r="D97" s="24"/>
      <c r="E97" s="24"/>
    </row>
    <row r="98" spans="1:5" ht="15.75" customHeight="1" x14ac:dyDescent="0.25">
      <c r="A98" s="24"/>
      <c r="B98" s="25"/>
      <c r="C98" s="24"/>
      <c r="D98" s="24"/>
      <c r="E98" s="24"/>
    </row>
    <row r="99" spans="1:5" ht="15.75" customHeight="1" x14ac:dyDescent="0.25">
      <c r="A99" s="24"/>
      <c r="B99" s="25"/>
      <c r="C99" s="24"/>
      <c r="D99" s="24"/>
      <c r="E99" s="24"/>
    </row>
    <row r="100" spans="1:5" ht="15.75" customHeight="1" x14ac:dyDescent="0.25">
      <c r="A100" s="24"/>
      <c r="B100" s="25"/>
      <c r="C100" s="24"/>
      <c r="D100" s="24"/>
      <c r="E100" s="24"/>
    </row>
    <row r="101" spans="1:5" ht="15.75" customHeight="1" x14ac:dyDescent="0.25">
      <c r="A101" s="24"/>
      <c r="B101" s="25"/>
      <c r="C101" s="24"/>
      <c r="D101" s="24"/>
      <c r="E101" s="24"/>
    </row>
    <row r="102" spans="1:5" ht="15.75" customHeight="1" x14ac:dyDescent="0.25">
      <c r="A102" s="24"/>
      <c r="B102" s="25"/>
      <c r="C102" s="24"/>
      <c r="D102" s="24"/>
      <c r="E102" s="24"/>
    </row>
    <row r="103" spans="1:5" ht="15.75" customHeight="1" x14ac:dyDescent="0.25">
      <c r="A103" s="24"/>
      <c r="B103" s="25"/>
      <c r="C103" s="24"/>
      <c r="D103" s="24"/>
      <c r="E103" s="24"/>
    </row>
    <row r="104" spans="1:5" ht="15.75" customHeight="1" x14ac:dyDescent="0.25">
      <c r="A104" s="24"/>
      <c r="B104" s="25"/>
      <c r="C104" s="24"/>
      <c r="D104" s="24"/>
      <c r="E104" s="24"/>
    </row>
    <row r="105" spans="1:5" ht="15.75" customHeight="1" x14ac:dyDescent="0.25">
      <c r="A105" s="24"/>
      <c r="B105" s="25"/>
      <c r="C105" s="24"/>
      <c r="D105" s="24"/>
      <c r="E105" s="24"/>
    </row>
    <row r="106" spans="1:5" ht="15.75" customHeight="1" x14ac:dyDescent="0.25">
      <c r="A106" s="24"/>
      <c r="B106" s="25"/>
      <c r="C106" s="24"/>
      <c r="D106" s="24"/>
      <c r="E106" s="24"/>
    </row>
    <row r="107" spans="1:5" ht="15.75" customHeight="1" x14ac:dyDescent="0.25">
      <c r="A107" s="24"/>
      <c r="B107" s="25"/>
      <c r="C107" s="24"/>
      <c r="D107" s="24"/>
      <c r="E107" s="24"/>
    </row>
    <row r="108" spans="1:5" ht="15.75" customHeight="1" x14ac:dyDescent="0.25">
      <c r="A108" s="24"/>
      <c r="B108" s="25"/>
      <c r="C108" s="24"/>
      <c r="D108" s="24"/>
      <c r="E108" s="24"/>
    </row>
    <row r="109" spans="1:5" ht="15.75" customHeight="1" x14ac:dyDescent="0.25">
      <c r="A109" s="24"/>
      <c r="B109" s="25"/>
      <c r="C109" s="24"/>
      <c r="D109" s="24"/>
      <c r="E109" s="24"/>
    </row>
    <row r="110" spans="1:5" ht="15.75" customHeight="1" x14ac:dyDescent="0.25">
      <c r="A110" s="24"/>
      <c r="B110" s="25"/>
      <c r="C110" s="24"/>
      <c r="D110" s="24"/>
      <c r="E110" s="24"/>
    </row>
    <row r="111" spans="1:5" ht="15.75" customHeight="1" x14ac:dyDescent="0.25">
      <c r="A111" s="24"/>
      <c r="B111" s="25"/>
      <c r="C111" s="24"/>
      <c r="D111" s="24"/>
      <c r="E111" s="24"/>
    </row>
    <row r="112" spans="1:5" ht="15.75" customHeight="1" x14ac:dyDescent="0.25">
      <c r="A112" s="24"/>
      <c r="B112" s="25"/>
      <c r="C112" s="24"/>
      <c r="D112" s="24"/>
      <c r="E112" s="24"/>
    </row>
    <row r="113" spans="1:5" ht="15.75" customHeight="1" x14ac:dyDescent="0.25">
      <c r="A113" s="24"/>
      <c r="B113" s="25"/>
      <c r="C113" s="24"/>
      <c r="D113" s="24"/>
      <c r="E113" s="24"/>
    </row>
    <row r="114" spans="1:5" ht="15.75" customHeight="1" x14ac:dyDescent="0.25">
      <c r="A114" s="24"/>
      <c r="B114" s="25"/>
      <c r="C114" s="24"/>
      <c r="D114" s="24"/>
      <c r="E114" s="24"/>
    </row>
    <row r="115" spans="1:5" ht="15.75" customHeight="1" x14ac:dyDescent="0.25">
      <c r="A115" s="24"/>
      <c r="B115" s="25"/>
      <c r="C115" s="24"/>
      <c r="D115" s="24"/>
      <c r="E115" s="24"/>
    </row>
    <row r="116" spans="1:5" ht="15.75" customHeight="1" x14ac:dyDescent="0.25">
      <c r="A116" s="24"/>
      <c r="B116" s="25"/>
      <c r="C116" s="24"/>
      <c r="D116" s="24"/>
      <c r="E116" s="24"/>
    </row>
    <row r="117" spans="1:5" ht="15.75" customHeight="1" x14ac:dyDescent="0.25">
      <c r="A117" s="24"/>
      <c r="B117" s="25"/>
      <c r="C117" s="24"/>
      <c r="D117" s="24"/>
      <c r="E117" s="24"/>
    </row>
    <row r="118" spans="1:5" ht="15.75" customHeight="1" x14ac:dyDescent="0.25">
      <c r="A118" s="24"/>
      <c r="B118" s="25"/>
      <c r="C118" s="24"/>
      <c r="D118" s="24"/>
      <c r="E118" s="24"/>
    </row>
    <row r="119" spans="1:5" ht="15.75" customHeight="1" x14ac:dyDescent="0.25">
      <c r="A119" s="24"/>
      <c r="B119" s="25"/>
      <c r="C119" s="24"/>
      <c r="D119" s="24"/>
      <c r="E119" s="24"/>
    </row>
    <row r="120" spans="1:5" ht="15.75" customHeight="1" x14ac:dyDescent="0.25">
      <c r="A120" s="24"/>
      <c r="B120" s="25"/>
      <c r="C120" s="24"/>
      <c r="D120" s="24"/>
      <c r="E120" s="24"/>
    </row>
    <row r="121" spans="1:5" ht="15.75" customHeight="1" x14ac:dyDescent="0.25">
      <c r="A121" s="24"/>
      <c r="B121" s="25"/>
      <c r="C121" s="24"/>
      <c r="D121" s="24"/>
      <c r="E121" s="24"/>
    </row>
    <row r="122" spans="1:5" ht="15.75" customHeight="1" x14ac:dyDescent="0.25">
      <c r="A122" s="24"/>
      <c r="B122" s="25"/>
      <c r="C122" s="24"/>
      <c r="D122" s="24"/>
      <c r="E122" s="24"/>
    </row>
    <row r="123" spans="1:5" ht="15.75" customHeight="1" x14ac:dyDescent="0.25">
      <c r="A123" s="24"/>
      <c r="B123" s="25"/>
      <c r="C123" s="24"/>
      <c r="D123" s="24"/>
      <c r="E123" s="24"/>
    </row>
    <row r="124" spans="1:5" ht="15.75" customHeight="1" x14ac:dyDescent="0.25">
      <c r="A124" s="24"/>
      <c r="B124" s="25"/>
      <c r="C124" s="24"/>
      <c r="D124" s="24"/>
      <c r="E124" s="24"/>
    </row>
    <row r="125" spans="1:5" ht="15.75" customHeight="1" x14ac:dyDescent="0.25">
      <c r="A125" s="24"/>
      <c r="B125" s="25"/>
      <c r="C125" s="24"/>
      <c r="D125" s="24"/>
      <c r="E125" s="24"/>
    </row>
    <row r="126" spans="1:5" ht="15.75" customHeight="1" x14ac:dyDescent="0.25">
      <c r="A126" s="24"/>
      <c r="B126" s="25"/>
      <c r="C126" s="24"/>
      <c r="D126" s="24"/>
      <c r="E126" s="24"/>
    </row>
    <row r="127" spans="1:5" ht="15.75" customHeight="1" x14ac:dyDescent="0.25">
      <c r="A127" s="24"/>
      <c r="B127" s="25"/>
      <c r="C127" s="24"/>
      <c r="D127" s="24"/>
      <c r="E127" s="24"/>
    </row>
    <row r="128" spans="1:5" ht="15.75" customHeight="1" x14ac:dyDescent="0.25">
      <c r="A128" s="24"/>
      <c r="B128" s="25"/>
      <c r="C128" s="24"/>
      <c r="D128" s="24"/>
      <c r="E128" s="24"/>
    </row>
    <row r="129" spans="1:5" ht="15.75" customHeight="1" x14ac:dyDescent="0.25">
      <c r="A129" s="24"/>
      <c r="B129" s="25"/>
      <c r="C129" s="24"/>
      <c r="D129" s="24"/>
      <c r="E129" s="24"/>
    </row>
    <row r="130" spans="1:5" ht="15.75" customHeight="1" x14ac:dyDescent="0.25">
      <c r="A130" s="24"/>
      <c r="B130" s="25"/>
      <c r="C130" s="24"/>
      <c r="D130" s="24"/>
      <c r="E130" s="24"/>
    </row>
    <row r="131" spans="1:5" ht="15.75" customHeight="1" x14ac:dyDescent="0.25">
      <c r="A131" s="24"/>
      <c r="B131" s="25"/>
      <c r="C131" s="24"/>
      <c r="D131" s="24"/>
      <c r="E131" s="24"/>
    </row>
    <row r="132" spans="1:5" ht="15.75" customHeight="1" x14ac:dyDescent="0.25">
      <c r="A132" s="24"/>
      <c r="B132" s="25"/>
      <c r="C132" s="24"/>
      <c r="D132" s="24"/>
      <c r="E132" s="24"/>
    </row>
    <row r="133" spans="1:5" ht="15.75" customHeight="1" x14ac:dyDescent="0.25">
      <c r="A133" s="24"/>
      <c r="B133" s="25"/>
      <c r="C133" s="24"/>
      <c r="D133" s="24"/>
      <c r="E133" s="24"/>
    </row>
    <row r="134" spans="1:5" ht="15.75" customHeight="1" x14ac:dyDescent="0.25">
      <c r="A134" s="24"/>
      <c r="B134" s="25"/>
      <c r="C134" s="24"/>
      <c r="D134" s="24"/>
      <c r="E134" s="24"/>
    </row>
    <row r="135" spans="1:5" ht="15.75" customHeight="1" x14ac:dyDescent="0.25">
      <c r="A135" s="24"/>
      <c r="B135" s="25"/>
      <c r="C135" s="24"/>
      <c r="D135" s="24"/>
      <c r="E135" s="24"/>
    </row>
    <row r="136" spans="1:5" ht="15.75" customHeight="1" x14ac:dyDescent="0.25">
      <c r="A136" s="24"/>
      <c r="B136" s="25"/>
      <c r="C136" s="24"/>
      <c r="D136" s="24"/>
      <c r="E136" s="24"/>
    </row>
    <row r="137" spans="1:5" ht="15.75" customHeight="1" x14ac:dyDescent="0.25">
      <c r="A137" s="24"/>
      <c r="B137" s="25"/>
      <c r="C137" s="24"/>
      <c r="D137" s="24"/>
      <c r="E137" s="24"/>
    </row>
    <row r="138" spans="1:5" ht="15.75" customHeight="1" x14ac:dyDescent="0.25">
      <c r="A138" s="24"/>
      <c r="B138" s="25"/>
      <c r="C138" s="24"/>
      <c r="D138" s="24"/>
      <c r="E138" s="24"/>
    </row>
    <row r="139" spans="1:5" ht="15.75" customHeight="1" x14ac:dyDescent="0.25">
      <c r="A139" s="24"/>
      <c r="B139" s="25"/>
      <c r="C139" s="24"/>
      <c r="D139" s="24"/>
      <c r="E139" s="24"/>
    </row>
    <row r="140" spans="1:5" ht="15.75" customHeight="1" x14ac:dyDescent="0.25">
      <c r="A140" s="24"/>
      <c r="B140" s="25"/>
      <c r="C140" s="24"/>
      <c r="D140" s="24"/>
      <c r="E140" s="24"/>
    </row>
    <row r="141" spans="1:5" ht="15.75" customHeight="1" x14ac:dyDescent="0.25">
      <c r="A141" s="24"/>
      <c r="B141" s="25"/>
      <c r="C141" s="24"/>
      <c r="D141" s="24"/>
      <c r="E141" s="24"/>
    </row>
    <row r="142" spans="1:5" ht="15.75" customHeight="1" x14ac:dyDescent="0.25">
      <c r="A142" s="24"/>
      <c r="B142" s="25"/>
      <c r="C142" s="24"/>
      <c r="D142" s="24"/>
      <c r="E142" s="24"/>
    </row>
    <row r="143" spans="1:5" ht="15.75" customHeight="1" x14ac:dyDescent="0.25">
      <c r="A143" s="24"/>
      <c r="B143" s="25"/>
      <c r="C143" s="24"/>
      <c r="D143" s="24"/>
      <c r="E143" s="24"/>
    </row>
    <row r="144" spans="1:5" ht="15.75" customHeight="1" x14ac:dyDescent="0.25">
      <c r="A144" s="24"/>
      <c r="B144" s="25"/>
      <c r="C144" s="24"/>
      <c r="D144" s="24"/>
      <c r="E144" s="24"/>
    </row>
    <row r="145" spans="1:5" ht="15.75" customHeight="1" x14ac:dyDescent="0.25">
      <c r="A145" s="24"/>
      <c r="B145" s="25"/>
      <c r="C145" s="24"/>
      <c r="D145" s="24"/>
      <c r="E145" s="24"/>
    </row>
    <row r="146" spans="1:5" ht="15.75" customHeight="1" x14ac:dyDescent="0.25">
      <c r="A146" s="24"/>
      <c r="B146" s="25"/>
      <c r="C146" s="24"/>
      <c r="D146" s="24"/>
      <c r="E146" s="24"/>
    </row>
    <row r="147" spans="1:5" ht="15.75" customHeight="1" x14ac:dyDescent="0.25">
      <c r="A147" s="24"/>
      <c r="B147" s="25"/>
      <c r="C147" s="24"/>
      <c r="D147" s="24"/>
      <c r="E147" s="24"/>
    </row>
    <row r="148" spans="1:5" ht="15.75" customHeight="1" x14ac:dyDescent="0.25">
      <c r="A148" s="24"/>
      <c r="B148" s="25"/>
      <c r="C148" s="24"/>
      <c r="D148" s="24"/>
      <c r="E148" s="24"/>
    </row>
    <row r="149" spans="1:5" ht="15.75" customHeight="1" x14ac:dyDescent="0.25">
      <c r="A149" s="24"/>
      <c r="B149" s="25"/>
      <c r="C149" s="24"/>
      <c r="D149" s="24"/>
      <c r="E149" s="24"/>
    </row>
    <row r="150" spans="1:5" ht="15.75" customHeight="1" x14ac:dyDescent="0.25">
      <c r="A150" s="24"/>
      <c r="B150" s="25"/>
      <c r="C150" s="24"/>
      <c r="D150" s="24"/>
      <c r="E150" s="24"/>
    </row>
    <row r="151" spans="1:5" ht="15.75" customHeight="1" x14ac:dyDescent="0.25">
      <c r="A151" s="24"/>
      <c r="B151" s="25"/>
      <c r="C151" s="24"/>
      <c r="D151" s="24"/>
      <c r="E151" s="24"/>
    </row>
    <row r="152" spans="1:5" ht="15.75" customHeight="1" x14ac:dyDescent="0.25">
      <c r="A152" s="24"/>
      <c r="B152" s="25"/>
      <c r="C152" s="24"/>
      <c r="D152" s="24"/>
      <c r="E152" s="24"/>
    </row>
    <row r="153" spans="1:5" ht="15.75" customHeight="1" x14ac:dyDescent="0.25">
      <c r="A153" s="24"/>
      <c r="B153" s="25"/>
      <c r="C153" s="24"/>
      <c r="D153" s="24"/>
      <c r="E153" s="24"/>
    </row>
    <row r="154" spans="1:5" ht="15.75" customHeight="1" x14ac:dyDescent="0.25">
      <c r="A154" s="24"/>
      <c r="B154" s="25"/>
      <c r="C154" s="24"/>
      <c r="D154" s="24"/>
      <c r="E154" s="24"/>
    </row>
    <row r="155" spans="1:5" ht="15.75" customHeight="1" x14ac:dyDescent="0.25">
      <c r="A155" s="24"/>
      <c r="B155" s="25"/>
      <c r="C155" s="24"/>
      <c r="D155" s="24"/>
      <c r="E155" s="24"/>
    </row>
    <row r="156" spans="1:5" ht="15.75" customHeight="1" x14ac:dyDescent="0.25">
      <c r="A156" s="24"/>
      <c r="B156" s="25"/>
      <c r="C156" s="24"/>
      <c r="D156" s="24"/>
      <c r="E156" s="24"/>
    </row>
    <row r="157" spans="1:5" ht="15.75" customHeight="1" x14ac:dyDescent="0.25">
      <c r="A157" s="24"/>
      <c r="B157" s="25"/>
      <c r="C157" s="24"/>
      <c r="D157" s="24"/>
      <c r="E157" s="24"/>
    </row>
    <row r="158" spans="1:5" ht="15.75" customHeight="1" x14ac:dyDescent="0.25">
      <c r="A158" s="24"/>
      <c r="B158" s="25"/>
      <c r="C158" s="24"/>
      <c r="D158" s="24"/>
      <c r="E158" s="24"/>
    </row>
    <row r="159" spans="1:5" ht="15.75" customHeight="1" x14ac:dyDescent="0.25">
      <c r="A159" s="24"/>
      <c r="B159" s="25"/>
      <c r="C159" s="24"/>
      <c r="D159" s="24"/>
      <c r="E159" s="24"/>
    </row>
    <row r="160" spans="1:5" ht="15.75" customHeight="1" x14ac:dyDescent="0.25">
      <c r="A160" s="24"/>
      <c r="B160" s="25"/>
      <c r="C160" s="24"/>
      <c r="D160" s="24"/>
      <c r="E160" s="24"/>
    </row>
    <row r="161" spans="1:5" ht="15.75" customHeight="1" x14ac:dyDescent="0.25">
      <c r="A161" s="24"/>
      <c r="B161" s="25"/>
      <c r="C161" s="24"/>
      <c r="D161" s="24"/>
      <c r="E161" s="24"/>
    </row>
    <row r="162" spans="1:5" ht="15.75" customHeight="1" x14ac:dyDescent="0.25">
      <c r="A162" s="24"/>
      <c r="B162" s="25"/>
      <c r="C162" s="24"/>
      <c r="D162" s="24"/>
      <c r="E162" s="24"/>
    </row>
    <row r="163" spans="1:5" ht="15.75" customHeight="1" x14ac:dyDescent="0.25">
      <c r="A163" s="24"/>
      <c r="B163" s="25"/>
      <c r="C163" s="24"/>
      <c r="D163" s="24"/>
      <c r="E163" s="24"/>
    </row>
    <row r="164" spans="1:5" ht="15.75" customHeight="1" x14ac:dyDescent="0.25">
      <c r="A164" s="24"/>
      <c r="B164" s="25"/>
      <c r="C164" s="24"/>
      <c r="D164" s="24"/>
      <c r="E164" s="24"/>
    </row>
    <row r="165" spans="1:5" ht="15.75" customHeight="1" x14ac:dyDescent="0.25">
      <c r="A165" s="24"/>
      <c r="B165" s="25"/>
      <c r="C165" s="24"/>
      <c r="D165" s="24"/>
      <c r="E165" s="24"/>
    </row>
    <row r="166" spans="1:5" ht="15.75" customHeight="1" x14ac:dyDescent="0.25">
      <c r="A166" s="24"/>
      <c r="B166" s="25"/>
      <c r="C166" s="24"/>
      <c r="D166" s="24"/>
      <c r="E166" s="24"/>
    </row>
    <row r="167" spans="1:5" ht="15.75" customHeight="1" x14ac:dyDescent="0.25">
      <c r="A167" s="24"/>
      <c r="B167" s="25"/>
      <c r="C167" s="24"/>
      <c r="D167" s="24"/>
      <c r="E167" s="24"/>
    </row>
    <row r="168" spans="1:5" ht="15.75" customHeight="1" x14ac:dyDescent="0.25">
      <c r="A168" s="24"/>
      <c r="B168" s="25"/>
      <c r="C168" s="24"/>
      <c r="D168" s="24"/>
      <c r="E168" s="24"/>
    </row>
    <row r="169" spans="1:5" ht="15.75" customHeight="1" x14ac:dyDescent="0.25">
      <c r="A169" s="24"/>
      <c r="B169" s="25"/>
      <c r="C169" s="24"/>
      <c r="D169" s="24"/>
      <c r="E169" s="24"/>
    </row>
    <row r="170" spans="1:5" ht="15.75" customHeight="1" x14ac:dyDescent="0.25">
      <c r="A170" s="24"/>
      <c r="B170" s="25"/>
      <c r="C170" s="24"/>
      <c r="D170" s="24"/>
      <c r="E170" s="24"/>
    </row>
    <row r="171" spans="1:5" ht="15.75" customHeight="1" x14ac:dyDescent="0.25">
      <c r="A171" s="24"/>
      <c r="B171" s="25"/>
      <c r="C171" s="24"/>
      <c r="D171" s="24"/>
      <c r="E171" s="24"/>
    </row>
    <row r="172" spans="1:5" ht="15.75" customHeight="1" x14ac:dyDescent="0.25">
      <c r="A172" s="24"/>
      <c r="B172" s="25"/>
      <c r="C172" s="24"/>
      <c r="D172" s="24"/>
      <c r="E172" s="24"/>
    </row>
    <row r="173" spans="1:5" ht="15.75" customHeight="1" x14ac:dyDescent="0.25">
      <c r="A173" s="24"/>
      <c r="B173" s="25"/>
      <c r="C173" s="24"/>
      <c r="D173" s="24"/>
      <c r="E173" s="24"/>
    </row>
    <row r="174" spans="1:5" ht="15.75" customHeight="1" x14ac:dyDescent="0.25">
      <c r="A174" s="24"/>
      <c r="B174" s="25"/>
      <c r="C174" s="24"/>
      <c r="D174" s="24"/>
      <c r="E174" s="24"/>
    </row>
    <row r="175" spans="1:5" ht="15.75" customHeight="1" x14ac:dyDescent="0.25">
      <c r="A175" s="24"/>
      <c r="B175" s="25"/>
      <c r="C175" s="24"/>
      <c r="D175" s="24"/>
      <c r="E175" s="24"/>
    </row>
    <row r="176" spans="1:5" ht="15.75" customHeight="1" x14ac:dyDescent="0.25">
      <c r="A176" s="24"/>
      <c r="B176" s="25"/>
      <c r="C176" s="24"/>
      <c r="D176" s="24"/>
      <c r="E176" s="24"/>
    </row>
    <row r="177" spans="1:5" ht="15.75" customHeight="1" x14ac:dyDescent="0.25">
      <c r="A177" s="24"/>
      <c r="B177" s="25"/>
      <c r="C177" s="24"/>
      <c r="D177" s="24"/>
      <c r="E177" s="24"/>
    </row>
    <row r="178" spans="1:5" ht="15.75" customHeight="1" x14ac:dyDescent="0.25">
      <c r="A178" s="24"/>
      <c r="B178" s="25"/>
      <c r="C178" s="24"/>
      <c r="D178" s="24"/>
      <c r="E178" s="24"/>
    </row>
    <row r="179" spans="1:5" ht="15.75" customHeight="1" x14ac:dyDescent="0.25">
      <c r="A179" s="24"/>
      <c r="B179" s="25"/>
      <c r="C179" s="24"/>
      <c r="D179" s="24"/>
      <c r="E179" s="24"/>
    </row>
    <row r="180" spans="1:5" ht="15.75" customHeight="1" x14ac:dyDescent="0.25">
      <c r="A180" s="24"/>
      <c r="B180" s="25"/>
      <c r="C180" s="24"/>
      <c r="D180" s="24"/>
      <c r="E180" s="24"/>
    </row>
    <row r="181" spans="1:5" ht="15.75" customHeight="1" x14ac:dyDescent="0.25">
      <c r="A181" s="24"/>
      <c r="B181" s="25"/>
      <c r="C181" s="24"/>
      <c r="D181" s="24"/>
      <c r="E181" s="24"/>
    </row>
    <row r="182" spans="1:5" ht="15.75" customHeight="1" x14ac:dyDescent="0.25">
      <c r="A182" s="24"/>
      <c r="B182" s="25"/>
      <c r="C182" s="24"/>
      <c r="D182" s="24"/>
      <c r="E182" s="24"/>
    </row>
    <row r="183" spans="1:5" ht="15.75" customHeight="1" x14ac:dyDescent="0.25">
      <c r="A183" s="24"/>
      <c r="B183" s="25"/>
      <c r="C183" s="24"/>
      <c r="D183" s="24"/>
      <c r="E183" s="24"/>
    </row>
    <row r="184" spans="1:5" ht="15.75" customHeight="1" x14ac:dyDescent="0.25">
      <c r="A184" s="24"/>
      <c r="B184" s="25"/>
      <c r="C184" s="24"/>
      <c r="D184" s="24"/>
      <c r="E184" s="24"/>
    </row>
    <row r="185" spans="1:5" ht="15.75" customHeight="1" x14ac:dyDescent="0.25">
      <c r="A185" s="24"/>
      <c r="B185" s="25"/>
      <c r="C185" s="24"/>
      <c r="D185" s="24"/>
      <c r="E185" s="24"/>
    </row>
    <row r="186" spans="1:5" ht="15.75" customHeight="1" x14ac:dyDescent="0.25">
      <c r="A186" s="24"/>
      <c r="B186" s="25"/>
      <c r="C186" s="24"/>
      <c r="D186" s="24"/>
      <c r="E186" s="24"/>
    </row>
    <row r="187" spans="1:5" ht="15.75" customHeight="1" x14ac:dyDescent="0.25">
      <c r="A187" s="24"/>
      <c r="B187" s="25"/>
      <c r="C187" s="24"/>
      <c r="D187" s="24"/>
      <c r="E187" s="24"/>
    </row>
    <row r="188" spans="1:5" ht="15.75" customHeight="1" x14ac:dyDescent="0.25">
      <c r="A188" s="24"/>
      <c r="B188" s="25"/>
      <c r="C188" s="24"/>
      <c r="D188" s="24"/>
      <c r="E188" s="24"/>
    </row>
    <row r="189" spans="1:5" ht="15.75" customHeight="1" x14ac:dyDescent="0.25">
      <c r="A189" s="24"/>
      <c r="B189" s="25"/>
      <c r="C189" s="24"/>
      <c r="D189" s="24"/>
      <c r="E189" s="24"/>
    </row>
    <row r="190" spans="1:5" ht="15.75" customHeight="1" x14ac:dyDescent="0.25">
      <c r="A190" s="24"/>
      <c r="B190" s="25"/>
      <c r="C190" s="24"/>
      <c r="D190" s="24"/>
      <c r="E190" s="24"/>
    </row>
    <row r="191" spans="1:5" ht="15.75" customHeight="1" x14ac:dyDescent="0.25">
      <c r="A191" s="24"/>
      <c r="B191" s="25"/>
      <c r="C191" s="24"/>
      <c r="D191" s="24"/>
      <c r="E191" s="24"/>
    </row>
    <row r="192" spans="1:5" ht="15.75" customHeight="1" x14ac:dyDescent="0.25">
      <c r="A192" s="24"/>
      <c r="B192" s="25"/>
      <c r="C192" s="24"/>
      <c r="D192" s="24"/>
      <c r="E192" s="24"/>
    </row>
    <row r="193" spans="1:5" ht="15.75" customHeight="1" x14ac:dyDescent="0.25">
      <c r="A193" s="24"/>
      <c r="B193" s="25"/>
      <c r="C193" s="24"/>
      <c r="D193" s="24"/>
      <c r="E193" s="24"/>
    </row>
    <row r="194" spans="1:5" ht="15.75" customHeight="1" x14ac:dyDescent="0.25">
      <c r="A194" s="24"/>
      <c r="B194" s="25"/>
      <c r="C194" s="24"/>
      <c r="D194" s="24"/>
      <c r="E194" s="24"/>
    </row>
    <row r="195" spans="1:5" ht="15.75" customHeight="1" x14ac:dyDescent="0.25">
      <c r="A195" s="24"/>
      <c r="B195" s="25"/>
      <c r="C195" s="24"/>
      <c r="D195" s="24"/>
      <c r="E195" s="24"/>
    </row>
    <row r="196" spans="1:5" ht="15.75" customHeight="1" x14ac:dyDescent="0.25">
      <c r="A196" s="24"/>
      <c r="B196" s="25"/>
      <c r="C196" s="24"/>
      <c r="D196" s="24"/>
      <c r="E196" s="24"/>
    </row>
    <row r="197" spans="1:5" ht="15.75" customHeight="1" x14ac:dyDescent="0.25">
      <c r="A197" s="24"/>
      <c r="B197" s="25"/>
      <c r="C197" s="24"/>
      <c r="D197" s="24"/>
      <c r="E197" s="24"/>
    </row>
    <row r="198" spans="1:5" ht="15.75" customHeight="1" x14ac:dyDescent="0.25">
      <c r="A198" s="24"/>
      <c r="B198" s="25"/>
      <c r="C198" s="24"/>
      <c r="D198" s="24"/>
      <c r="E198" s="24"/>
    </row>
    <row r="199" spans="1:5" ht="15.75" customHeight="1" x14ac:dyDescent="0.25">
      <c r="A199" s="24"/>
      <c r="B199" s="25"/>
      <c r="C199" s="24"/>
      <c r="D199" s="24"/>
      <c r="E199" s="24"/>
    </row>
    <row r="200" spans="1:5" ht="15.75" customHeight="1" x14ac:dyDescent="0.25">
      <c r="A200" s="24"/>
      <c r="B200" s="25"/>
      <c r="C200" s="24"/>
      <c r="D200" s="24"/>
      <c r="E200" s="24"/>
    </row>
    <row r="201" spans="1:5" ht="15.75" customHeight="1" x14ac:dyDescent="0.25">
      <c r="A201" s="24"/>
      <c r="B201" s="25"/>
      <c r="C201" s="24"/>
      <c r="D201" s="24"/>
      <c r="E201" s="24"/>
    </row>
    <row r="202" spans="1:5" ht="15.75" customHeight="1" x14ac:dyDescent="0.25">
      <c r="A202" s="24"/>
      <c r="B202" s="25"/>
      <c r="C202" s="24"/>
      <c r="D202" s="24"/>
      <c r="E202" s="24"/>
    </row>
    <row r="203" spans="1:5" ht="15.75" customHeight="1" x14ac:dyDescent="0.25">
      <c r="A203" s="24"/>
      <c r="B203" s="25"/>
      <c r="C203" s="24"/>
      <c r="D203" s="24"/>
      <c r="E203" s="24"/>
    </row>
    <row r="204" spans="1:5" ht="15.75" customHeight="1" x14ac:dyDescent="0.25">
      <c r="A204" s="24"/>
      <c r="B204" s="25"/>
      <c r="C204" s="24"/>
      <c r="D204" s="24"/>
      <c r="E204" s="24"/>
    </row>
    <row r="205" spans="1:5" ht="15.75" customHeight="1" x14ac:dyDescent="0.25">
      <c r="A205" s="24"/>
      <c r="B205" s="25"/>
      <c r="C205" s="24"/>
      <c r="D205" s="24"/>
      <c r="E205" s="24"/>
    </row>
    <row r="206" spans="1:5" ht="15.75" customHeight="1" x14ac:dyDescent="0.25">
      <c r="A206" s="24"/>
      <c r="B206" s="25"/>
      <c r="C206" s="24"/>
      <c r="D206" s="24"/>
      <c r="E206" s="24"/>
    </row>
    <row r="207" spans="1:5" ht="15.75" customHeight="1" x14ac:dyDescent="0.25">
      <c r="A207" s="24"/>
      <c r="B207" s="25"/>
      <c r="C207" s="24"/>
      <c r="D207" s="24"/>
      <c r="E207" s="24"/>
    </row>
    <row r="208" spans="1:5" ht="15.75" customHeight="1" x14ac:dyDescent="0.25">
      <c r="A208" s="24"/>
      <c r="B208" s="25"/>
      <c r="C208" s="24"/>
      <c r="D208" s="24"/>
      <c r="E208" s="24"/>
    </row>
    <row r="209" spans="1:5" ht="15.75" customHeight="1" x14ac:dyDescent="0.25">
      <c r="A209" s="24"/>
      <c r="B209" s="25"/>
      <c r="C209" s="24"/>
      <c r="D209" s="24"/>
      <c r="E209" s="24"/>
    </row>
    <row r="210" spans="1:5" ht="15.75" customHeight="1" x14ac:dyDescent="0.25">
      <c r="A210" s="24"/>
      <c r="B210" s="25"/>
      <c r="C210" s="24"/>
      <c r="D210" s="24"/>
      <c r="E210" s="24"/>
    </row>
    <row r="211" spans="1:5" ht="15.75" customHeight="1" x14ac:dyDescent="0.25">
      <c r="A211" s="24"/>
      <c r="B211" s="25"/>
      <c r="C211" s="24"/>
      <c r="D211" s="24"/>
      <c r="E211" s="24"/>
    </row>
    <row r="212" spans="1:5" ht="15.75" customHeight="1" x14ac:dyDescent="0.25">
      <c r="A212" s="24"/>
      <c r="B212" s="25"/>
      <c r="C212" s="24"/>
      <c r="D212" s="24"/>
      <c r="E212" s="24"/>
    </row>
    <row r="213" spans="1:5" ht="15.75" customHeight="1" x14ac:dyDescent="0.25">
      <c r="A213" s="24"/>
      <c r="B213" s="25"/>
      <c r="C213" s="24"/>
      <c r="D213" s="24"/>
      <c r="E213" s="24"/>
    </row>
    <row r="214" spans="1:5" ht="15.75" customHeight="1" x14ac:dyDescent="0.25">
      <c r="A214" s="24"/>
      <c r="B214" s="25"/>
      <c r="C214" s="24"/>
      <c r="D214" s="24"/>
      <c r="E214" s="24"/>
    </row>
    <row r="215" spans="1:5" ht="15.75" customHeight="1" x14ac:dyDescent="0.25">
      <c r="A215" s="24"/>
      <c r="B215" s="25"/>
      <c r="C215" s="24"/>
      <c r="D215" s="24"/>
      <c r="E215" s="24"/>
    </row>
    <row r="216" spans="1:5" ht="15.75" customHeight="1" x14ac:dyDescent="0.25">
      <c r="A216" s="24"/>
      <c r="B216" s="25"/>
      <c r="C216" s="24"/>
      <c r="D216" s="24"/>
      <c r="E216" s="24"/>
    </row>
    <row r="217" spans="1:5" ht="15.75" customHeight="1" x14ac:dyDescent="0.25">
      <c r="A217" s="24"/>
      <c r="B217" s="25"/>
      <c r="C217" s="24"/>
      <c r="D217" s="24"/>
      <c r="E217" s="24"/>
    </row>
    <row r="218" spans="1:5" ht="15.75" customHeight="1" x14ac:dyDescent="0.25">
      <c r="A218" s="24"/>
      <c r="B218" s="25"/>
      <c r="C218" s="24"/>
      <c r="D218" s="24"/>
      <c r="E218" s="24"/>
    </row>
    <row r="219" spans="1:5" ht="15.75" customHeight="1" x14ac:dyDescent="0.25">
      <c r="A219" s="24"/>
      <c r="B219" s="25"/>
      <c r="C219" s="24"/>
      <c r="D219" s="24"/>
      <c r="E219" s="24"/>
    </row>
    <row r="220" spans="1:5" ht="15.75" customHeight="1" x14ac:dyDescent="0.25">
      <c r="A220" s="24"/>
      <c r="B220" s="25"/>
      <c r="C220" s="24"/>
      <c r="D220" s="24"/>
      <c r="E220" s="24"/>
    </row>
    <row r="221" spans="1:5" ht="15.75" customHeight="1" x14ac:dyDescent="0.25">
      <c r="A221" s="24"/>
      <c r="B221" s="25"/>
      <c r="C221" s="24"/>
      <c r="D221" s="24"/>
      <c r="E221" s="24"/>
    </row>
    <row r="222" spans="1:5" ht="15.75" customHeight="1" x14ac:dyDescent="0.25">
      <c r="A222" s="24"/>
      <c r="B222" s="25"/>
      <c r="C222" s="24"/>
      <c r="D222" s="24"/>
      <c r="E222" s="24"/>
    </row>
    <row r="223" spans="1:5" ht="15.75" customHeight="1" x14ac:dyDescent="0.25">
      <c r="A223" s="24"/>
      <c r="B223" s="25"/>
      <c r="C223" s="24"/>
      <c r="D223" s="24"/>
      <c r="E223" s="24"/>
    </row>
    <row r="224" spans="1:5" ht="15.75" customHeight="1" x14ac:dyDescent="0.25">
      <c r="A224" s="24"/>
      <c r="B224" s="25"/>
      <c r="C224" s="24"/>
      <c r="D224" s="24"/>
      <c r="E224" s="24"/>
    </row>
    <row r="225" spans="1:5" ht="15.75" customHeight="1" x14ac:dyDescent="0.25">
      <c r="A225" s="24"/>
      <c r="B225" s="25"/>
      <c r="C225" s="24"/>
      <c r="D225" s="24"/>
      <c r="E225" s="24"/>
    </row>
    <row r="226" spans="1:5" ht="15.75" customHeight="1" x14ac:dyDescent="0.25">
      <c r="A226" s="24"/>
      <c r="B226" s="25"/>
      <c r="C226" s="24"/>
      <c r="D226" s="24"/>
      <c r="E226" s="24"/>
    </row>
    <row r="227" spans="1:5" ht="15.75" customHeight="1" x14ac:dyDescent="0.25">
      <c r="A227" s="24"/>
      <c r="B227" s="25"/>
      <c r="C227" s="24"/>
      <c r="D227" s="24"/>
      <c r="E227" s="24"/>
    </row>
    <row r="228" spans="1:5" ht="15.75" customHeight="1" x14ac:dyDescent="0.25">
      <c r="A228" s="24"/>
      <c r="B228" s="25"/>
      <c r="C228" s="24"/>
      <c r="D228" s="24"/>
      <c r="E228" s="24"/>
    </row>
    <row r="229" spans="1:5" ht="15.75" customHeight="1" x14ac:dyDescent="0.25">
      <c r="A229" s="24"/>
      <c r="B229" s="25"/>
      <c r="C229" s="24"/>
      <c r="D229" s="24"/>
      <c r="E229" s="24"/>
    </row>
    <row r="230" spans="1:5" ht="15.75" customHeight="1" x14ac:dyDescent="0.25">
      <c r="A230" s="24"/>
      <c r="B230" s="25"/>
      <c r="C230" s="24"/>
      <c r="D230" s="24"/>
      <c r="E230" s="24"/>
    </row>
    <row r="231" spans="1:5" ht="15.75" customHeight="1" x14ac:dyDescent="0.25">
      <c r="A231" s="24"/>
      <c r="B231" s="25"/>
      <c r="C231" s="24"/>
      <c r="D231" s="24"/>
      <c r="E231" s="24"/>
    </row>
    <row r="232" spans="1:5" ht="15.75" customHeight="1" x14ac:dyDescent="0.25">
      <c r="A232" s="24"/>
      <c r="B232" s="25"/>
      <c r="C232" s="24"/>
      <c r="D232" s="24"/>
      <c r="E232" s="24"/>
    </row>
    <row r="233" spans="1:5" ht="15.75" customHeight="1" x14ac:dyDescent="0.25">
      <c r="A233" s="24"/>
      <c r="B233" s="25"/>
      <c r="C233" s="24"/>
      <c r="D233" s="24"/>
      <c r="E233" s="24"/>
    </row>
    <row r="234" spans="1:5" ht="15.75" customHeight="1" x14ac:dyDescent="0.25"/>
    <row r="235" spans="1:5" ht="15.75" customHeight="1" x14ac:dyDescent="0.25"/>
    <row r="236" spans="1:5" ht="15.75" customHeight="1" x14ac:dyDescent="0.25"/>
    <row r="237" spans="1:5" ht="15.75" customHeight="1" x14ac:dyDescent="0.25"/>
    <row r="238" spans="1:5" ht="15.75" customHeight="1" x14ac:dyDescent="0.25"/>
    <row r="239" spans="1:5" ht="15.75" customHeight="1" x14ac:dyDescent="0.25"/>
    <row r="240" spans="1: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6"/>
  <sheetViews>
    <sheetView view="pageBreakPreview" zoomScale="115" zoomScaleNormal="100" zoomScaleSheetLayoutView="115" workbookViewId="0">
      <selection activeCell="A13" sqref="A13"/>
    </sheetView>
  </sheetViews>
  <sheetFormatPr defaultColWidth="14.42578125" defaultRowHeight="15" customHeight="1" x14ac:dyDescent="0.25"/>
  <cols>
    <col min="1" max="1" width="75.85546875" customWidth="1"/>
    <col min="2" max="2" width="18.140625" customWidth="1"/>
    <col min="3" max="6" width="18.28515625" hidden="1" customWidth="1"/>
    <col min="7" max="7" width="18.28515625" customWidth="1"/>
    <col min="8" max="8" width="12.28515625" customWidth="1"/>
    <col min="9" max="26" width="10.28515625" customWidth="1"/>
  </cols>
  <sheetData>
    <row r="1" spans="1:26" ht="15.7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7"/>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67"/>
      <c r="L5" s="15"/>
      <c r="M5" s="15"/>
      <c r="N5" s="15"/>
      <c r="O5" s="15"/>
      <c r="P5" s="15"/>
      <c r="Q5" s="15"/>
      <c r="R5" s="15"/>
      <c r="S5" s="15"/>
      <c r="T5" s="15"/>
      <c r="U5" s="15"/>
      <c r="V5" s="15"/>
      <c r="W5" s="15"/>
      <c r="X5" s="15"/>
      <c r="Y5" s="15"/>
      <c r="Z5" s="15"/>
    </row>
    <row r="6" spans="1:26" ht="15.75" customHeight="1" x14ac:dyDescent="0.25">
      <c r="A6" s="17" t="s">
        <v>1486</v>
      </c>
      <c r="B6" s="24"/>
      <c r="C6" s="25"/>
      <c r="D6" s="25"/>
      <c r="E6" s="25"/>
      <c r="F6" s="24"/>
      <c r="G6" s="19"/>
      <c r="H6" s="14"/>
      <c r="I6" s="15"/>
      <c r="J6" s="15"/>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K13" s="168"/>
    </row>
    <row r="14" spans="1:26" ht="15.75" customHeight="1" x14ac:dyDescent="0.25">
      <c r="A14" s="17" t="s">
        <v>365</v>
      </c>
      <c r="B14" s="172"/>
      <c r="C14" s="42"/>
      <c r="D14" s="42"/>
      <c r="E14" s="42"/>
      <c r="F14" s="42"/>
      <c r="G14" s="42"/>
      <c r="K14" s="168"/>
    </row>
    <row r="15" spans="1:26" ht="15.75" customHeight="1" x14ac:dyDescent="0.25">
      <c r="A15" s="17" t="s">
        <v>366</v>
      </c>
      <c r="B15" s="172"/>
      <c r="C15" s="42"/>
      <c r="D15" s="42"/>
      <c r="E15" s="42"/>
      <c r="F15" s="42"/>
      <c r="G15" s="42"/>
      <c r="K15" s="168"/>
    </row>
    <row r="16" spans="1:26" ht="15.75" customHeight="1" x14ac:dyDescent="0.25">
      <c r="A16" s="48" t="s">
        <v>367</v>
      </c>
      <c r="B16" s="41" t="s">
        <v>121</v>
      </c>
      <c r="C16" s="43">
        <v>5779287.9699999997</v>
      </c>
      <c r="D16" s="43">
        <v>2994921.93</v>
      </c>
      <c r="E16" s="43">
        <f>F16-D16</f>
        <v>4356230.07</v>
      </c>
      <c r="F16" s="43">
        <v>7351152</v>
      </c>
      <c r="G16" s="43">
        <v>7709076</v>
      </c>
      <c r="K16" s="168"/>
    </row>
    <row r="17" spans="1:11" ht="15.75" customHeight="1" x14ac:dyDescent="0.25">
      <c r="A17" s="17" t="s">
        <v>368</v>
      </c>
      <c r="B17" s="41"/>
      <c r="C17" s="43"/>
      <c r="D17" s="43"/>
      <c r="E17" s="43"/>
      <c r="F17" s="43"/>
      <c r="G17" s="43"/>
      <c r="K17" s="168"/>
    </row>
    <row r="18" spans="1:11" ht="15.75" customHeight="1" x14ac:dyDescent="0.25">
      <c r="A18" s="48" t="s">
        <v>369</v>
      </c>
      <c r="B18" s="41" t="s">
        <v>125</v>
      </c>
      <c r="C18" s="43">
        <v>288000</v>
      </c>
      <c r="D18" s="43">
        <v>143909.09</v>
      </c>
      <c r="E18" s="43">
        <f t="shared" ref="E18:E23" si="0">F18-D18</f>
        <v>192090.91</v>
      </c>
      <c r="F18" s="43">
        <v>336000</v>
      </c>
      <c r="G18" s="43">
        <v>336000</v>
      </c>
      <c r="K18" s="168"/>
    </row>
    <row r="19" spans="1:11" ht="15.75" customHeight="1" x14ac:dyDescent="0.25">
      <c r="A19" s="48" t="s">
        <v>370</v>
      </c>
      <c r="B19" s="41" t="s">
        <v>127</v>
      </c>
      <c r="C19" s="43">
        <v>111625</v>
      </c>
      <c r="D19" s="43">
        <v>57000</v>
      </c>
      <c r="E19" s="43">
        <f t="shared" si="0"/>
        <v>57000</v>
      </c>
      <c r="F19" s="43">
        <v>114000</v>
      </c>
      <c r="G19" s="43">
        <v>114000</v>
      </c>
      <c r="K19" s="168"/>
    </row>
    <row r="20" spans="1:11" ht="15.75" customHeight="1" x14ac:dyDescent="0.25">
      <c r="A20" s="48" t="s">
        <v>371</v>
      </c>
      <c r="B20" s="41" t="s">
        <v>372</v>
      </c>
      <c r="C20" s="43">
        <v>111625</v>
      </c>
      <c r="D20" s="43">
        <v>57000</v>
      </c>
      <c r="E20" s="43">
        <f t="shared" si="0"/>
        <v>57000</v>
      </c>
      <c r="F20" s="43">
        <v>114000</v>
      </c>
      <c r="G20" s="43">
        <v>114000</v>
      </c>
      <c r="K20" s="168"/>
    </row>
    <row r="21" spans="1:11" ht="15.75" customHeight="1" x14ac:dyDescent="0.25">
      <c r="A21" s="48" t="s">
        <v>373</v>
      </c>
      <c r="B21" s="41" t="s">
        <v>131</v>
      </c>
      <c r="C21" s="26">
        <v>84000</v>
      </c>
      <c r="D21" s="43">
        <v>84000</v>
      </c>
      <c r="E21" s="43">
        <f t="shared" si="0"/>
        <v>14000</v>
      </c>
      <c r="F21" s="43">
        <v>98000</v>
      </c>
      <c r="G21" s="43">
        <v>98000</v>
      </c>
      <c r="K21" s="168"/>
    </row>
    <row r="22" spans="1:11" ht="15.75" customHeight="1" x14ac:dyDescent="0.25">
      <c r="A22" s="48" t="s">
        <v>374</v>
      </c>
      <c r="B22" s="41" t="s">
        <v>151</v>
      </c>
      <c r="C22" s="43">
        <v>498764</v>
      </c>
      <c r="D22" s="43">
        <v>0</v>
      </c>
      <c r="E22" s="43">
        <f t="shared" si="0"/>
        <v>612596</v>
      </c>
      <c r="F22" s="43">
        <v>612596</v>
      </c>
      <c r="G22" s="43">
        <v>642423</v>
      </c>
      <c r="K22" s="168"/>
    </row>
    <row r="23" spans="1:11" ht="15.75" customHeight="1" x14ac:dyDescent="0.25">
      <c r="A23" s="48" t="s">
        <v>375</v>
      </c>
      <c r="B23" s="41" t="s">
        <v>153</v>
      </c>
      <c r="C23" s="43">
        <v>60000</v>
      </c>
      <c r="D23" s="43">
        <v>0</v>
      </c>
      <c r="E23" s="43">
        <f t="shared" si="0"/>
        <v>70000</v>
      </c>
      <c r="F23" s="43">
        <v>70000</v>
      </c>
      <c r="G23" s="43">
        <v>70000</v>
      </c>
      <c r="K23" s="168"/>
    </row>
    <row r="24" spans="1:11" ht="15.75" customHeight="1" x14ac:dyDescent="0.25">
      <c r="A24" s="48" t="s">
        <v>376</v>
      </c>
      <c r="B24" s="41" t="s">
        <v>155</v>
      </c>
      <c r="C24" s="43"/>
      <c r="D24" s="43"/>
      <c r="E24" s="43"/>
      <c r="F24" s="43"/>
      <c r="G24" s="43"/>
      <c r="K24" s="168"/>
    </row>
    <row r="25" spans="1:11" ht="15.75" customHeight="1" x14ac:dyDescent="0.25">
      <c r="A25" s="48" t="s">
        <v>377</v>
      </c>
      <c r="B25" s="41" t="s">
        <v>157</v>
      </c>
      <c r="C25" s="43">
        <v>5000</v>
      </c>
      <c r="D25" s="43">
        <v>0</v>
      </c>
      <c r="E25" s="43">
        <f>F25-D25</f>
        <v>15000</v>
      </c>
      <c r="F25" s="43">
        <v>15000</v>
      </c>
      <c r="G25" s="43">
        <v>0</v>
      </c>
      <c r="K25" s="168"/>
    </row>
    <row r="26" spans="1:11" ht="15.75" customHeight="1" x14ac:dyDescent="0.25">
      <c r="A26" s="48" t="s">
        <v>1227</v>
      </c>
      <c r="B26" s="41" t="s">
        <v>159</v>
      </c>
      <c r="C26" s="43">
        <v>0</v>
      </c>
      <c r="D26" s="26">
        <v>36000</v>
      </c>
      <c r="E26" s="43">
        <v>6000</v>
      </c>
      <c r="F26" s="43">
        <v>42000</v>
      </c>
      <c r="G26" s="43">
        <v>0</v>
      </c>
      <c r="K26" s="168"/>
    </row>
    <row r="27" spans="1:11" ht="15.75" customHeight="1" x14ac:dyDescent="0.25">
      <c r="A27" s="48" t="s">
        <v>379</v>
      </c>
      <c r="B27" s="41" t="s">
        <v>161</v>
      </c>
      <c r="C27" s="43">
        <v>474120</v>
      </c>
      <c r="D27" s="291">
        <v>499347</v>
      </c>
      <c r="E27" s="43">
        <f>F27-D27</f>
        <v>113249</v>
      </c>
      <c r="F27" s="43">
        <v>612596</v>
      </c>
      <c r="G27" s="43">
        <v>642423</v>
      </c>
      <c r="K27" s="168"/>
    </row>
    <row r="28" spans="1:11" ht="15.75" customHeight="1" x14ac:dyDescent="0.25">
      <c r="A28" s="17" t="s">
        <v>380</v>
      </c>
      <c r="B28" s="41"/>
      <c r="C28" s="43"/>
      <c r="D28" s="43"/>
      <c r="E28" s="43"/>
      <c r="F28" s="43"/>
      <c r="G28" s="43"/>
      <c r="K28" s="168"/>
    </row>
    <row r="29" spans="1:11" ht="15.75" customHeight="1" x14ac:dyDescent="0.25">
      <c r="A29" s="48" t="s">
        <v>381</v>
      </c>
      <c r="B29" s="41" t="s">
        <v>165</v>
      </c>
      <c r="C29" s="43">
        <v>693514.56</v>
      </c>
      <c r="D29" s="43">
        <v>359503.65</v>
      </c>
      <c r="E29" s="43">
        <f t="shared" ref="E29:E32" si="1">F29-D29</f>
        <v>522635.35</v>
      </c>
      <c r="F29" s="43">
        <v>882139</v>
      </c>
      <c r="G29" s="43">
        <v>925090</v>
      </c>
      <c r="K29" s="168"/>
    </row>
    <row r="30" spans="1:11" ht="15.75" customHeight="1" x14ac:dyDescent="0.25">
      <c r="A30" s="48" t="s">
        <v>382</v>
      </c>
      <c r="B30" s="41" t="s">
        <v>167</v>
      </c>
      <c r="C30" s="43">
        <v>115585.75</v>
      </c>
      <c r="D30" s="43">
        <v>59917.279999999999</v>
      </c>
      <c r="E30" s="43">
        <f t="shared" si="1"/>
        <v>87106.72</v>
      </c>
      <c r="F30" s="43">
        <v>147024</v>
      </c>
      <c r="G30" s="43">
        <v>154182</v>
      </c>
      <c r="K30" s="168"/>
    </row>
    <row r="31" spans="1:11" ht="15.75" customHeight="1" x14ac:dyDescent="0.25">
      <c r="A31" s="48" t="s">
        <v>383</v>
      </c>
      <c r="B31" s="41" t="s">
        <v>169</v>
      </c>
      <c r="C31" s="43">
        <v>139036.32999999999</v>
      </c>
      <c r="D31" s="43">
        <v>71724.740000000005</v>
      </c>
      <c r="E31" s="43">
        <f t="shared" si="1"/>
        <v>105713.26</v>
      </c>
      <c r="F31" s="43">
        <v>177438</v>
      </c>
      <c r="G31" s="43">
        <v>184266</v>
      </c>
      <c r="K31" s="168"/>
    </row>
    <row r="32" spans="1:11" ht="15.75" customHeight="1" x14ac:dyDescent="0.25">
      <c r="A32" s="48" t="s">
        <v>384</v>
      </c>
      <c r="B32" s="41" t="s">
        <v>171</v>
      </c>
      <c r="C32" s="43">
        <v>14400</v>
      </c>
      <c r="D32" s="43">
        <v>7200</v>
      </c>
      <c r="E32" s="43">
        <f t="shared" si="1"/>
        <v>9600</v>
      </c>
      <c r="F32" s="43">
        <v>16800</v>
      </c>
      <c r="G32" s="43">
        <v>16800</v>
      </c>
      <c r="K32" s="168"/>
    </row>
    <row r="33" spans="1:26" ht="15.75" customHeight="1" x14ac:dyDescent="0.25">
      <c r="A33" s="17" t="s">
        <v>624</v>
      </c>
      <c r="B33" s="41"/>
      <c r="C33" s="43"/>
      <c r="D33" s="43"/>
      <c r="E33" s="43"/>
      <c r="F33" s="43"/>
      <c r="G33" s="43"/>
      <c r="K33" s="168"/>
    </row>
    <row r="34" spans="1:26" ht="15.75" customHeight="1" x14ac:dyDescent="0.25">
      <c r="A34" s="48" t="s">
        <v>387</v>
      </c>
      <c r="B34" s="41" t="s">
        <v>181</v>
      </c>
      <c r="C34" s="43">
        <v>57813.41</v>
      </c>
      <c r="D34" s="43">
        <v>51376.79</v>
      </c>
      <c r="E34" s="43">
        <f t="shared" ref="E34:E35" si="2">F34-D34</f>
        <v>243850.21</v>
      </c>
      <c r="F34" s="43">
        <v>295227</v>
      </c>
      <c r="G34" s="43">
        <v>309601</v>
      </c>
      <c r="K34" s="168"/>
    </row>
    <row r="35" spans="1:26" ht="15.75" customHeight="1" x14ac:dyDescent="0.25">
      <c r="A35" s="48" t="s">
        <v>388</v>
      </c>
      <c r="B35" s="41" t="s">
        <v>183</v>
      </c>
      <c r="C35" s="43">
        <v>60000</v>
      </c>
      <c r="D35" s="43">
        <v>0</v>
      </c>
      <c r="E35" s="43">
        <f t="shared" si="2"/>
        <v>70000</v>
      </c>
      <c r="F35" s="43">
        <v>70000</v>
      </c>
      <c r="G35" s="43">
        <v>70000</v>
      </c>
      <c r="K35" s="168"/>
    </row>
    <row r="36" spans="1:26" ht="31.5" x14ac:dyDescent="0.25">
      <c r="A36" s="117" t="s">
        <v>625</v>
      </c>
      <c r="B36" s="41"/>
      <c r="C36" s="43">
        <v>0</v>
      </c>
      <c r="D36" s="43">
        <v>0</v>
      </c>
      <c r="E36" s="43">
        <v>0</v>
      </c>
      <c r="F36" s="43">
        <v>0</v>
      </c>
      <c r="G36" s="43">
        <f>219558</f>
        <v>219558</v>
      </c>
      <c r="H36" s="114"/>
      <c r="I36" s="114"/>
      <c r="J36" s="114"/>
      <c r="K36" s="212"/>
      <c r="L36" s="114"/>
      <c r="M36" s="114"/>
      <c r="N36" s="114"/>
      <c r="O36" s="114"/>
      <c r="P36" s="114"/>
      <c r="Q36" s="114"/>
      <c r="R36" s="114"/>
      <c r="S36" s="114"/>
      <c r="T36" s="114"/>
      <c r="U36" s="114"/>
      <c r="V36" s="114"/>
      <c r="W36" s="114"/>
      <c r="X36" s="114"/>
      <c r="Y36" s="114"/>
      <c r="Z36" s="114"/>
    </row>
    <row r="37" spans="1:26" ht="15.75" customHeight="1" x14ac:dyDescent="0.25">
      <c r="A37" s="17" t="s">
        <v>390</v>
      </c>
      <c r="B37" s="41"/>
      <c r="C37" s="54">
        <f t="shared" ref="C37:G37" si="3">SUM(C16:C36)</f>
        <v>8492772.0199999996</v>
      </c>
      <c r="D37" s="54">
        <f t="shared" si="3"/>
        <v>4421900.4800000004</v>
      </c>
      <c r="E37" s="54">
        <f t="shared" si="3"/>
        <v>6532071.5199999996</v>
      </c>
      <c r="F37" s="54">
        <f t="shared" si="3"/>
        <v>10953972</v>
      </c>
      <c r="G37" s="54">
        <f t="shared" si="3"/>
        <v>11605419</v>
      </c>
      <c r="H37" s="176"/>
      <c r="I37" s="176"/>
      <c r="J37" s="176"/>
      <c r="K37" s="280"/>
      <c r="L37" s="176"/>
      <c r="M37" s="176"/>
      <c r="N37" s="176"/>
      <c r="O37" s="176"/>
      <c r="P37" s="176"/>
      <c r="Q37" s="176"/>
      <c r="R37" s="176"/>
      <c r="S37" s="176"/>
      <c r="T37" s="176"/>
      <c r="U37" s="176"/>
      <c r="V37" s="176"/>
      <c r="W37" s="176"/>
      <c r="X37" s="176"/>
      <c r="Y37" s="176"/>
      <c r="Z37" s="176"/>
    </row>
    <row r="38" spans="1:26" ht="15.75" customHeight="1" x14ac:dyDescent="0.25">
      <c r="A38" s="446"/>
      <c r="B38" s="447"/>
      <c r="C38" s="448"/>
      <c r="D38" s="448"/>
      <c r="E38" s="448"/>
      <c r="F38" s="513"/>
      <c r="G38" s="500"/>
      <c r="H38" s="450"/>
      <c r="I38" s="450"/>
      <c r="J38" s="450"/>
      <c r="K38" s="451"/>
      <c r="L38" s="450"/>
      <c r="M38" s="450"/>
      <c r="N38" s="450"/>
      <c r="O38" s="450"/>
      <c r="P38" s="450"/>
      <c r="Q38" s="450"/>
      <c r="R38" s="450"/>
      <c r="S38" s="450"/>
      <c r="T38" s="450"/>
      <c r="U38" s="450"/>
      <c r="V38" s="450"/>
      <c r="W38" s="450"/>
      <c r="X38" s="450"/>
      <c r="Y38" s="450"/>
      <c r="Z38" s="450"/>
    </row>
    <row r="39" spans="1:26" ht="15.75" customHeight="1" x14ac:dyDescent="0.25">
      <c r="A39" s="456" t="s">
        <v>391</v>
      </c>
      <c r="B39" s="454"/>
      <c r="C39" s="519" t="s">
        <v>488</v>
      </c>
      <c r="D39" s="519"/>
      <c r="E39" s="519"/>
      <c r="F39" s="556"/>
      <c r="G39" s="462"/>
      <c r="H39" s="178"/>
      <c r="I39" s="178"/>
      <c r="J39" s="178"/>
      <c r="K39" s="292"/>
      <c r="L39" s="178"/>
      <c r="M39" s="178"/>
      <c r="N39" s="178"/>
      <c r="O39" s="178"/>
      <c r="P39" s="178"/>
      <c r="Q39" s="178"/>
      <c r="R39" s="178"/>
      <c r="S39" s="178"/>
      <c r="T39" s="178"/>
      <c r="U39" s="178"/>
      <c r="V39" s="178"/>
      <c r="W39" s="178"/>
      <c r="X39" s="178"/>
      <c r="Y39" s="178"/>
      <c r="Z39" s="178"/>
    </row>
    <row r="40" spans="1:26" ht="15.75" customHeight="1" x14ac:dyDescent="0.25">
      <c r="A40" s="17" t="s">
        <v>642</v>
      </c>
      <c r="B40" s="41"/>
      <c r="C40" s="43"/>
      <c r="D40" s="43"/>
      <c r="E40" s="43"/>
      <c r="F40" s="484"/>
      <c r="G40" s="462"/>
      <c r="K40" s="168"/>
    </row>
    <row r="41" spans="1:26" ht="15.75" customHeight="1" x14ac:dyDescent="0.25">
      <c r="A41" s="48" t="s">
        <v>393</v>
      </c>
      <c r="B41" s="49" t="s">
        <v>187</v>
      </c>
      <c r="C41" s="45">
        <v>22220</v>
      </c>
      <c r="D41" s="45">
        <v>0</v>
      </c>
      <c r="E41" s="45">
        <f>F41-D41</f>
        <v>100000</v>
      </c>
      <c r="F41" s="45">
        <v>100000</v>
      </c>
      <c r="G41" s="45">
        <v>100000</v>
      </c>
      <c r="K41" s="168"/>
    </row>
    <row r="42" spans="1:26" ht="15.75" customHeight="1" x14ac:dyDescent="0.25">
      <c r="A42" s="42" t="s">
        <v>493</v>
      </c>
      <c r="B42" s="49"/>
      <c r="C42" s="45"/>
      <c r="D42" s="45"/>
      <c r="E42" s="45"/>
      <c r="F42" s="45"/>
      <c r="G42" s="45"/>
      <c r="K42" s="168"/>
    </row>
    <row r="43" spans="1:26" ht="15.75" customHeight="1" x14ac:dyDescent="0.25">
      <c r="A43" s="48" t="s">
        <v>396</v>
      </c>
      <c r="B43" s="49" t="s">
        <v>191</v>
      </c>
      <c r="C43" s="45">
        <v>154215.64000000001</v>
      </c>
      <c r="D43" s="26">
        <v>154419</v>
      </c>
      <c r="E43" s="43">
        <f>F43-D43</f>
        <v>20581</v>
      </c>
      <c r="F43" s="43">
        <v>175000</v>
      </c>
      <c r="G43" s="45">
        <v>300000</v>
      </c>
      <c r="K43" s="168"/>
    </row>
    <row r="44" spans="1:26" ht="15.75" customHeight="1" x14ac:dyDescent="0.25">
      <c r="A44" s="42" t="s">
        <v>499</v>
      </c>
      <c r="B44" s="49"/>
      <c r="C44" s="45"/>
      <c r="D44" s="26"/>
      <c r="E44" s="43"/>
      <c r="F44" s="43"/>
      <c r="G44" s="45"/>
      <c r="K44" s="168"/>
    </row>
    <row r="45" spans="1:26" ht="15.75" customHeight="1" x14ac:dyDescent="0.25">
      <c r="A45" s="48" t="s">
        <v>398</v>
      </c>
      <c r="B45" s="41" t="s">
        <v>195</v>
      </c>
      <c r="C45" s="43">
        <v>124807.66</v>
      </c>
      <c r="D45" s="43">
        <v>63169.98</v>
      </c>
      <c r="E45" s="43">
        <f>F45-D45</f>
        <v>63270.02</v>
      </c>
      <c r="F45" s="43">
        <v>126440</v>
      </c>
      <c r="G45" s="43">
        <v>132216</v>
      </c>
      <c r="K45" s="168"/>
    </row>
    <row r="46" spans="1:26" ht="15.75" customHeight="1" x14ac:dyDescent="0.25">
      <c r="A46" s="74" t="s">
        <v>400</v>
      </c>
      <c r="B46" s="41" t="s">
        <v>221</v>
      </c>
      <c r="C46" s="43">
        <v>0</v>
      </c>
      <c r="D46" s="43">
        <v>98199.91</v>
      </c>
      <c r="E46" s="43">
        <v>99695.09</v>
      </c>
      <c r="F46" s="43">
        <v>197895</v>
      </c>
      <c r="G46" s="43">
        <v>37800</v>
      </c>
      <c r="H46" s="438"/>
      <c r="K46" s="168"/>
    </row>
    <row r="47" spans="1:26" ht="15.75" customHeight="1" x14ac:dyDescent="0.25">
      <c r="A47" s="48" t="s">
        <v>538</v>
      </c>
      <c r="B47" s="41" t="s">
        <v>223</v>
      </c>
      <c r="C47" s="43">
        <v>0</v>
      </c>
      <c r="D47" s="43">
        <v>0</v>
      </c>
      <c r="E47" s="43">
        <v>0</v>
      </c>
      <c r="F47" s="43">
        <v>0</v>
      </c>
      <c r="G47" s="43">
        <v>30829</v>
      </c>
      <c r="H47" s="438"/>
      <c r="K47" s="168"/>
    </row>
    <row r="48" spans="1:26" ht="15.75" customHeight="1" x14ac:dyDescent="0.25">
      <c r="A48" s="48" t="s">
        <v>402</v>
      </c>
      <c r="B48" s="41" t="s">
        <v>225</v>
      </c>
      <c r="C48" s="43">
        <v>129333.33</v>
      </c>
      <c r="D48" s="43">
        <v>42511.55</v>
      </c>
      <c r="E48" s="43">
        <f>F48-D48</f>
        <v>42524.45</v>
      </c>
      <c r="F48" s="43">
        <v>85036</v>
      </c>
      <c r="G48" s="43">
        <v>80355</v>
      </c>
      <c r="K48" s="168"/>
    </row>
    <row r="49" spans="1:11" ht="15.75" customHeight="1" x14ac:dyDescent="0.25">
      <c r="A49" s="42" t="s">
        <v>503</v>
      </c>
      <c r="B49" s="41"/>
      <c r="C49" s="43"/>
      <c r="D49" s="43"/>
      <c r="E49" s="43"/>
      <c r="F49" s="43"/>
      <c r="G49" s="45"/>
      <c r="K49" s="168"/>
    </row>
    <row r="50" spans="1:11" ht="15.75" customHeight="1" x14ac:dyDescent="0.25">
      <c r="A50" s="48" t="s">
        <v>405</v>
      </c>
      <c r="B50" s="41" t="s">
        <v>235</v>
      </c>
      <c r="C50" s="43">
        <v>24000</v>
      </c>
      <c r="D50" s="43">
        <v>15000</v>
      </c>
      <c r="E50" s="43">
        <f>F50-D50</f>
        <v>15000</v>
      </c>
      <c r="F50" s="43">
        <v>30000</v>
      </c>
      <c r="G50" s="43">
        <f>2500*12</f>
        <v>30000</v>
      </c>
      <c r="K50" s="168"/>
    </row>
    <row r="51" spans="1:11" ht="15.75" customHeight="1" x14ac:dyDescent="0.25">
      <c r="A51" s="42" t="s">
        <v>424</v>
      </c>
      <c r="B51" s="41"/>
      <c r="C51" s="43"/>
      <c r="D51" s="43"/>
      <c r="E51" s="43"/>
      <c r="F51" s="43"/>
      <c r="G51" s="43"/>
      <c r="K51" s="168"/>
    </row>
    <row r="52" spans="1:11" ht="15.75" customHeight="1" x14ac:dyDescent="0.25">
      <c r="A52" s="48" t="s">
        <v>424</v>
      </c>
      <c r="B52" s="41" t="s">
        <v>335</v>
      </c>
      <c r="C52" s="43">
        <v>316804.96000000002</v>
      </c>
      <c r="D52" s="26">
        <v>141154.48000000001</v>
      </c>
      <c r="E52" s="43">
        <f>F52-D52</f>
        <v>197605.52</v>
      </c>
      <c r="F52" s="43">
        <v>338760</v>
      </c>
      <c r="G52" s="45">
        <v>418688</v>
      </c>
      <c r="H52" s="7">
        <f>SUM(K54:K59)</f>
        <v>418688</v>
      </c>
      <c r="K52" s="168"/>
    </row>
    <row r="53" spans="1:11" ht="15.75" customHeight="1" x14ac:dyDescent="0.25">
      <c r="A53" s="48" t="s">
        <v>1487</v>
      </c>
      <c r="B53" s="20"/>
      <c r="C53" s="43"/>
      <c r="D53" s="26"/>
      <c r="E53" s="43"/>
      <c r="F53" s="443"/>
      <c r="G53" s="444"/>
      <c r="K53" s="168"/>
    </row>
    <row r="54" spans="1:11" ht="15.75" customHeight="1" x14ac:dyDescent="0.25">
      <c r="A54" s="293" t="s">
        <v>1488</v>
      </c>
      <c r="B54" s="20"/>
      <c r="C54" s="43"/>
      <c r="D54" s="26"/>
      <c r="E54" s="43"/>
      <c r="F54" s="443"/>
      <c r="G54" s="444"/>
      <c r="K54" s="168">
        <v>50000</v>
      </c>
    </row>
    <row r="55" spans="1:11" ht="15.75" customHeight="1" x14ac:dyDescent="0.25">
      <c r="A55" s="48" t="s">
        <v>1489</v>
      </c>
      <c r="B55" s="20"/>
      <c r="C55" s="43"/>
      <c r="D55" s="26"/>
      <c r="E55" s="43"/>
      <c r="F55" s="443"/>
      <c r="G55" s="444"/>
      <c r="K55" s="168">
        <v>10500</v>
      </c>
    </row>
    <row r="56" spans="1:11" ht="15.75" customHeight="1" x14ac:dyDescent="0.25">
      <c r="A56" s="48" t="s">
        <v>2776</v>
      </c>
      <c r="B56" s="20"/>
      <c r="C56" s="43"/>
      <c r="D56" s="26"/>
      <c r="E56" s="43"/>
      <c r="F56" s="443"/>
      <c r="G56" s="444"/>
      <c r="K56" s="168">
        <v>10500</v>
      </c>
    </row>
    <row r="57" spans="1:11" ht="15.75" customHeight="1" x14ac:dyDescent="0.25">
      <c r="A57" s="48" t="s">
        <v>1490</v>
      </c>
      <c r="B57" s="20"/>
      <c r="C57" s="43"/>
      <c r="D57" s="26"/>
      <c r="E57" s="43"/>
      <c r="F57" s="443"/>
      <c r="G57" s="444"/>
      <c r="K57" s="168"/>
    </row>
    <row r="58" spans="1:11" ht="15.75" customHeight="1" x14ac:dyDescent="0.25">
      <c r="A58" s="597" t="s">
        <v>1491</v>
      </c>
      <c r="B58" s="603"/>
      <c r="C58" s="457"/>
      <c r="D58" s="77"/>
      <c r="E58" s="457"/>
      <c r="F58" s="77"/>
      <c r="G58" s="445"/>
      <c r="H58" s="57">
        <v>678</v>
      </c>
      <c r="I58" s="57">
        <v>22</v>
      </c>
      <c r="J58" s="57">
        <v>12</v>
      </c>
      <c r="K58" s="168">
        <f t="shared" ref="K58:K59" si="4">H58*I58*J58</f>
        <v>178992</v>
      </c>
    </row>
    <row r="59" spans="1:11" ht="15.75" customHeight="1" x14ac:dyDescent="0.25">
      <c r="A59" s="615" t="s">
        <v>1492</v>
      </c>
      <c r="B59" s="539"/>
      <c r="C59" s="448"/>
      <c r="D59" s="497"/>
      <c r="E59" s="448"/>
      <c r="F59" s="497"/>
      <c r="G59" s="605"/>
      <c r="H59" s="57">
        <v>639</v>
      </c>
      <c r="I59" s="57">
        <v>22</v>
      </c>
      <c r="J59" s="57">
        <v>12</v>
      </c>
      <c r="K59" s="168">
        <f t="shared" si="4"/>
        <v>168696</v>
      </c>
    </row>
    <row r="60" spans="1:11" ht="15.75" customHeight="1" x14ac:dyDescent="0.25">
      <c r="A60" s="42" t="s">
        <v>672</v>
      </c>
      <c r="B60" s="20"/>
      <c r="C60" s="54">
        <f t="shared" ref="C60:G60" si="5">SUM(C41:C52)</f>
        <v>771381.59000000008</v>
      </c>
      <c r="D60" s="169">
        <f t="shared" si="5"/>
        <v>514454.92000000004</v>
      </c>
      <c r="E60" s="54">
        <f t="shared" si="5"/>
        <v>538676.07999999996</v>
      </c>
      <c r="F60" s="496">
        <f t="shared" si="5"/>
        <v>1053131</v>
      </c>
      <c r="G60" s="491">
        <f t="shared" si="5"/>
        <v>1129888</v>
      </c>
      <c r="K60" s="168"/>
    </row>
    <row r="61" spans="1:11" ht="15.75" customHeight="1" x14ac:dyDescent="0.25">
      <c r="A61" s="17"/>
      <c r="B61" s="41"/>
      <c r="C61" s="55"/>
      <c r="D61" s="163"/>
      <c r="E61" s="55"/>
      <c r="F61" s="39"/>
      <c r="G61" s="55"/>
      <c r="K61" s="168"/>
    </row>
    <row r="62" spans="1:11" ht="15.75" customHeight="1" x14ac:dyDescent="0.25">
      <c r="A62" s="17" t="s">
        <v>467</v>
      </c>
      <c r="B62" s="41"/>
      <c r="C62" s="43">
        <f t="shared" ref="C62:E62" si="6">C37+C60</f>
        <v>9264153.6099999994</v>
      </c>
      <c r="D62" s="43">
        <f t="shared" si="6"/>
        <v>4936355.4000000004</v>
      </c>
      <c r="E62" s="43">
        <f t="shared" si="6"/>
        <v>7070747.5999999996</v>
      </c>
      <c r="F62" s="43">
        <f>SUM(F60+F37)</f>
        <v>12007103</v>
      </c>
      <c r="G62" s="43">
        <f>G37+G60</f>
        <v>12735307</v>
      </c>
      <c r="K62" s="168"/>
    </row>
    <row r="63" spans="1:11" ht="15.75" customHeight="1" x14ac:dyDescent="0.25">
      <c r="A63" s="17"/>
      <c r="B63" s="41"/>
      <c r="C63" s="43"/>
      <c r="D63" s="43"/>
      <c r="E63" s="43"/>
      <c r="F63" s="43"/>
      <c r="G63" s="43"/>
      <c r="K63" s="168"/>
    </row>
    <row r="64" spans="1:11" ht="15.75" customHeight="1" x14ac:dyDescent="0.25">
      <c r="A64" s="17" t="s">
        <v>529</v>
      </c>
      <c r="B64" s="172"/>
      <c r="C64" s="43"/>
      <c r="D64" s="43"/>
      <c r="E64" s="43"/>
      <c r="F64" s="43"/>
      <c r="G64" s="43"/>
      <c r="K64" s="168"/>
    </row>
    <row r="65" spans="1:11" ht="15.75" customHeight="1" x14ac:dyDescent="0.25">
      <c r="A65" s="17" t="s">
        <v>476</v>
      </c>
      <c r="B65" s="172"/>
      <c r="C65" s="43"/>
      <c r="D65" s="43"/>
      <c r="E65" s="43"/>
      <c r="F65" s="43"/>
      <c r="G65" s="43"/>
      <c r="K65" s="168"/>
    </row>
    <row r="66" spans="1:11" ht="15.75" customHeight="1" x14ac:dyDescent="0.25">
      <c r="A66" s="44" t="s">
        <v>639</v>
      </c>
      <c r="B66" s="41" t="s">
        <v>47</v>
      </c>
      <c r="C66" s="43">
        <v>0</v>
      </c>
      <c r="D66" s="43">
        <v>0</v>
      </c>
      <c r="E66" s="43">
        <v>0</v>
      </c>
      <c r="F66" s="43">
        <v>0</v>
      </c>
      <c r="G66" s="43">
        <v>100000</v>
      </c>
      <c r="K66" s="168"/>
    </row>
    <row r="67" spans="1:11" ht="15.75" customHeight="1" x14ac:dyDescent="0.25">
      <c r="A67" s="44" t="s">
        <v>1493</v>
      </c>
      <c r="B67" s="172"/>
      <c r="C67" s="43"/>
      <c r="D67" s="43"/>
      <c r="E67" s="43"/>
      <c r="F67" s="43"/>
      <c r="G67" s="43"/>
      <c r="K67" s="168"/>
    </row>
    <row r="68" spans="1:11" ht="15.75" customHeight="1" x14ac:dyDescent="0.25">
      <c r="A68" s="17" t="s">
        <v>536</v>
      </c>
      <c r="B68" s="172"/>
      <c r="C68" s="54">
        <f t="shared" ref="C68:G68" si="7">SUM(C66)</f>
        <v>0</v>
      </c>
      <c r="D68" s="54">
        <f t="shared" si="7"/>
        <v>0</v>
      </c>
      <c r="E68" s="54">
        <f t="shared" si="7"/>
        <v>0</v>
      </c>
      <c r="F68" s="54">
        <f t="shared" si="7"/>
        <v>0</v>
      </c>
      <c r="G68" s="54">
        <f t="shared" si="7"/>
        <v>100000</v>
      </c>
      <c r="K68" s="168"/>
    </row>
    <row r="69" spans="1:11" ht="15.75" customHeight="1" x14ac:dyDescent="0.25">
      <c r="A69" s="17"/>
      <c r="B69" s="172"/>
      <c r="C69" s="43"/>
      <c r="D69" s="43"/>
      <c r="E69" s="43"/>
      <c r="F69" s="43"/>
      <c r="G69" s="43"/>
      <c r="K69" s="168"/>
    </row>
    <row r="70" spans="1:11" ht="15.75" customHeight="1" x14ac:dyDescent="0.25">
      <c r="A70" s="50" t="s">
        <v>487</v>
      </c>
      <c r="B70" s="133" t="s">
        <v>488</v>
      </c>
      <c r="C70" s="54">
        <f t="shared" ref="C70:G70" si="8">C62+C68</f>
        <v>9264153.6099999994</v>
      </c>
      <c r="D70" s="54">
        <f t="shared" si="8"/>
        <v>4936355.4000000004</v>
      </c>
      <c r="E70" s="54">
        <f t="shared" si="8"/>
        <v>7070747.5999999996</v>
      </c>
      <c r="F70" s="54">
        <f t="shared" si="8"/>
        <v>12007103</v>
      </c>
      <c r="G70" s="54">
        <f t="shared" si="8"/>
        <v>12835307</v>
      </c>
      <c r="K70" s="168"/>
    </row>
    <row r="71" spans="1:11" ht="15.75" customHeight="1" x14ac:dyDescent="0.25">
      <c r="A71" s="24"/>
      <c r="B71" s="174"/>
      <c r="C71" s="24"/>
      <c r="D71" s="24"/>
      <c r="E71" s="24"/>
      <c r="K71" s="168"/>
    </row>
    <row r="72" spans="1:11" ht="15.75" customHeight="1" x14ac:dyDescent="0.25">
      <c r="A72" s="24"/>
      <c r="B72" s="174"/>
      <c r="C72" s="24"/>
      <c r="D72" s="24"/>
      <c r="E72" s="24"/>
      <c r="K72" s="168"/>
    </row>
    <row r="73" spans="1:11" ht="15.75" customHeight="1" x14ac:dyDescent="0.25">
      <c r="A73" s="24"/>
      <c r="B73" s="174"/>
      <c r="C73" s="24"/>
      <c r="D73" s="24"/>
      <c r="E73" s="24"/>
      <c r="K73" s="168"/>
    </row>
    <row r="74" spans="1:11" ht="15.75" customHeight="1" x14ac:dyDescent="0.25">
      <c r="A74" s="24"/>
      <c r="B74" s="174"/>
      <c r="C74" s="24"/>
      <c r="D74" s="24"/>
      <c r="E74" s="24"/>
      <c r="K74" s="168"/>
    </row>
    <row r="75" spans="1:11" ht="15.75" customHeight="1" x14ac:dyDescent="0.25">
      <c r="A75" s="24"/>
      <c r="B75" s="174"/>
      <c r="C75" s="24"/>
      <c r="D75" s="24"/>
      <c r="E75" s="24"/>
      <c r="K75" s="168"/>
    </row>
    <row r="76" spans="1:11" ht="15.75" customHeight="1" x14ac:dyDescent="0.25">
      <c r="A76" s="24"/>
      <c r="B76" s="174"/>
      <c r="C76" s="24"/>
      <c r="D76" s="24"/>
      <c r="E76" s="24"/>
      <c r="K76" s="168"/>
    </row>
    <row r="77" spans="1:11" ht="15.75" customHeight="1" x14ac:dyDescent="0.25">
      <c r="A77" s="24"/>
      <c r="B77" s="174"/>
      <c r="C77" s="24"/>
      <c r="D77" s="24"/>
      <c r="E77" s="24"/>
      <c r="K77" s="168"/>
    </row>
    <row r="78" spans="1:11" ht="15.75" customHeight="1" x14ac:dyDescent="0.25">
      <c r="A78" s="24"/>
      <c r="B78" s="174"/>
      <c r="C78" s="24"/>
      <c r="D78" s="24"/>
      <c r="E78" s="24"/>
      <c r="K78" s="168"/>
    </row>
    <row r="79" spans="1:11" ht="15.75" customHeight="1" x14ac:dyDescent="0.25">
      <c r="A79" s="24"/>
      <c r="B79" s="174"/>
      <c r="C79" s="24"/>
      <c r="D79" s="24"/>
      <c r="E79" s="24"/>
      <c r="K79" s="168"/>
    </row>
    <row r="80" spans="1:11" ht="15.75" customHeight="1" x14ac:dyDescent="0.25">
      <c r="A80" s="24"/>
      <c r="B80" s="174"/>
      <c r="C80" s="24"/>
      <c r="D80" s="24"/>
      <c r="E80" s="24"/>
      <c r="K80" s="168"/>
    </row>
    <row r="81" spans="1:11" ht="15.75" customHeight="1" x14ac:dyDescent="0.25">
      <c r="A81" s="24"/>
      <c r="B81" s="174"/>
      <c r="C81" s="24"/>
      <c r="D81" s="24"/>
      <c r="E81" s="24"/>
      <c r="K81" s="168"/>
    </row>
    <row r="82" spans="1:11" ht="15.75" customHeight="1" x14ac:dyDescent="0.25">
      <c r="A82" s="24"/>
      <c r="B82" s="174"/>
      <c r="C82" s="24"/>
      <c r="D82" s="24"/>
      <c r="E82" s="24"/>
      <c r="K82" s="168"/>
    </row>
    <row r="83" spans="1:11" ht="15.75" customHeight="1" x14ac:dyDescent="0.25">
      <c r="A83" s="24"/>
      <c r="B83" s="174"/>
      <c r="C83" s="24"/>
      <c r="D83" s="24"/>
      <c r="E83" s="24"/>
      <c r="K83" s="168"/>
    </row>
    <row r="84" spans="1:11" ht="15.75" customHeight="1" x14ac:dyDescent="0.25">
      <c r="A84" s="24"/>
      <c r="B84" s="174"/>
      <c r="C84" s="24"/>
      <c r="D84" s="24"/>
      <c r="E84" s="24"/>
      <c r="K84" s="168"/>
    </row>
    <row r="85" spans="1:11" ht="15.75" customHeight="1" x14ac:dyDescent="0.25">
      <c r="A85" s="24"/>
      <c r="B85" s="174"/>
      <c r="C85" s="24"/>
      <c r="D85" s="24"/>
      <c r="E85" s="24"/>
      <c r="K85" s="168"/>
    </row>
    <row r="86" spans="1:11" ht="15.75" customHeight="1" x14ac:dyDescent="0.25">
      <c r="A86" s="24"/>
      <c r="B86" s="174"/>
      <c r="C86" s="24"/>
      <c r="D86" s="24"/>
      <c r="E86" s="24"/>
      <c r="K86" s="168"/>
    </row>
    <row r="87" spans="1:11" ht="15.75" customHeight="1" x14ac:dyDescent="0.25">
      <c r="A87" s="24"/>
      <c r="B87" s="174"/>
      <c r="C87" s="24"/>
      <c r="D87" s="24"/>
      <c r="E87" s="24"/>
      <c r="K87" s="168"/>
    </row>
    <row r="88" spans="1:11" ht="15.75" customHeight="1" x14ac:dyDescent="0.25">
      <c r="A88" s="24"/>
      <c r="B88" s="174"/>
      <c r="C88" s="24"/>
      <c r="D88" s="24"/>
      <c r="E88" s="24"/>
      <c r="K88" s="168"/>
    </row>
    <row r="89" spans="1:11" ht="15.75" customHeight="1" x14ac:dyDescent="0.25">
      <c r="A89" s="24"/>
      <c r="B89" s="174"/>
      <c r="C89" s="24"/>
      <c r="D89" s="24"/>
      <c r="E89" s="24"/>
      <c r="K89" s="168"/>
    </row>
    <row r="90" spans="1:11" ht="15.75" customHeight="1" x14ac:dyDescent="0.25">
      <c r="A90" s="24"/>
      <c r="B90" s="174"/>
      <c r="C90" s="24"/>
      <c r="D90" s="24"/>
      <c r="E90" s="24"/>
      <c r="K90" s="168"/>
    </row>
    <row r="91" spans="1:11" ht="15.75" customHeight="1" x14ac:dyDescent="0.25">
      <c r="A91" s="24"/>
      <c r="B91" s="174"/>
      <c r="C91" s="24"/>
      <c r="D91" s="24"/>
      <c r="E91" s="24"/>
      <c r="K91" s="168"/>
    </row>
    <row r="92" spans="1:11" ht="15.75" customHeight="1" x14ac:dyDescent="0.25">
      <c r="A92" s="24"/>
      <c r="B92" s="174"/>
      <c r="C92" s="24"/>
      <c r="D92" s="24"/>
      <c r="E92" s="24"/>
      <c r="K92" s="168"/>
    </row>
    <row r="93" spans="1:11" ht="15.75" customHeight="1" x14ac:dyDescent="0.25">
      <c r="A93" s="24"/>
      <c r="B93" s="174"/>
      <c r="C93" s="24"/>
      <c r="D93" s="24"/>
      <c r="E93" s="24"/>
      <c r="K93" s="168"/>
    </row>
    <row r="94" spans="1:11" ht="15.75" customHeight="1" x14ac:dyDescent="0.25">
      <c r="A94" s="24"/>
      <c r="B94" s="174"/>
      <c r="C94" s="24"/>
      <c r="D94" s="24"/>
      <c r="E94" s="24"/>
      <c r="K94" s="168"/>
    </row>
    <row r="95" spans="1:11" ht="15.75" customHeight="1" x14ac:dyDescent="0.25">
      <c r="A95" s="24"/>
      <c r="B95" s="174"/>
      <c r="C95" s="24"/>
      <c r="D95" s="24"/>
      <c r="E95" s="24"/>
      <c r="K95" s="168"/>
    </row>
    <row r="96" spans="1:11" ht="15.75" customHeight="1" x14ac:dyDescent="0.25">
      <c r="A96" s="24"/>
      <c r="B96" s="174"/>
      <c r="C96" s="24"/>
      <c r="D96" s="24"/>
      <c r="E96" s="24"/>
      <c r="K96" s="168"/>
    </row>
    <row r="97" spans="1:11" ht="15.75" customHeight="1" x14ac:dyDescent="0.25">
      <c r="A97" s="24"/>
      <c r="B97" s="174"/>
      <c r="C97" s="24"/>
      <c r="D97" s="24"/>
      <c r="E97" s="24"/>
      <c r="K97" s="168"/>
    </row>
    <row r="98" spans="1:11" ht="15.75" customHeight="1" x14ac:dyDescent="0.25">
      <c r="A98" s="24"/>
      <c r="B98" s="174"/>
      <c r="C98" s="24"/>
      <c r="D98" s="24"/>
      <c r="E98" s="24"/>
      <c r="K98" s="168"/>
    </row>
    <row r="99" spans="1:11" ht="15.75" customHeight="1" x14ac:dyDescent="0.25">
      <c r="A99" s="24"/>
      <c r="B99" s="174"/>
      <c r="C99" s="24"/>
      <c r="D99" s="24"/>
      <c r="E99" s="24"/>
      <c r="K99" s="168"/>
    </row>
    <row r="100" spans="1:11" ht="15.75" customHeight="1" x14ac:dyDescent="0.25">
      <c r="A100" s="24"/>
      <c r="B100" s="174"/>
      <c r="C100" s="24"/>
      <c r="D100" s="24"/>
      <c r="E100" s="24"/>
      <c r="K100" s="168"/>
    </row>
    <row r="101" spans="1:11" ht="15.75" customHeight="1" x14ac:dyDescent="0.25">
      <c r="A101" s="24"/>
      <c r="B101" s="174"/>
      <c r="C101" s="24"/>
      <c r="D101" s="24"/>
      <c r="E101" s="24"/>
      <c r="K101" s="168"/>
    </row>
    <row r="102" spans="1:11" ht="15.75" customHeight="1" x14ac:dyDescent="0.25">
      <c r="A102" s="24"/>
      <c r="B102" s="174"/>
      <c r="C102" s="24"/>
      <c r="D102" s="24"/>
      <c r="E102" s="24"/>
      <c r="K102" s="168"/>
    </row>
    <row r="103" spans="1:11" ht="15.75" customHeight="1" x14ac:dyDescent="0.25">
      <c r="A103" s="24"/>
      <c r="B103" s="174"/>
      <c r="C103" s="24"/>
      <c r="D103" s="24"/>
      <c r="E103" s="24"/>
      <c r="K103" s="168"/>
    </row>
    <row r="104" spans="1:11" ht="15.75" customHeight="1" x14ac:dyDescent="0.25">
      <c r="A104" s="24"/>
      <c r="B104" s="174"/>
      <c r="C104" s="24"/>
      <c r="D104" s="24"/>
      <c r="E104" s="24"/>
      <c r="K104" s="168"/>
    </row>
    <row r="105" spans="1:11" ht="15.75" customHeight="1" x14ac:dyDescent="0.25">
      <c r="A105" s="24"/>
      <c r="B105" s="174"/>
      <c r="C105" s="24"/>
      <c r="D105" s="24"/>
      <c r="E105" s="24"/>
      <c r="K105" s="168"/>
    </row>
    <row r="106" spans="1:11" ht="15.75" customHeight="1" x14ac:dyDescent="0.25">
      <c r="A106" s="24"/>
      <c r="B106" s="174"/>
      <c r="C106" s="24"/>
      <c r="D106" s="24"/>
      <c r="E106" s="24"/>
      <c r="K106" s="168"/>
    </row>
    <row r="107" spans="1:11" ht="15.75" customHeight="1" x14ac:dyDescent="0.25">
      <c r="A107" s="24"/>
      <c r="B107" s="174"/>
      <c r="C107" s="24"/>
      <c r="D107" s="24"/>
      <c r="E107" s="24"/>
      <c r="K107" s="168"/>
    </row>
    <row r="108" spans="1:11" ht="15.75" customHeight="1" x14ac:dyDescent="0.25">
      <c r="A108" s="24"/>
      <c r="B108" s="174"/>
      <c r="C108" s="24"/>
      <c r="D108" s="24"/>
      <c r="E108" s="24"/>
      <c r="K108" s="168"/>
    </row>
    <row r="109" spans="1:11" ht="15.75" customHeight="1" x14ac:dyDescent="0.25">
      <c r="A109" s="24"/>
      <c r="B109" s="174"/>
      <c r="C109" s="24"/>
      <c r="D109" s="24"/>
      <c r="E109" s="24"/>
      <c r="K109" s="168"/>
    </row>
    <row r="110" spans="1:11" ht="15.75" customHeight="1" x14ac:dyDescent="0.25">
      <c r="A110" s="24"/>
      <c r="B110" s="174"/>
      <c r="C110" s="24"/>
      <c r="D110" s="24"/>
      <c r="E110" s="24"/>
      <c r="K110" s="168"/>
    </row>
    <row r="111" spans="1:11" ht="15.75" customHeight="1" x14ac:dyDescent="0.25">
      <c r="A111" s="24"/>
      <c r="B111" s="174"/>
      <c r="C111" s="24"/>
      <c r="D111" s="24"/>
      <c r="E111" s="24"/>
      <c r="K111" s="168"/>
    </row>
    <row r="112" spans="1:11" ht="15.75" customHeight="1" x14ac:dyDescent="0.25">
      <c r="A112" s="24"/>
      <c r="B112" s="174"/>
      <c r="C112" s="24"/>
      <c r="D112" s="24"/>
      <c r="E112" s="24"/>
      <c r="K112" s="168"/>
    </row>
    <row r="113" spans="1:11" ht="15.75" customHeight="1" x14ac:dyDescent="0.25">
      <c r="A113" s="24"/>
      <c r="B113" s="174"/>
      <c r="C113" s="24"/>
      <c r="D113" s="24"/>
      <c r="E113" s="24"/>
      <c r="K113" s="168"/>
    </row>
    <row r="114" spans="1:11" ht="15.75" customHeight="1" x14ac:dyDescent="0.25">
      <c r="A114" s="24"/>
      <c r="B114" s="174"/>
      <c r="C114" s="24"/>
      <c r="D114" s="24"/>
      <c r="E114" s="24"/>
      <c r="K114" s="168"/>
    </row>
    <row r="115" spans="1:11" ht="15.75" customHeight="1" x14ac:dyDescent="0.25">
      <c r="A115" s="24"/>
      <c r="B115" s="174"/>
      <c r="C115" s="24"/>
      <c r="D115" s="24"/>
      <c r="E115" s="24"/>
      <c r="K115" s="168"/>
    </row>
    <row r="116" spans="1:11" ht="15.75" customHeight="1" x14ac:dyDescent="0.25">
      <c r="A116" s="24"/>
      <c r="B116" s="174"/>
      <c r="C116" s="24"/>
      <c r="D116" s="24"/>
      <c r="E116" s="24"/>
      <c r="K116" s="168"/>
    </row>
    <row r="117" spans="1:11" ht="15.75" customHeight="1" x14ac:dyDescent="0.25">
      <c r="A117" s="24"/>
      <c r="B117" s="174"/>
      <c r="C117" s="24"/>
      <c r="D117" s="24"/>
      <c r="E117" s="24"/>
      <c r="K117" s="168"/>
    </row>
    <row r="118" spans="1:11" ht="15.75" customHeight="1" x14ac:dyDescent="0.25">
      <c r="A118" s="24"/>
      <c r="B118" s="174"/>
      <c r="C118" s="24"/>
      <c r="D118" s="24"/>
      <c r="E118" s="24"/>
      <c r="K118" s="168"/>
    </row>
    <row r="119" spans="1:11" ht="15.75" customHeight="1" x14ac:dyDescent="0.25">
      <c r="A119" s="24"/>
      <c r="B119" s="174"/>
      <c r="C119" s="24"/>
      <c r="D119" s="24"/>
      <c r="E119" s="24"/>
      <c r="K119" s="168"/>
    </row>
    <row r="120" spans="1:11" ht="15.75" customHeight="1" x14ac:dyDescent="0.25">
      <c r="A120" s="24"/>
      <c r="B120" s="174"/>
      <c r="C120" s="24"/>
      <c r="D120" s="24"/>
      <c r="E120" s="24"/>
      <c r="K120" s="168"/>
    </row>
    <row r="121" spans="1:11" ht="15.75" customHeight="1" x14ac:dyDescent="0.25">
      <c r="A121" s="24"/>
      <c r="B121" s="174"/>
      <c r="C121" s="24"/>
      <c r="D121" s="24"/>
      <c r="E121" s="24"/>
      <c r="K121" s="168"/>
    </row>
    <row r="122" spans="1:11" ht="15.75" customHeight="1" x14ac:dyDescent="0.25">
      <c r="A122" s="24"/>
      <c r="B122" s="174"/>
      <c r="C122" s="24"/>
      <c r="D122" s="24"/>
      <c r="E122" s="24"/>
      <c r="K122" s="168"/>
    </row>
    <row r="123" spans="1:11" ht="15.75" customHeight="1" x14ac:dyDescent="0.25">
      <c r="A123" s="24"/>
      <c r="B123" s="174"/>
      <c r="C123" s="24"/>
      <c r="D123" s="24"/>
      <c r="E123" s="24"/>
      <c r="K123" s="168"/>
    </row>
    <row r="124" spans="1:11" ht="15.75" customHeight="1" x14ac:dyDescent="0.25">
      <c r="A124" s="24"/>
      <c r="B124" s="174"/>
      <c r="C124" s="24"/>
      <c r="D124" s="24"/>
      <c r="E124" s="24"/>
      <c r="K124" s="168"/>
    </row>
    <row r="125" spans="1:11" ht="15.75" customHeight="1" x14ac:dyDescent="0.25">
      <c r="A125" s="24"/>
      <c r="B125" s="174"/>
      <c r="C125" s="24"/>
      <c r="D125" s="24"/>
      <c r="E125" s="24"/>
      <c r="K125" s="168"/>
    </row>
    <row r="126" spans="1:11" ht="15.75" customHeight="1" x14ac:dyDescent="0.25">
      <c r="A126" s="24"/>
      <c r="B126" s="174"/>
      <c r="C126" s="24"/>
      <c r="D126" s="24"/>
      <c r="E126" s="24"/>
      <c r="K126" s="168"/>
    </row>
    <row r="127" spans="1:11" ht="15.75" customHeight="1" x14ac:dyDescent="0.25">
      <c r="A127" s="24"/>
      <c r="B127" s="174"/>
      <c r="C127" s="24"/>
      <c r="D127" s="24"/>
      <c r="E127" s="24"/>
      <c r="K127" s="168"/>
    </row>
    <row r="128" spans="1:11" ht="15.75" customHeight="1" x14ac:dyDescent="0.25">
      <c r="A128" s="24"/>
      <c r="B128" s="174"/>
      <c r="C128" s="24"/>
      <c r="D128" s="24"/>
      <c r="E128" s="24"/>
      <c r="K128" s="168"/>
    </row>
    <row r="129" spans="1:11" ht="15.75" customHeight="1" x14ac:dyDescent="0.25">
      <c r="A129" s="24"/>
      <c r="B129" s="174"/>
      <c r="C129" s="24"/>
      <c r="D129" s="24"/>
      <c r="E129" s="24"/>
      <c r="K129" s="168"/>
    </row>
    <row r="130" spans="1:11" ht="15.75" customHeight="1" x14ac:dyDescent="0.25">
      <c r="A130" s="24"/>
      <c r="B130" s="174"/>
      <c r="C130" s="24"/>
      <c r="D130" s="24"/>
      <c r="E130" s="24"/>
      <c r="K130" s="168"/>
    </row>
    <row r="131" spans="1:11" ht="15.75" customHeight="1" x14ac:dyDescent="0.25">
      <c r="A131" s="24"/>
      <c r="B131" s="174"/>
      <c r="C131" s="24"/>
      <c r="D131" s="24"/>
      <c r="E131" s="24"/>
      <c r="K131" s="168"/>
    </row>
    <row r="132" spans="1:11" ht="15.75" customHeight="1" x14ac:dyDescent="0.25">
      <c r="A132" s="24"/>
      <c r="B132" s="174"/>
      <c r="C132" s="24"/>
      <c r="D132" s="24"/>
      <c r="E132" s="24"/>
      <c r="K132" s="168"/>
    </row>
    <row r="133" spans="1:11" ht="15.75" customHeight="1" x14ac:dyDescent="0.25">
      <c r="A133" s="24"/>
      <c r="B133" s="174"/>
      <c r="C133" s="24"/>
      <c r="D133" s="24"/>
      <c r="E133" s="24"/>
      <c r="K133" s="168"/>
    </row>
    <row r="134" spans="1:11" ht="15.75" customHeight="1" x14ac:dyDescent="0.25">
      <c r="A134" s="24"/>
      <c r="B134" s="174"/>
      <c r="C134" s="24"/>
      <c r="D134" s="24"/>
      <c r="E134" s="24"/>
      <c r="K134" s="168"/>
    </row>
    <row r="135" spans="1:11" ht="15.75" customHeight="1" x14ac:dyDescent="0.25">
      <c r="A135" s="24"/>
      <c r="B135" s="174"/>
      <c r="C135" s="24"/>
      <c r="D135" s="24"/>
      <c r="E135" s="24"/>
      <c r="K135" s="168"/>
    </row>
    <row r="136" spans="1:11" ht="15.75" customHeight="1" x14ac:dyDescent="0.25">
      <c r="A136" s="24"/>
      <c r="B136" s="174"/>
      <c r="C136" s="24"/>
      <c r="D136" s="24"/>
      <c r="E136" s="24"/>
      <c r="K136" s="168"/>
    </row>
    <row r="137" spans="1:11" ht="15.75" customHeight="1" x14ac:dyDescent="0.25">
      <c r="A137" s="24"/>
      <c r="B137" s="174"/>
      <c r="C137" s="24"/>
      <c r="D137" s="24"/>
      <c r="E137" s="24"/>
      <c r="K137" s="168"/>
    </row>
    <row r="138" spans="1:11" ht="15.75" customHeight="1" x14ac:dyDescent="0.25">
      <c r="A138" s="24"/>
      <c r="B138" s="174"/>
      <c r="C138" s="24"/>
      <c r="D138" s="24"/>
      <c r="E138" s="24"/>
      <c r="K138" s="168"/>
    </row>
    <row r="139" spans="1:11" ht="15.75" customHeight="1" x14ac:dyDescent="0.25">
      <c r="A139" s="24"/>
      <c r="B139" s="174"/>
      <c r="C139" s="24"/>
      <c r="D139" s="24"/>
      <c r="E139" s="24"/>
      <c r="K139" s="168"/>
    </row>
    <row r="140" spans="1:11" ht="15.75" customHeight="1" x14ac:dyDescent="0.25">
      <c r="A140" s="24"/>
      <c r="B140" s="174"/>
      <c r="C140" s="24"/>
      <c r="D140" s="24"/>
      <c r="E140" s="24"/>
      <c r="K140" s="168"/>
    </row>
    <row r="141" spans="1:11" ht="15.75" customHeight="1" x14ac:dyDescent="0.25">
      <c r="A141" s="24"/>
      <c r="B141" s="174"/>
      <c r="C141" s="24"/>
      <c r="D141" s="24"/>
      <c r="E141" s="24"/>
      <c r="K141" s="168"/>
    </row>
    <row r="142" spans="1:11" ht="15.75" customHeight="1" x14ac:dyDescent="0.25">
      <c r="A142" s="24"/>
      <c r="B142" s="174"/>
      <c r="C142" s="24"/>
      <c r="D142" s="24"/>
      <c r="E142" s="24"/>
      <c r="K142" s="168"/>
    </row>
    <row r="143" spans="1:11" ht="15.75" customHeight="1" x14ac:dyDescent="0.25">
      <c r="A143" s="24"/>
      <c r="B143" s="174"/>
      <c r="C143" s="24"/>
      <c r="D143" s="24"/>
      <c r="E143" s="24"/>
      <c r="K143" s="168"/>
    </row>
    <row r="144" spans="1:11" ht="15.75" customHeight="1" x14ac:dyDescent="0.25">
      <c r="A144" s="24"/>
      <c r="B144" s="174"/>
      <c r="C144" s="24"/>
      <c r="D144" s="24"/>
      <c r="E144" s="24"/>
      <c r="K144" s="168"/>
    </row>
    <row r="145" spans="1:11" ht="15.75" customHeight="1" x14ac:dyDescent="0.25">
      <c r="A145" s="24"/>
      <c r="B145" s="174"/>
      <c r="C145" s="24"/>
      <c r="D145" s="24"/>
      <c r="E145" s="24"/>
      <c r="K145" s="168"/>
    </row>
    <row r="146" spans="1:11" ht="15.75" customHeight="1" x14ac:dyDescent="0.25">
      <c r="A146" s="24"/>
      <c r="B146" s="174"/>
      <c r="C146" s="24"/>
      <c r="D146" s="24"/>
      <c r="E146" s="24"/>
      <c r="K146" s="168"/>
    </row>
    <row r="147" spans="1:11" ht="15.75" customHeight="1" x14ac:dyDescent="0.25">
      <c r="A147" s="24"/>
      <c r="B147" s="174"/>
      <c r="C147" s="24"/>
      <c r="D147" s="24"/>
      <c r="E147" s="24"/>
      <c r="K147" s="168"/>
    </row>
    <row r="148" spans="1:11" ht="15.75" customHeight="1" x14ac:dyDescent="0.25">
      <c r="A148" s="24"/>
      <c r="B148" s="174"/>
      <c r="C148" s="24"/>
      <c r="D148" s="24"/>
      <c r="E148" s="24"/>
      <c r="K148" s="168"/>
    </row>
    <row r="149" spans="1:11" ht="15.75" customHeight="1" x14ac:dyDescent="0.25">
      <c r="A149" s="24"/>
      <c r="B149" s="174"/>
      <c r="C149" s="24"/>
      <c r="D149" s="24"/>
      <c r="E149" s="24"/>
      <c r="K149" s="168"/>
    </row>
    <row r="150" spans="1:11" ht="15.75" customHeight="1" x14ac:dyDescent="0.25">
      <c r="A150" s="24"/>
      <c r="B150" s="174"/>
      <c r="C150" s="24"/>
      <c r="D150" s="24"/>
      <c r="E150" s="24"/>
      <c r="K150" s="168"/>
    </row>
    <row r="151" spans="1:11" ht="15.75" customHeight="1" x14ac:dyDescent="0.25">
      <c r="A151" s="24"/>
      <c r="B151" s="174"/>
      <c r="C151" s="24"/>
      <c r="D151" s="24"/>
      <c r="E151" s="24"/>
      <c r="K151" s="168"/>
    </row>
    <row r="152" spans="1:11" ht="15.75" customHeight="1" x14ac:dyDescent="0.25">
      <c r="A152" s="24"/>
      <c r="B152" s="174"/>
      <c r="C152" s="24"/>
      <c r="D152" s="24"/>
      <c r="E152" s="24"/>
      <c r="K152" s="168"/>
    </row>
    <row r="153" spans="1:11" ht="15.75" customHeight="1" x14ac:dyDescent="0.25">
      <c r="A153" s="24"/>
      <c r="B153" s="174"/>
      <c r="C153" s="24"/>
      <c r="D153" s="24"/>
      <c r="E153" s="24"/>
      <c r="K153" s="168"/>
    </row>
    <row r="154" spans="1:11" ht="15.75" customHeight="1" x14ac:dyDescent="0.25">
      <c r="A154" s="24"/>
      <c r="B154" s="174"/>
      <c r="C154" s="24"/>
      <c r="D154" s="24"/>
      <c r="E154" s="24"/>
      <c r="K154" s="168"/>
    </row>
    <row r="155" spans="1:11" ht="15.75" customHeight="1" x14ac:dyDescent="0.25">
      <c r="A155" s="24"/>
      <c r="B155" s="174"/>
      <c r="C155" s="24"/>
      <c r="D155" s="24"/>
      <c r="E155" s="24"/>
      <c r="K155" s="168"/>
    </row>
    <row r="156" spans="1:11" ht="15.75" customHeight="1" x14ac:dyDescent="0.25">
      <c r="A156" s="24"/>
      <c r="B156" s="174"/>
      <c r="C156" s="24"/>
      <c r="D156" s="24"/>
      <c r="E156" s="24"/>
      <c r="K156" s="168"/>
    </row>
    <row r="157" spans="1:11" ht="15.75" customHeight="1" x14ac:dyDescent="0.25">
      <c r="A157" s="24"/>
      <c r="B157" s="174"/>
      <c r="C157" s="24"/>
      <c r="D157" s="24"/>
      <c r="E157" s="24"/>
      <c r="K157" s="168"/>
    </row>
    <row r="158" spans="1:11" ht="15.75" customHeight="1" x14ac:dyDescent="0.25">
      <c r="A158" s="24"/>
      <c r="B158" s="174"/>
      <c r="C158" s="24"/>
      <c r="D158" s="24"/>
      <c r="E158" s="24"/>
      <c r="K158" s="168"/>
    </row>
    <row r="159" spans="1:11" ht="15.75" customHeight="1" x14ac:dyDescent="0.25">
      <c r="A159" s="24"/>
      <c r="B159" s="174"/>
      <c r="C159" s="24"/>
      <c r="D159" s="24"/>
      <c r="E159" s="24"/>
      <c r="K159" s="168"/>
    </row>
    <row r="160" spans="1:11" ht="15.75" customHeight="1" x14ac:dyDescent="0.25">
      <c r="A160" s="24"/>
      <c r="B160" s="174"/>
      <c r="C160" s="24"/>
      <c r="D160" s="24"/>
      <c r="E160" s="24"/>
      <c r="K160" s="168"/>
    </row>
    <row r="161" spans="1:11" ht="15.75" customHeight="1" x14ac:dyDescent="0.25">
      <c r="A161" s="24"/>
      <c r="B161" s="174"/>
      <c r="C161" s="24"/>
      <c r="D161" s="24"/>
      <c r="E161" s="24"/>
      <c r="K161" s="168"/>
    </row>
    <row r="162" spans="1:11" ht="15.75" customHeight="1" x14ac:dyDescent="0.25">
      <c r="A162" s="24"/>
      <c r="B162" s="174"/>
      <c r="C162" s="24"/>
      <c r="D162" s="24"/>
      <c r="E162" s="24"/>
      <c r="K162" s="168"/>
    </row>
    <row r="163" spans="1:11" ht="15.75" customHeight="1" x14ac:dyDescent="0.25">
      <c r="A163" s="24"/>
      <c r="B163" s="174"/>
      <c r="C163" s="24"/>
      <c r="D163" s="24"/>
      <c r="E163" s="24"/>
      <c r="K163" s="168"/>
    </row>
    <row r="164" spans="1:11" ht="15.75" customHeight="1" x14ac:dyDescent="0.25">
      <c r="A164" s="24"/>
      <c r="B164" s="174"/>
      <c r="C164" s="24"/>
      <c r="D164" s="24"/>
      <c r="E164" s="24"/>
      <c r="K164" s="168"/>
    </row>
    <row r="165" spans="1:11" ht="15.75" customHeight="1" x14ac:dyDescent="0.25">
      <c r="A165" s="24"/>
      <c r="B165" s="174"/>
      <c r="C165" s="24"/>
      <c r="D165" s="24"/>
      <c r="E165" s="24"/>
      <c r="K165" s="168"/>
    </row>
    <row r="166" spans="1:11" ht="15.75" customHeight="1" x14ac:dyDescent="0.25">
      <c r="A166" s="24"/>
      <c r="B166" s="174"/>
      <c r="C166" s="24"/>
      <c r="D166" s="24"/>
      <c r="E166" s="24"/>
      <c r="K166" s="168"/>
    </row>
    <row r="167" spans="1:11" ht="15.75" customHeight="1" x14ac:dyDescent="0.25">
      <c r="A167" s="24"/>
      <c r="B167" s="174"/>
      <c r="C167" s="24"/>
      <c r="D167" s="24"/>
      <c r="E167" s="24"/>
      <c r="K167" s="168"/>
    </row>
    <row r="168" spans="1:11" ht="15.75" customHeight="1" x14ac:dyDescent="0.25">
      <c r="A168" s="24"/>
      <c r="B168" s="174"/>
      <c r="C168" s="24"/>
      <c r="D168" s="24"/>
      <c r="E168" s="24"/>
      <c r="K168" s="168"/>
    </row>
    <row r="169" spans="1:11" ht="15.75" customHeight="1" x14ac:dyDescent="0.25">
      <c r="A169" s="24"/>
      <c r="B169" s="174"/>
      <c r="C169" s="24"/>
      <c r="D169" s="24"/>
      <c r="E169" s="24"/>
      <c r="K169" s="168"/>
    </row>
    <row r="170" spans="1:11" ht="15.75" customHeight="1" x14ac:dyDescent="0.25">
      <c r="A170" s="24"/>
      <c r="B170" s="174"/>
      <c r="C170" s="24"/>
      <c r="D170" s="24"/>
      <c r="E170" s="24"/>
      <c r="K170" s="168"/>
    </row>
    <row r="171" spans="1:11" ht="15.75" customHeight="1" x14ac:dyDescent="0.25">
      <c r="A171" s="24"/>
      <c r="B171" s="174"/>
      <c r="C171" s="24"/>
      <c r="D171" s="24"/>
      <c r="E171" s="24"/>
      <c r="K171" s="168"/>
    </row>
    <row r="172" spans="1:11" ht="15.75" customHeight="1" x14ac:dyDescent="0.25">
      <c r="A172" s="24"/>
      <c r="B172" s="174"/>
      <c r="C172" s="24"/>
      <c r="D172" s="24"/>
      <c r="E172" s="24"/>
      <c r="K172" s="168"/>
    </row>
    <row r="173" spans="1:11" ht="15.75" customHeight="1" x14ac:dyDescent="0.25">
      <c r="A173" s="24"/>
      <c r="B173" s="174"/>
      <c r="C173" s="24"/>
      <c r="D173" s="24"/>
      <c r="E173" s="24"/>
      <c r="K173" s="168"/>
    </row>
    <row r="174" spans="1:11" ht="15.75" customHeight="1" x14ac:dyDescent="0.25">
      <c r="A174" s="24"/>
      <c r="B174" s="174"/>
      <c r="C174" s="24"/>
      <c r="D174" s="24"/>
      <c r="E174" s="24"/>
      <c r="K174" s="168"/>
    </row>
    <row r="175" spans="1:11" ht="15.75" customHeight="1" x14ac:dyDescent="0.25">
      <c r="A175" s="24"/>
      <c r="B175" s="174"/>
      <c r="C175" s="24"/>
      <c r="D175" s="24"/>
      <c r="E175" s="24"/>
      <c r="K175" s="168"/>
    </row>
    <row r="176" spans="1:11" ht="15.75" customHeight="1" x14ac:dyDescent="0.25">
      <c r="A176" s="24"/>
      <c r="B176" s="174"/>
      <c r="C176" s="24"/>
      <c r="D176" s="24"/>
      <c r="E176" s="24"/>
      <c r="K176" s="168"/>
    </row>
    <row r="177" spans="1:11" ht="15.75" customHeight="1" x14ac:dyDescent="0.25">
      <c r="A177" s="24"/>
      <c r="B177" s="174"/>
      <c r="C177" s="24"/>
      <c r="D177" s="24"/>
      <c r="E177" s="24"/>
      <c r="K177" s="168"/>
    </row>
    <row r="178" spans="1:11" ht="15.75" customHeight="1" x14ac:dyDescent="0.25">
      <c r="A178" s="24"/>
      <c r="B178" s="174"/>
      <c r="C178" s="24"/>
      <c r="D178" s="24"/>
      <c r="E178" s="24"/>
      <c r="K178" s="168"/>
    </row>
    <row r="179" spans="1:11" ht="15.75" customHeight="1" x14ac:dyDescent="0.25">
      <c r="A179" s="24"/>
      <c r="B179" s="174"/>
      <c r="C179" s="24"/>
      <c r="D179" s="24"/>
      <c r="E179" s="24"/>
      <c r="K179" s="168"/>
    </row>
    <row r="180" spans="1:11" ht="15.75" customHeight="1" x14ac:dyDescent="0.25">
      <c r="A180" s="24"/>
      <c r="B180" s="174"/>
      <c r="C180" s="24"/>
      <c r="D180" s="24"/>
      <c r="E180" s="24"/>
      <c r="K180" s="168"/>
    </row>
    <row r="181" spans="1:11" ht="15.75" customHeight="1" x14ac:dyDescent="0.25">
      <c r="A181" s="24"/>
      <c r="B181" s="174"/>
      <c r="C181" s="24"/>
      <c r="D181" s="24"/>
      <c r="E181" s="24"/>
      <c r="K181" s="168"/>
    </row>
    <row r="182" spans="1:11" ht="15.75" customHeight="1" x14ac:dyDescent="0.25">
      <c r="A182" s="24"/>
      <c r="B182" s="174"/>
      <c r="C182" s="24"/>
      <c r="D182" s="24"/>
      <c r="E182" s="24"/>
      <c r="K182" s="168"/>
    </row>
    <row r="183" spans="1:11" ht="15.75" customHeight="1" x14ac:dyDescent="0.25">
      <c r="A183" s="24"/>
      <c r="B183" s="174"/>
      <c r="C183" s="24"/>
      <c r="D183" s="24"/>
      <c r="E183" s="24"/>
      <c r="K183" s="168"/>
    </row>
    <row r="184" spans="1:11" ht="15.75" customHeight="1" x14ac:dyDescent="0.25">
      <c r="A184" s="24"/>
      <c r="B184" s="174"/>
      <c r="C184" s="24"/>
      <c r="D184" s="24"/>
      <c r="E184" s="24"/>
      <c r="K184" s="168"/>
    </row>
    <row r="185" spans="1:11" ht="15.75" customHeight="1" x14ac:dyDescent="0.25">
      <c r="A185" s="24"/>
      <c r="B185" s="174"/>
      <c r="C185" s="24"/>
      <c r="D185" s="24"/>
      <c r="E185" s="24"/>
      <c r="K185" s="168"/>
    </row>
    <row r="186" spans="1:11" ht="15.75" customHeight="1" x14ac:dyDescent="0.25">
      <c r="A186" s="24"/>
      <c r="B186" s="174"/>
      <c r="C186" s="24"/>
      <c r="D186" s="24"/>
      <c r="E186" s="24"/>
      <c r="K186" s="168"/>
    </row>
    <row r="187" spans="1:11" ht="15.75" customHeight="1" x14ac:dyDescent="0.25">
      <c r="A187" s="24"/>
      <c r="B187" s="174"/>
      <c r="C187" s="24"/>
      <c r="D187" s="24"/>
      <c r="E187" s="24"/>
      <c r="K187" s="168"/>
    </row>
    <row r="188" spans="1:11" ht="15.75" customHeight="1" x14ac:dyDescent="0.25">
      <c r="A188" s="24"/>
      <c r="B188" s="174"/>
      <c r="C188" s="24"/>
      <c r="D188" s="24"/>
      <c r="E188" s="24"/>
      <c r="K188" s="168"/>
    </row>
    <row r="189" spans="1:11" ht="15.75" customHeight="1" x14ac:dyDescent="0.25">
      <c r="A189" s="24"/>
      <c r="B189" s="174"/>
      <c r="C189" s="24"/>
      <c r="D189" s="24"/>
      <c r="E189" s="24"/>
      <c r="K189" s="168"/>
    </row>
    <row r="190" spans="1:11" ht="15.75" customHeight="1" x14ac:dyDescent="0.25">
      <c r="A190" s="24"/>
      <c r="B190" s="174"/>
      <c r="C190" s="24"/>
      <c r="D190" s="24"/>
      <c r="E190" s="24"/>
      <c r="K190" s="168"/>
    </row>
    <row r="191" spans="1:11" ht="15.75" customHeight="1" x14ac:dyDescent="0.25">
      <c r="A191" s="24"/>
      <c r="B191" s="174"/>
      <c r="C191" s="24"/>
      <c r="D191" s="24"/>
      <c r="E191" s="24"/>
      <c r="K191" s="168"/>
    </row>
    <row r="192" spans="1:11" ht="15.75" customHeight="1" x14ac:dyDescent="0.25">
      <c r="A192" s="24"/>
      <c r="B192" s="174"/>
      <c r="C192" s="24"/>
      <c r="D192" s="24"/>
      <c r="E192" s="24"/>
      <c r="K192" s="168"/>
    </row>
    <row r="193" spans="1:11" ht="15.75" customHeight="1" x14ac:dyDescent="0.25">
      <c r="A193" s="24"/>
      <c r="B193" s="174"/>
      <c r="C193" s="24"/>
      <c r="D193" s="24"/>
      <c r="E193" s="24"/>
      <c r="K193" s="168"/>
    </row>
    <row r="194" spans="1:11" ht="15.75" customHeight="1" x14ac:dyDescent="0.25">
      <c r="A194" s="24"/>
      <c r="B194" s="174"/>
      <c r="C194" s="24"/>
      <c r="D194" s="24"/>
      <c r="E194" s="24"/>
      <c r="K194" s="168"/>
    </row>
    <row r="195" spans="1:11" ht="15.75" customHeight="1" x14ac:dyDescent="0.25">
      <c r="A195" s="24"/>
      <c r="B195" s="174"/>
      <c r="C195" s="24"/>
      <c r="D195" s="24"/>
      <c r="E195" s="24"/>
      <c r="K195" s="168"/>
    </row>
    <row r="196" spans="1:11" ht="15.75" customHeight="1" x14ac:dyDescent="0.25">
      <c r="A196" s="24"/>
      <c r="B196" s="174"/>
      <c r="C196" s="24"/>
      <c r="D196" s="24"/>
      <c r="E196" s="24"/>
      <c r="K196" s="168"/>
    </row>
    <row r="197" spans="1:11" ht="15.75" customHeight="1" x14ac:dyDescent="0.25">
      <c r="A197" s="24"/>
      <c r="B197" s="174"/>
      <c r="C197" s="24"/>
      <c r="D197" s="24"/>
      <c r="E197" s="24"/>
      <c r="K197" s="168"/>
    </row>
    <row r="198" spans="1:11" ht="15.75" customHeight="1" x14ac:dyDescent="0.25">
      <c r="A198" s="24"/>
      <c r="B198" s="174"/>
      <c r="C198" s="24"/>
      <c r="D198" s="24"/>
      <c r="E198" s="24"/>
      <c r="K198" s="168"/>
    </row>
    <row r="199" spans="1:11" ht="15.75" customHeight="1" x14ac:dyDescent="0.25">
      <c r="A199" s="24"/>
      <c r="B199" s="174"/>
      <c r="C199" s="24"/>
      <c r="D199" s="24"/>
      <c r="E199" s="24"/>
      <c r="K199" s="168"/>
    </row>
    <row r="200" spans="1:11" ht="15.75" customHeight="1" x14ac:dyDescent="0.25">
      <c r="A200" s="24"/>
      <c r="B200" s="174"/>
      <c r="C200" s="24"/>
      <c r="D200" s="24"/>
      <c r="E200" s="24"/>
      <c r="K200" s="168"/>
    </row>
    <row r="201" spans="1:11" ht="15.75" customHeight="1" x14ac:dyDescent="0.25">
      <c r="A201" s="24"/>
      <c r="B201" s="174"/>
      <c r="C201" s="24"/>
      <c r="D201" s="24"/>
      <c r="E201" s="24"/>
      <c r="K201" s="168"/>
    </row>
    <row r="202" spans="1:11" ht="15.75" customHeight="1" x14ac:dyDescent="0.25">
      <c r="A202" s="24"/>
      <c r="B202" s="174"/>
      <c r="C202" s="24"/>
      <c r="D202" s="24"/>
      <c r="E202" s="24"/>
      <c r="K202" s="168"/>
    </row>
    <row r="203" spans="1:11" ht="15.75" customHeight="1" x14ac:dyDescent="0.25">
      <c r="A203" s="24"/>
      <c r="B203" s="174"/>
      <c r="C203" s="24"/>
      <c r="D203" s="24"/>
      <c r="E203" s="24"/>
      <c r="K203" s="168"/>
    </row>
    <row r="204" spans="1:11" ht="15.75" customHeight="1" x14ac:dyDescent="0.25">
      <c r="A204" s="24"/>
      <c r="B204" s="174"/>
      <c r="C204" s="24"/>
      <c r="D204" s="24"/>
      <c r="E204" s="24"/>
      <c r="K204" s="168"/>
    </row>
    <row r="205" spans="1:11" ht="15.75" customHeight="1" x14ac:dyDescent="0.25">
      <c r="A205" s="24"/>
      <c r="B205" s="174"/>
      <c r="C205" s="24"/>
      <c r="D205" s="24"/>
      <c r="E205" s="24"/>
      <c r="K205" s="168"/>
    </row>
    <row r="206" spans="1:11" ht="15.75" customHeight="1" x14ac:dyDescent="0.25">
      <c r="A206" s="24"/>
      <c r="B206" s="174"/>
      <c r="C206" s="24"/>
      <c r="D206" s="24"/>
      <c r="E206" s="24"/>
      <c r="K206" s="168"/>
    </row>
    <row r="207" spans="1:11" ht="15.75" customHeight="1" x14ac:dyDescent="0.25">
      <c r="A207" s="24"/>
      <c r="B207" s="174"/>
      <c r="C207" s="24"/>
      <c r="D207" s="24"/>
      <c r="E207" s="24"/>
      <c r="K207" s="168"/>
    </row>
    <row r="208" spans="1:11" ht="15.75" customHeight="1" x14ac:dyDescent="0.25">
      <c r="A208" s="24"/>
      <c r="B208" s="174"/>
      <c r="C208" s="24"/>
      <c r="D208" s="24"/>
      <c r="E208" s="24"/>
      <c r="K208" s="168"/>
    </row>
    <row r="209" spans="1:11" ht="15.75" customHeight="1" x14ac:dyDescent="0.25">
      <c r="A209" s="24"/>
      <c r="B209" s="174"/>
      <c r="C209" s="24"/>
      <c r="D209" s="24"/>
      <c r="E209" s="24"/>
      <c r="K209" s="168"/>
    </row>
    <row r="210" spans="1:11" ht="15.75" customHeight="1" x14ac:dyDescent="0.25">
      <c r="A210" s="24"/>
      <c r="B210" s="174"/>
      <c r="C210" s="24"/>
      <c r="D210" s="24"/>
      <c r="E210" s="24"/>
      <c r="K210" s="168"/>
    </row>
    <row r="211" spans="1:11" ht="15.75" customHeight="1" x14ac:dyDescent="0.25">
      <c r="A211" s="24"/>
      <c r="B211" s="174"/>
      <c r="C211" s="24"/>
      <c r="D211" s="24"/>
      <c r="E211" s="24"/>
      <c r="K211" s="168"/>
    </row>
    <row r="212" spans="1:11" ht="15.75" customHeight="1" x14ac:dyDescent="0.25">
      <c r="A212" s="24"/>
      <c r="B212" s="174"/>
      <c r="C212" s="24"/>
      <c r="D212" s="24"/>
      <c r="E212" s="24"/>
      <c r="K212" s="168"/>
    </row>
    <row r="213" spans="1:11" ht="15.75" customHeight="1" x14ac:dyDescent="0.25">
      <c r="A213" s="24"/>
      <c r="B213" s="174"/>
      <c r="C213" s="24"/>
      <c r="D213" s="24"/>
      <c r="E213" s="24"/>
      <c r="K213" s="168"/>
    </row>
    <row r="214" spans="1:11" ht="15.75" customHeight="1" x14ac:dyDescent="0.25">
      <c r="A214" s="24"/>
      <c r="B214" s="174"/>
      <c r="C214" s="24"/>
      <c r="D214" s="24"/>
      <c r="E214" s="24"/>
      <c r="K214" s="168"/>
    </row>
    <row r="215" spans="1:11" ht="15.75" customHeight="1" x14ac:dyDescent="0.25">
      <c r="A215" s="24"/>
      <c r="B215" s="174"/>
      <c r="C215" s="24"/>
      <c r="D215" s="24"/>
      <c r="E215" s="24"/>
      <c r="K215" s="168"/>
    </row>
    <row r="216" spans="1:11" ht="15.75" customHeight="1" x14ac:dyDescent="0.25">
      <c r="A216" s="24"/>
      <c r="B216" s="174"/>
      <c r="C216" s="24"/>
      <c r="D216" s="24"/>
      <c r="E216" s="24"/>
      <c r="K216" s="168"/>
    </row>
    <row r="217" spans="1:11" ht="15.75" customHeight="1" x14ac:dyDescent="0.25">
      <c r="A217" s="24"/>
      <c r="B217" s="174"/>
      <c r="C217" s="24"/>
      <c r="D217" s="24"/>
      <c r="E217" s="24"/>
      <c r="K217" s="168"/>
    </row>
    <row r="218" spans="1:11" ht="15.75" customHeight="1" x14ac:dyDescent="0.25">
      <c r="A218" s="24"/>
      <c r="B218" s="174"/>
      <c r="C218" s="24"/>
      <c r="D218" s="24"/>
      <c r="E218" s="24"/>
      <c r="K218" s="168"/>
    </row>
    <row r="219" spans="1:11" ht="15.75" customHeight="1" x14ac:dyDescent="0.25">
      <c r="A219" s="24"/>
      <c r="B219" s="174"/>
      <c r="C219" s="24"/>
      <c r="D219" s="24"/>
      <c r="E219" s="24"/>
      <c r="K219" s="168"/>
    </row>
    <row r="220" spans="1:11" ht="15.75" customHeight="1" x14ac:dyDescent="0.25">
      <c r="A220" s="24"/>
      <c r="B220" s="174"/>
      <c r="C220" s="24"/>
      <c r="D220" s="24"/>
      <c r="E220" s="24"/>
      <c r="K220" s="168"/>
    </row>
    <row r="221" spans="1:11" ht="15.75" customHeight="1" x14ac:dyDescent="0.25">
      <c r="A221" s="24"/>
      <c r="B221" s="174"/>
      <c r="C221" s="24"/>
      <c r="D221" s="24"/>
      <c r="E221" s="24"/>
      <c r="K221" s="168"/>
    </row>
    <row r="222" spans="1:11" ht="15.75" customHeight="1" x14ac:dyDescent="0.25">
      <c r="A222" s="24"/>
      <c r="B222" s="174"/>
      <c r="C222" s="24"/>
      <c r="D222" s="24"/>
      <c r="E222" s="24"/>
      <c r="K222" s="168"/>
    </row>
    <row r="223" spans="1:11" ht="15.75" customHeight="1" x14ac:dyDescent="0.25">
      <c r="A223" s="24"/>
      <c r="B223" s="174"/>
      <c r="C223" s="24"/>
      <c r="D223" s="24"/>
      <c r="E223" s="24"/>
      <c r="K223" s="168"/>
    </row>
    <row r="224" spans="1:11" ht="15.75" customHeight="1" x14ac:dyDescent="0.25">
      <c r="A224" s="24"/>
      <c r="B224" s="174"/>
      <c r="C224" s="24"/>
      <c r="D224" s="24"/>
      <c r="E224" s="24"/>
      <c r="K224" s="168"/>
    </row>
    <row r="225" spans="1:11" ht="15.75" customHeight="1" x14ac:dyDescent="0.25">
      <c r="A225" s="24"/>
      <c r="B225" s="174"/>
      <c r="C225" s="24"/>
      <c r="D225" s="24"/>
      <c r="E225" s="24"/>
      <c r="K225" s="168"/>
    </row>
    <row r="226" spans="1:11" ht="15.75" customHeight="1" x14ac:dyDescent="0.25">
      <c r="A226" s="24"/>
      <c r="B226" s="174"/>
      <c r="C226" s="24"/>
      <c r="D226" s="24"/>
      <c r="E226" s="24"/>
      <c r="K226" s="168"/>
    </row>
    <row r="227" spans="1:11" ht="15.75" customHeight="1" x14ac:dyDescent="0.25">
      <c r="A227" s="24"/>
      <c r="B227" s="174"/>
      <c r="C227" s="24"/>
      <c r="D227" s="24"/>
      <c r="E227" s="24"/>
      <c r="K227" s="168"/>
    </row>
    <row r="228" spans="1:11" ht="15.75" customHeight="1" x14ac:dyDescent="0.25">
      <c r="A228" s="24"/>
      <c r="B228" s="174"/>
      <c r="C228" s="24"/>
      <c r="D228" s="24"/>
      <c r="E228" s="24"/>
      <c r="K228" s="168"/>
    </row>
    <row r="229" spans="1:11" ht="15.75" customHeight="1" x14ac:dyDescent="0.25">
      <c r="A229" s="24"/>
      <c r="B229" s="174"/>
      <c r="C229" s="24"/>
      <c r="D229" s="24"/>
      <c r="E229" s="24"/>
      <c r="K229" s="168"/>
    </row>
    <row r="230" spans="1:11" ht="15.75" customHeight="1" x14ac:dyDescent="0.25">
      <c r="A230" s="24"/>
      <c r="B230" s="174"/>
      <c r="C230" s="24"/>
      <c r="D230" s="24"/>
      <c r="E230" s="24"/>
      <c r="K230" s="168"/>
    </row>
    <row r="231" spans="1:11" ht="15.75" customHeight="1" x14ac:dyDescent="0.25">
      <c r="A231" s="24"/>
      <c r="B231" s="174"/>
      <c r="C231" s="24"/>
      <c r="D231" s="24"/>
      <c r="E231" s="24"/>
      <c r="K231" s="168"/>
    </row>
    <row r="232" spans="1:11" ht="15.75" customHeight="1" x14ac:dyDescent="0.25">
      <c r="A232" s="24"/>
      <c r="B232" s="174"/>
      <c r="C232" s="24"/>
      <c r="D232" s="24"/>
      <c r="E232" s="24"/>
      <c r="K232" s="168"/>
    </row>
    <row r="233" spans="1:11" ht="15.75" customHeight="1" x14ac:dyDescent="0.25">
      <c r="A233" s="24"/>
      <c r="B233" s="174"/>
      <c r="C233" s="24"/>
      <c r="D233" s="24"/>
      <c r="E233" s="24"/>
      <c r="K233" s="168"/>
    </row>
    <row r="234" spans="1:11" ht="15.75" customHeight="1" x14ac:dyDescent="0.25">
      <c r="A234" s="24"/>
      <c r="B234" s="174"/>
      <c r="C234" s="24"/>
      <c r="D234" s="24"/>
      <c r="E234" s="24"/>
      <c r="K234" s="168"/>
    </row>
    <row r="235" spans="1:11" ht="15.75" customHeight="1" x14ac:dyDescent="0.25">
      <c r="A235" s="24"/>
      <c r="B235" s="174"/>
      <c r="C235" s="24"/>
      <c r="D235" s="24"/>
      <c r="E235" s="24"/>
      <c r="K235" s="168"/>
    </row>
    <row r="236" spans="1:11" ht="15.75" customHeight="1" x14ac:dyDescent="0.25">
      <c r="A236" s="24"/>
      <c r="B236" s="174"/>
      <c r="C236" s="24"/>
      <c r="D236" s="24"/>
      <c r="E236" s="24"/>
      <c r="K236" s="168"/>
    </row>
    <row r="237" spans="1:11" ht="15.75" customHeight="1" x14ac:dyDescent="0.25">
      <c r="A237" s="24"/>
      <c r="B237" s="174"/>
      <c r="C237" s="24"/>
      <c r="D237" s="24"/>
      <c r="E237" s="24"/>
      <c r="K237" s="168"/>
    </row>
    <row r="238" spans="1:11" ht="15.75" customHeight="1" x14ac:dyDescent="0.25">
      <c r="A238" s="24"/>
      <c r="B238" s="174"/>
      <c r="C238" s="24"/>
      <c r="D238" s="24"/>
      <c r="E238" s="24"/>
      <c r="K238" s="168"/>
    </row>
    <row r="239" spans="1:11" ht="15.75" customHeight="1" x14ac:dyDescent="0.25">
      <c r="A239" s="24"/>
      <c r="B239" s="174"/>
      <c r="C239" s="24"/>
      <c r="D239" s="24"/>
      <c r="E239" s="24"/>
      <c r="K239" s="168"/>
    </row>
    <row r="240" spans="1:11" ht="15.75" customHeight="1" x14ac:dyDescent="0.25">
      <c r="A240" s="24"/>
      <c r="B240" s="174"/>
      <c r="C240" s="24"/>
      <c r="D240" s="24"/>
      <c r="E240" s="24"/>
      <c r="K240" s="168"/>
    </row>
    <row r="241" spans="1:11" ht="15.75" customHeight="1" x14ac:dyDescent="0.25">
      <c r="A241" s="24"/>
      <c r="B241" s="174"/>
      <c r="C241" s="24"/>
      <c r="D241" s="24"/>
      <c r="E241" s="24"/>
      <c r="K241" s="168"/>
    </row>
    <row r="242" spans="1:11" ht="15.75" customHeight="1" x14ac:dyDescent="0.25">
      <c r="A242" s="24"/>
      <c r="B242" s="174"/>
      <c r="C242" s="24"/>
      <c r="D242" s="24"/>
      <c r="E242" s="24"/>
      <c r="K242" s="168"/>
    </row>
    <row r="243" spans="1:11" ht="15.75" customHeight="1" x14ac:dyDescent="0.25">
      <c r="A243" s="24"/>
      <c r="B243" s="174"/>
      <c r="C243" s="24"/>
      <c r="D243" s="24"/>
      <c r="E243" s="24"/>
      <c r="K243" s="168"/>
    </row>
    <row r="244" spans="1:11" ht="15.75" customHeight="1" x14ac:dyDescent="0.25">
      <c r="A244" s="24"/>
      <c r="B244" s="174"/>
      <c r="C244" s="24"/>
      <c r="D244" s="24"/>
      <c r="E244" s="24"/>
      <c r="K244" s="168"/>
    </row>
    <row r="245" spans="1:11" ht="15.75" customHeight="1" x14ac:dyDescent="0.25">
      <c r="A245" s="24"/>
      <c r="B245" s="174"/>
      <c r="C245" s="24"/>
      <c r="D245" s="24"/>
      <c r="E245" s="24"/>
      <c r="K245" s="168"/>
    </row>
    <row r="246" spans="1:11" ht="15.75" customHeight="1" x14ac:dyDescent="0.25">
      <c r="A246" s="24"/>
      <c r="B246" s="174"/>
      <c r="C246" s="24"/>
      <c r="D246" s="24"/>
      <c r="E246" s="24"/>
      <c r="K246" s="168"/>
    </row>
    <row r="247" spans="1:11" ht="15.75" customHeight="1" x14ac:dyDescent="0.25">
      <c r="A247" s="24"/>
      <c r="B247" s="174"/>
      <c r="C247" s="24"/>
      <c r="D247" s="24"/>
      <c r="E247" s="24"/>
      <c r="K247" s="168"/>
    </row>
    <row r="248" spans="1:11" ht="15.75" customHeight="1" x14ac:dyDescent="0.25">
      <c r="A248" s="24"/>
      <c r="B248" s="174"/>
      <c r="C248" s="24"/>
      <c r="D248" s="24"/>
      <c r="E248" s="24"/>
      <c r="K248" s="168"/>
    </row>
    <row r="249" spans="1:11" ht="15.75" customHeight="1" x14ac:dyDescent="0.25">
      <c r="A249" s="24"/>
      <c r="B249" s="174"/>
      <c r="C249" s="24"/>
      <c r="D249" s="24"/>
      <c r="E249" s="24"/>
      <c r="K249" s="168"/>
    </row>
    <row r="250" spans="1:11" ht="15.75" customHeight="1" x14ac:dyDescent="0.25">
      <c r="A250" s="24"/>
      <c r="B250" s="174"/>
      <c r="C250" s="24"/>
      <c r="D250" s="24"/>
      <c r="E250" s="24"/>
      <c r="K250" s="168"/>
    </row>
    <row r="251" spans="1:11" ht="15.75" customHeight="1" x14ac:dyDescent="0.25">
      <c r="A251" s="24"/>
      <c r="B251" s="174"/>
      <c r="C251" s="24"/>
      <c r="D251" s="24"/>
      <c r="E251" s="24"/>
      <c r="K251" s="168"/>
    </row>
    <row r="252" spans="1:11" ht="15.75" customHeight="1" x14ac:dyDescent="0.25">
      <c r="A252" s="24"/>
      <c r="B252" s="174"/>
      <c r="C252" s="24"/>
      <c r="D252" s="24"/>
      <c r="E252" s="24"/>
      <c r="K252" s="168"/>
    </row>
    <row r="253" spans="1:11" ht="15.75" customHeight="1" x14ac:dyDescent="0.25">
      <c r="A253" s="24"/>
      <c r="B253" s="174"/>
      <c r="C253" s="24"/>
      <c r="D253" s="24"/>
      <c r="E253" s="24"/>
      <c r="K253" s="168"/>
    </row>
    <row r="254" spans="1:11" ht="15.75" customHeight="1" x14ac:dyDescent="0.25">
      <c r="A254" s="24"/>
      <c r="B254" s="174"/>
      <c r="C254" s="24"/>
      <c r="D254" s="24"/>
      <c r="E254" s="24"/>
      <c r="K254" s="168"/>
    </row>
    <row r="255" spans="1:11" ht="15.75" customHeight="1" x14ac:dyDescent="0.25">
      <c r="A255" s="24"/>
      <c r="B255" s="174"/>
      <c r="C255" s="24"/>
      <c r="D255" s="24"/>
      <c r="E255" s="24"/>
      <c r="K255" s="168"/>
    </row>
    <row r="256" spans="1:11" ht="15.75" customHeight="1" x14ac:dyDescent="0.25">
      <c r="A256" s="24"/>
      <c r="B256" s="174"/>
      <c r="C256" s="24"/>
      <c r="D256" s="24"/>
      <c r="E256" s="24"/>
      <c r="K256" s="168"/>
    </row>
    <row r="257" spans="1:11" ht="15.75" customHeight="1" x14ac:dyDescent="0.25">
      <c r="A257" s="24"/>
      <c r="B257" s="174"/>
      <c r="C257" s="24"/>
      <c r="D257" s="24"/>
      <c r="E257" s="24"/>
      <c r="K257" s="168"/>
    </row>
    <row r="258" spans="1:11" ht="15.75" customHeight="1" x14ac:dyDescent="0.25">
      <c r="A258" s="24"/>
      <c r="B258" s="174"/>
      <c r="C258" s="24"/>
      <c r="D258" s="24"/>
      <c r="E258" s="24"/>
      <c r="K258" s="168"/>
    </row>
    <row r="259" spans="1:11" ht="15.75" customHeight="1" x14ac:dyDescent="0.25">
      <c r="A259" s="24"/>
      <c r="B259" s="174"/>
      <c r="C259" s="24"/>
      <c r="D259" s="24"/>
      <c r="E259" s="24"/>
      <c r="K259" s="168"/>
    </row>
    <row r="260" spans="1:11" ht="15.75" customHeight="1" x14ac:dyDescent="0.25">
      <c r="A260" s="24"/>
      <c r="B260" s="174"/>
      <c r="C260" s="24"/>
      <c r="D260" s="24"/>
      <c r="E260" s="24"/>
      <c r="K260" s="168"/>
    </row>
    <row r="261" spans="1:11" ht="15.75" customHeight="1" x14ac:dyDescent="0.25">
      <c r="A261" s="24"/>
      <c r="B261" s="174"/>
      <c r="C261" s="24"/>
      <c r="D261" s="24"/>
      <c r="E261" s="24"/>
      <c r="K261" s="168"/>
    </row>
    <row r="262" spans="1:11" ht="15.75" customHeight="1" x14ac:dyDescent="0.25">
      <c r="A262" s="24"/>
      <c r="B262" s="174"/>
      <c r="C262" s="24"/>
      <c r="D262" s="24"/>
      <c r="E262" s="24"/>
      <c r="K262" s="168"/>
    </row>
    <row r="263" spans="1:11" ht="15.75" customHeight="1" x14ac:dyDescent="0.25">
      <c r="A263" s="24"/>
      <c r="B263" s="174"/>
      <c r="C263" s="24"/>
      <c r="D263" s="24"/>
      <c r="E263" s="24"/>
      <c r="K263" s="168"/>
    </row>
    <row r="264" spans="1:11" ht="15.75" customHeight="1" x14ac:dyDescent="0.25">
      <c r="A264" s="24"/>
      <c r="B264" s="174"/>
      <c r="C264" s="24"/>
      <c r="D264" s="24"/>
      <c r="E264" s="24"/>
      <c r="K264" s="168"/>
    </row>
    <row r="265" spans="1:11" ht="15.75" customHeight="1" x14ac:dyDescent="0.25">
      <c r="A265" s="24"/>
      <c r="B265" s="174"/>
      <c r="C265" s="24"/>
      <c r="D265" s="24"/>
      <c r="E265" s="24"/>
      <c r="K265" s="168"/>
    </row>
    <row r="266" spans="1:11" ht="15.75" customHeight="1" x14ac:dyDescent="0.25">
      <c r="A266" s="24"/>
      <c r="B266" s="174"/>
      <c r="C266" s="24"/>
      <c r="D266" s="24"/>
      <c r="E266" s="24"/>
      <c r="K266" s="168"/>
    </row>
    <row r="267" spans="1:11" ht="15.75" customHeight="1" x14ac:dyDescent="0.25">
      <c r="K267" s="168"/>
    </row>
    <row r="268" spans="1:11" ht="15.75" customHeight="1" x14ac:dyDescent="0.25">
      <c r="K268" s="168"/>
    </row>
    <row r="269" spans="1:11" ht="15.75" customHeight="1" x14ac:dyDescent="0.25">
      <c r="K269" s="168"/>
    </row>
    <row r="270" spans="1:11" ht="15.75" customHeight="1" x14ac:dyDescent="0.25">
      <c r="K270" s="168"/>
    </row>
    <row r="271" spans="1:11" ht="15.75" customHeight="1" x14ac:dyDescent="0.25">
      <c r="K271" s="168"/>
    </row>
    <row r="272" spans="1:11" ht="15.75" customHeight="1" x14ac:dyDescent="0.25">
      <c r="K272" s="168"/>
    </row>
    <row r="273" spans="11:11" ht="15.75" customHeight="1" x14ac:dyDescent="0.25">
      <c r="K273" s="168"/>
    </row>
    <row r="274" spans="11:11" ht="15.75" customHeight="1" x14ac:dyDescent="0.25">
      <c r="K274" s="168"/>
    </row>
    <row r="275" spans="11:11" ht="15.75" customHeight="1" x14ac:dyDescent="0.25">
      <c r="K275" s="168"/>
    </row>
    <row r="276" spans="11:11" ht="15.75" customHeight="1" x14ac:dyDescent="0.25">
      <c r="K276" s="168"/>
    </row>
    <row r="277" spans="11:11" ht="15.75" customHeight="1" x14ac:dyDescent="0.25">
      <c r="K277" s="168"/>
    </row>
    <row r="278" spans="11:11" ht="15.75" customHeight="1" x14ac:dyDescent="0.25">
      <c r="K278" s="168"/>
    </row>
    <row r="279" spans="11:11" ht="15.75" customHeight="1" x14ac:dyDescent="0.25">
      <c r="K279" s="168"/>
    </row>
    <row r="280" spans="11:11" ht="15.75" customHeight="1" x14ac:dyDescent="0.25">
      <c r="K280" s="168"/>
    </row>
    <row r="281" spans="11:11" ht="15.75" customHeight="1" x14ac:dyDescent="0.25">
      <c r="K281" s="168"/>
    </row>
    <row r="282" spans="11:11" ht="15.75" customHeight="1" x14ac:dyDescent="0.25">
      <c r="K282" s="168"/>
    </row>
    <row r="283" spans="11:11" ht="15.75" customHeight="1" x14ac:dyDescent="0.25">
      <c r="K283" s="168"/>
    </row>
    <row r="284" spans="11:11" ht="15.75" customHeight="1" x14ac:dyDescent="0.25">
      <c r="K284" s="168"/>
    </row>
    <row r="285" spans="11:11" ht="15.75" customHeight="1" x14ac:dyDescent="0.25">
      <c r="K285" s="168"/>
    </row>
    <row r="286" spans="11:11" ht="15.75" customHeight="1" x14ac:dyDescent="0.25">
      <c r="K286" s="168"/>
    </row>
    <row r="287" spans="11:11" ht="15.75" customHeight="1" x14ac:dyDescent="0.25">
      <c r="K287" s="168"/>
    </row>
    <row r="288" spans="1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row r="990" spans="11:11" ht="15.75" customHeight="1" x14ac:dyDescent="0.25">
      <c r="K990" s="168"/>
    </row>
    <row r="991" spans="11:11" ht="15.75" customHeight="1" x14ac:dyDescent="0.25">
      <c r="K991" s="168"/>
    </row>
    <row r="992" spans="11:11" ht="15.75" customHeight="1" x14ac:dyDescent="0.25">
      <c r="K992" s="168"/>
    </row>
    <row r="993" spans="11:11" ht="15.75" customHeight="1" x14ac:dyDescent="0.25">
      <c r="K993" s="168"/>
    </row>
    <row r="994" spans="11:11" ht="15.75" customHeight="1" x14ac:dyDescent="0.25">
      <c r="K994" s="168"/>
    </row>
    <row r="995" spans="11:11" ht="15.75" customHeight="1" x14ac:dyDescent="0.25">
      <c r="K995" s="168"/>
    </row>
    <row r="996" spans="11:11" ht="15.75" customHeight="1" x14ac:dyDescent="0.25">
      <c r="K996" s="168"/>
    </row>
    <row r="997" spans="11:11" ht="15.75" customHeight="1" x14ac:dyDescent="0.25">
      <c r="K997" s="168"/>
    </row>
    <row r="998" spans="11:11" ht="15.75" customHeight="1" x14ac:dyDescent="0.25">
      <c r="K998" s="168"/>
    </row>
    <row r="999" spans="11:11" ht="15.75" customHeight="1" x14ac:dyDescent="0.25">
      <c r="K999" s="168"/>
    </row>
    <row r="1000" spans="11:11" ht="15.75" customHeight="1" x14ac:dyDescent="0.25">
      <c r="K1000" s="168"/>
    </row>
    <row r="1001" spans="11:11" ht="15.75" customHeight="1" x14ac:dyDescent="0.25">
      <c r="K1001" s="168"/>
    </row>
    <row r="1002" spans="11:11" ht="15.75" customHeight="1" x14ac:dyDescent="0.25">
      <c r="K1002" s="168"/>
    </row>
    <row r="1003" spans="11:11" ht="15.75" customHeight="1" x14ac:dyDescent="0.25">
      <c r="K1003" s="168"/>
    </row>
    <row r="1004" spans="11:11" ht="15.75" customHeight="1" x14ac:dyDescent="0.25">
      <c r="K1004" s="168"/>
    </row>
    <row r="1005" spans="11:11" ht="15.75" customHeight="1" x14ac:dyDescent="0.25">
      <c r="K1005" s="168"/>
    </row>
    <row r="1006" spans="11:11" ht="15.75" customHeight="1" x14ac:dyDescent="0.25">
      <c r="K1006"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0"/>
  <sheetViews>
    <sheetView view="pageBreakPreview" zoomScale="115" zoomScaleNormal="100" zoomScaleSheetLayoutView="115" workbookViewId="0">
      <selection activeCell="A76" sqref="A76"/>
    </sheetView>
  </sheetViews>
  <sheetFormatPr defaultColWidth="14.42578125" defaultRowHeight="15" customHeight="1" x14ac:dyDescent="0.25"/>
  <cols>
    <col min="1" max="1" width="76.140625" customWidth="1"/>
    <col min="2" max="2" width="15" customWidth="1"/>
    <col min="3" max="6" width="17.140625" hidden="1" customWidth="1"/>
    <col min="7" max="7" width="17.140625" customWidth="1"/>
    <col min="8" max="8" width="14.5703125" customWidth="1"/>
    <col min="9" max="14" width="10.28515625" customWidth="1"/>
    <col min="15" max="15" width="13.28515625" customWidth="1"/>
    <col min="16" max="26" width="10.28515625" customWidth="1"/>
  </cols>
  <sheetData>
    <row r="1" spans="1:26" ht="15.75" customHeight="1" x14ac:dyDescent="0.25">
      <c r="A1" s="9"/>
      <c r="B1" s="10"/>
      <c r="C1" s="11"/>
      <c r="D1" s="11"/>
      <c r="E1" s="11"/>
      <c r="F1" s="10"/>
      <c r="G1" s="13"/>
      <c r="H1" s="14"/>
      <c r="I1" s="15"/>
      <c r="J1" s="15"/>
      <c r="K1" s="15"/>
      <c r="L1" s="15"/>
      <c r="M1" s="15"/>
      <c r="N1" s="60"/>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60"/>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60"/>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60"/>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5"/>
      <c r="L5" s="15"/>
      <c r="M5" s="15"/>
      <c r="N5" s="60"/>
      <c r="O5" s="15"/>
      <c r="P5" s="15"/>
      <c r="Q5" s="15"/>
      <c r="R5" s="15"/>
      <c r="S5" s="15"/>
      <c r="T5" s="15"/>
      <c r="U5" s="15"/>
      <c r="V5" s="15"/>
      <c r="W5" s="15"/>
      <c r="X5" s="15"/>
      <c r="Y5" s="15"/>
      <c r="Z5" s="15"/>
    </row>
    <row r="6" spans="1:26" ht="15.75" customHeight="1" x14ac:dyDescent="0.25">
      <c r="A6" s="17" t="s">
        <v>1494</v>
      </c>
      <c r="B6" s="24"/>
      <c r="C6" s="25"/>
      <c r="D6" s="25"/>
      <c r="E6" s="25"/>
      <c r="F6" s="24"/>
      <c r="G6" s="19"/>
      <c r="H6" s="14"/>
      <c r="I6" s="15"/>
      <c r="J6" s="15"/>
      <c r="K6" s="15"/>
      <c r="L6" s="15"/>
      <c r="M6" s="15"/>
      <c r="N6" s="60"/>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60"/>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60"/>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60"/>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60"/>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60"/>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60"/>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N13" s="294"/>
    </row>
    <row r="14" spans="1:26" ht="15.75" customHeight="1" x14ac:dyDescent="0.25">
      <c r="A14" s="17" t="s">
        <v>365</v>
      </c>
      <c r="B14" s="172"/>
      <c r="C14" s="42"/>
      <c r="D14" s="42"/>
      <c r="E14" s="42"/>
      <c r="F14" s="42"/>
      <c r="G14" s="42"/>
      <c r="H14" s="7"/>
      <c r="N14" s="294"/>
    </row>
    <row r="15" spans="1:26" ht="15.75" customHeight="1" x14ac:dyDescent="0.25">
      <c r="A15" s="17" t="s">
        <v>366</v>
      </c>
      <c r="B15" s="172"/>
      <c r="C15" s="42"/>
      <c r="D15" s="42"/>
      <c r="E15" s="42"/>
      <c r="F15" s="42"/>
      <c r="G15" s="42"/>
      <c r="H15" s="7"/>
      <c r="N15" s="294"/>
    </row>
    <row r="16" spans="1:26" ht="15.75" customHeight="1" x14ac:dyDescent="0.25">
      <c r="A16" s="44" t="s">
        <v>367</v>
      </c>
      <c r="B16" s="41" t="s">
        <v>121</v>
      </c>
      <c r="C16" s="43">
        <v>3640935.34</v>
      </c>
      <c r="D16" s="43">
        <v>1998940.91</v>
      </c>
      <c r="E16" s="43">
        <f>+F16-D16</f>
        <v>3812023.09</v>
      </c>
      <c r="F16" s="43">
        <v>5810964</v>
      </c>
      <c r="G16" s="43">
        <v>6066876</v>
      </c>
      <c r="H16" s="7"/>
      <c r="N16" s="294"/>
    </row>
    <row r="17" spans="1:26" ht="15.75" customHeight="1" x14ac:dyDescent="0.25">
      <c r="A17" s="17" t="s">
        <v>368</v>
      </c>
      <c r="B17" s="172"/>
      <c r="C17" s="43"/>
      <c r="D17" s="43"/>
      <c r="E17" s="43"/>
      <c r="F17" s="43"/>
      <c r="G17" s="43"/>
      <c r="H17" s="7"/>
      <c r="N17" s="294"/>
    </row>
    <row r="18" spans="1:26" ht="15.75" customHeight="1" x14ac:dyDescent="0.25">
      <c r="A18" s="44" t="s">
        <v>369</v>
      </c>
      <c r="B18" s="41" t="s">
        <v>125</v>
      </c>
      <c r="C18" s="43">
        <v>242531.75</v>
      </c>
      <c r="D18" s="43">
        <v>125917.1</v>
      </c>
      <c r="E18" s="43">
        <f t="shared" ref="E18:E23" si="0">+F18-D18</f>
        <v>186082.9</v>
      </c>
      <c r="F18" s="43">
        <v>312000</v>
      </c>
      <c r="G18" s="43">
        <v>312000</v>
      </c>
      <c r="H18" s="14"/>
      <c r="I18" s="15"/>
      <c r="J18" s="15"/>
      <c r="K18" s="15"/>
      <c r="L18" s="15"/>
      <c r="M18" s="15"/>
      <c r="N18" s="60"/>
      <c r="O18" s="15"/>
      <c r="P18" s="15"/>
      <c r="Q18" s="15"/>
      <c r="R18" s="15"/>
      <c r="S18" s="15"/>
      <c r="T18" s="15"/>
      <c r="U18" s="15"/>
      <c r="V18" s="15"/>
      <c r="W18" s="15"/>
      <c r="X18" s="15"/>
      <c r="Y18" s="15"/>
      <c r="Z18" s="15"/>
    </row>
    <row r="19" spans="1:26" ht="15.75" customHeight="1" x14ac:dyDescent="0.25">
      <c r="A19" s="44" t="s">
        <v>370</v>
      </c>
      <c r="B19" s="41" t="s">
        <v>127</v>
      </c>
      <c r="C19" s="43">
        <v>109000</v>
      </c>
      <c r="D19" s="43">
        <v>57000</v>
      </c>
      <c r="E19" s="43">
        <f t="shared" si="0"/>
        <v>57000</v>
      </c>
      <c r="F19" s="43">
        <v>114000</v>
      </c>
      <c r="G19" s="43">
        <v>114000</v>
      </c>
      <c r="H19" s="14"/>
      <c r="I19" s="15"/>
      <c r="J19" s="15"/>
      <c r="K19" s="15"/>
      <c r="L19" s="15"/>
      <c r="M19" s="15"/>
      <c r="N19" s="60"/>
      <c r="O19" s="15"/>
      <c r="P19" s="15"/>
      <c r="Q19" s="15"/>
      <c r="R19" s="15"/>
      <c r="S19" s="15"/>
      <c r="T19" s="15"/>
      <c r="U19" s="15"/>
      <c r="V19" s="15"/>
      <c r="W19" s="15"/>
      <c r="X19" s="15"/>
      <c r="Y19" s="15"/>
      <c r="Z19" s="15"/>
    </row>
    <row r="20" spans="1:26" ht="15.75" customHeight="1" x14ac:dyDescent="0.25">
      <c r="A20" s="44" t="s">
        <v>371</v>
      </c>
      <c r="B20" s="41" t="s">
        <v>372</v>
      </c>
      <c r="C20" s="43">
        <v>109000</v>
      </c>
      <c r="D20" s="43">
        <v>57000</v>
      </c>
      <c r="E20" s="43">
        <f t="shared" si="0"/>
        <v>57000</v>
      </c>
      <c r="F20" s="43">
        <v>114000</v>
      </c>
      <c r="G20" s="43">
        <v>114000</v>
      </c>
      <c r="H20" s="14"/>
      <c r="I20" s="15"/>
      <c r="J20" s="15"/>
      <c r="K20" s="15"/>
      <c r="L20" s="15"/>
      <c r="M20" s="15"/>
      <c r="N20" s="60"/>
      <c r="O20" s="15"/>
      <c r="P20" s="15"/>
      <c r="Q20" s="15"/>
      <c r="R20" s="15"/>
      <c r="S20" s="15"/>
      <c r="T20" s="15"/>
      <c r="U20" s="15"/>
      <c r="V20" s="15"/>
      <c r="W20" s="15"/>
      <c r="X20" s="15"/>
      <c r="Y20" s="15"/>
      <c r="Z20" s="15"/>
    </row>
    <row r="21" spans="1:26" ht="15.75" customHeight="1" x14ac:dyDescent="0.25">
      <c r="A21" s="44" t="s">
        <v>373</v>
      </c>
      <c r="B21" s="41" t="s">
        <v>131</v>
      </c>
      <c r="C21" s="43">
        <v>70000</v>
      </c>
      <c r="D21" s="43">
        <v>77000</v>
      </c>
      <c r="E21" s="43">
        <f t="shared" si="0"/>
        <v>14000</v>
      </c>
      <c r="F21" s="43">
        <v>91000</v>
      </c>
      <c r="G21" s="43">
        <v>91000</v>
      </c>
      <c r="H21" s="14"/>
      <c r="I21" s="15"/>
      <c r="J21" s="15"/>
      <c r="K21" s="15"/>
      <c r="L21" s="15"/>
      <c r="M21" s="15"/>
      <c r="N21" s="60"/>
      <c r="O21" s="15"/>
      <c r="P21" s="15"/>
      <c r="Q21" s="15"/>
      <c r="R21" s="15"/>
      <c r="S21" s="15"/>
      <c r="T21" s="15"/>
      <c r="U21" s="15"/>
      <c r="V21" s="15"/>
      <c r="W21" s="15"/>
      <c r="X21" s="15"/>
      <c r="Y21" s="15"/>
      <c r="Z21" s="15"/>
    </row>
    <row r="22" spans="1:26" ht="15.75" customHeight="1" x14ac:dyDescent="0.25">
      <c r="A22" s="44" t="s">
        <v>374</v>
      </c>
      <c r="B22" s="41" t="s">
        <v>151</v>
      </c>
      <c r="C22" s="43">
        <v>347836</v>
      </c>
      <c r="D22" s="43">
        <v>0</v>
      </c>
      <c r="E22" s="43">
        <f t="shared" si="0"/>
        <v>484247</v>
      </c>
      <c r="F22" s="43">
        <v>484247</v>
      </c>
      <c r="G22" s="43">
        <v>505573</v>
      </c>
      <c r="H22" s="14"/>
      <c r="I22" s="15"/>
      <c r="J22" s="15"/>
      <c r="K22" s="15"/>
      <c r="L22" s="15"/>
      <c r="M22" s="15"/>
      <c r="N22" s="60"/>
      <c r="O22" s="15"/>
      <c r="P22" s="15"/>
      <c r="Q22" s="15"/>
      <c r="R22" s="15"/>
      <c r="S22" s="15"/>
      <c r="T22" s="15"/>
      <c r="U22" s="15"/>
      <c r="V22" s="15"/>
      <c r="W22" s="15"/>
      <c r="X22" s="15"/>
      <c r="Y22" s="15"/>
      <c r="Z22" s="15"/>
    </row>
    <row r="23" spans="1:26" ht="15.75" customHeight="1" x14ac:dyDescent="0.25">
      <c r="A23" s="44" t="s">
        <v>375</v>
      </c>
      <c r="B23" s="41" t="s">
        <v>153</v>
      </c>
      <c r="C23" s="43">
        <v>55000</v>
      </c>
      <c r="D23" s="43">
        <v>0</v>
      </c>
      <c r="E23" s="43">
        <f t="shared" si="0"/>
        <v>65000</v>
      </c>
      <c r="F23" s="43">
        <v>65000</v>
      </c>
      <c r="G23" s="43">
        <v>65000</v>
      </c>
      <c r="H23" s="14"/>
      <c r="I23" s="15"/>
      <c r="J23" s="15"/>
      <c r="K23" s="15"/>
      <c r="L23" s="15"/>
      <c r="M23" s="15"/>
      <c r="N23" s="60"/>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4"/>
      <c r="I24" s="15"/>
      <c r="J24" s="15"/>
      <c r="K24" s="15"/>
      <c r="L24" s="15"/>
      <c r="M24" s="15"/>
      <c r="N24" s="60"/>
      <c r="O24" s="15"/>
      <c r="P24" s="15"/>
      <c r="Q24" s="15"/>
      <c r="R24" s="15"/>
      <c r="S24" s="15"/>
      <c r="T24" s="15"/>
      <c r="U24" s="15"/>
      <c r="V24" s="15"/>
      <c r="W24" s="15"/>
      <c r="X24" s="15"/>
      <c r="Y24" s="15"/>
      <c r="Z24" s="15"/>
    </row>
    <row r="25" spans="1:26" ht="15.75" customHeight="1" x14ac:dyDescent="0.25">
      <c r="A25" s="44" t="s">
        <v>377</v>
      </c>
      <c r="B25" s="41" t="s">
        <v>157</v>
      </c>
      <c r="C25" s="43">
        <v>0</v>
      </c>
      <c r="D25" s="43">
        <v>15000</v>
      </c>
      <c r="E25" s="43">
        <f>+F25-D25</f>
        <v>10000</v>
      </c>
      <c r="F25" s="43">
        <v>25000</v>
      </c>
      <c r="G25" s="43">
        <v>10000</v>
      </c>
      <c r="H25" s="14"/>
      <c r="I25" s="15"/>
      <c r="J25" s="15"/>
      <c r="K25" s="15"/>
      <c r="L25" s="15"/>
      <c r="M25" s="15"/>
      <c r="N25" s="60"/>
      <c r="O25" s="15"/>
      <c r="P25" s="15"/>
      <c r="Q25" s="15"/>
      <c r="R25" s="15"/>
      <c r="S25" s="15"/>
      <c r="T25" s="15"/>
      <c r="U25" s="15"/>
      <c r="V25" s="15"/>
      <c r="W25" s="15"/>
      <c r="X25" s="15"/>
      <c r="Y25" s="15"/>
      <c r="Z25" s="15"/>
    </row>
    <row r="26" spans="1:26" ht="15.75" customHeight="1" x14ac:dyDescent="0.25">
      <c r="A26" s="96" t="s">
        <v>378</v>
      </c>
      <c r="B26" s="41" t="s">
        <v>159</v>
      </c>
      <c r="C26" s="43">
        <v>0</v>
      </c>
      <c r="D26" s="43">
        <v>30000</v>
      </c>
      <c r="E26" s="43">
        <v>9000</v>
      </c>
      <c r="F26" s="43">
        <v>39000</v>
      </c>
      <c r="G26" s="43">
        <v>0</v>
      </c>
      <c r="H26" s="14"/>
      <c r="I26" s="15"/>
      <c r="J26" s="15"/>
      <c r="K26" s="15"/>
      <c r="L26" s="15"/>
      <c r="M26" s="15"/>
      <c r="N26" s="60"/>
      <c r="O26" s="15"/>
      <c r="P26" s="15"/>
      <c r="Q26" s="15"/>
      <c r="R26" s="15"/>
      <c r="S26" s="15"/>
      <c r="T26" s="15"/>
      <c r="U26" s="15"/>
      <c r="V26" s="15"/>
      <c r="W26" s="15"/>
      <c r="X26" s="15"/>
      <c r="Y26" s="15"/>
      <c r="Z26" s="15"/>
    </row>
    <row r="27" spans="1:26" ht="15.75" customHeight="1" x14ac:dyDescent="0.25">
      <c r="A27" s="44" t="s">
        <v>379</v>
      </c>
      <c r="B27" s="41" t="s">
        <v>161</v>
      </c>
      <c r="C27" s="43">
        <v>313633</v>
      </c>
      <c r="D27" s="43">
        <v>328471</v>
      </c>
      <c r="E27" s="43">
        <f>+F27-D27</f>
        <v>155776</v>
      </c>
      <c r="F27" s="43">
        <v>484247</v>
      </c>
      <c r="G27" s="43">
        <v>505573</v>
      </c>
      <c r="H27" s="14"/>
      <c r="I27" s="15"/>
      <c r="J27" s="15"/>
      <c r="K27" s="15"/>
      <c r="L27" s="15"/>
      <c r="M27" s="15"/>
      <c r="N27" s="60"/>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4"/>
      <c r="I28" s="15"/>
      <c r="J28" s="15"/>
      <c r="K28" s="15"/>
      <c r="L28" s="15"/>
      <c r="M28" s="15"/>
      <c r="N28" s="60"/>
      <c r="O28" s="15"/>
      <c r="P28" s="15"/>
      <c r="Q28" s="15"/>
      <c r="R28" s="15"/>
      <c r="S28" s="15"/>
      <c r="T28" s="15"/>
      <c r="U28" s="15"/>
      <c r="V28" s="15"/>
      <c r="W28" s="15"/>
      <c r="X28" s="15"/>
      <c r="Y28" s="15"/>
      <c r="Z28" s="15"/>
    </row>
    <row r="29" spans="1:26" ht="15.75" customHeight="1" x14ac:dyDescent="0.25">
      <c r="A29" s="44" t="s">
        <v>381</v>
      </c>
      <c r="B29" s="41" t="s">
        <v>165</v>
      </c>
      <c r="C29" s="43">
        <v>447430.6</v>
      </c>
      <c r="D29" s="43">
        <v>245794.32</v>
      </c>
      <c r="E29" s="43">
        <f t="shared" ref="E29:E32" si="1">+F29-D29</f>
        <v>451521.68</v>
      </c>
      <c r="F29" s="43">
        <v>697316</v>
      </c>
      <c r="G29" s="43">
        <v>728026</v>
      </c>
      <c r="H29" s="14"/>
      <c r="I29" s="15"/>
      <c r="J29" s="15"/>
      <c r="K29" s="15"/>
      <c r="L29" s="15"/>
      <c r="M29" s="15"/>
      <c r="N29" s="60"/>
      <c r="O29" s="15"/>
      <c r="P29" s="15"/>
      <c r="Q29" s="15"/>
      <c r="R29" s="15"/>
      <c r="S29" s="15"/>
      <c r="T29" s="15"/>
      <c r="U29" s="15"/>
      <c r="V29" s="15"/>
      <c r="W29" s="15"/>
      <c r="X29" s="15"/>
      <c r="Y29" s="15"/>
      <c r="Z29" s="15"/>
    </row>
    <row r="30" spans="1:26" ht="15.75" customHeight="1" x14ac:dyDescent="0.25">
      <c r="A30" s="44" t="s">
        <v>382</v>
      </c>
      <c r="B30" s="41" t="s">
        <v>167</v>
      </c>
      <c r="C30" s="43">
        <v>74571.75</v>
      </c>
      <c r="D30" s="43">
        <v>40965.72</v>
      </c>
      <c r="E30" s="43">
        <f t="shared" si="1"/>
        <v>75254.28</v>
      </c>
      <c r="F30" s="43">
        <v>116220</v>
      </c>
      <c r="G30" s="43">
        <v>121338</v>
      </c>
      <c r="H30" s="14"/>
      <c r="I30" s="15"/>
      <c r="J30" s="15"/>
      <c r="K30" s="15"/>
      <c r="L30" s="15"/>
      <c r="M30" s="15"/>
      <c r="N30" s="60"/>
      <c r="O30" s="15"/>
      <c r="P30" s="15"/>
      <c r="Q30" s="15"/>
      <c r="R30" s="15"/>
      <c r="S30" s="15"/>
      <c r="T30" s="15"/>
      <c r="U30" s="15"/>
      <c r="V30" s="15"/>
      <c r="W30" s="15"/>
      <c r="X30" s="15"/>
      <c r="Y30" s="15"/>
      <c r="Z30" s="15"/>
    </row>
    <row r="31" spans="1:26" ht="15.75" customHeight="1" x14ac:dyDescent="0.25">
      <c r="A31" s="44" t="s">
        <v>383</v>
      </c>
      <c r="B31" s="41" t="s">
        <v>169</v>
      </c>
      <c r="C31" s="43">
        <v>93215.05</v>
      </c>
      <c r="D31" s="43">
        <v>51207.26</v>
      </c>
      <c r="E31" s="43">
        <f t="shared" si="1"/>
        <v>87727.739999999991</v>
      </c>
      <c r="F31" s="43">
        <v>138935</v>
      </c>
      <c r="G31" s="43">
        <v>143799</v>
      </c>
      <c r="H31" s="14"/>
      <c r="I31" s="15"/>
      <c r="J31" s="15"/>
      <c r="K31" s="15"/>
      <c r="L31" s="15"/>
      <c r="M31" s="15"/>
      <c r="N31" s="60"/>
      <c r="O31" s="15"/>
      <c r="P31" s="15"/>
      <c r="Q31" s="15"/>
      <c r="R31" s="15"/>
      <c r="S31" s="15"/>
      <c r="T31" s="15"/>
      <c r="U31" s="15"/>
      <c r="V31" s="15"/>
      <c r="W31" s="15"/>
      <c r="X31" s="15"/>
      <c r="Y31" s="15"/>
      <c r="Z31" s="15"/>
    </row>
    <row r="32" spans="1:26" ht="15.75" customHeight="1" x14ac:dyDescent="0.25">
      <c r="A32" s="44" t="s">
        <v>384</v>
      </c>
      <c r="B32" s="41" t="s">
        <v>171</v>
      </c>
      <c r="C32" s="43">
        <v>12480.69</v>
      </c>
      <c r="D32" s="43">
        <v>6400</v>
      </c>
      <c r="E32" s="43">
        <f t="shared" si="1"/>
        <v>9200</v>
      </c>
      <c r="F32" s="43">
        <v>15600</v>
      </c>
      <c r="G32" s="43">
        <v>15600</v>
      </c>
      <c r="H32" s="14"/>
      <c r="I32" s="15"/>
      <c r="J32" s="15"/>
      <c r="K32" s="15"/>
      <c r="L32" s="15"/>
      <c r="M32" s="15"/>
      <c r="N32" s="60"/>
      <c r="O32" s="15"/>
      <c r="P32" s="15"/>
      <c r="Q32" s="15"/>
      <c r="R32" s="15"/>
      <c r="S32" s="15"/>
      <c r="T32" s="15"/>
      <c r="U32" s="15"/>
      <c r="V32" s="15"/>
      <c r="W32" s="15"/>
      <c r="X32" s="15"/>
      <c r="Y32" s="15"/>
      <c r="Z32" s="15"/>
    </row>
    <row r="33" spans="1:26" ht="15.75" customHeight="1" x14ac:dyDescent="0.25">
      <c r="A33" s="17" t="s">
        <v>624</v>
      </c>
      <c r="B33" s="41"/>
      <c r="C33" s="43"/>
      <c r="D33" s="43"/>
      <c r="E33" s="43"/>
      <c r="F33" s="43"/>
      <c r="G33" s="43"/>
      <c r="H33" s="14"/>
      <c r="I33" s="15"/>
      <c r="J33" s="15"/>
      <c r="K33" s="15"/>
      <c r="L33" s="15"/>
      <c r="M33" s="15"/>
      <c r="N33" s="60"/>
      <c r="O33" s="15"/>
      <c r="P33" s="15"/>
      <c r="Q33" s="15"/>
      <c r="R33" s="15"/>
      <c r="S33" s="15"/>
      <c r="T33" s="15"/>
      <c r="U33" s="15"/>
      <c r="V33" s="15"/>
      <c r="W33" s="15"/>
      <c r="X33" s="15"/>
      <c r="Y33" s="15"/>
      <c r="Z33" s="15"/>
    </row>
    <row r="34" spans="1:26" ht="15.75" customHeight="1" x14ac:dyDescent="0.25">
      <c r="A34" s="44" t="s">
        <v>386</v>
      </c>
      <c r="B34" s="41" t="s">
        <v>179</v>
      </c>
      <c r="C34" s="43">
        <v>0</v>
      </c>
      <c r="D34" s="43">
        <v>24384.93</v>
      </c>
      <c r="E34" s="43">
        <v>90663.07</v>
      </c>
      <c r="F34" s="43">
        <v>115048</v>
      </c>
      <c r="G34" s="43">
        <v>0</v>
      </c>
      <c r="H34" s="14"/>
      <c r="I34" s="15"/>
      <c r="J34" s="15"/>
      <c r="K34" s="15"/>
      <c r="L34" s="15"/>
      <c r="M34" s="15"/>
      <c r="N34" s="60"/>
      <c r="O34" s="15"/>
      <c r="P34" s="15"/>
      <c r="Q34" s="15"/>
      <c r="R34" s="15"/>
      <c r="S34" s="15"/>
      <c r="T34" s="15"/>
      <c r="U34" s="15"/>
      <c r="V34" s="15"/>
      <c r="W34" s="15"/>
      <c r="X34" s="15"/>
      <c r="Y34" s="15"/>
      <c r="Z34" s="15"/>
    </row>
    <row r="35" spans="1:26" ht="15.75" customHeight="1" x14ac:dyDescent="0.25">
      <c r="A35" s="44" t="s">
        <v>387</v>
      </c>
      <c r="B35" s="41" t="s">
        <v>181</v>
      </c>
      <c r="C35" s="43">
        <v>108396.81</v>
      </c>
      <c r="D35" s="43">
        <v>70300.14</v>
      </c>
      <c r="E35" s="43">
        <f t="shared" ref="E35:E36" si="2">+F35-D35</f>
        <v>163071.85999999999</v>
      </c>
      <c r="F35" s="43">
        <v>233372</v>
      </c>
      <c r="G35" s="43">
        <v>243650</v>
      </c>
      <c r="H35" s="14"/>
      <c r="I35" s="15"/>
      <c r="J35" s="15"/>
      <c r="K35" s="15"/>
      <c r="L35" s="15"/>
      <c r="M35" s="15"/>
      <c r="N35" s="60"/>
      <c r="O35" s="15"/>
      <c r="P35" s="15"/>
      <c r="Q35" s="15"/>
      <c r="R35" s="15"/>
      <c r="S35" s="15"/>
      <c r="T35" s="15"/>
      <c r="U35" s="15"/>
      <c r="V35" s="15"/>
      <c r="W35" s="15"/>
      <c r="X35" s="15"/>
      <c r="Y35" s="15"/>
      <c r="Z35" s="15"/>
    </row>
    <row r="36" spans="1:26" ht="15.75" customHeight="1" x14ac:dyDescent="0.25">
      <c r="A36" s="44" t="s">
        <v>388</v>
      </c>
      <c r="B36" s="41" t="s">
        <v>183</v>
      </c>
      <c r="C36" s="43">
        <v>55000</v>
      </c>
      <c r="D36" s="43">
        <v>0</v>
      </c>
      <c r="E36" s="43">
        <f t="shared" si="2"/>
        <v>65000</v>
      </c>
      <c r="F36" s="43">
        <v>65000</v>
      </c>
      <c r="G36" s="43">
        <v>65000</v>
      </c>
      <c r="H36" s="14"/>
      <c r="I36" s="15"/>
      <c r="J36" s="15"/>
      <c r="K36" s="15"/>
      <c r="L36" s="15"/>
      <c r="M36" s="15"/>
      <c r="N36" s="60"/>
      <c r="O36" s="15"/>
      <c r="P36" s="15"/>
      <c r="Q36" s="15"/>
      <c r="R36" s="15"/>
      <c r="S36" s="15"/>
      <c r="T36" s="15"/>
      <c r="U36" s="15"/>
      <c r="V36" s="15"/>
      <c r="W36" s="15"/>
      <c r="X36" s="15"/>
      <c r="Y36" s="15"/>
      <c r="Z36" s="15"/>
    </row>
    <row r="37" spans="1:26" ht="31.5" x14ac:dyDescent="0.25">
      <c r="A37" s="455" t="s">
        <v>625</v>
      </c>
      <c r="B37" s="454"/>
      <c r="C37" s="473">
        <v>0</v>
      </c>
      <c r="D37" s="43">
        <v>0</v>
      </c>
      <c r="E37" s="43">
        <v>0</v>
      </c>
      <c r="F37" s="43">
        <v>0</v>
      </c>
      <c r="G37" s="43">
        <v>166126</v>
      </c>
      <c r="H37" s="14"/>
      <c r="I37" s="15"/>
      <c r="J37" s="15"/>
      <c r="K37" s="15"/>
      <c r="L37" s="15"/>
      <c r="M37" s="15"/>
      <c r="N37" s="60"/>
      <c r="O37" s="15"/>
      <c r="P37" s="15"/>
      <c r="Q37" s="15"/>
      <c r="R37" s="15"/>
      <c r="S37" s="15"/>
      <c r="T37" s="15"/>
      <c r="U37" s="15"/>
      <c r="V37" s="15"/>
      <c r="W37" s="15"/>
      <c r="X37" s="15"/>
      <c r="Y37" s="15"/>
      <c r="Z37" s="15"/>
    </row>
    <row r="38" spans="1:26" ht="15.75" customHeight="1" x14ac:dyDescent="0.25">
      <c r="A38" s="42" t="s">
        <v>632</v>
      </c>
      <c r="B38" s="41"/>
      <c r="C38" s="79">
        <f t="shared" ref="C38:F38" si="3">+SUM(C16:C36)</f>
        <v>5679030.9899999993</v>
      </c>
      <c r="D38" s="54">
        <f t="shared" si="3"/>
        <v>3128381.38</v>
      </c>
      <c r="E38" s="54">
        <f t="shared" si="3"/>
        <v>5792567.620000001</v>
      </c>
      <c r="F38" s="54">
        <f t="shared" si="3"/>
        <v>8920949</v>
      </c>
      <c r="G38" s="54">
        <f>+SUM(G16:G37)</f>
        <v>9267561</v>
      </c>
      <c r="H38" s="193"/>
      <c r="I38" s="232"/>
      <c r="J38" s="232"/>
      <c r="K38" s="232"/>
      <c r="L38" s="232"/>
      <c r="M38" s="232"/>
      <c r="N38" s="177"/>
      <c r="O38" s="232"/>
      <c r="P38" s="232"/>
      <c r="Q38" s="232"/>
      <c r="R38" s="232"/>
      <c r="S38" s="232"/>
      <c r="T38" s="232"/>
      <c r="U38" s="232"/>
      <c r="V38" s="232"/>
      <c r="W38" s="232"/>
      <c r="X38" s="232"/>
      <c r="Y38" s="232"/>
      <c r="Z38" s="232"/>
    </row>
    <row r="39" spans="1:26" ht="15" customHeight="1" x14ac:dyDescent="0.25">
      <c r="A39" s="17"/>
      <c r="B39" s="41"/>
      <c r="C39" s="55"/>
      <c r="D39" s="55"/>
      <c r="E39" s="55"/>
      <c r="F39" s="55"/>
      <c r="G39" s="55"/>
      <c r="H39" s="12"/>
      <c r="I39" s="10"/>
      <c r="J39" s="10"/>
      <c r="K39" s="10"/>
      <c r="L39" s="10"/>
      <c r="M39" s="10"/>
      <c r="N39" s="179"/>
      <c r="O39" s="10"/>
      <c r="P39" s="10"/>
      <c r="Q39" s="10"/>
      <c r="R39" s="10"/>
      <c r="S39" s="10"/>
      <c r="T39" s="10"/>
      <c r="U39" s="10"/>
      <c r="V39" s="10"/>
      <c r="W39" s="10"/>
      <c r="X39" s="10"/>
      <c r="Y39" s="10"/>
      <c r="Z39" s="10"/>
    </row>
    <row r="40" spans="1:26" ht="15.75" customHeight="1" x14ac:dyDescent="0.25">
      <c r="A40" s="42" t="s">
        <v>391</v>
      </c>
      <c r="B40" s="20"/>
      <c r="C40" s="43"/>
      <c r="D40" s="43"/>
      <c r="E40" s="43"/>
      <c r="F40" s="484"/>
      <c r="G40" s="462"/>
      <c r="H40" s="14"/>
      <c r="I40" s="15"/>
      <c r="J40" s="15"/>
      <c r="K40" s="15"/>
      <c r="L40" s="15"/>
      <c r="M40" s="15"/>
      <c r="N40" s="60"/>
      <c r="O40" s="15"/>
      <c r="P40" s="15"/>
      <c r="Q40" s="15"/>
      <c r="R40" s="15"/>
      <c r="S40" s="15"/>
      <c r="T40" s="15"/>
      <c r="U40" s="15"/>
      <c r="V40" s="15"/>
      <c r="W40" s="15"/>
      <c r="X40" s="15"/>
      <c r="Y40" s="15"/>
      <c r="Z40" s="15"/>
    </row>
    <row r="41" spans="1:26" ht="15.75" customHeight="1" x14ac:dyDescent="0.25">
      <c r="A41" s="17" t="s">
        <v>642</v>
      </c>
      <c r="B41" s="20"/>
      <c r="C41" s="56"/>
      <c r="D41" s="43"/>
      <c r="E41" s="26"/>
      <c r="F41" s="43"/>
      <c r="G41" s="43"/>
      <c r="H41" s="14"/>
      <c r="I41" s="15"/>
      <c r="J41" s="15"/>
      <c r="K41" s="15"/>
      <c r="L41" s="15"/>
      <c r="M41" s="15"/>
      <c r="N41" s="60"/>
      <c r="O41" s="15"/>
      <c r="P41" s="15"/>
      <c r="Q41" s="15"/>
      <c r="R41" s="15"/>
      <c r="S41" s="15"/>
      <c r="T41" s="15"/>
      <c r="U41" s="15"/>
      <c r="V41" s="15"/>
      <c r="W41" s="15"/>
      <c r="X41" s="15"/>
      <c r="Y41" s="15"/>
      <c r="Z41" s="15"/>
    </row>
    <row r="42" spans="1:26" ht="15.75" customHeight="1" x14ac:dyDescent="0.25">
      <c r="A42" s="44" t="s">
        <v>393</v>
      </c>
      <c r="B42" s="41" t="s">
        <v>187</v>
      </c>
      <c r="C42" s="56">
        <v>51943</v>
      </c>
      <c r="D42" s="43">
        <v>17905.45</v>
      </c>
      <c r="E42" s="43">
        <f>+F42-D42</f>
        <v>82094.55</v>
      </c>
      <c r="F42" s="43">
        <v>100000</v>
      </c>
      <c r="G42" s="43">
        <v>100000</v>
      </c>
      <c r="H42" s="14"/>
      <c r="I42" s="15"/>
      <c r="J42" s="15"/>
      <c r="K42" s="15"/>
      <c r="L42" s="15"/>
      <c r="M42" s="15"/>
      <c r="N42" s="60"/>
      <c r="O42" s="15"/>
      <c r="P42" s="15"/>
      <c r="Q42" s="15"/>
      <c r="R42" s="15"/>
      <c r="S42" s="15"/>
      <c r="T42" s="15"/>
      <c r="U42" s="15"/>
      <c r="V42" s="15"/>
      <c r="W42" s="15"/>
      <c r="X42" s="15"/>
      <c r="Y42" s="15"/>
      <c r="Z42" s="15"/>
    </row>
    <row r="43" spans="1:26" ht="15.75" customHeight="1" x14ac:dyDescent="0.25">
      <c r="A43" s="17" t="s">
        <v>493</v>
      </c>
      <c r="B43" s="41"/>
      <c r="C43" s="56"/>
      <c r="D43" s="43"/>
      <c r="E43" s="43"/>
      <c r="F43" s="43"/>
      <c r="G43" s="43"/>
      <c r="H43" s="14"/>
      <c r="I43" s="15"/>
      <c r="J43" s="15"/>
      <c r="K43" s="15"/>
      <c r="L43" s="15"/>
      <c r="M43" s="15"/>
      <c r="N43" s="60"/>
      <c r="O43" s="15"/>
      <c r="P43" s="15"/>
      <c r="Q43" s="15"/>
      <c r="R43" s="15"/>
      <c r="S43" s="15"/>
      <c r="T43" s="15"/>
      <c r="U43" s="15"/>
      <c r="V43" s="15"/>
      <c r="W43" s="15"/>
      <c r="X43" s="15"/>
      <c r="Y43" s="15"/>
      <c r="Z43" s="15"/>
    </row>
    <row r="44" spans="1:26" ht="15.75" customHeight="1" x14ac:dyDescent="0.25">
      <c r="A44" s="44" t="s">
        <v>396</v>
      </c>
      <c r="B44" s="41" t="s">
        <v>191</v>
      </c>
      <c r="C44" s="56">
        <v>22498.799999999999</v>
      </c>
      <c r="D44" s="43">
        <v>0</v>
      </c>
      <c r="E44" s="43">
        <f t="shared" ref="E44:E46" si="4">+F44-D44</f>
        <v>200000</v>
      </c>
      <c r="F44" s="43">
        <v>200000</v>
      </c>
      <c r="G44" s="43">
        <v>200000</v>
      </c>
      <c r="H44" s="14"/>
      <c r="I44" s="15"/>
      <c r="J44" s="15"/>
      <c r="K44" s="15"/>
      <c r="L44" s="15"/>
      <c r="M44" s="15"/>
      <c r="N44" s="60"/>
      <c r="O44" s="15"/>
      <c r="P44" s="15"/>
      <c r="Q44" s="15"/>
      <c r="R44" s="15"/>
      <c r="S44" s="15"/>
      <c r="T44" s="15"/>
      <c r="U44" s="15"/>
      <c r="V44" s="15"/>
      <c r="W44" s="15"/>
      <c r="X44" s="15"/>
      <c r="Y44" s="15"/>
      <c r="Z44" s="15"/>
    </row>
    <row r="45" spans="1:26" ht="15.75" customHeight="1" x14ac:dyDescent="0.25">
      <c r="A45" s="44" t="s">
        <v>398</v>
      </c>
      <c r="B45" s="41" t="s">
        <v>195</v>
      </c>
      <c r="C45" s="43">
        <v>401273.68</v>
      </c>
      <c r="D45" s="43">
        <v>213540.4</v>
      </c>
      <c r="E45" s="43">
        <f t="shared" si="4"/>
        <v>261459.6</v>
      </c>
      <c r="F45" s="43">
        <v>475000</v>
      </c>
      <c r="G45" s="43">
        <v>304504</v>
      </c>
      <c r="H45" s="14"/>
      <c r="I45" s="15"/>
      <c r="J45" s="15"/>
      <c r="K45" s="15"/>
      <c r="L45" s="15"/>
      <c r="M45" s="15"/>
      <c r="N45" s="60"/>
      <c r="O45" s="15"/>
      <c r="P45" s="15"/>
      <c r="Q45" s="15"/>
      <c r="R45" s="15"/>
      <c r="S45" s="15"/>
      <c r="T45" s="15"/>
      <c r="U45" s="15"/>
      <c r="V45" s="15"/>
      <c r="W45" s="15"/>
      <c r="X45" s="15"/>
      <c r="Y45" s="15"/>
      <c r="Z45" s="15"/>
    </row>
    <row r="46" spans="1:26" ht="15.75" customHeight="1" x14ac:dyDescent="0.25">
      <c r="A46" s="44" t="s">
        <v>402</v>
      </c>
      <c r="B46" s="41" t="s">
        <v>225</v>
      </c>
      <c r="C46" s="43">
        <v>613948.11</v>
      </c>
      <c r="D46" s="43">
        <v>111029.84</v>
      </c>
      <c r="E46" s="43">
        <f t="shared" si="4"/>
        <v>112144.16</v>
      </c>
      <c r="F46" s="43">
        <v>223174</v>
      </c>
      <c r="G46" s="43">
        <v>146356</v>
      </c>
      <c r="H46" s="14"/>
      <c r="I46" s="15"/>
      <c r="J46" s="15"/>
      <c r="K46" s="15"/>
      <c r="L46" s="15"/>
      <c r="M46" s="15"/>
      <c r="N46" s="60"/>
      <c r="O46" s="15"/>
      <c r="P46" s="15"/>
      <c r="Q46" s="15"/>
      <c r="R46" s="15"/>
      <c r="S46" s="15"/>
      <c r="T46" s="15"/>
      <c r="U46" s="15"/>
      <c r="V46" s="15"/>
      <c r="W46" s="15"/>
      <c r="X46" s="15"/>
      <c r="Y46" s="15"/>
      <c r="Z46" s="15"/>
    </row>
    <row r="47" spans="1:26" ht="15.75" customHeight="1" x14ac:dyDescent="0.25">
      <c r="A47" s="44" t="s">
        <v>1495</v>
      </c>
      <c r="B47" s="41" t="s">
        <v>221</v>
      </c>
      <c r="C47" s="43">
        <v>0</v>
      </c>
      <c r="D47" s="43">
        <v>210498</v>
      </c>
      <c r="E47" s="43">
        <v>219480</v>
      </c>
      <c r="F47" s="43">
        <v>429978</v>
      </c>
      <c r="G47" s="43">
        <v>208085</v>
      </c>
      <c r="H47" s="14"/>
      <c r="I47" s="15"/>
      <c r="J47" s="15"/>
      <c r="K47" s="15"/>
      <c r="L47" s="15"/>
      <c r="M47" s="15"/>
      <c r="N47" s="60"/>
      <c r="O47" s="15"/>
      <c r="P47" s="15"/>
      <c r="Q47" s="15"/>
      <c r="R47" s="15"/>
      <c r="S47" s="15"/>
      <c r="T47" s="15"/>
      <c r="U47" s="15"/>
      <c r="V47" s="15"/>
      <c r="W47" s="15"/>
      <c r="X47" s="15"/>
      <c r="Y47" s="15"/>
      <c r="Z47" s="15"/>
    </row>
    <row r="48" spans="1:26" ht="15.75" customHeight="1" x14ac:dyDescent="0.25">
      <c r="A48" s="17" t="s">
        <v>503</v>
      </c>
      <c r="B48" s="41"/>
      <c r="C48" s="43"/>
      <c r="D48" s="43"/>
      <c r="E48" s="43"/>
      <c r="F48" s="43"/>
      <c r="G48" s="43"/>
      <c r="H48" s="14"/>
      <c r="I48" s="15"/>
      <c r="J48" s="15"/>
      <c r="K48" s="15"/>
      <c r="L48" s="15"/>
      <c r="M48" s="15"/>
      <c r="N48" s="60"/>
      <c r="O48" s="15"/>
      <c r="P48" s="15"/>
      <c r="Q48" s="15"/>
      <c r="R48" s="15"/>
      <c r="S48" s="15"/>
      <c r="T48" s="15"/>
      <c r="U48" s="15"/>
      <c r="V48" s="15"/>
      <c r="W48" s="15"/>
      <c r="X48" s="15"/>
      <c r="Y48" s="15"/>
      <c r="Z48" s="15"/>
    </row>
    <row r="49" spans="1:26" ht="15.75" customHeight="1" x14ac:dyDescent="0.25">
      <c r="A49" s="44" t="s">
        <v>405</v>
      </c>
      <c r="B49" s="41" t="s">
        <v>235</v>
      </c>
      <c r="C49" s="43">
        <v>24000</v>
      </c>
      <c r="D49" s="43">
        <v>7500</v>
      </c>
      <c r="E49" s="43">
        <f t="shared" ref="E49:E50" si="5">+F49-D49</f>
        <v>22500</v>
      </c>
      <c r="F49" s="43">
        <v>30000</v>
      </c>
      <c r="G49" s="43">
        <f>2500*12</f>
        <v>30000</v>
      </c>
      <c r="H49" s="14"/>
      <c r="I49" s="15"/>
      <c r="J49" s="15"/>
      <c r="K49" s="15"/>
      <c r="L49" s="15"/>
      <c r="M49" s="15"/>
      <c r="N49" s="60"/>
      <c r="O49" s="15"/>
      <c r="P49" s="15"/>
      <c r="Q49" s="15"/>
      <c r="R49" s="15"/>
      <c r="S49" s="15"/>
      <c r="T49" s="15"/>
      <c r="U49" s="15"/>
      <c r="V49" s="15"/>
      <c r="W49" s="15"/>
      <c r="X49" s="15"/>
      <c r="Y49" s="15"/>
      <c r="Z49" s="15"/>
    </row>
    <row r="50" spans="1:26" ht="15.75" customHeight="1" x14ac:dyDescent="0.25">
      <c r="A50" s="44" t="s">
        <v>644</v>
      </c>
      <c r="B50" s="41" t="s">
        <v>239</v>
      </c>
      <c r="C50" s="43">
        <v>1286750</v>
      </c>
      <c r="D50" s="43">
        <v>576000</v>
      </c>
      <c r="E50" s="43">
        <f t="shared" si="5"/>
        <v>1460000</v>
      </c>
      <c r="F50" s="43">
        <v>2036000</v>
      </c>
      <c r="G50" s="43">
        <v>1636000</v>
      </c>
      <c r="H50" s="14"/>
      <c r="I50" s="15"/>
      <c r="J50" s="15"/>
      <c r="K50" s="15"/>
      <c r="L50" s="15"/>
      <c r="M50" s="15"/>
      <c r="N50" s="60"/>
      <c r="O50" s="15"/>
      <c r="P50" s="15"/>
      <c r="Q50" s="15"/>
      <c r="R50" s="15"/>
      <c r="S50" s="15"/>
      <c r="T50" s="15"/>
      <c r="U50" s="15"/>
      <c r="V50" s="15"/>
      <c r="W50" s="15"/>
      <c r="X50" s="15"/>
      <c r="Y50" s="15"/>
      <c r="Z50" s="15"/>
    </row>
    <row r="51" spans="1:26" ht="15.75" customHeight="1" x14ac:dyDescent="0.25">
      <c r="A51" s="17" t="s">
        <v>511</v>
      </c>
      <c r="B51" s="41"/>
      <c r="C51" s="43"/>
      <c r="D51" s="43"/>
      <c r="E51" s="43"/>
      <c r="F51" s="43"/>
      <c r="G51" s="45"/>
      <c r="H51" s="14"/>
      <c r="I51" s="15"/>
      <c r="J51" s="15"/>
      <c r="K51" s="15"/>
      <c r="L51" s="15"/>
      <c r="M51" s="15"/>
      <c r="N51" s="60"/>
      <c r="O51" s="15"/>
      <c r="P51" s="15"/>
      <c r="Q51" s="15"/>
      <c r="R51" s="15"/>
      <c r="S51" s="15"/>
      <c r="T51" s="15"/>
      <c r="U51" s="15"/>
      <c r="V51" s="15"/>
      <c r="W51" s="15"/>
      <c r="X51" s="15"/>
      <c r="Y51" s="15"/>
      <c r="Z51" s="15"/>
    </row>
    <row r="52" spans="1:26" ht="15.75" customHeight="1" x14ac:dyDescent="0.25">
      <c r="A52" s="44" t="s">
        <v>415</v>
      </c>
      <c r="B52" s="41" t="s">
        <v>319</v>
      </c>
      <c r="C52" s="43">
        <v>348350.5</v>
      </c>
      <c r="D52" s="43">
        <v>324872</v>
      </c>
      <c r="E52" s="43">
        <f>+F52-D52</f>
        <v>325128</v>
      </c>
      <c r="F52" s="43">
        <v>650000</v>
      </c>
      <c r="G52" s="43">
        <v>650000</v>
      </c>
      <c r="H52" s="14"/>
      <c r="I52" s="15"/>
      <c r="J52" s="15"/>
      <c r="K52" s="15"/>
      <c r="L52" s="15"/>
      <c r="M52" s="15"/>
      <c r="N52" s="60"/>
      <c r="O52" s="15"/>
      <c r="P52" s="15"/>
      <c r="Q52" s="15"/>
      <c r="R52" s="15"/>
      <c r="S52" s="15"/>
      <c r="T52" s="15"/>
      <c r="U52" s="15"/>
      <c r="V52" s="15"/>
      <c r="W52" s="15"/>
      <c r="X52" s="15"/>
      <c r="Y52" s="15"/>
      <c r="Z52" s="15"/>
    </row>
    <row r="53" spans="1:26" ht="15.75" customHeight="1" x14ac:dyDescent="0.25">
      <c r="A53" s="44" t="s">
        <v>418</v>
      </c>
      <c r="B53" s="41" t="s">
        <v>331</v>
      </c>
      <c r="C53" s="43">
        <v>0</v>
      </c>
      <c r="D53" s="43">
        <v>0</v>
      </c>
      <c r="E53" s="56">
        <v>0</v>
      </c>
      <c r="F53" s="43">
        <v>0</v>
      </c>
      <c r="G53" s="43">
        <v>17500</v>
      </c>
      <c r="H53" s="14"/>
      <c r="I53" s="15"/>
      <c r="J53" s="15"/>
      <c r="K53" s="15"/>
      <c r="L53" s="15"/>
      <c r="M53" s="15"/>
      <c r="N53" s="60"/>
      <c r="O53" s="15"/>
      <c r="P53" s="15"/>
      <c r="Q53" s="15"/>
      <c r="R53" s="15"/>
      <c r="S53" s="15"/>
      <c r="T53" s="15"/>
      <c r="U53" s="15"/>
      <c r="V53" s="15"/>
      <c r="W53" s="15"/>
      <c r="X53" s="15"/>
      <c r="Y53" s="15"/>
      <c r="Z53" s="15"/>
    </row>
    <row r="54" spans="1:26" ht="15.75" customHeight="1" x14ac:dyDescent="0.25">
      <c r="A54" s="48" t="s">
        <v>1496</v>
      </c>
      <c r="B54" s="41"/>
      <c r="C54" s="43"/>
      <c r="D54" s="43"/>
      <c r="E54" s="56"/>
      <c r="F54" s="43"/>
      <c r="G54" s="43"/>
      <c r="H54" s="14"/>
      <c r="I54" s="15"/>
      <c r="J54" s="15"/>
      <c r="K54" s="15"/>
      <c r="L54" s="15"/>
      <c r="M54" s="15"/>
      <c r="N54" s="60"/>
      <c r="O54" s="15"/>
      <c r="P54" s="15"/>
      <c r="Q54" s="15"/>
      <c r="R54" s="15"/>
      <c r="S54" s="15"/>
      <c r="T54" s="15"/>
      <c r="U54" s="15"/>
      <c r="V54" s="15"/>
      <c r="W54" s="15"/>
      <c r="X54" s="15"/>
      <c r="Y54" s="15"/>
      <c r="Z54" s="15"/>
    </row>
    <row r="55" spans="1:26" ht="15.75" customHeight="1" x14ac:dyDescent="0.25">
      <c r="A55" s="597" t="s">
        <v>1497</v>
      </c>
      <c r="B55" s="483"/>
      <c r="C55" s="457"/>
      <c r="D55" s="457"/>
      <c r="E55" s="618"/>
      <c r="F55" s="457"/>
      <c r="G55" s="457"/>
      <c r="H55" s="14"/>
      <c r="I55" s="15"/>
      <c r="J55" s="15"/>
      <c r="K55" s="15"/>
      <c r="L55" s="15"/>
      <c r="M55" s="15"/>
      <c r="N55" s="60"/>
      <c r="O55" s="15"/>
      <c r="P55" s="15"/>
      <c r="Q55" s="15"/>
      <c r="R55" s="15"/>
      <c r="S55" s="15"/>
      <c r="T55" s="15"/>
      <c r="U55" s="15"/>
      <c r="V55" s="15"/>
      <c r="W55" s="15"/>
      <c r="X55" s="15"/>
      <c r="Y55" s="15"/>
      <c r="Z55" s="15"/>
    </row>
    <row r="56" spans="1:26" ht="15.75" customHeight="1" x14ac:dyDescent="0.25">
      <c r="A56" s="615" t="s">
        <v>424</v>
      </c>
      <c r="B56" s="601" t="s">
        <v>335</v>
      </c>
      <c r="C56" s="448">
        <v>2222943.04</v>
      </c>
      <c r="D56" s="448">
        <v>1200255</v>
      </c>
      <c r="E56" s="513">
        <f>+F56-D56</f>
        <v>1784645</v>
      </c>
      <c r="F56" s="448">
        <v>2984900</v>
      </c>
      <c r="G56" s="448">
        <v>3652494</v>
      </c>
      <c r="H56" s="14"/>
      <c r="I56" s="15"/>
      <c r="J56" s="15"/>
      <c r="K56" s="15"/>
      <c r="L56" s="15"/>
      <c r="M56" s="15"/>
      <c r="N56" s="60"/>
      <c r="O56" s="15"/>
      <c r="P56" s="15"/>
      <c r="Q56" s="15"/>
      <c r="R56" s="15"/>
      <c r="S56" s="15"/>
      <c r="T56" s="15"/>
      <c r="U56" s="15"/>
      <c r="V56" s="15"/>
      <c r="W56" s="15"/>
      <c r="X56" s="15"/>
      <c r="Y56" s="15"/>
      <c r="Z56" s="15"/>
    </row>
    <row r="57" spans="1:26" ht="15.75" customHeight="1" x14ac:dyDescent="0.25">
      <c r="A57" s="48" t="s">
        <v>1498</v>
      </c>
      <c r="B57" s="41"/>
      <c r="C57" s="43"/>
      <c r="D57" s="43"/>
      <c r="E57" s="56"/>
      <c r="F57" s="43"/>
      <c r="G57" s="43"/>
      <c r="H57" s="14"/>
      <c r="I57" s="15"/>
      <c r="J57" s="15"/>
      <c r="K57" s="15"/>
      <c r="L57" s="15"/>
      <c r="M57" s="15"/>
      <c r="N57" s="60">
        <v>25926</v>
      </c>
      <c r="O57" s="15"/>
      <c r="P57" s="15"/>
      <c r="Q57" s="15"/>
      <c r="R57" s="15"/>
      <c r="S57" s="15"/>
      <c r="T57" s="15"/>
      <c r="U57" s="15"/>
      <c r="V57" s="15"/>
      <c r="W57" s="15"/>
      <c r="X57" s="15"/>
      <c r="Y57" s="15"/>
      <c r="Z57" s="15"/>
    </row>
    <row r="58" spans="1:26" ht="15.75" customHeight="1" x14ac:dyDescent="0.25">
      <c r="A58" s="44" t="s">
        <v>864</v>
      </c>
      <c r="B58" s="41"/>
      <c r="C58" s="43"/>
      <c r="D58" s="43"/>
      <c r="E58" s="56"/>
      <c r="F58" s="43"/>
      <c r="G58" s="43"/>
      <c r="H58" s="14"/>
      <c r="I58" s="210" t="s">
        <v>877</v>
      </c>
      <c r="J58" s="211" t="s">
        <v>878</v>
      </c>
      <c r="K58" s="210" t="s">
        <v>879</v>
      </c>
      <c r="L58" s="8" t="s">
        <v>880</v>
      </c>
      <c r="M58" s="210" t="s">
        <v>881</v>
      </c>
      <c r="N58" s="60"/>
      <c r="O58" s="15"/>
      <c r="P58" s="15"/>
      <c r="Q58" s="15"/>
      <c r="R58" s="15"/>
      <c r="S58" s="15"/>
      <c r="T58" s="15"/>
      <c r="U58" s="15"/>
      <c r="V58" s="15"/>
      <c r="W58" s="15"/>
      <c r="X58" s="15"/>
      <c r="Y58" s="15"/>
      <c r="Z58" s="15"/>
    </row>
    <row r="59" spans="1:26" ht="31.5" x14ac:dyDescent="0.25">
      <c r="A59" s="68" t="s">
        <v>1499</v>
      </c>
      <c r="B59" s="41"/>
      <c r="C59" s="43"/>
      <c r="D59" s="43"/>
      <c r="E59" s="56"/>
      <c r="F59" s="43"/>
      <c r="G59" s="43"/>
      <c r="H59" s="14"/>
      <c r="I59" s="60">
        <v>765</v>
      </c>
      <c r="J59" s="211">
        <v>2</v>
      </c>
      <c r="K59" s="8">
        <v>22</v>
      </c>
      <c r="L59" s="8">
        <v>12</v>
      </c>
      <c r="M59" s="60">
        <f t="shared" ref="M59:M64" si="6">I59*J59*K59*L59</f>
        <v>403920</v>
      </c>
      <c r="N59" s="60"/>
      <c r="O59" s="15"/>
      <c r="P59" s="15"/>
      <c r="Q59" s="15"/>
      <c r="R59" s="15"/>
      <c r="S59" s="15"/>
      <c r="T59" s="15"/>
      <c r="U59" s="15"/>
      <c r="V59" s="15"/>
      <c r="W59" s="15"/>
      <c r="X59" s="15"/>
      <c r="Y59" s="15"/>
      <c r="Z59" s="15"/>
    </row>
    <row r="60" spans="1:26" ht="31.5" x14ac:dyDescent="0.25">
      <c r="A60" s="68" t="s">
        <v>1500</v>
      </c>
      <c r="B60" s="41"/>
      <c r="C60" s="43"/>
      <c r="D60" s="43"/>
      <c r="E60" s="56"/>
      <c r="F60" s="43"/>
      <c r="G60" s="43"/>
      <c r="H60" s="14"/>
      <c r="I60" s="60">
        <v>720</v>
      </c>
      <c r="J60" s="211">
        <v>1</v>
      </c>
      <c r="K60" s="8">
        <v>22</v>
      </c>
      <c r="L60" s="8">
        <v>12</v>
      </c>
      <c r="M60" s="60">
        <f t="shared" si="6"/>
        <v>190080</v>
      </c>
      <c r="N60" s="60"/>
      <c r="O60" s="15"/>
      <c r="P60" s="15"/>
      <c r="Q60" s="15"/>
      <c r="R60" s="15"/>
      <c r="S60" s="15"/>
      <c r="T60" s="15"/>
      <c r="U60" s="15"/>
      <c r="V60" s="15"/>
      <c r="W60" s="15"/>
      <c r="X60" s="15"/>
      <c r="Y60" s="15"/>
      <c r="Z60" s="15"/>
    </row>
    <row r="61" spans="1:26" ht="31.5" x14ac:dyDescent="0.25">
      <c r="A61" s="68" t="s">
        <v>1501</v>
      </c>
      <c r="B61" s="41"/>
      <c r="C61" s="43"/>
      <c r="D61" s="43"/>
      <c r="E61" s="56"/>
      <c r="F61" s="43"/>
      <c r="G61" s="43"/>
      <c r="H61" s="14"/>
      <c r="I61" s="60">
        <v>678</v>
      </c>
      <c r="J61" s="211">
        <v>8</v>
      </c>
      <c r="K61" s="8">
        <v>22</v>
      </c>
      <c r="L61" s="8">
        <v>12</v>
      </c>
      <c r="M61" s="60">
        <f t="shared" si="6"/>
        <v>1431936</v>
      </c>
      <c r="N61" s="60"/>
      <c r="O61" s="15"/>
      <c r="P61" s="15"/>
      <c r="Q61" s="15"/>
      <c r="R61" s="15"/>
      <c r="S61" s="15"/>
      <c r="T61" s="15"/>
      <c r="U61" s="15"/>
      <c r="V61" s="15"/>
      <c r="W61" s="15"/>
      <c r="X61" s="15"/>
      <c r="Y61" s="15"/>
      <c r="Z61" s="15"/>
    </row>
    <row r="62" spans="1:26" ht="31.5" x14ac:dyDescent="0.25">
      <c r="A62" s="68" t="s">
        <v>1502</v>
      </c>
      <c r="B62" s="41"/>
      <c r="C62" s="43"/>
      <c r="D62" s="43"/>
      <c r="E62" s="56"/>
      <c r="F62" s="43"/>
      <c r="G62" s="43"/>
      <c r="H62" s="14"/>
      <c r="I62" s="60">
        <v>678</v>
      </c>
      <c r="J62" s="211">
        <v>7</v>
      </c>
      <c r="K62" s="8">
        <v>22</v>
      </c>
      <c r="L62" s="8">
        <v>12</v>
      </c>
      <c r="M62" s="60">
        <f t="shared" si="6"/>
        <v>1252944</v>
      </c>
      <c r="N62" s="60"/>
      <c r="O62" s="15"/>
      <c r="P62" s="15"/>
      <c r="Q62" s="15"/>
      <c r="R62" s="15"/>
      <c r="S62" s="15"/>
      <c r="T62" s="15"/>
      <c r="U62" s="15"/>
      <c r="V62" s="15"/>
      <c r="W62" s="15"/>
      <c r="X62" s="15"/>
      <c r="Y62" s="15"/>
      <c r="Z62" s="15"/>
    </row>
    <row r="63" spans="1:26" ht="31.5" x14ac:dyDescent="0.25">
      <c r="A63" s="68" t="s">
        <v>1503</v>
      </c>
      <c r="B63" s="41"/>
      <c r="C63" s="43"/>
      <c r="D63" s="43"/>
      <c r="E63" s="56"/>
      <c r="F63" s="43"/>
      <c r="G63" s="43"/>
      <c r="H63" s="14"/>
      <c r="I63" s="60">
        <v>639</v>
      </c>
      <c r="J63" s="211">
        <v>1</v>
      </c>
      <c r="K63" s="8">
        <v>22</v>
      </c>
      <c r="L63" s="8">
        <v>12</v>
      </c>
      <c r="M63" s="60">
        <f t="shared" si="6"/>
        <v>168696</v>
      </c>
      <c r="N63" s="60"/>
      <c r="O63" s="15"/>
      <c r="P63" s="15"/>
      <c r="Q63" s="15"/>
      <c r="R63" s="15"/>
      <c r="S63" s="15"/>
      <c r="T63" s="15"/>
      <c r="U63" s="15"/>
      <c r="V63" s="15"/>
      <c r="W63" s="15"/>
      <c r="X63" s="15"/>
      <c r="Y63" s="15"/>
      <c r="Z63" s="15"/>
    </row>
    <row r="64" spans="1:26" ht="31.5" x14ac:dyDescent="0.25">
      <c r="A64" s="68" t="s">
        <v>1504</v>
      </c>
      <c r="B64" s="41"/>
      <c r="C64" s="43"/>
      <c r="D64" s="43"/>
      <c r="E64" s="56"/>
      <c r="F64" s="43"/>
      <c r="G64" s="43"/>
      <c r="H64" s="14"/>
      <c r="I64" s="60">
        <v>678</v>
      </c>
      <c r="J64" s="211">
        <v>1</v>
      </c>
      <c r="K64" s="8">
        <v>22</v>
      </c>
      <c r="L64" s="8">
        <v>12</v>
      </c>
      <c r="M64" s="60">
        <f t="shared" si="6"/>
        <v>178992</v>
      </c>
      <c r="N64" s="60">
        <f>SUM(M59:M64)</f>
        <v>3626568</v>
      </c>
      <c r="O64" s="16">
        <f>N57+N64</f>
        <v>3652494</v>
      </c>
      <c r="P64" s="15"/>
      <c r="Q64" s="15"/>
      <c r="R64" s="15"/>
      <c r="S64" s="15"/>
      <c r="T64" s="15"/>
      <c r="U64" s="15"/>
      <c r="V64" s="15"/>
      <c r="W64" s="15"/>
      <c r="X64" s="15"/>
      <c r="Y64" s="15"/>
      <c r="Z64" s="15"/>
    </row>
    <row r="65" spans="1:26" ht="15.75" customHeight="1" x14ac:dyDescent="0.25">
      <c r="A65" s="42" t="s">
        <v>466</v>
      </c>
      <c r="B65" s="41"/>
      <c r="C65" s="54">
        <f>SUM(C41:C56)</f>
        <v>4971707.13</v>
      </c>
      <c r="D65" s="54">
        <f>+SUM(D42:D56)</f>
        <v>2661600.69</v>
      </c>
      <c r="E65" s="54">
        <f>+SUM(E42:E56)</f>
        <v>4467451.3100000005</v>
      </c>
      <c r="F65" s="54">
        <f>+SUM(F42:F56)</f>
        <v>7129052</v>
      </c>
      <c r="G65" s="54">
        <f>SUM(G42:G56)</f>
        <v>6944939</v>
      </c>
      <c r="H65" s="15"/>
      <c r="I65" s="15"/>
      <c r="J65" s="15"/>
      <c r="K65" s="15"/>
      <c r="L65" s="15"/>
      <c r="M65" s="15"/>
      <c r="N65" s="60"/>
      <c r="O65" s="15"/>
      <c r="P65" s="15"/>
      <c r="Q65" s="15"/>
      <c r="R65" s="15"/>
      <c r="S65" s="15"/>
      <c r="T65" s="15"/>
      <c r="U65" s="15"/>
      <c r="V65" s="15"/>
      <c r="W65" s="15"/>
      <c r="X65" s="15"/>
      <c r="Y65" s="15"/>
      <c r="Z65" s="15"/>
    </row>
    <row r="66" spans="1:26" ht="15.75" customHeight="1" x14ac:dyDescent="0.25">
      <c r="A66" s="17"/>
      <c r="B66" s="41"/>
      <c r="C66" s="43"/>
      <c r="D66" s="45"/>
      <c r="E66" s="45"/>
      <c r="F66" s="45"/>
      <c r="G66" s="45"/>
      <c r="H66" s="14"/>
      <c r="I66" s="15"/>
      <c r="J66" s="15"/>
      <c r="K66" s="15"/>
      <c r="L66" s="15"/>
      <c r="M66" s="15"/>
      <c r="N66" s="60"/>
      <c r="O66" s="15"/>
      <c r="P66" s="15"/>
      <c r="Q66" s="15"/>
      <c r="R66" s="15"/>
      <c r="S66" s="15"/>
      <c r="T66" s="15"/>
      <c r="U66" s="15"/>
      <c r="V66" s="15"/>
      <c r="W66" s="15"/>
      <c r="X66" s="15"/>
      <c r="Y66" s="15"/>
      <c r="Z66" s="15"/>
    </row>
    <row r="67" spans="1:26" ht="15.75" customHeight="1" x14ac:dyDescent="0.25">
      <c r="A67" s="17" t="s">
        <v>467</v>
      </c>
      <c r="B67" s="41"/>
      <c r="C67" s="43">
        <f>+C65+C38</f>
        <v>10650738.119999999</v>
      </c>
      <c r="D67" s="43">
        <f>+D65+D38</f>
        <v>5789982.0700000003</v>
      </c>
      <c r="E67" s="43">
        <f>+E65+E38</f>
        <v>10260018.930000002</v>
      </c>
      <c r="F67" s="43">
        <f>SUM(F65+F38)</f>
        <v>16050001</v>
      </c>
      <c r="G67" s="43">
        <f>+G65+G38</f>
        <v>16212500</v>
      </c>
      <c r="H67" s="14"/>
      <c r="I67" s="15"/>
      <c r="J67" s="15"/>
      <c r="K67" s="15"/>
      <c r="L67" s="15"/>
      <c r="M67" s="15"/>
      <c r="N67" s="60"/>
      <c r="O67" s="15"/>
      <c r="P67" s="15"/>
      <c r="Q67" s="15"/>
      <c r="R67" s="15"/>
      <c r="S67" s="15"/>
      <c r="T67" s="15"/>
      <c r="U67" s="15"/>
      <c r="V67" s="15"/>
      <c r="W67" s="15"/>
      <c r="X67" s="15"/>
      <c r="Y67" s="15"/>
      <c r="Z67" s="15"/>
    </row>
    <row r="68" spans="1:26" ht="15.75" customHeight="1" x14ac:dyDescent="0.25">
      <c r="A68" s="17"/>
      <c r="B68" s="41"/>
      <c r="C68" s="45"/>
      <c r="D68" s="45"/>
      <c r="E68" s="45"/>
      <c r="F68" s="45"/>
      <c r="G68" s="45"/>
      <c r="H68" s="14"/>
      <c r="I68" s="15"/>
      <c r="J68" s="15"/>
      <c r="K68" s="15"/>
      <c r="L68" s="15"/>
      <c r="M68" s="15"/>
      <c r="N68" s="60"/>
      <c r="O68" s="15"/>
      <c r="P68" s="15"/>
      <c r="Q68" s="15"/>
      <c r="R68" s="15"/>
      <c r="S68" s="15"/>
      <c r="T68" s="15"/>
      <c r="U68" s="15"/>
      <c r="V68" s="15"/>
      <c r="W68" s="15"/>
      <c r="X68" s="15"/>
      <c r="Y68" s="15"/>
      <c r="Z68" s="15"/>
    </row>
    <row r="69" spans="1:26" ht="15.75" customHeight="1" x14ac:dyDescent="0.25">
      <c r="A69" s="456" t="s">
        <v>529</v>
      </c>
      <c r="B69" s="454" t="s">
        <v>488</v>
      </c>
      <c r="C69" s="443"/>
      <c r="D69" s="443"/>
      <c r="E69" s="443"/>
      <c r="F69" s="443"/>
      <c r="G69" s="462"/>
      <c r="H69" s="14"/>
      <c r="I69" s="15"/>
      <c r="J69" s="15"/>
      <c r="K69" s="15"/>
      <c r="L69" s="15"/>
      <c r="M69" s="15"/>
      <c r="N69" s="60"/>
      <c r="O69" s="15"/>
      <c r="P69" s="15"/>
      <c r="Q69" s="15"/>
      <c r="R69" s="15"/>
      <c r="S69" s="15"/>
      <c r="T69" s="15"/>
      <c r="U69" s="15"/>
      <c r="V69" s="15"/>
      <c r="W69" s="15"/>
      <c r="X69" s="15"/>
      <c r="Y69" s="15"/>
      <c r="Z69" s="15"/>
    </row>
    <row r="70" spans="1:26" ht="15.75" customHeight="1" x14ac:dyDescent="0.25">
      <c r="A70" s="42" t="s">
        <v>476</v>
      </c>
      <c r="B70" s="94"/>
      <c r="C70" s="45"/>
      <c r="D70" s="43"/>
      <c r="E70" s="43"/>
      <c r="F70" s="43"/>
      <c r="G70" s="43"/>
      <c r="H70" s="14"/>
      <c r="I70" s="15"/>
      <c r="J70" s="15"/>
      <c r="K70" s="15"/>
      <c r="L70" s="15"/>
      <c r="M70" s="15"/>
      <c r="N70" s="60"/>
      <c r="O70" s="15"/>
      <c r="P70" s="15"/>
      <c r="Q70" s="15"/>
      <c r="R70" s="15"/>
      <c r="S70" s="15"/>
      <c r="T70" s="15"/>
      <c r="U70" s="15"/>
      <c r="V70" s="15"/>
      <c r="W70" s="15"/>
      <c r="X70" s="15"/>
      <c r="Y70" s="15"/>
      <c r="Z70" s="15"/>
    </row>
    <row r="71" spans="1:26" ht="15.75" customHeight="1" x14ac:dyDescent="0.25">
      <c r="A71" s="48" t="s">
        <v>639</v>
      </c>
      <c r="B71" s="41" t="s">
        <v>47</v>
      </c>
      <c r="C71" s="45">
        <v>54800</v>
      </c>
      <c r="D71" s="43">
        <v>62500</v>
      </c>
      <c r="E71" s="43">
        <f>+F71-D71</f>
        <v>0</v>
      </c>
      <c r="F71" s="43">
        <v>62500</v>
      </c>
      <c r="G71" s="43">
        <v>208500</v>
      </c>
      <c r="H71" s="14"/>
      <c r="I71" s="15"/>
      <c r="J71" s="15"/>
      <c r="K71" s="15"/>
      <c r="L71" s="15"/>
      <c r="M71" s="15"/>
      <c r="N71" s="60"/>
      <c r="O71" s="15"/>
      <c r="P71" s="15"/>
      <c r="Q71" s="15"/>
      <c r="R71" s="15"/>
      <c r="S71" s="15"/>
      <c r="T71" s="15"/>
      <c r="U71" s="15"/>
      <c r="V71" s="15"/>
      <c r="W71" s="15"/>
      <c r="X71" s="15"/>
      <c r="Y71" s="15"/>
      <c r="Z71" s="15"/>
    </row>
    <row r="72" spans="1:26" ht="15.75" customHeight="1" x14ac:dyDescent="0.25">
      <c r="A72" s="48" t="s">
        <v>1505</v>
      </c>
      <c r="B72" s="41"/>
      <c r="C72" s="45"/>
      <c r="D72" s="43"/>
      <c r="E72" s="43"/>
      <c r="F72" s="43"/>
      <c r="G72" s="43"/>
      <c r="H72" s="14"/>
      <c r="I72" s="15"/>
      <c r="J72" s="15"/>
      <c r="K72" s="15"/>
      <c r="L72" s="15"/>
      <c r="M72" s="15"/>
      <c r="N72" s="60"/>
      <c r="O72" s="15"/>
      <c r="P72" s="15"/>
      <c r="Q72" s="15"/>
      <c r="R72" s="15"/>
      <c r="S72" s="15"/>
      <c r="T72" s="15"/>
      <c r="U72" s="15"/>
      <c r="V72" s="15"/>
      <c r="W72" s="15"/>
      <c r="X72" s="15"/>
      <c r="Y72" s="15"/>
      <c r="Z72" s="15"/>
    </row>
    <row r="73" spans="1:26" ht="15.75" customHeight="1" x14ac:dyDescent="0.25">
      <c r="A73" s="48" t="s">
        <v>1506</v>
      </c>
      <c r="B73" s="41"/>
      <c r="C73" s="45"/>
      <c r="D73" s="43"/>
      <c r="E73" s="43"/>
      <c r="F73" s="43"/>
      <c r="G73" s="43"/>
      <c r="H73" s="14"/>
      <c r="I73" s="15"/>
      <c r="J73" s="15"/>
      <c r="K73" s="15"/>
      <c r="L73" s="15"/>
      <c r="M73" s="15"/>
      <c r="N73" s="60"/>
      <c r="O73" s="15"/>
      <c r="P73" s="15"/>
      <c r="Q73" s="15"/>
      <c r="R73" s="15"/>
      <c r="S73" s="15"/>
      <c r="T73" s="15"/>
      <c r="U73" s="15"/>
      <c r="V73" s="15"/>
      <c r="W73" s="15"/>
      <c r="X73" s="15"/>
      <c r="Y73" s="15"/>
      <c r="Z73" s="15"/>
    </row>
    <row r="74" spans="1:26" ht="15.75" customHeight="1" x14ac:dyDescent="0.25">
      <c r="A74" s="48" t="s">
        <v>1507</v>
      </c>
      <c r="B74" s="41" t="s">
        <v>49</v>
      </c>
      <c r="C74" s="45">
        <v>3202000</v>
      </c>
      <c r="D74" s="43">
        <v>197500</v>
      </c>
      <c r="E74" s="43">
        <f>+F74-D74</f>
        <v>361900</v>
      </c>
      <c r="F74" s="43">
        <v>559400</v>
      </c>
      <c r="G74" s="43">
        <v>1099495</v>
      </c>
      <c r="H74" s="14"/>
      <c r="I74" s="15"/>
      <c r="J74" s="15"/>
      <c r="K74" s="15"/>
      <c r="L74" s="15"/>
      <c r="M74" s="15"/>
      <c r="N74" s="60"/>
      <c r="O74" s="15"/>
      <c r="P74" s="15"/>
      <c r="Q74" s="15"/>
      <c r="R74" s="15"/>
      <c r="S74" s="15"/>
      <c r="T74" s="15"/>
      <c r="U74" s="15"/>
      <c r="V74" s="15"/>
      <c r="W74" s="15"/>
      <c r="X74" s="15"/>
      <c r="Y74" s="15"/>
      <c r="Z74" s="15"/>
    </row>
    <row r="75" spans="1:26" ht="15.75" customHeight="1" x14ac:dyDescent="0.25">
      <c r="A75" s="48" t="s">
        <v>1508</v>
      </c>
      <c r="B75" s="41"/>
      <c r="C75" s="45"/>
      <c r="D75" s="45"/>
      <c r="E75" s="43"/>
      <c r="F75" s="45"/>
      <c r="G75" s="45"/>
      <c r="H75" s="14"/>
      <c r="I75" s="15"/>
      <c r="J75" s="15"/>
      <c r="K75" s="15"/>
      <c r="L75" s="15"/>
      <c r="M75" s="15"/>
      <c r="N75" s="60"/>
      <c r="O75" s="15"/>
      <c r="P75" s="15"/>
      <c r="Q75" s="15"/>
      <c r="R75" s="15"/>
      <c r="S75" s="15"/>
      <c r="T75" s="15"/>
      <c r="U75" s="15"/>
      <c r="V75" s="15"/>
      <c r="W75" s="15"/>
      <c r="X75" s="15"/>
      <c r="Y75" s="15"/>
      <c r="Z75" s="15"/>
    </row>
    <row r="76" spans="1:26" ht="31.5" x14ac:dyDescent="0.25">
      <c r="A76" s="557" t="s">
        <v>1509</v>
      </c>
      <c r="B76" s="478"/>
      <c r="C76" s="45"/>
      <c r="D76" s="45"/>
      <c r="E76" s="43"/>
      <c r="F76" s="45"/>
      <c r="G76" s="45"/>
      <c r="H76" s="14"/>
      <c r="I76" s="15"/>
      <c r="J76" s="15"/>
      <c r="K76" s="15"/>
      <c r="L76" s="15"/>
      <c r="M76" s="15"/>
      <c r="N76" s="60"/>
      <c r="O76" s="15"/>
      <c r="P76" s="15"/>
      <c r="Q76" s="15"/>
      <c r="R76" s="15"/>
      <c r="S76" s="15"/>
      <c r="T76" s="15"/>
      <c r="U76" s="15"/>
      <c r="V76" s="15"/>
      <c r="W76" s="15"/>
      <c r="X76" s="15"/>
      <c r="Y76" s="15"/>
      <c r="Z76" s="15"/>
    </row>
    <row r="77" spans="1:26" ht="15.75" customHeight="1" x14ac:dyDescent="0.25">
      <c r="A77" s="48" t="s">
        <v>1510</v>
      </c>
      <c r="B77" s="41"/>
      <c r="C77" s="45"/>
      <c r="D77" s="45"/>
      <c r="E77" s="43"/>
      <c r="F77" s="45"/>
      <c r="G77" s="45"/>
      <c r="H77" s="14"/>
      <c r="I77" s="15"/>
      <c r="J77" s="15"/>
      <c r="K77" s="15"/>
      <c r="L77" s="15"/>
      <c r="M77" s="15"/>
      <c r="N77" s="60"/>
      <c r="O77" s="15"/>
      <c r="P77" s="15"/>
      <c r="Q77" s="15"/>
      <c r="R77" s="15"/>
      <c r="S77" s="15"/>
      <c r="T77" s="15"/>
      <c r="U77" s="15"/>
      <c r="V77" s="15"/>
      <c r="W77" s="15"/>
      <c r="X77" s="15"/>
      <c r="Y77" s="15"/>
      <c r="Z77" s="15"/>
    </row>
    <row r="78" spans="1:26" ht="15.75" customHeight="1" x14ac:dyDescent="0.25">
      <c r="A78" s="48" t="s">
        <v>1511</v>
      </c>
      <c r="B78" s="41"/>
      <c r="C78" s="45"/>
      <c r="D78" s="45"/>
      <c r="E78" s="43"/>
      <c r="F78" s="45"/>
      <c r="G78" s="45"/>
      <c r="H78" s="14"/>
      <c r="I78" s="15"/>
      <c r="J78" s="15"/>
      <c r="K78" s="15"/>
      <c r="L78" s="15"/>
      <c r="M78" s="15"/>
      <c r="N78" s="60"/>
      <c r="O78" s="15"/>
      <c r="P78" s="15"/>
      <c r="Q78" s="15"/>
      <c r="R78" s="15"/>
      <c r="S78" s="15"/>
      <c r="T78" s="15"/>
      <c r="U78" s="15"/>
      <c r="V78" s="15"/>
      <c r="W78" s="15"/>
      <c r="X78" s="15"/>
      <c r="Y78" s="15"/>
      <c r="Z78" s="15"/>
    </row>
    <row r="79" spans="1:26" ht="15.75" customHeight="1" x14ac:dyDescent="0.25">
      <c r="A79" s="48" t="s">
        <v>1512</v>
      </c>
      <c r="B79" s="41"/>
      <c r="C79" s="45"/>
      <c r="D79" s="45"/>
      <c r="E79" s="43"/>
      <c r="F79" s="45"/>
      <c r="G79" s="45"/>
      <c r="H79" s="14"/>
      <c r="I79" s="15"/>
      <c r="J79" s="15"/>
      <c r="K79" s="15"/>
      <c r="L79" s="15"/>
      <c r="M79" s="15"/>
      <c r="N79" s="60"/>
      <c r="O79" s="15"/>
      <c r="P79" s="15"/>
      <c r="Q79" s="15"/>
      <c r="R79" s="15"/>
      <c r="S79" s="15"/>
      <c r="T79" s="15"/>
      <c r="U79" s="15"/>
      <c r="V79" s="15"/>
      <c r="W79" s="15"/>
      <c r="X79" s="15"/>
      <c r="Y79" s="15"/>
      <c r="Z79" s="15"/>
    </row>
    <row r="80" spans="1:26" ht="15.75" customHeight="1" x14ac:dyDescent="0.25">
      <c r="A80" s="48" t="s">
        <v>1513</v>
      </c>
      <c r="B80" s="41"/>
      <c r="C80" s="45"/>
      <c r="D80" s="45"/>
      <c r="E80" s="43"/>
      <c r="F80" s="45"/>
      <c r="G80" s="45"/>
      <c r="H80" s="14"/>
      <c r="I80" s="15"/>
      <c r="J80" s="15"/>
      <c r="K80" s="15"/>
      <c r="L80" s="15"/>
      <c r="M80" s="15"/>
      <c r="N80" s="60"/>
      <c r="O80" s="15"/>
      <c r="P80" s="15"/>
      <c r="Q80" s="15"/>
      <c r="R80" s="15"/>
      <c r="S80" s="15"/>
      <c r="T80" s="15"/>
      <c r="U80" s="15"/>
      <c r="V80" s="15"/>
      <c r="W80" s="15"/>
      <c r="X80" s="15"/>
      <c r="Y80" s="15"/>
      <c r="Z80" s="15"/>
    </row>
    <row r="81" spans="1:26" ht="15.75" customHeight="1" x14ac:dyDescent="0.25">
      <c r="A81" s="765" t="s">
        <v>2806</v>
      </c>
      <c r="B81" s="41"/>
      <c r="C81" s="45"/>
      <c r="D81" s="45"/>
      <c r="E81" s="43"/>
      <c r="F81" s="45"/>
      <c r="G81" s="45"/>
      <c r="H81" s="14"/>
      <c r="I81" s="15"/>
      <c r="J81" s="15"/>
      <c r="K81" s="15"/>
      <c r="L81" s="15"/>
      <c r="M81" s="15"/>
      <c r="N81" s="60"/>
      <c r="O81" s="15"/>
      <c r="P81" s="15"/>
      <c r="Q81" s="15"/>
      <c r="R81" s="15"/>
      <c r="S81" s="15"/>
      <c r="T81" s="15"/>
      <c r="U81" s="15"/>
      <c r="V81" s="15"/>
      <c r="W81" s="15"/>
      <c r="X81" s="15"/>
      <c r="Y81" s="15"/>
      <c r="Z81" s="15"/>
    </row>
    <row r="82" spans="1:26" ht="15.75" customHeight="1" x14ac:dyDescent="0.25">
      <c r="A82" s="766" t="s">
        <v>2806</v>
      </c>
      <c r="B82" s="41" t="s">
        <v>107</v>
      </c>
      <c r="C82" s="45">
        <v>179998</v>
      </c>
      <c r="D82" s="45">
        <v>2000000</v>
      </c>
      <c r="E82" s="43">
        <f>+F82-D82</f>
        <v>0</v>
      </c>
      <c r="F82" s="45">
        <v>2000000</v>
      </c>
      <c r="G82" s="45">
        <v>850000</v>
      </c>
      <c r="H82" s="14"/>
      <c r="I82" s="15"/>
      <c r="J82" s="15"/>
      <c r="K82" s="15"/>
      <c r="L82" s="15"/>
      <c r="M82" s="15"/>
      <c r="N82" s="60"/>
      <c r="O82" s="15"/>
      <c r="P82" s="15"/>
      <c r="Q82" s="15"/>
      <c r="R82" s="15"/>
      <c r="S82" s="15"/>
      <c r="T82" s="15"/>
      <c r="U82" s="15"/>
      <c r="V82" s="15"/>
      <c r="W82" s="15"/>
      <c r="X82" s="15"/>
      <c r="Y82" s="15"/>
      <c r="Z82" s="15"/>
    </row>
    <row r="83" spans="1:26" ht="15.75" customHeight="1" x14ac:dyDescent="0.25">
      <c r="A83" s="48" t="s">
        <v>1514</v>
      </c>
      <c r="B83" s="41"/>
      <c r="C83" s="45"/>
      <c r="D83" s="45"/>
      <c r="E83" s="43"/>
      <c r="F83" s="45"/>
      <c r="G83" s="45"/>
      <c r="H83" s="7"/>
      <c r="N83" s="294"/>
    </row>
    <row r="84" spans="1:26" ht="15.75" customHeight="1" x14ac:dyDescent="0.25">
      <c r="A84" s="42" t="s">
        <v>1145</v>
      </c>
      <c r="B84" s="41"/>
      <c r="C84" s="79">
        <f>+SUM(C71:C82)</f>
        <v>3436798</v>
      </c>
      <c r="D84" s="54">
        <f>+SUM(D71:D82)</f>
        <v>2260000</v>
      </c>
      <c r="E84" s="54">
        <f>+SUM(E71:E82)</f>
        <v>361900</v>
      </c>
      <c r="F84" s="54">
        <f>+SUM(F71:F82)</f>
        <v>2621900</v>
      </c>
      <c r="G84" s="54">
        <f>SUM(G71:G82)</f>
        <v>2157995</v>
      </c>
      <c r="H84" s="7"/>
      <c r="N84" s="294"/>
    </row>
    <row r="85" spans="1:26" ht="15.75" customHeight="1" x14ac:dyDescent="0.25">
      <c r="A85" s="42"/>
      <c r="B85" s="41"/>
      <c r="C85" s="39"/>
      <c r="D85" s="39"/>
      <c r="E85" s="55"/>
      <c r="F85" s="55"/>
      <c r="G85" s="55"/>
      <c r="H85" s="7"/>
      <c r="N85" s="294"/>
    </row>
    <row r="86" spans="1:26" ht="15.75" customHeight="1" x14ac:dyDescent="0.25">
      <c r="A86" s="50" t="s">
        <v>487</v>
      </c>
      <c r="B86" s="133" t="s">
        <v>488</v>
      </c>
      <c r="C86" s="54">
        <f>+C84+C67</f>
        <v>14087536.119999999</v>
      </c>
      <c r="D86" s="54">
        <f>+D84+D67</f>
        <v>8049982.0700000003</v>
      </c>
      <c r="E86" s="54">
        <f>+E84+E67</f>
        <v>10621918.930000002</v>
      </c>
      <c r="F86" s="54">
        <f>+F84+F67</f>
        <v>18671901</v>
      </c>
      <c r="G86" s="54">
        <f>+G84+G67</f>
        <v>18370495</v>
      </c>
      <c r="H86" s="7"/>
      <c r="N86" s="294"/>
    </row>
    <row r="87" spans="1:26" ht="15.75" customHeight="1" x14ac:dyDescent="0.25">
      <c r="A87" s="98"/>
      <c r="B87" s="174"/>
      <c r="C87" s="24"/>
      <c r="D87" s="24"/>
      <c r="E87" s="24"/>
      <c r="H87" s="7"/>
      <c r="N87" s="294"/>
    </row>
    <row r="88" spans="1:26" ht="15.75" customHeight="1" x14ac:dyDescent="0.25">
      <c r="A88" s="24"/>
      <c r="B88" s="174"/>
      <c r="C88" s="24"/>
      <c r="D88" s="24"/>
      <c r="E88" s="24"/>
      <c r="H88" s="7"/>
      <c r="N88" s="294"/>
    </row>
    <row r="89" spans="1:26" ht="15.75" customHeight="1" x14ac:dyDescent="0.25">
      <c r="A89" s="24"/>
      <c r="B89" s="174"/>
      <c r="C89" s="24"/>
      <c r="D89" s="24"/>
      <c r="E89" s="24"/>
      <c r="H89" s="7"/>
      <c r="N89" s="294"/>
    </row>
    <row r="90" spans="1:26" ht="15.75" customHeight="1" x14ac:dyDescent="0.25">
      <c r="A90" s="24"/>
      <c r="B90" s="174"/>
      <c r="C90" s="24"/>
      <c r="D90" s="24"/>
      <c r="E90" s="24"/>
      <c r="H90" s="7"/>
      <c r="N90" s="294"/>
    </row>
    <row r="91" spans="1:26" ht="15.75" customHeight="1" x14ac:dyDescent="0.25">
      <c r="A91" s="24"/>
      <c r="B91" s="174"/>
      <c r="C91" s="24"/>
      <c r="D91" s="24"/>
      <c r="E91" s="24"/>
      <c r="H91" s="7"/>
      <c r="N91" s="294"/>
    </row>
    <row r="92" spans="1:26" ht="15.75" customHeight="1" x14ac:dyDescent="0.25">
      <c r="A92" s="24"/>
      <c r="B92" s="174"/>
      <c r="C92" s="24"/>
      <c r="D92" s="24"/>
      <c r="E92" s="24"/>
      <c r="H92" s="7"/>
      <c r="N92" s="294"/>
    </row>
    <row r="93" spans="1:26" ht="15.75" customHeight="1" x14ac:dyDescent="0.25">
      <c r="A93" s="24"/>
      <c r="B93" s="174"/>
      <c r="C93" s="24"/>
      <c r="D93" s="24"/>
      <c r="E93" s="24"/>
      <c r="H93" s="7"/>
      <c r="N93" s="294"/>
    </row>
    <row r="94" spans="1:26" ht="15.75" customHeight="1" x14ac:dyDescent="0.25">
      <c r="A94" s="24"/>
      <c r="B94" s="174"/>
      <c r="C94" s="24"/>
      <c r="D94" s="24"/>
      <c r="E94" s="24"/>
      <c r="H94" s="7"/>
      <c r="N94" s="294"/>
    </row>
    <row r="95" spans="1:26" ht="15.75" customHeight="1" x14ac:dyDescent="0.25">
      <c r="A95" s="24"/>
      <c r="B95" s="174"/>
      <c r="C95" s="24"/>
      <c r="D95" s="24"/>
      <c r="E95" s="24"/>
      <c r="H95" s="7"/>
      <c r="N95" s="294"/>
    </row>
    <row r="96" spans="1:26" ht="15.75" customHeight="1" x14ac:dyDescent="0.25">
      <c r="A96" s="24"/>
      <c r="B96" s="174"/>
      <c r="C96" s="24"/>
      <c r="D96" s="24"/>
      <c r="E96" s="24"/>
      <c r="H96" s="7"/>
      <c r="N96" s="294"/>
    </row>
    <row r="97" spans="1:14" ht="15.75" customHeight="1" x14ac:dyDescent="0.25">
      <c r="A97" s="24"/>
      <c r="B97" s="174"/>
      <c r="C97" s="24"/>
      <c r="D97" s="24"/>
      <c r="E97" s="24"/>
      <c r="H97" s="7"/>
      <c r="N97" s="294"/>
    </row>
    <row r="98" spans="1:14" ht="15.75" customHeight="1" x14ac:dyDescent="0.25">
      <c r="A98" s="24"/>
      <c r="B98" s="174"/>
      <c r="C98" s="24"/>
      <c r="D98" s="24"/>
      <c r="E98" s="24"/>
      <c r="H98" s="7"/>
      <c r="N98" s="294"/>
    </row>
    <row r="99" spans="1:14" ht="15.75" customHeight="1" x14ac:dyDescent="0.25">
      <c r="A99" s="24"/>
      <c r="B99" s="174"/>
      <c r="C99" s="24"/>
      <c r="D99" s="24"/>
      <c r="E99" s="24"/>
      <c r="H99" s="7"/>
      <c r="N99" s="294"/>
    </row>
    <row r="100" spans="1:14" ht="15.75" customHeight="1" x14ac:dyDescent="0.25">
      <c r="A100" s="24"/>
      <c r="B100" s="174"/>
      <c r="C100" s="24"/>
      <c r="D100" s="24"/>
      <c r="E100" s="24"/>
      <c r="H100" s="7"/>
      <c r="N100" s="294"/>
    </row>
    <row r="101" spans="1:14" ht="15.75" customHeight="1" x14ac:dyDescent="0.25">
      <c r="A101" s="24"/>
      <c r="B101" s="174"/>
      <c r="C101" s="24"/>
      <c r="D101" s="24"/>
      <c r="E101" s="24"/>
      <c r="H101" s="7"/>
      <c r="N101" s="294"/>
    </row>
    <row r="102" spans="1:14" ht="15.75" customHeight="1" x14ac:dyDescent="0.25">
      <c r="A102" s="24"/>
      <c r="B102" s="174"/>
      <c r="C102" s="24"/>
      <c r="D102" s="24"/>
      <c r="E102" s="24"/>
      <c r="H102" s="7"/>
      <c r="N102" s="294"/>
    </row>
    <row r="103" spans="1:14" ht="15.75" customHeight="1" x14ac:dyDescent="0.25">
      <c r="A103" s="24"/>
      <c r="B103" s="174"/>
      <c r="C103" s="24"/>
      <c r="D103" s="24"/>
      <c r="E103" s="24"/>
      <c r="H103" s="7"/>
      <c r="N103" s="294"/>
    </row>
    <row r="104" spans="1:14" ht="15.75" customHeight="1" x14ac:dyDescent="0.25">
      <c r="A104" s="24"/>
      <c r="B104" s="174"/>
      <c r="C104" s="24"/>
      <c r="D104" s="24"/>
      <c r="E104" s="24"/>
      <c r="H104" s="7"/>
      <c r="N104" s="294"/>
    </row>
    <row r="105" spans="1:14" ht="15.75" customHeight="1" x14ac:dyDescent="0.25">
      <c r="A105" s="24"/>
      <c r="B105" s="174"/>
      <c r="C105" s="24"/>
      <c r="D105" s="24"/>
      <c r="E105" s="24"/>
      <c r="H105" s="7"/>
      <c r="N105" s="294"/>
    </row>
    <row r="106" spans="1:14" ht="15.75" customHeight="1" x14ac:dyDescent="0.25">
      <c r="A106" s="24"/>
      <c r="B106" s="174"/>
      <c r="C106" s="24"/>
      <c r="D106" s="24"/>
      <c r="E106" s="24"/>
      <c r="H106" s="7"/>
      <c r="N106" s="294"/>
    </row>
    <row r="107" spans="1:14" ht="15.75" customHeight="1" x14ac:dyDescent="0.25">
      <c r="A107" s="24"/>
      <c r="B107" s="174"/>
      <c r="C107" s="24"/>
      <c r="D107" s="24"/>
      <c r="E107" s="24"/>
      <c r="H107" s="7"/>
      <c r="N107" s="294"/>
    </row>
    <row r="108" spans="1:14" ht="15.75" customHeight="1" x14ac:dyDescent="0.25">
      <c r="A108" s="24"/>
      <c r="B108" s="174"/>
      <c r="C108" s="24"/>
      <c r="D108" s="24"/>
      <c r="E108" s="24"/>
      <c r="H108" s="7"/>
      <c r="N108" s="294"/>
    </row>
    <row r="109" spans="1:14" ht="15.75" customHeight="1" x14ac:dyDescent="0.25">
      <c r="A109" s="24"/>
      <c r="B109" s="174"/>
      <c r="C109" s="24"/>
      <c r="D109" s="24"/>
      <c r="E109" s="24"/>
      <c r="H109" s="7"/>
      <c r="N109" s="294"/>
    </row>
    <row r="110" spans="1:14" ht="15.75" customHeight="1" x14ac:dyDescent="0.25">
      <c r="A110" s="24"/>
      <c r="B110" s="174"/>
      <c r="C110" s="24"/>
      <c r="D110" s="24"/>
      <c r="E110" s="24"/>
      <c r="H110" s="7"/>
      <c r="N110" s="294"/>
    </row>
    <row r="111" spans="1:14" ht="15.75" customHeight="1" x14ac:dyDescent="0.25">
      <c r="A111" s="24"/>
      <c r="B111" s="174"/>
      <c r="C111" s="24"/>
      <c r="D111" s="24"/>
      <c r="E111" s="24"/>
      <c r="H111" s="7"/>
      <c r="N111" s="294"/>
    </row>
    <row r="112" spans="1:14" ht="15.75" customHeight="1" x14ac:dyDescent="0.25">
      <c r="A112" s="24"/>
      <c r="B112" s="174"/>
      <c r="C112" s="24"/>
      <c r="D112" s="24"/>
      <c r="E112" s="24"/>
      <c r="H112" s="7"/>
      <c r="N112" s="294"/>
    </row>
    <row r="113" spans="1:14" ht="15.75" customHeight="1" x14ac:dyDescent="0.25">
      <c r="A113" s="24"/>
      <c r="B113" s="174"/>
      <c r="C113" s="24"/>
      <c r="D113" s="24"/>
      <c r="E113" s="24"/>
      <c r="H113" s="7"/>
      <c r="N113" s="294"/>
    </row>
    <row r="114" spans="1:14" ht="15.75" customHeight="1" x14ac:dyDescent="0.25">
      <c r="A114" s="24"/>
      <c r="B114" s="174"/>
      <c r="C114" s="24"/>
      <c r="D114" s="24"/>
      <c r="E114" s="24"/>
      <c r="H114" s="7"/>
      <c r="N114" s="294"/>
    </row>
    <row r="115" spans="1:14" ht="15.75" customHeight="1" x14ac:dyDescent="0.25">
      <c r="A115" s="24"/>
      <c r="B115" s="174"/>
      <c r="C115" s="24"/>
      <c r="D115" s="24"/>
      <c r="E115" s="24"/>
      <c r="H115" s="7"/>
      <c r="N115" s="294"/>
    </row>
    <row r="116" spans="1:14" ht="15.75" customHeight="1" x14ac:dyDescent="0.25">
      <c r="A116" s="24"/>
      <c r="B116" s="174"/>
      <c r="C116" s="24"/>
      <c r="D116" s="24"/>
      <c r="E116" s="24"/>
      <c r="H116" s="7"/>
      <c r="N116" s="294"/>
    </row>
    <row r="117" spans="1:14" ht="15.75" customHeight="1" x14ac:dyDescent="0.25">
      <c r="A117" s="24"/>
      <c r="B117" s="174"/>
      <c r="C117" s="24"/>
      <c r="D117" s="24"/>
      <c r="E117" s="24"/>
      <c r="H117" s="7"/>
      <c r="N117" s="294"/>
    </row>
    <row r="118" spans="1:14" ht="15.75" customHeight="1" x14ac:dyDescent="0.25">
      <c r="A118" s="24"/>
      <c r="B118" s="174"/>
      <c r="C118" s="24"/>
      <c r="D118" s="24"/>
      <c r="E118" s="24"/>
      <c r="H118" s="7"/>
      <c r="N118" s="294"/>
    </row>
    <row r="119" spans="1:14" ht="15.75" customHeight="1" x14ac:dyDescent="0.25">
      <c r="A119" s="24"/>
      <c r="B119" s="174"/>
      <c r="C119" s="24"/>
      <c r="D119" s="24"/>
      <c r="E119" s="24"/>
      <c r="H119" s="7"/>
      <c r="N119" s="294"/>
    </row>
    <row r="120" spans="1:14" ht="15.75" customHeight="1" x14ac:dyDescent="0.25">
      <c r="A120" s="24"/>
      <c r="B120" s="174"/>
      <c r="C120" s="24"/>
      <c r="D120" s="24"/>
      <c r="E120" s="24"/>
      <c r="H120" s="7"/>
      <c r="N120" s="294"/>
    </row>
    <row r="121" spans="1:14" ht="15.75" customHeight="1" x14ac:dyDescent="0.25">
      <c r="A121" s="24"/>
      <c r="B121" s="174"/>
      <c r="C121" s="24"/>
      <c r="D121" s="24"/>
      <c r="E121" s="24"/>
      <c r="H121" s="7"/>
      <c r="N121" s="294"/>
    </row>
    <row r="122" spans="1:14" ht="15.75" customHeight="1" x14ac:dyDescent="0.25">
      <c r="A122" s="24"/>
      <c r="B122" s="174"/>
      <c r="C122" s="24"/>
      <c r="D122" s="24"/>
      <c r="E122" s="24"/>
      <c r="H122" s="7"/>
      <c r="N122" s="294"/>
    </row>
    <row r="123" spans="1:14" ht="15.75" customHeight="1" x14ac:dyDescent="0.25">
      <c r="A123" s="24"/>
      <c r="B123" s="174"/>
      <c r="C123" s="24"/>
      <c r="D123" s="24"/>
      <c r="E123" s="24"/>
      <c r="H123" s="7"/>
      <c r="N123" s="294"/>
    </row>
    <row r="124" spans="1:14" ht="15.75" customHeight="1" x14ac:dyDescent="0.25">
      <c r="A124" s="24"/>
      <c r="B124" s="174"/>
      <c r="C124" s="24"/>
      <c r="D124" s="24"/>
      <c r="E124" s="24"/>
      <c r="H124" s="7"/>
      <c r="N124" s="294"/>
    </row>
    <row r="125" spans="1:14" ht="15.75" customHeight="1" x14ac:dyDescent="0.25">
      <c r="A125" s="24"/>
      <c r="B125" s="174"/>
      <c r="C125" s="24"/>
      <c r="D125" s="24"/>
      <c r="E125" s="24"/>
      <c r="H125" s="7"/>
      <c r="N125" s="294"/>
    </row>
    <row r="126" spans="1:14" ht="15.75" customHeight="1" x14ac:dyDescent="0.25">
      <c r="A126" s="24"/>
      <c r="B126" s="174"/>
      <c r="C126" s="24"/>
      <c r="D126" s="24"/>
      <c r="E126" s="24"/>
      <c r="H126" s="7"/>
      <c r="N126" s="294"/>
    </row>
    <row r="127" spans="1:14" ht="15.75" customHeight="1" x14ac:dyDescent="0.25">
      <c r="A127" s="24"/>
      <c r="B127" s="174"/>
      <c r="C127" s="24"/>
      <c r="D127" s="24"/>
      <c r="E127" s="24"/>
      <c r="H127" s="7"/>
      <c r="N127" s="294"/>
    </row>
    <row r="128" spans="1:14" ht="15.75" customHeight="1" x14ac:dyDescent="0.25">
      <c r="A128" s="24"/>
      <c r="B128" s="174"/>
      <c r="C128" s="24"/>
      <c r="D128" s="24"/>
      <c r="E128" s="24"/>
      <c r="H128" s="7"/>
      <c r="N128" s="294"/>
    </row>
    <row r="129" spans="1:14" ht="15.75" customHeight="1" x14ac:dyDescent="0.25">
      <c r="A129" s="24"/>
      <c r="B129" s="174"/>
      <c r="C129" s="24"/>
      <c r="D129" s="24"/>
      <c r="E129" s="24"/>
      <c r="H129" s="7"/>
      <c r="N129" s="294"/>
    </row>
    <row r="130" spans="1:14" ht="15.75" customHeight="1" x14ac:dyDescent="0.25">
      <c r="A130" s="24"/>
      <c r="B130" s="174"/>
      <c r="C130" s="24"/>
      <c r="D130" s="24"/>
      <c r="E130" s="24"/>
      <c r="H130" s="7"/>
      <c r="N130" s="294"/>
    </row>
    <row r="131" spans="1:14" ht="15.75" customHeight="1" x14ac:dyDescent="0.25">
      <c r="A131" s="24"/>
      <c r="B131" s="174"/>
      <c r="C131" s="24"/>
      <c r="D131" s="24"/>
      <c r="E131" s="24"/>
      <c r="H131" s="7"/>
      <c r="N131" s="294"/>
    </row>
    <row r="132" spans="1:14" ht="15.75" customHeight="1" x14ac:dyDescent="0.25">
      <c r="A132" s="24"/>
      <c r="B132" s="174"/>
      <c r="C132" s="24"/>
      <c r="D132" s="24"/>
      <c r="E132" s="24"/>
      <c r="H132" s="7"/>
      <c r="N132" s="294"/>
    </row>
    <row r="133" spans="1:14" ht="15.75" customHeight="1" x14ac:dyDescent="0.25">
      <c r="A133" s="24"/>
      <c r="B133" s="174"/>
      <c r="C133" s="24"/>
      <c r="D133" s="24"/>
      <c r="E133" s="24"/>
      <c r="H133" s="7"/>
      <c r="N133" s="294"/>
    </row>
    <row r="134" spans="1:14" ht="15.75" customHeight="1" x14ac:dyDescent="0.25">
      <c r="A134" s="24"/>
      <c r="B134" s="174"/>
      <c r="C134" s="24"/>
      <c r="D134" s="24"/>
      <c r="E134" s="24"/>
      <c r="H134" s="7"/>
      <c r="N134" s="294"/>
    </row>
    <row r="135" spans="1:14" ht="15.75" customHeight="1" x14ac:dyDescent="0.25">
      <c r="A135" s="24"/>
      <c r="B135" s="174"/>
      <c r="C135" s="24"/>
      <c r="D135" s="24"/>
      <c r="E135" s="24"/>
      <c r="H135" s="7"/>
      <c r="N135" s="294"/>
    </row>
    <row r="136" spans="1:14" ht="15.75" customHeight="1" x14ac:dyDescent="0.25">
      <c r="A136" s="24"/>
      <c r="B136" s="174"/>
      <c r="C136" s="24"/>
      <c r="D136" s="24"/>
      <c r="E136" s="24"/>
      <c r="H136" s="7"/>
      <c r="N136" s="294"/>
    </row>
    <row r="137" spans="1:14" ht="15.75" customHeight="1" x14ac:dyDescent="0.25">
      <c r="A137" s="24"/>
      <c r="B137" s="174"/>
      <c r="C137" s="24"/>
      <c r="D137" s="24"/>
      <c r="E137" s="24"/>
      <c r="H137" s="7"/>
      <c r="N137" s="294"/>
    </row>
    <row r="138" spans="1:14" ht="15.75" customHeight="1" x14ac:dyDescent="0.25">
      <c r="A138" s="24"/>
      <c r="B138" s="174"/>
      <c r="C138" s="24"/>
      <c r="D138" s="24"/>
      <c r="E138" s="24"/>
      <c r="H138" s="7"/>
      <c r="N138" s="294"/>
    </row>
    <row r="139" spans="1:14" ht="15.75" customHeight="1" x14ac:dyDescent="0.25">
      <c r="A139" s="24"/>
      <c r="B139" s="174"/>
      <c r="C139" s="24"/>
      <c r="D139" s="24"/>
      <c r="E139" s="24"/>
      <c r="H139" s="7"/>
      <c r="N139" s="294"/>
    </row>
    <row r="140" spans="1:14" ht="15.75" customHeight="1" x14ac:dyDescent="0.25">
      <c r="A140" s="24"/>
      <c r="B140" s="174"/>
      <c r="C140" s="24"/>
      <c r="D140" s="24"/>
      <c r="E140" s="24"/>
      <c r="H140" s="7"/>
      <c r="N140" s="294"/>
    </row>
    <row r="141" spans="1:14" ht="15.75" customHeight="1" x14ac:dyDescent="0.25">
      <c r="A141" s="24"/>
      <c r="B141" s="174"/>
      <c r="C141" s="24"/>
      <c r="D141" s="24"/>
      <c r="E141" s="24"/>
      <c r="H141" s="7"/>
      <c r="N141" s="294"/>
    </row>
    <row r="142" spans="1:14" ht="15.75" customHeight="1" x14ac:dyDescent="0.25">
      <c r="A142" s="24"/>
      <c r="B142" s="174"/>
      <c r="C142" s="24"/>
      <c r="D142" s="24"/>
      <c r="E142" s="24"/>
      <c r="H142" s="7"/>
      <c r="N142" s="294"/>
    </row>
    <row r="143" spans="1:14" ht="15.75" customHeight="1" x14ac:dyDescent="0.25">
      <c r="A143" s="24"/>
      <c r="B143" s="174"/>
      <c r="C143" s="24"/>
      <c r="D143" s="24"/>
      <c r="E143" s="24"/>
      <c r="H143" s="7"/>
      <c r="N143" s="294"/>
    </row>
    <row r="144" spans="1:14" ht="15.75" customHeight="1" x14ac:dyDescent="0.25">
      <c r="A144" s="24"/>
      <c r="B144" s="174"/>
      <c r="C144" s="24"/>
      <c r="D144" s="24"/>
      <c r="E144" s="24"/>
      <c r="H144" s="7"/>
      <c r="N144" s="294"/>
    </row>
    <row r="145" spans="1:14" ht="15.75" customHeight="1" x14ac:dyDescent="0.25">
      <c r="A145" s="24"/>
      <c r="B145" s="174"/>
      <c r="C145" s="24"/>
      <c r="D145" s="24"/>
      <c r="E145" s="24"/>
      <c r="H145" s="7"/>
      <c r="N145" s="294"/>
    </row>
    <row r="146" spans="1:14" ht="15.75" customHeight="1" x14ac:dyDescent="0.25">
      <c r="A146" s="24"/>
      <c r="B146" s="174"/>
      <c r="C146" s="24"/>
      <c r="D146" s="24"/>
      <c r="E146" s="24"/>
      <c r="H146" s="7"/>
      <c r="N146" s="294"/>
    </row>
    <row r="147" spans="1:14" ht="15.75" customHeight="1" x14ac:dyDescent="0.25">
      <c r="A147" s="24"/>
      <c r="B147" s="174"/>
      <c r="C147" s="24"/>
      <c r="D147" s="24"/>
      <c r="E147" s="24"/>
      <c r="H147" s="7"/>
      <c r="N147" s="294"/>
    </row>
    <row r="148" spans="1:14" ht="15.75" customHeight="1" x14ac:dyDescent="0.25">
      <c r="A148" s="24"/>
      <c r="B148" s="174"/>
      <c r="C148" s="24"/>
      <c r="D148" s="24"/>
      <c r="E148" s="24"/>
      <c r="H148" s="7"/>
      <c r="N148" s="294"/>
    </row>
    <row r="149" spans="1:14" ht="15.75" customHeight="1" x14ac:dyDescent="0.25">
      <c r="A149" s="24"/>
      <c r="B149" s="174"/>
      <c r="C149" s="24"/>
      <c r="D149" s="24"/>
      <c r="E149" s="24"/>
      <c r="H149" s="7"/>
      <c r="N149" s="294"/>
    </row>
    <row r="150" spans="1:14" ht="15.75" customHeight="1" x14ac:dyDescent="0.25">
      <c r="A150" s="24"/>
      <c r="B150" s="174"/>
      <c r="C150" s="24"/>
      <c r="D150" s="24"/>
      <c r="E150" s="24"/>
      <c r="H150" s="7"/>
      <c r="N150" s="294"/>
    </row>
    <row r="151" spans="1:14" ht="15.75" customHeight="1" x14ac:dyDescent="0.25">
      <c r="A151" s="24"/>
      <c r="B151" s="174"/>
      <c r="C151" s="24"/>
      <c r="D151" s="24"/>
      <c r="E151" s="24"/>
      <c r="H151" s="7"/>
      <c r="N151" s="294"/>
    </row>
    <row r="152" spans="1:14" ht="15.75" customHeight="1" x14ac:dyDescent="0.25">
      <c r="A152" s="24"/>
      <c r="B152" s="174"/>
      <c r="C152" s="24"/>
      <c r="D152" s="24"/>
      <c r="E152" s="24"/>
      <c r="H152" s="7"/>
      <c r="N152" s="294"/>
    </row>
    <row r="153" spans="1:14" ht="15.75" customHeight="1" x14ac:dyDescent="0.25">
      <c r="A153" s="24"/>
      <c r="B153" s="174"/>
      <c r="C153" s="24"/>
      <c r="D153" s="24"/>
      <c r="E153" s="24"/>
      <c r="H153" s="7"/>
      <c r="N153" s="294"/>
    </row>
    <row r="154" spans="1:14" ht="15.75" customHeight="1" x14ac:dyDescent="0.25">
      <c r="A154" s="24"/>
      <c r="B154" s="174"/>
      <c r="C154" s="24"/>
      <c r="D154" s="24"/>
      <c r="E154" s="24"/>
      <c r="H154" s="7"/>
      <c r="N154" s="294"/>
    </row>
    <row r="155" spans="1:14" ht="15.75" customHeight="1" x14ac:dyDescent="0.25">
      <c r="A155" s="24"/>
      <c r="B155" s="174"/>
      <c r="C155" s="24"/>
      <c r="D155" s="24"/>
      <c r="E155" s="24"/>
      <c r="H155" s="7"/>
      <c r="N155" s="294"/>
    </row>
    <row r="156" spans="1:14" ht="15.75" customHeight="1" x14ac:dyDescent="0.25">
      <c r="A156" s="24"/>
      <c r="B156" s="174"/>
      <c r="C156" s="24"/>
      <c r="D156" s="24"/>
      <c r="E156" s="24"/>
      <c r="H156" s="7"/>
      <c r="N156" s="294"/>
    </row>
    <row r="157" spans="1:14" ht="15.75" customHeight="1" x14ac:dyDescent="0.25">
      <c r="A157" s="24"/>
      <c r="B157" s="174"/>
      <c r="C157" s="24"/>
      <c r="D157" s="24"/>
      <c r="E157" s="24"/>
      <c r="H157" s="7"/>
      <c r="N157" s="294"/>
    </row>
    <row r="158" spans="1:14" ht="15.75" customHeight="1" x14ac:dyDescent="0.25">
      <c r="A158" s="24"/>
      <c r="B158" s="174"/>
      <c r="C158" s="24"/>
      <c r="D158" s="24"/>
      <c r="E158" s="24"/>
      <c r="H158" s="7"/>
      <c r="N158" s="294"/>
    </row>
    <row r="159" spans="1:14" ht="15.75" customHeight="1" x14ac:dyDescent="0.25">
      <c r="A159" s="24"/>
      <c r="B159" s="174"/>
      <c r="C159" s="24"/>
      <c r="D159" s="24"/>
      <c r="E159" s="24"/>
      <c r="H159" s="7"/>
      <c r="N159" s="294"/>
    </row>
    <row r="160" spans="1:14" ht="15.75" customHeight="1" x14ac:dyDescent="0.25">
      <c r="A160" s="24"/>
      <c r="B160" s="174"/>
      <c r="C160" s="24"/>
      <c r="D160" s="24"/>
      <c r="E160" s="24"/>
      <c r="H160" s="7"/>
      <c r="N160" s="294"/>
    </row>
    <row r="161" spans="1:14" ht="15.75" customHeight="1" x14ac:dyDescent="0.25">
      <c r="A161" s="24"/>
      <c r="B161" s="174"/>
      <c r="C161" s="24"/>
      <c r="D161" s="24"/>
      <c r="E161" s="24"/>
      <c r="H161" s="7"/>
      <c r="N161" s="294"/>
    </row>
    <row r="162" spans="1:14" ht="15.75" customHeight="1" x14ac:dyDescent="0.25">
      <c r="A162" s="24"/>
      <c r="B162" s="174"/>
      <c r="C162" s="24"/>
      <c r="D162" s="24"/>
      <c r="E162" s="24"/>
      <c r="H162" s="7"/>
      <c r="N162" s="294"/>
    </row>
    <row r="163" spans="1:14" ht="15.75" customHeight="1" x14ac:dyDescent="0.25">
      <c r="A163" s="24"/>
      <c r="B163" s="174"/>
      <c r="C163" s="24"/>
      <c r="D163" s="24"/>
      <c r="E163" s="24"/>
      <c r="H163" s="7"/>
      <c r="N163" s="294"/>
    </row>
    <row r="164" spans="1:14" ht="15.75" customHeight="1" x14ac:dyDescent="0.25">
      <c r="A164" s="24"/>
      <c r="B164" s="174"/>
      <c r="C164" s="24"/>
      <c r="D164" s="24"/>
      <c r="E164" s="24"/>
      <c r="H164" s="7"/>
      <c r="N164" s="294"/>
    </row>
    <row r="165" spans="1:14" ht="15.75" customHeight="1" x14ac:dyDescent="0.25">
      <c r="A165" s="24"/>
      <c r="B165" s="174"/>
      <c r="C165" s="24"/>
      <c r="D165" s="24"/>
      <c r="E165" s="24"/>
      <c r="H165" s="7"/>
      <c r="N165" s="294"/>
    </row>
    <row r="166" spans="1:14" ht="15.75" customHeight="1" x14ac:dyDescent="0.25">
      <c r="A166" s="24"/>
      <c r="B166" s="174"/>
      <c r="C166" s="24"/>
      <c r="D166" s="24"/>
      <c r="E166" s="24"/>
      <c r="H166" s="7"/>
      <c r="N166" s="294"/>
    </row>
    <row r="167" spans="1:14" ht="15.75" customHeight="1" x14ac:dyDescent="0.25">
      <c r="A167" s="24"/>
      <c r="B167" s="174"/>
      <c r="C167" s="24"/>
      <c r="D167" s="24"/>
      <c r="E167" s="24"/>
      <c r="H167" s="7"/>
      <c r="N167" s="294"/>
    </row>
    <row r="168" spans="1:14" ht="15.75" customHeight="1" x14ac:dyDescent="0.25">
      <c r="A168" s="24"/>
      <c r="B168" s="174"/>
      <c r="C168" s="24"/>
      <c r="D168" s="24"/>
      <c r="E168" s="24"/>
      <c r="H168" s="7"/>
      <c r="N168" s="294"/>
    </row>
    <row r="169" spans="1:14" ht="15.75" customHeight="1" x14ac:dyDescent="0.25">
      <c r="A169" s="24"/>
      <c r="B169" s="174"/>
      <c r="C169" s="24"/>
      <c r="D169" s="24"/>
      <c r="E169" s="24"/>
      <c r="H169" s="7"/>
      <c r="N169" s="294"/>
    </row>
    <row r="170" spans="1:14" ht="15.75" customHeight="1" x14ac:dyDescent="0.25">
      <c r="A170" s="24"/>
      <c r="B170" s="174"/>
      <c r="C170" s="24"/>
      <c r="D170" s="24"/>
      <c r="E170" s="24"/>
      <c r="H170" s="7"/>
      <c r="N170" s="294"/>
    </row>
    <row r="171" spans="1:14" ht="15.75" customHeight="1" x14ac:dyDescent="0.25">
      <c r="A171" s="24"/>
      <c r="B171" s="174"/>
      <c r="C171" s="24"/>
      <c r="D171" s="24"/>
      <c r="E171" s="24"/>
      <c r="H171" s="7"/>
      <c r="N171" s="294"/>
    </row>
    <row r="172" spans="1:14" ht="15.75" customHeight="1" x14ac:dyDescent="0.25">
      <c r="A172" s="24"/>
      <c r="B172" s="174"/>
      <c r="C172" s="24"/>
      <c r="D172" s="24"/>
      <c r="E172" s="24"/>
      <c r="H172" s="7"/>
      <c r="N172" s="294"/>
    </row>
    <row r="173" spans="1:14" ht="15.75" customHeight="1" x14ac:dyDescent="0.25">
      <c r="A173" s="24"/>
      <c r="B173" s="174"/>
      <c r="C173" s="24"/>
      <c r="D173" s="24"/>
      <c r="E173" s="24"/>
      <c r="H173" s="7"/>
      <c r="N173" s="294"/>
    </row>
    <row r="174" spans="1:14" ht="15.75" customHeight="1" x14ac:dyDescent="0.25">
      <c r="A174" s="24"/>
      <c r="B174" s="174"/>
      <c r="C174" s="24"/>
      <c r="D174" s="24"/>
      <c r="E174" s="24"/>
      <c r="H174" s="7"/>
      <c r="N174" s="294"/>
    </row>
    <row r="175" spans="1:14" ht="15.75" customHeight="1" x14ac:dyDescent="0.25">
      <c r="A175" s="24"/>
      <c r="B175" s="174"/>
      <c r="C175" s="24"/>
      <c r="D175" s="24"/>
      <c r="E175" s="24"/>
      <c r="H175" s="7"/>
      <c r="N175" s="294"/>
    </row>
    <row r="176" spans="1:14" ht="15.75" customHeight="1" x14ac:dyDescent="0.25">
      <c r="A176" s="24"/>
      <c r="B176" s="174"/>
      <c r="C176" s="24"/>
      <c r="D176" s="24"/>
      <c r="E176" s="24"/>
      <c r="H176" s="7"/>
      <c r="N176" s="294"/>
    </row>
    <row r="177" spans="1:14" ht="15.75" customHeight="1" x14ac:dyDescent="0.25">
      <c r="A177" s="24"/>
      <c r="B177" s="174"/>
      <c r="C177" s="24"/>
      <c r="D177" s="24"/>
      <c r="E177" s="24"/>
      <c r="H177" s="7"/>
      <c r="N177" s="294"/>
    </row>
    <row r="178" spans="1:14" ht="15.75" customHeight="1" x14ac:dyDescent="0.25">
      <c r="A178" s="24"/>
      <c r="B178" s="174"/>
      <c r="C178" s="24"/>
      <c r="D178" s="24"/>
      <c r="E178" s="24"/>
      <c r="H178" s="7"/>
      <c r="N178" s="294"/>
    </row>
    <row r="179" spans="1:14" ht="15.75" customHeight="1" x14ac:dyDescent="0.25">
      <c r="A179" s="24"/>
      <c r="B179" s="174"/>
      <c r="C179" s="24"/>
      <c r="D179" s="24"/>
      <c r="E179" s="24"/>
      <c r="H179" s="7"/>
      <c r="N179" s="294"/>
    </row>
    <row r="180" spans="1:14" ht="15.75" customHeight="1" x14ac:dyDescent="0.25">
      <c r="A180" s="24"/>
      <c r="B180" s="174"/>
      <c r="C180" s="24"/>
      <c r="D180" s="24"/>
      <c r="E180" s="24"/>
      <c r="H180" s="7"/>
      <c r="N180" s="294"/>
    </row>
    <row r="181" spans="1:14" ht="15.75" customHeight="1" x14ac:dyDescent="0.25">
      <c r="A181" s="24"/>
      <c r="B181" s="174"/>
      <c r="C181" s="24"/>
      <c r="D181" s="24"/>
      <c r="E181" s="24"/>
      <c r="H181" s="7"/>
      <c r="N181" s="294"/>
    </row>
    <row r="182" spans="1:14" ht="15.75" customHeight="1" x14ac:dyDescent="0.25">
      <c r="A182" s="24"/>
      <c r="B182" s="174"/>
      <c r="C182" s="24"/>
      <c r="D182" s="24"/>
      <c r="E182" s="24"/>
      <c r="H182" s="7"/>
      <c r="N182" s="294"/>
    </row>
    <row r="183" spans="1:14" ht="15.75" customHeight="1" x14ac:dyDescent="0.25">
      <c r="A183" s="24"/>
      <c r="B183" s="174"/>
      <c r="C183" s="24"/>
      <c r="D183" s="24"/>
      <c r="E183" s="24"/>
      <c r="H183" s="7"/>
      <c r="N183" s="294"/>
    </row>
    <row r="184" spans="1:14" ht="15.75" customHeight="1" x14ac:dyDescent="0.25">
      <c r="A184" s="24"/>
      <c r="B184" s="174"/>
      <c r="C184" s="24"/>
      <c r="D184" s="24"/>
      <c r="E184" s="24"/>
      <c r="H184" s="7"/>
      <c r="N184" s="294"/>
    </row>
    <row r="185" spans="1:14" ht="15.75" customHeight="1" x14ac:dyDescent="0.25">
      <c r="A185" s="24"/>
      <c r="B185" s="174"/>
      <c r="C185" s="24"/>
      <c r="D185" s="24"/>
      <c r="E185" s="24"/>
      <c r="H185" s="7"/>
      <c r="N185" s="294"/>
    </row>
    <row r="186" spans="1:14" ht="15.75" customHeight="1" x14ac:dyDescent="0.25">
      <c r="A186" s="24"/>
      <c r="B186" s="174"/>
      <c r="C186" s="24"/>
      <c r="D186" s="24"/>
      <c r="E186" s="24"/>
      <c r="H186" s="7"/>
      <c r="N186" s="294"/>
    </row>
    <row r="187" spans="1:14" ht="15.75" customHeight="1" x14ac:dyDescent="0.25">
      <c r="A187" s="24"/>
      <c r="B187" s="174"/>
      <c r="C187" s="24"/>
      <c r="D187" s="24"/>
      <c r="E187" s="24"/>
      <c r="H187" s="7"/>
      <c r="N187" s="294"/>
    </row>
    <row r="188" spans="1:14" ht="15.75" customHeight="1" x14ac:dyDescent="0.25">
      <c r="A188" s="24"/>
      <c r="B188" s="174"/>
      <c r="C188" s="24"/>
      <c r="D188" s="24"/>
      <c r="E188" s="24"/>
      <c r="H188" s="7"/>
      <c r="N188" s="294"/>
    </row>
    <row r="189" spans="1:14" ht="15.75" customHeight="1" x14ac:dyDescent="0.25">
      <c r="A189" s="24"/>
      <c r="B189" s="174"/>
      <c r="C189" s="24"/>
      <c r="D189" s="24"/>
      <c r="E189" s="24"/>
      <c r="H189" s="7"/>
      <c r="N189" s="294"/>
    </row>
    <row r="190" spans="1:14" ht="15.75" customHeight="1" x14ac:dyDescent="0.25">
      <c r="A190" s="24"/>
      <c r="B190" s="174"/>
      <c r="C190" s="24"/>
      <c r="D190" s="24"/>
      <c r="E190" s="24"/>
      <c r="H190" s="7"/>
      <c r="N190" s="294"/>
    </row>
    <row r="191" spans="1:14" ht="15.75" customHeight="1" x14ac:dyDescent="0.25">
      <c r="A191" s="24"/>
      <c r="B191" s="174"/>
      <c r="C191" s="24"/>
      <c r="D191" s="24"/>
      <c r="E191" s="24"/>
      <c r="H191" s="7"/>
      <c r="N191" s="294"/>
    </row>
    <row r="192" spans="1:14" ht="15.75" customHeight="1" x14ac:dyDescent="0.25">
      <c r="A192" s="24"/>
      <c r="B192" s="174"/>
      <c r="C192" s="24"/>
      <c r="D192" s="24"/>
      <c r="E192" s="24"/>
      <c r="H192" s="7"/>
      <c r="N192" s="294"/>
    </row>
    <row r="193" spans="1:14" ht="15.75" customHeight="1" x14ac:dyDescent="0.25">
      <c r="A193" s="24"/>
      <c r="B193" s="174"/>
      <c r="C193" s="24"/>
      <c r="D193" s="24"/>
      <c r="E193" s="24"/>
      <c r="H193" s="7"/>
      <c r="N193" s="294"/>
    </row>
    <row r="194" spans="1:14" ht="15.75" customHeight="1" x14ac:dyDescent="0.25">
      <c r="A194" s="24"/>
      <c r="B194" s="174"/>
      <c r="C194" s="24"/>
      <c r="D194" s="24"/>
      <c r="E194" s="24"/>
      <c r="H194" s="7"/>
      <c r="N194" s="294"/>
    </row>
    <row r="195" spans="1:14" ht="15.75" customHeight="1" x14ac:dyDescent="0.25">
      <c r="A195" s="24"/>
      <c r="B195" s="174"/>
      <c r="C195" s="24"/>
      <c r="D195" s="24"/>
      <c r="E195" s="24"/>
      <c r="H195" s="7"/>
      <c r="N195" s="294"/>
    </row>
    <row r="196" spans="1:14" ht="15.75" customHeight="1" x14ac:dyDescent="0.25">
      <c r="A196" s="24"/>
      <c r="B196" s="174"/>
      <c r="C196" s="24"/>
      <c r="D196" s="24"/>
      <c r="E196" s="24"/>
      <c r="H196" s="7"/>
      <c r="N196" s="294"/>
    </row>
    <row r="197" spans="1:14" ht="15.75" customHeight="1" x14ac:dyDescent="0.25">
      <c r="A197" s="24"/>
      <c r="B197" s="174"/>
      <c r="C197" s="24"/>
      <c r="D197" s="24"/>
      <c r="E197" s="24"/>
      <c r="H197" s="7"/>
      <c r="N197" s="294"/>
    </row>
    <row r="198" spans="1:14" ht="15.75" customHeight="1" x14ac:dyDescent="0.25">
      <c r="A198" s="24"/>
      <c r="B198" s="174"/>
      <c r="C198" s="24"/>
      <c r="D198" s="24"/>
      <c r="E198" s="24"/>
      <c r="H198" s="7"/>
      <c r="N198" s="294"/>
    </row>
    <row r="199" spans="1:14" ht="15.75" customHeight="1" x14ac:dyDescent="0.25">
      <c r="A199" s="24"/>
      <c r="B199" s="174"/>
      <c r="C199" s="24"/>
      <c r="D199" s="24"/>
      <c r="E199" s="24"/>
      <c r="H199" s="7"/>
      <c r="N199" s="294"/>
    </row>
    <row r="200" spans="1:14" ht="15.75" customHeight="1" x14ac:dyDescent="0.25">
      <c r="A200" s="24"/>
      <c r="B200" s="174"/>
      <c r="C200" s="24"/>
      <c r="D200" s="24"/>
      <c r="E200" s="24"/>
      <c r="H200" s="7"/>
      <c r="N200" s="294"/>
    </row>
    <row r="201" spans="1:14" ht="15.75" customHeight="1" x14ac:dyDescent="0.25">
      <c r="A201" s="24"/>
      <c r="B201" s="174"/>
      <c r="C201" s="24"/>
      <c r="D201" s="24"/>
      <c r="E201" s="24"/>
      <c r="H201" s="7"/>
      <c r="N201" s="294"/>
    </row>
    <row r="202" spans="1:14" ht="15.75" customHeight="1" x14ac:dyDescent="0.25">
      <c r="A202" s="24"/>
      <c r="B202" s="174"/>
      <c r="C202" s="24"/>
      <c r="D202" s="24"/>
      <c r="E202" s="24"/>
      <c r="H202" s="7"/>
      <c r="N202" s="294"/>
    </row>
    <row r="203" spans="1:14" ht="15.75" customHeight="1" x14ac:dyDescent="0.25">
      <c r="A203" s="24"/>
      <c r="B203" s="174"/>
      <c r="C203" s="24"/>
      <c r="D203" s="24"/>
      <c r="E203" s="24"/>
      <c r="H203" s="7"/>
      <c r="N203" s="294"/>
    </row>
    <row r="204" spans="1:14" ht="15.75" customHeight="1" x14ac:dyDescent="0.25">
      <c r="A204" s="24"/>
      <c r="B204" s="174"/>
      <c r="C204" s="24"/>
      <c r="D204" s="24"/>
      <c r="E204" s="24"/>
      <c r="H204" s="7"/>
      <c r="N204" s="294"/>
    </row>
    <row r="205" spans="1:14" ht="15.75" customHeight="1" x14ac:dyDescent="0.25">
      <c r="A205" s="24"/>
      <c r="B205" s="174"/>
      <c r="C205" s="24"/>
      <c r="D205" s="24"/>
      <c r="E205" s="24"/>
      <c r="H205" s="7"/>
      <c r="N205" s="294"/>
    </row>
    <row r="206" spans="1:14" ht="15.75" customHeight="1" x14ac:dyDescent="0.25">
      <c r="A206" s="24"/>
      <c r="B206" s="174"/>
      <c r="C206" s="24"/>
      <c r="D206" s="24"/>
      <c r="E206" s="24"/>
      <c r="H206" s="7"/>
      <c r="N206" s="294"/>
    </row>
    <row r="207" spans="1:14" ht="15.75" customHeight="1" x14ac:dyDescent="0.25">
      <c r="A207" s="24"/>
      <c r="B207" s="174"/>
      <c r="C207" s="24"/>
      <c r="D207" s="24"/>
      <c r="E207" s="24"/>
      <c r="H207" s="7"/>
      <c r="N207" s="294"/>
    </row>
    <row r="208" spans="1:14" ht="15.75" customHeight="1" x14ac:dyDescent="0.25">
      <c r="A208" s="24"/>
      <c r="B208" s="174"/>
      <c r="C208" s="24"/>
      <c r="D208" s="24"/>
      <c r="E208" s="24"/>
      <c r="H208" s="7"/>
      <c r="N208" s="294"/>
    </row>
    <row r="209" spans="1:14" ht="15.75" customHeight="1" x14ac:dyDescent="0.25">
      <c r="A209" s="24"/>
      <c r="B209" s="174"/>
      <c r="C209" s="24"/>
      <c r="D209" s="24"/>
      <c r="E209" s="24"/>
      <c r="H209" s="7"/>
      <c r="N209" s="294"/>
    </row>
    <row r="210" spans="1:14" ht="15.75" customHeight="1" x14ac:dyDescent="0.25">
      <c r="A210" s="24"/>
      <c r="B210" s="174"/>
      <c r="C210" s="24"/>
      <c r="D210" s="24"/>
      <c r="E210" s="24"/>
      <c r="H210" s="7"/>
      <c r="N210" s="294"/>
    </row>
    <row r="211" spans="1:14" ht="15.75" customHeight="1" x14ac:dyDescent="0.25">
      <c r="A211" s="24"/>
      <c r="B211" s="174"/>
      <c r="C211" s="24"/>
      <c r="D211" s="24"/>
      <c r="E211" s="24"/>
      <c r="H211" s="7"/>
      <c r="N211" s="294"/>
    </row>
    <row r="212" spans="1:14" ht="15.75" customHeight="1" x14ac:dyDescent="0.25">
      <c r="A212" s="24"/>
      <c r="B212" s="174"/>
      <c r="C212" s="24"/>
      <c r="D212" s="24"/>
      <c r="E212" s="24"/>
      <c r="H212" s="7"/>
      <c r="N212" s="294"/>
    </row>
    <row r="213" spans="1:14" ht="15.75" customHeight="1" x14ac:dyDescent="0.25">
      <c r="A213" s="24"/>
      <c r="B213" s="174"/>
      <c r="C213" s="24"/>
      <c r="D213" s="24"/>
      <c r="E213" s="24"/>
      <c r="H213" s="7"/>
      <c r="N213" s="294"/>
    </row>
    <row r="214" spans="1:14" ht="15.75" customHeight="1" x14ac:dyDescent="0.25">
      <c r="A214" s="24"/>
      <c r="B214" s="174"/>
      <c r="C214" s="24"/>
      <c r="D214" s="24"/>
      <c r="E214" s="24"/>
      <c r="H214" s="7"/>
      <c r="N214" s="294"/>
    </row>
    <row r="215" spans="1:14" ht="15.75" customHeight="1" x14ac:dyDescent="0.25">
      <c r="A215" s="24"/>
      <c r="B215" s="174"/>
      <c r="C215" s="24"/>
      <c r="D215" s="24"/>
      <c r="E215" s="24"/>
      <c r="H215" s="7"/>
      <c r="N215" s="294"/>
    </row>
    <row r="216" spans="1:14" ht="15.75" customHeight="1" x14ac:dyDescent="0.25">
      <c r="A216" s="24"/>
      <c r="B216" s="174"/>
      <c r="C216" s="24"/>
      <c r="D216" s="24"/>
      <c r="E216" s="24"/>
      <c r="H216" s="7"/>
      <c r="N216" s="294"/>
    </row>
    <row r="217" spans="1:14" ht="15.75" customHeight="1" x14ac:dyDescent="0.25">
      <c r="A217" s="24"/>
      <c r="B217" s="174"/>
      <c r="C217" s="24"/>
      <c r="D217" s="24"/>
      <c r="E217" s="24"/>
      <c r="H217" s="7"/>
      <c r="N217" s="294"/>
    </row>
    <row r="218" spans="1:14" ht="15.75" customHeight="1" x14ac:dyDescent="0.25">
      <c r="A218" s="24"/>
      <c r="B218" s="174"/>
      <c r="C218" s="24"/>
      <c r="D218" s="24"/>
      <c r="E218" s="24"/>
      <c r="H218" s="7"/>
      <c r="N218" s="294"/>
    </row>
    <row r="219" spans="1:14" ht="15.75" customHeight="1" x14ac:dyDescent="0.25">
      <c r="A219" s="24"/>
      <c r="B219" s="174"/>
      <c r="C219" s="24"/>
      <c r="D219" s="24"/>
      <c r="E219" s="24"/>
      <c r="H219" s="7"/>
      <c r="N219" s="294"/>
    </row>
    <row r="220" spans="1:14" ht="15.75" customHeight="1" x14ac:dyDescent="0.25">
      <c r="A220" s="24"/>
      <c r="B220" s="174"/>
      <c r="C220" s="24"/>
      <c r="D220" s="24"/>
      <c r="E220" s="24"/>
      <c r="H220" s="7"/>
      <c r="N220" s="294"/>
    </row>
    <row r="221" spans="1:14" ht="15.75" customHeight="1" x14ac:dyDescent="0.25">
      <c r="A221" s="24"/>
      <c r="B221" s="174"/>
      <c r="C221" s="24"/>
      <c r="D221" s="24"/>
      <c r="E221" s="24"/>
      <c r="H221" s="7"/>
      <c r="N221" s="294"/>
    </row>
    <row r="222" spans="1:14" ht="15.75" customHeight="1" x14ac:dyDescent="0.25">
      <c r="A222" s="24"/>
      <c r="B222" s="174"/>
      <c r="C222" s="24"/>
      <c r="D222" s="24"/>
      <c r="E222" s="24"/>
      <c r="H222" s="7"/>
      <c r="N222" s="294"/>
    </row>
    <row r="223" spans="1:14" ht="15.75" customHeight="1" x14ac:dyDescent="0.25">
      <c r="A223" s="24"/>
      <c r="B223" s="174"/>
      <c r="C223" s="24"/>
      <c r="D223" s="24"/>
      <c r="E223" s="24"/>
      <c r="H223" s="7"/>
      <c r="N223" s="294"/>
    </row>
    <row r="224" spans="1:14" ht="15.75" customHeight="1" x14ac:dyDescent="0.25">
      <c r="A224" s="24"/>
      <c r="B224" s="174"/>
      <c r="C224" s="24"/>
      <c r="D224" s="24"/>
      <c r="E224" s="24"/>
      <c r="H224" s="7"/>
      <c r="N224" s="294"/>
    </row>
    <row r="225" spans="1:14" ht="15.75" customHeight="1" x14ac:dyDescent="0.25">
      <c r="A225" s="24"/>
      <c r="B225" s="174"/>
      <c r="C225" s="24"/>
      <c r="D225" s="24"/>
      <c r="E225" s="24"/>
      <c r="H225" s="7"/>
      <c r="N225" s="294"/>
    </row>
    <row r="226" spans="1:14" ht="15.75" customHeight="1" x14ac:dyDescent="0.25">
      <c r="A226" s="24"/>
      <c r="B226" s="174"/>
      <c r="C226" s="24"/>
      <c r="D226" s="24"/>
      <c r="E226" s="24"/>
      <c r="H226" s="7"/>
      <c r="N226" s="294"/>
    </row>
    <row r="227" spans="1:14" ht="15.75" customHeight="1" x14ac:dyDescent="0.25">
      <c r="A227" s="24"/>
      <c r="B227" s="174"/>
      <c r="C227" s="24"/>
      <c r="D227" s="24"/>
      <c r="E227" s="24"/>
      <c r="H227" s="7"/>
      <c r="N227" s="294"/>
    </row>
    <row r="228" spans="1:14" ht="15.75" customHeight="1" x14ac:dyDescent="0.25">
      <c r="A228" s="24"/>
      <c r="B228" s="174"/>
      <c r="C228" s="24"/>
      <c r="D228" s="24"/>
      <c r="E228" s="24"/>
      <c r="H228" s="7"/>
      <c r="N228" s="294"/>
    </row>
    <row r="229" spans="1:14" ht="15.75" customHeight="1" x14ac:dyDescent="0.25">
      <c r="A229" s="24"/>
      <c r="B229" s="174"/>
      <c r="C229" s="24"/>
      <c r="D229" s="24"/>
      <c r="E229" s="24"/>
      <c r="H229" s="7"/>
      <c r="N229" s="294"/>
    </row>
    <row r="230" spans="1:14" ht="15.75" customHeight="1" x14ac:dyDescent="0.25">
      <c r="A230" s="24"/>
      <c r="B230" s="174"/>
      <c r="C230" s="24"/>
      <c r="D230" s="24"/>
      <c r="E230" s="24"/>
      <c r="H230" s="7"/>
      <c r="N230" s="294"/>
    </row>
    <row r="231" spans="1:14" ht="15.75" customHeight="1" x14ac:dyDescent="0.25">
      <c r="A231" s="24"/>
      <c r="B231" s="174"/>
      <c r="C231" s="24"/>
      <c r="D231" s="24"/>
      <c r="E231" s="24"/>
      <c r="H231" s="7"/>
      <c r="N231" s="294"/>
    </row>
    <row r="232" spans="1:14" ht="15.75" customHeight="1" x14ac:dyDescent="0.25">
      <c r="A232" s="24"/>
      <c r="B232" s="174"/>
      <c r="C232" s="24"/>
      <c r="D232" s="24"/>
      <c r="E232" s="24"/>
      <c r="H232" s="7"/>
      <c r="N232" s="294"/>
    </row>
    <row r="233" spans="1:14" ht="15.75" customHeight="1" x14ac:dyDescent="0.25">
      <c r="A233" s="24"/>
      <c r="B233" s="174"/>
      <c r="C233" s="24"/>
      <c r="D233" s="24"/>
      <c r="E233" s="24"/>
      <c r="H233" s="7"/>
      <c r="N233" s="294"/>
    </row>
    <row r="234" spans="1:14" ht="15.75" customHeight="1" x14ac:dyDescent="0.25">
      <c r="A234" s="24"/>
      <c r="B234" s="174"/>
      <c r="C234" s="24"/>
      <c r="D234" s="24"/>
      <c r="E234" s="24"/>
      <c r="H234" s="7"/>
      <c r="N234" s="294"/>
    </row>
    <row r="235" spans="1:14" ht="15.75" customHeight="1" x14ac:dyDescent="0.25">
      <c r="A235" s="24"/>
      <c r="B235" s="174"/>
      <c r="C235" s="24"/>
      <c r="D235" s="24"/>
      <c r="E235" s="24"/>
      <c r="H235" s="7"/>
      <c r="N235" s="294"/>
    </row>
    <row r="236" spans="1:14" ht="15.75" customHeight="1" x14ac:dyDescent="0.25">
      <c r="A236" s="24"/>
      <c r="B236" s="174"/>
      <c r="C236" s="24"/>
      <c r="D236" s="24"/>
      <c r="E236" s="24"/>
      <c r="H236" s="7"/>
      <c r="N236" s="294"/>
    </row>
    <row r="237" spans="1:14" ht="15.75" customHeight="1" x14ac:dyDescent="0.25">
      <c r="A237" s="24"/>
      <c r="B237" s="174"/>
      <c r="C237" s="24"/>
      <c r="D237" s="24"/>
      <c r="E237" s="24"/>
      <c r="H237" s="7"/>
      <c r="N237" s="294"/>
    </row>
    <row r="238" spans="1:14" ht="15.75" customHeight="1" x14ac:dyDescent="0.25">
      <c r="A238" s="24"/>
      <c r="B238" s="174"/>
      <c r="C238" s="24"/>
      <c r="D238" s="24"/>
      <c r="E238" s="24"/>
      <c r="H238" s="7"/>
      <c r="N238" s="294"/>
    </row>
    <row r="239" spans="1:14" ht="15.75" customHeight="1" x14ac:dyDescent="0.25">
      <c r="A239" s="24"/>
      <c r="B239" s="174"/>
      <c r="C239" s="24"/>
      <c r="D239" s="24"/>
      <c r="E239" s="24"/>
      <c r="H239" s="7"/>
      <c r="N239" s="294"/>
    </row>
    <row r="240" spans="1:14" ht="15.75" customHeight="1" x14ac:dyDescent="0.25">
      <c r="A240" s="24"/>
      <c r="B240" s="174"/>
      <c r="C240" s="24"/>
      <c r="D240" s="24"/>
      <c r="E240" s="24"/>
      <c r="H240" s="7"/>
      <c r="N240" s="294"/>
    </row>
    <row r="241" spans="1:14" ht="15.75" customHeight="1" x14ac:dyDescent="0.25">
      <c r="A241" s="24"/>
      <c r="B241" s="174"/>
      <c r="C241" s="24"/>
      <c r="D241" s="24"/>
      <c r="E241" s="24"/>
      <c r="H241" s="7"/>
      <c r="N241" s="294"/>
    </row>
    <row r="242" spans="1:14" ht="15.75" customHeight="1" x14ac:dyDescent="0.25">
      <c r="A242" s="24"/>
      <c r="B242" s="174"/>
      <c r="C242" s="24"/>
      <c r="D242" s="24"/>
      <c r="E242" s="24"/>
      <c r="H242" s="7"/>
      <c r="N242" s="294"/>
    </row>
    <row r="243" spans="1:14" ht="15.75" customHeight="1" x14ac:dyDescent="0.25">
      <c r="A243" s="24"/>
      <c r="B243" s="174"/>
      <c r="C243" s="24"/>
      <c r="D243" s="24"/>
      <c r="E243" s="24"/>
      <c r="H243" s="7"/>
      <c r="N243" s="294"/>
    </row>
    <row r="244" spans="1:14" ht="15.75" customHeight="1" x14ac:dyDescent="0.25">
      <c r="A244" s="24"/>
      <c r="B244" s="174"/>
      <c r="C244" s="24"/>
      <c r="D244" s="24"/>
      <c r="E244" s="24"/>
      <c r="H244" s="7"/>
      <c r="N244" s="294"/>
    </row>
    <row r="245" spans="1:14" ht="15.75" customHeight="1" x14ac:dyDescent="0.25">
      <c r="A245" s="24"/>
      <c r="B245" s="174"/>
      <c r="C245" s="24"/>
      <c r="D245" s="24"/>
      <c r="E245" s="24"/>
      <c r="H245" s="7"/>
      <c r="N245" s="294"/>
    </row>
    <row r="246" spans="1:14" ht="15.75" customHeight="1" x14ac:dyDescent="0.25">
      <c r="A246" s="24"/>
      <c r="B246" s="174"/>
      <c r="C246" s="24"/>
      <c r="D246" s="24"/>
      <c r="E246" s="24"/>
      <c r="H246" s="7"/>
      <c r="N246" s="294"/>
    </row>
    <row r="247" spans="1:14" ht="15.75" customHeight="1" x14ac:dyDescent="0.25">
      <c r="A247" s="24"/>
      <c r="B247" s="174"/>
      <c r="C247" s="24"/>
      <c r="D247" s="24"/>
      <c r="E247" s="24"/>
      <c r="H247" s="7"/>
      <c r="N247" s="294"/>
    </row>
    <row r="248" spans="1:14" ht="15.75" customHeight="1" x14ac:dyDescent="0.25">
      <c r="A248" s="24"/>
      <c r="B248" s="174"/>
      <c r="C248" s="24"/>
      <c r="D248" s="24"/>
      <c r="E248" s="24"/>
      <c r="H248" s="7"/>
      <c r="N248" s="294"/>
    </row>
    <row r="249" spans="1:14" ht="15.75" customHeight="1" x14ac:dyDescent="0.25">
      <c r="A249" s="24"/>
      <c r="B249" s="174"/>
      <c r="C249" s="24"/>
      <c r="D249" s="24"/>
      <c r="E249" s="24"/>
      <c r="H249" s="7"/>
      <c r="N249" s="294"/>
    </row>
    <row r="250" spans="1:14" ht="15.75" customHeight="1" x14ac:dyDescent="0.25">
      <c r="A250" s="24"/>
      <c r="B250" s="174"/>
      <c r="C250" s="24"/>
      <c r="D250" s="24"/>
      <c r="E250" s="24"/>
      <c r="H250" s="7"/>
      <c r="N250" s="294"/>
    </row>
    <row r="251" spans="1:14" ht="15.75" customHeight="1" x14ac:dyDescent="0.25">
      <c r="A251" s="24"/>
      <c r="B251" s="174"/>
      <c r="C251" s="24"/>
      <c r="D251" s="24"/>
      <c r="E251" s="24"/>
      <c r="H251" s="7"/>
      <c r="N251" s="294"/>
    </row>
    <row r="252" spans="1:14" ht="15.75" customHeight="1" x14ac:dyDescent="0.25">
      <c r="A252" s="24"/>
      <c r="B252" s="174"/>
      <c r="C252" s="24"/>
      <c r="D252" s="24"/>
      <c r="E252" s="24"/>
      <c r="H252" s="7"/>
      <c r="N252" s="294"/>
    </row>
    <row r="253" spans="1:14" ht="15.75" customHeight="1" x14ac:dyDescent="0.25">
      <c r="A253" s="24"/>
      <c r="B253" s="174"/>
      <c r="C253" s="24"/>
      <c r="D253" s="24"/>
      <c r="E253" s="24"/>
      <c r="H253" s="7"/>
      <c r="N253" s="294"/>
    </row>
    <row r="254" spans="1:14" ht="15.75" customHeight="1" x14ac:dyDescent="0.25">
      <c r="A254" s="24"/>
      <c r="B254" s="174"/>
      <c r="C254" s="24"/>
      <c r="D254" s="24"/>
      <c r="E254" s="24"/>
      <c r="H254" s="7"/>
      <c r="N254" s="294"/>
    </row>
    <row r="255" spans="1:14" ht="15.75" customHeight="1" x14ac:dyDescent="0.25">
      <c r="A255" s="24"/>
      <c r="B255" s="174"/>
      <c r="C255" s="24"/>
      <c r="D255" s="24"/>
      <c r="E255" s="24"/>
      <c r="H255" s="7"/>
      <c r="N255" s="294"/>
    </row>
    <row r="256" spans="1:14" ht="15.75" customHeight="1" x14ac:dyDescent="0.25">
      <c r="A256" s="24"/>
      <c r="B256" s="174"/>
      <c r="C256" s="24"/>
      <c r="D256" s="24"/>
      <c r="E256" s="24"/>
      <c r="H256" s="7"/>
      <c r="N256" s="294"/>
    </row>
    <row r="257" spans="1:14" ht="15.75" customHeight="1" x14ac:dyDescent="0.25">
      <c r="A257" s="24"/>
      <c r="B257" s="174"/>
      <c r="C257" s="24"/>
      <c r="D257" s="24"/>
      <c r="E257" s="24"/>
      <c r="H257" s="7"/>
      <c r="N257" s="294"/>
    </row>
    <row r="258" spans="1:14" ht="15.75" customHeight="1" x14ac:dyDescent="0.25">
      <c r="A258" s="24"/>
      <c r="B258" s="174"/>
      <c r="C258" s="24"/>
      <c r="D258" s="24"/>
      <c r="E258" s="24"/>
      <c r="H258" s="7"/>
      <c r="N258" s="294"/>
    </row>
    <row r="259" spans="1:14" ht="15.75" customHeight="1" x14ac:dyDescent="0.25">
      <c r="A259" s="24"/>
      <c r="B259" s="174"/>
      <c r="C259" s="24"/>
      <c r="D259" s="24"/>
      <c r="E259" s="24"/>
      <c r="H259" s="7"/>
      <c r="N259" s="294"/>
    </row>
    <row r="260" spans="1:14" ht="15.75" customHeight="1" x14ac:dyDescent="0.25">
      <c r="A260" s="24"/>
      <c r="B260" s="174"/>
      <c r="C260" s="24"/>
      <c r="D260" s="24"/>
      <c r="E260" s="24"/>
      <c r="H260" s="7"/>
      <c r="N260" s="294"/>
    </row>
    <row r="261" spans="1:14" ht="15.75" customHeight="1" x14ac:dyDescent="0.25">
      <c r="A261" s="24"/>
      <c r="B261" s="174"/>
      <c r="C261" s="24"/>
      <c r="D261" s="24"/>
      <c r="E261" s="24"/>
      <c r="H261" s="7"/>
      <c r="N261" s="294"/>
    </row>
    <row r="262" spans="1:14" ht="15.75" customHeight="1" x14ac:dyDescent="0.25">
      <c r="A262" s="24"/>
      <c r="B262" s="174"/>
      <c r="C262" s="24"/>
      <c r="D262" s="24"/>
      <c r="E262" s="24"/>
      <c r="H262" s="7"/>
      <c r="N262" s="294"/>
    </row>
    <row r="263" spans="1:14" ht="15.75" customHeight="1" x14ac:dyDescent="0.25">
      <c r="A263" s="24"/>
      <c r="B263" s="174"/>
      <c r="C263" s="24"/>
      <c r="D263" s="24"/>
      <c r="E263" s="24"/>
      <c r="H263" s="7"/>
      <c r="N263" s="294"/>
    </row>
    <row r="264" spans="1:14" ht="15.75" customHeight="1" x14ac:dyDescent="0.25">
      <c r="A264" s="24"/>
      <c r="B264" s="174"/>
      <c r="C264" s="24"/>
      <c r="D264" s="24"/>
      <c r="E264" s="24"/>
      <c r="H264" s="7"/>
      <c r="N264" s="294"/>
    </row>
    <row r="265" spans="1:14" ht="15.75" customHeight="1" x14ac:dyDescent="0.25">
      <c r="A265" s="24"/>
      <c r="B265" s="174"/>
      <c r="C265" s="24"/>
      <c r="D265" s="24"/>
      <c r="E265" s="24"/>
      <c r="H265" s="7"/>
      <c r="N265" s="294"/>
    </row>
    <row r="266" spans="1:14" ht="15.75" customHeight="1" x14ac:dyDescent="0.25">
      <c r="A266" s="24"/>
      <c r="B266" s="174"/>
      <c r="C266" s="24"/>
      <c r="D266" s="24"/>
      <c r="E266" s="24"/>
      <c r="H266" s="7"/>
      <c r="N266" s="294"/>
    </row>
    <row r="267" spans="1:14" ht="15.75" customHeight="1" x14ac:dyDescent="0.25">
      <c r="A267" s="24"/>
      <c r="B267" s="174"/>
      <c r="C267" s="24"/>
      <c r="D267" s="24"/>
      <c r="E267" s="24"/>
      <c r="H267" s="7"/>
      <c r="N267" s="294"/>
    </row>
    <row r="268" spans="1:14" ht="15.75" customHeight="1" x14ac:dyDescent="0.25">
      <c r="A268" s="24"/>
      <c r="B268" s="174"/>
      <c r="C268" s="24"/>
      <c r="D268" s="24"/>
      <c r="E268" s="24"/>
      <c r="H268" s="7"/>
      <c r="N268" s="294"/>
    </row>
    <row r="269" spans="1:14" ht="15.75" customHeight="1" x14ac:dyDescent="0.25">
      <c r="A269" s="24"/>
      <c r="B269" s="174"/>
      <c r="C269" s="24"/>
      <c r="D269" s="24"/>
      <c r="E269" s="24"/>
      <c r="H269" s="7"/>
      <c r="N269" s="294"/>
    </row>
    <row r="270" spans="1:14" ht="15.75" customHeight="1" x14ac:dyDescent="0.25">
      <c r="A270" s="24"/>
      <c r="B270" s="174"/>
      <c r="C270" s="24"/>
      <c r="D270" s="24"/>
      <c r="E270" s="24"/>
      <c r="H270" s="7"/>
      <c r="N270" s="294"/>
    </row>
    <row r="271" spans="1:14" ht="15.75" customHeight="1" x14ac:dyDescent="0.25">
      <c r="A271" s="24"/>
      <c r="B271" s="174"/>
      <c r="C271" s="24"/>
      <c r="D271" s="24"/>
      <c r="E271" s="24"/>
      <c r="H271" s="7"/>
      <c r="N271" s="294"/>
    </row>
    <row r="272" spans="1:14" ht="15.75" customHeight="1" x14ac:dyDescent="0.25">
      <c r="A272" s="24"/>
      <c r="B272" s="174"/>
      <c r="C272" s="24"/>
      <c r="D272" s="24"/>
      <c r="E272" s="24"/>
      <c r="H272" s="7"/>
      <c r="N272" s="294"/>
    </row>
    <row r="273" spans="1:14" ht="15.75" customHeight="1" x14ac:dyDescent="0.25">
      <c r="A273" s="24"/>
      <c r="B273" s="174"/>
      <c r="C273" s="24"/>
      <c r="D273" s="24"/>
      <c r="E273" s="24"/>
      <c r="H273" s="7"/>
      <c r="N273" s="294"/>
    </row>
    <row r="274" spans="1:14" ht="15.75" customHeight="1" x14ac:dyDescent="0.25">
      <c r="A274" s="24"/>
      <c r="B274" s="174"/>
      <c r="C274" s="24"/>
      <c r="D274" s="24"/>
      <c r="E274" s="24"/>
      <c r="H274" s="7"/>
      <c r="N274" s="294"/>
    </row>
    <row r="275" spans="1:14" ht="15.75" customHeight="1" x14ac:dyDescent="0.25">
      <c r="A275" s="24"/>
      <c r="B275" s="174"/>
      <c r="C275" s="24"/>
      <c r="D275" s="24"/>
      <c r="E275" s="24"/>
      <c r="H275" s="7"/>
      <c r="N275" s="294"/>
    </row>
    <row r="276" spans="1:14" ht="15.75" customHeight="1" x14ac:dyDescent="0.25">
      <c r="A276" s="24"/>
      <c r="B276" s="174"/>
      <c r="C276" s="24"/>
      <c r="D276" s="24"/>
      <c r="E276" s="24"/>
      <c r="H276" s="7"/>
      <c r="N276" s="294"/>
    </row>
    <row r="277" spans="1:14" ht="15.75" customHeight="1" x14ac:dyDescent="0.25">
      <c r="A277" s="24"/>
      <c r="B277" s="174"/>
      <c r="C277" s="24"/>
      <c r="D277" s="24"/>
      <c r="E277" s="24"/>
      <c r="H277" s="7"/>
      <c r="N277" s="294"/>
    </row>
    <row r="278" spans="1:14" ht="15.75" customHeight="1" x14ac:dyDescent="0.25">
      <c r="A278" s="24"/>
      <c r="B278" s="174"/>
      <c r="C278" s="24"/>
      <c r="D278" s="24"/>
      <c r="E278" s="24"/>
      <c r="H278" s="7"/>
      <c r="N278" s="294"/>
    </row>
    <row r="279" spans="1:14" ht="15.75" customHeight="1" x14ac:dyDescent="0.25">
      <c r="A279" s="24"/>
      <c r="B279" s="174"/>
      <c r="C279" s="24"/>
      <c r="D279" s="24"/>
      <c r="E279" s="24"/>
      <c r="H279" s="7"/>
      <c r="N279" s="294"/>
    </row>
    <row r="280" spans="1:14" ht="15.75" customHeight="1" x14ac:dyDescent="0.25">
      <c r="A280" s="24"/>
      <c r="B280" s="174"/>
      <c r="C280" s="24"/>
      <c r="D280" s="24"/>
      <c r="E280" s="24"/>
      <c r="H280" s="7"/>
      <c r="N280" s="294"/>
    </row>
    <row r="281" spans="1:14" ht="15.75" customHeight="1" x14ac:dyDescent="0.25">
      <c r="A281" s="24"/>
      <c r="B281" s="174"/>
      <c r="C281" s="24"/>
      <c r="D281" s="24"/>
      <c r="E281" s="24"/>
      <c r="H281" s="7"/>
      <c r="N281" s="294"/>
    </row>
    <row r="282" spans="1:14" ht="15.75" customHeight="1" x14ac:dyDescent="0.25">
      <c r="A282" s="24"/>
      <c r="B282" s="174"/>
      <c r="C282" s="24"/>
      <c r="D282" s="24"/>
      <c r="E282" s="24"/>
      <c r="H282" s="7"/>
      <c r="N282" s="294"/>
    </row>
    <row r="283" spans="1:14" ht="15.75" customHeight="1" x14ac:dyDescent="0.25">
      <c r="A283" s="24"/>
      <c r="B283" s="174"/>
      <c r="C283" s="24"/>
      <c r="D283" s="24"/>
      <c r="E283" s="24"/>
      <c r="H283" s="7"/>
      <c r="N283" s="294"/>
    </row>
    <row r="284" spans="1:14" ht="15.75" customHeight="1" x14ac:dyDescent="0.25">
      <c r="N284" s="294"/>
    </row>
    <row r="285" spans="1:14" ht="15.75" customHeight="1" x14ac:dyDescent="0.25">
      <c r="N285" s="294"/>
    </row>
    <row r="286" spans="1:14" ht="15.75" customHeight="1" x14ac:dyDescent="0.25">
      <c r="N286" s="294"/>
    </row>
    <row r="287" spans="1:14" ht="15.75" customHeight="1" x14ac:dyDescent="0.25">
      <c r="N287" s="294"/>
    </row>
    <row r="288" spans="1:14" ht="15.75" customHeight="1" x14ac:dyDescent="0.25">
      <c r="N288" s="294"/>
    </row>
    <row r="289" spans="14:14" ht="15.75" customHeight="1" x14ac:dyDescent="0.25">
      <c r="N289" s="294"/>
    </row>
    <row r="290" spans="14:14" ht="15.75" customHeight="1" x14ac:dyDescent="0.25">
      <c r="N290" s="294"/>
    </row>
    <row r="291" spans="14:14" ht="15.75" customHeight="1" x14ac:dyDescent="0.25">
      <c r="N291" s="294"/>
    </row>
    <row r="292" spans="14:14" ht="15.75" customHeight="1" x14ac:dyDescent="0.25">
      <c r="N292" s="294"/>
    </row>
    <row r="293" spans="14:14" ht="15.75" customHeight="1" x14ac:dyDescent="0.25">
      <c r="N293" s="294"/>
    </row>
    <row r="294" spans="14:14" ht="15.75" customHeight="1" x14ac:dyDescent="0.25">
      <c r="N294" s="294"/>
    </row>
    <row r="295" spans="14:14" ht="15.75" customHeight="1" x14ac:dyDescent="0.25">
      <c r="N295" s="294"/>
    </row>
    <row r="296" spans="14:14" ht="15.75" customHeight="1" x14ac:dyDescent="0.25">
      <c r="N296" s="294"/>
    </row>
    <row r="297" spans="14:14" ht="15.75" customHeight="1" x14ac:dyDescent="0.25">
      <c r="N297" s="294"/>
    </row>
    <row r="298" spans="14:14" ht="15.75" customHeight="1" x14ac:dyDescent="0.25">
      <c r="N298" s="294"/>
    </row>
    <row r="299" spans="14:14" ht="15.75" customHeight="1" x14ac:dyDescent="0.25">
      <c r="N299" s="294"/>
    </row>
    <row r="300" spans="14:14" ht="15.75" customHeight="1" x14ac:dyDescent="0.25">
      <c r="N300" s="294"/>
    </row>
    <row r="301" spans="14:14" ht="15.75" customHeight="1" x14ac:dyDescent="0.25">
      <c r="N301" s="294"/>
    </row>
    <row r="302" spans="14:14" ht="15.75" customHeight="1" x14ac:dyDescent="0.25">
      <c r="N302" s="294"/>
    </row>
    <row r="303" spans="14:14" ht="15.75" customHeight="1" x14ac:dyDescent="0.25">
      <c r="N303" s="294"/>
    </row>
    <row r="304" spans="14:14" ht="15.75" customHeight="1" x14ac:dyDescent="0.25">
      <c r="N304" s="294"/>
    </row>
    <row r="305" spans="14:14" ht="15.75" customHeight="1" x14ac:dyDescent="0.25">
      <c r="N305" s="294"/>
    </row>
    <row r="306" spans="14:14" ht="15.75" customHeight="1" x14ac:dyDescent="0.25">
      <c r="N306" s="294"/>
    </row>
    <row r="307" spans="14:14" ht="15.75" customHeight="1" x14ac:dyDescent="0.25">
      <c r="N307" s="294"/>
    </row>
    <row r="308" spans="14:14" ht="15.75" customHeight="1" x14ac:dyDescent="0.25">
      <c r="N308" s="294"/>
    </row>
    <row r="309" spans="14:14" ht="15.75" customHeight="1" x14ac:dyDescent="0.25">
      <c r="N309" s="294"/>
    </row>
    <row r="310" spans="14:14" ht="15.75" customHeight="1" x14ac:dyDescent="0.25">
      <c r="N310" s="294"/>
    </row>
    <row r="311" spans="14:14" ht="15.75" customHeight="1" x14ac:dyDescent="0.25">
      <c r="N311" s="294"/>
    </row>
    <row r="312" spans="14:14" ht="15.75" customHeight="1" x14ac:dyDescent="0.25">
      <c r="N312" s="294"/>
    </row>
    <row r="313" spans="14:14" ht="15.75" customHeight="1" x14ac:dyDescent="0.25">
      <c r="N313" s="294"/>
    </row>
    <row r="314" spans="14:14" ht="15.75" customHeight="1" x14ac:dyDescent="0.25">
      <c r="N314" s="294"/>
    </row>
    <row r="315" spans="14:14" ht="15.75" customHeight="1" x14ac:dyDescent="0.25">
      <c r="N315" s="294"/>
    </row>
    <row r="316" spans="14:14" ht="15.75" customHeight="1" x14ac:dyDescent="0.25">
      <c r="N316" s="294"/>
    </row>
    <row r="317" spans="14:14" ht="15.75" customHeight="1" x14ac:dyDescent="0.25">
      <c r="N317" s="294"/>
    </row>
    <row r="318" spans="14:14" ht="15.75" customHeight="1" x14ac:dyDescent="0.25">
      <c r="N318" s="294"/>
    </row>
    <row r="319" spans="14:14" ht="15.75" customHeight="1" x14ac:dyDescent="0.25">
      <c r="N319" s="294"/>
    </row>
    <row r="320" spans="14:14" ht="15.75" customHeight="1" x14ac:dyDescent="0.25">
      <c r="N320" s="294"/>
    </row>
    <row r="321" spans="14:14" ht="15.75" customHeight="1" x14ac:dyDescent="0.25">
      <c r="N321" s="294"/>
    </row>
    <row r="322" spans="14:14" ht="15.75" customHeight="1" x14ac:dyDescent="0.25">
      <c r="N322" s="294"/>
    </row>
    <row r="323" spans="14:14" ht="15.75" customHeight="1" x14ac:dyDescent="0.25">
      <c r="N323" s="294"/>
    </row>
    <row r="324" spans="14:14" ht="15.75" customHeight="1" x14ac:dyDescent="0.25">
      <c r="N324" s="294"/>
    </row>
    <row r="325" spans="14:14" ht="15.75" customHeight="1" x14ac:dyDescent="0.25">
      <c r="N325" s="294"/>
    </row>
    <row r="326" spans="14:14" ht="15.75" customHeight="1" x14ac:dyDescent="0.25">
      <c r="N326" s="294"/>
    </row>
    <row r="327" spans="14:14" ht="15.75" customHeight="1" x14ac:dyDescent="0.25">
      <c r="N327" s="294"/>
    </row>
    <row r="328" spans="14:14" ht="15.75" customHeight="1" x14ac:dyDescent="0.25">
      <c r="N328" s="294"/>
    </row>
    <row r="329" spans="14:14" ht="15.75" customHeight="1" x14ac:dyDescent="0.25">
      <c r="N329" s="294"/>
    </row>
    <row r="330" spans="14:14" ht="15.75" customHeight="1" x14ac:dyDescent="0.25">
      <c r="N330" s="294"/>
    </row>
    <row r="331" spans="14:14" ht="15.75" customHeight="1" x14ac:dyDescent="0.25">
      <c r="N331" s="294"/>
    </row>
    <row r="332" spans="14:14" ht="15.75" customHeight="1" x14ac:dyDescent="0.25">
      <c r="N332" s="294"/>
    </row>
    <row r="333" spans="14:14" ht="15.75" customHeight="1" x14ac:dyDescent="0.25">
      <c r="N333" s="294"/>
    </row>
    <row r="334" spans="14:14" ht="15.75" customHeight="1" x14ac:dyDescent="0.25">
      <c r="N334" s="294"/>
    </row>
    <row r="335" spans="14:14" ht="15.75" customHeight="1" x14ac:dyDescent="0.25">
      <c r="N335" s="294"/>
    </row>
    <row r="336" spans="14:14" ht="15.75" customHeight="1" x14ac:dyDescent="0.25">
      <c r="N336" s="294"/>
    </row>
    <row r="337" spans="14:14" ht="15.75" customHeight="1" x14ac:dyDescent="0.25">
      <c r="N337" s="294"/>
    </row>
    <row r="338" spans="14:14" ht="15.75" customHeight="1" x14ac:dyDescent="0.25">
      <c r="N338" s="294"/>
    </row>
    <row r="339" spans="14:14" ht="15.75" customHeight="1" x14ac:dyDescent="0.25">
      <c r="N339" s="294"/>
    </row>
    <row r="340" spans="14:14" ht="15.75" customHeight="1" x14ac:dyDescent="0.25">
      <c r="N340" s="294"/>
    </row>
    <row r="341" spans="14:14" ht="15.75" customHeight="1" x14ac:dyDescent="0.25">
      <c r="N341" s="294"/>
    </row>
    <row r="342" spans="14:14" ht="15.75" customHeight="1" x14ac:dyDescent="0.25">
      <c r="N342" s="294"/>
    </row>
    <row r="343" spans="14:14" ht="15.75" customHeight="1" x14ac:dyDescent="0.25">
      <c r="N343" s="294"/>
    </row>
    <row r="344" spans="14:14" ht="15.75" customHeight="1" x14ac:dyDescent="0.25">
      <c r="N344" s="294"/>
    </row>
    <row r="345" spans="14:14" ht="15.75" customHeight="1" x14ac:dyDescent="0.25">
      <c r="N345" s="294"/>
    </row>
    <row r="346" spans="14:14" ht="15.75" customHeight="1" x14ac:dyDescent="0.25">
      <c r="N346" s="294"/>
    </row>
    <row r="347" spans="14:14" ht="15.75" customHeight="1" x14ac:dyDescent="0.25">
      <c r="N347" s="294"/>
    </row>
    <row r="348" spans="14:14" ht="15.75" customHeight="1" x14ac:dyDescent="0.25">
      <c r="N348" s="294"/>
    </row>
    <row r="349" spans="14:14" ht="15.75" customHeight="1" x14ac:dyDescent="0.25">
      <c r="N349" s="294"/>
    </row>
    <row r="350" spans="14:14" ht="15.75" customHeight="1" x14ac:dyDescent="0.25">
      <c r="N350" s="294"/>
    </row>
    <row r="351" spans="14:14" ht="15.75" customHeight="1" x14ac:dyDescent="0.25">
      <c r="N351" s="294"/>
    </row>
    <row r="352" spans="14:14" ht="15.75" customHeight="1" x14ac:dyDescent="0.25">
      <c r="N352" s="294"/>
    </row>
    <row r="353" spans="14:14" ht="15.75" customHeight="1" x14ac:dyDescent="0.25">
      <c r="N353" s="294"/>
    </row>
    <row r="354" spans="14:14" ht="15.75" customHeight="1" x14ac:dyDescent="0.25">
      <c r="N354" s="294"/>
    </row>
    <row r="355" spans="14:14" ht="15.75" customHeight="1" x14ac:dyDescent="0.25">
      <c r="N355" s="294"/>
    </row>
    <row r="356" spans="14:14" ht="15.75" customHeight="1" x14ac:dyDescent="0.25">
      <c r="N356" s="294"/>
    </row>
    <row r="357" spans="14:14" ht="15.75" customHeight="1" x14ac:dyDescent="0.25">
      <c r="N357" s="294"/>
    </row>
    <row r="358" spans="14:14" ht="15.75" customHeight="1" x14ac:dyDescent="0.25">
      <c r="N358" s="294"/>
    </row>
    <row r="359" spans="14:14" ht="15.75" customHeight="1" x14ac:dyDescent="0.25">
      <c r="N359" s="294"/>
    </row>
    <row r="360" spans="14:14" ht="15.75" customHeight="1" x14ac:dyDescent="0.25">
      <c r="N360" s="294"/>
    </row>
    <row r="361" spans="14:14" ht="15.75" customHeight="1" x14ac:dyDescent="0.25">
      <c r="N361" s="294"/>
    </row>
    <row r="362" spans="14:14" ht="15.75" customHeight="1" x14ac:dyDescent="0.25">
      <c r="N362" s="294"/>
    </row>
    <row r="363" spans="14:14" ht="15.75" customHeight="1" x14ac:dyDescent="0.25">
      <c r="N363" s="294"/>
    </row>
    <row r="364" spans="14:14" ht="15.75" customHeight="1" x14ac:dyDescent="0.25">
      <c r="N364" s="294"/>
    </row>
    <row r="365" spans="14:14" ht="15.75" customHeight="1" x14ac:dyDescent="0.25">
      <c r="N365" s="294"/>
    </row>
    <row r="366" spans="14:14" ht="15.75" customHeight="1" x14ac:dyDescent="0.25">
      <c r="N366" s="294"/>
    </row>
    <row r="367" spans="14:14" ht="15.75" customHeight="1" x14ac:dyDescent="0.25">
      <c r="N367" s="294"/>
    </row>
    <row r="368" spans="14:14" ht="15.75" customHeight="1" x14ac:dyDescent="0.25">
      <c r="N368" s="294"/>
    </row>
    <row r="369" spans="14:14" ht="15.75" customHeight="1" x14ac:dyDescent="0.25">
      <c r="N369" s="294"/>
    </row>
    <row r="370" spans="14:14" ht="15.75" customHeight="1" x14ac:dyDescent="0.25">
      <c r="N370" s="294"/>
    </row>
    <row r="371" spans="14:14" ht="15.75" customHeight="1" x14ac:dyDescent="0.25">
      <c r="N371" s="294"/>
    </row>
    <row r="372" spans="14:14" ht="15.75" customHeight="1" x14ac:dyDescent="0.25">
      <c r="N372" s="294"/>
    </row>
    <row r="373" spans="14:14" ht="15.75" customHeight="1" x14ac:dyDescent="0.25">
      <c r="N373" s="294"/>
    </row>
    <row r="374" spans="14:14" ht="15.75" customHeight="1" x14ac:dyDescent="0.25">
      <c r="N374" s="294"/>
    </row>
    <row r="375" spans="14:14" ht="15.75" customHeight="1" x14ac:dyDescent="0.25">
      <c r="N375" s="294"/>
    </row>
    <row r="376" spans="14:14" ht="15.75" customHeight="1" x14ac:dyDescent="0.25">
      <c r="N376" s="294"/>
    </row>
    <row r="377" spans="14:14" ht="15.75" customHeight="1" x14ac:dyDescent="0.25">
      <c r="N377" s="294"/>
    </row>
    <row r="378" spans="14:14" ht="15.75" customHeight="1" x14ac:dyDescent="0.25">
      <c r="N378" s="294"/>
    </row>
    <row r="379" spans="14:14" ht="15.75" customHeight="1" x14ac:dyDescent="0.25">
      <c r="N379" s="294"/>
    </row>
    <row r="380" spans="14:14" ht="15.75" customHeight="1" x14ac:dyDescent="0.25">
      <c r="N380" s="294"/>
    </row>
    <row r="381" spans="14:14" ht="15.75" customHeight="1" x14ac:dyDescent="0.25">
      <c r="N381" s="294"/>
    </row>
    <row r="382" spans="14:14" ht="15.75" customHeight="1" x14ac:dyDescent="0.25">
      <c r="N382" s="294"/>
    </row>
    <row r="383" spans="14:14" ht="15.75" customHeight="1" x14ac:dyDescent="0.25">
      <c r="N383" s="294"/>
    </row>
    <row r="384" spans="14:14" ht="15.75" customHeight="1" x14ac:dyDescent="0.25">
      <c r="N384" s="294"/>
    </row>
    <row r="385" spans="14:14" ht="15.75" customHeight="1" x14ac:dyDescent="0.25">
      <c r="N385" s="294"/>
    </row>
    <row r="386" spans="14:14" ht="15.75" customHeight="1" x14ac:dyDescent="0.25">
      <c r="N386" s="294"/>
    </row>
    <row r="387" spans="14:14" ht="15.75" customHeight="1" x14ac:dyDescent="0.25">
      <c r="N387" s="294"/>
    </row>
    <row r="388" spans="14:14" ht="15.75" customHeight="1" x14ac:dyDescent="0.25">
      <c r="N388" s="294"/>
    </row>
    <row r="389" spans="14:14" ht="15.75" customHeight="1" x14ac:dyDescent="0.25">
      <c r="N389" s="294"/>
    </row>
    <row r="390" spans="14:14" ht="15.75" customHeight="1" x14ac:dyDescent="0.25">
      <c r="N390" s="294"/>
    </row>
    <row r="391" spans="14:14" ht="15.75" customHeight="1" x14ac:dyDescent="0.25">
      <c r="N391" s="294"/>
    </row>
    <row r="392" spans="14:14" ht="15.75" customHeight="1" x14ac:dyDescent="0.25">
      <c r="N392" s="294"/>
    </row>
    <row r="393" spans="14:14" ht="15.75" customHeight="1" x14ac:dyDescent="0.25">
      <c r="N393" s="294"/>
    </row>
    <row r="394" spans="14:14" ht="15.75" customHeight="1" x14ac:dyDescent="0.25">
      <c r="N394" s="294"/>
    </row>
    <row r="395" spans="14:14" ht="15.75" customHeight="1" x14ac:dyDescent="0.25">
      <c r="N395" s="294"/>
    </row>
    <row r="396" spans="14:14" ht="15.75" customHeight="1" x14ac:dyDescent="0.25">
      <c r="N396" s="294"/>
    </row>
    <row r="397" spans="14:14" ht="15.75" customHeight="1" x14ac:dyDescent="0.25">
      <c r="N397" s="294"/>
    </row>
    <row r="398" spans="14:14" ht="15.75" customHeight="1" x14ac:dyDescent="0.25">
      <c r="N398" s="294"/>
    </row>
    <row r="399" spans="14:14" ht="15.75" customHeight="1" x14ac:dyDescent="0.25">
      <c r="N399" s="294"/>
    </row>
    <row r="400" spans="14:14" ht="15.75" customHeight="1" x14ac:dyDescent="0.25">
      <c r="N400" s="294"/>
    </row>
    <row r="401" spans="14:14" ht="15.75" customHeight="1" x14ac:dyDescent="0.25">
      <c r="N401" s="294"/>
    </row>
    <row r="402" spans="14:14" ht="15.75" customHeight="1" x14ac:dyDescent="0.25">
      <c r="N402" s="294"/>
    </row>
    <row r="403" spans="14:14" ht="15.75" customHeight="1" x14ac:dyDescent="0.25">
      <c r="N403" s="294"/>
    </row>
    <row r="404" spans="14:14" ht="15.75" customHeight="1" x14ac:dyDescent="0.25">
      <c r="N404" s="294"/>
    </row>
    <row r="405" spans="14:14" ht="15.75" customHeight="1" x14ac:dyDescent="0.25">
      <c r="N405" s="294"/>
    </row>
    <row r="406" spans="14:14" ht="15.75" customHeight="1" x14ac:dyDescent="0.25">
      <c r="N406" s="294"/>
    </row>
    <row r="407" spans="14:14" ht="15.75" customHeight="1" x14ac:dyDescent="0.25">
      <c r="N407" s="294"/>
    </row>
    <row r="408" spans="14:14" ht="15.75" customHeight="1" x14ac:dyDescent="0.25">
      <c r="N408" s="294"/>
    </row>
    <row r="409" spans="14:14" ht="15.75" customHeight="1" x14ac:dyDescent="0.25">
      <c r="N409" s="294"/>
    </row>
    <row r="410" spans="14:14" ht="15.75" customHeight="1" x14ac:dyDescent="0.25">
      <c r="N410" s="294"/>
    </row>
    <row r="411" spans="14:14" ht="15.75" customHeight="1" x14ac:dyDescent="0.25">
      <c r="N411" s="294"/>
    </row>
    <row r="412" spans="14:14" ht="15.75" customHeight="1" x14ac:dyDescent="0.25">
      <c r="N412" s="294"/>
    </row>
    <row r="413" spans="14:14" ht="15.75" customHeight="1" x14ac:dyDescent="0.25">
      <c r="N413" s="294"/>
    </row>
    <row r="414" spans="14:14" ht="15.75" customHeight="1" x14ac:dyDescent="0.25">
      <c r="N414" s="294"/>
    </row>
    <row r="415" spans="14:14" ht="15.75" customHeight="1" x14ac:dyDescent="0.25">
      <c r="N415" s="294"/>
    </row>
    <row r="416" spans="14:14" ht="15.75" customHeight="1" x14ac:dyDescent="0.25">
      <c r="N416" s="294"/>
    </row>
    <row r="417" spans="14:14" ht="15.75" customHeight="1" x14ac:dyDescent="0.25">
      <c r="N417" s="294"/>
    </row>
    <row r="418" spans="14:14" ht="15.75" customHeight="1" x14ac:dyDescent="0.25">
      <c r="N418" s="294"/>
    </row>
    <row r="419" spans="14:14" ht="15.75" customHeight="1" x14ac:dyDescent="0.25">
      <c r="N419" s="294"/>
    </row>
    <row r="420" spans="14:14" ht="15.75" customHeight="1" x14ac:dyDescent="0.25">
      <c r="N420" s="294"/>
    </row>
    <row r="421" spans="14:14" ht="15.75" customHeight="1" x14ac:dyDescent="0.25">
      <c r="N421" s="294"/>
    </row>
    <row r="422" spans="14:14" ht="15.75" customHeight="1" x14ac:dyDescent="0.25">
      <c r="N422" s="294"/>
    </row>
    <row r="423" spans="14:14" ht="15.75" customHeight="1" x14ac:dyDescent="0.25">
      <c r="N423" s="294"/>
    </row>
    <row r="424" spans="14:14" ht="15.75" customHeight="1" x14ac:dyDescent="0.25">
      <c r="N424" s="294"/>
    </row>
    <row r="425" spans="14:14" ht="15.75" customHeight="1" x14ac:dyDescent="0.25">
      <c r="N425" s="294"/>
    </row>
    <row r="426" spans="14:14" ht="15.75" customHeight="1" x14ac:dyDescent="0.25">
      <c r="N426" s="294"/>
    </row>
    <row r="427" spans="14:14" ht="15.75" customHeight="1" x14ac:dyDescent="0.25">
      <c r="N427" s="294"/>
    </row>
    <row r="428" spans="14:14" ht="15.75" customHeight="1" x14ac:dyDescent="0.25">
      <c r="N428" s="294"/>
    </row>
    <row r="429" spans="14:14" ht="15.75" customHeight="1" x14ac:dyDescent="0.25">
      <c r="N429" s="294"/>
    </row>
    <row r="430" spans="14:14" ht="15.75" customHeight="1" x14ac:dyDescent="0.25">
      <c r="N430" s="294"/>
    </row>
    <row r="431" spans="14:14" ht="15.75" customHeight="1" x14ac:dyDescent="0.25">
      <c r="N431" s="294"/>
    </row>
    <row r="432" spans="14:14" ht="15.75" customHeight="1" x14ac:dyDescent="0.25">
      <c r="N432" s="294"/>
    </row>
    <row r="433" spans="14:14" ht="15.75" customHeight="1" x14ac:dyDescent="0.25">
      <c r="N433" s="294"/>
    </row>
    <row r="434" spans="14:14" ht="15.75" customHeight="1" x14ac:dyDescent="0.25">
      <c r="N434" s="294"/>
    </row>
    <row r="435" spans="14:14" ht="15.75" customHeight="1" x14ac:dyDescent="0.25">
      <c r="N435" s="294"/>
    </row>
    <row r="436" spans="14:14" ht="15.75" customHeight="1" x14ac:dyDescent="0.25">
      <c r="N436" s="294"/>
    </row>
    <row r="437" spans="14:14" ht="15.75" customHeight="1" x14ac:dyDescent="0.25">
      <c r="N437" s="294"/>
    </row>
    <row r="438" spans="14:14" ht="15.75" customHeight="1" x14ac:dyDescent="0.25">
      <c r="N438" s="294"/>
    </row>
    <row r="439" spans="14:14" ht="15.75" customHeight="1" x14ac:dyDescent="0.25">
      <c r="N439" s="294"/>
    </row>
    <row r="440" spans="14:14" ht="15.75" customHeight="1" x14ac:dyDescent="0.25">
      <c r="N440" s="294"/>
    </row>
    <row r="441" spans="14:14" ht="15.75" customHeight="1" x14ac:dyDescent="0.25">
      <c r="N441" s="294"/>
    </row>
    <row r="442" spans="14:14" ht="15.75" customHeight="1" x14ac:dyDescent="0.25">
      <c r="N442" s="294"/>
    </row>
    <row r="443" spans="14:14" ht="15.75" customHeight="1" x14ac:dyDescent="0.25">
      <c r="N443" s="294"/>
    </row>
    <row r="444" spans="14:14" ht="15.75" customHeight="1" x14ac:dyDescent="0.25">
      <c r="N444" s="294"/>
    </row>
    <row r="445" spans="14:14" ht="15.75" customHeight="1" x14ac:dyDescent="0.25">
      <c r="N445" s="294"/>
    </row>
    <row r="446" spans="14:14" ht="15.75" customHeight="1" x14ac:dyDescent="0.25">
      <c r="N446" s="294"/>
    </row>
    <row r="447" spans="14:14" ht="15.75" customHeight="1" x14ac:dyDescent="0.25">
      <c r="N447" s="294"/>
    </row>
    <row r="448" spans="14:14" ht="15.75" customHeight="1" x14ac:dyDescent="0.25">
      <c r="N448" s="294"/>
    </row>
    <row r="449" spans="14:14" ht="15.75" customHeight="1" x14ac:dyDescent="0.25">
      <c r="N449" s="294"/>
    </row>
    <row r="450" spans="14:14" ht="15.75" customHeight="1" x14ac:dyDescent="0.25">
      <c r="N450" s="294"/>
    </row>
    <row r="451" spans="14:14" ht="15.75" customHeight="1" x14ac:dyDescent="0.25">
      <c r="N451" s="294"/>
    </row>
    <row r="452" spans="14:14" ht="15.75" customHeight="1" x14ac:dyDescent="0.25">
      <c r="N452" s="294"/>
    </row>
    <row r="453" spans="14:14" ht="15.75" customHeight="1" x14ac:dyDescent="0.25">
      <c r="N453" s="294"/>
    </row>
    <row r="454" spans="14:14" ht="15.75" customHeight="1" x14ac:dyDescent="0.25">
      <c r="N454" s="294"/>
    </row>
    <row r="455" spans="14:14" ht="15.75" customHeight="1" x14ac:dyDescent="0.25">
      <c r="N455" s="294"/>
    </row>
    <row r="456" spans="14:14" ht="15.75" customHeight="1" x14ac:dyDescent="0.25">
      <c r="N456" s="294"/>
    </row>
    <row r="457" spans="14:14" ht="15.75" customHeight="1" x14ac:dyDescent="0.25">
      <c r="N457" s="294"/>
    </row>
    <row r="458" spans="14:14" ht="15.75" customHeight="1" x14ac:dyDescent="0.25">
      <c r="N458" s="294"/>
    </row>
    <row r="459" spans="14:14" ht="15.75" customHeight="1" x14ac:dyDescent="0.25">
      <c r="N459" s="294"/>
    </row>
    <row r="460" spans="14:14" ht="15.75" customHeight="1" x14ac:dyDescent="0.25">
      <c r="N460" s="294"/>
    </row>
    <row r="461" spans="14:14" ht="15.75" customHeight="1" x14ac:dyDescent="0.25">
      <c r="N461" s="294"/>
    </row>
    <row r="462" spans="14:14" ht="15.75" customHeight="1" x14ac:dyDescent="0.25">
      <c r="N462" s="294"/>
    </row>
    <row r="463" spans="14:14" ht="15.75" customHeight="1" x14ac:dyDescent="0.25">
      <c r="N463" s="294"/>
    </row>
    <row r="464" spans="14:14" ht="15.75" customHeight="1" x14ac:dyDescent="0.25">
      <c r="N464" s="294"/>
    </row>
    <row r="465" spans="14:14" ht="15.75" customHeight="1" x14ac:dyDescent="0.25">
      <c r="N465" s="294"/>
    </row>
    <row r="466" spans="14:14" ht="15.75" customHeight="1" x14ac:dyDescent="0.25">
      <c r="N466" s="294"/>
    </row>
    <row r="467" spans="14:14" ht="15.75" customHeight="1" x14ac:dyDescent="0.25">
      <c r="N467" s="294"/>
    </row>
    <row r="468" spans="14:14" ht="15.75" customHeight="1" x14ac:dyDescent="0.25">
      <c r="N468" s="294"/>
    </row>
    <row r="469" spans="14:14" ht="15.75" customHeight="1" x14ac:dyDescent="0.25">
      <c r="N469" s="294"/>
    </row>
    <row r="470" spans="14:14" ht="15.75" customHeight="1" x14ac:dyDescent="0.25">
      <c r="N470" s="294"/>
    </row>
    <row r="471" spans="14:14" ht="15.75" customHeight="1" x14ac:dyDescent="0.25">
      <c r="N471" s="294"/>
    </row>
    <row r="472" spans="14:14" ht="15.75" customHeight="1" x14ac:dyDescent="0.25">
      <c r="N472" s="294"/>
    </row>
    <row r="473" spans="14:14" ht="15.75" customHeight="1" x14ac:dyDescent="0.25">
      <c r="N473" s="294"/>
    </row>
    <row r="474" spans="14:14" ht="15.75" customHeight="1" x14ac:dyDescent="0.25">
      <c r="N474" s="294"/>
    </row>
    <row r="475" spans="14:14" ht="15.75" customHeight="1" x14ac:dyDescent="0.25">
      <c r="N475" s="294"/>
    </row>
    <row r="476" spans="14:14" ht="15.75" customHeight="1" x14ac:dyDescent="0.25">
      <c r="N476" s="294"/>
    </row>
    <row r="477" spans="14:14" ht="15.75" customHeight="1" x14ac:dyDescent="0.25">
      <c r="N477" s="294"/>
    </row>
    <row r="478" spans="14:14" ht="15.75" customHeight="1" x14ac:dyDescent="0.25">
      <c r="N478" s="294"/>
    </row>
    <row r="479" spans="14:14" ht="15.75" customHeight="1" x14ac:dyDescent="0.25">
      <c r="N479" s="294"/>
    </row>
    <row r="480" spans="14:14" ht="15.75" customHeight="1" x14ac:dyDescent="0.25">
      <c r="N480" s="294"/>
    </row>
    <row r="481" spans="14:14" ht="15.75" customHeight="1" x14ac:dyDescent="0.25">
      <c r="N481" s="294"/>
    </row>
    <row r="482" spans="14:14" ht="15.75" customHeight="1" x14ac:dyDescent="0.25">
      <c r="N482" s="294"/>
    </row>
    <row r="483" spans="14:14" ht="15.75" customHeight="1" x14ac:dyDescent="0.25">
      <c r="N483" s="294"/>
    </row>
    <row r="484" spans="14:14" ht="15.75" customHeight="1" x14ac:dyDescent="0.25">
      <c r="N484" s="294"/>
    </row>
    <row r="485" spans="14:14" ht="15.75" customHeight="1" x14ac:dyDescent="0.25">
      <c r="N485" s="294"/>
    </row>
    <row r="486" spans="14:14" ht="15.75" customHeight="1" x14ac:dyDescent="0.25">
      <c r="N486" s="294"/>
    </row>
    <row r="487" spans="14:14" ht="15.75" customHeight="1" x14ac:dyDescent="0.25">
      <c r="N487" s="294"/>
    </row>
    <row r="488" spans="14:14" ht="15.75" customHeight="1" x14ac:dyDescent="0.25">
      <c r="N488" s="294"/>
    </row>
    <row r="489" spans="14:14" ht="15.75" customHeight="1" x14ac:dyDescent="0.25">
      <c r="N489" s="294"/>
    </row>
    <row r="490" spans="14:14" ht="15.75" customHeight="1" x14ac:dyDescent="0.25">
      <c r="N490" s="294"/>
    </row>
    <row r="491" spans="14:14" ht="15.75" customHeight="1" x14ac:dyDescent="0.25">
      <c r="N491" s="294"/>
    </row>
    <row r="492" spans="14:14" ht="15.75" customHeight="1" x14ac:dyDescent="0.25">
      <c r="N492" s="294"/>
    </row>
    <row r="493" spans="14:14" ht="15.75" customHeight="1" x14ac:dyDescent="0.25">
      <c r="N493" s="294"/>
    </row>
    <row r="494" spans="14:14" ht="15.75" customHeight="1" x14ac:dyDescent="0.25">
      <c r="N494" s="294"/>
    </row>
    <row r="495" spans="14:14" ht="15.75" customHeight="1" x14ac:dyDescent="0.25">
      <c r="N495" s="294"/>
    </row>
    <row r="496" spans="14:14" ht="15.75" customHeight="1" x14ac:dyDescent="0.25">
      <c r="N496" s="294"/>
    </row>
    <row r="497" spans="14:14" ht="15.75" customHeight="1" x14ac:dyDescent="0.25">
      <c r="N497" s="294"/>
    </row>
    <row r="498" spans="14:14" ht="15.75" customHeight="1" x14ac:dyDescent="0.25">
      <c r="N498" s="294"/>
    </row>
    <row r="499" spans="14:14" ht="15.75" customHeight="1" x14ac:dyDescent="0.25">
      <c r="N499" s="294"/>
    </row>
    <row r="500" spans="14:14" ht="15.75" customHeight="1" x14ac:dyDescent="0.25">
      <c r="N500" s="294"/>
    </row>
    <row r="501" spans="14:14" ht="15.75" customHeight="1" x14ac:dyDescent="0.25">
      <c r="N501" s="294"/>
    </row>
    <row r="502" spans="14:14" ht="15.75" customHeight="1" x14ac:dyDescent="0.25">
      <c r="N502" s="294"/>
    </row>
    <row r="503" spans="14:14" ht="15.75" customHeight="1" x14ac:dyDescent="0.25">
      <c r="N503" s="294"/>
    </row>
    <row r="504" spans="14:14" ht="15.75" customHeight="1" x14ac:dyDescent="0.25">
      <c r="N504" s="294"/>
    </row>
    <row r="505" spans="14:14" ht="15.75" customHeight="1" x14ac:dyDescent="0.25">
      <c r="N505" s="294"/>
    </row>
    <row r="506" spans="14:14" ht="15.75" customHeight="1" x14ac:dyDescent="0.25">
      <c r="N506" s="294"/>
    </row>
    <row r="507" spans="14:14" ht="15.75" customHeight="1" x14ac:dyDescent="0.25">
      <c r="N507" s="294"/>
    </row>
    <row r="508" spans="14:14" ht="15.75" customHeight="1" x14ac:dyDescent="0.25">
      <c r="N508" s="294"/>
    </row>
    <row r="509" spans="14:14" ht="15.75" customHeight="1" x14ac:dyDescent="0.25">
      <c r="N509" s="294"/>
    </row>
    <row r="510" spans="14:14" ht="15.75" customHeight="1" x14ac:dyDescent="0.25">
      <c r="N510" s="294"/>
    </row>
    <row r="511" spans="14:14" ht="15.75" customHeight="1" x14ac:dyDescent="0.25">
      <c r="N511" s="294"/>
    </row>
    <row r="512" spans="14:14" ht="15.75" customHeight="1" x14ac:dyDescent="0.25">
      <c r="N512" s="294"/>
    </row>
    <row r="513" spans="14:14" ht="15.75" customHeight="1" x14ac:dyDescent="0.25">
      <c r="N513" s="294"/>
    </row>
    <row r="514" spans="14:14" ht="15.75" customHeight="1" x14ac:dyDescent="0.25">
      <c r="N514" s="294"/>
    </row>
    <row r="515" spans="14:14" ht="15.75" customHeight="1" x14ac:dyDescent="0.25">
      <c r="N515" s="294"/>
    </row>
    <row r="516" spans="14:14" ht="15.75" customHeight="1" x14ac:dyDescent="0.25">
      <c r="N516" s="294"/>
    </row>
    <row r="517" spans="14:14" ht="15.75" customHeight="1" x14ac:dyDescent="0.25">
      <c r="N517" s="294"/>
    </row>
    <row r="518" spans="14:14" ht="15.75" customHeight="1" x14ac:dyDescent="0.25">
      <c r="N518" s="294"/>
    </row>
    <row r="519" spans="14:14" ht="15.75" customHeight="1" x14ac:dyDescent="0.25">
      <c r="N519" s="294"/>
    </row>
    <row r="520" spans="14:14" ht="15.75" customHeight="1" x14ac:dyDescent="0.25">
      <c r="N520" s="294"/>
    </row>
    <row r="521" spans="14:14" ht="15.75" customHeight="1" x14ac:dyDescent="0.25">
      <c r="N521" s="294"/>
    </row>
    <row r="522" spans="14:14" ht="15.75" customHeight="1" x14ac:dyDescent="0.25">
      <c r="N522" s="294"/>
    </row>
    <row r="523" spans="14:14" ht="15.75" customHeight="1" x14ac:dyDescent="0.25">
      <c r="N523" s="294"/>
    </row>
    <row r="524" spans="14:14" ht="15.75" customHeight="1" x14ac:dyDescent="0.25">
      <c r="N524" s="294"/>
    </row>
    <row r="525" spans="14:14" ht="15.75" customHeight="1" x14ac:dyDescent="0.25">
      <c r="N525" s="294"/>
    </row>
    <row r="526" spans="14:14" ht="15.75" customHeight="1" x14ac:dyDescent="0.25">
      <c r="N526" s="294"/>
    </row>
    <row r="527" spans="14:14" ht="15.75" customHeight="1" x14ac:dyDescent="0.25">
      <c r="N527" s="294"/>
    </row>
    <row r="528" spans="14:14" ht="15.75" customHeight="1" x14ac:dyDescent="0.25">
      <c r="N528" s="294"/>
    </row>
    <row r="529" spans="14:14" ht="15.75" customHeight="1" x14ac:dyDescent="0.25">
      <c r="N529" s="294"/>
    </row>
    <row r="530" spans="14:14" ht="15.75" customHeight="1" x14ac:dyDescent="0.25">
      <c r="N530" s="294"/>
    </row>
    <row r="531" spans="14:14" ht="15.75" customHeight="1" x14ac:dyDescent="0.25">
      <c r="N531" s="294"/>
    </row>
    <row r="532" spans="14:14" ht="15.75" customHeight="1" x14ac:dyDescent="0.25">
      <c r="N532" s="294"/>
    </row>
    <row r="533" spans="14:14" ht="15.75" customHeight="1" x14ac:dyDescent="0.25">
      <c r="N533" s="294"/>
    </row>
    <row r="534" spans="14:14" ht="15.75" customHeight="1" x14ac:dyDescent="0.25">
      <c r="N534" s="294"/>
    </row>
    <row r="535" spans="14:14" ht="15.75" customHeight="1" x14ac:dyDescent="0.25">
      <c r="N535" s="294"/>
    </row>
    <row r="536" spans="14:14" ht="15.75" customHeight="1" x14ac:dyDescent="0.25">
      <c r="N536" s="294"/>
    </row>
    <row r="537" spans="14:14" ht="15.75" customHeight="1" x14ac:dyDescent="0.25">
      <c r="N537" s="294"/>
    </row>
    <row r="538" spans="14:14" ht="15.75" customHeight="1" x14ac:dyDescent="0.25">
      <c r="N538" s="294"/>
    </row>
    <row r="539" spans="14:14" ht="15.75" customHeight="1" x14ac:dyDescent="0.25">
      <c r="N539" s="294"/>
    </row>
    <row r="540" spans="14:14" ht="15.75" customHeight="1" x14ac:dyDescent="0.25">
      <c r="N540" s="294"/>
    </row>
    <row r="541" spans="14:14" ht="15.75" customHeight="1" x14ac:dyDescent="0.25">
      <c r="N541" s="294"/>
    </row>
    <row r="542" spans="14:14" ht="15.75" customHeight="1" x14ac:dyDescent="0.25">
      <c r="N542" s="294"/>
    </row>
    <row r="543" spans="14:14" ht="15.75" customHeight="1" x14ac:dyDescent="0.25">
      <c r="N543" s="294"/>
    </row>
    <row r="544" spans="14:14" ht="15.75" customHeight="1" x14ac:dyDescent="0.25">
      <c r="N544" s="294"/>
    </row>
    <row r="545" spans="14:14" ht="15.75" customHeight="1" x14ac:dyDescent="0.25">
      <c r="N545" s="294"/>
    </row>
    <row r="546" spans="14:14" ht="15.75" customHeight="1" x14ac:dyDescent="0.25">
      <c r="N546" s="294"/>
    </row>
    <row r="547" spans="14:14" ht="15.75" customHeight="1" x14ac:dyDescent="0.25">
      <c r="N547" s="294"/>
    </row>
    <row r="548" spans="14:14" ht="15.75" customHeight="1" x14ac:dyDescent="0.25">
      <c r="N548" s="294"/>
    </row>
    <row r="549" spans="14:14" ht="15.75" customHeight="1" x14ac:dyDescent="0.25">
      <c r="N549" s="294"/>
    </row>
    <row r="550" spans="14:14" ht="15.75" customHeight="1" x14ac:dyDescent="0.25">
      <c r="N550" s="294"/>
    </row>
    <row r="551" spans="14:14" ht="15.75" customHeight="1" x14ac:dyDescent="0.25">
      <c r="N551" s="294"/>
    </row>
    <row r="552" spans="14:14" ht="15.75" customHeight="1" x14ac:dyDescent="0.25">
      <c r="N552" s="294"/>
    </row>
    <row r="553" spans="14:14" ht="15.75" customHeight="1" x14ac:dyDescent="0.25">
      <c r="N553" s="294"/>
    </row>
    <row r="554" spans="14:14" ht="15.75" customHeight="1" x14ac:dyDescent="0.25">
      <c r="N554" s="294"/>
    </row>
    <row r="555" spans="14:14" ht="15.75" customHeight="1" x14ac:dyDescent="0.25">
      <c r="N555" s="294"/>
    </row>
    <row r="556" spans="14:14" ht="15.75" customHeight="1" x14ac:dyDescent="0.25">
      <c r="N556" s="294"/>
    </row>
    <row r="557" spans="14:14" ht="15.75" customHeight="1" x14ac:dyDescent="0.25">
      <c r="N557" s="294"/>
    </row>
    <row r="558" spans="14:14" ht="15.75" customHeight="1" x14ac:dyDescent="0.25">
      <c r="N558" s="294"/>
    </row>
    <row r="559" spans="14:14" ht="15.75" customHeight="1" x14ac:dyDescent="0.25">
      <c r="N559" s="294"/>
    </row>
    <row r="560" spans="14:14" ht="15.75" customHeight="1" x14ac:dyDescent="0.25">
      <c r="N560" s="294"/>
    </row>
    <row r="561" spans="14:14" ht="15.75" customHeight="1" x14ac:dyDescent="0.25">
      <c r="N561" s="294"/>
    </row>
    <row r="562" spans="14:14" ht="15.75" customHeight="1" x14ac:dyDescent="0.25">
      <c r="N562" s="294"/>
    </row>
    <row r="563" spans="14:14" ht="15.75" customHeight="1" x14ac:dyDescent="0.25">
      <c r="N563" s="294"/>
    </row>
    <row r="564" spans="14:14" ht="15.75" customHeight="1" x14ac:dyDescent="0.25">
      <c r="N564" s="294"/>
    </row>
    <row r="565" spans="14:14" ht="15.75" customHeight="1" x14ac:dyDescent="0.25">
      <c r="N565" s="294"/>
    </row>
    <row r="566" spans="14:14" ht="15.75" customHeight="1" x14ac:dyDescent="0.25">
      <c r="N566" s="294"/>
    </row>
    <row r="567" spans="14:14" ht="15.75" customHeight="1" x14ac:dyDescent="0.25">
      <c r="N567" s="294"/>
    </row>
    <row r="568" spans="14:14" ht="15.75" customHeight="1" x14ac:dyDescent="0.25">
      <c r="N568" s="294"/>
    </row>
    <row r="569" spans="14:14" ht="15.75" customHeight="1" x14ac:dyDescent="0.25">
      <c r="N569" s="294"/>
    </row>
    <row r="570" spans="14:14" ht="15.75" customHeight="1" x14ac:dyDescent="0.25">
      <c r="N570" s="294"/>
    </row>
    <row r="571" spans="14:14" ht="15.75" customHeight="1" x14ac:dyDescent="0.25">
      <c r="N571" s="294"/>
    </row>
    <row r="572" spans="14:14" ht="15.75" customHeight="1" x14ac:dyDescent="0.25">
      <c r="N572" s="294"/>
    </row>
    <row r="573" spans="14:14" ht="15.75" customHeight="1" x14ac:dyDescent="0.25">
      <c r="N573" s="294"/>
    </row>
    <row r="574" spans="14:14" ht="15.75" customHeight="1" x14ac:dyDescent="0.25">
      <c r="N574" s="294"/>
    </row>
    <row r="575" spans="14:14" ht="15.75" customHeight="1" x14ac:dyDescent="0.25">
      <c r="N575" s="294"/>
    </row>
    <row r="576" spans="14:14" ht="15.75" customHeight="1" x14ac:dyDescent="0.25">
      <c r="N576" s="294"/>
    </row>
    <row r="577" spans="14:14" ht="15.75" customHeight="1" x14ac:dyDescent="0.25">
      <c r="N577" s="294"/>
    </row>
    <row r="578" spans="14:14" ht="15.75" customHeight="1" x14ac:dyDescent="0.25">
      <c r="N578" s="294"/>
    </row>
    <row r="579" spans="14:14" ht="15.75" customHeight="1" x14ac:dyDescent="0.25">
      <c r="N579" s="294"/>
    </row>
    <row r="580" spans="14:14" ht="15.75" customHeight="1" x14ac:dyDescent="0.25">
      <c r="N580" s="294"/>
    </row>
    <row r="581" spans="14:14" ht="15.75" customHeight="1" x14ac:dyDescent="0.25">
      <c r="N581" s="294"/>
    </row>
    <row r="582" spans="14:14" ht="15.75" customHeight="1" x14ac:dyDescent="0.25">
      <c r="N582" s="294"/>
    </row>
    <row r="583" spans="14:14" ht="15.75" customHeight="1" x14ac:dyDescent="0.25">
      <c r="N583" s="294"/>
    </row>
    <row r="584" spans="14:14" ht="15.75" customHeight="1" x14ac:dyDescent="0.25">
      <c r="N584" s="294"/>
    </row>
    <row r="585" spans="14:14" ht="15.75" customHeight="1" x14ac:dyDescent="0.25">
      <c r="N585" s="294"/>
    </row>
    <row r="586" spans="14:14" ht="15.75" customHeight="1" x14ac:dyDescent="0.25">
      <c r="N586" s="294"/>
    </row>
    <row r="587" spans="14:14" ht="15.75" customHeight="1" x14ac:dyDescent="0.25">
      <c r="N587" s="294"/>
    </row>
    <row r="588" spans="14:14" ht="15.75" customHeight="1" x14ac:dyDescent="0.25">
      <c r="N588" s="294"/>
    </row>
    <row r="589" spans="14:14" ht="15.75" customHeight="1" x14ac:dyDescent="0.25">
      <c r="N589" s="294"/>
    </row>
    <row r="590" spans="14:14" ht="15.75" customHeight="1" x14ac:dyDescent="0.25">
      <c r="N590" s="294"/>
    </row>
    <row r="591" spans="14:14" ht="15.75" customHeight="1" x14ac:dyDescent="0.25">
      <c r="N591" s="294"/>
    </row>
    <row r="592" spans="14:14" ht="15.75" customHeight="1" x14ac:dyDescent="0.25">
      <c r="N592" s="294"/>
    </row>
    <row r="593" spans="14:14" ht="15.75" customHeight="1" x14ac:dyDescent="0.25">
      <c r="N593" s="294"/>
    </row>
    <row r="594" spans="14:14" ht="15.75" customHeight="1" x14ac:dyDescent="0.25">
      <c r="N594" s="294"/>
    </row>
    <row r="595" spans="14:14" ht="15.75" customHeight="1" x14ac:dyDescent="0.25">
      <c r="N595" s="294"/>
    </row>
    <row r="596" spans="14:14" ht="15.75" customHeight="1" x14ac:dyDescent="0.25">
      <c r="N596" s="294"/>
    </row>
    <row r="597" spans="14:14" ht="15.75" customHeight="1" x14ac:dyDescent="0.25">
      <c r="N597" s="294"/>
    </row>
    <row r="598" spans="14:14" ht="15.75" customHeight="1" x14ac:dyDescent="0.25">
      <c r="N598" s="294"/>
    </row>
    <row r="599" spans="14:14" ht="15.75" customHeight="1" x14ac:dyDescent="0.25">
      <c r="N599" s="294"/>
    </row>
    <row r="600" spans="14:14" ht="15.75" customHeight="1" x14ac:dyDescent="0.25">
      <c r="N600" s="294"/>
    </row>
    <row r="601" spans="14:14" ht="15.75" customHeight="1" x14ac:dyDescent="0.25">
      <c r="N601" s="294"/>
    </row>
    <row r="602" spans="14:14" ht="15.75" customHeight="1" x14ac:dyDescent="0.25">
      <c r="N602" s="294"/>
    </row>
    <row r="603" spans="14:14" ht="15.75" customHeight="1" x14ac:dyDescent="0.25">
      <c r="N603" s="294"/>
    </row>
    <row r="604" spans="14:14" ht="15.75" customHeight="1" x14ac:dyDescent="0.25">
      <c r="N604" s="294"/>
    </row>
    <row r="605" spans="14:14" ht="15.75" customHeight="1" x14ac:dyDescent="0.25">
      <c r="N605" s="294"/>
    </row>
    <row r="606" spans="14:14" ht="15.75" customHeight="1" x14ac:dyDescent="0.25">
      <c r="N606" s="294"/>
    </row>
    <row r="607" spans="14:14" ht="15.75" customHeight="1" x14ac:dyDescent="0.25">
      <c r="N607" s="294"/>
    </row>
    <row r="608" spans="14:14" ht="15.75" customHeight="1" x14ac:dyDescent="0.25">
      <c r="N608" s="294"/>
    </row>
    <row r="609" spans="14:14" ht="15.75" customHeight="1" x14ac:dyDescent="0.25">
      <c r="N609" s="294"/>
    </row>
    <row r="610" spans="14:14" ht="15.75" customHeight="1" x14ac:dyDescent="0.25">
      <c r="N610" s="294"/>
    </row>
    <row r="611" spans="14:14" ht="15.75" customHeight="1" x14ac:dyDescent="0.25">
      <c r="N611" s="294"/>
    </row>
    <row r="612" spans="14:14" ht="15.75" customHeight="1" x14ac:dyDescent="0.25">
      <c r="N612" s="294"/>
    </row>
    <row r="613" spans="14:14" ht="15.75" customHeight="1" x14ac:dyDescent="0.25">
      <c r="N613" s="294"/>
    </row>
    <row r="614" spans="14:14" ht="15.75" customHeight="1" x14ac:dyDescent="0.25">
      <c r="N614" s="294"/>
    </row>
    <row r="615" spans="14:14" ht="15.75" customHeight="1" x14ac:dyDescent="0.25">
      <c r="N615" s="294"/>
    </row>
    <row r="616" spans="14:14" ht="15.75" customHeight="1" x14ac:dyDescent="0.25">
      <c r="N616" s="294"/>
    </row>
    <row r="617" spans="14:14" ht="15.75" customHeight="1" x14ac:dyDescent="0.25">
      <c r="N617" s="294"/>
    </row>
    <row r="618" spans="14:14" ht="15.75" customHeight="1" x14ac:dyDescent="0.25">
      <c r="N618" s="294"/>
    </row>
    <row r="619" spans="14:14" ht="15.75" customHeight="1" x14ac:dyDescent="0.25">
      <c r="N619" s="294"/>
    </row>
    <row r="620" spans="14:14" ht="15.75" customHeight="1" x14ac:dyDescent="0.25">
      <c r="N620" s="294"/>
    </row>
    <row r="621" spans="14:14" ht="15.75" customHeight="1" x14ac:dyDescent="0.25">
      <c r="N621" s="294"/>
    </row>
    <row r="622" spans="14:14" ht="15.75" customHeight="1" x14ac:dyDescent="0.25">
      <c r="N622" s="294"/>
    </row>
    <row r="623" spans="14:14" ht="15.75" customHeight="1" x14ac:dyDescent="0.25">
      <c r="N623" s="294"/>
    </row>
    <row r="624" spans="14:14" ht="15.75" customHeight="1" x14ac:dyDescent="0.25">
      <c r="N624" s="294"/>
    </row>
    <row r="625" spans="14:14" ht="15.75" customHeight="1" x14ac:dyDescent="0.25">
      <c r="N625" s="294"/>
    </row>
    <row r="626" spans="14:14" ht="15.75" customHeight="1" x14ac:dyDescent="0.25">
      <c r="N626" s="294"/>
    </row>
    <row r="627" spans="14:14" ht="15.75" customHeight="1" x14ac:dyDescent="0.25">
      <c r="N627" s="294"/>
    </row>
    <row r="628" spans="14:14" ht="15.75" customHeight="1" x14ac:dyDescent="0.25">
      <c r="N628" s="294"/>
    </row>
    <row r="629" spans="14:14" ht="15.75" customHeight="1" x14ac:dyDescent="0.25">
      <c r="N629" s="294"/>
    </row>
    <row r="630" spans="14:14" ht="15.75" customHeight="1" x14ac:dyDescent="0.25">
      <c r="N630" s="294"/>
    </row>
    <row r="631" spans="14:14" ht="15.75" customHeight="1" x14ac:dyDescent="0.25">
      <c r="N631" s="294"/>
    </row>
    <row r="632" spans="14:14" ht="15.75" customHeight="1" x14ac:dyDescent="0.25">
      <c r="N632" s="294"/>
    </row>
    <row r="633" spans="14:14" ht="15.75" customHeight="1" x14ac:dyDescent="0.25">
      <c r="N633" s="294"/>
    </row>
    <row r="634" spans="14:14" ht="15.75" customHeight="1" x14ac:dyDescent="0.25">
      <c r="N634" s="294"/>
    </row>
    <row r="635" spans="14:14" ht="15.75" customHeight="1" x14ac:dyDescent="0.25">
      <c r="N635" s="294"/>
    </row>
    <row r="636" spans="14:14" ht="15.75" customHeight="1" x14ac:dyDescent="0.25">
      <c r="N636" s="294"/>
    </row>
    <row r="637" spans="14:14" ht="15.75" customHeight="1" x14ac:dyDescent="0.25">
      <c r="N637" s="294"/>
    </row>
    <row r="638" spans="14:14" ht="15.75" customHeight="1" x14ac:dyDescent="0.25">
      <c r="N638" s="294"/>
    </row>
    <row r="639" spans="14:14" ht="15.75" customHeight="1" x14ac:dyDescent="0.25">
      <c r="N639" s="294"/>
    </row>
    <row r="640" spans="14:14" ht="15.75" customHeight="1" x14ac:dyDescent="0.25">
      <c r="N640" s="294"/>
    </row>
    <row r="641" spans="14:14" ht="15.75" customHeight="1" x14ac:dyDescent="0.25">
      <c r="N641" s="294"/>
    </row>
    <row r="642" spans="14:14" ht="15.75" customHeight="1" x14ac:dyDescent="0.25">
      <c r="N642" s="294"/>
    </row>
    <row r="643" spans="14:14" ht="15.75" customHeight="1" x14ac:dyDescent="0.25">
      <c r="N643" s="294"/>
    </row>
    <row r="644" spans="14:14" ht="15.75" customHeight="1" x14ac:dyDescent="0.25">
      <c r="N644" s="294"/>
    </row>
    <row r="645" spans="14:14" ht="15.75" customHeight="1" x14ac:dyDescent="0.25">
      <c r="N645" s="294"/>
    </row>
    <row r="646" spans="14:14" ht="15.75" customHeight="1" x14ac:dyDescent="0.25">
      <c r="N646" s="294"/>
    </row>
    <row r="647" spans="14:14" ht="15.75" customHeight="1" x14ac:dyDescent="0.25">
      <c r="N647" s="294"/>
    </row>
    <row r="648" spans="14:14" ht="15.75" customHeight="1" x14ac:dyDescent="0.25">
      <c r="N648" s="294"/>
    </row>
    <row r="649" spans="14:14" ht="15.75" customHeight="1" x14ac:dyDescent="0.25">
      <c r="N649" s="294"/>
    </row>
    <row r="650" spans="14:14" ht="15.75" customHeight="1" x14ac:dyDescent="0.25">
      <c r="N650" s="294"/>
    </row>
    <row r="651" spans="14:14" ht="15.75" customHeight="1" x14ac:dyDescent="0.25">
      <c r="N651" s="294"/>
    </row>
    <row r="652" spans="14:14" ht="15.75" customHeight="1" x14ac:dyDescent="0.25">
      <c r="N652" s="294"/>
    </row>
    <row r="653" spans="14:14" ht="15.75" customHeight="1" x14ac:dyDescent="0.25">
      <c r="N653" s="294"/>
    </row>
    <row r="654" spans="14:14" ht="15.75" customHeight="1" x14ac:dyDescent="0.25">
      <c r="N654" s="294"/>
    </row>
    <row r="655" spans="14:14" ht="15.75" customHeight="1" x14ac:dyDescent="0.25">
      <c r="N655" s="294"/>
    </row>
    <row r="656" spans="14:14" ht="15.75" customHeight="1" x14ac:dyDescent="0.25">
      <c r="N656" s="294"/>
    </row>
    <row r="657" spans="14:14" ht="15.75" customHeight="1" x14ac:dyDescent="0.25">
      <c r="N657" s="294"/>
    </row>
    <row r="658" spans="14:14" ht="15.75" customHeight="1" x14ac:dyDescent="0.25">
      <c r="N658" s="294"/>
    </row>
    <row r="659" spans="14:14" ht="15.75" customHeight="1" x14ac:dyDescent="0.25">
      <c r="N659" s="294"/>
    </row>
    <row r="660" spans="14:14" ht="15.75" customHeight="1" x14ac:dyDescent="0.25">
      <c r="N660" s="294"/>
    </row>
    <row r="661" spans="14:14" ht="15.75" customHeight="1" x14ac:dyDescent="0.25">
      <c r="N661" s="294"/>
    </row>
    <row r="662" spans="14:14" ht="15.75" customHeight="1" x14ac:dyDescent="0.25">
      <c r="N662" s="294"/>
    </row>
    <row r="663" spans="14:14" ht="15.75" customHeight="1" x14ac:dyDescent="0.25">
      <c r="N663" s="294"/>
    </row>
    <row r="664" spans="14:14" ht="15.75" customHeight="1" x14ac:dyDescent="0.25">
      <c r="N664" s="294"/>
    </row>
    <row r="665" spans="14:14" ht="15.75" customHeight="1" x14ac:dyDescent="0.25">
      <c r="N665" s="294"/>
    </row>
    <row r="666" spans="14:14" ht="15.75" customHeight="1" x14ac:dyDescent="0.25">
      <c r="N666" s="294"/>
    </row>
    <row r="667" spans="14:14" ht="15.75" customHeight="1" x14ac:dyDescent="0.25">
      <c r="N667" s="294"/>
    </row>
    <row r="668" spans="14:14" ht="15.75" customHeight="1" x14ac:dyDescent="0.25">
      <c r="N668" s="294"/>
    </row>
    <row r="669" spans="14:14" ht="15.75" customHeight="1" x14ac:dyDescent="0.25">
      <c r="N669" s="294"/>
    </row>
    <row r="670" spans="14:14" ht="15.75" customHeight="1" x14ac:dyDescent="0.25">
      <c r="N670" s="294"/>
    </row>
    <row r="671" spans="14:14" ht="15.75" customHeight="1" x14ac:dyDescent="0.25">
      <c r="N671" s="294"/>
    </row>
    <row r="672" spans="14:14" ht="15.75" customHeight="1" x14ac:dyDescent="0.25">
      <c r="N672" s="294"/>
    </row>
    <row r="673" spans="14:14" ht="15.75" customHeight="1" x14ac:dyDescent="0.25">
      <c r="N673" s="294"/>
    </row>
    <row r="674" spans="14:14" ht="15.75" customHeight="1" x14ac:dyDescent="0.25">
      <c r="N674" s="294"/>
    </row>
    <row r="675" spans="14:14" ht="15.75" customHeight="1" x14ac:dyDescent="0.25">
      <c r="N675" s="294"/>
    </row>
    <row r="676" spans="14:14" ht="15.75" customHeight="1" x14ac:dyDescent="0.25">
      <c r="N676" s="294"/>
    </row>
    <row r="677" spans="14:14" ht="15.75" customHeight="1" x14ac:dyDescent="0.25">
      <c r="N677" s="294"/>
    </row>
    <row r="678" spans="14:14" ht="15.75" customHeight="1" x14ac:dyDescent="0.25">
      <c r="N678" s="294"/>
    </row>
    <row r="679" spans="14:14" ht="15.75" customHeight="1" x14ac:dyDescent="0.25">
      <c r="N679" s="294"/>
    </row>
    <row r="680" spans="14:14" ht="15.75" customHeight="1" x14ac:dyDescent="0.25">
      <c r="N680" s="294"/>
    </row>
    <row r="681" spans="14:14" ht="15.75" customHeight="1" x14ac:dyDescent="0.25">
      <c r="N681" s="294"/>
    </row>
    <row r="682" spans="14:14" ht="15.75" customHeight="1" x14ac:dyDescent="0.25">
      <c r="N682" s="294"/>
    </row>
    <row r="683" spans="14:14" ht="15.75" customHeight="1" x14ac:dyDescent="0.25">
      <c r="N683" s="294"/>
    </row>
    <row r="684" spans="14:14" ht="15.75" customHeight="1" x14ac:dyDescent="0.25">
      <c r="N684" s="294"/>
    </row>
    <row r="685" spans="14:14" ht="15.75" customHeight="1" x14ac:dyDescent="0.25">
      <c r="N685" s="294"/>
    </row>
    <row r="686" spans="14:14" ht="15.75" customHeight="1" x14ac:dyDescent="0.25">
      <c r="N686" s="294"/>
    </row>
    <row r="687" spans="14:14" ht="15.75" customHeight="1" x14ac:dyDescent="0.25">
      <c r="N687" s="294"/>
    </row>
    <row r="688" spans="14:14" ht="15.75" customHeight="1" x14ac:dyDescent="0.25">
      <c r="N688" s="294"/>
    </row>
    <row r="689" spans="14:14" ht="15.75" customHeight="1" x14ac:dyDescent="0.25">
      <c r="N689" s="294"/>
    </row>
    <row r="690" spans="14:14" ht="15.75" customHeight="1" x14ac:dyDescent="0.25">
      <c r="N690" s="294"/>
    </row>
    <row r="691" spans="14:14" ht="15.75" customHeight="1" x14ac:dyDescent="0.25">
      <c r="N691" s="294"/>
    </row>
    <row r="692" spans="14:14" ht="15.75" customHeight="1" x14ac:dyDescent="0.25">
      <c r="N692" s="294"/>
    </row>
    <row r="693" spans="14:14" ht="15.75" customHeight="1" x14ac:dyDescent="0.25">
      <c r="N693" s="294"/>
    </row>
    <row r="694" spans="14:14" ht="15.75" customHeight="1" x14ac:dyDescent="0.25">
      <c r="N694" s="294"/>
    </row>
    <row r="695" spans="14:14" ht="15.75" customHeight="1" x14ac:dyDescent="0.25">
      <c r="N695" s="294"/>
    </row>
    <row r="696" spans="14:14" ht="15.75" customHeight="1" x14ac:dyDescent="0.25">
      <c r="N696" s="294"/>
    </row>
    <row r="697" spans="14:14" ht="15.75" customHeight="1" x14ac:dyDescent="0.25">
      <c r="N697" s="294"/>
    </row>
    <row r="698" spans="14:14" ht="15.75" customHeight="1" x14ac:dyDescent="0.25">
      <c r="N698" s="294"/>
    </row>
    <row r="699" spans="14:14" ht="15.75" customHeight="1" x14ac:dyDescent="0.25">
      <c r="N699" s="294"/>
    </row>
    <row r="700" spans="14:14" ht="15.75" customHeight="1" x14ac:dyDescent="0.25">
      <c r="N700" s="294"/>
    </row>
    <row r="701" spans="14:14" ht="15.75" customHeight="1" x14ac:dyDescent="0.25">
      <c r="N701" s="294"/>
    </row>
    <row r="702" spans="14:14" ht="15.75" customHeight="1" x14ac:dyDescent="0.25">
      <c r="N702" s="294"/>
    </row>
    <row r="703" spans="14:14" ht="15.75" customHeight="1" x14ac:dyDescent="0.25">
      <c r="N703" s="294"/>
    </row>
    <row r="704" spans="14:14" ht="15.75" customHeight="1" x14ac:dyDescent="0.25">
      <c r="N704" s="294"/>
    </row>
    <row r="705" spans="14:14" ht="15.75" customHeight="1" x14ac:dyDescent="0.25">
      <c r="N705" s="294"/>
    </row>
    <row r="706" spans="14:14" ht="15.75" customHeight="1" x14ac:dyDescent="0.25">
      <c r="N706" s="294"/>
    </row>
    <row r="707" spans="14:14" ht="15.75" customHeight="1" x14ac:dyDescent="0.25">
      <c r="N707" s="294"/>
    </row>
    <row r="708" spans="14:14" ht="15.75" customHeight="1" x14ac:dyDescent="0.25">
      <c r="N708" s="294"/>
    </row>
    <row r="709" spans="14:14" ht="15.75" customHeight="1" x14ac:dyDescent="0.25">
      <c r="N709" s="294"/>
    </row>
    <row r="710" spans="14:14" ht="15.75" customHeight="1" x14ac:dyDescent="0.25">
      <c r="N710" s="294"/>
    </row>
    <row r="711" spans="14:14" ht="15.75" customHeight="1" x14ac:dyDescent="0.25">
      <c r="N711" s="294"/>
    </row>
    <row r="712" spans="14:14" ht="15.75" customHeight="1" x14ac:dyDescent="0.25">
      <c r="N712" s="294"/>
    </row>
    <row r="713" spans="14:14" ht="15.75" customHeight="1" x14ac:dyDescent="0.25">
      <c r="N713" s="294"/>
    </row>
    <row r="714" spans="14:14" ht="15.75" customHeight="1" x14ac:dyDescent="0.25">
      <c r="N714" s="294"/>
    </row>
    <row r="715" spans="14:14" ht="15.75" customHeight="1" x14ac:dyDescent="0.25">
      <c r="N715" s="294"/>
    </row>
    <row r="716" spans="14:14" ht="15.75" customHeight="1" x14ac:dyDescent="0.25">
      <c r="N716" s="294"/>
    </row>
    <row r="717" spans="14:14" ht="15.75" customHeight="1" x14ac:dyDescent="0.25">
      <c r="N717" s="294"/>
    </row>
    <row r="718" spans="14:14" ht="15.75" customHeight="1" x14ac:dyDescent="0.25">
      <c r="N718" s="294"/>
    </row>
    <row r="719" spans="14:14" ht="15.75" customHeight="1" x14ac:dyDescent="0.25">
      <c r="N719" s="294"/>
    </row>
    <row r="720" spans="14:14" ht="15.75" customHeight="1" x14ac:dyDescent="0.25">
      <c r="N720" s="294"/>
    </row>
    <row r="721" spans="14:14" ht="15.75" customHeight="1" x14ac:dyDescent="0.25">
      <c r="N721" s="294"/>
    </row>
    <row r="722" spans="14:14" ht="15.75" customHeight="1" x14ac:dyDescent="0.25">
      <c r="N722" s="294"/>
    </row>
    <row r="723" spans="14:14" ht="15.75" customHeight="1" x14ac:dyDescent="0.25">
      <c r="N723" s="294"/>
    </row>
    <row r="724" spans="14:14" ht="15.75" customHeight="1" x14ac:dyDescent="0.25">
      <c r="N724" s="294"/>
    </row>
    <row r="725" spans="14:14" ht="15.75" customHeight="1" x14ac:dyDescent="0.25">
      <c r="N725" s="294"/>
    </row>
    <row r="726" spans="14:14" ht="15.75" customHeight="1" x14ac:dyDescent="0.25">
      <c r="N726" s="294"/>
    </row>
    <row r="727" spans="14:14" ht="15.75" customHeight="1" x14ac:dyDescent="0.25">
      <c r="N727" s="294"/>
    </row>
    <row r="728" spans="14:14" ht="15.75" customHeight="1" x14ac:dyDescent="0.25">
      <c r="N728" s="294"/>
    </row>
    <row r="729" spans="14:14" ht="15.75" customHeight="1" x14ac:dyDescent="0.25">
      <c r="N729" s="294"/>
    </row>
    <row r="730" spans="14:14" ht="15.75" customHeight="1" x14ac:dyDescent="0.25">
      <c r="N730" s="294"/>
    </row>
    <row r="731" spans="14:14" ht="15.75" customHeight="1" x14ac:dyDescent="0.25">
      <c r="N731" s="294"/>
    </row>
    <row r="732" spans="14:14" ht="15.75" customHeight="1" x14ac:dyDescent="0.25">
      <c r="N732" s="294"/>
    </row>
    <row r="733" spans="14:14" ht="15.75" customHeight="1" x14ac:dyDescent="0.25">
      <c r="N733" s="294"/>
    </row>
    <row r="734" spans="14:14" ht="15.75" customHeight="1" x14ac:dyDescent="0.25">
      <c r="N734" s="294"/>
    </row>
    <row r="735" spans="14:14" ht="15.75" customHeight="1" x14ac:dyDescent="0.25">
      <c r="N735" s="294"/>
    </row>
    <row r="736" spans="14:14" ht="15.75" customHeight="1" x14ac:dyDescent="0.25">
      <c r="N736" s="294"/>
    </row>
    <row r="737" spans="14:14" ht="15.75" customHeight="1" x14ac:dyDescent="0.25">
      <c r="N737" s="294"/>
    </row>
    <row r="738" spans="14:14" ht="15.75" customHeight="1" x14ac:dyDescent="0.25">
      <c r="N738" s="294"/>
    </row>
    <row r="739" spans="14:14" ht="15.75" customHeight="1" x14ac:dyDescent="0.25">
      <c r="N739" s="294"/>
    </row>
    <row r="740" spans="14:14" ht="15.75" customHeight="1" x14ac:dyDescent="0.25">
      <c r="N740" s="294"/>
    </row>
    <row r="741" spans="14:14" ht="15.75" customHeight="1" x14ac:dyDescent="0.25">
      <c r="N741" s="294"/>
    </row>
    <row r="742" spans="14:14" ht="15.75" customHeight="1" x14ac:dyDescent="0.25">
      <c r="N742" s="294"/>
    </row>
    <row r="743" spans="14:14" ht="15.75" customHeight="1" x14ac:dyDescent="0.25">
      <c r="N743" s="294"/>
    </row>
    <row r="744" spans="14:14" ht="15.75" customHeight="1" x14ac:dyDescent="0.25">
      <c r="N744" s="294"/>
    </row>
    <row r="745" spans="14:14" ht="15.75" customHeight="1" x14ac:dyDescent="0.25">
      <c r="N745" s="294"/>
    </row>
    <row r="746" spans="14:14" ht="15.75" customHeight="1" x14ac:dyDescent="0.25">
      <c r="N746" s="294"/>
    </row>
    <row r="747" spans="14:14" ht="15.75" customHeight="1" x14ac:dyDescent="0.25">
      <c r="N747" s="294"/>
    </row>
    <row r="748" spans="14:14" ht="15.75" customHeight="1" x14ac:dyDescent="0.25">
      <c r="N748" s="294"/>
    </row>
    <row r="749" spans="14:14" ht="15.75" customHeight="1" x14ac:dyDescent="0.25">
      <c r="N749" s="294"/>
    </row>
    <row r="750" spans="14:14" ht="15.75" customHeight="1" x14ac:dyDescent="0.25">
      <c r="N750" s="294"/>
    </row>
    <row r="751" spans="14:14" ht="15.75" customHeight="1" x14ac:dyDescent="0.25">
      <c r="N751" s="294"/>
    </row>
    <row r="752" spans="14:14" ht="15.75" customHeight="1" x14ac:dyDescent="0.25">
      <c r="N752" s="294"/>
    </row>
    <row r="753" spans="14:14" ht="15.75" customHeight="1" x14ac:dyDescent="0.25">
      <c r="N753" s="294"/>
    </row>
    <row r="754" spans="14:14" ht="15.75" customHeight="1" x14ac:dyDescent="0.25">
      <c r="N754" s="294"/>
    </row>
    <row r="755" spans="14:14" ht="15.75" customHeight="1" x14ac:dyDescent="0.25">
      <c r="N755" s="294"/>
    </row>
    <row r="756" spans="14:14" ht="15.75" customHeight="1" x14ac:dyDescent="0.25">
      <c r="N756" s="294"/>
    </row>
    <row r="757" spans="14:14" ht="15.75" customHeight="1" x14ac:dyDescent="0.25">
      <c r="N757" s="294"/>
    </row>
    <row r="758" spans="14:14" ht="15.75" customHeight="1" x14ac:dyDescent="0.25">
      <c r="N758" s="294"/>
    </row>
    <row r="759" spans="14:14" ht="15.75" customHeight="1" x14ac:dyDescent="0.25">
      <c r="N759" s="294"/>
    </row>
    <row r="760" spans="14:14" ht="15.75" customHeight="1" x14ac:dyDescent="0.25">
      <c r="N760" s="294"/>
    </row>
    <row r="761" spans="14:14" ht="15.75" customHeight="1" x14ac:dyDescent="0.25">
      <c r="N761" s="294"/>
    </row>
    <row r="762" spans="14:14" ht="15.75" customHeight="1" x14ac:dyDescent="0.25">
      <c r="N762" s="294"/>
    </row>
    <row r="763" spans="14:14" ht="15.75" customHeight="1" x14ac:dyDescent="0.25">
      <c r="N763" s="294"/>
    </row>
    <row r="764" spans="14:14" ht="15.75" customHeight="1" x14ac:dyDescent="0.25">
      <c r="N764" s="294"/>
    </row>
    <row r="765" spans="14:14" ht="15.75" customHeight="1" x14ac:dyDescent="0.25">
      <c r="N765" s="294"/>
    </row>
    <row r="766" spans="14:14" ht="15.75" customHeight="1" x14ac:dyDescent="0.25">
      <c r="N766" s="294"/>
    </row>
    <row r="767" spans="14:14" ht="15.75" customHeight="1" x14ac:dyDescent="0.25">
      <c r="N767" s="294"/>
    </row>
    <row r="768" spans="14:14" ht="15.75" customHeight="1" x14ac:dyDescent="0.25">
      <c r="N768" s="294"/>
    </row>
    <row r="769" spans="14:14" ht="15.75" customHeight="1" x14ac:dyDescent="0.25">
      <c r="N769" s="294"/>
    </row>
    <row r="770" spans="14:14" ht="15.75" customHeight="1" x14ac:dyDescent="0.25">
      <c r="N770" s="294"/>
    </row>
    <row r="771" spans="14:14" ht="15.75" customHeight="1" x14ac:dyDescent="0.25">
      <c r="N771" s="294"/>
    </row>
    <row r="772" spans="14:14" ht="15.75" customHeight="1" x14ac:dyDescent="0.25">
      <c r="N772" s="294"/>
    </row>
    <row r="773" spans="14:14" ht="15.75" customHeight="1" x14ac:dyDescent="0.25">
      <c r="N773" s="294"/>
    </row>
    <row r="774" spans="14:14" ht="15.75" customHeight="1" x14ac:dyDescent="0.25">
      <c r="N774" s="294"/>
    </row>
    <row r="775" spans="14:14" ht="15.75" customHeight="1" x14ac:dyDescent="0.25">
      <c r="N775" s="294"/>
    </row>
    <row r="776" spans="14:14" ht="15.75" customHeight="1" x14ac:dyDescent="0.25">
      <c r="N776" s="294"/>
    </row>
    <row r="777" spans="14:14" ht="15.75" customHeight="1" x14ac:dyDescent="0.25">
      <c r="N777" s="294"/>
    </row>
    <row r="778" spans="14:14" ht="15.75" customHeight="1" x14ac:dyDescent="0.25">
      <c r="N778" s="294"/>
    </row>
    <row r="779" spans="14:14" ht="15.75" customHeight="1" x14ac:dyDescent="0.25">
      <c r="N779" s="294"/>
    </row>
    <row r="780" spans="14:14" ht="15.75" customHeight="1" x14ac:dyDescent="0.25">
      <c r="N780" s="294"/>
    </row>
    <row r="781" spans="14:14" ht="15.75" customHeight="1" x14ac:dyDescent="0.25">
      <c r="N781" s="294"/>
    </row>
    <row r="782" spans="14:14" ht="15.75" customHeight="1" x14ac:dyDescent="0.25">
      <c r="N782" s="294"/>
    </row>
    <row r="783" spans="14:14" ht="15.75" customHeight="1" x14ac:dyDescent="0.25">
      <c r="N783" s="294"/>
    </row>
    <row r="784" spans="14:14" ht="15.75" customHeight="1" x14ac:dyDescent="0.25">
      <c r="N784" s="294"/>
    </row>
    <row r="785" spans="14:14" ht="15.75" customHeight="1" x14ac:dyDescent="0.25">
      <c r="N785" s="294"/>
    </row>
    <row r="786" spans="14:14" ht="15.75" customHeight="1" x14ac:dyDescent="0.25">
      <c r="N786" s="294"/>
    </row>
    <row r="787" spans="14:14" ht="15.75" customHeight="1" x14ac:dyDescent="0.25">
      <c r="N787" s="294"/>
    </row>
    <row r="788" spans="14:14" ht="15.75" customHeight="1" x14ac:dyDescent="0.25">
      <c r="N788" s="294"/>
    </row>
    <row r="789" spans="14:14" ht="15.75" customHeight="1" x14ac:dyDescent="0.25">
      <c r="N789" s="294"/>
    </row>
    <row r="790" spans="14:14" ht="15.75" customHeight="1" x14ac:dyDescent="0.25">
      <c r="N790" s="294"/>
    </row>
    <row r="791" spans="14:14" ht="15.75" customHeight="1" x14ac:dyDescent="0.25">
      <c r="N791" s="294"/>
    </row>
    <row r="792" spans="14:14" ht="15.75" customHeight="1" x14ac:dyDescent="0.25">
      <c r="N792" s="294"/>
    </row>
    <row r="793" spans="14:14" ht="15.75" customHeight="1" x14ac:dyDescent="0.25">
      <c r="N793" s="294"/>
    </row>
    <row r="794" spans="14:14" ht="15.75" customHeight="1" x14ac:dyDescent="0.25">
      <c r="N794" s="294"/>
    </row>
    <row r="795" spans="14:14" ht="15.75" customHeight="1" x14ac:dyDescent="0.25">
      <c r="N795" s="294"/>
    </row>
    <row r="796" spans="14:14" ht="15.75" customHeight="1" x14ac:dyDescent="0.25">
      <c r="N796" s="294"/>
    </row>
    <row r="797" spans="14:14" ht="15.75" customHeight="1" x14ac:dyDescent="0.25">
      <c r="N797" s="294"/>
    </row>
    <row r="798" spans="14:14" ht="15.75" customHeight="1" x14ac:dyDescent="0.25">
      <c r="N798" s="294"/>
    </row>
    <row r="799" spans="14:14" ht="15.75" customHeight="1" x14ac:dyDescent="0.25">
      <c r="N799" s="294"/>
    </row>
    <row r="800" spans="14:14" ht="15.75" customHeight="1" x14ac:dyDescent="0.25">
      <c r="N800" s="294"/>
    </row>
    <row r="801" spans="14:14" ht="15.75" customHeight="1" x14ac:dyDescent="0.25">
      <c r="N801" s="294"/>
    </row>
    <row r="802" spans="14:14" ht="15.75" customHeight="1" x14ac:dyDescent="0.25">
      <c r="N802" s="294"/>
    </row>
    <row r="803" spans="14:14" ht="15.75" customHeight="1" x14ac:dyDescent="0.25">
      <c r="N803" s="294"/>
    </row>
    <row r="804" spans="14:14" ht="15.75" customHeight="1" x14ac:dyDescent="0.25">
      <c r="N804" s="294"/>
    </row>
    <row r="805" spans="14:14" ht="15.75" customHeight="1" x14ac:dyDescent="0.25">
      <c r="N805" s="294"/>
    </row>
    <row r="806" spans="14:14" ht="15.75" customHeight="1" x14ac:dyDescent="0.25">
      <c r="N806" s="294"/>
    </row>
    <row r="807" spans="14:14" ht="15.75" customHeight="1" x14ac:dyDescent="0.25">
      <c r="N807" s="294"/>
    </row>
    <row r="808" spans="14:14" ht="15.75" customHeight="1" x14ac:dyDescent="0.25">
      <c r="N808" s="294"/>
    </row>
    <row r="809" spans="14:14" ht="15.75" customHeight="1" x14ac:dyDescent="0.25">
      <c r="N809" s="294"/>
    </row>
    <row r="810" spans="14:14" ht="15.75" customHeight="1" x14ac:dyDescent="0.25">
      <c r="N810" s="294"/>
    </row>
    <row r="811" spans="14:14" ht="15.75" customHeight="1" x14ac:dyDescent="0.25">
      <c r="N811" s="294"/>
    </row>
    <row r="812" spans="14:14" ht="15.75" customHeight="1" x14ac:dyDescent="0.25">
      <c r="N812" s="294"/>
    </row>
    <row r="813" spans="14:14" ht="15.75" customHeight="1" x14ac:dyDescent="0.25">
      <c r="N813" s="294"/>
    </row>
    <row r="814" spans="14:14" ht="15.75" customHeight="1" x14ac:dyDescent="0.25">
      <c r="N814" s="294"/>
    </row>
    <row r="815" spans="14:14" ht="15.75" customHeight="1" x14ac:dyDescent="0.25">
      <c r="N815" s="294"/>
    </row>
    <row r="816" spans="14:14" ht="15.75" customHeight="1" x14ac:dyDescent="0.25">
      <c r="N816" s="294"/>
    </row>
    <row r="817" spans="14:14" ht="15.75" customHeight="1" x14ac:dyDescent="0.25">
      <c r="N817" s="294"/>
    </row>
    <row r="818" spans="14:14" ht="15.75" customHeight="1" x14ac:dyDescent="0.25">
      <c r="N818" s="294"/>
    </row>
    <row r="819" spans="14:14" ht="15.75" customHeight="1" x14ac:dyDescent="0.25">
      <c r="N819" s="294"/>
    </row>
    <row r="820" spans="14:14" ht="15.75" customHeight="1" x14ac:dyDescent="0.25">
      <c r="N820" s="294"/>
    </row>
    <row r="821" spans="14:14" ht="15.75" customHeight="1" x14ac:dyDescent="0.25">
      <c r="N821" s="294"/>
    </row>
    <row r="822" spans="14:14" ht="15.75" customHeight="1" x14ac:dyDescent="0.25">
      <c r="N822" s="294"/>
    </row>
    <row r="823" spans="14:14" ht="15.75" customHeight="1" x14ac:dyDescent="0.25">
      <c r="N823" s="294"/>
    </row>
    <row r="824" spans="14:14" ht="15.75" customHeight="1" x14ac:dyDescent="0.25">
      <c r="N824" s="294"/>
    </row>
    <row r="825" spans="14:14" ht="15.75" customHeight="1" x14ac:dyDescent="0.25">
      <c r="N825" s="294"/>
    </row>
    <row r="826" spans="14:14" ht="15.75" customHeight="1" x14ac:dyDescent="0.25">
      <c r="N826" s="294"/>
    </row>
    <row r="827" spans="14:14" ht="15.75" customHeight="1" x14ac:dyDescent="0.25">
      <c r="N827" s="294"/>
    </row>
    <row r="828" spans="14:14" ht="15.75" customHeight="1" x14ac:dyDescent="0.25">
      <c r="N828" s="294"/>
    </row>
    <row r="829" spans="14:14" ht="15.75" customHeight="1" x14ac:dyDescent="0.25">
      <c r="N829" s="294"/>
    </row>
    <row r="830" spans="14:14" ht="15.75" customHeight="1" x14ac:dyDescent="0.25">
      <c r="N830" s="294"/>
    </row>
    <row r="831" spans="14:14" ht="15.75" customHeight="1" x14ac:dyDescent="0.25">
      <c r="N831" s="294"/>
    </row>
    <row r="832" spans="14:14" ht="15.75" customHeight="1" x14ac:dyDescent="0.25">
      <c r="N832" s="294"/>
    </row>
    <row r="833" spans="14:14" ht="15.75" customHeight="1" x14ac:dyDescent="0.25">
      <c r="N833" s="294"/>
    </row>
    <row r="834" spans="14:14" ht="15.75" customHeight="1" x14ac:dyDescent="0.25">
      <c r="N834" s="294"/>
    </row>
    <row r="835" spans="14:14" ht="15.75" customHeight="1" x14ac:dyDescent="0.25">
      <c r="N835" s="294"/>
    </row>
    <row r="836" spans="14:14" ht="15.75" customHeight="1" x14ac:dyDescent="0.25">
      <c r="N836" s="294"/>
    </row>
    <row r="837" spans="14:14" ht="15.75" customHeight="1" x14ac:dyDescent="0.25">
      <c r="N837" s="294"/>
    </row>
    <row r="838" spans="14:14" ht="15.75" customHeight="1" x14ac:dyDescent="0.25">
      <c r="N838" s="294"/>
    </row>
    <row r="839" spans="14:14" ht="15.75" customHeight="1" x14ac:dyDescent="0.25">
      <c r="N839" s="294"/>
    </row>
    <row r="840" spans="14:14" ht="15.75" customHeight="1" x14ac:dyDescent="0.25">
      <c r="N840" s="294"/>
    </row>
    <row r="841" spans="14:14" ht="15.75" customHeight="1" x14ac:dyDescent="0.25">
      <c r="N841" s="294"/>
    </row>
    <row r="842" spans="14:14" ht="15.75" customHeight="1" x14ac:dyDescent="0.25">
      <c r="N842" s="294"/>
    </row>
    <row r="843" spans="14:14" ht="15.75" customHeight="1" x14ac:dyDescent="0.25">
      <c r="N843" s="294"/>
    </row>
    <row r="844" spans="14:14" ht="15.75" customHeight="1" x14ac:dyDescent="0.25">
      <c r="N844" s="294"/>
    </row>
    <row r="845" spans="14:14" ht="15.75" customHeight="1" x14ac:dyDescent="0.25">
      <c r="N845" s="294"/>
    </row>
    <row r="846" spans="14:14" ht="15.75" customHeight="1" x14ac:dyDescent="0.25">
      <c r="N846" s="294"/>
    </row>
    <row r="847" spans="14:14" ht="15.75" customHeight="1" x14ac:dyDescent="0.25">
      <c r="N847" s="294"/>
    </row>
    <row r="848" spans="14:14" ht="15.75" customHeight="1" x14ac:dyDescent="0.25">
      <c r="N848" s="294"/>
    </row>
    <row r="849" spans="14:14" ht="15.75" customHeight="1" x14ac:dyDescent="0.25">
      <c r="N849" s="294"/>
    </row>
    <row r="850" spans="14:14" ht="15.75" customHeight="1" x14ac:dyDescent="0.25">
      <c r="N850" s="294"/>
    </row>
    <row r="851" spans="14:14" ht="15.75" customHeight="1" x14ac:dyDescent="0.25">
      <c r="N851" s="294"/>
    </row>
    <row r="852" spans="14:14" ht="15.75" customHeight="1" x14ac:dyDescent="0.25">
      <c r="N852" s="294"/>
    </row>
    <row r="853" spans="14:14" ht="15.75" customHeight="1" x14ac:dyDescent="0.25">
      <c r="N853" s="294"/>
    </row>
    <row r="854" spans="14:14" ht="15.75" customHeight="1" x14ac:dyDescent="0.25">
      <c r="N854" s="294"/>
    </row>
    <row r="855" spans="14:14" ht="15.75" customHeight="1" x14ac:dyDescent="0.25">
      <c r="N855" s="294"/>
    </row>
    <row r="856" spans="14:14" ht="15.75" customHeight="1" x14ac:dyDescent="0.25">
      <c r="N856" s="294"/>
    </row>
    <row r="857" spans="14:14" ht="15.75" customHeight="1" x14ac:dyDescent="0.25">
      <c r="N857" s="294"/>
    </row>
    <row r="858" spans="14:14" ht="15.75" customHeight="1" x14ac:dyDescent="0.25">
      <c r="N858" s="294"/>
    </row>
    <row r="859" spans="14:14" ht="15.75" customHeight="1" x14ac:dyDescent="0.25">
      <c r="N859" s="294"/>
    </row>
    <row r="860" spans="14:14" ht="15.75" customHeight="1" x14ac:dyDescent="0.25">
      <c r="N860" s="294"/>
    </row>
    <row r="861" spans="14:14" ht="15.75" customHeight="1" x14ac:dyDescent="0.25">
      <c r="N861" s="294"/>
    </row>
    <row r="862" spans="14:14" ht="15.75" customHeight="1" x14ac:dyDescent="0.25">
      <c r="N862" s="294"/>
    </row>
    <row r="863" spans="14:14" ht="15.75" customHeight="1" x14ac:dyDescent="0.25">
      <c r="N863" s="294"/>
    </row>
    <row r="864" spans="14:14" ht="15.75" customHeight="1" x14ac:dyDescent="0.25">
      <c r="N864" s="294"/>
    </row>
    <row r="865" spans="14:14" ht="15.75" customHeight="1" x14ac:dyDescent="0.25">
      <c r="N865" s="294"/>
    </row>
    <row r="866" spans="14:14" ht="15.75" customHeight="1" x14ac:dyDescent="0.25">
      <c r="N866" s="294"/>
    </row>
    <row r="867" spans="14:14" ht="15.75" customHeight="1" x14ac:dyDescent="0.25">
      <c r="N867" s="294"/>
    </row>
    <row r="868" spans="14:14" ht="15.75" customHeight="1" x14ac:dyDescent="0.25">
      <c r="N868" s="294"/>
    </row>
    <row r="869" spans="14:14" ht="15.75" customHeight="1" x14ac:dyDescent="0.25">
      <c r="N869" s="294"/>
    </row>
    <row r="870" spans="14:14" ht="15.75" customHeight="1" x14ac:dyDescent="0.25">
      <c r="N870" s="294"/>
    </row>
    <row r="871" spans="14:14" ht="15.75" customHeight="1" x14ac:dyDescent="0.25">
      <c r="N871" s="294"/>
    </row>
    <row r="872" spans="14:14" ht="15.75" customHeight="1" x14ac:dyDescent="0.25">
      <c r="N872" s="294"/>
    </row>
    <row r="873" spans="14:14" ht="15.75" customHeight="1" x14ac:dyDescent="0.25">
      <c r="N873" s="294"/>
    </row>
    <row r="874" spans="14:14" ht="15.75" customHeight="1" x14ac:dyDescent="0.25">
      <c r="N874" s="294"/>
    </row>
    <row r="875" spans="14:14" ht="15.75" customHeight="1" x14ac:dyDescent="0.25">
      <c r="N875" s="294"/>
    </row>
    <row r="876" spans="14:14" ht="15.75" customHeight="1" x14ac:dyDescent="0.25">
      <c r="N876" s="294"/>
    </row>
    <row r="877" spans="14:14" ht="15.75" customHeight="1" x14ac:dyDescent="0.25">
      <c r="N877" s="294"/>
    </row>
    <row r="878" spans="14:14" ht="15.75" customHeight="1" x14ac:dyDescent="0.25">
      <c r="N878" s="294"/>
    </row>
    <row r="879" spans="14:14" ht="15.75" customHeight="1" x14ac:dyDescent="0.25">
      <c r="N879" s="294"/>
    </row>
    <row r="880" spans="14:14" ht="15.75" customHeight="1" x14ac:dyDescent="0.25">
      <c r="N880" s="294"/>
    </row>
    <row r="881" spans="14:14" ht="15.75" customHeight="1" x14ac:dyDescent="0.25">
      <c r="N881" s="294"/>
    </row>
    <row r="882" spans="14:14" ht="15.75" customHeight="1" x14ac:dyDescent="0.25">
      <c r="N882" s="294"/>
    </row>
    <row r="883" spans="14:14" ht="15.75" customHeight="1" x14ac:dyDescent="0.25">
      <c r="N883" s="294"/>
    </row>
    <row r="884" spans="14:14" ht="15.75" customHeight="1" x14ac:dyDescent="0.25">
      <c r="N884" s="294"/>
    </row>
    <row r="885" spans="14:14" ht="15.75" customHeight="1" x14ac:dyDescent="0.25">
      <c r="N885" s="294"/>
    </row>
    <row r="886" spans="14:14" ht="15.75" customHeight="1" x14ac:dyDescent="0.25">
      <c r="N886" s="294"/>
    </row>
    <row r="887" spans="14:14" ht="15.75" customHeight="1" x14ac:dyDescent="0.25">
      <c r="N887" s="294"/>
    </row>
    <row r="888" spans="14:14" ht="15.75" customHeight="1" x14ac:dyDescent="0.25">
      <c r="N888" s="294"/>
    </row>
    <row r="889" spans="14:14" ht="15.75" customHeight="1" x14ac:dyDescent="0.25">
      <c r="N889" s="294"/>
    </row>
    <row r="890" spans="14:14" ht="15.75" customHeight="1" x14ac:dyDescent="0.25">
      <c r="N890" s="294"/>
    </row>
    <row r="891" spans="14:14" ht="15.75" customHeight="1" x14ac:dyDescent="0.25">
      <c r="N891" s="294"/>
    </row>
    <row r="892" spans="14:14" ht="15.75" customHeight="1" x14ac:dyDescent="0.25">
      <c r="N892" s="294"/>
    </row>
    <row r="893" spans="14:14" ht="15.75" customHeight="1" x14ac:dyDescent="0.25">
      <c r="N893" s="294"/>
    </row>
    <row r="894" spans="14:14" ht="15.75" customHeight="1" x14ac:dyDescent="0.25">
      <c r="N894" s="294"/>
    </row>
    <row r="895" spans="14:14" ht="15.75" customHeight="1" x14ac:dyDescent="0.25">
      <c r="N895" s="294"/>
    </row>
    <row r="896" spans="14:14" ht="15.75" customHeight="1" x14ac:dyDescent="0.25">
      <c r="N896" s="294"/>
    </row>
    <row r="897" spans="14:14" ht="15.75" customHeight="1" x14ac:dyDescent="0.25">
      <c r="N897" s="294"/>
    </row>
    <row r="898" spans="14:14" ht="15.75" customHeight="1" x14ac:dyDescent="0.25">
      <c r="N898" s="294"/>
    </row>
    <row r="899" spans="14:14" ht="15.75" customHeight="1" x14ac:dyDescent="0.25">
      <c r="N899" s="294"/>
    </row>
    <row r="900" spans="14:14" ht="15.75" customHeight="1" x14ac:dyDescent="0.25">
      <c r="N900" s="294"/>
    </row>
    <row r="901" spans="14:14" ht="15.75" customHeight="1" x14ac:dyDescent="0.25">
      <c r="N901" s="294"/>
    </row>
    <row r="902" spans="14:14" ht="15.75" customHeight="1" x14ac:dyDescent="0.25">
      <c r="N902" s="294"/>
    </row>
    <row r="903" spans="14:14" ht="15.75" customHeight="1" x14ac:dyDescent="0.25">
      <c r="N903" s="294"/>
    </row>
    <row r="904" spans="14:14" ht="15.75" customHeight="1" x14ac:dyDescent="0.25">
      <c r="N904" s="294"/>
    </row>
    <row r="905" spans="14:14" ht="15.75" customHeight="1" x14ac:dyDescent="0.25">
      <c r="N905" s="294"/>
    </row>
    <row r="906" spans="14:14" ht="15.75" customHeight="1" x14ac:dyDescent="0.25">
      <c r="N906" s="294"/>
    </row>
    <row r="907" spans="14:14" ht="15.75" customHeight="1" x14ac:dyDescent="0.25">
      <c r="N907" s="294"/>
    </row>
    <row r="908" spans="14:14" ht="15.75" customHeight="1" x14ac:dyDescent="0.25">
      <c r="N908" s="294"/>
    </row>
    <row r="909" spans="14:14" ht="15.75" customHeight="1" x14ac:dyDescent="0.25">
      <c r="N909" s="294"/>
    </row>
    <row r="910" spans="14:14" ht="15.75" customHeight="1" x14ac:dyDescent="0.25">
      <c r="N910" s="294"/>
    </row>
    <row r="911" spans="14:14" ht="15.75" customHeight="1" x14ac:dyDescent="0.25">
      <c r="N911" s="294"/>
    </row>
    <row r="912" spans="14:14" ht="15.75" customHeight="1" x14ac:dyDescent="0.25">
      <c r="N912" s="294"/>
    </row>
    <row r="913" spans="14:14" ht="15.75" customHeight="1" x14ac:dyDescent="0.25">
      <c r="N913" s="294"/>
    </row>
    <row r="914" spans="14:14" ht="15.75" customHeight="1" x14ac:dyDescent="0.25">
      <c r="N914" s="294"/>
    </row>
    <row r="915" spans="14:14" ht="15.75" customHeight="1" x14ac:dyDescent="0.25">
      <c r="N915" s="294"/>
    </row>
    <row r="916" spans="14:14" ht="15.75" customHeight="1" x14ac:dyDescent="0.25">
      <c r="N916" s="294"/>
    </row>
    <row r="917" spans="14:14" ht="15.75" customHeight="1" x14ac:dyDescent="0.25">
      <c r="N917" s="294"/>
    </row>
    <row r="918" spans="14:14" ht="15.75" customHeight="1" x14ac:dyDescent="0.25">
      <c r="N918" s="294"/>
    </row>
    <row r="919" spans="14:14" ht="15.75" customHeight="1" x14ac:dyDescent="0.25">
      <c r="N919" s="294"/>
    </row>
    <row r="920" spans="14:14" ht="15.75" customHeight="1" x14ac:dyDescent="0.25">
      <c r="N920" s="294"/>
    </row>
    <row r="921" spans="14:14" ht="15.75" customHeight="1" x14ac:dyDescent="0.25">
      <c r="N921" s="294"/>
    </row>
    <row r="922" spans="14:14" ht="15.75" customHeight="1" x14ac:dyDescent="0.25">
      <c r="N922" s="294"/>
    </row>
    <row r="923" spans="14:14" ht="15.75" customHeight="1" x14ac:dyDescent="0.25">
      <c r="N923" s="294"/>
    </row>
    <row r="924" spans="14:14" ht="15.75" customHeight="1" x14ac:dyDescent="0.25">
      <c r="N924" s="294"/>
    </row>
    <row r="925" spans="14:14" ht="15.75" customHeight="1" x14ac:dyDescent="0.25">
      <c r="N925" s="294"/>
    </row>
    <row r="926" spans="14:14" ht="15.75" customHeight="1" x14ac:dyDescent="0.25">
      <c r="N926" s="294"/>
    </row>
    <row r="927" spans="14:14" ht="15.75" customHeight="1" x14ac:dyDescent="0.25">
      <c r="N927" s="294"/>
    </row>
    <row r="928" spans="14:14" ht="15.75" customHeight="1" x14ac:dyDescent="0.25">
      <c r="N928" s="294"/>
    </row>
    <row r="929" spans="14:14" ht="15.75" customHeight="1" x14ac:dyDescent="0.25">
      <c r="N929" s="294"/>
    </row>
    <row r="930" spans="14:14" ht="15.75" customHeight="1" x14ac:dyDescent="0.25">
      <c r="N930" s="294"/>
    </row>
    <row r="931" spans="14:14" ht="15.75" customHeight="1" x14ac:dyDescent="0.25">
      <c r="N931" s="294"/>
    </row>
    <row r="932" spans="14:14" ht="15.75" customHeight="1" x14ac:dyDescent="0.25">
      <c r="N932" s="294"/>
    </row>
    <row r="933" spans="14:14" ht="15.75" customHeight="1" x14ac:dyDescent="0.25">
      <c r="N933" s="294"/>
    </row>
    <row r="934" spans="14:14" ht="15.75" customHeight="1" x14ac:dyDescent="0.25">
      <c r="N934" s="294"/>
    </row>
    <row r="935" spans="14:14" ht="15.75" customHeight="1" x14ac:dyDescent="0.25">
      <c r="N935" s="294"/>
    </row>
    <row r="936" spans="14:14" ht="15.75" customHeight="1" x14ac:dyDescent="0.25">
      <c r="N936" s="294"/>
    </row>
    <row r="937" spans="14:14" ht="15.75" customHeight="1" x14ac:dyDescent="0.25">
      <c r="N937" s="294"/>
    </row>
    <row r="938" spans="14:14" ht="15.75" customHeight="1" x14ac:dyDescent="0.25">
      <c r="N938" s="294"/>
    </row>
    <row r="939" spans="14:14" ht="15.75" customHeight="1" x14ac:dyDescent="0.25">
      <c r="N939" s="294"/>
    </row>
    <row r="940" spans="14:14" ht="15.75" customHeight="1" x14ac:dyDescent="0.25">
      <c r="N940" s="294"/>
    </row>
    <row r="941" spans="14:14" ht="15.75" customHeight="1" x14ac:dyDescent="0.25">
      <c r="N941" s="294"/>
    </row>
    <row r="942" spans="14:14" ht="15.75" customHeight="1" x14ac:dyDescent="0.25">
      <c r="N942" s="294"/>
    </row>
    <row r="943" spans="14:14" ht="15.75" customHeight="1" x14ac:dyDescent="0.25">
      <c r="N943" s="294"/>
    </row>
    <row r="944" spans="14:14" ht="15.75" customHeight="1" x14ac:dyDescent="0.25">
      <c r="N944" s="294"/>
    </row>
    <row r="945" spans="14:14" ht="15.75" customHeight="1" x14ac:dyDescent="0.25">
      <c r="N945" s="294"/>
    </row>
    <row r="946" spans="14:14" ht="15.75" customHeight="1" x14ac:dyDescent="0.25">
      <c r="N946" s="294"/>
    </row>
    <row r="947" spans="14:14" ht="15.75" customHeight="1" x14ac:dyDescent="0.25">
      <c r="N947" s="294"/>
    </row>
    <row r="948" spans="14:14" ht="15.75" customHeight="1" x14ac:dyDescent="0.25">
      <c r="N948" s="294"/>
    </row>
    <row r="949" spans="14:14" ht="15.75" customHeight="1" x14ac:dyDescent="0.25">
      <c r="N949" s="294"/>
    </row>
    <row r="950" spans="14:14" ht="15.75" customHeight="1" x14ac:dyDescent="0.25">
      <c r="N950" s="294"/>
    </row>
    <row r="951" spans="14:14" ht="15.75" customHeight="1" x14ac:dyDescent="0.25">
      <c r="N951" s="294"/>
    </row>
    <row r="952" spans="14:14" ht="15.75" customHeight="1" x14ac:dyDescent="0.25">
      <c r="N952" s="294"/>
    </row>
    <row r="953" spans="14:14" ht="15.75" customHeight="1" x14ac:dyDescent="0.25">
      <c r="N953" s="294"/>
    </row>
    <row r="954" spans="14:14" ht="15.75" customHeight="1" x14ac:dyDescent="0.25">
      <c r="N954" s="294"/>
    </row>
    <row r="955" spans="14:14" ht="15.75" customHeight="1" x14ac:dyDescent="0.25">
      <c r="N955" s="294"/>
    </row>
    <row r="956" spans="14:14" ht="15.75" customHeight="1" x14ac:dyDescent="0.25">
      <c r="N956" s="294"/>
    </row>
    <row r="957" spans="14:14" ht="15.75" customHeight="1" x14ac:dyDescent="0.25">
      <c r="N957" s="294"/>
    </row>
    <row r="958" spans="14:14" ht="15.75" customHeight="1" x14ac:dyDescent="0.25">
      <c r="N958" s="294"/>
    </row>
    <row r="959" spans="14:14" ht="15.75" customHeight="1" x14ac:dyDescent="0.25">
      <c r="N959" s="294"/>
    </row>
    <row r="960" spans="14:14" ht="15.75" customHeight="1" x14ac:dyDescent="0.25">
      <c r="N960" s="294"/>
    </row>
    <row r="961" spans="14:14" ht="15.75" customHeight="1" x14ac:dyDescent="0.25">
      <c r="N961" s="294"/>
    </row>
    <row r="962" spans="14:14" ht="15.75" customHeight="1" x14ac:dyDescent="0.25">
      <c r="N962" s="294"/>
    </row>
    <row r="963" spans="14:14" ht="15.75" customHeight="1" x14ac:dyDescent="0.25">
      <c r="N963" s="294"/>
    </row>
    <row r="964" spans="14:14" ht="15.75" customHeight="1" x14ac:dyDescent="0.25">
      <c r="N964" s="294"/>
    </row>
    <row r="965" spans="14:14" ht="15.75" customHeight="1" x14ac:dyDescent="0.25">
      <c r="N965" s="294"/>
    </row>
    <row r="966" spans="14:14" ht="15.75" customHeight="1" x14ac:dyDescent="0.25">
      <c r="N966" s="294"/>
    </row>
    <row r="967" spans="14:14" ht="15.75" customHeight="1" x14ac:dyDescent="0.25">
      <c r="N967" s="294"/>
    </row>
    <row r="968" spans="14:14" ht="15.75" customHeight="1" x14ac:dyDescent="0.25">
      <c r="N968" s="294"/>
    </row>
    <row r="969" spans="14:14" ht="15.75" customHeight="1" x14ac:dyDescent="0.25">
      <c r="N969" s="294"/>
    </row>
    <row r="970" spans="14:14" ht="15.75" customHeight="1" x14ac:dyDescent="0.25">
      <c r="N970" s="294"/>
    </row>
    <row r="971" spans="14:14" ht="15.75" customHeight="1" x14ac:dyDescent="0.25">
      <c r="N971" s="294"/>
    </row>
    <row r="972" spans="14:14" ht="15.75" customHeight="1" x14ac:dyDescent="0.25">
      <c r="N972" s="294"/>
    </row>
    <row r="973" spans="14:14" ht="15.75" customHeight="1" x14ac:dyDescent="0.25">
      <c r="N973" s="294"/>
    </row>
    <row r="974" spans="14:14" ht="15.75" customHeight="1" x14ac:dyDescent="0.25">
      <c r="N974" s="294"/>
    </row>
    <row r="975" spans="14:14" ht="15.75" customHeight="1" x14ac:dyDescent="0.25">
      <c r="N975" s="294"/>
    </row>
    <row r="976" spans="14:14" ht="15.75" customHeight="1" x14ac:dyDescent="0.25">
      <c r="N976" s="294"/>
    </row>
    <row r="977" spans="14:14" ht="15.75" customHeight="1" x14ac:dyDescent="0.25">
      <c r="N977" s="294"/>
    </row>
    <row r="978" spans="14:14" ht="15.75" customHeight="1" x14ac:dyDescent="0.25">
      <c r="N978" s="294"/>
    </row>
    <row r="979" spans="14:14" ht="15.75" customHeight="1" x14ac:dyDescent="0.25">
      <c r="N979" s="294"/>
    </row>
    <row r="980" spans="14:14" ht="15.75" customHeight="1" x14ac:dyDescent="0.25">
      <c r="N980" s="294"/>
    </row>
    <row r="981" spans="14:14" ht="15.75" customHeight="1" x14ac:dyDescent="0.25">
      <c r="N981" s="294"/>
    </row>
    <row r="982" spans="14:14" ht="15.75" customHeight="1" x14ac:dyDescent="0.25">
      <c r="N982" s="294"/>
    </row>
    <row r="983" spans="14:14" ht="15.75" customHeight="1" x14ac:dyDescent="0.25">
      <c r="N983" s="294"/>
    </row>
    <row r="984" spans="14:14" ht="15.75" customHeight="1" x14ac:dyDescent="0.25">
      <c r="N984" s="294"/>
    </row>
    <row r="985" spans="14:14" ht="15.75" customHeight="1" x14ac:dyDescent="0.25">
      <c r="N985" s="294"/>
    </row>
    <row r="986" spans="14:14" ht="15.75" customHeight="1" x14ac:dyDescent="0.25">
      <c r="N986" s="294"/>
    </row>
    <row r="987" spans="14:14" ht="15.75" customHeight="1" x14ac:dyDescent="0.25">
      <c r="N987" s="294"/>
    </row>
    <row r="988" spans="14:14" ht="15.75" customHeight="1" x14ac:dyDescent="0.25">
      <c r="N988" s="294"/>
    </row>
    <row r="989" spans="14:14" ht="15.75" customHeight="1" x14ac:dyDescent="0.25">
      <c r="N989" s="294"/>
    </row>
    <row r="990" spans="14:14" ht="15.75" customHeight="1" x14ac:dyDescent="0.25">
      <c r="N990" s="294"/>
    </row>
    <row r="991" spans="14:14" ht="15.75" customHeight="1" x14ac:dyDescent="0.25">
      <c r="N991" s="294"/>
    </row>
    <row r="992" spans="14:14" ht="15.75" customHeight="1" x14ac:dyDescent="0.25">
      <c r="N992" s="294"/>
    </row>
    <row r="993" spans="14:14" ht="15.75" customHeight="1" x14ac:dyDescent="0.25">
      <c r="N993" s="294"/>
    </row>
    <row r="994" spans="14:14" ht="15.75" customHeight="1" x14ac:dyDescent="0.25">
      <c r="N994" s="294"/>
    </row>
    <row r="995" spans="14:14" ht="15.75" customHeight="1" x14ac:dyDescent="0.25">
      <c r="N995" s="294"/>
    </row>
    <row r="996" spans="14:14" ht="15.75" customHeight="1" x14ac:dyDescent="0.25">
      <c r="N996" s="294"/>
    </row>
    <row r="997" spans="14:14" ht="15.75" customHeight="1" x14ac:dyDescent="0.25">
      <c r="N997" s="294"/>
    </row>
    <row r="998" spans="14:14" ht="15.75" customHeight="1" x14ac:dyDescent="0.25">
      <c r="N998" s="294"/>
    </row>
    <row r="999" spans="14:14" ht="15.75" customHeight="1" x14ac:dyDescent="0.25">
      <c r="N999" s="294"/>
    </row>
    <row r="1000" spans="14:14" ht="15.75" customHeight="1" x14ac:dyDescent="0.25">
      <c r="N1000" s="294"/>
    </row>
    <row r="1001" spans="14:14" ht="15.75" customHeight="1" x14ac:dyDescent="0.25">
      <c r="N1001" s="294"/>
    </row>
    <row r="1002" spans="14:14" ht="15.75" customHeight="1" x14ac:dyDescent="0.25">
      <c r="N1002" s="294"/>
    </row>
    <row r="1003" spans="14:14" ht="15.75" customHeight="1" x14ac:dyDescent="0.25">
      <c r="N1003" s="294"/>
    </row>
    <row r="1004" spans="14:14" ht="15.75" customHeight="1" x14ac:dyDescent="0.25">
      <c r="N1004" s="294"/>
    </row>
    <row r="1005" spans="14:14" ht="15.75" customHeight="1" x14ac:dyDescent="0.25">
      <c r="N1005" s="294"/>
    </row>
    <row r="1006" spans="14:14" ht="15.75" customHeight="1" x14ac:dyDescent="0.25">
      <c r="N1006" s="294"/>
    </row>
    <row r="1007" spans="14:14" ht="15.75" customHeight="1" x14ac:dyDescent="0.25">
      <c r="N1007" s="294"/>
    </row>
    <row r="1008" spans="14:14" ht="15.75" customHeight="1" x14ac:dyDescent="0.25">
      <c r="N1008" s="294"/>
    </row>
    <row r="1009" spans="14:14" ht="15.75" customHeight="1" x14ac:dyDescent="0.25">
      <c r="N1009" s="294"/>
    </row>
    <row r="1010" spans="14:14" ht="15.75" customHeight="1" x14ac:dyDescent="0.25">
      <c r="N1010" s="294"/>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241"/>
  <sheetViews>
    <sheetView view="pageBreakPreview" topLeftCell="A27" zoomScale="115" zoomScaleNormal="100" zoomScaleSheetLayoutView="115" workbookViewId="0">
      <selection activeCell="A12" sqref="A12"/>
    </sheetView>
  </sheetViews>
  <sheetFormatPr defaultColWidth="14.42578125" defaultRowHeight="15" customHeight="1" x14ac:dyDescent="0.25"/>
  <cols>
    <col min="1" max="1" width="75.5703125" customWidth="1"/>
    <col min="2" max="2" width="14.42578125" customWidth="1"/>
    <col min="3" max="6" width="16.85546875" hidden="1" customWidth="1"/>
    <col min="7" max="7" width="16.85546875" customWidth="1"/>
    <col min="8" max="8" width="11.5703125" hidden="1" customWidth="1"/>
    <col min="9" max="10" width="10.28515625" hidden="1" customWidth="1"/>
    <col min="11" max="26" width="10.28515625" customWidth="1"/>
  </cols>
  <sheetData>
    <row r="1" spans="1:26" ht="15.75" x14ac:dyDescent="0.25">
      <c r="A1" s="9"/>
      <c r="B1" s="104"/>
      <c r="C1" s="105"/>
      <c r="D1" s="105"/>
      <c r="E1" s="105"/>
      <c r="F1" s="10"/>
      <c r="G1" s="180"/>
      <c r="H1" s="15"/>
      <c r="I1" s="15"/>
      <c r="J1" s="15"/>
      <c r="K1" s="15"/>
      <c r="L1" s="15"/>
      <c r="M1" s="15"/>
      <c r="N1" s="15"/>
      <c r="O1" s="15"/>
      <c r="P1" s="15"/>
      <c r="Q1" s="15"/>
      <c r="R1" s="15"/>
      <c r="S1" s="15"/>
      <c r="T1" s="15"/>
      <c r="U1" s="15"/>
      <c r="V1" s="15"/>
      <c r="W1" s="15"/>
      <c r="X1" s="15"/>
      <c r="Y1" s="15"/>
      <c r="Z1" s="15"/>
    </row>
    <row r="2" spans="1:26" ht="15.75" x14ac:dyDescent="0.25">
      <c r="A2" s="17" t="s">
        <v>489</v>
      </c>
      <c r="B2" s="25"/>
      <c r="C2" s="24"/>
      <c r="D2" s="24"/>
      <c r="E2" s="24"/>
      <c r="F2" s="15"/>
      <c r="G2" s="181"/>
      <c r="H2" s="15"/>
      <c r="I2" s="15"/>
      <c r="J2" s="15"/>
      <c r="K2" s="15"/>
      <c r="L2" s="15"/>
      <c r="M2" s="15"/>
      <c r="N2" s="15"/>
      <c r="O2" s="15"/>
      <c r="P2" s="15"/>
      <c r="Q2" s="15"/>
      <c r="R2" s="15"/>
      <c r="S2" s="15"/>
      <c r="T2" s="15"/>
      <c r="U2" s="15"/>
      <c r="V2" s="15"/>
      <c r="W2" s="15"/>
      <c r="X2" s="15"/>
      <c r="Y2" s="15"/>
      <c r="Z2" s="15"/>
    </row>
    <row r="3" spans="1:26" ht="15.75" x14ac:dyDescent="0.25">
      <c r="A3" s="17"/>
      <c r="B3" s="25"/>
      <c r="C3" s="24"/>
      <c r="D3" s="24"/>
      <c r="E3" s="24"/>
      <c r="F3" s="15"/>
      <c r="G3" s="181"/>
      <c r="H3" s="15"/>
      <c r="I3" s="15"/>
      <c r="J3" s="15"/>
      <c r="K3" s="15"/>
      <c r="L3" s="15"/>
      <c r="M3" s="15"/>
      <c r="N3" s="15"/>
      <c r="O3" s="15"/>
      <c r="P3" s="15"/>
      <c r="Q3" s="15"/>
      <c r="R3" s="15"/>
      <c r="S3" s="15"/>
      <c r="T3" s="15"/>
      <c r="U3" s="15"/>
      <c r="V3" s="15"/>
      <c r="W3" s="15"/>
      <c r="X3" s="15"/>
      <c r="Y3" s="15"/>
      <c r="Z3" s="15"/>
    </row>
    <row r="4" spans="1:26" ht="15.75" x14ac:dyDescent="0.25">
      <c r="A4" s="108" t="s">
        <v>1515</v>
      </c>
      <c r="B4" s="25"/>
      <c r="C4" s="26"/>
      <c r="D4" s="26"/>
      <c r="E4" s="26"/>
      <c r="F4" s="14"/>
      <c r="G4" s="181"/>
      <c r="H4" s="15"/>
      <c r="I4" s="15"/>
      <c r="J4" s="15"/>
      <c r="K4" s="15"/>
      <c r="L4" s="15"/>
      <c r="M4" s="15"/>
      <c r="N4" s="15"/>
      <c r="O4" s="15"/>
      <c r="P4" s="15"/>
      <c r="Q4" s="15"/>
      <c r="R4" s="15"/>
      <c r="S4" s="15"/>
      <c r="T4" s="15"/>
      <c r="U4" s="15"/>
      <c r="V4" s="15"/>
      <c r="W4" s="15"/>
      <c r="X4" s="15"/>
      <c r="Y4" s="15"/>
      <c r="Z4" s="15"/>
    </row>
    <row r="5" spans="1:26" ht="15.75" x14ac:dyDescent="0.25">
      <c r="A5" s="108"/>
      <c r="B5" s="25"/>
      <c r="C5" s="26"/>
      <c r="D5" s="26"/>
      <c r="E5" s="26"/>
      <c r="F5" s="14"/>
      <c r="G5" s="181"/>
      <c r="H5" s="15"/>
      <c r="I5" s="15"/>
      <c r="J5" s="15"/>
      <c r="K5" s="15"/>
      <c r="L5" s="15"/>
      <c r="M5" s="15"/>
      <c r="N5" s="15"/>
      <c r="O5" s="15"/>
      <c r="P5" s="15"/>
      <c r="Q5" s="15"/>
      <c r="R5" s="15"/>
      <c r="S5" s="15"/>
      <c r="T5" s="15"/>
      <c r="U5" s="15"/>
      <c r="V5" s="15"/>
      <c r="W5" s="15"/>
      <c r="X5" s="15"/>
      <c r="Y5" s="15"/>
      <c r="Z5" s="15"/>
    </row>
    <row r="6" spans="1:26" ht="15.75" x14ac:dyDescent="0.25">
      <c r="A6" s="865" t="s">
        <v>352</v>
      </c>
      <c r="B6" s="866"/>
      <c r="C6" s="866"/>
      <c r="D6" s="866"/>
      <c r="E6" s="866"/>
      <c r="F6" s="866"/>
      <c r="G6" s="867"/>
      <c r="H6" s="15"/>
      <c r="I6" s="15"/>
      <c r="J6" s="15"/>
      <c r="K6" s="15"/>
      <c r="L6" s="15"/>
      <c r="M6" s="15"/>
      <c r="N6" s="15"/>
      <c r="O6" s="15"/>
      <c r="P6" s="15"/>
      <c r="Q6" s="15"/>
      <c r="R6" s="15"/>
      <c r="S6" s="15"/>
      <c r="T6" s="15"/>
      <c r="U6" s="15"/>
      <c r="V6" s="15"/>
      <c r="W6" s="15"/>
      <c r="X6" s="15"/>
      <c r="Y6" s="15"/>
      <c r="Z6" s="15"/>
    </row>
    <row r="7" spans="1:26" ht="15.75" x14ac:dyDescent="0.25">
      <c r="A7" s="868" t="s">
        <v>353</v>
      </c>
      <c r="B7" s="857" t="s">
        <v>354</v>
      </c>
      <c r="C7" s="870" t="s">
        <v>355</v>
      </c>
      <c r="D7" s="872" t="s">
        <v>356</v>
      </c>
      <c r="E7" s="873"/>
      <c r="F7" s="874"/>
      <c r="G7" s="857" t="s">
        <v>357</v>
      </c>
      <c r="H7" s="15"/>
      <c r="I7" s="15"/>
      <c r="J7" s="15"/>
      <c r="K7" s="15"/>
      <c r="L7" s="15"/>
      <c r="M7" s="15"/>
      <c r="N7" s="15"/>
      <c r="O7" s="15"/>
      <c r="P7" s="15"/>
      <c r="Q7" s="15"/>
      <c r="R7" s="15"/>
      <c r="S7" s="15"/>
      <c r="T7" s="15"/>
      <c r="U7" s="15"/>
      <c r="V7" s="15"/>
      <c r="W7" s="15"/>
      <c r="X7" s="15"/>
      <c r="Y7" s="15"/>
      <c r="Z7" s="15"/>
    </row>
    <row r="8" spans="1:26" ht="31.5" x14ac:dyDescent="0.25">
      <c r="A8" s="858"/>
      <c r="B8" s="858"/>
      <c r="C8" s="871"/>
      <c r="D8" s="28" t="s">
        <v>358</v>
      </c>
      <c r="E8" s="29" t="s">
        <v>359</v>
      </c>
      <c r="F8" s="875" t="s">
        <v>360</v>
      </c>
      <c r="G8" s="858"/>
      <c r="H8" s="15"/>
      <c r="I8" s="15"/>
      <c r="J8" s="15"/>
      <c r="K8" s="15"/>
      <c r="L8" s="15"/>
      <c r="M8" s="15"/>
      <c r="N8" s="15"/>
      <c r="O8" s="15"/>
      <c r="P8" s="15"/>
      <c r="Q8" s="15"/>
      <c r="R8" s="15"/>
      <c r="S8" s="15"/>
      <c r="T8" s="15"/>
      <c r="U8" s="15"/>
      <c r="V8" s="15"/>
      <c r="W8" s="15"/>
      <c r="X8" s="15"/>
      <c r="Y8" s="15"/>
      <c r="Z8" s="15"/>
    </row>
    <row r="9" spans="1:26" ht="15.75" x14ac:dyDescent="0.25">
      <c r="A9" s="858"/>
      <c r="B9" s="858"/>
      <c r="C9" s="30" t="s">
        <v>361</v>
      </c>
      <c r="D9" s="31" t="s">
        <v>361</v>
      </c>
      <c r="E9" s="32" t="s">
        <v>362</v>
      </c>
      <c r="F9" s="860"/>
      <c r="G9" s="442" t="s">
        <v>2669</v>
      </c>
      <c r="H9" s="15"/>
      <c r="I9" s="15"/>
      <c r="J9" s="15"/>
      <c r="K9" s="15"/>
      <c r="L9" s="15"/>
      <c r="M9" s="15"/>
      <c r="N9" s="15"/>
      <c r="O9" s="15"/>
      <c r="P9" s="15"/>
      <c r="Q9" s="15"/>
      <c r="R9" s="15"/>
      <c r="S9" s="15"/>
      <c r="T9" s="15"/>
      <c r="U9" s="15"/>
      <c r="V9" s="15"/>
      <c r="W9" s="15"/>
      <c r="X9" s="15"/>
      <c r="Y9" s="15"/>
      <c r="Z9" s="15"/>
    </row>
    <row r="10" spans="1:26" ht="15.75" x14ac:dyDescent="0.25">
      <c r="A10" s="869"/>
      <c r="B10" s="869"/>
      <c r="C10" s="33">
        <v>2024</v>
      </c>
      <c r="D10" s="34">
        <v>2025</v>
      </c>
      <c r="E10" s="35">
        <v>2025</v>
      </c>
      <c r="F10" s="34">
        <v>2025</v>
      </c>
      <c r="G10" s="36" t="s">
        <v>2668</v>
      </c>
      <c r="H10" s="15"/>
      <c r="I10" s="15"/>
      <c r="J10" s="15"/>
      <c r="K10" s="15"/>
      <c r="L10" s="15"/>
      <c r="M10" s="15"/>
      <c r="N10" s="15"/>
      <c r="O10" s="15"/>
      <c r="P10" s="15"/>
      <c r="Q10" s="15"/>
      <c r="R10" s="15"/>
      <c r="S10" s="15"/>
      <c r="T10" s="15"/>
      <c r="U10" s="15"/>
      <c r="V10" s="15"/>
      <c r="W10" s="15"/>
      <c r="X10" s="15"/>
      <c r="Y10" s="15"/>
      <c r="Z10" s="15"/>
    </row>
    <row r="11" spans="1:26" ht="15.75" x14ac:dyDescent="0.25">
      <c r="A11" s="17" t="s">
        <v>364</v>
      </c>
      <c r="B11" s="172"/>
      <c r="C11" s="42"/>
      <c r="D11" s="42"/>
      <c r="E11" s="42"/>
      <c r="F11" s="42"/>
      <c r="G11" s="42"/>
    </row>
    <row r="12" spans="1:26" ht="15.75" x14ac:dyDescent="0.25">
      <c r="A12" s="42" t="s">
        <v>1463</v>
      </c>
      <c r="B12" s="172"/>
      <c r="C12" s="42"/>
      <c r="D12" s="42"/>
      <c r="E12" s="42"/>
      <c r="F12" s="42"/>
      <c r="G12" s="42"/>
    </row>
    <row r="13" spans="1:26" ht="15.75" x14ac:dyDescent="0.25">
      <c r="A13" s="42" t="s">
        <v>493</v>
      </c>
      <c r="B13" s="49"/>
      <c r="C13" s="26"/>
      <c r="D13" s="43"/>
      <c r="E13" s="91"/>
      <c r="F13" s="43"/>
      <c r="G13" s="43"/>
    </row>
    <row r="14" spans="1:26" ht="15.75" x14ac:dyDescent="0.25">
      <c r="A14" s="44" t="s">
        <v>396</v>
      </c>
      <c r="B14" s="41" t="s">
        <v>191</v>
      </c>
      <c r="C14" s="26">
        <v>0</v>
      </c>
      <c r="D14" s="43">
        <v>0</v>
      </c>
      <c r="E14" s="91">
        <v>0</v>
      </c>
      <c r="F14" s="43">
        <v>0</v>
      </c>
      <c r="G14" s="43">
        <v>522000</v>
      </c>
    </row>
    <row r="15" spans="1:26" ht="15.75" x14ac:dyDescent="0.25">
      <c r="A15" s="96" t="s">
        <v>1516</v>
      </c>
      <c r="B15" s="41"/>
      <c r="C15" s="26"/>
      <c r="D15" s="43"/>
      <c r="E15" s="91"/>
      <c r="F15" s="43"/>
      <c r="G15" s="43"/>
      <c r="K15" s="57">
        <v>272000</v>
      </c>
    </row>
    <row r="16" spans="1:26" ht="15.75" x14ac:dyDescent="0.25">
      <c r="A16" s="96" t="s">
        <v>1517</v>
      </c>
      <c r="B16" s="41"/>
      <c r="C16" s="26"/>
      <c r="D16" s="43"/>
      <c r="E16" s="91"/>
      <c r="F16" s="43"/>
      <c r="G16" s="43"/>
      <c r="K16" s="57">
        <v>250000</v>
      </c>
    </row>
    <row r="17" spans="1:14" ht="15.75" x14ac:dyDescent="0.25">
      <c r="A17" s="42" t="s">
        <v>499</v>
      </c>
      <c r="B17" s="41"/>
      <c r="C17" s="26"/>
      <c r="D17" s="43"/>
      <c r="E17" s="91"/>
      <c r="F17" s="43"/>
      <c r="G17" s="43"/>
    </row>
    <row r="18" spans="1:14" ht="15.75" x14ac:dyDescent="0.25">
      <c r="A18" s="44" t="s">
        <v>400</v>
      </c>
      <c r="B18" s="41" t="s">
        <v>221</v>
      </c>
      <c r="C18" s="26">
        <v>0</v>
      </c>
      <c r="D18" s="43">
        <v>0</v>
      </c>
      <c r="E18" s="91">
        <v>0</v>
      </c>
      <c r="F18" s="43">
        <v>0</v>
      </c>
      <c r="G18" s="43">
        <v>48000</v>
      </c>
      <c r="K18" s="57">
        <v>48000</v>
      </c>
    </row>
    <row r="19" spans="1:14" ht="15.75" x14ac:dyDescent="0.25">
      <c r="A19" s="44" t="s">
        <v>402</v>
      </c>
      <c r="B19" s="41" t="s">
        <v>225</v>
      </c>
      <c r="C19" s="26">
        <v>0</v>
      </c>
      <c r="D19" s="43">
        <v>0</v>
      </c>
      <c r="E19" s="91">
        <v>0</v>
      </c>
      <c r="F19" s="43">
        <v>0</v>
      </c>
      <c r="G19" s="43">
        <v>940300</v>
      </c>
      <c r="K19" s="57">
        <v>940300</v>
      </c>
    </row>
    <row r="20" spans="1:14" ht="15.75" x14ac:dyDescent="0.25">
      <c r="A20" s="17" t="s">
        <v>424</v>
      </c>
      <c r="B20" s="41"/>
      <c r="C20" s="26"/>
      <c r="D20" s="43"/>
      <c r="E20" s="91"/>
      <c r="F20" s="43"/>
      <c r="G20" s="43"/>
    </row>
    <row r="21" spans="1:14" ht="15.75" x14ac:dyDescent="0.25">
      <c r="A21" s="17" t="s">
        <v>1518</v>
      </c>
      <c r="B21" s="41" t="s">
        <v>319</v>
      </c>
      <c r="C21" s="26">
        <v>1043720</v>
      </c>
      <c r="D21" s="43">
        <v>443984</v>
      </c>
      <c r="E21" s="91">
        <f t="shared" ref="E21:E23" si="0">+F21-D21</f>
        <v>1056016</v>
      </c>
      <c r="F21" s="43">
        <v>1500000</v>
      </c>
      <c r="G21" s="43">
        <v>1115000</v>
      </c>
      <c r="K21" s="57">
        <v>1115000</v>
      </c>
    </row>
    <row r="22" spans="1:14" ht="15.75" x14ac:dyDescent="0.25">
      <c r="A22" s="44" t="s">
        <v>794</v>
      </c>
      <c r="B22" s="41" t="s">
        <v>321</v>
      </c>
      <c r="C22" s="26">
        <v>1999620</v>
      </c>
      <c r="D22" s="43">
        <v>0</v>
      </c>
      <c r="E22" s="91">
        <f t="shared" si="0"/>
        <v>4000000</v>
      </c>
      <c r="F22" s="43">
        <v>4000000</v>
      </c>
      <c r="G22" s="43">
        <v>2499800</v>
      </c>
      <c r="K22" s="57">
        <v>2499800</v>
      </c>
    </row>
    <row r="23" spans="1:14" ht="15.75" x14ac:dyDescent="0.25">
      <c r="A23" s="44" t="s">
        <v>424</v>
      </c>
      <c r="B23" s="41" t="s">
        <v>335</v>
      </c>
      <c r="C23" s="43">
        <v>148885.6</v>
      </c>
      <c r="D23" s="43">
        <v>116640</v>
      </c>
      <c r="E23" s="91">
        <f t="shared" si="0"/>
        <v>1134360</v>
      </c>
      <c r="F23" s="43">
        <v>1251000</v>
      </c>
      <c r="G23" s="43">
        <v>1672096</v>
      </c>
    </row>
    <row r="24" spans="1:14" ht="31.5" x14ac:dyDescent="0.25">
      <c r="A24" s="295" t="s">
        <v>1519</v>
      </c>
      <c r="B24" s="172"/>
      <c r="C24" s="45"/>
      <c r="D24" s="43"/>
      <c r="E24" s="43"/>
      <c r="F24" s="43"/>
      <c r="G24" s="43"/>
      <c r="J24" s="262"/>
      <c r="K24" s="57">
        <v>250000</v>
      </c>
    </row>
    <row r="25" spans="1:14" ht="15.75" x14ac:dyDescent="0.25">
      <c r="A25" s="96" t="s">
        <v>648</v>
      </c>
      <c r="B25" s="172"/>
      <c r="C25" s="45"/>
      <c r="D25" s="43"/>
      <c r="E25" s="43"/>
      <c r="F25" s="43"/>
      <c r="G25" s="43"/>
      <c r="J25" s="262"/>
    </row>
    <row r="26" spans="1:14" ht="31.5" x14ac:dyDescent="0.25">
      <c r="A26" s="90" t="s">
        <v>1520</v>
      </c>
      <c r="B26" s="172"/>
      <c r="C26" s="45"/>
      <c r="D26" s="43"/>
      <c r="E26" s="43"/>
      <c r="F26" s="43"/>
      <c r="G26" s="43"/>
      <c r="J26" s="262"/>
      <c r="K26" s="57">
        <v>1466</v>
      </c>
      <c r="L26" s="57">
        <f t="shared" ref="L26:L29" si="1">26*12</f>
        <v>312</v>
      </c>
      <c r="M26" s="57">
        <v>1</v>
      </c>
      <c r="N26" s="57">
        <f t="shared" ref="N26:N29" si="2">M26*L26*K26</f>
        <v>457392</v>
      </c>
    </row>
    <row r="27" spans="1:14" ht="31.5" x14ac:dyDescent="0.25">
      <c r="A27" s="90" t="s">
        <v>1521</v>
      </c>
      <c r="B27" s="172"/>
      <c r="C27" s="45"/>
      <c r="D27" s="43"/>
      <c r="E27" s="43"/>
      <c r="F27" s="43"/>
      <c r="G27" s="43"/>
      <c r="J27" s="262"/>
      <c r="K27" s="57">
        <v>974</v>
      </c>
      <c r="L27" s="57">
        <f t="shared" si="1"/>
        <v>312</v>
      </c>
      <c r="M27" s="57">
        <v>1</v>
      </c>
      <c r="N27" s="57">
        <f t="shared" si="2"/>
        <v>303888</v>
      </c>
    </row>
    <row r="28" spans="1:14" ht="31.5" x14ac:dyDescent="0.25">
      <c r="A28" s="90" t="s">
        <v>1522</v>
      </c>
      <c r="B28" s="172"/>
      <c r="C28" s="45"/>
      <c r="D28" s="43"/>
      <c r="E28" s="43"/>
      <c r="F28" s="43"/>
      <c r="G28" s="43"/>
      <c r="J28" s="262"/>
      <c r="K28" s="57">
        <v>720</v>
      </c>
      <c r="L28" s="57">
        <f t="shared" si="1"/>
        <v>312</v>
      </c>
      <c r="M28" s="57">
        <v>2</v>
      </c>
      <c r="N28" s="57">
        <f t="shared" si="2"/>
        <v>449280</v>
      </c>
    </row>
    <row r="29" spans="1:14" ht="15.75" x14ac:dyDescent="0.25">
      <c r="A29" s="74" t="s">
        <v>1523</v>
      </c>
      <c r="B29" s="172"/>
      <c r="C29" s="45"/>
      <c r="D29" s="43"/>
      <c r="E29" s="43"/>
      <c r="F29" s="43"/>
      <c r="G29" s="43"/>
      <c r="J29" s="262"/>
      <c r="K29" s="57">
        <v>678</v>
      </c>
      <c r="L29" s="57">
        <f t="shared" si="1"/>
        <v>312</v>
      </c>
      <c r="M29" s="57">
        <v>1</v>
      </c>
      <c r="N29" s="57">
        <f t="shared" si="2"/>
        <v>211536</v>
      </c>
    </row>
    <row r="30" spans="1:14" ht="15.75" x14ac:dyDescent="0.25">
      <c r="A30" s="17" t="s">
        <v>466</v>
      </c>
      <c r="B30" s="172"/>
      <c r="C30" s="79">
        <f t="shared" ref="C30:G30" si="3">SUM(C14:C29)</f>
        <v>3192225.6</v>
      </c>
      <c r="D30" s="79">
        <f t="shared" si="3"/>
        <v>560624</v>
      </c>
      <c r="E30" s="79">
        <f t="shared" si="3"/>
        <v>6190376</v>
      </c>
      <c r="F30" s="79">
        <f t="shared" si="3"/>
        <v>6751000</v>
      </c>
      <c r="G30" s="79">
        <f t="shared" si="3"/>
        <v>6797196</v>
      </c>
      <c r="J30" s="262">
        <v>1411200</v>
      </c>
    </row>
    <row r="31" spans="1:14" ht="15.75" x14ac:dyDescent="0.25">
      <c r="A31" s="17"/>
      <c r="B31" s="172"/>
      <c r="C31" s="45"/>
      <c r="D31" s="55"/>
      <c r="E31" s="55"/>
      <c r="F31" s="55"/>
      <c r="G31" s="55"/>
    </row>
    <row r="32" spans="1:14" ht="15.75" x14ac:dyDescent="0.25">
      <c r="A32" s="17" t="s">
        <v>467</v>
      </c>
      <c r="B32" s="172"/>
      <c r="C32" s="45">
        <f t="shared" ref="C32:G32" si="4">+C30</f>
        <v>3192225.6</v>
      </c>
      <c r="D32" s="43">
        <f t="shared" si="4"/>
        <v>560624</v>
      </c>
      <c r="E32" s="43">
        <f t="shared" si="4"/>
        <v>6190376</v>
      </c>
      <c r="F32" s="43">
        <f t="shared" si="4"/>
        <v>6751000</v>
      </c>
      <c r="G32" s="43">
        <f t="shared" si="4"/>
        <v>6797196</v>
      </c>
    </row>
    <row r="33" spans="1:26" ht="15.75" x14ac:dyDescent="0.25">
      <c r="A33" s="446"/>
      <c r="B33" s="558"/>
      <c r="C33" s="473"/>
      <c r="D33" s="438"/>
      <c r="E33" s="438"/>
      <c r="F33" s="438"/>
      <c r="G33" s="438"/>
    </row>
    <row r="34" spans="1:26" ht="15.75" x14ac:dyDescent="0.25">
      <c r="A34" s="456" t="s">
        <v>529</v>
      </c>
      <c r="B34" s="519"/>
      <c r="C34" s="443"/>
      <c r="D34" s="443"/>
      <c r="E34" s="443"/>
      <c r="F34" s="443"/>
      <c r="G34" s="462"/>
    </row>
    <row r="35" spans="1:26" ht="15.75" x14ac:dyDescent="0.25">
      <c r="A35" s="161" t="s">
        <v>673</v>
      </c>
      <c r="B35" s="172"/>
      <c r="C35" s="45"/>
      <c r="D35" s="43"/>
      <c r="E35" s="43"/>
      <c r="F35" s="43"/>
      <c r="G35" s="43"/>
      <c r="H35" s="201"/>
      <c r="I35" s="201"/>
      <c r="J35" s="201"/>
      <c r="K35" s="201"/>
      <c r="L35" s="201"/>
      <c r="M35" s="201"/>
      <c r="N35" s="201"/>
      <c r="O35" s="201"/>
      <c r="P35" s="201"/>
      <c r="Q35" s="201"/>
      <c r="R35" s="201"/>
      <c r="S35" s="201"/>
      <c r="T35" s="201"/>
      <c r="U35" s="201"/>
      <c r="V35" s="201"/>
      <c r="W35" s="201"/>
      <c r="X35" s="201"/>
      <c r="Y35" s="201"/>
      <c r="Z35" s="201"/>
    </row>
    <row r="36" spans="1:26" ht="15.75" x14ac:dyDescent="0.25">
      <c r="A36" s="96" t="s">
        <v>941</v>
      </c>
      <c r="B36" s="41" t="s">
        <v>47</v>
      </c>
      <c r="C36" s="45"/>
      <c r="D36" s="43">
        <v>317189</v>
      </c>
      <c r="E36" s="43">
        <v>2811</v>
      </c>
      <c r="F36" s="43">
        <v>320000</v>
      </c>
      <c r="G36" s="43">
        <f>180000+105600+225000</f>
        <v>510600</v>
      </c>
    </row>
    <row r="37" spans="1:26" ht="15.75" x14ac:dyDescent="0.25">
      <c r="A37" s="96" t="s">
        <v>1524</v>
      </c>
      <c r="B37" s="41"/>
      <c r="C37" s="45"/>
      <c r="D37" s="43"/>
      <c r="E37" s="43"/>
      <c r="F37" s="43"/>
      <c r="G37" s="43"/>
      <c r="K37" s="57">
        <v>180000</v>
      </c>
    </row>
    <row r="38" spans="1:26" ht="15.75" x14ac:dyDescent="0.25">
      <c r="A38" s="96" t="s">
        <v>1525</v>
      </c>
      <c r="B38" s="41"/>
      <c r="C38" s="45"/>
      <c r="D38" s="43"/>
      <c r="E38" s="43"/>
      <c r="F38" s="43"/>
      <c r="G38" s="43"/>
      <c r="K38" s="57">
        <v>105600</v>
      </c>
    </row>
    <row r="39" spans="1:26" ht="15.75" x14ac:dyDescent="0.25">
      <c r="A39" s="96" t="s">
        <v>1526</v>
      </c>
      <c r="B39" s="41"/>
      <c r="C39" s="45"/>
      <c r="D39" s="43"/>
      <c r="E39" s="43"/>
      <c r="F39" s="43"/>
      <c r="G39" s="43"/>
      <c r="K39" s="57">
        <v>225000</v>
      </c>
    </row>
    <row r="40" spans="1:26" ht="15.75" x14ac:dyDescent="0.25">
      <c r="A40" s="161" t="s">
        <v>536</v>
      </c>
      <c r="B40" s="172"/>
      <c r="C40" s="79">
        <f>SUM(C36:C39)</f>
        <v>0</v>
      </c>
      <c r="D40" s="79">
        <f>SUM(D36:D39)</f>
        <v>317189</v>
      </c>
      <c r="E40" s="79">
        <f>SUM(E36:E39)</f>
        <v>2811</v>
      </c>
      <c r="F40" s="79">
        <f>SUM(F36:F39)</f>
        <v>320000</v>
      </c>
      <c r="G40" s="79">
        <f>SUM(G36:G39)</f>
        <v>510600</v>
      </c>
    </row>
    <row r="41" spans="1:26" ht="15.75" x14ac:dyDescent="0.25">
      <c r="A41" s="161"/>
      <c r="B41" s="172"/>
      <c r="C41" s="45"/>
      <c r="D41" s="43"/>
      <c r="E41" s="43"/>
      <c r="F41" s="43"/>
      <c r="G41" s="43"/>
    </row>
    <row r="42" spans="1:26" ht="15.75" x14ac:dyDescent="0.25">
      <c r="A42" s="50" t="s">
        <v>487</v>
      </c>
      <c r="B42" s="133" t="s">
        <v>488</v>
      </c>
      <c r="C42" s="54">
        <f>C32+C40</f>
        <v>3192225.6</v>
      </c>
      <c r="D42" s="54">
        <f>D32+D40</f>
        <v>877813</v>
      </c>
      <c r="E42" s="54">
        <f>E32+E40</f>
        <v>6193187</v>
      </c>
      <c r="F42" s="54">
        <f>F32+F40</f>
        <v>7071000</v>
      </c>
      <c r="G42" s="54">
        <f>G32+G40</f>
        <v>7307796</v>
      </c>
    </row>
    <row r="43" spans="1:26" ht="15.75" x14ac:dyDescent="0.25">
      <c r="A43" s="24"/>
      <c r="B43" s="174"/>
      <c r="C43" s="24"/>
      <c r="D43" s="24"/>
      <c r="E43" s="24"/>
      <c r="F43" s="114"/>
      <c r="G43" s="114"/>
    </row>
    <row r="44" spans="1:26" ht="15.75" x14ac:dyDescent="0.25">
      <c r="A44" s="24"/>
      <c r="B44" s="174"/>
      <c r="C44" s="24"/>
      <c r="D44" s="24"/>
      <c r="E44" s="24"/>
      <c r="F44" s="114"/>
      <c r="G44" s="114"/>
    </row>
    <row r="45" spans="1:26" ht="15.75" x14ac:dyDescent="0.25">
      <c r="A45" s="24"/>
      <c r="B45" s="174"/>
      <c r="C45" s="24"/>
      <c r="D45" s="24"/>
      <c r="E45" s="24"/>
      <c r="F45" s="114"/>
      <c r="G45" s="114"/>
    </row>
    <row r="46" spans="1:26" ht="15.75" x14ac:dyDescent="0.25">
      <c r="A46" s="24"/>
      <c r="B46" s="174"/>
      <c r="C46" s="24"/>
      <c r="D46" s="24"/>
      <c r="E46" s="24"/>
      <c r="F46" s="114"/>
      <c r="G46" s="114"/>
    </row>
    <row r="47" spans="1:26" ht="15.75" x14ac:dyDescent="0.25">
      <c r="A47" s="24"/>
      <c r="B47" s="174"/>
      <c r="C47" s="24"/>
      <c r="D47" s="24"/>
      <c r="E47" s="24"/>
      <c r="F47" s="114"/>
      <c r="G47" s="114"/>
    </row>
    <row r="48" spans="1:26" ht="15.75" x14ac:dyDescent="0.25">
      <c r="A48" s="24"/>
      <c r="B48" s="174"/>
      <c r="C48" s="24"/>
      <c r="D48" s="24"/>
      <c r="E48" s="24"/>
      <c r="F48" s="114"/>
      <c r="G48" s="114"/>
    </row>
    <row r="49" spans="1:7" ht="15.75" x14ac:dyDescent="0.25">
      <c r="A49" s="24"/>
      <c r="B49" s="174"/>
      <c r="C49" s="24"/>
      <c r="D49" s="24"/>
      <c r="E49" s="24"/>
      <c r="F49" s="114"/>
      <c r="G49" s="114"/>
    </row>
    <row r="50" spans="1:7" ht="15.75" x14ac:dyDescent="0.25">
      <c r="A50" s="24"/>
      <c r="B50" s="174"/>
      <c r="C50" s="24"/>
      <c r="D50" s="24"/>
      <c r="E50" s="24"/>
      <c r="F50" s="114"/>
      <c r="G50" s="114"/>
    </row>
    <row r="51" spans="1:7" ht="15.75" x14ac:dyDescent="0.25">
      <c r="A51" s="24"/>
      <c r="B51" s="174"/>
      <c r="C51" s="24"/>
      <c r="D51" s="24"/>
      <c r="E51" s="24"/>
      <c r="F51" s="114"/>
      <c r="G51" s="114"/>
    </row>
    <row r="52" spans="1:7" ht="15.75" x14ac:dyDescent="0.25">
      <c r="A52" s="24"/>
      <c r="B52" s="174"/>
      <c r="C52" s="24"/>
      <c r="D52" s="24"/>
      <c r="E52" s="24"/>
      <c r="F52" s="114"/>
      <c r="G52" s="114"/>
    </row>
    <row r="53" spans="1:7" ht="15.75" x14ac:dyDescent="0.25">
      <c r="A53" s="24"/>
      <c r="B53" s="174"/>
      <c r="C53" s="24"/>
      <c r="D53" s="24"/>
      <c r="E53" s="24"/>
      <c r="F53" s="114"/>
      <c r="G53" s="114"/>
    </row>
    <row r="54" spans="1:7" ht="15.75" x14ac:dyDescent="0.25">
      <c r="A54" s="24"/>
      <c r="B54" s="174"/>
      <c r="C54" s="24"/>
      <c r="D54" s="24"/>
      <c r="E54" s="24"/>
      <c r="F54" s="114"/>
      <c r="G54" s="114"/>
    </row>
    <row r="55" spans="1:7" ht="15.75" x14ac:dyDescent="0.25">
      <c r="A55" s="24"/>
      <c r="B55" s="174"/>
      <c r="C55" s="24"/>
      <c r="D55" s="24"/>
      <c r="E55" s="24"/>
      <c r="F55" s="114"/>
      <c r="G55" s="114"/>
    </row>
    <row r="56" spans="1:7" ht="15.75" x14ac:dyDescent="0.25">
      <c r="A56" s="24"/>
      <c r="B56" s="174"/>
      <c r="C56" s="24"/>
      <c r="D56" s="24"/>
      <c r="E56" s="24"/>
      <c r="F56" s="114"/>
      <c r="G56" s="114"/>
    </row>
    <row r="57" spans="1:7" ht="15.75" x14ac:dyDescent="0.25">
      <c r="A57" s="24"/>
      <c r="B57" s="174"/>
      <c r="C57" s="24"/>
      <c r="D57" s="24"/>
      <c r="E57" s="24"/>
      <c r="F57" s="114"/>
      <c r="G57" s="114"/>
    </row>
    <row r="58" spans="1:7" ht="15.75" x14ac:dyDescent="0.25">
      <c r="A58" s="24"/>
      <c r="B58" s="174"/>
      <c r="C58" s="24"/>
      <c r="D58" s="24"/>
      <c r="E58" s="24"/>
      <c r="F58" s="114"/>
      <c r="G58" s="114"/>
    </row>
    <row r="59" spans="1:7" ht="15.75" x14ac:dyDescent="0.25">
      <c r="A59" s="24"/>
      <c r="B59" s="174"/>
      <c r="C59" s="24"/>
      <c r="D59" s="24"/>
      <c r="E59" s="24"/>
      <c r="F59" s="114"/>
      <c r="G59" s="114"/>
    </row>
    <row r="60" spans="1:7" ht="15.75" x14ac:dyDescent="0.25">
      <c r="A60" s="24"/>
      <c r="B60" s="174"/>
      <c r="C60" s="24"/>
      <c r="D60" s="24"/>
      <c r="E60" s="24"/>
      <c r="F60" s="114"/>
      <c r="G60" s="114"/>
    </row>
    <row r="61" spans="1:7" ht="15.75" x14ac:dyDescent="0.25">
      <c r="A61" s="24"/>
      <c r="B61" s="174"/>
      <c r="C61" s="24"/>
      <c r="D61" s="24"/>
      <c r="E61" s="24"/>
      <c r="F61" s="114"/>
      <c r="G61" s="114"/>
    </row>
    <row r="62" spans="1:7" ht="15.75" x14ac:dyDescent="0.25">
      <c r="A62" s="24"/>
      <c r="B62" s="174"/>
      <c r="C62" s="24"/>
      <c r="D62" s="24"/>
      <c r="E62" s="24"/>
      <c r="F62" s="114"/>
      <c r="G62" s="114"/>
    </row>
    <row r="63" spans="1:7" ht="15.75" x14ac:dyDescent="0.25">
      <c r="A63" s="24"/>
      <c r="B63" s="174"/>
      <c r="C63" s="24"/>
      <c r="D63" s="24"/>
      <c r="E63" s="24"/>
      <c r="F63" s="114"/>
      <c r="G63" s="114"/>
    </row>
    <row r="64" spans="1:7" ht="15.75" x14ac:dyDescent="0.25">
      <c r="A64" s="24"/>
      <c r="B64" s="174"/>
      <c r="C64" s="24"/>
      <c r="D64" s="24"/>
      <c r="E64" s="24"/>
      <c r="F64" s="114"/>
      <c r="G64" s="114"/>
    </row>
    <row r="65" spans="1:7" ht="15.75" x14ac:dyDescent="0.25">
      <c r="A65" s="24"/>
      <c r="B65" s="174"/>
      <c r="C65" s="24"/>
      <c r="D65" s="24"/>
      <c r="E65" s="24"/>
      <c r="F65" s="114"/>
      <c r="G65" s="114"/>
    </row>
    <row r="66" spans="1:7" ht="15.75" x14ac:dyDescent="0.25">
      <c r="A66" s="24"/>
      <c r="B66" s="174"/>
      <c r="C66" s="24"/>
      <c r="D66" s="24"/>
      <c r="E66" s="24"/>
      <c r="F66" s="114"/>
      <c r="G66" s="114"/>
    </row>
    <row r="67" spans="1:7" ht="15.75" x14ac:dyDescent="0.25">
      <c r="A67" s="24"/>
      <c r="B67" s="174"/>
      <c r="C67" s="24"/>
      <c r="D67" s="24"/>
      <c r="E67" s="24"/>
      <c r="F67" s="114"/>
      <c r="G67" s="114"/>
    </row>
    <row r="68" spans="1:7" ht="15.75" x14ac:dyDescent="0.25">
      <c r="A68" s="24"/>
      <c r="B68" s="174"/>
      <c r="C68" s="24"/>
      <c r="D68" s="24"/>
      <c r="E68" s="24"/>
      <c r="F68" s="114"/>
      <c r="G68" s="114"/>
    </row>
    <row r="69" spans="1:7" ht="15.75" x14ac:dyDescent="0.25">
      <c r="A69" s="24"/>
      <c r="B69" s="174"/>
      <c r="C69" s="24"/>
      <c r="D69" s="24"/>
      <c r="E69" s="24"/>
      <c r="F69" s="114"/>
      <c r="G69" s="114"/>
    </row>
    <row r="70" spans="1:7" ht="15.75" x14ac:dyDescent="0.25">
      <c r="A70" s="24"/>
      <c r="B70" s="174"/>
      <c r="C70" s="24"/>
      <c r="D70" s="24"/>
      <c r="E70" s="24"/>
      <c r="F70" s="114"/>
      <c r="G70" s="114"/>
    </row>
    <row r="71" spans="1:7" ht="15.75" x14ac:dyDescent="0.25">
      <c r="A71" s="24"/>
      <c r="B71" s="174"/>
      <c r="C71" s="24"/>
      <c r="D71" s="24"/>
      <c r="E71" s="24"/>
      <c r="F71" s="114"/>
      <c r="G71" s="114"/>
    </row>
    <row r="72" spans="1:7" ht="15.75" x14ac:dyDescent="0.25">
      <c r="A72" s="24"/>
      <c r="B72" s="174"/>
      <c r="C72" s="24"/>
      <c r="D72" s="24"/>
      <c r="E72" s="24"/>
      <c r="F72" s="114"/>
      <c r="G72" s="114"/>
    </row>
    <row r="73" spans="1:7" ht="15.75" x14ac:dyDescent="0.25">
      <c r="A73" s="24"/>
      <c r="B73" s="174"/>
      <c r="C73" s="24"/>
      <c r="D73" s="24"/>
      <c r="E73" s="24"/>
      <c r="F73" s="114"/>
      <c r="G73" s="114"/>
    </row>
    <row r="74" spans="1:7" ht="15.75" x14ac:dyDescent="0.25">
      <c r="A74" s="24"/>
      <c r="B74" s="174"/>
      <c r="C74" s="24"/>
      <c r="D74" s="24"/>
      <c r="E74" s="24"/>
      <c r="F74" s="114"/>
      <c r="G74" s="114"/>
    </row>
    <row r="75" spans="1:7" ht="15.75" x14ac:dyDescent="0.25">
      <c r="A75" s="24"/>
      <c r="B75" s="174"/>
      <c r="C75" s="24"/>
      <c r="D75" s="24"/>
      <c r="E75" s="24"/>
      <c r="F75" s="114"/>
      <c r="G75" s="114"/>
    </row>
    <row r="76" spans="1:7" ht="15.75" x14ac:dyDescent="0.25">
      <c r="A76" s="24"/>
      <c r="B76" s="174"/>
      <c r="C76" s="24"/>
      <c r="D76" s="24"/>
      <c r="E76" s="24"/>
      <c r="F76" s="114"/>
      <c r="G76" s="114"/>
    </row>
    <row r="77" spans="1:7" ht="15.75" x14ac:dyDescent="0.25">
      <c r="A77" s="24"/>
      <c r="B77" s="174"/>
      <c r="C77" s="24"/>
      <c r="D77" s="24"/>
      <c r="E77" s="24"/>
      <c r="F77" s="114"/>
      <c r="G77" s="114"/>
    </row>
    <row r="78" spans="1:7" ht="15.75" x14ac:dyDescent="0.25">
      <c r="A78" s="24"/>
      <c r="B78" s="174"/>
      <c r="C78" s="24"/>
      <c r="D78" s="24"/>
      <c r="E78" s="24"/>
      <c r="F78" s="114"/>
      <c r="G78" s="114"/>
    </row>
    <row r="79" spans="1:7" ht="15.75" x14ac:dyDescent="0.25">
      <c r="A79" s="24"/>
      <c r="B79" s="174"/>
      <c r="C79" s="24"/>
      <c r="D79" s="24"/>
      <c r="E79" s="24"/>
      <c r="F79" s="114"/>
      <c r="G79" s="114"/>
    </row>
    <row r="80" spans="1:7" ht="15.75" x14ac:dyDescent="0.25">
      <c r="A80" s="24"/>
      <c r="B80" s="174"/>
      <c r="C80" s="24"/>
      <c r="D80" s="24"/>
      <c r="E80" s="24"/>
      <c r="F80" s="114"/>
      <c r="G80" s="114"/>
    </row>
    <row r="81" spans="1:7" ht="15.75" x14ac:dyDescent="0.25">
      <c r="A81" s="24"/>
      <c r="B81" s="174"/>
      <c r="C81" s="24"/>
      <c r="D81" s="24"/>
      <c r="E81" s="24"/>
      <c r="F81" s="114"/>
      <c r="G81" s="114"/>
    </row>
    <row r="82" spans="1:7" ht="15.75" x14ac:dyDescent="0.25">
      <c r="A82" s="24"/>
      <c r="B82" s="174"/>
      <c r="C82" s="24"/>
      <c r="D82" s="24"/>
      <c r="E82" s="24"/>
      <c r="F82" s="114"/>
      <c r="G82" s="114"/>
    </row>
    <row r="83" spans="1:7" ht="15.75" x14ac:dyDescent="0.25">
      <c r="A83" s="24"/>
      <c r="B83" s="174"/>
      <c r="C83" s="24"/>
      <c r="D83" s="24"/>
      <c r="E83" s="24"/>
      <c r="F83" s="114"/>
      <c r="G83" s="114"/>
    </row>
    <row r="84" spans="1:7" ht="15.75" x14ac:dyDescent="0.25">
      <c r="A84" s="24"/>
      <c r="B84" s="174"/>
      <c r="C84" s="24"/>
      <c r="D84" s="24"/>
      <c r="E84" s="24"/>
      <c r="F84" s="114"/>
      <c r="G84" s="114"/>
    </row>
    <row r="85" spans="1:7" ht="15.75" x14ac:dyDescent="0.25">
      <c r="A85" s="24"/>
      <c r="B85" s="174"/>
      <c r="C85" s="24"/>
      <c r="D85" s="24"/>
      <c r="E85" s="24"/>
      <c r="F85" s="114"/>
      <c r="G85" s="114"/>
    </row>
    <row r="86" spans="1:7" ht="15.75" x14ac:dyDescent="0.25">
      <c r="A86" s="24"/>
      <c r="B86" s="174"/>
      <c r="C86" s="24"/>
      <c r="D86" s="24"/>
      <c r="E86" s="24"/>
      <c r="F86" s="114"/>
      <c r="G86" s="114"/>
    </row>
    <row r="87" spans="1:7" ht="15.75" x14ac:dyDescent="0.25">
      <c r="A87" s="24"/>
      <c r="B87" s="174"/>
      <c r="C87" s="24"/>
      <c r="D87" s="24"/>
      <c r="E87" s="24"/>
      <c r="F87" s="114"/>
      <c r="G87" s="114"/>
    </row>
    <row r="88" spans="1:7" ht="15.75" x14ac:dyDescent="0.25">
      <c r="A88" s="24"/>
      <c r="B88" s="174"/>
      <c r="C88" s="24"/>
      <c r="D88" s="24"/>
      <c r="E88" s="24"/>
      <c r="F88" s="114"/>
      <c r="G88" s="114"/>
    </row>
    <row r="89" spans="1:7" ht="15.75" x14ac:dyDescent="0.25">
      <c r="A89" s="24"/>
      <c r="B89" s="174"/>
      <c r="C89" s="24"/>
      <c r="D89" s="24"/>
      <c r="E89" s="24"/>
      <c r="F89" s="114"/>
      <c r="G89" s="114"/>
    </row>
    <row r="90" spans="1:7" ht="15.75" x14ac:dyDescent="0.25">
      <c r="A90" s="24"/>
      <c r="B90" s="174"/>
      <c r="C90" s="24"/>
      <c r="D90" s="24"/>
      <c r="E90" s="24"/>
      <c r="F90" s="114"/>
      <c r="G90" s="114"/>
    </row>
    <row r="91" spans="1:7" ht="15.75" x14ac:dyDescent="0.25">
      <c r="A91" s="24"/>
      <c r="B91" s="174"/>
      <c r="C91" s="24"/>
      <c r="D91" s="24"/>
      <c r="E91" s="24"/>
      <c r="F91" s="114"/>
      <c r="G91" s="114"/>
    </row>
    <row r="92" spans="1:7" ht="15.75" x14ac:dyDescent="0.25">
      <c r="A92" s="24"/>
      <c r="B92" s="174"/>
      <c r="C92" s="24"/>
      <c r="D92" s="24"/>
      <c r="E92" s="24"/>
      <c r="F92" s="114"/>
      <c r="G92" s="114"/>
    </row>
    <row r="93" spans="1:7" ht="15.75" x14ac:dyDescent="0.25">
      <c r="A93" s="24"/>
      <c r="B93" s="174"/>
      <c r="C93" s="24"/>
      <c r="D93" s="24"/>
      <c r="E93" s="24"/>
      <c r="F93" s="114"/>
      <c r="G93" s="114"/>
    </row>
    <row r="94" spans="1:7" ht="15.75" x14ac:dyDescent="0.25">
      <c r="A94" s="24"/>
      <c r="B94" s="174"/>
      <c r="C94" s="24"/>
      <c r="D94" s="24"/>
      <c r="E94" s="24"/>
      <c r="F94" s="114"/>
      <c r="G94" s="114"/>
    </row>
    <row r="95" spans="1:7" ht="15.75" x14ac:dyDescent="0.25">
      <c r="A95" s="24"/>
      <c r="B95" s="174"/>
      <c r="C95" s="24"/>
      <c r="D95" s="24"/>
      <c r="E95" s="24"/>
      <c r="F95" s="114"/>
      <c r="G95" s="114"/>
    </row>
    <row r="96" spans="1:7" ht="15.75" x14ac:dyDescent="0.25">
      <c r="A96" s="24"/>
      <c r="B96" s="174"/>
      <c r="C96" s="24"/>
      <c r="D96" s="24"/>
      <c r="E96" s="24"/>
      <c r="F96" s="114"/>
      <c r="G96" s="114"/>
    </row>
    <row r="97" spans="1:7" ht="15.75" x14ac:dyDescent="0.25">
      <c r="A97" s="24"/>
      <c r="B97" s="174"/>
      <c r="C97" s="24"/>
      <c r="D97" s="24"/>
      <c r="E97" s="24"/>
      <c r="F97" s="114"/>
      <c r="G97" s="114"/>
    </row>
    <row r="98" spans="1:7" ht="15.75" x14ac:dyDescent="0.25">
      <c r="A98" s="24"/>
      <c r="B98" s="174"/>
      <c r="C98" s="24"/>
      <c r="D98" s="24"/>
      <c r="E98" s="24"/>
      <c r="F98" s="114"/>
      <c r="G98" s="114"/>
    </row>
    <row r="99" spans="1:7" ht="15.75" x14ac:dyDescent="0.25">
      <c r="A99" s="24"/>
      <c r="B99" s="174"/>
      <c r="C99" s="24"/>
      <c r="D99" s="24"/>
      <c r="E99" s="24"/>
      <c r="F99" s="114"/>
      <c r="G99" s="114"/>
    </row>
    <row r="100" spans="1:7" ht="15.75" x14ac:dyDescent="0.25">
      <c r="A100" s="24"/>
      <c r="B100" s="174"/>
      <c r="C100" s="24"/>
      <c r="D100" s="24"/>
      <c r="E100" s="24"/>
      <c r="F100" s="114"/>
      <c r="G100" s="114"/>
    </row>
    <row r="101" spans="1:7" ht="15.75" x14ac:dyDescent="0.25">
      <c r="A101" s="24"/>
      <c r="B101" s="174"/>
      <c r="C101" s="24"/>
      <c r="D101" s="24"/>
      <c r="E101" s="24"/>
      <c r="F101" s="114"/>
      <c r="G101" s="114"/>
    </row>
    <row r="102" spans="1:7" ht="15.75" x14ac:dyDescent="0.25">
      <c r="A102" s="24"/>
      <c r="B102" s="174"/>
      <c r="C102" s="24"/>
      <c r="D102" s="24"/>
      <c r="E102" s="24"/>
      <c r="F102" s="114"/>
      <c r="G102" s="114"/>
    </row>
    <row r="103" spans="1:7" ht="15.75" x14ac:dyDescent="0.25">
      <c r="A103" s="24"/>
      <c r="B103" s="174"/>
      <c r="C103" s="24"/>
      <c r="D103" s="24"/>
      <c r="E103" s="24"/>
      <c r="F103" s="114"/>
      <c r="G103" s="114"/>
    </row>
    <row r="104" spans="1:7" ht="15.75" x14ac:dyDescent="0.25">
      <c r="A104" s="24"/>
      <c r="B104" s="174"/>
      <c r="C104" s="24"/>
      <c r="D104" s="24"/>
      <c r="E104" s="24"/>
      <c r="F104" s="114"/>
      <c r="G104" s="114"/>
    </row>
    <row r="105" spans="1:7" ht="15.75" x14ac:dyDescent="0.25">
      <c r="A105" s="24"/>
      <c r="B105" s="174"/>
      <c r="C105" s="24"/>
      <c r="D105" s="24"/>
      <c r="E105" s="24"/>
      <c r="F105" s="114"/>
      <c r="G105" s="114"/>
    </row>
    <row r="106" spans="1:7" ht="15.75" x14ac:dyDescent="0.25">
      <c r="A106" s="24"/>
      <c r="B106" s="174"/>
      <c r="C106" s="24"/>
      <c r="D106" s="24"/>
      <c r="E106" s="24"/>
      <c r="F106" s="114"/>
      <c r="G106" s="114"/>
    </row>
    <row r="107" spans="1:7" ht="15.75" x14ac:dyDescent="0.25">
      <c r="A107" s="24"/>
      <c r="B107" s="174"/>
      <c r="C107" s="24"/>
      <c r="D107" s="24"/>
      <c r="E107" s="24"/>
      <c r="F107" s="114"/>
      <c r="G107" s="114"/>
    </row>
    <row r="108" spans="1:7" ht="15.75" x14ac:dyDescent="0.25">
      <c r="A108" s="24"/>
      <c r="B108" s="174"/>
      <c r="C108" s="24"/>
      <c r="D108" s="24"/>
      <c r="E108" s="24"/>
      <c r="F108" s="114"/>
      <c r="G108" s="114"/>
    </row>
    <row r="109" spans="1:7" ht="15.75" x14ac:dyDescent="0.25">
      <c r="A109" s="24"/>
      <c r="B109" s="174"/>
      <c r="C109" s="24"/>
      <c r="D109" s="24"/>
      <c r="E109" s="24"/>
      <c r="F109" s="114"/>
      <c r="G109" s="114"/>
    </row>
    <row r="110" spans="1:7" ht="15.75" x14ac:dyDescent="0.25">
      <c r="A110" s="24"/>
      <c r="B110" s="174"/>
      <c r="C110" s="24"/>
      <c r="D110" s="24"/>
      <c r="E110" s="24"/>
      <c r="F110" s="114"/>
      <c r="G110" s="114"/>
    </row>
    <row r="111" spans="1:7" ht="15.75" x14ac:dyDescent="0.25">
      <c r="A111" s="24"/>
      <c r="B111" s="174"/>
      <c r="C111" s="24"/>
      <c r="D111" s="24"/>
      <c r="E111" s="24"/>
      <c r="F111" s="114"/>
      <c r="G111" s="114"/>
    </row>
    <row r="112" spans="1:7" ht="15.75" x14ac:dyDescent="0.25">
      <c r="A112" s="24"/>
      <c r="B112" s="174"/>
      <c r="C112" s="24"/>
      <c r="D112" s="24"/>
      <c r="E112" s="24"/>
      <c r="F112" s="114"/>
      <c r="G112" s="114"/>
    </row>
    <row r="113" spans="1:7" ht="15.75" x14ac:dyDescent="0.25">
      <c r="A113" s="24"/>
      <c r="B113" s="174"/>
      <c r="C113" s="24"/>
      <c r="D113" s="24"/>
      <c r="E113" s="24"/>
      <c r="F113" s="114"/>
      <c r="G113" s="114"/>
    </row>
    <row r="114" spans="1:7" ht="15.75" x14ac:dyDescent="0.25">
      <c r="A114" s="24"/>
      <c r="B114" s="174"/>
      <c r="C114" s="24"/>
      <c r="D114" s="24"/>
      <c r="E114" s="24"/>
      <c r="F114" s="114"/>
      <c r="G114" s="114"/>
    </row>
    <row r="115" spans="1:7" ht="15.75" x14ac:dyDescent="0.25">
      <c r="A115" s="24"/>
      <c r="B115" s="174"/>
      <c r="C115" s="24"/>
      <c r="D115" s="24"/>
      <c r="E115" s="24"/>
      <c r="F115" s="114"/>
      <c r="G115" s="114"/>
    </row>
    <row r="116" spans="1:7" ht="15.75" x14ac:dyDescent="0.25">
      <c r="A116" s="24"/>
      <c r="B116" s="174"/>
      <c r="C116" s="24"/>
      <c r="D116" s="24"/>
      <c r="E116" s="24"/>
      <c r="F116" s="114"/>
      <c r="G116" s="114"/>
    </row>
    <row r="117" spans="1:7" ht="15.75" x14ac:dyDescent="0.25">
      <c r="A117" s="24"/>
      <c r="B117" s="174"/>
      <c r="C117" s="24"/>
      <c r="D117" s="24"/>
      <c r="E117" s="24"/>
      <c r="F117" s="114"/>
      <c r="G117" s="114"/>
    </row>
    <row r="118" spans="1:7" ht="15.75" x14ac:dyDescent="0.25">
      <c r="A118" s="24"/>
      <c r="B118" s="174"/>
      <c r="C118" s="24"/>
      <c r="D118" s="24"/>
      <c r="E118" s="24"/>
      <c r="F118" s="114"/>
      <c r="G118" s="114"/>
    </row>
    <row r="119" spans="1:7" ht="15.75" x14ac:dyDescent="0.25">
      <c r="A119" s="24"/>
      <c r="B119" s="174"/>
      <c r="C119" s="24"/>
      <c r="D119" s="24"/>
      <c r="E119" s="24"/>
      <c r="F119" s="114"/>
      <c r="G119" s="114"/>
    </row>
    <row r="120" spans="1:7" ht="15.75" x14ac:dyDescent="0.25">
      <c r="A120" s="24"/>
      <c r="B120" s="174"/>
      <c r="C120" s="24"/>
      <c r="D120" s="24"/>
      <c r="E120" s="24"/>
      <c r="F120" s="114"/>
      <c r="G120" s="114"/>
    </row>
    <row r="121" spans="1:7" ht="15.75" x14ac:dyDescent="0.25">
      <c r="A121" s="24"/>
      <c r="B121" s="174"/>
      <c r="C121" s="24"/>
      <c r="D121" s="24"/>
      <c r="E121" s="24"/>
      <c r="F121" s="114"/>
      <c r="G121" s="114"/>
    </row>
    <row r="122" spans="1:7" ht="15.75" x14ac:dyDescent="0.25">
      <c r="A122" s="24"/>
      <c r="B122" s="174"/>
      <c r="C122" s="24"/>
      <c r="D122" s="24"/>
      <c r="E122" s="24"/>
      <c r="F122" s="114"/>
      <c r="G122" s="114"/>
    </row>
    <row r="123" spans="1:7" ht="15.75" x14ac:dyDescent="0.25">
      <c r="A123" s="24"/>
      <c r="B123" s="174"/>
      <c r="C123" s="24"/>
      <c r="D123" s="24"/>
      <c r="E123" s="24"/>
      <c r="F123" s="114"/>
      <c r="G123" s="114"/>
    </row>
    <row r="124" spans="1:7" ht="15.75" x14ac:dyDescent="0.25">
      <c r="A124" s="24"/>
      <c r="B124" s="174"/>
      <c r="C124" s="24"/>
      <c r="D124" s="24"/>
      <c r="E124" s="24"/>
      <c r="F124" s="114"/>
      <c r="G124" s="114"/>
    </row>
    <row r="125" spans="1:7" ht="15.75" x14ac:dyDescent="0.25">
      <c r="A125" s="24"/>
      <c r="B125" s="174"/>
      <c r="C125" s="24"/>
      <c r="D125" s="24"/>
      <c r="E125" s="24"/>
      <c r="F125" s="114"/>
      <c r="G125" s="114"/>
    </row>
    <row r="126" spans="1:7" ht="15.75" x14ac:dyDescent="0.25">
      <c r="A126" s="24"/>
      <c r="B126" s="174"/>
      <c r="C126" s="24"/>
      <c r="D126" s="24"/>
      <c r="E126" s="24"/>
      <c r="F126" s="114"/>
      <c r="G126" s="114"/>
    </row>
    <row r="127" spans="1:7" ht="15.75" x14ac:dyDescent="0.25">
      <c r="A127" s="24"/>
      <c r="B127" s="174"/>
      <c r="C127" s="24"/>
      <c r="D127" s="24"/>
      <c r="E127" s="24"/>
      <c r="F127" s="114"/>
      <c r="G127" s="114"/>
    </row>
    <row r="128" spans="1:7" ht="15.75" x14ac:dyDescent="0.25">
      <c r="A128" s="24"/>
      <c r="B128" s="174"/>
      <c r="C128" s="24"/>
      <c r="D128" s="24"/>
      <c r="E128" s="24"/>
      <c r="F128" s="114"/>
      <c r="G128" s="114"/>
    </row>
    <row r="129" spans="1:7" ht="15.75" x14ac:dyDescent="0.25">
      <c r="A129" s="24"/>
      <c r="B129" s="174"/>
      <c r="C129" s="24"/>
      <c r="D129" s="24"/>
      <c r="E129" s="24"/>
      <c r="F129" s="114"/>
      <c r="G129" s="114"/>
    </row>
    <row r="130" spans="1:7" ht="15.75" x14ac:dyDescent="0.25">
      <c r="A130" s="24"/>
      <c r="B130" s="174"/>
      <c r="C130" s="24"/>
      <c r="D130" s="24"/>
      <c r="E130" s="24"/>
      <c r="F130" s="114"/>
      <c r="G130" s="114"/>
    </row>
    <row r="131" spans="1:7" ht="15.75" x14ac:dyDescent="0.25">
      <c r="A131" s="24"/>
      <c r="B131" s="174"/>
      <c r="C131" s="24"/>
      <c r="D131" s="24"/>
      <c r="E131" s="24"/>
      <c r="F131" s="114"/>
      <c r="G131" s="114"/>
    </row>
    <row r="132" spans="1:7" ht="15.75" x14ac:dyDescent="0.25">
      <c r="A132" s="24"/>
      <c r="B132" s="174"/>
      <c r="C132" s="24"/>
      <c r="D132" s="24"/>
      <c r="E132" s="24"/>
      <c r="F132" s="114"/>
      <c r="G132" s="114"/>
    </row>
    <row r="133" spans="1:7" ht="15.75" x14ac:dyDescent="0.25">
      <c r="A133" s="24"/>
      <c r="B133" s="174"/>
      <c r="C133" s="24"/>
      <c r="D133" s="24"/>
      <c r="E133" s="24"/>
      <c r="F133" s="114"/>
      <c r="G133" s="114"/>
    </row>
    <row r="134" spans="1:7" ht="15.75" x14ac:dyDescent="0.25">
      <c r="A134" s="24"/>
      <c r="B134" s="174"/>
      <c r="C134" s="24"/>
      <c r="D134" s="24"/>
      <c r="E134" s="24"/>
      <c r="F134" s="114"/>
      <c r="G134" s="114"/>
    </row>
    <row r="135" spans="1:7" ht="15.75" x14ac:dyDescent="0.25">
      <c r="A135" s="24"/>
      <c r="B135" s="174"/>
      <c r="C135" s="24"/>
      <c r="D135" s="24"/>
      <c r="E135" s="24"/>
      <c r="F135" s="114"/>
      <c r="G135" s="114"/>
    </row>
    <row r="136" spans="1:7" ht="15.75" x14ac:dyDescent="0.25">
      <c r="A136" s="24"/>
      <c r="B136" s="174"/>
      <c r="C136" s="24"/>
      <c r="D136" s="24"/>
      <c r="E136" s="24"/>
      <c r="F136" s="114"/>
      <c r="G136" s="114"/>
    </row>
    <row r="137" spans="1:7" ht="15.75" x14ac:dyDescent="0.25">
      <c r="A137" s="24"/>
      <c r="B137" s="174"/>
      <c r="C137" s="24"/>
      <c r="D137" s="24"/>
      <c r="E137" s="24"/>
      <c r="F137" s="114"/>
      <c r="G137" s="114"/>
    </row>
    <row r="138" spans="1:7" ht="15.75" x14ac:dyDescent="0.25">
      <c r="A138" s="24"/>
      <c r="B138" s="174"/>
      <c r="C138" s="24"/>
      <c r="D138" s="24"/>
      <c r="E138" s="24"/>
      <c r="F138" s="114"/>
      <c r="G138" s="114"/>
    </row>
    <row r="139" spans="1:7" ht="15.75" x14ac:dyDescent="0.25">
      <c r="A139" s="24"/>
      <c r="B139" s="174"/>
      <c r="C139" s="24"/>
      <c r="D139" s="24"/>
      <c r="E139" s="24"/>
      <c r="F139" s="114"/>
      <c r="G139" s="114"/>
    </row>
    <row r="140" spans="1:7" ht="15.75" x14ac:dyDescent="0.25">
      <c r="A140" s="24"/>
      <c r="B140" s="174"/>
      <c r="C140" s="24"/>
      <c r="D140" s="24"/>
      <c r="E140" s="24"/>
      <c r="F140" s="114"/>
      <c r="G140" s="114"/>
    </row>
    <row r="141" spans="1:7" ht="15.75" x14ac:dyDescent="0.25">
      <c r="A141" s="24"/>
      <c r="B141" s="174"/>
      <c r="C141" s="24"/>
      <c r="D141" s="24"/>
      <c r="E141" s="24"/>
      <c r="F141" s="114"/>
      <c r="G141" s="114"/>
    </row>
    <row r="142" spans="1:7" ht="15.75" x14ac:dyDescent="0.25">
      <c r="A142" s="24"/>
      <c r="B142" s="174"/>
      <c r="C142" s="24"/>
      <c r="D142" s="24"/>
      <c r="E142" s="24"/>
      <c r="F142" s="114"/>
      <c r="G142" s="114"/>
    </row>
    <row r="143" spans="1:7" ht="15.75" x14ac:dyDescent="0.25">
      <c r="A143" s="24"/>
      <c r="B143" s="174"/>
      <c r="C143" s="24"/>
      <c r="D143" s="24"/>
      <c r="E143" s="24"/>
      <c r="F143" s="114"/>
      <c r="G143" s="114"/>
    </row>
    <row r="144" spans="1:7" ht="15.75" x14ac:dyDescent="0.25">
      <c r="A144" s="24"/>
      <c r="B144" s="174"/>
      <c r="C144" s="24"/>
      <c r="D144" s="24"/>
      <c r="E144" s="24"/>
      <c r="F144" s="114"/>
      <c r="G144" s="114"/>
    </row>
    <row r="145" spans="1:7" ht="15.75" x14ac:dyDescent="0.25">
      <c r="A145" s="24"/>
      <c r="B145" s="174"/>
      <c r="C145" s="24"/>
      <c r="D145" s="24"/>
      <c r="E145" s="24"/>
      <c r="F145" s="114"/>
      <c r="G145" s="114"/>
    </row>
    <row r="146" spans="1:7" ht="15.75" x14ac:dyDescent="0.25">
      <c r="A146" s="24"/>
      <c r="B146" s="174"/>
      <c r="C146" s="24"/>
      <c r="D146" s="24"/>
      <c r="E146" s="24"/>
      <c r="F146" s="114"/>
      <c r="G146" s="114"/>
    </row>
    <row r="147" spans="1:7" ht="15.75" x14ac:dyDescent="0.25">
      <c r="A147" s="24"/>
      <c r="B147" s="174"/>
      <c r="C147" s="24"/>
      <c r="D147" s="24"/>
      <c r="E147" s="24"/>
      <c r="F147" s="114"/>
      <c r="G147" s="114"/>
    </row>
    <row r="148" spans="1:7" ht="15.75" x14ac:dyDescent="0.25">
      <c r="A148" s="24"/>
      <c r="B148" s="174"/>
      <c r="C148" s="24"/>
      <c r="D148" s="24"/>
      <c r="E148" s="24"/>
      <c r="F148" s="114"/>
      <c r="G148" s="114"/>
    </row>
    <row r="149" spans="1:7" ht="15.75" x14ac:dyDescent="0.25">
      <c r="A149" s="24"/>
      <c r="B149" s="174"/>
      <c r="C149" s="24"/>
      <c r="D149" s="24"/>
      <c r="E149" s="24"/>
      <c r="F149" s="114"/>
      <c r="G149" s="114"/>
    </row>
    <row r="150" spans="1:7" ht="15.75" x14ac:dyDescent="0.25">
      <c r="A150" s="24"/>
      <c r="B150" s="174"/>
      <c r="C150" s="24"/>
      <c r="D150" s="24"/>
      <c r="E150" s="24"/>
      <c r="F150" s="114"/>
      <c r="G150" s="114"/>
    </row>
    <row r="151" spans="1:7" ht="15.75" x14ac:dyDescent="0.25">
      <c r="A151" s="24"/>
      <c r="B151" s="174"/>
      <c r="C151" s="24"/>
      <c r="D151" s="24"/>
      <c r="E151" s="24"/>
      <c r="F151" s="114"/>
      <c r="G151" s="114"/>
    </row>
    <row r="152" spans="1:7" ht="15.75" x14ac:dyDescent="0.25">
      <c r="A152" s="24"/>
      <c r="B152" s="174"/>
      <c r="C152" s="24"/>
      <c r="D152" s="24"/>
      <c r="E152" s="24"/>
      <c r="F152" s="114"/>
      <c r="G152" s="114"/>
    </row>
    <row r="153" spans="1:7" ht="15.75" x14ac:dyDescent="0.25">
      <c r="A153" s="24"/>
      <c r="B153" s="174"/>
      <c r="C153" s="24"/>
      <c r="D153" s="24"/>
      <c r="E153" s="24"/>
      <c r="F153" s="114"/>
      <c r="G153" s="114"/>
    </row>
    <row r="154" spans="1:7" ht="15.75" x14ac:dyDescent="0.25">
      <c r="A154" s="24"/>
      <c r="B154" s="174"/>
      <c r="C154" s="24"/>
      <c r="D154" s="24"/>
      <c r="E154" s="24"/>
      <c r="F154" s="114"/>
      <c r="G154" s="114"/>
    </row>
    <row r="155" spans="1:7" ht="15.75" x14ac:dyDescent="0.25">
      <c r="A155" s="24"/>
      <c r="B155" s="174"/>
      <c r="C155" s="24"/>
      <c r="D155" s="24"/>
      <c r="E155" s="24"/>
      <c r="F155" s="114"/>
      <c r="G155" s="114"/>
    </row>
    <row r="156" spans="1:7" ht="15.75" x14ac:dyDescent="0.25">
      <c r="A156" s="24"/>
      <c r="B156" s="174"/>
      <c r="C156" s="24"/>
      <c r="D156" s="24"/>
      <c r="E156" s="24"/>
      <c r="F156" s="114"/>
      <c r="G156" s="114"/>
    </row>
    <row r="157" spans="1:7" ht="15.75" x14ac:dyDescent="0.25">
      <c r="A157" s="24"/>
      <c r="B157" s="174"/>
      <c r="C157" s="24"/>
      <c r="D157" s="24"/>
      <c r="E157" s="24"/>
      <c r="F157" s="114"/>
      <c r="G157" s="114"/>
    </row>
    <row r="158" spans="1:7" ht="15.75" x14ac:dyDescent="0.25">
      <c r="A158" s="24"/>
      <c r="B158" s="174"/>
      <c r="C158" s="24"/>
      <c r="D158" s="24"/>
      <c r="E158" s="24"/>
      <c r="F158" s="114"/>
      <c r="G158" s="114"/>
    </row>
    <row r="159" spans="1:7" ht="15.75" x14ac:dyDescent="0.25">
      <c r="A159" s="24"/>
      <c r="B159" s="174"/>
      <c r="C159" s="24"/>
      <c r="D159" s="24"/>
      <c r="E159" s="24"/>
      <c r="F159" s="114"/>
      <c r="G159" s="114"/>
    </row>
    <row r="160" spans="1:7" ht="15.75" x14ac:dyDescent="0.25">
      <c r="A160" s="24"/>
      <c r="B160" s="174"/>
      <c r="C160" s="24"/>
      <c r="D160" s="24"/>
      <c r="E160" s="24"/>
      <c r="F160" s="114"/>
      <c r="G160" s="114"/>
    </row>
    <row r="161" spans="1:7" ht="15.75" x14ac:dyDescent="0.25">
      <c r="A161" s="24"/>
      <c r="B161" s="174"/>
      <c r="C161" s="24"/>
      <c r="D161" s="24"/>
      <c r="E161" s="24"/>
      <c r="F161" s="114"/>
      <c r="G161" s="114"/>
    </row>
    <row r="162" spans="1:7" ht="15.75" x14ac:dyDescent="0.25">
      <c r="A162" s="24"/>
      <c r="B162" s="174"/>
      <c r="C162" s="24"/>
      <c r="D162" s="24"/>
      <c r="E162" s="24"/>
      <c r="F162" s="114"/>
      <c r="G162" s="114"/>
    </row>
    <row r="163" spans="1:7" ht="15.75" x14ac:dyDescent="0.25">
      <c r="A163" s="24"/>
      <c r="B163" s="174"/>
      <c r="C163" s="24"/>
      <c r="D163" s="24"/>
      <c r="E163" s="24"/>
      <c r="F163" s="114"/>
      <c r="G163" s="114"/>
    </row>
    <row r="164" spans="1:7" ht="15.75" x14ac:dyDescent="0.25">
      <c r="A164" s="24"/>
      <c r="B164" s="174"/>
      <c r="C164" s="24"/>
      <c r="D164" s="24"/>
      <c r="E164" s="24"/>
      <c r="F164" s="114"/>
      <c r="G164" s="114"/>
    </row>
    <row r="165" spans="1:7" ht="15.75" x14ac:dyDescent="0.25">
      <c r="A165" s="24"/>
      <c r="B165" s="174"/>
      <c r="C165" s="24"/>
      <c r="D165" s="24"/>
      <c r="E165" s="24"/>
      <c r="F165" s="114"/>
      <c r="G165" s="114"/>
    </row>
    <row r="166" spans="1:7" ht="15.75" x14ac:dyDescent="0.25">
      <c r="A166" s="24"/>
      <c r="B166" s="174"/>
      <c r="C166" s="24"/>
      <c r="D166" s="24"/>
      <c r="E166" s="24"/>
      <c r="F166" s="114"/>
      <c r="G166" s="114"/>
    </row>
    <row r="167" spans="1:7" ht="15.75" x14ac:dyDescent="0.25">
      <c r="A167" s="24"/>
      <c r="B167" s="174"/>
      <c r="C167" s="24"/>
      <c r="D167" s="24"/>
      <c r="E167" s="24"/>
      <c r="F167" s="114"/>
      <c r="G167" s="114"/>
    </row>
    <row r="168" spans="1:7" ht="15.75" x14ac:dyDescent="0.25">
      <c r="A168" s="24"/>
      <c r="B168" s="174"/>
      <c r="C168" s="24"/>
      <c r="D168" s="24"/>
      <c r="E168" s="24"/>
      <c r="F168" s="114"/>
      <c r="G168" s="114"/>
    </row>
    <row r="169" spans="1:7" ht="15.75" x14ac:dyDescent="0.25">
      <c r="A169" s="24"/>
      <c r="B169" s="174"/>
      <c r="C169" s="24"/>
      <c r="D169" s="24"/>
      <c r="E169" s="24"/>
      <c r="F169" s="114"/>
      <c r="G169" s="114"/>
    </row>
    <row r="170" spans="1:7" ht="15.75" x14ac:dyDescent="0.25">
      <c r="A170" s="24"/>
      <c r="B170" s="174"/>
      <c r="C170" s="24"/>
      <c r="D170" s="24"/>
      <c r="E170" s="24"/>
      <c r="F170" s="114"/>
      <c r="G170" s="114"/>
    </row>
    <row r="171" spans="1:7" ht="15.75" x14ac:dyDescent="0.25">
      <c r="A171" s="24"/>
      <c r="B171" s="174"/>
      <c r="C171" s="24"/>
      <c r="D171" s="24"/>
      <c r="E171" s="24"/>
      <c r="F171" s="114"/>
      <c r="G171" s="114"/>
    </row>
    <row r="172" spans="1:7" ht="15.75" x14ac:dyDescent="0.25">
      <c r="A172" s="24"/>
      <c r="B172" s="174"/>
      <c r="C172" s="24"/>
      <c r="D172" s="24"/>
      <c r="E172" s="24"/>
      <c r="F172" s="114"/>
      <c r="G172" s="114"/>
    </row>
    <row r="173" spans="1:7" ht="15.75" x14ac:dyDescent="0.25">
      <c r="A173" s="24"/>
      <c r="B173" s="174"/>
      <c r="C173" s="24"/>
      <c r="D173" s="24"/>
      <c r="E173" s="24"/>
      <c r="F173" s="114"/>
      <c r="G173" s="114"/>
    </row>
    <row r="174" spans="1:7" ht="15.75" x14ac:dyDescent="0.25">
      <c r="A174" s="24"/>
      <c r="B174" s="174"/>
      <c r="C174" s="24"/>
      <c r="D174" s="24"/>
      <c r="E174" s="24"/>
      <c r="F174" s="114"/>
      <c r="G174" s="114"/>
    </row>
    <row r="175" spans="1:7" ht="15.75" x14ac:dyDescent="0.25">
      <c r="A175" s="24"/>
      <c r="B175" s="174"/>
      <c r="C175" s="24"/>
      <c r="D175" s="24"/>
      <c r="E175" s="24"/>
      <c r="F175" s="114"/>
      <c r="G175" s="114"/>
    </row>
    <row r="176" spans="1:7" ht="15.75" x14ac:dyDescent="0.25">
      <c r="A176" s="24"/>
      <c r="B176" s="174"/>
      <c r="C176" s="24"/>
      <c r="D176" s="24"/>
      <c r="E176" s="24"/>
      <c r="F176" s="114"/>
      <c r="G176" s="114"/>
    </row>
    <row r="177" spans="1:7" ht="15.75" x14ac:dyDescent="0.25">
      <c r="A177" s="24"/>
      <c r="B177" s="174"/>
      <c r="C177" s="24"/>
      <c r="D177" s="24"/>
      <c r="E177" s="24"/>
      <c r="F177" s="114"/>
      <c r="G177" s="114"/>
    </row>
    <row r="178" spans="1:7" ht="15.75" x14ac:dyDescent="0.25">
      <c r="A178" s="24"/>
      <c r="B178" s="174"/>
      <c r="C178" s="24"/>
      <c r="D178" s="24"/>
      <c r="E178" s="24"/>
      <c r="F178" s="114"/>
      <c r="G178" s="114"/>
    </row>
    <row r="179" spans="1:7" ht="15.75" x14ac:dyDescent="0.25">
      <c r="A179" s="24"/>
      <c r="B179" s="174"/>
      <c r="C179" s="24"/>
      <c r="D179" s="24"/>
      <c r="E179" s="24"/>
      <c r="F179" s="114"/>
      <c r="G179" s="114"/>
    </row>
    <row r="180" spans="1:7" ht="15.75" x14ac:dyDescent="0.25">
      <c r="A180" s="24"/>
      <c r="B180" s="174"/>
      <c r="C180" s="24"/>
      <c r="D180" s="24"/>
      <c r="E180" s="24"/>
      <c r="F180" s="114"/>
      <c r="G180" s="114"/>
    </row>
    <row r="181" spans="1:7" ht="15.75" x14ac:dyDescent="0.25">
      <c r="A181" s="24"/>
      <c r="B181" s="174"/>
      <c r="C181" s="24"/>
      <c r="D181" s="24"/>
      <c r="E181" s="24"/>
      <c r="F181" s="114"/>
      <c r="G181" s="114"/>
    </row>
    <row r="182" spans="1:7" ht="15.75" x14ac:dyDescent="0.25">
      <c r="A182" s="24"/>
      <c r="B182" s="174"/>
      <c r="C182" s="24"/>
      <c r="D182" s="24"/>
      <c r="E182" s="24"/>
      <c r="F182" s="114"/>
      <c r="G182" s="114"/>
    </row>
    <row r="183" spans="1:7" ht="15.75" x14ac:dyDescent="0.25">
      <c r="A183" s="24"/>
      <c r="B183" s="174"/>
      <c r="C183" s="24"/>
      <c r="D183" s="24"/>
      <c r="E183" s="24"/>
      <c r="F183" s="114"/>
      <c r="G183" s="114"/>
    </row>
    <row r="184" spans="1:7" ht="15.75" x14ac:dyDescent="0.25">
      <c r="A184" s="24"/>
      <c r="B184" s="174"/>
      <c r="C184" s="24"/>
      <c r="D184" s="24"/>
      <c r="E184" s="24"/>
      <c r="F184" s="114"/>
      <c r="G184" s="114"/>
    </row>
    <row r="185" spans="1:7" ht="15.75" x14ac:dyDescent="0.25">
      <c r="A185" s="24"/>
      <c r="B185" s="174"/>
      <c r="C185" s="24"/>
      <c r="D185" s="24"/>
      <c r="E185" s="24"/>
      <c r="F185" s="114"/>
      <c r="G185" s="114"/>
    </row>
    <row r="186" spans="1:7" ht="15.75" x14ac:dyDescent="0.25">
      <c r="A186" s="24"/>
      <c r="B186" s="174"/>
      <c r="C186" s="24"/>
      <c r="D186" s="24"/>
      <c r="E186" s="24"/>
      <c r="F186" s="114"/>
      <c r="G186" s="114"/>
    </row>
    <row r="187" spans="1:7" ht="15.75" x14ac:dyDescent="0.25">
      <c r="A187" s="24"/>
      <c r="B187" s="174"/>
      <c r="C187" s="24"/>
      <c r="D187" s="24"/>
      <c r="E187" s="24"/>
      <c r="F187" s="114"/>
      <c r="G187" s="114"/>
    </row>
    <row r="188" spans="1:7" ht="15.75" x14ac:dyDescent="0.25">
      <c r="A188" s="24"/>
      <c r="B188" s="174"/>
      <c r="C188" s="24"/>
      <c r="D188" s="24"/>
      <c r="E188" s="24"/>
      <c r="F188" s="114"/>
      <c r="G188" s="114"/>
    </row>
    <row r="189" spans="1:7" ht="15.75" x14ac:dyDescent="0.25">
      <c r="A189" s="24"/>
      <c r="B189" s="174"/>
      <c r="C189" s="24"/>
      <c r="D189" s="24"/>
      <c r="E189" s="24"/>
      <c r="F189" s="114"/>
      <c r="G189" s="114"/>
    </row>
    <row r="190" spans="1:7" ht="15.75" x14ac:dyDescent="0.25">
      <c r="A190" s="24"/>
      <c r="B190" s="174"/>
      <c r="C190" s="24"/>
      <c r="D190" s="24"/>
      <c r="E190" s="24"/>
      <c r="F190" s="114"/>
      <c r="G190" s="114"/>
    </row>
    <row r="191" spans="1:7" ht="15.75" x14ac:dyDescent="0.25">
      <c r="A191" s="24"/>
      <c r="B191" s="174"/>
      <c r="C191" s="24"/>
      <c r="D191" s="24"/>
      <c r="E191" s="24"/>
      <c r="F191" s="114"/>
      <c r="G191" s="114"/>
    </row>
    <row r="192" spans="1:7" ht="15.75" x14ac:dyDescent="0.25">
      <c r="A192" s="24"/>
      <c r="B192" s="174"/>
      <c r="C192" s="24"/>
      <c r="D192" s="24"/>
      <c r="E192" s="24"/>
      <c r="F192" s="114"/>
      <c r="G192" s="114"/>
    </row>
    <row r="193" spans="1:7" ht="15.75" x14ac:dyDescent="0.25">
      <c r="A193" s="24"/>
      <c r="B193" s="174"/>
      <c r="C193" s="24"/>
      <c r="D193" s="24"/>
      <c r="E193" s="24"/>
      <c r="F193" s="114"/>
      <c r="G193" s="114"/>
    </row>
    <row r="194" spans="1:7" ht="15.75" x14ac:dyDescent="0.25">
      <c r="A194" s="24"/>
      <c r="B194" s="174"/>
      <c r="C194" s="24"/>
      <c r="D194" s="24"/>
      <c r="E194" s="24"/>
      <c r="F194" s="114"/>
      <c r="G194" s="114"/>
    </row>
    <row r="195" spans="1:7" ht="15.75" x14ac:dyDescent="0.25">
      <c r="A195" s="24"/>
      <c r="B195" s="174"/>
      <c r="C195" s="24"/>
      <c r="D195" s="24"/>
      <c r="E195" s="24"/>
      <c r="F195" s="114"/>
      <c r="G195" s="114"/>
    </row>
    <row r="196" spans="1:7" ht="15.75" x14ac:dyDescent="0.25">
      <c r="A196" s="24"/>
      <c r="B196" s="174"/>
      <c r="C196" s="24"/>
      <c r="D196" s="24"/>
      <c r="E196" s="24"/>
      <c r="F196" s="114"/>
      <c r="G196" s="114"/>
    </row>
    <row r="197" spans="1:7" ht="15.75" x14ac:dyDescent="0.25">
      <c r="A197" s="24"/>
      <c r="B197" s="174"/>
      <c r="C197" s="24"/>
      <c r="D197" s="24"/>
      <c r="E197" s="24"/>
      <c r="F197" s="114"/>
      <c r="G197" s="114"/>
    </row>
    <row r="198" spans="1:7" ht="15.75" x14ac:dyDescent="0.25">
      <c r="A198" s="24"/>
      <c r="B198" s="174"/>
      <c r="C198" s="24"/>
      <c r="D198" s="24"/>
      <c r="E198" s="24"/>
      <c r="F198" s="114"/>
      <c r="G198" s="114"/>
    </row>
    <row r="199" spans="1:7" ht="15.75" x14ac:dyDescent="0.25">
      <c r="A199" s="24"/>
      <c r="B199" s="174"/>
      <c r="C199" s="24"/>
      <c r="D199" s="24"/>
      <c r="E199" s="24"/>
      <c r="F199" s="114"/>
      <c r="G199" s="114"/>
    </row>
    <row r="200" spans="1:7" ht="15.75" x14ac:dyDescent="0.25">
      <c r="A200" s="24"/>
      <c r="B200" s="174"/>
      <c r="C200" s="24"/>
      <c r="D200" s="24"/>
      <c r="E200" s="24"/>
      <c r="F200" s="114"/>
      <c r="G200" s="114"/>
    </row>
    <row r="201" spans="1:7" ht="15.75" x14ac:dyDescent="0.25">
      <c r="A201" s="24"/>
      <c r="B201" s="174"/>
      <c r="C201" s="24"/>
      <c r="D201" s="24"/>
      <c r="E201" s="24"/>
      <c r="F201" s="114"/>
      <c r="G201" s="114"/>
    </row>
    <row r="202" spans="1:7" ht="15.75" x14ac:dyDescent="0.25">
      <c r="A202" s="24"/>
      <c r="B202" s="174"/>
      <c r="C202" s="24"/>
      <c r="D202" s="24"/>
      <c r="E202" s="24"/>
      <c r="F202" s="114"/>
      <c r="G202" s="114"/>
    </row>
    <row r="203" spans="1:7" ht="15.75" x14ac:dyDescent="0.25">
      <c r="A203" s="24"/>
      <c r="B203" s="174"/>
      <c r="C203" s="24"/>
      <c r="D203" s="24"/>
      <c r="E203" s="24"/>
      <c r="F203" s="114"/>
      <c r="G203" s="114"/>
    </row>
    <row r="204" spans="1:7" ht="15.75" x14ac:dyDescent="0.25">
      <c r="A204" s="24"/>
      <c r="B204" s="174"/>
      <c r="C204" s="24"/>
      <c r="D204" s="24"/>
      <c r="E204" s="24"/>
      <c r="F204" s="114"/>
      <c r="G204" s="114"/>
    </row>
    <row r="205" spans="1:7" ht="15.75" x14ac:dyDescent="0.25">
      <c r="A205" s="24"/>
      <c r="B205" s="174"/>
      <c r="C205" s="24"/>
      <c r="D205" s="24"/>
      <c r="E205" s="24"/>
      <c r="F205" s="114"/>
      <c r="G205" s="114"/>
    </row>
    <row r="206" spans="1:7" ht="15.75" x14ac:dyDescent="0.25">
      <c r="A206" s="24"/>
      <c r="B206" s="174"/>
      <c r="C206" s="24"/>
      <c r="D206" s="24"/>
      <c r="E206" s="24"/>
      <c r="F206" s="114"/>
      <c r="G206" s="114"/>
    </row>
    <row r="207" spans="1:7" ht="15.75" x14ac:dyDescent="0.25">
      <c r="A207" s="24"/>
      <c r="B207" s="174"/>
      <c r="C207" s="24"/>
      <c r="D207" s="24"/>
      <c r="E207" s="24"/>
      <c r="F207" s="114"/>
      <c r="G207" s="114"/>
    </row>
    <row r="208" spans="1:7" ht="15.75" x14ac:dyDescent="0.25">
      <c r="A208" s="24"/>
      <c r="B208" s="174"/>
      <c r="C208" s="24"/>
      <c r="D208" s="24"/>
      <c r="E208" s="24"/>
      <c r="F208" s="114"/>
      <c r="G208" s="114"/>
    </row>
    <row r="209" spans="1:7" ht="15.75" x14ac:dyDescent="0.25">
      <c r="A209" s="24"/>
      <c r="B209" s="174"/>
      <c r="C209" s="24"/>
      <c r="D209" s="24"/>
      <c r="E209" s="24"/>
      <c r="F209" s="114"/>
      <c r="G209" s="114"/>
    </row>
    <row r="210" spans="1:7" ht="15.75" x14ac:dyDescent="0.25">
      <c r="A210" s="24"/>
      <c r="B210" s="174"/>
      <c r="C210" s="24"/>
      <c r="D210" s="24"/>
      <c r="E210" s="24"/>
      <c r="F210" s="114"/>
      <c r="G210" s="114"/>
    </row>
    <row r="211" spans="1:7" ht="15.75" x14ac:dyDescent="0.25">
      <c r="A211" s="24"/>
      <c r="B211" s="174"/>
      <c r="C211" s="24"/>
      <c r="D211" s="24"/>
      <c r="E211" s="24"/>
      <c r="F211" s="114"/>
      <c r="G211" s="114"/>
    </row>
    <row r="212" spans="1:7" ht="15.75" x14ac:dyDescent="0.25">
      <c r="A212" s="24"/>
      <c r="B212" s="174"/>
      <c r="C212" s="24"/>
      <c r="D212" s="24"/>
      <c r="E212" s="24"/>
      <c r="F212" s="114"/>
      <c r="G212" s="114"/>
    </row>
    <row r="213" spans="1:7" ht="15.75" x14ac:dyDescent="0.25">
      <c r="A213" s="24"/>
      <c r="B213" s="174"/>
      <c r="C213" s="24"/>
      <c r="D213" s="24"/>
      <c r="E213" s="24"/>
      <c r="F213" s="114"/>
      <c r="G213" s="114"/>
    </row>
    <row r="214" spans="1:7" ht="15.75" x14ac:dyDescent="0.25">
      <c r="A214" s="24"/>
      <c r="B214" s="174"/>
      <c r="C214" s="24"/>
      <c r="D214" s="24"/>
      <c r="E214" s="24"/>
      <c r="F214" s="114"/>
      <c r="G214" s="114"/>
    </row>
    <row r="215" spans="1:7" ht="15.75" x14ac:dyDescent="0.25">
      <c r="A215" s="24"/>
      <c r="B215" s="174"/>
      <c r="C215" s="24"/>
      <c r="D215" s="24"/>
      <c r="E215" s="24"/>
      <c r="F215" s="114"/>
      <c r="G215" s="114"/>
    </row>
    <row r="216" spans="1:7" ht="15.75" x14ac:dyDescent="0.25">
      <c r="A216" s="24"/>
      <c r="B216" s="174"/>
      <c r="C216" s="24"/>
      <c r="D216" s="24"/>
      <c r="E216" s="24"/>
      <c r="F216" s="114"/>
      <c r="G216" s="114"/>
    </row>
    <row r="217" spans="1:7" ht="15.75" x14ac:dyDescent="0.25">
      <c r="A217" s="24"/>
      <c r="B217" s="174"/>
      <c r="C217" s="24"/>
      <c r="D217" s="24"/>
      <c r="E217" s="24"/>
      <c r="F217" s="114"/>
      <c r="G217" s="114"/>
    </row>
    <row r="218" spans="1:7" ht="15.75" x14ac:dyDescent="0.25">
      <c r="A218" s="24"/>
      <c r="B218" s="174"/>
      <c r="C218" s="24"/>
      <c r="D218" s="24"/>
      <c r="E218" s="24"/>
      <c r="F218" s="114"/>
      <c r="G218" s="114"/>
    </row>
    <row r="219" spans="1:7" ht="15.75" x14ac:dyDescent="0.25">
      <c r="A219" s="24"/>
      <c r="B219" s="174"/>
      <c r="C219" s="24"/>
      <c r="D219" s="24"/>
      <c r="E219" s="24"/>
      <c r="F219" s="114"/>
      <c r="G219" s="114"/>
    </row>
    <row r="220" spans="1:7" ht="15.75" x14ac:dyDescent="0.25">
      <c r="A220" s="24"/>
      <c r="B220" s="174"/>
      <c r="C220" s="24"/>
      <c r="D220" s="24"/>
      <c r="E220" s="24"/>
      <c r="F220" s="114"/>
      <c r="G220" s="114"/>
    </row>
    <row r="221" spans="1:7" ht="15.75" x14ac:dyDescent="0.25">
      <c r="A221" s="24"/>
      <c r="B221" s="174"/>
      <c r="C221" s="24"/>
      <c r="D221" s="24"/>
      <c r="E221" s="24"/>
      <c r="F221" s="114"/>
      <c r="G221" s="114"/>
    </row>
    <row r="222" spans="1:7" ht="15.75" x14ac:dyDescent="0.25">
      <c r="A222" s="24"/>
      <c r="B222" s="174"/>
      <c r="C222" s="24"/>
      <c r="D222" s="24"/>
      <c r="E222" s="24"/>
      <c r="F222" s="114"/>
      <c r="G222" s="114"/>
    </row>
    <row r="223" spans="1:7" ht="15.75" x14ac:dyDescent="0.25">
      <c r="A223" s="24"/>
      <c r="B223" s="174"/>
      <c r="C223" s="24"/>
      <c r="D223" s="24"/>
      <c r="E223" s="24"/>
      <c r="F223" s="114"/>
      <c r="G223" s="114"/>
    </row>
    <row r="224" spans="1:7" ht="15.75" x14ac:dyDescent="0.25">
      <c r="A224" s="24"/>
      <c r="B224" s="174"/>
      <c r="C224" s="24"/>
      <c r="D224" s="24"/>
      <c r="E224" s="24"/>
      <c r="F224" s="114"/>
      <c r="G224" s="114"/>
    </row>
    <row r="225" spans="1:7" ht="15.75" x14ac:dyDescent="0.25">
      <c r="A225" s="24"/>
      <c r="B225" s="174"/>
      <c r="C225" s="24"/>
      <c r="D225" s="24"/>
      <c r="E225" s="24"/>
      <c r="F225" s="114"/>
      <c r="G225" s="114"/>
    </row>
    <row r="226" spans="1:7" ht="15.75" x14ac:dyDescent="0.25">
      <c r="A226" s="24"/>
      <c r="B226" s="174"/>
      <c r="C226" s="24"/>
      <c r="D226" s="24"/>
      <c r="E226" s="24"/>
      <c r="F226" s="114"/>
      <c r="G226" s="114"/>
    </row>
    <row r="227" spans="1:7" ht="15.75" x14ac:dyDescent="0.25">
      <c r="A227" s="24"/>
      <c r="B227" s="174"/>
      <c r="C227" s="24"/>
      <c r="D227" s="24"/>
      <c r="E227" s="24"/>
      <c r="F227" s="114"/>
      <c r="G227" s="114"/>
    </row>
    <row r="228" spans="1:7" ht="15.75" x14ac:dyDescent="0.25">
      <c r="A228" s="24"/>
      <c r="B228" s="174"/>
      <c r="C228" s="24"/>
      <c r="D228" s="24"/>
      <c r="E228" s="24"/>
      <c r="F228" s="114"/>
      <c r="G228" s="114"/>
    </row>
    <row r="229" spans="1:7" ht="15.75" x14ac:dyDescent="0.25">
      <c r="A229" s="24"/>
      <c r="B229" s="174"/>
      <c r="C229" s="24"/>
      <c r="D229" s="24"/>
      <c r="E229" s="24"/>
      <c r="F229" s="114"/>
      <c r="G229" s="114"/>
    </row>
    <row r="230" spans="1:7" ht="15.75" x14ac:dyDescent="0.25">
      <c r="A230" s="24"/>
      <c r="B230" s="174"/>
      <c r="C230" s="24"/>
      <c r="D230" s="24"/>
      <c r="E230" s="24"/>
      <c r="F230" s="114"/>
      <c r="G230" s="114"/>
    </row>
    <row r="231" spans="1:7" ht="15.75" x14ac:dyDescent="0.25">
      <c r="A231" s="24"/>
      <c r="B231" s="174"/>
      <c r="C231" s="24"/>
      <c r="D231" s="24"/>
      <c r="E231" s="24"/>
      <c r="F231" s="114"/>
      <c r="G231" s="114"/>
    </row>
    <row r="232" spans="1:7" ht="15.75" x14ac:dyDescent="0.25">
      <c r="A232" s="24"/>
      <c r="B232" s="174"/>
      <c r="C232" s="24"/>
      <c r="D232" s="24"/>
      <c r="E232" s="24"/>
      <c r="F232" s="114"/>
      <c r="G232" s="114"/>
    </row>
    <row r="233" spans="1:7" ht="15.75" x14ac:dyDescent="0.25">
      <c r="A233" s="24"/>
      <c r="B233" s="174"/>
      <c r="C233" s="24"/>
      <c r="D233" s="24"/>
      <c r="E233" s="24"/>
      <c r="F233" s="114"/>
      <c r="G233" s="114"/>
    </row>
    <row r="234" spans="1:7" ht="15.75" x14ac:dyDescent="0.25">
      <c r="A234" s="24"/>
      <c r="B234" s="174"/>
      <c r="C234" s="24"/>
      <c r="D234" s="24"/>
      <c r="E234" s="24"/>
      <c r="F234" s="114"/>
      <c r="G234" s="114"/>
    </row>
    <row r="235" spans="1:7" ht="15.75" x14ac:dyDescent="0.25">
      <c r="A235" s="24"/>
      <c r="B235" s="174"/>
      <c r="C235" s="24"/>
      <c r="D235" s="24"/>
      <c r="E235" s="24"/>
      <c r="F235" s="114"/>
      <c r="G235" s="114"/>
    </row>
    <row r="236" spans="1:7" ht="15.75" x14ac:dyDescent="0.25">
      <c r="A236" s="24"/>
      <c r="B236" s="174"/>
      <c r="C236" s="24"/>
      <c r="D236" s="24"/>
      <c r="E236" s="24"/>
      <c r="F236" s="114"/>
      <c r="G236" s="114"/>
    </row>
    <row r="237" spans="1:7" ht="15.75" x14ac:dyDescent="0.25">
      <c r="A237" s="24"/>
      <c r="B237" s="174"/>
      <c r="C237" s="24"/>
      <c r="D237" s="24"/>
      <c r="E237" s="24"/>
      <c r="F237" s="114"/>
      <c r="G237" s="114"/>
    </row>
    <row r="238" spans="1:7" ht="15.75" x14ac:dyDescent="0.25">
      <c r="A238" s="24"/>
      <c r="B238" s="174"/>
      <c r="C238" s="24"/>
      <c r="D238" s="24"/>
      <c r="E238" s="24"/>
      <c r="F238" s="114"/>
      <c r="G238" s="114"/>
    </row>
    <row r="239" spans="1:7" ht="15.75" x14ac:dyDescent="0.25">
      <c r="A239" s="24"/>
      <c r="B239" s="174"/>
      <c r="C239" s="24"/>
      <c r="D239" s="24"/>
      <c r="E239" s="24"/>
      <c r="F239" s="114"/>
      <c r="G239" s="114"/>
    </row>
    <row r="240" spans="1:7" ht="15.75" x14ac:dyDescent="0.25">
      <c r="A240" s="24"/>
      <c r="B240" s="174"/>
      <c r="C240" s="24"/>
      <c r="D240" s="24"/>
      <c r="E240" s="24"/>
      <c r="F240" s="114"/>
      <c r="G240" s="114"/>
    </row>
    <row r="241" spans="1:7" ht="15.75" x14ac:dyDescent="0.25">
      <c r="A241" s="24"/>
      <c r="B241" s="174"/>
      <c r="C241" s="24"/>
      <c r="D241" s="24"/>
      <c r="E241" s="24"/>
      <c r="F241" s="114"/>
      <c r="G241" s="114"/>
    </row>
  </sheetData>
  <mergeCells count="7">
    <mergeCell ref="A6:G6"/>
    <mergeCell ref="A7:A10"/>
    <mergeCell ref="B7:B10"/>
    <mergeCell ref="C7:C8"/>
    <mergeCell ref="D7:F7"/>
    <mergeCell ref="G7:G8"/>
    <mergeCell ref="F8:F9"/>
  </mergeCells>
  <pageMargins left="0.39370078740157483" right="0.39370078740157483" top="0.39370078740157483" bottom="0.39370078740157483" header="0" footer="0"/>
  <pageSetup paperSize="9"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6"/>
  <sheetViews>
    <sheetView view="pageBreakPreview" zoomScale="130" zoomScaleNormal="100" zoomScaleSheetLayoutView="130" workbookViewId="0">
      <selection activeCell="A6" sqref="A6"/>
    </sheetView>
  </sheetViews>
  <sheetFormatPr defaultColWidth="14.42578125" defaultRowHeight="15" customHeight="1" x14ac:dyDescent="0.25"/>
  <cols>
    <col min="1" max="1" width="77.7109375" customWidth="1"/>
    <col min="2" max="2" width="15" customWidth="1"/>
    <col min="3" max="6" width="17.85546875" hidden="1" customWidth="1"/>
    <col min="7" max="7" width="17.85546875" customWidth="1"/>
    <col min="8" max="8" width="14.7109375" customWidth="1"/>
    <col min="9" max="26" width="10.28515625" customWidth="1"/>
  </cols>
  <sheetData>
    <row r="1" spans="1:26" ht="15.75" customHeight="1" x14ac:dyDescent="0.25">
      <c r="A1" s="9"/>
      <c r="B1" s="10"/>
      <c r="C1" s="11"/>
      <c r="D1" s="11"/>
      <c r="E1" s="11"/>
      <c r="F1" s="10"/>
      <c r="G1" s="13"/>
      <c r="H1" s="14"/>
      <c r="I1" s="167"/>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67"/>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67"/>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67"/>
      <c r="J4" s="15"/>
      <c r="K4" s="15"/>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67"/>
      <c r="J5" s="15"/>
      <c r="K5" s="15"/>
      <c r="L5" s="15"/>
      <c r="M5" s="15"/>
      <c r="N5" s="15"/>
      <c r="O5" s="15"/>
      <c r="P5" s="15"/>
      <c r="Q5" s="15"/>
      <c r="R5" s="15"/>
      <c r="S5" s="15"/>
      <c r="T5" s="15"/>
      <c r="U5" s="15"/>
      <c r="V5" s="15"/>
      <c r="W5" s="15"/>
      <c r="X5" s="15"/>
      <c r="Y5" s="15"/>
      <c r="Z5" s="15"/>
    </row>
    <row r="6" spans="1:26" ht="15.75" customHeight="1" x14ac:dyDescent="0.25">
      <c r="A6" s="17" t="s">
        <v>1527</v>
      </c>
      <c r="B6" s="24"/>
      <c r="C6" s="25"/>
      <c r="D6" s="25"/>
      <c r="E6" s="25"/>
      <c r="F6" s="24"/>
      <c r="G6" s="19"/>
      <c r="H6" s="14"/>
      <c r="I6" s="167"/>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67"/>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67"/>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67"/>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67"/>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67"/>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67"/>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I13" s="212"/>
      <c r="J13" s="114"/>
      <c r="K13" s="114"/>
      <c r="L13" s="114"/>
      <c r="M13" s="114"/>
      <c r="N13" s="114"/>
      <c r="O13" s="114"/>
      <c r="P13" s="114"/>
      <c r="Q13" s="114"/>
      <c r="R13" s="114"/>
      <c r="S13" s="114"/>
      <c r="T13" s="114"/>
      <c r="U13" s="114"/>
      <c r="V13" s="114"/>
      <c r="W13" s="114"/>
      <c r="X13" s="114"/>
      <c r="Y13" s="114"/>
      <c r="Z13" s="114"/>
    </row>
    <row r="14" spans="1:26" ht="15.75" customHeight="1" x14ac:dyDescent="0.25">
      <c r="A14" s="17" t="s">
        <v>365</v>
      </c>
      <c r="B14" s="172"/>
      <c r="C14" s="42"/>
      <c r="D14" s="42"/>
      <c r="E14" s="42"/>
      <c r="F14" s="42"/>
      <c r="G14" s="42"/>
      <c r="H14" s="7"/>
      <c r="I14" s="212"/>
      <c r="J14" s="114"/>
      <c r="K14" s="114"/>
      <c r="L14" s="114"/>
      <c r="M14" s="114"/>
      <c r="N14" s="114"/>
      <c r="O14" s="114"/>
      <c r="P14" s="114"/>
      <c r="Q14" s="114"/>
      <c r="R14" s="114"/>
      <c r="S14" s="114"/>
      <c r="T14" s="114"/>
      <c r="U14" s="114"/>
      <c r="V14" s="114"/>
      <c r="W14" s="114"/>
      <c r="X14" s="114"/>
      <c r="Y14" s="114"/>
      <c r="Z14" s="114"/>
    </row>
    <row r="15" spans="1:26" ht="15.75" customHeight="1" x14ac:dyDescent="0.25">
      <c r="A15" s="17" t="s">
        <v>366</v>
      </c>
      <c r="B15" s="172"/>
      <c r="C15" s="42"/>
      <c r="D15" s="42"/>
      <c r="E15" s="42"/>
      <c r="F15" s="42"/>
      <c r="G15" s="42"/>
      <c r="H15" s="7"/>
      <c r="I15" s="212"/>
      <c r="J15" s="114"/>
      <c r="K15" s="114"/>
      <c r="L15" s="114"/>
      <c r="M15" s="114"/>
      <c r="N15" s="114"/>
      <c r="O15" s="114"/>
      <c r="P15" s="114"/>
      <c r="Q15" s="114"/>
      <c r="R15" s="114"/>
      <c r="S15" s="114"/>
      <c r="T15" s="114"/>
      <c r="U15" s="114"/>
      <c r="V15" s="114"/>
      <c r="W15" s="114"/>
      <c r="X15" s="114"/>
      <c r="Y15" s="114"/>
      <c r="Z15" s="114"/>
    </row>
    <row r="16" spans="1:26" ht="15.75" customHeight="1" x14ac:dyDescent="0.25">
      <c r="A16" s="44" t="s">
        <v>367</v>
      </c>
      <c r="B16" s="41" t="s">
        <v>121</v>
      </c>
      <c r="C16" s="43">
        <v>10769643.890000001</v>
      </c>
      <c r="D16" s="43">
        <v>5561796.0300000003</v>
      </c>
      <c r="E16" s="43">
        <f>+F16-D16</f>
        <v>8619035.9699999988</v>
      </c>
      <c r="F16" s="43">
        <v>14180832</v>
      </c>
      <c r="G16" s="43">
        <v>14869932</v>
      </c>
      <c r="H16" s="7"/>
      <c r="I16" s="212"/>
      <c r="J16" s="114"/>
      <c r="K16" s="114"/>
      <c r="L16" s="114"/>
      <c r="M16" s="114"/>
      <c r="N16" s="114"/>
      <c r="O16" s="114"/>
      <c r="P16" s="114"/>
      <c r="Q16" s="114"/>
      <c r="R16" s="114"/>
      <c r="S16" s="114"/>
      <c r="T16" s="114"/>
      <c r="U16" s="114"/>
      <c r="V16" s="114"/>
      <c r="W16" s="114"/>
      <c r="X16" s="114"/>
      <c r="Y16" s="114"/>
      <c r="Z16" s="114"/>
    </row>
    <row r="17" spans="1:26" ht="15.75" customHeight="1" x14ac:dyDescent="0.25">
      <c r="A17" s="17" t="s">
        <v>368</v>
      </c>
      <c r="B17" s="41"/>
      <c r="C17" s="43"/>
      <c r="D17" s="43"/>
      <c r="E17" s="43"/>
      <c r="F17" s="43"/>
      <c r="G17" s="43"/>
      <c r="H17" s="7"/>
      <c r="I17" s="212"/>
      <c r="J17" s="114"/>
      <c r="K17" s="114"/>
      <c r="L17" s="114"/>
      <c r="M17" s="114"/>
      <c r="N17" s="114"/>
      <c r="O17" s="114"/>
      <c r="P17" s="114"/>
      <c r="Q17" s="114"/>
      <c r="R17" s="114"/>
      <c r="S17" s="114"/>
      <c r="T17" s="114"/>
      <c r="U17" s="114"/>
      <c r="V17" s="114"/>
      <c r="W17" s="114"/>
      <c r="X17" s="114"/>
      <c r="Y17" s="114"/>
      <c r="Z17" s="114"/>
    </row>
    <row r="18" spans="1:26" ht="15.75" customHeight="1" x14ac:dyDescent="0.25">
      <c r="A18" s="44" t="s">
        <v>369</v>
      </c>
      <c r="B18" s="41" t="s">
        <v>125</v>
      </c>
      <c r="C18" s="43">
        <v>419914.95</v>
      </c>
      <c r="D18" s="43">
        <v>214000</v>
      </c>
      <c r="E18" s="43">
        <f t="shared" ref="E18:E21" si="0">+F18-D18</f>
        <v>338000</v>
      </c>
      <c r="F18" s="43">
        <v>552000</v>
      </c>
      <c r="G18" s="43">
        <v>552000</v>
      </c>
      <c r="H18" s="14"/>
      <c r="I18" s="167"/>
      <c r="J18" s="15"/>
      <c r="K18" s="15"/>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211500</v>
      </c>
      <c r="D19" s="43">
        <v>105875</v>
      </c>
      <c r="E19" s="43">
        <f t="shared" si="0"/>
        <v>110125</v>
      </c>
      <c r="F19" s="43">
        <v>216000</v>
      </c>
      <c r="G19" s="43">
        <v>216000</v>
      </c>
      <c r="H19" s="14"/>
      <c r="I19" s="167"/>
      <c r="J19" s="15"/>
      <c r="K19" s="15"/>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211500</v>
      </c>
      <c r="D20" s="43">
        <v>105875</v>
      </c>
      <c r="E20" s="43">
        <f t="shared" si="0"/>
        <v>110125</v>
      </c>
      <c r="F20" s="43">
        <v>216000</v>
      </c>
      <c r="G20" s="43">
        <v>216000</v>
      </c>
      <c r="H20" s="14"/>
      <c r="I20" s="167"/>
      <c r="J20" s="15"/>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119000</v>
      </c>
      <c r="D21" s="43">
        <v>126000</v>
      </c>
      <c r="E21" s="43">
        <f t="shared" si="0"/>
        <v>35000</v>
      </c>
      <c r="F21" s="43">
        <v>161000</v>
      </c>
      <c r="G21" s="43">
        <v>161000</v>
      </c>
      <c r="H21" s="14"/>
      <c r="I21" s="167"/>
      <c r="J21" s="15"/>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939648.6</v>
      </c>
      <c r="D22" s="43">
        <v>0</v>
      </c>
      <c r="E22" s="43">
        <v>1181736</v>
      </c>
      <c r="F22" s="43">
        <v>1181736</v>
      </c>
      <c r="G22" s="43">
        <v>1239161</v>
      </c>
      <c r="H22" s="14"/>
      <c r="I22" s="167"/>
      <c r="J22" s="15"/>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89000</v>
      </c>
      <c r="D23" s="43">
        <v>0</v>
      </c>
      <c r="E23" s="43">
        <f>+F23-D23</f>
        <v>115000</v>
      </c>
      <c r="F23" s="43">
        <v>115000</v>
      </c>
      <c r="G23" s="43">
        <v>115000</v>
      </c>
      <c r="H23" s="14"/>
      <c r="I23" s="167"/>
      <c r="J23" s="15"/>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4"/>
      <c r="I24" s="167"/>
      <c r="J24" s="15"/>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10000</v>
      </c>
      <c r="D25" s="43">
        <v>5000</v>
      </c>
      <c r="E25" s="43">
        <f>+F25-D25</f>
        <v>10000</v>
      </c>
      <c r="F25" s="43">
        <v>15000</v>
      </c>
      <c r="G25" s="43">
        <v>15000</v>
      </c>
      <c r="H25" s="14"/>
      <c r="I25" s="167"/>
      <c r="J25" s="15"/>
      <c r="K25" s="15"/>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c r="D26" s="43">
        <v>45000</v>
      </c>
      <c r="E26" s="43">
        <v>24000</v>
      </c>
      <c r="F26" s="43">
        <v>69000</v>
      </c>
      <c r="G26" s="43">
        <v>0</v>
      </c>
      <c r="H26" s="14"/>
      <c r="I26" s="167"/>
      <c r="J26" s="15"/>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824711</v>
      </c>
      <c r="D27" s="43">
        <v>947690</v>
      </c>
      <c r="E27" s="43">
        <f t="shared" ref="E27:E28" si="1">+F27-D27</f>
        <v>234046</v>
      </c>
      <c r="F27" s="43">
        <v>1181736</v>
      </c>
      <c r="G27" s="43">
        <v>1239161</v>
      </c>
      <c r="H27" s="14"/>
      <c r="I27" s="167"/>
      <c r="J27" s="15"/>
      <c r="K27" s="15"/>
      <c r="L27" s="15"/>
      <c r="M27" s="15"/>
      <c r="N27" s="15"/>
      <c r="O27" s="15"/>
      <c r="P27" s="15"/>
      <c r="Q27" s="15"/>
      <c r="R27" s="15"/>
      <c r="S27" s="15"/>
      <c r="T27" s="15"/>
      <c r="U27" s="15"/>
      <c r="V27" s="15"/>
      <c r="W27" s="15"/>
      <c r="X27" s="15"/>
      <c r="Y27" s="15"/>
      <c r="Z27" s="15"/>
    </row>
    <row r="28" spans="1:26" ht="15.75" customHeight="1" x14ac:dyDescent="0.25">
      <c r="A28" s="44" t="s">
        <v>1528</v>
      </c>
      <c r="B28" s="41" t="s">
        <v>163</v>
      </c>
      <c r="C28" s="43"/>
      <c r="D28" s="43">
        <v>0</v>
      </c>
      <c r="E28" s="43">
        <f t="shared" si="1"/>
        <v>0</v>
      </c>
      <c r="F28" s="43"/>
      <c r="G28" s="43"/>
      <c r="H28" s="7"/>
      <c r="I28" s="212"/>
      <c r="J28" s="114"/>
      <c r="K28" s="114"/>
      <c r="L28" s="114"/>
      <c r="M28" s="114"/>
      <c r="N28" s="114"/>
      <c r="O28" s="114"/>
      <c r="P28" s="114"/>
      <c r="Q28" s="114"/>
      <c r="R28" s="114"/>
      <c r="S28" s="114"/>
      <c r="T28" s="114"/>
      <c r="U28" s="114"/>
      <c r="V28" s="114"/>
      <c r="W28" s="114"/>
      <c r="X28" s="114"/>
      <c r="Y28" s="114"/>
      <c r="Z28" s="114"/>
    </row>
    <row r="29" spans="1:26" ht="15.75" customHeight="1" x14ac:dyDescent="0.25">
      <c r="A29" s="17" t="s">
        <v>380</v>
      </c>
      <c r="B29" s="41"/>
      <c r="C29" s="43"/>
      <c r="D29" s="43"/>
      <c r="E29" s="43"/>
      <c r="F29" s="43"/>
      <c r="G29" s="43"/>
      <c r="H29" s="14"/>
      <c r="I29" s="167"/>
      <c r="J29" s="15"/>
      <c r="K29" s="15"/>
      <c r="L29" s="15"/>
      <c r="M29" s="15"/>
      <c r="N29" s="15"/>
      <c r="O29" s="15"/>
      <c r="P29" s="15"/>
      <c r="Q29" s="15"/>
      <c r="R29" s="15"/>
      <c r="S29" s="15"/>
      <c r="T29" s="15"/>
      <c r="U29" s="15"/>
      <c r="V29" s="15"/>
      <c r="W29" s="15"/>
      <c r="X29" s="15"/>
      <c r="Y29" s="15"/>
      <c r="Z29" s="15"/>
    </row>
    <row r="30" spans="1:26" ht="15.75" customHeight="1" x14ac:dyDescent="0.25">
      <c r="A30" s="44" t="s">
        <v>381</v>
      </c>
      <c r="B30" s="41" t="s">
        <v>165</v>
      </c>
      <c r="C30" s="43">
        <v>1292965.68</v>
      </c>
      <c r="D30" s="43">
        <v>667415.52</v>
      </c>
      <c r="E30" s="43">
        <f t="shared" ref="E30:E33" si="2">+F30-D30</f>
        <v>1034284.48</v>
      </c>
      <c r="F30" s="43">
        <v>1701700</v>
      </c>
      <c r="G30" s="43">
        <v>1784392</v>
      </c>
      <c r="H30" s="14"/>
      <c r="I30" s="167"/>
      <c r="J30" s="15"/>
      <c r="K30" s="15"/>
      <c r="L30" s="15"/>
      <c r="M30" s="15"/>
      <c r="N30" s="15"/>
      <c r="O30" s="15"/>
      <c r="P30" s="15"/>
      <c r="Q30" s="15"/>
      <c r="R30" s="15"/>
      <c r="S30" s="15"/>
      <c r="T30" s="15"/>
      <c r="U30" s="15"/>
      <c r="V30" s="15"/>
      <c r="W30" s="15"/>
      <c r="X30" s="15"/>
      <c r="Y30" s="15"/>
      <c r="Z30" s="15"/>
    </row>
    <row r="31" spans="1:26" ht="15.75" customHeight="1" x14ac:dyDescent="0.25">
      <c r="A31" s="44" t="s">
        <v>382</v>
      </c>
      <c r="B31" s="41" t="s">
        <v>167</v>
      </c>
      <c r="C31" s="43">
        <v>215494.26</v>
      </c>
      <c r="D31" s="43">
        <v>111235.92</v>
      </c>
      <c r="E31" s="43">
        <f t="shared" si="2"/>
        <v>172381.08000000002</v>
      </c>
      <c r="F31" s="43">
        <v>283617</v>
      </c>
      <c r="G31" s="43">
        <v>297399</v>
      </c>
      <c r="H31" s="14"/>
      <c r="I31" s="167"/>
      <c r="J31" s="15"/>
      <c r="K31" s="15"/>
      <c r="L31" s="15"/>
      <c r="M31" s="15"/>
      <c r="N31" s="15"/>
      <c r="O31" s="15"/>
      <c r="P31" s="15"/>
      <c r="Q31" s="15"/>
      <c r="R31" s="15"/>
      <c r="S31" s="15"/>
      <c r="T31" s="15"/>
      <c r="U31" s="15"/>
      <c r="V31" s="15"/>
      <c r="W31" s="15"/>
      <c r="X31" s="15"/>
      <c r="Y31" s="15"/>
      <c r="Z31" s="15"/>
    </row>
    <row r="32" spans="1:26" ht="15.75" customHeight="1" x14ac:dyDescent="0.25">
      <c r="A32" s="44" t="s">
        <v>383</v>
      </c>
      <c r="B32" s="41" t="s">
        <v>169</v>
      </c>
      <c r="C32" s="43">
        <v>263344.13</v>
      </c>
      <c r="D32" s="43">
        <v>136154.97</v>
      </c>
      <c r="E32" s="43">
        <f t="shared" si="2"/>
        <v>211439.03</v>
      </c>
      <c r="F32" s="43">
        <v>347594</v>
      </c>
      <c r="G32" s="43">
        <v>362686</v>
      </c>
      <c r="H32" s="14"/>
      <c r="I32" s="167"/>
      <c r="J32" s="15"/>
      <c r="K32" s="15"/>
      <c r="L32" s="15"/>
      <c r="M32" s="15"/>
      <c r="N32" s="15"/>
      <c r="O32" s="15"/>
      <c r="P32" s="15"/>
      <c r="Q32" s="15"/>
      <c r="R32" s="15"/>
      <c r="S32" s="15"/>
      <c r="T32" s="15"/>
      <c r="U32" s="15"/>
      <c r="V32" s="15"/>
      <c r="W32" s="15"/>
      <c r="X32" s="15"/>
      <c r="Y32" s="15"/>
      <c r="Z32" s="15"/>
    </row>
    <row r="33" spans="1:26" ht="15.75" customHeight="1" x14ac:dyDescent="0.25">
      <c r="A33" s="44" t="s">
        <v>384</v>
      </c>
      <c r="B33" s="41" t="s">
        <v>171</v>
      </c>
      <c r="C33" s="43">
        <v>21200</v>
      </c>
      <c r="D33" s="43">
        <v>10700</v>
      </c>
      <c r="E33" s="43">
        <f t="shared" si="2"/>
        <v>16900</v>
      </c>
      <c r="F33" s="43">
        <v>27600</v>
      </c>
      <c r="G33" s="43">
        <v>27600</v>
      </c>
      <c r="H33" s="14"/>
      <c r="I33" s="167"/>
      <c r="J33" s="15"/>
      <c r="K33" s="15"/>
      <c r="L33" s="15"/>
      <c r="M33" s="15"/>
      <c r="N33" s="15"/>
      <c r="O33" s="15"/>
      <c r="P33" s="15"/>
      <c r="Q33" s="15"/>
      <c r="R33" s="15"/>
      <c r="S33" s="15"/>
      <c r="T33" s="15"/>
      <c r="U33" s="15"/>
      <c r="V33" s="15"/>
      <c r="W33" s="15"/>
      <c r="X33" s="15"/>
      <c r="Y33" s="15"/>
      <c r="Z33" s="15"/>
    </row>
    <row r="34" spans="1:26" ht="15.75" customHeight="1" x14ac:dyDescent="0.25">
      <c r="A34" s="17" t="s">
        <v>624</v>
      </c>
      <c r="B34" s="41"/>
      <c r="C34" s="43"/>
      <c r="D34" s="43"/>
      <c r="E34" s="43"/>
      <c r="F34" s="43"/>
      <c r="G34" s="43"/>
      <c r="H34" s="14"/>
      <c r="I34" s="167"/>
      <c r="J34" s="15"/>
      <c r="K34" s="15"/>
      <c r="L34" s="15"/>
      <c r="M34" s="15"/>
      <c r="N34" s="15"/>
      <c r="O34" s="15"/>
      <c r="P34" s="15"/>
      <c r="Q34" s="15"/>
      <c r="R34" s="15"/>
      <c r="S34" s="15"/>
      <c r="T34" s="15"/>
      <c r="U34" s="15"/>
      <c r="V34" s="15"/>
      <c r="W34" s="15"/>
      <c r="X34" s="15"/>
      <c r="Y34" s="15"/>
      <c r="Z34" s="15"/>
    </row>
    <row r="35" spans="1:26" ht="15.75" customHeight="1" x14ac:dyDescent="0.25">
      <c r="A35" s="44" t="s">
        <v>386</v>
      </c>
      <c r="B35" s="41" t="s">
        <v>179</v>
      </c>
      <c r="C35" s="43">
        <v>40045.760000000002</v>
      </c>
      <c r="D35" s="43">
        <v>0</v>
      </c>
      <c r="E35" s="43">
        <v>550352</v>
      </c>
      <c r="F35" s="43">
        <v>550352</v>
      </c>
      <c r="G35" s="43">
        <v>0</v>
      </c>
      <c r="H35" s="14"/>
      <c r="I35" s="167"/>
      <c r="J35" s="15"/>
      <c r="K35" s="15"/>
      <c r="L35" s="15"/>
      <c r="M35" s="15"/>
      <c r="N35" s="15"/>
      <c r="O35" s="15"/>
      <c r="P35" s="15"/>
      <c r="Q35" s="15"/>
      <c r="R35" s="15"/>
      <c r="S35" s="15"/>
      <c r="T35" s="15"/>
      <c r="U35" s="15"/>
      <c r="V35" s="15"/>
      <c r="W35" s="15"/>
      <c r="X35" s="15"/>
      <c r="Y35" s="15"/>
      <c r="Z35" s="15"/>
    </row>
    <row r="36" spans="1:26" ht="15.75" customHeight="1" x14ac:dyDescent="0.25">
      <c r="A36" s="44" t="s">
        <v>387</v>
      </c>
      <c r="B36" s="41" t="s">
        <v>181</v>
      </c>
      <c r="C36" s="43">
        <v>102609.58</v>
      </c>
      <c r="D36" s="43">
        <v>148357.12</v>
      </c>
      <c r="E36" s="43">
        <f t="shared" ref="E36:E37" si="3">+F36-D36</f>
        <v>421153.88</v>
      </c>
      <c r="F36" s="43">
        <v>569511</v>
      </c>
      <c r="G36" s="43">
        <v>597186</v>
      </c>
      <c r="H36" s="14"/>
      <c r="I36" s="167"/>
      <c r="J36" s="15"/>
      <c r="K36" s="15"/>
      <c r="L36" s="15"/>
      <c r="M36" s="15"/>
      <c r="N36" s="15"/>
      <c r="O36" s="15"/>
      <c r="P36" s="15"/>
      <c r="Q36" s="15"/>
      <c r="R36" s="15"/>
      <c r="S36" s="15"/>
      <c r="T36" s="15"/>
      <c r="U36" s="15"/>
      <c r="V36" s="15"/>
      <c r="W36" s="15"/>
      <c r="X36" s="15"/>
      <c r="Y36" s="15"/>
      <c r="Z36" s="15"/>
    </row>
    <row r="37" spans="1:26" ht="15.75" customHeight="1" x14ac:dyDescent="0.25">
      <c r="A37" s="44" t="s">
        <v>388</v>
      </c>
      <c r="B37" s="41" t="s">
        <v>183</v>
      </c>
      <c r="C37" s="43">
        <v>86500</v>
      </c>
      <c r="D37" s="43">
        <v>0</v>
      </c>
      <c r="E37" s="43">
        <f t="shared" si="3"/>
        <v>115000</v>
      </c>
      <c r="F37" s="43">
        <v>115000</v>
      </c>
      <c r="G37" s="43">
        <v>115000</v>
      </c>
      <c r="H37" s="14"/>
      <c r="I37" s="167"/>
      <c r="J37" s="15"/>
      <c r="K37" s="15"/>
      <c r="L37" s="15"/>
      <c r="M37" s="15"/>
      <c r="N37" s="15"/>
      <c r="O37" s="15"/>
      <c r="P37" s="15"/>
      <c r="Q37" s="15"/>
      <c r="R37" s="15"/>
      <c r="S37" s="15"/>
      <c r="T37" s="15"/>
      <c r="U37" s="15"/>
      <c r="V37" s="15"/>
      <c r="W37" s="15"/>
      <c r="X37" s="15"/>
      <c r="Y37" s="15"/>
      <c r="Z37" s="15"/>
    </row>
    <row r="38" spans="1:26" ht="31.5" x14ac:dyDescent="0.25">
      <c r="A38" s="117" t="s">
        <v>625</v>
      </c>
      <c r="B38" s="41"/>
      <c r="C38" s="43">
        <v>0</v>
      </c>
      <c r="D38" s="43">
        <v>0</v>
      </c>
      <c r="E38" s="43">
        <v>0</v>
      </c>
      <c r="F38" s="43">
        <v>0</v>
      </c>
      <c r="G38" s="43">
        <v>422145</v>
      </c>
      <c r="H38" s="14"/>
      <c r="I38" s="167"/>
      <c r="J38" s="15"/>
      <c r="K38" s="15"/>
      <c r="L38" s="15"/>
      <c r="M38" s="15"/>
      <c r="N38" s="15"/>
      <c r="O38" s="15"/>
      <c r="P38" s="15"/>
      <c r="Q38" s="15"/>
      <c r="R38" s="15"/>
      <c r="S38" s="15"/>
      <c r="T38" s="15"/>
      <c r="U38" s="15"/>
      <c r="V38" s="15"/>
      <c r="W38" s="15"/>
      <c r="X38" s="15"/>
      <c r="Y38" s="15"/>
      <c r="Z38" s="15"/>
    </row>
    <row r="39" spans="1:26" ht="15.75" customHeight="1" x14ac:dyDescent="0.25">
      <c r="A39" s="446" t="s">
        <v>632</v>
      </c>
      <c r="B39" s="437"/>
      <c r="C39" s="54">
        <f t="shared" ref="C39:G39" si="4">+SUM(C16:C38)</f>
        <v>15617077.85</v>
      </c>
      <c r="D39" s="54">
        <f t="shared" si="4"/>
        <v>8185099.5600000005</v>
      </c>
      <c r="E39" s="54">
        <f t="shared" si="4"/>
        <v>13298578.439999999</v>
      </c>
      <c r="F39" s="54">
        <f t="shared" si="4"/>
        <v>21483678</v>
      </c>
      <c r="G39" s="54">
        <f t="shared" si="4"/>
        <v>22229662</v>
      </c>
      <c r="H39" s="193"/>
      <c r="I39" s="263"/>
      <c r="J39" s="232"/>
      <c r="K39" s="232"/>
      <c r="L39" s="232"/>
      <c r="M39" s="232"/>
      <c r="N39" s="232"/>
      <c r="O39" s="232"/>
      <c r="P39" s="232"/>
      <c r="Q39" s="232"/>
      <c r="R39" s="232"/>
      <c r="S39" s="232"/>
      <c r="T39" s="232"/>
      <c r="U39" s="232"/>
      <c r="V39" s="232"/>
      <c r="W39" s="232"/>
      <c r="X39" s="232"/>
      <c r="Y39" s="232"/>
      <c r="Z39" s="232"/>
    </row>
    <row r="40" spans="1:26" ht="15.75" customHeight="1" x14ac:dyDescent="0.25">
      <c r="A40" s="456"/>
      <c r="B40" s="461"/>
      <c r="C40" s="449"/>
      <c r="D40" s="55"/>
      <c r="E40" s="55"/>
      <c r="F40" s="55"/>
      <c r="G40" s="55"/>
      <c r="H40" s="12"/>
      <c r="I40" s="265"/>
      <c r="J40" s="10"/>
      <c r="K40" s="10"/>
      <c r="L40" s="10"/>
      <c r="M40" s="10"/>
      <c r="N40" s="10"/>
      <c r="O40" s="10"/>
      <c r="P40" s="10"/>
      <c r="Q40" s="10"/>
      <c r="R40" s="10"/>
      <c r="S40" s="10"/>
      <c r="T40" s="10"/>
      <c r="U40" s="10"/>
      <c r="V40" s="10"/>
      <c r="W40" s="10"/>
      <c r="X40" s="10"/>
      <c r="Y40" s="10"/>
      <c r="Z40" s="10"/>
    </row>
    <row r="41" spans="1:26" ht="15.75" customHeight="1" x14ac:dyDescent="0.25">
      <c r="A41" s="42" t="s">
        <v>391</v>
      </c>
      <c r="B41" s="41"/>
      <c r="C41" s="43"/>
      <c r="D41" s="43"/>
      <c r="E41" s="43"/>
      <c r="F41" s="43"/>
      <c r="G41" s="43"/>
      <c r="H41" s="14"/>
      <c r="I41" s="167"/>
      <c r="J41" s="15"/>
      <c r="K41" s="15"/>
      <c r="L41" s="15"/>
      <c r="M41" s="15"/>
      <c r="N41" s="15"/>
      <c r="O41" s="15"/>
      <c r="P41" s="15"/>
      <c r="Q41" s="15"/>
      <c r="R41" s="15"/>
      <c r="S41" s="15"/>
      <c r="T41" s="15"/>
      <c r="U41" s="15"/>
      <c r="V41" s="15"/>
      <c r="W41" s="15"/>
      <c r="X41" s="15"/>
      <c r="Y41" s="15"/>
      <c r="Z41" s="15"/>
    </row>
    <row r="42" spans="1:26" ht="15.75" customHeight="1" x14ac:dyDescent="0.25">
      <c r="A42" s="17" t="s">
        <v>642</v>
      </c>
      <c r="B42" s="41"/>
      <c r="C42" s="43"/>
      <c r="D42" s="43"/>
      <c r="E42" s="43"/>
      <c r="F42" s="43"/>
      <c r="G42" s="43"/>
      <c r="H42" s="14"/>
      <c r="I42" s="167"/>
      <c r="J42" s="15"/>
      <c r="K42" s="15"/>
      <c r="L42" s="15"/>
      <c r="M42" s="15"/>
      <c r="N42" s="15"/>
      <c r="O42" s="15"/>
      <c r="P42" s="15"/>
      <c r="Q42" s="15"/>
      <c r="R42" s="15"/>
      <c r="S42" s="15"/>
      <c r="T42" s="15"/>
      <c r="U42" s="15"/>
      <c r="V42" s="15"/>
      <c r="W42" s="15"/>
      <c r="X42" s="15"/>
      <c r="Y42" s="15"/>
      <c r="Z42" s="15"/>
    </row>
    <row r="43" spans="1:26" ht="15.75" customHeight="1" x14ac:dyDescent="0.25">
      <c r="A43" s="48" t="s">
        <v>393</v>
      </c>
      <c r="B43" s="49" t="s">
        <v>187</v>
      </c>
      <c r="C43" s="45">
        <v>57079.42</v>
      </c>
      <c r="D43" s="45">
        <v>0</v>
      </c>
      <c r="E43" s="45">
        <f>+F43-D43</f>
        <v>300000</v>
      </c>
      <c r="F43" s="45">
        <v>300000</v>
      </c>
      <c r="G43" s="45">
        <v>100000</v>
      </c>
      <c r="H43" s="14"/>
      <c r="I43" s="167"/>
      <c r="J43" s="15"/>
      <c r="K43" s="15"/>
      <c r="L43" s="15"/>
      <c r="M43" s="15"/>
      <c r="N43" s="15"/>
      <c r="O43" s="15"/>
      <c r="P43" s="15"/>
      <c r="Q43" s="15"/>
      <c r="R43" s="15"/>
      <c r="S43" s="15"/>
      <c r="T43" s="15"/>
      <c r="U43" s="15"/>
      <c r="V43" s="15"/>
      <c r="W43" s="15"/>
      <c r="X43" s="15"/>
      <c r="Y43" s="15"/>
      <c r="Z43" s="15"/>
    </row>
    <row r="44" spans="1:26" ht="15.75" customHeight="1" x14ac:dyDescent="0.25">
      <c r="A44" s="42" t="s">
        <v>493</v>
      </c>
      <c r="B44" s="49"/>
      <c r="C44" s="45"/>
      <c r="D44" s="45"/>
      <c r="E44" s="45"/>
      <c r="F44" s="45"/>
      <c r="G44" s="45"/>
      <c r="H44" s="14"/>
      <c r="I44" s="167"/>
      <c r="J44" s="15"/>
      <c r="K44" s="15"/>
      <c r="L44" s="15"/>
      <c r="M44" s="15"/>
      <c r="N44" s="15"/>
      <c r="O44" s="15"/>
      <c r="P44" s="15"/>
      <c r="Q44" s="15"/>
      <c r="R44" s="15"/>
      <c r="S44" s="15"/>
      <c r="T44" s="15"/>
      <c r="U44" s="15"/>
      <c r="V44" s="15"/>
      <c r="W44" s="15"/>
      <c r="X44" s="15"/>
      <c r="Y44" s="15"/>
      <c r="Z44" s="15"/>
    </row>
    <row r="45" spans="1:26" ht="15.75" customHeight="1" x14ac:dyDescent="0.25">
      <c r="A45" s="44" t="s">
        <v>396</v>
      </c>
      <c r="B45" s="41" t="s">
        <v>191</v>
      </c>
      <c r="C45" s="43">
        <v>307619.40000000002</v>
      </c>
      <c r="D45" s="43">
        <v>529689</v>
      </c>
      <c r="E45" s="45">
        <f>+F45-D45</f>
        <v>525336</v>
      </c>
      <c r="F45" s="43">
        <v>1055025</v>
      </c>
      <c r="G45" s="43">
        <v>1395541</v>
      </c>
      <c r="H45" s="14">
        <f>SUM(I47:I57)</f>
        <v>1295541</v>
      </c>
      <c r="I45" s="167"/>
      <c r="J45" s="15"/>
      <c r="K45" s="15"/>
      <c r="L45" s="15"/>
      <c r="M45" s="15"/>
      <c r="N45" s="15"/>
      <c r="O45" s="15"/>
      <c r="P45" s="15"/>
      <c r="Q45" s="15"/>
      <c r="R45" s="15"/>
      <c r="S45" s="15"/>
      <c r="T45" s="15"/>
      <c r="U45" s="15"/>
      <c r="V45" s="15"/>
      <c r="W45" s="15"/>
      <c r="X45" s="15"/>
      <c r="Y45" s="15"/>
      <c r="Z45" s="15"/>
    </row>
    <row r="46" spans="1:26" ht="15.75" customHeight="1" x14ac:dyDescent="0.25">
      <c r="A46" s="17" t="s">
        <v>1529</v>
      </c>
      <c r="B46" s="41"/>
      <c r="C46" s="43"/>
      <c r="D46" s="43"/>
      <c r="E46" s="45"/>
      <c r="F46" s="43"/>
      <c r="G46" s="43"/>
      <c r="H46" s="14"/>
      <c r="I46" s="167"/>
      <c r="J46" s="15"/>
      <c r="K46" s="15"/>
      <c r="L46" s="15"/>
      <c r="M46" s="15"/>
      <c r="N46" s="15"/>
      <c r="O46" s="15"/>
      <c r="P46" s="15"/>
      <c r="Q46" s="15"/>
      <c r="R46" s="15"/>
      <c r="S46" s="15"/>
      <c r="T46" s="15"/>
      <c r="U46" s="15"/>
      <c r="V46" s="15"/>
      <c r="W46" s="15"/>
      <c r="X46" s="15"/>
      <c r="Y46" s="15"/>
      <c r="Z46" s="15"/>
    </row>
    <row r="47" spans="1:26" ht="15.75" customHeight="1" x14ac:dyDescent="0.25">
      <c r="A47" s="17" t="s">
        <v>1530</v>
      </c>
      <c r="B47" s="41"/>
      <c r="C47" s="43"/>
      <c r="D47" s="43"/>
      <c r="E47" s="45"/>
      <c r="F47" s="43"/>
      <c r="G47" s="43"/>
      <c r="H47" s="14"/>
      <c r="I47" s="167">
        <v>236799</v>
      </c>
      <c r="J47" s="15"/>
      <c r="K47" s="15"/>
      <c r="L47" s="15"/>
      <c r="M47" s="15"/>
      <c r="N47" s="15"/>
      <c r="O47" s="15"/>
      <c r="P47" s="15"/>
      <c r="Q47" s="15"/>
      <c r="R47" s="15"/>
      <c r="S47" s="15"/>
      <c r="T47" s="15"/>
      <c r="U47" s="15"/>
      <c r="V47" s="15"/>
      <c r="W47" s="15"/>
      <c r="X47" s="15"/>
      <c r="Y47" s="15"/>
      <c r="Z47" s="15"/>
    </row>
    <row r="48" spans="1:26" ht="15.75" customHeight="1" x14ac:dyDescent="0.25">
      <c r="A48" s="44" t="s">
        <v>1531</v>
      </c>
      <c r="B48" s="41"/>
      <c r="C48" s="43"/>
      <c r="D48" s="43"/>
      <c r="E48" s="45"/>
      <c r="F48" s="43"/>
      <c r="G48" s="43"/>
      <c r="H48" s="14"/>
      <c r="I48" s="167">
        <v>274848</v>
      </c>
      <c r="J48" s="15"/>
      <c r="K48" s="15"/>
      <c r="L48" s="15"/>
      <c r="M48" s="15"/>
      <c r="N48" s="15"/>
      <c r="O48" s="15"/>
      <c r="P48" s="15"/>
      <c r="Q48" s="15"/>
      <c r="R48" s="15"/>
      <c r="S48" s="15"/>
      <c r="T48" s="15"/>
      <c r="U48" s="15"/>
      <c r="V48" s="15"/>
      <c r="W48" s="15"/>
      <c r="X48" s="15"/>
      <c r="Y48" s="15"/>
      <c r="Z48" s="15"/>
    </row>
    <row r="49" spans="1:26" ht="15.75" customHeight="1" x14ac:dyDescent="0.25">
      <c r="A49" s="44" t="s">
        <v>1532</v>
      </c>
      <c r="B49" s="41"/>
      <c r="C49" s="43"/>
      <c r="D49" s="43"/>
      <c r="E49" s="45"/>
      <c r="F49" s="43"/>
      <c r="G49" s="43"/>
      <c r="H49" s="14"/>
      <c r="I49" s="167"/>
      <c r="J49" s="15"/>
      <c r="K49" s="15"/>
      <c r="L49" s="15"/>
      <c r="M49" s="15"/>
      <c r="N49" s="15"/>
      <c r="O49" s="15"/>
      <c r="P49" s="15"/>
      <c r="Q49" s="15"/>
      <c r="R49" s="15"/>
      <c r="S49" s="15"/>
      <c r="T49" s="15"/>
      <c r="U49" s="15"/>
      <c r="V49" s="15"/>
      <c r="W49" s="15"/>
      <c r="X49" s="15"/>
      <c r="Y49" s="15"/>
      <c r="Z49" s="15"/>
    </row>
    <row r="50" spans="1:26" ht="15.75" customHeight="1" x14ac:dyDescent="0.25">
      <c r="A50" s="44" t="s">
        <v>1533</v>
      </c>
      <c r="B50" s="41"/>
      <c r="C50" s="43"/>
      <c r="D50" s="43"/>
      <c r="E50" s="45"/>
      <c r="F50" s="43"/>
      <c r="G50" s="43"/>
      <c r="H50" s="14"/>
      <c r="I50" s="167"/>
      <c r="J50" s="15"/>
      <c r="K50" s="15"/>
      <c r="L50" s="15"/>
      <c r="M50" s="15"/>
      <c r="N50" s="15"/>
      <c r="O50" s="15"/>
      <c r="P50" s="15"/>
      <c r="Q50" s="15"/>
      <c r="R50" s="15"/>
      <c r="S50" s="15"/>
      <c r="T50" s="15"/>
      <c r="U50" s="15"/>
      <c r="V50" s="15"/>
      <c r="W50" s="15"/>
      <c r="X50" s="15"/>
      <c r="Y50" s="15"/>
      <c r="Z50" s="15"/>
    </row>
    <row r="51" spans="1:26" ht="15.75" customHeight="1" x14ac:dyDescent="0.25">
      <c r="A51" s="44" t="s">
        <v>1534</v>
      </c>
      <c r="B51" s="41"/>
      <c r="C51" s="43"/>
      <c r="D51" s="43"/>
      <c r="E51" s="45"/>
      <c r="F51" s="43"/>
      <c r="G51" s="43"/>
      <c r="H51" s="14"/>
      <c r="I51" s="167"/>
      <c r="J51" s="15"/>
      <c r="K51" s="15"/>
      <c r="L51" s="15"/>
      <c r="M51" s="15"/>
      <c r="N51" s="15"/>
      <c r="O51" s="15"/>
      <c r="P51" s="15"/>
      <c r="Q51" s="15"/>
      <c r="R51" s="15"/>
      <c r="S51" s="15"/>
      <c r="T51" s="15"/>
      <c r="U51" s="15"/>
      <c r="V51" s="15"/>
      <c r="W51" s="15"/>
      <c r="X51" s="15"/>
      <c r="Y51" s="15"/>
      <c r="Z51" s="15"/>
    </row>
    <row r="52" spans="1:26" ht="15.75" customHeight="1" x14ac:dyDescent="0.25">
      <c r="A52" s="188" t="s">
        <v>1535</v>
      </c>
      <c r="B52" s="41"/>
      <c r="C52" s="43"/>
      <c r="D52" s="43"/>
      <c r="E52" s="45"/>
      <c r="F52" s="43"/>
      <c r="G52" s="43"/>
      <c r="H52" s="14"/>
      <c r="I52" s="167">
        <v>330287</v>
      </c>
      <c r="J52" s="15"/>
      <c r="K52" s="15"/>
      <c r="L52" s="15"/>
      <c r="M52" s="15"/>
      <c r="N52" s="15"/>
      <c r="O52" s="15"/>
      <c r="P52" s="15"/>
      <c r="Q52" s="15"/>
      <c r="R52" s="15"/>
      <c r="S52" s="15"/>
      <c r="T52" s="15"/>
      <c r="U52" s="15"/>
      <c r="V52" s="15"/>
      <c r="W52" s="15"/>
      <c r="X52" s="15"/>
      <c r="Y52" s="15"/>
      <c r="Z52" s="15"/>
    </row>
    <row r="53" spans="1:26" ht="15.75" customHeight="1" x14ac:dyDescent="0.25">
      <c r="A53" s="44" t="s">
        <v>1536</v>
      </c>
      <c r="B53" s="41"/>
      <c r="C53" s="43"/>
      <c r="D53" s="43"/>
      <c r="E53" s="45"/>
      <c r="F53" s="43"/>
      <c r="G53" s="43"/>
      <c r="H53" s="14"/>
      <c r="I53" s="167"/>
      <c r="J53" s="15"/>
      <c r="K53" s="15"/>
      <c r="L53" s="15"/>
      <c r="M53" s="15"/>
      <c r="N53" s="15"/>
      <c r="O53" s="15"/>
      <c r="P53" s="15"/>
      <c r="Q53" s="15"/>
      <c r="R53" s="15"/>
      <c r="S53" s="15"/>
      <c r="T53" s="15"/>
      <c r="U53" s="15"/>
      <c r="V53" s="15"/>
      <c r="W53" s="15"/>
      <c r="X53" s="15"/>
      <c r="Y53" s="15"/>
      <c r="Z53" s="15"/>
    </row>
    <row r="54" spans="1:26" ht="15.75" customHeight="1" x14ac:dyDescent="0.25">
      <c r="A54" s="44" t="s">
        <v>1537</v>
      </c>
      <c r="B54" s="41"/>
      <c r="C54" s="43"/>
      <c r="D54" s="43"/>
      <c r="E54" s="45"/>
      <c r="F54" s="43"/>
      <c r="G54" s="43"/>
      <c r="H54" s="14"/>
      <c r="I54" s="167">
        <v>398444</v>
      </c>
      <c r="J54" s="15"/>
      <c r="K54" s="15"/>
      <c r="L54" s="15"/>
      <c r="M54" s="15"/>
      <c r="N54" s="15"/>
      <c r="O54" s="15"/>
      <c r="P54" s="15"/>
      <c r="Q54" s="15"/>
      <c r="R54" s="15"/>
      <c r="S54" s="15"/>
      <c r="T54" s="15"/>
      <c r="U54" s="15"/>
      <c r="V54" s="15"/>
      <c r="W54" s="15"/>
      <c r="X54" s="15"/>
      <c r="Y54" s="15"/>
      <c r="Z54" s="15"/>
    </row>
    <row r="55" spans="1:26" ht="15.75" customHeight="1" x14ac:dyDescent="0.25">
      <c r="A55" s="610" t="s">
        <v>1538</v>
      </c>
      <c r="B55" s="483"/>
      <c r="C55" s="457"/>
      <c r="D55" s="457"/>
      <c r="E55" s="452"/>
      <c r="F55" s="457"/>
      <c r="G55" s="457"/>
      <c r="H55" s="14"/>
      <c r="I55" s="167"/>
      <c r="J55" s="15"/>
      <c r="K55" s="15"/>
      <c r="L55" s="15"/>
      <c r="M55" s="15"/>
      <c r="N55" s="15"/>
      <c r="O55" s="15"/>
      <c r="P55" s="15"/>
      <c r="Q55" s="15"/>
      <c r="R55" s="15"/>
      <c r="S55" s="15"/>
      <c r="T55" s="15"/>
      <c r="U55" s="15"/>
      <c r="V55" s="15"/>
      <c r="W55" s="15"/>
      <c r="X55" s="15"/>
      <c r="Y55" s="15"/>
      <c r="Z55" s="15"/>
    </row>
    <row r="56" spans="1:26" ht="15.75" customHeight="1" x14ac:dyDescent="0.25">
      <c r="A56" s="611" t="s">
        <v>1539</v>
      </c>
      <c r="B56" s="601"/>
      <c r="C56" s="448"/>
      <c r="D56" s="448"/>
      <c r="E56" s="449"/>
      <c r="F56" s="448"/>
      <c r="G56" s="448"/>
      <c r="H56" s="14"/>
      <c r="I56" s="167"/>
      <c r="J56" s="15"/>
      <c r="K56" s="15"/>
      <c r="L56" s="15"/>
      <c r="M56" s="15"/>
      <c r="N56" s="15"/>
      <c r="O56" s="15"/>
      <c r="P56" s="15"/>
      <c r="Q56" s="15"/>
      <c r="R56" s="15"/>
      <c r="S56" s="15"/>
      <c r="T56" s="15"/>
      <c r="U56" s="15"/>
      <c r="V56" s="15"/>
      <c r="W56" s="15"/>
      <c r="X56" s="15"/>
      <c r="Y56" s="15"/>
      <c r="Z56" s="15"/>
    </row>
    <row r="57" spans="1:26" ht="15.75" customHeight="1" x14ac:dyDescent="0.25">
      <c r="A57" s="188" t="s">
        <v>1540</v>
      </c>
      <c r="B57" s="41"/>
      <c r="C57" s="43"/>
      <c r="D57" s="43"/>
      <c r="E57" s="45"/>
      <c r="F57" s="43"/>
      <c r="G57" s="43"/>
      <c r="H57" s="14"/>
      <c r="I57" s="167">
        <v>55163</v>
      </c>
      <c r="J57" s="15"/>
      <c r="K57" s="15"/>
      <c r="L57" s="15"/>
      <c r="M57" s="15"/>
      <c r="N57" s="15"/>
      <c r="O57" s="15"/>
      <c r="P57" s="15"/>
      <c r="Q57" s="15"/>
      <c r="R57" s="15"/>
      <c r="S57" s="15"/>
      <c r="T57" s="15"/>
      <c r="U57" s="15"/>
      <c r="V57" s="15"/>
      <c r="W57" s="15"/>
      <c r="X57" s="15"/>
      <c r="Y57" s="15"/>
      <c r="Z57" s="15"/>
    </row>
    <row r="58" spans="1:26" ht="15.75" customHeight="1" x14ac:dyDescent="0.25">
      <c r="A58" s="17" t="s">
        <v>499</v>
      </c>
      <c r="B58" s="41"/>
      <c r="C58" s="43"/>
      <c r="D58" s="43"/>
      <c r="E58" s="45"/>
      <c r="F58" s="43"/>
      <c r="G58" s="43"/>
      <c r="H58" s="14"/>
      <c r="I58" s="167"/>
      <c r="J58" s="15"/>
      <c r="K58" s="15"/>
      <c r="L58" s="15"/>
      <c r="M58" s="15"/>
      <c r="N58" s="15"/>
      <c r="O58" s="15"/>
      <c r="P58" s="15"/>
      <c r="Q58" s="15"/>
      <c r="R58" s="15"/>
      <c r="S58" s="15"/>
      <c r="T58" s="15"/>
      <c r="U58" s="15"/>
      <c r="V58" s="15"/>
      <c r="W58" s="15"/>
      <c r="X58" s="15"/>
      <c r="Y58" s="15"/>
      <c r="Z58" s="15"/>
    </row>
    <row r="59" spans="1:26" ht="15.75" customHeight="1" x14ac:dyDescent="0.25">
      <c r="A59" s="44" t="s">
        <v>398</v>
      </c>
      <c r="B59" s="41" t="s">
        <v>195</v>
      </c>
      <c r="C59" s="43">
        <v>225617.81</v>
      </c>
      <c r="D59" s="43">
        <v>142797.5</v>
      </c>
      <c r="E59" s="45">
        <f t="shared" ref="E59:E61" si="5">+F59-D59</f>
        <v>142797.5</v>
      </c>
      <c r="F59" s="43">
        <v>285595</v>
      </c>
      <c r="G59" s="43">
        <v>212012</v>
      </c>
      <c r="H59" s="14"/>
      <c r="I59" s="167"/>
      <c r="J59" s="15"/>
      <c r="K59" s="15"/>
      <c r="L59" s="15"/>
      <c r="M59" s="15"/>
      <c r="N59" s="15"/>
      <c r="O59" s="15"/>
      <c r="P59" s="15"/>
      <c r="Q59" s="15"/>
      <c r="R59" s="15"/>
      <c r="S59" s="15"/>
      <c r="T59" s="15"/>
      <c r="U59" s="15"/>
      <c r="V59" s="15"/>
      <c r="W59" s="15"/>
      <c r="X59" s="15"/>
      <c r="Y59" s="15"/>
      <c r="Z59" s="15"/>
    </row>
    <row r="60" spans="1:26" ht="15.75" customHeight="1" x14ac:dyDescent="0.25">
      <c r="A60" s="96" t="s">
        <v>400</v>
      </c>
      <c r="B60" s="41" t="s">
        <v>221</v>
      </c>
      <c r="C60" s="43">
        <v>0</v>
      </c>
      <c r="D60" s="43">
        <v>4750</v>
      </c>
      <c r="E60" s="45">
        <f t="shared" si="5"/>
        <v>4750</v>
      </c>
      <c r="F60" s="43">
        <v>9500</v>
      </c>
      <c r="G60" s="43">
        <v>231900</v>
      </c>
      <c r="H60" s="14"/>
      <c r="I60" s="167"/>
      <c r="J60" s="15"/>
      <c r="K60" s="15"/>
      <c r="L60" s="15"/>
      <c r="M60" s="15"/>
      <c r="N60" s="15"/>
      <c r="O60" s="15"/>
      <c r="P60" s="15"/>
      <c r="Q60" s="15"/>
      <c r="R60" s="15"/>
      <c r="S60" s="15"/>
      <c r="T60" s="15"/>
      <c r="U60" s="15"/>
      <c r="V60" s="15"/>
      <c r="W60" s="15"/>
      <c r="X60" s="15"/>
      <c r="Y60" s="15"/>
      <c r="Z60" s="15"/>
    </row>
    <row r="61" spans="1:26" ht="15.75" customHeight="1" x14ac:dyDescent="0.25">
      <c r="A61" s="96" t="s">
        <v>401</v>
      </c>
      <c r="B61" s="41" t="s">
        <v>223</v>
      </c>
      <c r="C61" s="43">
        <v>0</v>
      </c>
      <c r="D61" s="43">
        <v>0</v>
      </c>
      <c r="E61" s="45">
        <f t="shared" si="5"/>
        <v>0</v>
      </c>
      <c r="F61" s="43">
        <v>0</v>
      </c>
      <c r="G61" s="43">
        <v>8000</v>
      </c>
      <c r="H61" s="14"/>
      <c r="I61" s="167"/>
      <c r="J61" s="15"/>
      <c r="K61" s="15"/>
      <c r="L61" s="15"/>
      <c r="M61" s="15"/>
      <c r="N61" s="15"/>
      <c r="O61" s="15"/>
      <c r="P61" s="15"/>
      <c r="Q61" s="15"/>
      <c r="R61" s="15"/>
      <c r="S61" s="15"/>
      <c r="T61" s="15"/>
      <c r="U61" s="15"/>
      <c r="V61" s="15"/>
      <c r="W61" s="15"/>
      <c r="X61" s="15"/>
      <c r="Y61" s="15"/>
      <c r="Z61" s="15"/>
    </row>
    <row r="62" spans="1:26" ht="15.75" customHeight="1" x14ac:dyDescent="0.25">
      <c r="A62" s="44" t="s">
        <v>402</v>
      </c>
      <c r="B62" s="41" t="s">
        <v>225</v>
      </c>
      <c r="C62" s="43">
        <v>177465.29</v>
      </c>
      <c r="D62" s="43">
        <v>40483</v>
      </c>
      <c r="E62" s="45">
        <v>40483</v>
      </c>
      <c r="F62" s="43">
        <v>80966</v>
      </c>
      <c r="G62" s="43">
        <v>56084</v>
      </c>
      <c r="H62" s="14"/>
      <c r="I62" s="167"/>
      <c r="J62" s="15"/>
      <c r="K62" s="15"/>
      <c r="L62" s="15"/>
      <c r="M62" s="15"/>
      <c r="N62" s="15"/>
      <c r="O62" s="15"/>
      <c r="P62" s="15"/>
      <c r="Q62" s="15"/>
      <c r="R62" s="15"/>
      <c r="S62" s="15"/>
      <c r="T62" s="15"/>
      <c r="U62" s="15"/>
      <c r="V62" s="15"/>
      <c r="W62" s="15"/>
      <c r="X62" s="15"/>
      <c r="Y62" s="15"/>
      <c r="Z62" s="15"/>
    </row>
    <row r="63" spans="1:26" ht="15.75" customHeight="1" x14ac:dyDescent="0.25">
      <c r="A63" s="17" t="s">
        <v>503</v>
      </c>
      <c r="B63" s="41"/>
      <c r="C63" s="43"/>
      <c r="D63" s="43"/>
      <c r="E63" s="45"/>
      <c r="F63" s="43"/>
      <c r="G63" s="43"/>
      <c r="H63" s="14"/>
      <c r="I63" s="167"/>
      <c r="J63" s="15"/>
      <c r="K63" s="15"/>
      <c r="L63" s="15"/>
      <c r="M63" s="15"/>
      <c r="N63" s="15"/>
      <c r="O63" s="15"/>
      <c r="P63" s="15"/>
      <c r="Q63" s="15"/>
      <c r="R63" s="15"/>
      <c r="S63" s="15"/>
      <c r="T63" s="15"/>
      <c r="U63" s="15"/>
      <c r="V63" s="15"/>
      <c r="W63" s="15"/>
      <c r="X63" s="15"/>
      <c r="Y63" s="15"/>
      <c r="Z63" s="15"/>
    </row>
    <row r="64" spans="1:26" ht="15.75" customHeight="1" x14ac:dyDescent="0.25">
      <c r="A64" s="44" t="s">
        <v>1303</v>
      </c>
      <c r="B64" s="41" t="s">
        <v>231</v>
      </c>
      <c r="C64" s="43">
        <v>6013</v>
      </c>
      <c r="D64" s="43">
        <v>0</v>
      </c>
      <c r="E64" s="45">
        <f t="shared" ref="E64:E65" si="6">+F64-D64</f>
        <v>60000</v>
      </c>
      <c r="F64" s="43">
        <v>60000</v>
      </c>
      <c r="G64" s="43">
        <v>60000</v>
      </c>
      <c r="H64" s="14"/>
      <c r="I64" s="167"/>
      <c r="J64" s="15"/>
      <c r="K64" s="15"/>
      <c r="L64" s="15"/>
      <c r="M64" s="15"/>
      <c r="N64" s="15"/>
      <c r="O64" s="15"/>
      <c r="P64" s="15"/>
      <c r="Q64" s="15"/>
      <c r="R64" s="15"/>
      <c r="S64" s="15"/>
      <c r="T64" s="15"/>
      <c r="U64" s="15"/>
      <c r="V64" s="15"/>
      <c r="W64" s="15"/>
      <c r="X64" s="15"/>
      <c r="Y64" s="15"/>
      <c r="Z64" s="15"/>
    </row>
    <row r="65" spans="1:26" ht="15.75" customHeight="1" x14ac:dyDescent="0.25">
      <c r="A65" s="44" t="s">
        <v>405</v>
      </c>
      <c r="B65" s="41" t="s">
        <v>235</v>
      </c>
      <c r="C65" s="43">
        <v>40779</v>
      </c>
      <c r="D65" s="43">
        <v>0</v>
      </c>
      <c r="E65" s="45">
        <f t="shared" si="6"/>
        <v>54000</v>
      </c>
      <c r="F65" s="43">
        <v>54000</v>
      </c>
      <c r="G65" s="43">
        <f>(2000+2500)*12</f>
        <v>54000</v>
      </c>
      <c r="H65" s="14"/>
      <c r="I65" s="167"/>
      <c r="J65" s="15"/>
      <c r="K65" s="15"/>
      <c r="L65" s="15"/>
      <c r="M65" s="15"/>
      <c r="N65" s="15"/>
      <c r="O65" s="15"/>
      <c r="P65" s="15"/>
      <c r="Q65" s="15"/>
      <c r="R65" s="15"/>
      <c r="S65" s="15"/>
      <c r="T65" s="15"/>
      <c r="U65" s="15"/>
      <c r="V65" s="15"/>
      <c r="W65" s="15"/>
      <c r="X65" s="15"/>
      <c r="Y65" s="15"/>
      <c r="Z65" s="15"/>
    </row>
    <row r="66" spans="1:26" ht="15.75" customHeight="1" x14ac:dyDescent="0.25">
      <c r="A66" s="17" t="s">
        <v>1380</v>
      </c>
      <c r="B66" s="41"/>
      <c r="C66" s="43"/>
      <c r="D66" s="43"/>
      <c r="E66" s="45"/>
      <c r="F66" s="43"/>
      <c r="G66" s="43"/>
      <c r="H66" s="14"/>
      <c r="I66" s="167"/>
      <c r="J66" s="15"/>
      <c r="K66" s="15"/>
      <c r="L66" s="15"/>
      <c r="M66" s="15"/>
      <c r="N66" s="15"/>
      <c r="O66" s="15"/>
      <c r="P66" s="15"/>
      <c r="Q66" s="15"/>
      <c r="R66" s="15"/>
      <c r="S66" s="15"/>
      <c r="T66" s="15"/>
      <c r="U66" s="15"/>
      <c r="V66" s="15"/>
      <c r="W66" s="15"/>
      <c r="X66" s="15"/>
      <c r="Y66" s="15"/>
      <c r="Z66" s="15"/>
    </row>
    <row r="67" spans="1:26" ht="15.75" customHeight="1" x14ac:dyDescent="0.25">
      <c r="A67" s="44" t="s">
        <v>1452</v>
      </c>
      <c r="B67" s="41" t="s">
        <v>315</v>
      </c>
      <c r="C67" s="43">
        <v>1125</v>
      </c>
      <c r="D67" s="43">
        <v>0</v>
      </c>
      <c r="E67" s="45">
        <f>+F67-D67</f>
        <v>3000</v>
      </c>
      <c r="F67" s="43">
        <v>3000</v>
      </c>
      <c r="G67" s="43">
        <v>3000</v>
      </c>
      <c r="H67" s="14"/>
      <c r="I67" s="167"/>
      <c r="J67" s="15"/>
      <c r="K67" s="15"/>
      <c r="L67" s="15"/>
      <c r="M67" s="15"/>
      <c r="N67" s="15"/>
      <c r="O67" s="15"/>
      <c r="P67" s="15"/>
      <c r="Q67" s="15"/>
      <c r="R67" s="15"/>
      <c r="S67" s="15"/>
      <c r="T67" s="15"/>
      <c r="U67" s="15"/>
      <c r="V67" s="15"/>
      <c r="W67" s="15"/>
      <c r="X67" s="15"/>
      <c r="Y67" s="15"/>
      <c r="Z67" s="15"/>
    </row>
    <row r="68" spans="1:26" ht="15.75" customHeight="1" x14ac:dyDescent="0.25">
      <c r="A68" s="17" t="s">
        <v>511</v>
      </c>
      <c r="B68" s="41"/>
      <c r="C68" s="43"/>
      <c r="D68" s="43"/>
      <c r="E68" s="45"/>
      <c r="F68" s="43"/>
      <c r="G68" s="43"/>
      <c r="H68" s="14"/>
      <c r="I68" s="167"/>
      <c r="J68" s="15"/>
      <c r="K68" s="15"/>
      <c r="L68" s="15"/>
      <c r="M68" s="15"/>
      <c r="N68" s="15"/>
      <c r="O68" s="15"/>
      <c r="P68" s="15"/>
      <c r="Q68" s="15"/>
      <c r="R68" s="15"/>
      <c r="S68" s="15"/>
      <c r="T68" s="15"/>
      <c r="U68" s="15"/>
      <c r="V68" s="15"/>
      <c r="W68" s="15"/>
      <c r="X68" s="15"/>
      <c r="Y68" s="15"/>
      <c r="Z68" s="15"/>
    </row>
    <row r="69" spans="1:26" ht="15.75" customHeight="1" x14ac:dyDescent="0.25">
      <c r="A69" s="44" t="s">
        <v>418</v>
      </c>
      <c r="B69" s="41" t="s">
        <v>331</v>
      </c>
      <c r="C69" s="43">
        <v>104611</v>
      </c>
      <c r="D69" s="43">
        <v>100800</v>
      </c>
      <c r="E69" s="45">
        <f>+F69-D69</f>
        <v>9200</v>
      </c>
      <c r="F69" s="43">
        <v>110000</v>
      </c>
      <c r="G69" s="43">
        <v>229800</v>
      </c>
      <c r="H69" s="14">
        <f>SUM(I70:I72)</f>
        <v>229800</v>
      </c>
      <c r="I69" s="167"/>
      <c r="J69" s="15"/>
      <c r="K69" s="15"/>
      <c r="L69" s="15"/>
      <c r="M69" s="15"/>
      <c r="N69" s="15"/>
      <c r="O69" s="15"/>
      <c r="P69" s="15"/>
      <c r="Q69" s="15"/>
      <c r="R69" s="15"/>
      <c r="S69" s="15"/>
      <c r="T69" s="15"/>
      <c r="U69" s="15"/>
      <c r="V69" s="15"/>
      <c r="W69" s="15"/>
      <c r="X69" s="15"/>
      <c r="Y69" s="15"/>
      <c r="Z69" s="15"/>
    </row>
    <row r="70" spans="1:26" ht="15.75" customHeight="1" x14ac:dyDescent="0.25">
      <c r="A70" s="44" t="s">
        <v>1541</v>
      </c>
      <c r="B70" s="41"/>
      <c r="C70" s="43"/>
      <c r="D70" s="43"/>
      <c r="E70" s="45"/>
      <c r="F70" s="43"/>
      <c r="G70" s="43"/>
      <c r="H70" s="14"/>
      <c r="I70" s="167">
        <v>184800</v>
      </c>
      <c r="J70" s="15"/>
      <c r="K70" s="15"/>
      <c r="L70" s="15"/>
      <c r="M70" s="15"/>
      <c r="N70" s="15"/>
      <c r="O70" s="15"/>
      <c r="P70" s="15"/>
      <c r="Q70" s="15"/>
      <c r="R70" s="15"/>
      <c r="S70" s="15"/>
      <c r="T70" s="15"/>
      <c r="U70" s="15"/>
      <c r="V70" s="15"/>
      <c r="W70" s="15"/>
      <c r="X70" s="15"/>
      <c r="Y70" s="15"/>
      <c r="Z70" s="15"/>
    </row>
    <row r="71" spans="1:26" ht="15.75" customHeight="1" x14ac:dyDescent="0.25">
      <c r="A71" s="44" t="s">
        <v>1542</v>
      </c>
      <c r="B71" s="41"/>
      <c r="C71" s="43"/>
      <c r="D71" s="43"/>
      <c r="E71" s="45"/>
      <c r="F71" s="43"/>
      <c r="G71" s="43"/>
      <c r="H71" s="14"/>
      <c r="I71" s="167">
        <v>25000</v>
      </c>
      <c r="J71" s="15"/>
      <c r="K71" s="15"/>
      <c r="L71" s="15"/>
      <c r="M71" s="15"/>
      <c r="N71" s="15"/>
      <c r="O71" s="15"/>
      <c r="P71" s="15"/>
      <c r="Q71" s="15"/>
      <c r="R71" s="15"/>
      <c r="S71" s="15"/>
      <c r="T71" s="15"/>
      <c r="U71" s="15"/>
      <c r="V71" s="15"/>
      <c r="W71" s="15"/>
      <c r="X71" s="15"/>
      <c r="Y71" s="15"/>
      <c r="Z71" s="15"/>
    </row>
    <row r="72" spans="1:26" ht="15.75" customHeight="1" x14ac:dyDescent="0.25">
      <c r="A72" s="44" t="s">
        <v>1543</v>
      </c>
      <c r="B72" s="41"/>
      <c r="C72" s="43"/>
      <c r="D72" s="43"/>
      <c r="E72" s="45"/>
      <c r="F72" s="43"/>
      <c r="G72" s="43"/>
      <c r="H72" s="14"/>
      <c r="I72" s="167">
        <v>20000</v>
      </c>
      <c r="J72" s="15"/>
      <c r="K72" s="15"/>
      <c r="L72" s="15"/>
      <c r="M72" s="15"/>
      <c r="N72" s="15"/>
      <c r="O72" s="15"/>
      <c r="P72" s="15"/>
      <c r="Q72" s="15"/>
      <c r="R72" s="15"/>
      <c r="S72" s="15"/>
      <c r="T72" s="15"/>
      <c r="U72" s="15"/>
      <c r="V72" s="15"/>
      <c r="W72" s="15"/>
      <c r="X72" s="15"/>
      <c r="Y72" s="15"/>
      <c r="Z72" s="15"/>
    </row>
    <row r="73" spans="1:26" ht="15.75" customHeight="1" x14ac:dyDescent="0.25">
      <c r="A73" s="48" t="s">
        <v>424</v>
      </c>
      <c r="B73" s="41" t="s">
        <v>335</v>
      </c>
      <c r="C73" s="43">
        <v>99489</v>
      </c>
      <c r="D73" s="43">
        <v>37500</v>
      </c>
      <c r="E73" s="45">
        <f>+F73-D73</f>
        <v>562000</v>
      </c>
      <c r="F73" s="43">
        <v>599500</v>
      </c>
      <c r="G73" s="43">
        <v>471296</v>
      </c>
      <c r="H73" s="14">
        <f>SUM(I74:I77)</f>
        <v>571296</v>
      </c>
      <c r="I73" s="167"/>
      <c r="J73" s="15"/>
      <c r="K73" s="15"/>
      <c r="L73" s="15"/>
      <c r="M73" s="15"/>
      <c r="N73" s="15"/>
      <c r="O73" s="15"/>
      <c r="P73" s="15"/>
      <c r="Q73" s="15"/>
      <c r="R73" s="15"/>
      <c r="S73" s="15"/>
      <c r="T73" s="15"/>
      <c r="U73" s="15"/>
      <c r="V73" s="15"/>
      <c r="W73" s="15"/>
      <c r="X73" s="15"/>
      <c r="Y73" s="15"/>
      <c r="Z73" s="15"/>
    </row>
    <row r="74" spans="1:26" ht="15.75" customHeight="1" x14ac:dyDescent="0.25">
      <c r="A74" s="48" t="s">
        <v>1544</v>
      </c>
      <c r="B74" s="41"/>
      <c r="C74" s="43"/>
      <c r="D74" s="43"/>
      <c r="E74" s="45"/>
      <c r="F74" s="43"/>
      <c r="G74" s="43"/>
      <c r="H74" s="14"/>
      <c r="I74" s="167">
        <v>56796</v>
      </c>
      <c r="J74" s="15"/>
      <c r="K74" s="15"/>
      <c r="L74" s="15"/>
      <c r="M74" s="15"/>
      <c r="N74" s="15"/>
      <c r="O74" s="15"/>
      <c r="P74" s="15"/>
      <c r="Q74" s="15"/>
      <c r="R74" s="15"/>
      <c r="S74" s="15"/>
      <c r="T74" s="15"/>
      <c r="U74" s="15"/>
      <c r="V74" s="15"/>
      <c r="W74" s="15"/>
      <c r="X74" s="15"/>
      <c r="Y74" s="15"/>
      <c r="Z74" s="15"/>
    </row>
    <row r="75" spans="1:26" ht="15.75" customHeight="1" x14ac:dyDescent="0.25">
      <c r="A75" s="48" t="s">
        <v>1545</v>
      </c>
      <c r="B75" s="41"/>
      <c r="C75" s="43"/>
      <c r="D75" s="43"/>
      <c r="E75" s="45"/>
      <c r="F75" s="43"/>
      <c r="G75" s="43"/>
      <c r="H75" s="14"/>
      <c r="I75" s="167">
        <v>34500</v>
      </c>
      <c r="J75" s="15"/>
      <c r="K75" s="15"/>
      <c r="L75" s="15"/>
      <c r="M75" s="15"/>
      <c r="N75" s="15"/>
      <c r="O75" s="15"/>
      <c r="P75" s="15"/>
      <c r="Q75" s="15"/>
      <c r="R75" s="15"/>
      <c r="S75" s="15"/>
      <c r="T75" s="15"/>
      <c r="U75" s="15"/>
      <c r="V75" s="15"/>
      <c r="W75" s="15"/>
      <c r="X75" s="15"/>
      <c r="Y75" s="15"/>
      <c r="Z75" s="15"/>
    </row>
    <row r="76" spans="1:26" ht="15.75" customHeight="1" x14ac:dyDescent="0.25">
      <c r="A76" s="48" t="s">
        <v>1546</v>
      </c>
      <c r="B76" s="41"/>
      <c r="C76" s="43"/>
      <c r="D76" s="43"/>
      <c r="E76" s="45"/>
      <c r="F76" s="43"/>
      <c r="G76" s="43"/>
      <c r="H76" s="14"/>
      <c r="I76" s="167"/>
      <c r="J76" s="15"/>
      <c r="K76" s="15"/>
      <c r="L76" s="15"/>
      <c r="M76" s="15"/>
      <c r="N76" s="15"/>
      <c r="O76" s="15"/>
      <c r="P76" s="15"/>
      <c r="Q76" s="15"/>
      <c r="R76" s="15"/>
      <c r="S76" s="15"/>
      <c r="T76" s="15"/>
      <c r="U76" s="15"/>
      <c r="V76" s="15"/>
      <c r="W76" s="15"/>
      <c r="X76" s="15"/>
      <c r="Y76" s="15"/>
      <c r="Z76" s="15"/>
    </row>
    <row r="77" spans="1:26" ht="15.75" customHeight="1" x14ac:dyDescent="0.25">
      <c r="A77" s="48" t="s">
        <v>1547</v>
      </c>
      <c r="B77" s="41"/>
      <c r="C77" s="43"/>
      <c r="D77" s="43"/>
      <c r="E77" s="45"/>
      <c r="F77" s="43"/>
      <c r="G77" s="43"/>
      <c r="H77" s="14"/>
      <c r="I77" s="167">
        <v>480000</v>
      </c>
      <c r="J77" s="15"/>
      <c r="K77" s="15"/>
      <c r="L77" s="15"/>
      <c r="M77" s="15"/>
      <c r="N77" s="15"/>
      <c r="O77" s="15"/>
      <c r="P77" s="15"/>
      <c r="Q77" s="15"/>
      <c r="R77" s="15"/>
      <c r="S77" s="15"/>
      <c r="T77" s="15"/>
      <c r="U77" s="15"/>
      <c r="V77" s="15"/>
      <c r="W77" s="15"/>
      <c r="X77" s="15"/>
      <c r="Y77" s="15"/>
      <c r="Z77" s="15"/>
    </row>
    <row r="78" spans="1:26" ht="15.75" customHeight="1" x14ac:dyDescent="0.25">
      <c r="A78" s="42" t="s">
        <v>466</v>
      </c>
      <c r="B78" s="41"/>
      <c r="C78" s="54">
        <f t="shared" ref="C78:G78" si="7">+SUM(C43:C73)</f>
        <v>1019798.92</v>
      </c>
      <c r="D78" s="54">
        <f t="shared" si="7"/>
        <v>856019.5</v>
      </c>
      <c r="E78" s="54">
        <f t="shared" si="7"/>
        <v>1701566.5</v>
      </c>
      <c r="F78" s="54">
        <f t="shared" si="7"/>
        <v>2557586</v>
      </c>
      <c r="G78" s="54">
        <f t="shared" si="7"/>
        <v>2821633</v>
      </c>
      <c r="H78" s="14"/>
      <c r="I78" s="167"/>
      <c r="J78" s="15"/>
      <c r="K78" s="15"/>
      <c r="L78" s="15"/>
      <c r="M78" s="15"/>
      <c r="N78" s="15"/>
      <c r="O78" s="15"/>
      <c r="P78" s="15"/>
      <c r="Q78" s="15"/>
      <c r="R78" s="15"/>
      <c r="S78" s="15"/>
      <c r="T78" s="15"/>
      <c r="U78" s="15"/>
      <c r="V78" s="15"/>
      <c r="W78" s="15"/>
      <c r="X78" s="15"/>
      <c r="Y78" s="15"/>
      <c r="Z78" s="15"/>
    </row>
    <row r="79" spans="1:26" ht="15.75" customHeight="1" x14ac:dyDescent="0.25">
      <c r="A79" s="446"/>
      <c r="B79" s="437"/>
      <c r="C79" s="449"/>
      <c r="D79" s="448"/>
      <c r="E79" s="448"/>
      <c r="F79" s="448"/>
      <c r="G79" s="448"/>
      <c r="H79" s="14"/>
      <c r="I79" s="167"/>
      <c r="J79" s="15"/>
      <c r="K79" s="15"/>
      <c r="L79" s="15"/>
      <c r="M79" s="15"/>
      <c r="N79" s="15"/>
      <c r="O79" s="15"/>
      <c r="P79" s="15"/>
      <c r="Q79" s="15"/>
      <c r="R79" s="15"/>
      <c r="S79" s="15"/>
      <c r="T79" s="15"/>
      <c r="U79" s="15"/>
      <c r="V79" s="15"/>
      <c r="W79" s="15"/>
      <c r="X79" s="15"/>
      <c r="Y79" s="15"/>
      <c r="Z79" s="15"/>
    </row>
    <row r="80" spans="1:26" ht="15.75" customHeight="1" x14ac:dyDescent="0.25">
      <c r="A80" s="456" t="s">
        <v>467</v>
      </c>
      <c r="B80" s="461"/>
      <c r="C80" s="443">
        <f t="shared" ref="C80:G80" si="8">+C78+C39</f>
        <v>16636876.77</v>
      </c>
      <c r="D80" s="443">
        <f t="shared" si="8"/>
        <v>9041119.0600000005</v>
      </c>
      <c r="E80" s="443">
        <f t="shared" si="8"/>
        <v>15000144.939999999</v>
      </c>
      <c r="F80" s="443">
        <f t="shared" si="8"/>
        <v>24041264</v>
      </c>
      <c r="G80" s="462">
        <f t="shared" si="8"/>
        <v>25051295</v>
      </c>
      <c r="H80" s="538"/>
      <c r="I80" s="167"/>
      <c r="J80" s="15"/>
      <c r="K80" s="15"/>
      <c r="L80" s="15"/>
      <c r="M80" s="15"/>
      <c r="N80" s="15"/>
      <c r="O80" s="15"/>
      <c r="P80" s="15"/>
      <c r="Q80" s="15"/>
      <c r="R80" s="15"/>
      <c r="S80" s="15"/>
      <c r="T80" s="15"/>
      <c r="U80" s="15"/>
      <c r="V80" s="15"/>
      <c r="W80" s="15"/>
      <c r="X80" s="15"/>
      <c r="Y80" s="15"/>
      <c r="Z80" s="15"/>
    </row>
    <row r="81" spans="1:26" ht="15.75" customHeight="1" x14ac:dyDescent="0.25">
      <c r="A81" s="17"/>
      <c r="B81" s="94"/>
      <c r="C81" s="43"/>
      <c r="D81" s="43"/>
      <c r="E81" s="43"/>
      <c r="F81" s="43"/>
      <c r="G81" s="43"/>
      <c r="H81" s="14"/>
      <c r="I81" s="167"/>
      <c r="J81" s="15"/>
      <c r="K81" s="15"/>
      <c r="L81" s="15"/>
      <c r="M81" s="15"/>
      <c r="N81" s="15"/>
      <c r="O81" s="15"/>
      <c r="P81" s="15"/>
      <c r="Q81" s="15"/>
      <c r="R81" s="15"/>
      <c r="S81" s="15"/>
      <c r="T81" s="15"/>
      <c r="U81" s="15"/>
      <c r="V81" s="15"/>
      <c r="W81" s="15"/>
      <c r="X81" s="15"/>
      <c r="Y81" s="15"/>
      <c r="Z81" s="15"/>
    </row>
    <row r="82" spans="1:26" ht="15.75" customHeight="1" x14ac:dyDescent="0.25">
      <c r="A82" s="42" t="s">
        <v>529</v>
      </c>
      <c r="B82" s="94"/>
      <c r="C82" s="43"/>
      <c r="D82" s="43"/>
      <c r="E82" s="43"/>
      <c r="F82" s="43"/>
      <c r="G82" s="43"/>
      <c r="H82" s="14"/>
      <c r="I82" s="167"/>
      <c r="J82" s="15"/>
      <c r="K82" s="15"/>
      <c r="L82" s="15"/>
      <c r="M82" s="15"/>
      <c r="N82" s="15"/>
      <c r="O82" s="15"/>
      <c r="P82" s="15"/>
      <c r="Q82" s="15"/>
      <c r="R82" s="15"/>
      <c r="S82" s="15"/>
      <c r="T82" s="15"/>
      <c r="U82" s="15"/>
      <c r="V82" s="15"/>
      <c r="W82" s="15"/>
      <c r="X82" s="15"/>
      <c r="Y82" s="15"/>
      <c r="Z82" s="15"/>
    </row>
    <row r="83" spans="1:26" ht="15.75" customHeight="1" x14ac:dyDescent="0.25">
      <c r="A83" s="42" t="s">
        <v>476</v>
      </c>
      <c r="B83" s="94"/>
      <c r="C83" s="43"/>
      <c r="D83" s="43"/>
      <c r="E83" s="43"/>
      <c r="F83" s="43"/>
      <c r="G83" s="43"/>
      <c r="H83" s="14"/>
      <c r="I83" s="167"/>
      <c r="J83" s="15"/>
      <c r="K83" s="15"/>
      <c r="L83" s="15"/>
      <c r="M83" s="15"/>
      <c r="N83" s="15"/>
      <c r="O83" s="15"/>
      <c r="P83" s="15"/>
      <c r="Q83" s="15"/>
      <c r="R83" s="15"/>
      <c r="S83" s="15"/>
      <c r="T83" s="15"/>
      <c r="U83" s="15"/>
      <c r="V83" s="15"/>
      <c r="W83" s="15"/>
      <c r="X83" s="15"/>
      <c r="Y83" s="15"/>
      <c r="Z83" s="15"/>
    </row>
    <row r="84" spans="1:26" ht="15.75" customHeight="1" x14ac:dyDescent="0.25">
      <c r="A84" s="44" t="s">
        <v>639</v>
      </c>
      <c r="B84" s="41" t="s">
        <v>47</v>
      </c>
      <c r="C84" s="45"/>
      <c r="D84" s="26">
        <v>0</v>
      </c>
      <c r="E84" s="43">
        <f>F84-D84</f>
        <v>230000</v>
      </c>
      <c r="F84" s="45">
        <v>230000</v>
      </c>
      <c r="G84" s="45">
        <v>290000</v>
      </c>
      <c r="H84" s="14"/>
      <c r="I84" s="167"/>
      <c r="J84" s="15"/>
      <c r="K84" s="15"/>
      <c r="L84" s="15"/>
      <c r="M84" s="15"/>
      <c r="N84" s="15"/>
      <c r="O84" s="15"/>
      <c r="P84" s="15"/>
      <c r="Q84" s="15"/>
      <c r="R84" s="15"/>
      <c r="S84" s="15"/>
      <c r="T84" s="15"/>
      <c r="U84" s="15"/>
      <c r="V84" s="15"/>
      <c r="W84" s="15"/>
      <c r="X84" s="15"/>
      <c r="Y84" s="15"/>
      <c r="Z84" s="15"/>
    </row>
    <row r="85" spans="1:26" ht="15.75" customHeight="1" x14ac:dyDescent="0.25">
      <c r="A85" s="44" t="s">
        <v>1548</v>
      </c>
      <c r="B85" s="172"/>
      <c r="C85" s="45"/>
      <c r="D85" s="26"/>
      <c r="E85" s="43"/>
      <c r="F85" s="45"/>
      <c r="G85" s="45"/>
      <c r="H85" s="7"/>
      <c r="I85" s="212"/>
      <c r="J85" s="114"/>
      <c r="K85" s="114"/>
      <c r="L85" s="114"/>
      <c r="M85" s="114"/>
      <c r="N85" s="114"/>
      <c r="O85" s="114"/>
      <c r="P85" s="114"/>
      <c r="Q85" s="114"/>
      <c r="R85" s="114"/>
      <c r="S85" s="114"/>
      <c r="T85" s="114"/>
      <c r="U85" s="114"/>
      <c r="V85" s="114"/>
      <c r="W85" s="114"/>
      <c r="X85" s="114"/>
      <c r="Y85" s="114"/>
      <c r="Z85" s="114"/>
    </row>
    <row r="86" spans="1:26" ht="15.75" customHeight="1" x14ac:dyDescent="0.25">
      <c r="A86" s="44" t="s">
        <v>1549</v>
      </c>
      <c r="B86" s="172"/>
      <c r="C86" s="45"/>
      <c r="D86" s="26"/>
      <c r="E86" s="43"/>
      <c r="F86" s="45"/>
      <c r="G86" s="45"/>
      <c r="H86" s="7"/>
      <c r="I86" s="212"/>
      <c r="J86" s="114"/>
      <c r="K86" s="114"/>
      <c r="L86" s="114"/>
      <c r="M86" s="114"/>
      <c r="N86" s="114"/>
      <c r="O86" s="114"/>
      <c r="P86" s="114"/>
      <c r="Q86" s="114"/>
      <c r="R86" s="114"/>
      <c r="S86" s="114"/>
      <c r="T86" s="114"/>
      <c r="U86" s="114"/>
      <c r="V86" s="114"/>
      <c r="W86" s="114"/>
      <c r="X86" s="114"/>
      <c r="Y86" s="114"/>
      <c r="Z86" s="114"/>
    </row>
    <row r="87" spans="1:26" ht="15.75" customHeight="1" x14ac:dyDescent="0.25">
      <c r="A87" s="17" t="s">
        <v>536</v>
      </c>
      <c r="B87" s="172"/>
      <c r="C87" s="54">
        <f t="shared" ref="C87:G87" si="9">+SUM(C84)</f>
        <v>0</v>
      </c>
      <c r="D87" s="54">
        <f t="shared" si="9"/>
        <v>0</v>
      </c>
      <c r="E87" s="54">
        <f t="shared" si="9"/>
        <v>230000</v>
      </c>
      <c r="F87" s="54">
        <f t="shared" si="9"/>
        <v>230000</v>
      </c>
      <c r="G87" s="54">
        <f t="shared" si="9"/>
        <v>290000</v>
      </c>
      <c r="H87" s="7"/>
      <c r="I87" s="212"/>
      <c r="J87" s="114"/>
      <c r="K87" s="114"/>
      <c r="L87" s="114"/>
      <c r="M87" s="114"/>
      <c r="N87" s="114"/>
      <c r="O87" s="114"/>
      <c r="P87" s="114"/>
      <c r="Q87" s="114"/>
      <c r="R87" s="114"/>
      <c r="S87" s="114"/>
      <c r="T87" s="114"/>
      <c r="U87" s="114"/>
      <c r="V87" s="114"/>
      <c r="W87" s="114"/>
      <c r="X87" s="114"/>
      <c r="Y87" s="114"/>
      <c r="Z87" s="114"/>
    </row>
    <row r="88" spans="1:26" ht="15.75" customHeight="1" x14ac:dyDescent="0.25">
      <c r="A88" s="17"/>
      <c r="B88" s="41"/>
      <c r="C88" s="43"/>
      <c r="D88" s="43"/>
      <c r="E88" s="43"/>
      <c r="F88" s="43"/>
      <c r="G88" s="43"/>
      <c r="H88" s="7"/>
      <c r="I88" s="212"/>
      <c r="J88" s="114"/>
      <c r="K88" s="114"/>
      <c r="L88" s="114"/>
      <c r="M88" s="114"/>
      <c r="N88" s="114"/>
      <c r="O88" s="114"/>
      <c r="P88" s="114"/>
      <c r="Q88" s="114"/>
      <c r="R88" s="114"/>
      <c r="S88" s="114"/>
      <c r="T88" s="114"/>
      <c r="U88" s="114"/>
      <c r="V88" s="114"/>
      <c r="W88" s="114"/>
      <c r="X88" s="114"/>
      <c r="Y88" s="114"/>
      <c r="Z88" s="114"/>
    </row>
    <row r="89" spans="1:26" ht="15.75" customHeight="1" x14ac:dyDescent="0.25">
      <c r="A89" s="50" t="s">
        <v>487</v>
      </c>
      <c r="B89" s="51" t="s">
        <v>488</v>
      </c>
      <c r="C89" s="54">
        <f t="shared" ref="C89:G89" si="10">+C87+C80</f>
        <v>16636876.77</v>
      </c>
      <c r="D89" s="54">
        <f t="shared" si="10"/>
        <v>9041119.0600000005</v>
      </c>
      <c r="E89" s="54">
        <f t="shared" si="10"/>
        <v>15230144.939999999</v>
      </c>
      <c r="F89" s="54">
        <f t="shared" si="10"/>
        <v>24271264</v>
      </c>
      <c r="G89" s="54">
        <f t="shared" si="10"/>
        <v>25341295</v>
      </c>
      <c r="H89" s="194"/>
      <c r="I89" s="280"/>
      <c r="J89" s="176"/>
      <c r="K89" s="176"/>
      <c r="L89" s="176"/>
      <c r="M89" s="176"/>
      <c r="N89" s="176"/>
      <c r="O89" s="176"/>
      <c r="P89" s="176"/>
      <c r="Q89" s="176"/>
      <c r="R89" s="176"/>
      <c r="S89" s="176"/>
      <c r="T89" s="176"/>
      <c r="U89" s="176"/>
      <c r="V89" s="176"/>
      <c r="W89" s="176"/>
      <c r="X89" s="176"/>
      <c r="Y89" s="176"/>
      <c r="Z89" s="176"/>
    </row>
    <row r="90" spans="1:26" ht="15.75" customHeight="1" x14ac:dyDescent="0.25">
      <c r="A90" s="24"/>
      <c r="B90" s="174"/>
      <c r="C90" s="24"/>
      <c r="D90" s="24"/>
      <c r="E90" s="24"/>
      <c r="F90" s="114"/>
      <c r="G90" s="114"/>
      <c r="H90" s="7"/>
      <c r="I90" s="212"/>
      <c r="J90" s="114"/>
      <c r="K90" s="114"/>
      <c r="L90" s="114"/>
      <c r="M90" s="114"/>
      <c r="N90" s="114"/>
      <c r="O90" s="114"/>
      <c r="P90" s="114"/>
      <c r="Q90" s="114"/>
      <c r="R90" s="114"/>
      <c r="S90" s="114"/>
      <c r="T90" s="114"/>
      <c r="U90" s="114"/>
      <c r="V90" s="114"/>
      <c r="W90" s="114"/>
      <c r="X90" s="114"/>
      <c r="Y90" s="114"/>
      <c r="Z90" s="114"/>
    </row>
    <row r="91" spans="1:26" ht="15.75" customHeight="1" x14ac:dyDescent="0.25">
      <c r="A91" s="24"/>
      <c r="B91" s="25"/>
      <c r="C91" s="24"/>
      <c r="D91" s="24"/>
      <c r="E91" s="24"/>
      <c r="F91" s="24"/>
      <c r="G91" s="24"/>
      <c r="H91" s="7"/>
      <c r="I91" s="212"/>
      <c r="J91" s="114"/>
      <c r="K91" s="114"/>
      <c r="L91" s="114"/>
      <c r="M91" s="114"/>
      <c r="N91" s="114"/>
      <c r="O91" s="114"/>
      <c r="P91" s="114"/>
      <c r="Q91" s="114"/>
      <c r="R91" s="114"/>
      <c r="S91" s="114"/>
      <c r="T91" s="114"/>
      <c r="U91" s="114"/>
      <c r="V91" s="114"/>
      <c r="W91" s="114"/>
      <c r="X91" s="114"/>
      <c r="Y91" s="114"/>
      <c r="Z91" s="114"/>
    </row>
    <row r="92" spans="1:26" ht="15.75" customHeight="1" x14ac:dyDescent="0.25">
      <c r="A92" s="24"/>
      <c r="B92" s="25"/>
      <c r="C92" s="24"/>
      <c r="D92" s="24"/>
      <c r="E92" s="24"/>
      <c r="F92" s="114"/>
      <c r="G92" s="114"/>
      <c r="H92" s="7"/>
      <c r="I92" s="212"/>
      <c r="J92" s="114"/>
      <c r="K92" s="114"/>
      <c r="L92" s="114"/>
      <c r="M92" s="114"/>
      <c r="N92" s="114"/>
      <c r="O92" s="114"/>
      <c r="P92" s="114"/>
      <c r="Q92" s="114"/>
      <c r="R92" s="114"/>
      <c r="S92" s="114"/>
      <c r="T92" s="114"/>
      <c r="U92" s="114"/>
      <c r="V92" s="114"/>
      <c r="W92" s="114"/>
      <c r="X92" s="114"/>
      <c r="Y92" s="114"/>
      <c r="Z92" s="114"/>
    </row>
    <row r="93" spans="1:26" ht="15.75" customHeight="1" x14ac:dyDescent="0.25">
      <c r="A93" s="24"/>
      <c r="B93" s="25"/>
      <c r="C93" s="24"/>
      <c r="D93" s="24"/>
      <c r="E93" s="24"/>
      <c r="F93" s="114"/>
      <c r="G93" s="114"/>
      <c r="H93" s="7"/>
      <c r="I93" s="212"/>
      <c r="J93" s="114"/>
      <c r="K93" s="114"/>
      <c r="L93" s="114"/>
      <c r="M93" s="114"/>
      <c r="N93" s="114"/>
      <c r="O93" s="114"/>
      <c r="P93" s="114"/>
      <c r="Q93" s="114"/>
      <c r="R93" s="114"/>
      <c r="S93" s="114"/>
      <c r="T93" s="114"/>
      <c r="U93" s="114"/>
      <c r="V93" s="114"/>
      <c r="W93" s="114"/>
      <c r="X93" s="114"/>
      <c r="Y93" s="114"/>
      <c r="Z93" s="114"/>
    </row>
    <row r="94" spans="1:26" ht="15.75" customHeight="1" x14ac:dyDescent="0.25">
      <c r="A94" s="24"/>
      <c r="B94" s="25"/>
      <c r="C94" s="24"/>
      <c r="D94" s="24"/>
      <c r="E94" s="24"/>
      <c r="F94" s="114"/>
      <c r="G94" s="114"/>
      <c r="H94" s="7"/>
      <c r="I94" s="212"/>
      <c r="J94" s="114"/>
      <c r="K94" s="114"/>
      <c r="L94" s="114"/>
      <c r="M94" s="114"/>
      <c r="N94" s="114"/>
      <c r="O94" s="114"/>
      <c r="P94" s="114"/>
      <c r="Q94" s="114"/>
      <c r="R94" s="114"/>
      <c r="S94" s="114"/>
      <c r="T94" s="114"/>
      <c r="U94" s="114"/>
      <c r="V94" s="114"/>
      <c r="W94" s="114"/>
      <c r="X94" s="114"/>
      <c r="Y94" s="114"/>
      <c r="Z94" s="114"/>
    </row>
    <row r="95" spans="1:26" ht="15.75" customHeight="1" x14ac:dyDescent="0.25">
      <c r="A95" s="24"/>
      <c r="B95" s="25"/>
      <c r="C95" s="24"/>
      <c r="D95" s="24"/>
      <c r="E95" s="24"/>
      <c r="F95" s="114"/>
      <c r="G95" s="114"/>
      <c r="H95" s="7"/>
      <c r="I95" s="212"/>
      <c r="J95" s="114"/>
      <c r="K95" s="114"/>
      <c r="L95" s="114"/>
      <c r="M95" s="114"/>
      <c r="N95" s="114"/>
      <c r="O95" s="114"/>
      <c r="P95" s="114"/>
      <c r="Q95" s="114"/>
      <c r="R95" s="114"/>
      <c r="S95" s="114"/>
      <c r="T95" s="114"/>
      <c r="U95" s="114"/>
      <c r="V95" s="114"/>
      <c r="W95" s="114"/>
      <c r="X95" s="114"/>
      <c r="Y95" s="114"/>
      <c r="Z95" s="114"/>
    </row>
    <row r="96" spans="1:26" ht="15.75" customHeight="1" x14ac:dyDescent="0.25">
      <c r="A96" s="24"/>
      <c r="B96" s="25"/>
      <c r="C96" s="24"/>
      <c r="D96" s="24"/>
      <c r="E96" s="24"/>
      <c r="F96" s="114"/>
      <c r="G96" s="114"/>
      <c r="H96" s="7"/>
      <c r="I96" s="212"/>
      <c r="J96" s="114"/>
      <c r="K96" s="114"/>
      <c r="L96" s="114"/>
      <c r="M96" s="114"/>
      <c r="N96" s="114"/>
      <c r="O96" s="114"/>
      <c r="P96" s="114"/>
      <c r="Q96" s="114"/>
      <c r="R96" s="114"/>
      <c r="S96" s="114"/>
      <c r="T96" s="114"/>
      <c r="U96" s="114"/>
      <c r="V96" s="114"/>
      <c r="W96" s="114"/>
      <c r="X96" s="114"/>
      <c r="Y96" s="114"/>
      <c r="Z96" s="114"/>
    </row>
    <row r="97" spans="1:26" ht="15.75" customHeight="1" x14ac:dyDescent="0.25">
      <c r="A97" s="24"/>
      <c r="B97" s="25"/>
      <c r="C97" s="24"/>
      <c r="D97" s="24"/>
      <c r="E97" s="24"/>
      <c r="F97" s="114"/>
      <c r="G97" s="114"/>
      <c r="H97" s="7"/>
      <c r="I97" s="212"/>
      <c r="J97" s="114"/>
      <c r="K97" s="114"/>
      <c r="L97" s="114"/>
      <c r="M97" s="114"/>
      <c r="N97" s="114"/>
      <c r="O97" s="114"/>
      <c r="P97" s="114"/>
      <c r="Q97" s="114"/>
      <c r="R97" s="114"/>
      <c r="S97" s="114"/>
      <c r="T97" s="114"/>
      <c r="U97" s="114"/>
      <c r="V97" s="114"/>
      <c r="W97" s="114"/>
      <c r="X97" s="114"/>
      <c r="Y97" s="114"/>
      <c r="Z97" s="114"/>
    </row>
    <row r="98" spans="1:26" ht="15.75" customHeight="1" x14ac:dyDescent="0.25">
      <c r="A98" s="24"/>
      <c r="B98" s="25"/>
      <c r="C98" s="24"/>
      <c r="D98" s="24"/>
      <c r="E98" s="24"/>
      <c r="F98" s="114"/>
      <c r="G98" s="114"/>
      <c r="H98" s="7"/>
      <c r="I98" s="212"/>
      <c r="J98" s="114"/>
      <c r="K98" s="114"/>
      <c r="L98" s="114"/>
      <c r="M98" s="114"/>
      <c r="N98" s="114"/>
      <c r="O98" s="114"/>
      <c r="P98" s="114"/>
      <c r="Q98" s="114"/>
      <c r="R98" s="114"/>
      <c r="S98" s="114"/>
      <c r="T98" s="114"/>
      <c r="U98" s="114"/>
      <c r="V98" s="114"/>
      <c r="W98" s="114"/>
      <c r="X98" s="114"/>
      <c r="Y98" s="114"/>
      <c r="Z98" s="114"/>
    </row>
    <row r="99" spans="1:26" ht="15.75" customHeight="1" x14ac:dyDescent="0.25">
      <c r="A99" s="24"/>
      <c r="B99" s="25"/>
      <c r="C99" s="24"/>
      <c r="D99" s="24"/>
      <c r="E99" s="24"/>
      <c r="F99" s="114"/>
      <c r="G99" s="114"/>
      <c r="H99" s="7"/>
      <c r="I99" s="212"/>
      <c r="J99" s="114"/>
      <c r="K99" s="114"/>
      <c r="L99" s="114"/>
      <c r="M99" s="114"/>
      <c r="N99" s="114"/>
      <c r="O99" s="114"/>
      <c r="P99" s="114"/>
      <c r="Q99" s="114"/>
      <c r="R99" s="114"/>
      <c r="S99" s="114"/>
      <c r="T99" s="114"/>
      <c r="U99" s="114"/>
      <c r="V99" s="114"/>
      <c r="W99" s="114"/>
      <c r="X99" s="114"/>
      <c r="Y99" s="114"/>
      <c r="Z99" s="114"/>
    </row>
    <row r="100" spans="1:26" ht="15.75" customHeight="1" x14ac:dyDescent="0.25">
      <c r="A100" s="24"/>
      <c r="B100" s="25"/>
      <c r="C100" s="24"/>
      <c r="D100" s="24"/>
      <c r="E100" s="24"/>
      <c r="F100" s="114"/>
      <c r="G100" s="114"/>
      <c r="H100" s="7"/>
      <c r="I100" s="212"/>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25">
      <c r="A101" s="24"/>
      <c r="B101" s="25"/>
      <c r="C101" s="24"/>
      <c r="D101" s="24"/>
      <c r="E101" s="24"/>
      <c r="F101" s="114"/>
      <c r="G101" s="114"/>
      <c r="H101" s="7"/>
      <c r="I101" s="212"/>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25">
      <c r="A102" s="24"/>
      <c r="B102" s="25"/>
      <c r="C102" s="24"/>
      <c r="D102" s="24"/>
      <c r="E102" s="24"/>
      <c r="F102" s="114"/>
      <c r="G102" s="114"/>
      <c r="H102" s="7"/>
      <c r="I102" s="212"/>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25">
      <c r="A103" s="24"/>
      <c r="B103" s="25"/>
      <c r="C103" s="24"/>
      <c r="D103" s="24"/>
      <c r="E103" s="24"/>
      <c r="F103" s="114"/>
      <c r="G103" s="114"/>
      <c r="H103" s="7"/>
      <c r="I103" s="212"/>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25">
      <c r="A104" s="24"/>
      <c r="B104" s="25"/>
      <c r="C104" s="24"/>
      <c r="D104" s="24"/>
      <c r="E104" s="24"/>
      <c r="F104" s="114"/>
      <c r="G104" s="114"/>
      <c r="H104" s="7"/>
      <c r="I104" s="212"/>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25">
      <c r="A105" s="24"/>
      <c r="B105" s="25"/>
      <c r="C105" s="24"/>
      <c r="D105" s="24"/>
      <c r="E105" s="24"/>
      <c r="F105" s="114"/>
      <c r="G105" s="114"/>
      <c r="H105" s="7"/>
      <c r="I105" s="212"/>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25">
      <c r="A106" s="24"/>
      <c r="B106" s="25"/>
      <c r="C106" s="24"/>
      <c r="D106" s="24"/>
      <c r="E106" s="24"/>
      <c r="F106" s="114"/>
      <c r="G106" s="114"/>
      <c r="H106" s="7"/>
      <c r="I106" s="212"/>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25">
      <c r="A107" s="24"/>
      <c r="B107" s="25"/>
      <c r="C107" s="24"/>
      <c r="D107" s="24"/>
      <c r="E107" s="24"/>
      <c r="F107" s="114"/>
      <c r="G107" s="114"/>
      <c r="H107" s="7"/>
      <c r="I107" s="212"/>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25">
      <c r="A108" s="24"/>
      <c r="B108" s="25"/>
      <c r="C108" s="24"/>
      <c r="D108" s="24"/>
      <c r="E108" s="24"/>
      <c r="F108" s="114"/>
      <c r="G108" s="114"/>
      <c r="H108" s="7"/>
      <c r="I108" s="212"/>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25">
      <c r="A109" s="24"/>
      <c r="B109" s="25"/>
      <c r="C109" s="24"/>
      <c r="D109" s="24"/>
      <c r="E109" s="24"/>
      <c r="F109" s="114"/>
      <c r="G109" s="114"/>
      <c r="H109" s="7"/>
      <c r="I109" s="212"/>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25">
      <c r="A110" s="24"/>
      <c r="B110" s="25"/>
      <c r="C110" s="24"/>
      <c r="D110" s="24"/>
      <c r="E110" s="24"/>
      <c r="F110" s="114"/>
      <c r="G110" s="114"/>
      <c r="H110" s="7"/>
      <c r="I110" s="212"/>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25">
      <c r="A111" s="24"/>
      <c r="B111" s="25"/>
      <c r="C111" s="24"/>
      <c r="D111" s="24"/>
      <c r="E111" s="24"/>
      <c r="F111" s="114"/>
      <c r="G111" s="114"/>
      <c r="H111" s="7"/>
      <c r="I111" s="212"/>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25">
      <c r="A112" s="24"/>
      <c r="B112" s="25"/>
      <c r="C112" s="24"/>
      <c r="D112" s="24"/>
      <c r="E112" s="24"/>
      <c r="F112" s="114"/>
      <c r="G112" s="114"/>
      <c r="H112" s="7"/>
      <c r="I112" s="212"/>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25">
      <c r="A113" s="24"/>
      <c r="B113" s="25"/>
      <c r="C113" s="24"/>
      <c r="D113" s="24"/>
      <c r="E113" s="24"/>
      <c r="F113" s="114"/>
      <c r="G113" s="114"/>
      <c r="H113" s="7"/>
      <c r="I113" s="212"/>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25">
      <c r="A114" s="24"/>
      <c r="B114" s="25"/>
      <c r="C114" s="24"/>
      <c r="D114" s="24"/>
      <c r="E114" s="24"/>
      <c r="F114" s="114"/>
      <c r="G114" s="114"/>
      <c r="H114" s="7"/>
      <c r="I114" s="212"/>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25">
      <c r="A115" s="24"/>
      <c r="B115" s="25"/>
      <c r="C115" s="24"/>
      <c r="D115" s="24"/>
      <c r="E115" s="24"/>
      <c r="F115" s="114"/>
      <c r="G115" s="114"/>
      <c r="H115" s="7"/>
      <c r="I115" s="212"/>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25">
      <c r="A116" s="24"/>
      <c r="B116" s="25"/>
      <c r="C116" s="24"/>
      <c r="D116" s="24"/>
      <c r="E116" s="24"/>
      <c r="F116" s="114"/>
      <c r="G116" s="114"/>
      <c r="H116" s="7"/>
      <c r="I116" s="212"/>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25">
      <c r="A117" s="24"/>
      <c r="B117" s="25"/>
      <c r="C117" s="24"/>
      <c r="D117" s="24"/>
      <c r="E117" s="24"/>
      <c r="F117" s="114"/>
      <c r="G117" s="114"/>
      <c r="H117" s="7"/>
      <c r="I117" s="212"/>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25">
      <c r="A118" s="24"/>
      <c r="B118" s="25"/>
      <c r="C118" s="24"/>
      <c r="D118" s="24"/>
      <c r="E118" s="24"/>
      <c r="F118" s="114"/>
      <c r="G118" s="114"/>
      <c r="H118" s="7"/>
      <c r="I118" s="212"/>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25">
      <c r="A119" s="24"/>
      <c r="B119" s="25"/>
      <c r="C119" s="24"/>
      <c r="D119" s="24"/>
      <c r="E119" s="24"/>
      <c r="F119" s="114"/>
      <c r="G119" s="114"/>
      <c r="H119" s="7"/>
      <c r="I119" s="212"/>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25">
      <c r="A120" s="24"/>
      <c r="B120" s="25"/>
      <c r="C120" s="24"/>
      <c r="D120" s="24"/>
      <c r="E120" s="24"/>
      <c r="F120" s="114"/>
      <c r="G120" s="114"/>
      <c r="H120" s="7"/>
      <c r="I120" s="212"/>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25">
      <c r="A121" s="24"/>
      <c r="B121" s="25"/>
      <c r="C121" s="24"/>
      <c r="D121" s="24"/>
      <c r="E121" s="24"/>
      <c r="F121" s="114"/>
      <c r="G121" s="114"/>
      <c r="H121" s="7"/>
      <c r="I121" s="212"/>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25">
      <c r="A122" s="24"/>
      <c r="B122" s="25"/>
      <c r="C122" s="24"/>
      <c r="D122" s="24"/>
      <c r="E122" s="24"/>
      <c r="F122" s="114"/>
      <c r="G122" s="114"/>
      <c r="H122" s="7"/>
      <c r="I122" s="212"/>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25">
      <c r="A123" s="24"/>
      <c r="B123" s="25"/>
      <c r="C123" s="24"/>
      <c r="D123" s="24"/>
      <c r="E123" s="24"/>
      <c r="F123" s="114"/>
      <c r="G123" s="114"/>
      <c r="H123" s="7"/>
      <c r="I123" s="212"/>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25">
      <c r="A124" s="24"/>
      <c r="B124" s="25"/>
      <c r="C124" s="24"/>
      <c r="D124" s="24"/>
      <c r="E124" s="24"/>
      <c r="F124" s="114"/>
      <c r="G124" s="114"/>
      <c r="H124" s="7"/>
      <c r="I124" s="212"/>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25">
      <c r="A125" s="24"/>
      <c r="B125" s="25"/>
      <c r="C125" s="24"/>
      <c r="D125" s="24"/>
      <c r="E125" s="24"/>
      <c r="F125" s="114"/>
      <c r="G125" s="114"/>
      <c r="H125" s="7"/>
      <c r="I125" s="212"/>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25">
      <c r="A126" s="24"/>
      <c r="B126" s="25"/>
      <c r="C126" s="24"/>
      <c r="D126" s="24"/>
      <c r="E126" s="24"/>
      <c r="F126" s="114"/>
      <c r="G126" s="114"/>
      <c r="H126" s="7"/>
      <c r="I126" s="212"/>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25">
      <c r="A127" s="24"/>
      <c r="B127" s="25"/>
      <c r="C127" s="24"/>
      <c r="D127" s="24"/>
      <c r="E127" s="24"/>
      <c r="F127" s="114"/>
      <c r="G127" s="114"/>
      <c r="H127" s="7"/>
      <c r="I127" s="212"/>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25">
      <c r="A128" s="24"/>
      <c r="B128" s="25"/>
      <c r="C128" s="24"/>
      <c r="D128" s="24"/>
      <c r="E128" s="24"/>
      <c r="F128" s="114"/>
      <c r="G128" s="114"/>
      <c r="H128" s="7"/>
      <c r="I128" s="212"/>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25">
      <c r="A129" s="24"/>
      <c r="B129" s="25"/>
      <c r="C129" s="24"/>
      <c r="D129" s="24"/>
      <c r="E129" s="24"/>
      <c r="F129" s="114"/>
      <c r="G129" s="114"/>
      <c r="H129" s="7"/>
      <c r="I129" s="212"/>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25">
      <c r="A130" s="24"/>
      <c r="B130" s="25"/>
      <c r="C130" s="24"/>
      <c r="D130" s="24"/>
      <c r="E130" s="24"/>
      <c r="F130" s="114"/>
      <c r="G130" s="114"/>
      <c r="H130" s="7"/>
      <c r="I130" s="212"/>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25">
      <c r="A131" s="24"/>
      <c r="B131" s="25"/>
      <c r="C131" s="24"/>
      <c r="D131" s="24"/>
      <c r="E131" s="24"/>
      <c r="F131" s="114"/>
      <c r="G131" s="114"/>
      <c r="H131" s="7"/>
      <c r="I131" s="212"/>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25">
      <c r="A132" s="24"/>
      <c r="B132" s="25"/>
      <c r="C132" s="24"/>
      <c r="D132" s="24"/>
      <c r="E132" s="24"/>
      <c r="F132" s="114"/>
      <c r="G132" s="114"/>
      <c r="H132" s="7"/>
      <c r="I132" s="212"/>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25">
      <c r="A133" s="24"/>
      <c r="B133" s="25"/>
      <c r="C133" s="24"/>
      <c r="D133" s="24"/>
      <c r="E133" s="24"/>
      <c r="F133" s="114"/>
      <c r="G133" s="114"/>
      <c r="H133" s="7"/>
      <c r="I133" s="212"/>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25">
      <c r="A134" s="24"/>
      <c r="B134" s="25"/>
      <c r="C134" s="24"/>
      <c r="D134" s="24"/>
      <c r="E134" s="24"/>
      <c r="F134" s="114"/>
      <c r="G134" s="114"/>
      <c r="H134" s="7"/>
      <c r="I134" s="212"/>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25">
      <c r="A135" s="24"/>
      <c r="B135" s="25"/>
      <c r="C135" s="24"/>
      <c r="D135" s="24"/>
      <c r="E135" s="24"/>
      <c r="F135" s="114"/>
      <c r="G135" s="114"/>
      <c r="H135" s="7"/>
      <c r="I135" s="212"/>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25">
      <c r="A136" s="24"/>
      <c r="B136" s="25"/>
      <c r="C136" s="24"/>
      <c r="D136" s="24"/>
      <c r="E136" s="24"/>
      <c r="F136" s="114"/>
      <c r="G136" s="114"/>
      <c r="H136" s="7"/>
      <c r="I136" s="212"/>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25">
      <c r="A137" s="24"/>
      <c r="B137" s="25"/>
      <c r="C137" s="24"/>
      <c r="D137" s="24"/>
      <c r="E137" s="24"/>
      <c r="F137" s="114"/>
      <c r="G137" s="114"/>
      <c r="H137" s="7"/>
      <c r="I137" s="212"/>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25">
      <c r="A138" s="24"/>
      <c r="B138" s="25"/>
      <c r="C138" s="24"/>
      <c r="D138" s="24"/>
      <c r="E138" s="24"/>
      <c r="F138" s="114"/>
      <c r="G138" s="114"/>
      <c r="H138" s="7"/>
      <c r="I138" s="212"/>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25">
      <c r="A139" s="24"/>
      <c r="B139" s="25"/>
      <c r="C139" s="24"/>
      <c r="D139" s="24"/>
      <c r="E139" s="24"/>
      <c r="F139" s="114"/>
      <c r="G139" s="114"/>
      <c r="H139" s="7"/>
      <c r="I139" s="212"/>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25">
      <c r="A140" s="24"/>
      <c r="B140" s="25"/>
      <c r="C140" s="24"/>
      <c r="D140" s="24"/>
      <c r="E140" s="24"/>
      <c r="F140" s="114"/>
      <c r="G140" s="114"/>
      <c r="H140" s="7"/>
      <c r="I140" s="212"/>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25">
      <c r="A141" s="24"/>
      <c r="B141" s="25"/>
      <c r="C141" s="24"/>
      <c r="D141" s="24"/>
      <c r="E141" s="24"/>
      <c r="F141" s="114"/>
      <c r="G141" s="114"/>
      <c r="H141" s="7"/>
      <c r="I141" s="212"/>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25">
      <c r="A142" s="24"/>
      <c r="B142" s="25"/>
      <c r="C142" s="24"/>
      <c r="D142" s="24"/>
      <c r="E142" s="24"/>
      <c r="F142" s="114"/>
      <c r="G142" s="114"/>
      <c r="H142" s="7"/>
      <c r="I142" s="212"/>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25">
      <c r="A143" s="24"/>
      <c r="B143" s="25"/>
      <c r="C143" s="24"/>
      <c r="D143" s="24"/>
      <c r="E143" s="24"/>
      <c r="F143" s="114"/>
      <c r="G143" s="114"/>
      <c r="H143" s="7"/>
      <c r="I143" s="212"/>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25">
      <c r="A144" s="24"/>
      <c r="B144" s="25"/>
      <c r="C144" s="24"/>
      <c r="D144" s="24"/>
      <c r="E144" s="24"/>
      <c r="F144" s="114"/>
      <c r="G144" s="114"/>
      <c r="H144" s="7"/>
      <c r="I144" s="212"/>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25">
      <c r="A145" s="24"/>
      <c r="B145" s="25"/>
      <c r="C145" s="24"/>
      <c r="D145" s="24"/>
      <c r="E145" s="24"/>
      <c r="F145" s="114"/>
      <c r="G145" s="114"/>
      <c r="H145" s="7"/>
      <c r="I145" s="212"/>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25">
      <c r="A146" s="24"/>
      <c r="B146" s="25"/>
      <c r="C146" s="24"/>
      <c r="D146" s="24"/>
      <c r="E146" s="24"/>
      <c r="F146" s="114"/>
      <c r="G146" s="114"/>
      <c r="H146" s="7"/>
      <c r="I146" s="212"/>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25">
      <c r="A147" s="24"/>
      <c r="B147" s="25"/>
      <c r="C147" s="24"/>
      <c r="D147" s="24"/>
      <c r="E147" s="24"/>
      <c r="F147" s="114"/>
      <c r="G147" s="114"/>
      <c r="H147" s="7"/>
      <c r="I147" s="212"/>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25">
      <c r="A148" s="24"/>
      <c r="B148" s="25"/>
      <c r="C148" s="24"/>
      <c r="D148" s="24"/>
      <c r="E148" s="24"/>
      <c r="F148" s="114"/>
      <c r="G148" s="114"/>
      <c r="H148" s="7"/>
      <c r="I148" s="212"/>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25">
      <c r="A149" s="24"/>
      <c r="B149" s="25"/>
      <c r="C149" s="24"/>
      <c r="D149" s="24"/>
      <c r="E149" s="24"/>
      <c r="F149" s="114"/>
      <c r="G149" s="114"/>
      <c r="H149" s="7"/>
      <c r="I149" s="212"/>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25">
      <c r="A150" s="24"/>
      <c r="B150" s="25"/>
      <c r="C150" s="24"/>
      <c r="D150" s="24"/>
      <c r="E150" s="24"/>
      <c r="F150" s="114"/>
      <c r="G150" s="114"/>
      <c r="H150" s="7"/>
      <c r="I150" s="212"/>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25">
      <c r="A151" s="24"/>
      <c r="B151" s="25"/>
      <c r="C151" s="24"/>
      <c r="D151" s="24"/>
      <c r="E151" s="24"/>
      <c r="F151" s="114"/>
      <c r="G151" s="114"/>
      <c r="H151" s="7"/>
      <c r="I151" s="212"/>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25">
      <c r="A152" s="24"/>
      <c r="B152" s="25"/>
      <c r="C152" s="24"/>
      <c r="D152" s="24"/>
      <c r="E152" s="24"/>
      <c r="F152" s="114"/>
      <c r="G152" s="114"/>
      <c r="H152" s="7"/>
      <c r="I152" s="212"/>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25">
      <c r="A153" s="24"/>
      <c r="B153" s="25"/>
      <c r="C153" s="24"/>
      <c r="D153" s="24"/>
      <c r="E153" s="24"/>
      <c r="F153" s="114"/>
      <c r="G153" s="114"/>
      <c r="H153" s="7"/>
      <c r="I153" s="212"/>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25">
      <c r="A154" s="24"/>
      <c r="B154" s="25"/>
      <c r="C154" s="24"/>
      <c r="D154" s="24"/>
      <c r="E154" s="24"/>
      <c r="F154" s="114"/>
      <c r="G154" s="114"/>
      <c r="H154" s="7"/>
      <c r="I154" s="212"/>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25">
      <c r="A155" s="24"/>
      <c r="B155" s="25"/>
      <c r="C155" s="24"/>
      <c r="D155" s="24"/>
      <c r="E155" s="24"/>
      <c r="F155" s="114"/>
      <c r="G155" s="114"/>
      <c r="H155" s="7"/>
      <c r="I155" s="212"/>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25">
      <c r="A156" s="24"/>
      <c r="B156" s="25"/>
      <c r="C156" s="24"/>
      <c r="D156" s="24"/>
      <c r="E156" s="24"/>
      <c r="F156" s="114"/>
      <c r="G156" s="114"/>
      <c r="H156" s="7"/>
      <c r="I156" s="212"/>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25">
      <c r="A157" s="24"/>
      <c r="B157" s="25"/>
      <c r="C157" s="24"/>
      <c r="D157" s="24"/>
      <c r="E157" s="24"/>
      <c r="F157" s="114"/>
      <c r="G157" s="114"/>
      <c r="H157" s="7"/>
      <c r="I157" s="212"/>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25">
      <c r="A158" s="24"/>
      <c r="B158" s="25"/>
      <c r="C158" s="24"/>
      <c r="D158" s="24"/>
      <c r="E158" s="24"/>
      <c r="F158" s="114"/>
      <c r="G158" s="114"/>
      <c r="H158" s="7"/>
      <c r="I158" s="212"/>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25">
      <c r="A159" s="24"/>
      <c r="B159" s="25"/>
      <c r="C159" s="24"/>
      <c r="D159" s="24"/>
      <c r="E159" s="24"/>
      <c r="F159" s="114"/>
      <c r="G159" s="114"/>
      <c r="H159" s="7"/>
      <c r="I159" s="212"/>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25">
      <c r="A160" s="24"/>
      <c r="B160" s="25"/>
      <c r="C160" s="24"/>
      <c r="D160" s="24"/>
      <c r="E160" s="24"/>
      <c r="F160" s="114"/>
      <c r="G160" s="114"/>
      <c r="H160" s="7"/>
      <c r="I160" s="212"/>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25">
      <c r="A161" s="24"/>
      <c r="B161" s="25"/>
      <c r="C161" s="24"/>
      <c r="D161" s="24"/>
      <c r="E161" s="24"/>
      <c r="F161" s="114"/>
      <c r="G161" s="114"/>
      <c r="H161" s="7"/>
      <c r="I161" s="212"/>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25">
      <c r="A162" s="24"/>
      <c r="B162" s="25"/>
      <c r="C162" s="24"/>
      <c r="D162" s="24"/>
      <c r="E162" s="24"/>
      <c r="F162" s="114"/>
      <c r="G162" s="114"/>
      <c r="H162" s="7"/>
      <c r="I162" s="212"/>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25">
      <c r="A163" s="24"/>
      <c r="B163" s="25"/>
      <c r="C163" s="24"/>
      <c r="D163" s="24"/>
      <c r="E163" s="24"/>
      <c r="F163" s="114"/>
      <c r="G163" s="114"/>
      <c r="H163" s="7"/>
      <c r="I163" s="212"/>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25">
      <c r="A164" s="24"/>
      <c r="B164" s="25"/>
      <c r="C164" s="24"/>
      <c r="D164" s="24"/>
      <c r="E164" s="24"/>
      <c r="F164" s="114"/>
      <c r="G164" s="114"/>
      <c r="H164" s="7"/>
      <c r="I164" s="212"/>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25">
      <c r="A165" s="24"/>
      <c r="B165" s="25"/>
      <c r="C165" s="24"/>
      <c r="D165" s="24"/>
      <c r="E165" s="24"/>
      <c r="F165" s="114"/>
      <c r="G165" s="114"/>
      <c r="H165" s="7"/>
      <c r="I165" s="212"/>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25">
      <c r="A166" s="24"/>
      <c r="B166" s="25"/>
      <c r="C166" s="24"/>
      <c r="D166" s="24"/>
      <c r="E166" s="24"/>
      <c r="F166" s="114"/>
      <c r="G166" s="114"/>
      <c r="H166" s="7"/>
      <c r="I166" s="212"/>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25">
      <c r="A167" s="24"/>
      <c r="B167" s="25"/>
      <c r="C167" s="24"/>
      <c r="D167" s="24"/>
      <c r="E167" s="24"/>
      <c r="F167" s="114"/>
      <c r="G167" s="114"/>
      <c r="H167" s="7"/>
      <c r="I167" s="212"/>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25">
      <c r="A168" s="24"/>
      <c r="B168" s="25"/>
      <c r="C168" s="24"/>
      <c r="D168" s="24"/>
      <c r="E168" s="24"/>
      <c r="F168" s="114"/>
      <c r="G168" s="114"/>
      <c r="H168" s="7"/>
      <c r="I168" s="212"/>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25">
      <c r="A169" s="24"/>
      <c r="B169" s="25"/>
      <c r="C169" s="24"/>
      <c r="D169" s="24"/>
      <c r="E169" s="24"/>
      <c r="F169" s="114"/>
      <c r="G169" s="114"/>
      <c r="H169" s="7"/>
      <c r="I169" s="212"/>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25">
      <c r="A170" s="24"/>
      <c r="B170" s="25"/>
      <c r="C170" s="24"/>
      <c r="D170" s="24"/>
      <c r="E170" s="24"/>
      <c r="F170" s="114"/>
      <c r="G170" s="114"/>
      <c r="H170" s="7"/>
      <c r="I170" s="212"/>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25">
      <c r="A171" s="24"/>
      <c r="B171" s="25"/>
      <c r="C171" s="24"/>
      <c r="D171" s="24"/>
      <c r="E171" s="24"/>
      <c r="F171" s="114"/>
      <c r="G171" s="114"/>
      <c r="H171" s="7"/>
      <c r="I171" s="212"/>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25">
      <c r="A172" s="24"/>
      <c r="B172" s="25"/>
      <c r="C172" s="24"/>
      <c r="D172" s="24"/>
      <c r="E172" s="24"/>
      <c r="F172" s="114"/>
      <c r="G172" s="114"/>
      <c r="H172" s="7"/>
      <c r="I172" s="212"/>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25">
      <c r="A173" s="24"/>
      <c r="B173" s="25"/>
      <c r="C173" s="24"/>
      <c r="D173" s="24"/>
      <c r="E173" s="24"/>
      <c r="F173" s="114"/>
      <c r="G173" s="114"/>
      <c r="H173" s="7"/>
      <c r="I173" s="212"/>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25">
      <c r="A174" s="24"/>
      <c r="B174" s="25"/>
      <c r="C174" s="24"/>
      <c r="D174" s="24"/>
      <c r="E174" s="24"/>
      <c r="F174" s="114"/>
      <c r="G174" s="114"/>
      <c r="H174" s="7"/>
      <c r="I174" s="212"/>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25">
      <c r="A175" s="24"/>
      <c r="B175" s="25"/>
      <c r="C175" s="24"/>
      <c r="D175" s="24"/>
      <c r="E175" s="24"/>
      <c r="F175" s="114"/>
      <c r="G175" s="114"/>
      <c r="H175" s="7"/>
      <c r="I175" s="212"/>
      <c r="J175" s="114"/>
      <c r="K175" s="114"/>
      <c r="L175" s="114"/>
      <c r="M175" s="114"/>
      <c r="N175" s="114"/>
      <c r="O175" s="114"/>
      <c r="P175" s="114"/>
      <c r="Q175" s="114"/>
      <c r="R175" s="114"/>
      <c r="S175" s="114"/>
      <c r="T175" s="114"/>
      <c r="U175" s="114"/>
      <c r="V175" s="114"/>
      <c r="W175" s="114"/>
      <c r="X175" s="114"/>
      <c r="Y175" s="114"/>
      <c r="Z175" s="114"/>
    </row>
    <row r="176" spans="1:26" ht="15.75" customHeight="1" x14ac:dyDescent="0.25">
      <c r="A176" s="24"/>
      <c r="B176" s="25"/>
      <c r="C176" s="24"/>
      <c r="D176" s="24"/>
      <c r="E176" s="24"/>
      <c r="F176" s="114"/>
      <c r="G176" s="114"/>
      <c r="H176" s="7"/>
      <c r="I176" s="212"/>
      <c r="J176" s="114"/>
      <c r="K176" s="114"/>
      <c r="L176" s="114"/>
      <c r="M176" s="114"/>
      <c r="N176" s="114"/>
      <c r="O176" s="114"/>
      <c r="P176" s="114"/>
      <c r="Q176" s="114"/>
      <c r="R176" s="114"/>
      <c r="S176" s="114"/>
      <c r="T176" s="114"/>
      <c r="U176" s="114"/>
      <c r="V176" s="114"/>
      <c r="W176" s="114"/>
      <c r="X176" s="114"/>
      <c r="Y176" s="114"/>
      <c r="Z176" s="114"/>
    </row>
    <row r="177" spans="1:26" ht="15.75" customHeight="1" x14ac:dyDescent="0.25">
      <c r="A177" s="24"/>
      <c r="B177" s="25"/>
      <c r="C177" s="24"/>
      <c r="D177" s="24"/>
      <c r="E177" s="24"/>
      <c r="F177" s="114"/>
      <c r="G177" s="114"/>
      <c r="H177" s="7"/>
      <c r="I177" s="212"/>
      <c r="J177" s="114"/>
      <c r="K177" s="114"/>
      <c r="L177" s="114"/>
      <c r="M177" s="114"/>
      <c r="N177" s="114"/>
      <c r="O177" s="114"/>
      <c r="P177" s="114"/>
      <c r="Q177" s="114"/>
      <c r="R177" s="114"/>
      <c r="S177" s="114"/>
      <c r="T177" s="114"/>
      <c r="U177" s="114"/>
      <c r="V177" s="114"/>
      <c r="W177" s="114"/>
      <c r="X177" s="114"/>
      <c r="Y177" s="114"/>
      <c r="Z177" s="114"/>
    </row>
    <row r="178" spans="1:26" ht="15.75" customHeight="1" x14ac:dyDescent="0.25">
      <c r="A178" s="24"/>
      <c r="B178" s="25"/>
      <c r="C178" s="24"/>
      <c r="D178" s="24"/>
      <c r="E178" s="24"/>
      <c r="F178" s="114"/>
      <c r="G178" s="114"/>
      <c r="H178" s="7"/>
      <c r="I178" s="212"/>
      <c r="J178" s="114"/>
      <c r="K178" s="114"/>
      <c r="L178" s="114"/>
      <c r="M178" s="114"/>
      <c r="N178" s="114"/>
      <c r="O178" s="114"/>
      <c r="P178" s="114"/>
      <c r="Q178" s="114"/>
      <c r="R178" s="114"/>
      <c r="S178" s="114"/>
      <c r="T178" s="114"/>
      <c r="U178" s="114"/>
      <c r="V178" s="114"/>
      <c r="W178" s="114"/>
      <c r="X178" s="114"/>
      <c r="Y178" s="114"/>
      <c r="Z178" s="114"/>
    </row>
    <row r="179" spans="1:26" ht="15.75" customHeight="1" x14ac:dyDescent="0.25">
      <c r="A179" s="24"/>
      <c r="B179" s="25"/>
      <c r="C179" s="24"/>
      <c r="D179" s="24"/>
      <c r="E179" s="24"/>
      <c r="F179" s="114"/>
      <c r="G179" s="114"/>
      <c r="H179" s="7"/>
      <c r="I179" s="212"/>
      <c r="J179" s="114"/>
      <c r="K179" s="114"/>
      <c r="L179" s="114"/>
      <c r="M179" s="114"/>
      <c r="N179" s="114"/>
      <c r="O179" s="114"/>
      <c r="P179" s="114"/>
      <c r="Q179" s="114"/>
      <c r="R179" s="114"/>
      <c r="S179" s="114"/>
      <c r="T179" s="114"/>
      <c r="U179" s="114"/>
      <c r="V179" s="114"/>
      <c r="W179" s="114"/>
      <c r="X179" s="114"/>
      <c r="Y179" s="114"/>
      <c r="Z179" s="114"/>
    </row>
    <row r="180" spans="1:26" ht="15.75" customHeight="1" x14ac:dyDescent="0.25">
      <c r="A180" s="24"/>
      <c r="B180" s="25"/>
      <c r="C180" s="24"/>
      <c r="D180" s="24"/>
      <c r="E180" s="24"/>
      <c r="F180" s="114"/>
      <c r="G180" s="114"/>
      <c r="H180" s="7"/>
      <c r="I180" s="212"/>
      <c r="J180" s="114"/>
      <c r="K180" s="114"/>
      <c r="L180" s="114"/>
      <c r="M180" s="114"/>
      <c r="N180" s="114"/>
      <c r="O180" s="114"/>
      <c r="P180" s="114"/>
      <c r="Q180" s="114"/>
      <c r="R180" s="114"/>
      <c r="S180" s="114"/>
      <c r="T180" s="114"/>
      <c r="U180" s="114"/>
      <c r="V180" s="114"/>
      <c r="W180" s="114"/>
      <c r="X180" s="114"/>
      <c r="Y180" s="114"/>
      <c r="Z180" s="114"/>
    </row>
    <row r="181" spans="1:26" ht="15.75" customHeight="1" x14ac:dyDescent="0.25">
      <c r="A181" s="24"/>
      <c r="B181" s="25"/>
      <c r="C181" s="24"/>
      <c r="D181" s="24"/>
      <c r="E181" s="24"/>
      <c r="F181" s="114"/>
      <c r="G181" s="114"/>
      <c r="H181" s="7"/>
      <c r="I181" s="212"/>
      <c r="J181" s="114"/>
      <c r="K181" s="114"/>
      <c r="L181" s="114"/>
      <c r="M181" s="114"/>
      <c r="N181" s="114"/>
      <c r="O181" s="114"/>
      <c r="P181" s="114"/>
      <c r="Q181" s="114"/>
      <c r="R181" s="114"/>
      <c r="S181" s="114"/>
      <c r="T181" s="114"/>
      <c r="U181" s="114"/>
      <c r="V181" s="114"/>
      <c r="W181" s="114"/>
      <c r="X181" s="114"/>
      <c r="Y181" s="114"/>
      <c r="Z181" s="114"/>
    </row>
    <row r="182" spans="1:26" ht="15.75" customHeight="1" x14ac:dyDescent="0.25">
      <c r="A182" s="24"/>
      <c r="B182" s="25"/>
      <c r="C182" s="24"/>
      <c r="D182" s="24"/>
      <c r="E182" s="24"/>
      <c r="F182" s="114"/>
      <c r="G182" s="114"/>
      <c r="H182" s="7"/>
      <c r="I182" s="212"/>
      <c r="J182" s="114"/>
      <c r="K182" s="114"/>
      <c r="L182" s="114"/>
      <c r="M182" s="114"/>
      <c r="N182" s="114"/>
      <c r="O182" s="114"/>
      <c r="P182" s="114"/>
      <c r="Q182" s="114"/>
      <c r="R182" s="114"/>
      <c r="S182" s="114"/>
      <c r="T182" s="114"/>
      <c r="U182" s="114"/>
      <c r="V182" s="114"/>
      <c r="W182" s="114"/>
      <c r="X182" s="114"/>
      <c r="Y182" s="114"/>
      <c r="Z182" s="114"/>
    </row>
    <row r="183" spans="1:26" ht="15.75" customHeight="1" x14ac:dyDescent="0.25">
      <c r="A183" s="24"/>
      <c r="B183" s="25"/>
      <c r="C183" s="24"/>
      <c r="D183" s="24"/>
      <c r="E183" s="24"/>
      <c r="F183" s="114"/>
      <c r="G183" s="114"/>
      <c r="H183" s="7"/>
      <c r="I183" s="212"/>
      <c r="J183" s="114"/>
      <c r="K183" s="114"/>
      <c r="L183" s="114"/>
      <c r="M183" s="114"/>
      <c r="N183" s="114"/>
      <c r="O183" s="114"/>
      <c r="P183" s="114"/>
      <c r="Q183" s="114"/>
      <c r="R183" s="114"/>
      <c r="S183" s="114"/>
      <c r="T183" s="114"/>
      <c r="U183" s="114"/>
      <c r="V183" s="114"/>
      <c r="W183" s="114"/>
      <c r="X183" s="114"/>
      <c r="Y183" s="114"/>
      <c r="Z183" s="114"/>
    </row>
    <row r="184" spans="1:26" ht="15.75" customHeight="1" x14ac:dyDescent="0.25">
      <c r="A184" s="24"/>
      <c r="B184" s="25"/>
      <c r="C184" s="24"/>
      <c r="D184" s="24"/>
      <c r="E184" s="24"/>
      <c r="F184" s="114"/>
      <c r="G184" s="114"/>
      <c r="H184" s="7"/>
      <c r="I184" s="212"/>
      <c r="J184" s="114"/>
      <c r="K184" s="114"/>
      <c r="L184" s="114"/>
      <c r="M184" s="114"/>
      <c r="N184" s="114"/>
      <c r="O184" s="114"/>
      <c r="P184" s="114"/>
      <c r="Q184" s="114"/>
      <c r="R184" s="114"/>
      <c r="S184" s="114"/>
      <c r="T184" s="114"/>
      <c r="U184" s="114"/>
      <c r="V184" s="114"/>
      <c r="W184" s="114"/>
      <c r="X184" s="114"/>
      <c r="Y184" s="114"/>
      <c r="Z184" s="114"/>
    </row>
    <row r="185" spans="1:26" ht="15.75" customHeight="1" x14ac:dyDescent="0.25">
      <c r="A185" s="24"/>
      <c r="B185" s="25"/>
      <c r="C185" s="24"/>
      <c r="D185" s="24"/>
      <c r="E185" s="24"/>
      <c r="F185" s="114"/>
      <c r="G185" s="114"/>
      <c r="H185" s="7"/>
      <c r="I185" s="212"/>
      <c r="J185" s="114"/>
      <c r="K185" s="114"/>
      <c r="L185" s="114"/>
      <c r="M185" s="114"/>
      <c r="N185" s="114"/>
      <c r="O185" s="114"/>
      <c r="P185" s="114"/>
      <c r="Q185" s="114"/>
      <c r="R185" s="114"/>
      <c r="S185" s="114"/>
      <c r="T185" s="114"/>
      <c r="U185" s="114"/>
      <c r="V185" s="114"/>
      <c r="W185" s="114"/>
      <c r="X185" s="114"/>
      <c r="Y185" s="114"/>
      <c r="Z185" s="114"/>
    </row>
    <row r="186" spans="1:26" ht="15.75" customHeight="1" x14ac:dyDescent="0.25">
      <c r="A186" s="24"/>
      <c r="B186" s="25"/>
      <c r="C186" s="24"/>
      <c r="D186" s="24"/>
      <c r="E186" s="24"/>
      <c r="F186" s="114"/>
      <c r="G186" s="114"/>
      <c r="H186" s="7"/>
      <c r="I186" s="212"/>
      <c r="J186" s="114"/>
      <c r="K186" s="114"/>
      <c r="L186" s="114"/>
      <c r="M186" s="114"/>
      <c r="N186" s="114"/>
      <c r="O186" s="114"/>
      <c r="P186" s="114"/>
      <c r="Q186" s="114"/>
      <c r="R186" s="114"/>
      <c r="S186" s="114"/>
      <c r="T186" s="114"/>
      <c r="U186" s="114"/>
      <c r="V186" s="114"/>
      <c r="W186" s="114"/>
      <c r="X186" s="114"/>
      <c r="Y186" s="114"/>
      <c r="Z186" s="114"/>
    </row>
    <row r="187" spans="1:26" ht="15.75" customHeight="1" x14ac:dyDescent="0.25">
      <c r="A187" s="24"/>
      <c r="B187" s="25"/>
      <c r="C187" s="24"/>
      <c r="D187" s="24"/>
      <c r="E187" s="24"/>
      <c r="F187" s="114"/>
      <c r="G187" s="114"/>
      <c r="H187" s="7"/>
      <c r="I187" s="212"/>
      <c r="J187" s="114"/>
      <c r="K187" s="114"/>
      <c r="L187" s="114"/>
      <c r="M187" s="114"/>
      <c r="N187" s="114"/>
      <c r="O187" s="114"/>
      <c r="P187" s="114"/>
      <c r="Q187" s="114"/>
      <c r="R187" s="114"/>
      <c r="S187" s="114"/>
      <c r="T187" s="114"/>
      <c r="U187" s="114"/>
      <c r="V187" s="114"/>
      <c r="W187" s="114"/>
      <c r="X187" s="114"/>
      <c r="Y187" s="114"/>
      <c r="Z187" s="114"/>
    </row>
    <row r="188" spans="1:26" ht="15.75" customHeight="1" x14ac:dyDescent="0.25">
      <c r="A188" s="24"/>
      <c r="B188" s="25"/>
      <c r="C188" s="24"/>
      <c r="D188" s="24"/>
      <c r="E188" s="24"/>
      <c r="F188" s="114"/>
      <c r="G188" s="114"/>
      <c r="H188" s="7"/>
      <c r="I188" s="212"/>
      <c r="J188" s="114"/>
      <c r="K188" s="114"/>
      <c r="L188" s="114"/>
      <c r="M188" s="114"/>
      <c r="N188" s="114"/>
      <c r="O188" s="114"/>
      <c r="P188" s="114"/>
      <c r="Q188" s="114"/>
      <c r="R188" s="114"/>
      <c r="S188" s="114"/>
      <c r="T188" s="114"/>
      <c r="U188" s="114"/>
      <c r="V188" s="114"/>
      <c r="W188" s="114"/>
      <c r="X188" s="114"/>
      <c r="Y188" s="114"/>
      <c r="Z188" s="114"/>
    </row>
    <row r="189" spans="1:26" ht="15.75" customHeight="1" x14ac:dyDescent="0.25">
      <c r="A189" s="24"/>
      <c r="B189" s="25"/>
      <c r="C189" s="24"/>
      <c r="D189" s="24"/>
      <c r="E189" s="24"/>
      <c r="F189" s="114"/>
      <c r="G189" s="114"/>
      <c r="H189" s="7"/>
      <c r="I189" s="212"/>
      <c r="J189" s="114"/>
      <c r="K189" s="114"/>
      <c r="L189" s="114"/>
      <c r="M189" s="114"/>
      <c r="N189" s="114"/>
      <c r="O189" s="114"/>
      <c r="P189" s="114"/>
      <c r="Q189" s="114"/>
      <c r="R189" s="114"/>
      <c r="S189" s="114"/>
      <c r="T189" s="114"/>
      <c r="U189" s="114"/>
      <c r="V189" s="114"/>
      <c r="W189" s="114"/>
      <c r="X189" s="114"/>
      <c r="Y189" s="114"/>
      <c r="Z189" s="114"/>
    </row>
    <row r="190" spans="1:26" ht="15.75" customHeight="1" x14ac:dyDescent="0.25">
      <c r="A190" s="24"/>
      <c r="B190" s="25"/>
      <c r="C190" s="24"/>
      <c r="D190" s="24"/>
      <c r="E190" s="24"/>
      <c r="F190" s="114"/>
      <c r="G190" s="114"/>
      <c r="H190" s="7"/>
      <c r="I190" s="212"/>
      <c r="J190" s="114"/>
      <c r="K190" s="114"/>
      <c r="L190" s="114"/>
      <c r="M190" s="114"/>
      <c r="N190" s="114"/>
      <c r="O190" s="114"/>
      <c r="P190" s="114"/>
      <c r="Q190" s="114"/>
      <c r="R190" s="114"/>
      <c r="S190" s="114"/>
      <c r="T190" s="114"/>
      <c r="U190" s="114"/>
      <c r="V190" s="114"/>
      <c r="W190" s="114"/>
      <c r="X190" s="114"/>
      <c r="Y190" s="114"/>
      <c r="Z190" s="114"/>
    </row>
    <row r="191" spans="1:26" ht="15.75" customHeight="1" x14ac:dyDescent="0.25">
      <c r="A191" s="24"/>
      <c r="B191" s="25"/>
      <c r="C191" s="24"/>
      <c r="D191" s="24"/>
      <c r="E191" s="24"/>
      <c r="F191" s="114"/>
      <c r="G191" s="114"/>
      <c r="H191" s="7"/>
      <c r="I191" s="212"/>
      <c r="J191" s="114"/>
      <c r="K191" s="114"/>
      <c r="L191" s="114"/>
      <c r="M191" s="114"/>
      <c r="N191" s="114"/>
      <c r="O191" s="114"/>
      <c r="P191" s="114"/>
      <c r="Q191" s="114"/>
      <c r="R191" s="114"/>
      <c r="S191" s="114"/>
      <c r="T191" s="114"/>
      <c r="U191" s="114"/>
      <c r="V191" s="114"/>
      <c r="W191" s="114"/>
      <c r="X191" s="114"/>
      <c r="Y191" s="114"/>
      <c r="Z191" s="114"/>
    </row>
    <row r="192" spans="1:26" ht="15.75" customHeight="1" x14ac:dyDescent="0.25">
      <c r="A192" s="24"/>
      <c r="B192" s="25"/>
      <c r="C192" s="24"/>
      <c r="D192" s="24"/>
      <c r="E192" s="24"/>
      <c r="F192" s="114"/>
      <c r="G192" s="114"/>
      <c r="H192" s="7"/>
      <c r="I192" s="212"/>
      <c r="J192" s="114"/>
      <c r="K192" s="114"/>
      <c r="L192" s="114"/>
      <c r="M192" s="114"/>
      <c r="N192" s="114"/>
      <c r="O192" s="114"/>
      <c r="P192" s="114"/>
      <c r="Q192" s="114"/>
      <c r="R192" s="114"/>
      <c r="S192" s="114"/>
      <c r="T192" s="114"/>
      <c r="U192" s="114"/>
      <c r="V192" s="114"/>
      <c r="W192" s="114"/>
      <c r="X192" s="114"/>
      <c r="Y192" s="114"/>
      <c r="Z192" s="114"/>
    </row>
    <row r="193" spans="1:26" ht="15.75" customHeight="1" x14ac:dyDescent="0.25">
      <c r="A193" s="24"/>
      <c r="B193" s="25"/>
      <c r="C193" s="24"/>
      <c r="D193" s="24"/>
      <c r="E193" s="24"/>
      <c r="F193" s="114"/>
      <c r="G193" s="114"/>
      <c r="H193" s="7"/>
      <c r="I193" s="212"/>
      <c r="J193" s="114"/>
      <c r="K193" s="114"/>
      <c r="L193" s="114"/>
      <c r="M193" s="114"/>
      <c r="N193" s="114"/>
      <c r="O193" s="114"/>
      <c r="P193" s="114"/>
      <c r="Q193" s="114"/>
      <c r="R193" s="114"/>
      <c r="S193" s="114"/>
      <c r="T193" s="114"/>
      <c r="U193" s="114"/>
      <c r="V193" s="114"/>
      <c r="W193" s="114"/>
      <c r="X193" s="114"/>
      <c r="Y193" s="114"/>
      <c r="Z193" s="114"/>
    </row>
    <row r="194" spans="1:26" ht="15.75" customHeight="1" x14ac:dyDescent="0.25">
      <c r="A194" s="24"/>
      <c r="B194" s="25"/>
      <c r="C194" s="24"/>
      <c r="D194" s="24"/>
      <c r="E194" s="24"/>
      <c r="F194" s="114"/>
      <c r="G194" s="114"/>
      <c r="H194" s="7"/>
      <c r="I194" s="212"/>
      <c r="J194" s="114"/>
      <c r="K194" s="114"/>
      <c r="L194" s="114"/>
      <c r="M194" s="114"/>
      <c r="N194" s="114"/>
      <c r="O194" s="114"/>
      <c r="P194" s="114"/>
      <c r="Q194" s="114"/>
      <c r="R194" s="114"/>
      <c r="S194" s="114"/>
      <c r="T194" s="114"/>
      <c r="U194" s="114"/>
      <c r="V194" s="114"/>
      <c r="W194" s="114"/>
      <c r="X194" s="114"/>
      <c r="Y194" s="114"/>
      <c r="Z194" s="114"/>
    </row>
    <row r="195" spans="1:26" ht="15.75" customHeight="1" x14ac:dyDescent="0.25">
      <c r="A195" s="24"/>
      <c r="B195" s="25"/>
      <c r="C195" s="24"/>
      <c r="D195" s="24"/>
      <c r="E195" s="24"/>
      <c r="F195" s="114"/>
      <c r="G195" s="114"/>
      <c r="H195" s="7"/>
      <c r="I195" s="212"/>
      <c r="J195" s="114"/>
      <c r="K195" s="114"/>
      <c r="L195" s="114"/>
      <c r="M195" s="114"/>
      <c r="N195" s="114"/>
      <c r="O195" s="114"/>
      <c r="P195" s="114"/>
      <c r="Q195" s="114"/>
      <c r="R195" s="114"/>
      <c r="S195" s="114"/>
      <c r="T195" s="114"/>
      <c r="U195" s="114"/>
      <c r="V195" s="114"/>
      <c r="W195" s="114"/>
      <c r="X195" s="114"/>
      <c r="Y195" s="114"/>
      <c r="Z195" s="114"/>
    </row>
    <row r="196" spans="1:26" ht="15.75" customHeight="1" x14ac:dyDescent="0.25">
      <c r="A196" s="24"/>
      <c r="B196" s="25"/>
      <c r="C196" s="24"/>
      <c r="D196" s="24"/>
      <c r="E196" s="24"/>
      <c r="F196" s="114"/>
      <c r="G196" s="114"/>
      <c r="H196" s="7"/>
      <c r="I196" s="212"/>
      <c r="J196" s="114"/>
      <c r="K196" s="114"/>
      <c r="L196" s="114"/>
      <c r="M196" s="114"/>
      <c r="N196" s="114"/>
      <c r="O196" s="114"/>
      <c r="P196" s="114"/>
      <c r="Q196" s="114"/>
      <c r="R196" s="114"/>
      <c r="S196" s="114"/>
      <c r="T196" s="114"/>
      <c r="U196" s="114"/>
      <c r="V196" s="114"/>
      <c r="W196" s="114"/>
      <c r="X196" s="114"/>
      <c r="Y196" s="114"/>
      <c r="Z196" s="114"/>
    </row>
    <row r="197" spans="1:26" ht="15.75" customHeight="1" x14ac:dyDescent="0.25">
      <c r="A197" s="24"/>
      <c r="B197" s="25"/>
      <c r="C197" s="24"/>
      <c r="D197" s="24"/>
      <c r="E197" s="24"/>
      <c r="F197" s="114"/>
      <c r="G197" s="114"/>
      <c r="H197" s="7"/>
      <c r="I197" s="212"/>
      <c r="J197" s="114"/>
      <c r="K197" s="114"/>
      <c r="L197" s="114"/>
      <c r="M197" s="114"/>
      <c r="N197" s="114"/>
      <c r="O197" s="114"/>
      <c r="P197" s="114"/>
      <c r="Q197" s="114"/>
      <c r="R197" s="114"/>
      <c r="S197" s="114"/>
      <c r="T197" s="114"/>
      <c r="U197" s="114"/>
      <c r="V197" s="114"/>
      <c r="W197" s="114"/>
      <c r="X197" s="114"/>
      <c r="Y197" s="114"/>
      <c r="Z197" s="114"/>
    </row>
    <row r="198" spans="1:26" ht="15.75" customHeight="1" x14ac:dyDescent="0.25">
      <c r="A198" s="24"/>
      <c r="B198" s="25"/>
      <c r="C198" s="24"/>
      <c r="D198" s="24"/>
      <c r="E198" s="24"/>
      <c r="F198" s="114"/>
      <c r="G198" s="114"/>
      <c r="H198" s="7"/>
      <c r="I198" s="212"/>
      <c r="J198" s="114"/>
      <c r="K198" s="114"/>
      <c r="L198" s="114"/>
      <c r="M198" s="114"/>
      <c r="N198" s="114"/>
      <c r="O198" s="114"/>
      <c r="P198" s="114"/>
      <c r="Q198" s="114"/>
      <c r="R198" s="114"/>
      <c r="S198" s="114"/>
      <c r="T198" s="114"/>
      <c r="U198" s="114"/>
      <c r="V198" s="114"/>
      <c r="W198" s="114"/>
      <c r="X198" s="114"/>
      <c r="Y198" s="114"/>
      <c r="Z198" s="114"/>
    </row>
    <row r="199" spans="1:26" ht="15.75" customHeight="1" x14ac:dyDescent="0.25">
      <c r="A199" s="24"/>
      <c r="B199" s="25"/>
      <c r="C199" s="24"/>
      <c r="D199" s="24"/>
      <c r="E199" s="24"/>
      <c r="F199" s="114"/>
      <c r="G199" s="114"/>
      <c r="H199" s="7"/>
      <c r="I199" s="212"/>
      <c r="J199" s="114"/>
      <c r="K199" s="114"/>
      <c r="L199" s="114"/>
      <c r="M199" s="114"/>
      <c r="N199" s="114"/>
      <c r="O199" s="114"/>
      <c r="P199" s="114"/>
      <c r="Q199" s="114"/>
      <c r="R199" s="114"/>
      <c r="S199" s="114"/>
      <c r="T199" s="114"/>
      <c r="U199" s="114"/>
      <c r="V199" s="114"/>
      <c r="W199" s="114"/>
      <c r="X199" s="114"/>
      <c r="Y199" s="114"/>
      <c r="Z199" s="114"/>
    </row>
    <row r="200" spans="1:26" ht="15.75" customHeight="1" x14ac:dyDescent="0.25">
      <c r="A200" s="24"/>
      <c r="B200" s="25"/>
      <c r="C200" s="24"/>
      <c r="D200" s="24"/>
      <c r="E200" s="24"/>
      <c r="F200" s="114"/>
      <c r="G200" s="114"/>
      <c r="H200" s="7"/>
      <c r="I200" s="212"/>
      <c r="J200" s="114"/>
      <c r="K200" s="114"/>
      <c r="L200" s="114"/>
      <c r="M200" s="114"/>
      <c r="N200" s="114"/>
      <c r="O200" s="114"/>
      <c r="P200" s="114"/>
      <c r="Q200" s="114"/>
      <c r="R200" s="114"/>
      <c r="S200" s="114"/>
      <c r="T200" s="114"/>
      <c r="U200" s="114"/>
      <c r="V200" s="114"/>
      <c r="W200" s="114"/>
      <c r="X200" s="114"/>
      <c r="Y200" s="114"/>
      <c r="Z200" s="114"/>
    </row>
    <row r="201" spans="1:26" ht="15.75" customHeight="1" x14ac:dyDescent="0.25">
      <c r="A201" s="24"/>
      <c r="B201" s="25"/>
      <c r="C201" s="24"/>
      <c r="D201" s="24"/>
      <c r="E201" s="24"/>
      <c r="F201" s="114"/>
      <c r="G201" s="114"/>
      <c r="H201" s="7"/>
      <c r="I201" s="212"/>
      <c r="J201" s="114"/>
      <c r="K201" s="114"/>
      <c r="L201" s="114"/>
      <c r="M201" s="114"/>
      <c r="N201" s="114"/>
      <c r="O201" s="114"/>
      <c r="P201" s="114"/>
      <c r="Q201" s="114"/>
      <c r="R201" s="114"/>
      <c r="S201" s="114"/>
      <c r="T201" s="114"/>
      <c r="U201" s="114"/>
      <c r="V201" s="114"/>
      <c r="W201" s="114"/>
      <c r="X201" s="114"/>
      <c r="Y201" s="114"/>
      <c r="Z201" s="114"/>
    </row>
    <row r="202" spans="1:26" ht="15.75" customHeight="1" x14ac:dyDescent="0.25">
      <c r="A202" s="24"/>
      <c r="B202" s="25"/>
      <c r="C202" s="24"/>
      <c r="D202" s="24"/>
      <c r="E202" s="24"/>
      <c r="F202" s="114"/>
      <c r="G202" s="114"/>
      <c r="H202" s="7"/>
      <c r="I202" s="212"/>
      <c r="J202" s="114"/>
      <c r="K202" s="114"/>
      <c r="L202" s="114"/>
      <c r="M202" s="114"/>
      <c r="N202" s="114"/>
      <c r="O202" s="114"/>
      <c r="P202" s="114"/>
      <c r="Q202" s="114"/>
      <c r="R202" s="114"/>
      <c r="S202" s="114"/>
      <c r="T202" s="114"/>
      <c r="U202" s="114"/>
      <c r="V202" s="114"/>
      <c r="W202" s="114"/>
      <c r="X202" s="114"/>
      <c r="Y202" s="114"/>
      <c r="Z202" s="114"/>
    </row>
    <row r="203" spans="1:26" ht="15.75" customHeight="1" x14ac:dyDescent="0.25">
      <c r="A203" s="24"/>
      <c r="B203" s="25"/>
      <c r="C203" s="24"/>
      <c r="D203" s="24"/>
      <c r="E203" s="24"/>
      <c r="F203" s="114"/>
      <c r="G203" s="114"/>
      <c r="H203" s="7"/>
      <c r="I203" s="212"/>
      <c r="J203" s="114"/>
      <c r="K203" s="114"/>
      <c r="L203" s="114"/>
      <c r="M203" s="114"/>
      <c r="N203" s="114"/>
      <c r="O203" s="114"/>
      <c r="P203" s="114"/>
      <c r="Q203" s="114"/>
      <c r="R203" s="114"/>
      <c r="S203" s="114"/>
      <c r="T203" s="114"/>
      <c r="U203" s="114"/>
      <c r="V203" s="114"/>
      <c r="W203" s="114"/>
      <c r="X203" s="114"/>
      <c r="Y203" s="114"/>
      <c r="Z203" s="114"/>
    </row>
    <row r="204" spans="1:26" ht="15.75" customHeight="1" x14ac:dyDescent="0.25">
      <c r="A204" s="24"/>
      <c r="B204" s="25"/>
      <c r="C204" s="24"/>
      <c r="D204" s="24"/>
      <c r="E204" s="24"/>
      <c r="F204" s="114"/>
      <c r="G204" s="114"/>
      <c r="H204" s="7"/>
      <c r="I204" s="212"/>
      <c r="J204" s="114"/>
      <c r="K204" s="114"/>
      <c r="L204" s="114"/>
      <c r="M204" s="114"/>
      <c r="N204" s="114"/>
      <c r="O204" s="114"/>
      <c r="P204" s="114"/>
      <c r="Q204" s="114"/>
      <c r="R204" s="114"/>
      <c r="S204" s="114"/>
      <c r="T204" s="114"/>
      <c r="U204" s="114"/>
      <c r="V204" s="114"/>
      <c r="W204" s="114"/>
      <c r="X204" s="114"/>
      <c r="Y204" s="114"/>
      <c r="Z204" s="114"/>
    </row>
    <row r="205" spans="1:26" ht="15.75" customHeight="1" x14ac:dyDescent="0.25">
      <c r="A205" s="24"/>
      <c r="B205" s="25"/>
      <c r="C205" s="24"/>
      <c r="D205" s="24"/>
      <c r="E205" s="24"/>
      <c r="F205" s="114"/>
      <c r="G205" s="114"/>
      <c r="H205" s="7"/>
      <c r="I205" s="212"/>
      <c r="J205" s="114"/>
      <c r="K205" s="114"/>
      <c r="L205" s="114"/>
      <c r="M205" s="114"/>
      <c r="N205" s="114"/>
      <c r="O205" s="114"/>
      <c r="P205" s="114"/>
      <c r="Q205" s="114"/>
      <c r="R205" s="114"/>
      <c r="S205" s="114"/>
      <c r="T205" s="114"/>
      <c r="U205" s="114"/>
      <c r="V205" s="114"/>
      <c r="W205" s="114"/>
      <c r="X205" s="114"/>
      <c r="Y205" s="114"/>
      <c r="Z205" s="114"/>
    </row>
    <row r="206" spans="1:26" ht="15.75" customHeight="1" x14ac:dyDescent="0.25">
      <c r="A206" s="24"/>
      <c r="B206" s="25"/>
      <c r="C206" s="24"/>
      <c r="D206" s="24"/>
      <c r="E206" s="24"/>
      <c r="F206" s="114"/>
      <c r="G206" s="114"/>
      <c r="H206" s="7"/>
      <c r="I206" s="212"/>
      <c r="J206" s="114"/>
      <c r="K206" s="114"/>
      <c r="L206" s="114"/>
      <c r="M206" s="114"/>
      <c r="N206" s="114"/>
      <c r="O206" s="114"/>
      <c r="P206" s="114"/>
      <c r="Q206" s="114"/>
      <c r="R206" s="114"/>
      <c r="S206" s="114"/>
      <c r="T206" s="114"/>
      <c r="U206" s="114"/>
      <c r="V206" s="114"/>
      <c r="W206" s="114"/>
      <c r="X206" s="114"/>
      <c r="Y206" s="114"/>
      <c r="Z206" s="114"/>
    </row>
    <row r="207" spans="1:26" ht="15.75" customHeight="1" x14ac:dyDescent="0.25">
      <c r="A207" s="24"/>
      <c r="B207" s="25"/>
      <c r="C207" s="24"/>
      <c r="D207" s="24"/>
      <c r="E207" s="24"/>
      <c r="F207" s="114"/>
      <c r="G207" s="114"/>
      <c r="H207" s="7"/>
      <c r="I207" s="212"/>
      <c r="J207" s="114"/>
      <c r="K207" s="114"/>
      <c r="L207" s="114"/>
      <c r="M207" s="114"/>
      <c r="N207" s="114"/>
      <c r="O207" s="114"/>
      <c r="P207" s="114"/>
      <c r="Q207" s="114"/>
      <c r="R207" s="114"/>
      <c r="S207" s="114"/>
      <c r="T207" s="114"/>
      <c r="U207" s="114"/>
      <c r="V207" s="114"/>
      <c r="W207" s="114"/>
      <c r="X207" s="114"/>
      <c r="Y207" s="114"/>
      <c r="Z207" s="114"/>
    </row>
    <row r="208" spans="1:26" ht="15.75" customHeight="1" x14ac:dyDescent="0.25">
      <c r="A208" s="24"/>
      <c r="B208" s="25"/>
      <c r="C208" s="24"/>
      <c r="D208" s="24"/>
      <c r="E208" s="24"/>
      <c r="F208" s="114"/>
      <c r="G208" s="114"/>
      <c r="H208" s="7"/>
      <c r="I208" s="212"/>
      <c r="J208" s="114"/>
      <c r="K208" s="114"/>
      <c r="L208" s="114"/>
      <c r="M208" s="114"/>
      <c r="N208" s="114"/>
      <c r="O208" s="114"/>
      <c r="P208" s="114"/>
      <c r="Q208" s="114"/>
      <c r="R208" s="114"/>
      <c r="S208" s="114"/>
      <c r="T208" s="114"/>
      <c r="U208" s="114"/>
      <c r="V208" s="114"/>
      <c r="W208" s="114"/>
      <c r="X208" s="114"/>
      <c r="Y208" s="114"/>
      <c r="Z208" s="114"/>
    </row>
    <row r="209" spans="1:26" ht="15.75" customHeight="1" x14ac:dyDescent="0.25">
      <c r="A209" s="24"/>
      <c r="B209" s="25"/>
      <c r="C209" s="24"/>
      <c r="D209" s="24"/>
      <c r="E209" s="24"/>
      <c r="F209" s="114"/>
      <c r="G209" s="114"/>
      <c r="H209" s="7"/>
      <c r="I209" s="212"/>
      <c r="J209" s="114"/>
      <c r="K209" s="114"/>
      <c r="L209" s="114"/>
      <c r="M209" s="114"/>
      <c r="N209" s="114"/>
      <c r="O209" s="114"/>
      <c r="P209" s="114"/>
      <c r="Q209" s="114"/>
      <c r="R209" s="114"/>
      <c r="S209" s="114"/>
      <c r="T209" s="114"/>
      <c r="U209" s="114"/>
      <c r="V209" s="114"/>
      <c r="W209" s="114"/>
      <c r="X209" s="114"/>
      <c r="Y209" s="114"/>
      <c r="Z209" s="114"/>
    </row>
    <row r="210" spans="1:26" ht="15.75" customHeight="1" x14ac:dyDescent="0.25">
      <c r="A210" s="24"/>
      <c r="B210" s="25"/>
      <c r="C210" s="24"/>
      <c r="D210" s="24"/>
      <c r="E210" s="24"/>
      <c r="F210" s="114"/>
      <c r="G210" s="114"/>
      <c r="H210" s="7"/>
      <c r="I210" s="212"/>
      <c r="J210" s="114"/>
      <c r="K210" s="114"/>
      <c r="L210" s="114"/>
      <c r="M210" s="114"/>
      <c r="N210" s="114"/>
      <c r="O210" s="114"/>
      <c r="P210" s="114"/>
      <c r="Q210" s="114"/>
      <c r="R210" s="114"/>
      <c r="S210" s="114"/>
      <c r="T210" s="114"/>
      <c r="U210" s="114"/>
      <c r="V210" s="114"/>
      <c r="W210" s="114"/>
      <c r="X210" s="114"/>
      <c r="Y210" s="114"/>
      <c r="Z210" s="114"/>
    </row>
    <row r="211" spans="1:26" ht="15.75" customHeight="1" x14ac:dyDescent="0.25">
      <c r="A211" s="24"/>
      <c r="B211" s="25"/>
      <c r="C211" s="24"/>
      <c r="D211" s="24"/>
      <c r="E211" s="24"/>
      <c r="F211" s="114"/>
      <c r="G211" s="114"/>
      <c r="H211" s="7"/>
      <c r="I211" s="212"/>
      <c r="J211" s="114"/>
      <c r="K211" s="114"/>
      <c r="L211" s="114"/>
      <c r="M211" s="114"/>
      <c r="N211" s="114"/>
      <c r="O211" s="114"/>
      <c r="P211" s="114"/>
      <c r="Q211" s="114"/>
      <c r="R211" s="114"/>
      <c r="S211" s="114"/>
      <c r="T211" s="114"/>
      <c r="U211" s="114"/>
      <c r="V211" s="114"/>
      <c r="W211" s="114"/>
      <c r="X211" s="114"/>
      <c r="Y211" s="114"/>
      <c r="Z211" s="114"/>
    </row>
    <row r="212" spans="1:26" ht="15.75" customHeight="1" x14ac:dyDescent="0.25">
      <c r="A212" s="24"/>
      <c r="B212" s="25"/>
      <c r="C212" s="24"/>
      <c r="D212" s="24"/>
      <c r="E212" s="24"/>
      <c r="F212" s="114"/>
      <c r="G212" s="114"/>
      <c r="H212" s="7"/>
      <c r="I212" s="212"/>
      <c r="J212" s="114"/>
      <c r="K212" s="114"/>
      <c r="L212" s="114"/>
      <c r="M212" s="114"/>
      <c r="N212" s="114"/>
      <c r="O212" s="114"/>
      <c r="P212" s="114"/>
      <c r="Q212" s="114"/>
      <c r="R212" s="114"/>
      <c r="S212" s="114"/>
      <c r="T212" s="114"/>
      <c r="U212" s="114"/>
      <c r="V212" s="114"/>
      <c r="W212" s="114"/>
      <c r="X212" s="114"/>
      <c r="Y212" s="114"/>
      <c r="Z212" s="114"/>
    </row>
    <row r="213" spans="1:26" ht="15.75" customHeight="1" x14ac:dyDescent="0.25">
      <c r="A213" s="24"/>
      <c r="B213" s="25"/>
      <c r="C213" s="24"/>
      <c r="D213" s="24"/>
      <c r="E213" s="24"/>
      <c r="F213" s="114"/>
      <c r="G213" s="114"/>
      <c r="H213" s="7"/>
      <c r="I213" s="212"/>
      <c r="J213" s="114"/>
      <c r="K213" s="114"/>
      <c r="L213" s="114"/>
      <c r="M213" s="114"/>
      <c r="N213" s="114"/>
      <c r="O213" s="114"/>
      <c r="P213" s="114"/>
      <c r="Q213" s="114"/>
      <c r="R213" s="114"/>
      <c r="S213" s="114"/>
      <c r="T213" s="114"/>
      <c r="U213" s="114"/>
      <c r="V213" s="114"/>
      <c r="W213" s="114"/>
      <c r="X213" s="114"/>
      <c r="Y213" s="114"/>
      <c r="Z213" s="114"/>
    </row>
    <row r="214" spans="1:26" ht="15.75" customHeight="1" x14ac:dyDescent="0.25">
      <c r="A214" s="24"/>
      <c r="B214" s="25"/>
      <c r="C214" s="24"/>
      <c r="D214" s="24"/>
      <c r="E214" s="24"/>
      <c r="F214" s="114"/>
      <c r="G214" s="114"/>
      <c r="H214" s="7"/>
      <c r="I214" s="212"/>
      <c r="J214" s="114"/>
      <c r="K214" s="114"/>
      <c r="L214" s="114"/>
      <c r="M214" s="114"/>
      <c r="N214" s="114"/>
      <c r="O214" s="114"/>
      <c r="P214" s="114"/>
      <c r="Q214" s="114"/>
      <c r="R214" s="114"/>
      <c r="S214" s="114"/>
      <c r="T214" s="114"/>
      <c r="U214" s="114"/>
      <c r="V214" s="114"/>
      <c r="W214" s="114"/>
      <c r="X214" s="114"/>
      <c r="Y214" s="114"/>
      <c r="Z214" s="114"/>
    </row>
    <row r="215" spans="1:26" ht="15.75" customHeight="1" x14ac:dyDescent="0.25">
      <c r="A215" s="24"/>
      <c r="B215" s="25"/>
      <c r="C215" s="24"/>
      <c r="D215" s="24"/>
      <c r="E215" s="24"/>
      <c r="F215" s="114"/>
      <c r="G215" s="114"/>
      <c r="H215" s="7"/>
      <c r="I215" s="212"/>
      <c r="J215" s="114"/>
      <c r="K215" s="114"/>
      <c r="L215" s="114"/>
      <c r="M215" s="114"/>
      <c r="N215" s="114"/>
      <c r="O215" s="114"/>
      <c r="P215" s="114"/>
      <c r="Q215" s="114"/>
      <c r="R215" s="114"/>
      <c r="S215" s="114"/>
      <c r="T215" s="114"/>
      <c r="U215" s="114"/>
      <c r="V215" s="114"/>
      <c r="W215" s="114"/>
      <c r="X215" s="114"/>
      <c r="Y215" s="114"/>
      <c r="Z215" s="114"/>
    </row>
    <row r="216" spans="1:26" ht="15.75" customHeight="1" x14ac:dyDescent="0.25">
      <c r="A216" s="24"/>
      <c r="B216" s="25"/>
      <c r="C216" s="24"/>
      <c r="D216" s="24"/>
      <c r="E216" s="24"/>
      <c r="F216" s="114"/>
      <c r="G216" s="114"/>
      <c r="H216" s="7"/>
      <c r="I216" s="212"/>
      <c r="J216" s="114"/>
      <c r="K216" s="114"/>
      <c r="L216" s="114"/>
      <c r="M216" s="114"/>
      <c r="N216" s="114"/>
      <c r="O216" s="114"/>
      <c r="P216" s="114"/>
      <c r="Q216" s="114"/>
      <c r="R216" s="114"/>
      <c r="S216" s="114"/>
      <c r="T216" s="114"/>
      <c r="U216" s="114"/>
      <c r="V216" s="114"/>
      <c r="W216" s="114"/>
      <c r="X216" s="114"/>
      <c r="Y216" s="114"/>
      <c r="Z216" s="114"/>
    </row>
    <row r="217" spans="1:26" ht="15.75" customHeight="1" x14ac:dyDescent="0.25">
      <c r="A217" s="24"/>
      <c r="B217" s="25"/>
      <c r="C217" s="24"/>
      <c r="D217" s="24"/>
      <c r="E217" s="24"/>
      <c r="F217" s="114"/>
      <c r="G217" s="114"/>
      <c r="H217" s="7"/>
      <c r="I217" s="212"/>
      <c r="J217" s="114"/>
      <c r="K217" s="114"/>
      <c r="L217" s="114"/>
      <c r="M217" s="114"/>
      <c r="N217" s="114"/>
      <c r="O217" s="114"/>
      <c r="P217" s="114"/>
      <c r="Q217" s="114"/>
      <c r="R217" s="114"/>
      <c r="S217" s="114"/>
      <c r="T217" s="114"/>
      <c r="U217" s="114"/>
      <c r="V217" s="114"/>
      <c r="W217" s="114"/>
      <c r="X217" s="114"/>
      <c r="Y217" s="114"/>
      <c r="Z217" s="114"/>
    </row>
    <row r="218" spans="1:26" ht="15.75" customHeight="1" x14ac:dyDescent="0.25">
      <c r="A218" s="24"/>
      <c r="B218" s="25"/>
      <c r="C218" s="24"/>
      <c r="D218" s="24"/>
      <c r="E218" s="24"/>
      <c r="F218" s="114"/>
      <c r="G218" s="114"/>
      <c r="H218" s="7"/>
      <c r="I218" s="212"/>
      <c r="J218" s="114"/>
      <c r="K218" s="114"/>
      <c r="L218" s="114"/>
      <c r="M218" s="114"/>
      <c r="N218" s="114"/>
      <c r="O218" s="114"/>
      <c r="P218" s="114"/>
      <c r="Q218" s="114"/>
      <c r="R218" s="114"/>
      <c r="S218" s="114"/>
      <c r="T218" s="114"/>
      <c r="U218" s="114"/>
      <c r="V218" s="114"/>
      <c r="W218" s="114"/>
      <c r="X218" s="114"/>
      <c r="Y218" s="114"/>
      <c r="Z218" s="114"/>
    </row>
    <row r="219" spans="1:26" ht="15.75" customHeight="1" x14ac:dyDescent="0.25">
      <c r="A219" s="24"/>
      <c r="B219" s="25"/>
      <c r="C219" s="24"/>
      <c r="D219" s="24"/>
      <c r="E219" s="24"/>
      <c r="F219" s="114"/>
      <c r="G219" s="114"/>
      <c r="H219" s="7"/>
      <c r="I219" s="212"/>
      <c r="J219" s="114"/>
      <c r="K219" s="114"/>
      <c r="L219" s="114"/>
      <c r="M219" s="114"/>
      <c r="N219" s="114"/>
      <c r="O219" s="114"/>
      <c r="P219" s="114"/>
      <c r="Q219" s="114"/>
      <c r="R219" s="114"/>
      <c r="S219" s="114"/>
      <c r="T219" s="114"/>
      <c r="U219" s="114"/>
      <c r="V219" s="114"/>
      <c r="W219" s="114"/>
      <c r="X219" s="114"/>
      <c r="Y219" s="114"/>
      <c r="Z219" s="114"/>
    </row>
    <row r="220" spans="1:26" ht="15.75" customHeight="1" x14ac:dyDescent="0.25">
      <c r="A220" s="24"/>
      <c r="B220" s="25"/>
      <c r="C220" s="24"/>
      <c r="D220" s="24"/>
      <c r="E220" s="24"/>
      <c r="F220" s="114"/>
      <c r="G220" s="114"/>
      <c r="H220" s="7"/>
      <c r="I220" s="212"/>
      <c r="J220" s="114"/>
      <c r="K220" s="114"/>
      <c r="L220" s="114"/>
      <c r="M220" s="114"/>
      <c r="N220" s="114"/>
      <c r="O220" s="114"/>
      <c r="P220" s="114"/>
      <c r="Q220" s="114"/>
      <c r="R220" s="114"/>
      <c r="S220" s="114"/>
      <c r="T220" s="114"/>
      <c r="U220" s="114"/>
      <c r="V220" s="114"/>
      <c r="W220" s="114"/>
      <c r="X220" s="114"/>
      <c r="Y220" s="114"/>
      <c r="Z220" s="114"/>
    </row>
    <row r="221" spans="1:26" ht="15.75" customHeight="1" x14ac:dyDescent="0.25">
      <c r="A221" s="24"/>
      <c r="B221" s="25"/>
      <c r="C221" s="24"/>
      <c r="D221" s="24"/>
      <c r="E221" s="24"/>
      <c r="F221" s="114"/>
      <c r="G221" s="114"/>
      <c r="H221" s="7"/>
      <c r="I221" s="212"/>
      <c r="J221" s="114"/>
      <c r="K221" s="114"/>
      <c r="L221" s="114"/>
      <c r="M221" s="114"/>
      <c r="N221" s="114"/>
      <c r="O221" s="114"/>
      <c r="P221" s="114"/>
      <c r="Q221" s="114"/>
      <c r="R221" s="114"/>
      <c r="S221" s="114"/>
      <c r="T221" s="114"/>
      <c r="U221" s="114"/>
      <c r="V221" s="114"/>
      <c r="W221" s="114"/>
      <c r="X221" s="114"/>
      <c r="Y221" s="114"/>
      <c r="Z221" s="114"/>
    </row>
    <row r="222" spans="1:26" ht="15.75" customHeight="1" x14ac:dyDescent="0.25">
      <c r="A222" s="24"/>
      <c r="B222" s="25"/>
      <c r="C222" s="24"/>
      <c r="D222" s="24"/>
      <c r="E222" s="24"/>
      <c r="F222" s="114"/>
      <c r="G222" s="114"/>
      <c r="H222" s="7"/>
      <c r="I222" s="212"/>
      <c r="J222" s="114"/>
      <c r="K222" s="114"/>
      <c r="L222" s="114"/>
      <c r="M222" s="114"/>
      <c r="N222" s="114"/>
      <c r="O222" s="114"/>
      <c r="P222" s="114"/>
      <c r="Q222" s="114"/>
      <c r="R222" s="114"/>
      <c r="S222" s="114"/>
      <c r="T222" s="114"/>
      <c r="U222" s="114"/>
      <c r="V222" s="114"/>
      <c r="W222" s="114"/>
      <c r="X222" s="114"/>
      <c r="Y222" s="114"/>
      <c r="Z222" s="114"/>
    </row>
    <row r="223" spans="1:26" ht="15.75" customHeight="1" x14ac:dyDescent="0.25">
      <c r="A223" s="24"/>
      <c r="B223" s="25"/>
      <c r="C223" s="24"/>
      <c r="D223" s="24"/>
      <c r="E223" s="24"/>
      <c r="F223" s="114"/>
      <c r="G223" s="114"/>
      <c r="H223" s="7"/>
      <c r="I223" s="212"/>
      <c r="J223" s="114"/>
      <c r="K223" s="114"/>
      <c r="L223" s="114"/>
      <c r="M223" s="114"/>
      <c r="N223" s="114"/>
      <c r="O223" s="114"/>
      <c r="P223" s="114"/>
      <c r="Q223" s="114"/>
      <c r="R223" s="114"/>
      <c r="S223" s="114"/>
      <c r="T223" s="114"/>
      <c r="U223" s="114"/>
      <c r="V223" s="114"/>
      <c r="W223" s="114"/>
      <c r="X223" s="114"/>
      <c r="Y223" s="114"/>
      <c r="Z223" s="114"/>
    </row>
    <row r="224" spans="1:26" ht="15.75" customHeight="1" x14ac:dyDescent="0.25">
      <c r="A224" s="24"/>
      <c r="B224" s="25"/>
      <c r="C224" s="24"/>
      <c r="D224" s="24"/>
      <c r="E224" s="24"/>
      <c r="F224" s="114"/>
      <c r="G224" s="114"/>
      <c r="H224" s="7"/>
      <c r="I224" s="212"/>
      <c r="J224" s="114"/>
      <c r="K224" s="114"/>
      <c r="L224" s="114"/>
      <c r="M224" s="114"/>
      <c r="N224" s="114"/>
      <c r="O224" s="114"/>
      <c r="P224" s="114"/>
      <c r="Q224" s="114"/>
      <c r="R224" s="114"/>
      <c r="S224" s="114"/>
      <c r="T224" s="114"/>
      <c r="U224" s="114"/>
      <c r="V224" s="114"/>
      <c r="W224" s="114"/>
      <c r="X224" s="114"/>
      <c r="Y224" s="114"/>
      <c r="Z224" s="114"/>
    </row>
    <row r="225" spans="1:26" ht="15.75" customHeight="1" x14ac:dyDescent="0.25">
      <c r="A225" s="24"/>
      <c r="B225" s="25"/>
      <c r="C225" s="24"/>
      <c r="D225" s="24"/>
      <c r="E225" s="24"/>
      <c r="F225" s="114"/>
      <c r="G225" s="114"/>
      <c r="H225" s="7"/>
      <c r="I225" s="212"/>
      <c r="J225" s="114"/>
      <c r="K225" s="114"/>
      <c r="L225" s="114"/>
      <c r="M225" s="114"/>
      <c r="N225" s="114"/>
      <c r="O225" s="114"/>
      <c r="P225" s="114"/>
      <c r="Q225" s="114"/>
      <c r="R225" s="114"/>
      <c r="S225" s="114"/>
      <c r="T225" s="114"/>
      <c r="U225" s="114"/>
      <c r="V225" s="114"/>
      <c r="W225" s="114"/>
      <c r="X225" s="114"/>
      <c r="Y225" s="114"/>
      <c r="Z225" s="114"/>
    </row>
    <row r="226" spans="1:26" ht="15.75" customHeight="1" x14ac:dyDescent="0.25">
      <c r="A226" s="24"/>
      <c r="B226" s="25"/>
      <c r="C226" s="24"/>
      <c r="D226" s="24"/>
      <c r="E226" s="24"/>
      <c r="F226" s="114"/>
      <c r="G226" s="114"/>
      <c r="H226" s="7"/>
      <c r="I226" s="212"/>
      <c r="J226" s="114"/>
      <c r="K226" s="114"/>
      <c r="L226" s="114"/>
      <c r="M226" s="114"/>
      <c r="N226" s="114"/>
      <c r="O226" s="114"/>
      <c r="P226" s="114"/>
      <c r="Q226" s="114"/>
      <c r="R226" s="114"/>
      <c r="S226" s="114"/>
      <c r="T226" s="114"/>
      <c r="U226" s="114"/>
      <c r="V226" s="114"/>
      <c r="W226" s="114"/>
      <c r="X226" s="114"/>
      <c r="Y226" s="114"/>
      <c r="Z226" s="114"/>
    </row>
    <row r="227" spans="1:26" ht="15.75" customHeight="1" x14ac:dyDescent="0.25">
      <c r="A227" s="24"/>
      <c r="B227" s="25"/>
      <c r="C227" s="24"/>
      <c r="D227" s="24"/>
      <c r="E227" s="24"/>
      <c r="F227" s="114"/>
      <c r="G227" s="114"/>
      <c r="H227" s="7"/>
      <c r="I227" s="212"/>
      <c r="J227" s="114"/>
      <c r="K227" s="114"/>
      <c r="L227" s="114"/>
      <c r="M227" s="114"/>
      <c r="N227" s="114"/>
      <c r="O227" s="114"/>
      <c r="P227" s="114"/>
      <c r="Q227" s="114"/>
      <c r="R227" s="114"/>
      <c r="S227" s="114"/>
      <c r="T227" s="114"/>
      <c r="U227" s="114"/>
      <c r="V227" s="114"/>
      <c r="W227" s="114"/>
      <c r="X227" s="114"/>
      <c r="Y227" s="114"/>
      <c r="Z227" s="114"/>
    </row>
    <row r="228" spans="1:26" ht="15.75" customHeight="1" x14ac:dyDescent="0.25">
      <c r="A228" s="24"/>
      <c r="B228" s="25"/>
      <c r="C228" s="24"/>
      <c r="D228" s="24"/>
      <c r="E228" s="24"/>
      <c r="F228" s="114"/>
      <c r="G228" s="114"/>
      <c r="H228" s="7"/>
      <c r="I228" s="212"/>
      <c r="J228" s="114"/>
      <c r="K228" s="114"/>
      <c r="L228" s="114"/>
      <c r="M228" s="114"/>
      <c r="N228" s="114"/>
      <c r="O228" s="114"/>
      <c r="P228" s="114"/>
      <c r="Q228" s="114"/>
      <c r="R228" s="114"/>
      <c r="S228" s="114"/>
      <c r="T228" s="114"/>
      <c r="U228" s="114"/>
      <c r="V228" s="114"/>
      <c r="W228" s="114"/>
      <c r="X228" s="114"/>
      <c r="Y228" s="114"/>
      <c r="Z228" s="114"/>
    </row>
    <row r="229" spans="1:26" ht="15.75" customHeight="1" x14ac:dyDescent="0.25">
      <c r="A229" s="24"/>
      <c r="B229" s="25"/>
      <c r="C229" s="24"/>
      <c r="D229" s="24"/>
      <c r="E229" s="24"/>
      <c r="F229" s="114"/>
      <c r="G229" s="114"/>
      <c r="H229" s="7"/>
      <c r="I229" s="212"/>
      <c r="J229" s="114"/>
      <c r="K229" s="114"/>
      <c r="L229" s="114"/>
      <c r="M229" s="114"/>
      <c r="N229" s="114"/>
      <c r="O229" s="114"/>
      <c r="P229" s="114"/>
      <c r="Q229" s="114"/>
      <c r="R229" s="114"/>
      <c r="S229" s="114"/>
      <c r="T229" s="114"/>
      <c r="U229" s="114"/>
      <c r="V229" s="114"/>
      <c r="W229" s="114"/>
      <c r="X229" s="114"/>
      <c r="Y229" s="114"/>
      <c r="Z229" s="114"/>
    </row>
    <row r="230" spans="1:26" ht="15.75" customHeight="1" x14ac:dyDescent="0.25">
      <c r="A230" s="24"/>
      <c r="B230" s="25"/>
      <c r="C230" s="24"/>
      <c r="D230" s="24"/>
      <c r="E230" s="24"/>
      <c r="F230" s="114"/>
      <c r="G230" s="114"/>
      <c r="H230" s="7"/>
      <c r="I230" s="212"/>
      <c r="J230" s="114"/>
      <c r="K230" s="114"/>
      <c r="L230" s="114"/>
      <c r="M230" s="114"/>
      <c r="N230" s="114"/>
      <c r="O230" s="114"/>
      <c r="P230" s="114"/>
      <c r="Q230" s="114"/>
      <c r="R230" s="114"/>
      <c r="S230" s="114"/>
      <c r="T230" s="114"/>
      <c r="U230" s="114"/>
      <c r="V230" s="114"/>
      <c r="W230" s="114"/>
      <c r="X230" s="114"/>
      <c r="Y230" s="114"/>
      <c r="Z230" s="114"/>
    </row>
    <row r="231" spans="1:26" ht="15.75" customHeight="1" x14ac:dyDescent="0.25">
      <c r="A231" s="24"/>
      <c r="B231" s="25"/>
      <c r="C231" s="24"/>
      <c r="D231" s="24"/>
      <c r="E231" s="24"/>
      <c r="F231" s="114"/>
      <c r="G231" s="114"/>
      <c r="H231" s="7"/>
      <c r="I231" s="212"/>
      <c r="J231" s="114"/>
      <c r="K231" s="114"/>
      <c r="L231" s="114"/>
      <c r="M231" s="114"/>
      <c r="N231" s="114"/>
      <c r="O231" s="114"/>
      <c r="P231" s="114"/>
      <c r="Q231" s="114"/>
      <c r="R231" s="114"/>
      <c r="S231" s="114"/>
      <c r="T231" s="114"/>
      <c r="U231" s="114"/>
      <c r="V231" s="114"/>
      <c r="W231" s="114"/>
      <c r="X231" s="114"/>
      <c r="Y231" s="114"/>
      <c r="Z231" s="114"/>
    </row>
    <row r="232" spans="1:26" ht="15.75" customHeight="1" x14ac:dyDescent="0.25">
      <c r="A232" s="24"/>
      <c r="B232" s="25"/>
      <c r="C232" s="24"/>
      <c r="D232" s="24"/>
      <c r="E232" s="24"/>
      <c r="F232" s="114"/>
      <c r="G232" s="114"/>
      <c r="H232" s="7"/>
      <c r="I232" s="212"/>
      <c r="J232" s="114"/>
      <c r="K232" s="114"/>
      <c r="L232" s="114"/>
      <c r="M232" s="114"/>
      <c r="N232" s="114"/>
      <c r="O232" s="114"/>
      <c r="P232" s="114"/>
      <c r="Q232" s="114"/>
      <c r="R232" s="114"/>
      <c r="S232" s="114"/>
      <c r="T232" s="114"/>
      <c r="U232" s="114"/>
      <c r="V232" s="114"/>
      <c r="W232" s="114"/>
      <c r="X232" s="114"/>
      <c r="Y232" s="114"/>
      <c r="Z232" s="114"/>
    </row>
    <row r="233" spans="1:26" ht="15.75" customHeight="1" x14ac:dyDescent="0.25">
      <c r="A233" s="24"/>
      <c r="B233" s="25"/>
      <c r="C233" s="24"/>
      <c r="D233" s="24"/>
      <c r="E233" s="24"/>
      <c r="F233" s="114"/>
      <c r="G233" s="114"/>
      <c r="H233" s="7"/>
      <c r="I233" s="212"/>
      <c r="J233" s="114"/>
      <c r="K233" s="114"/>
      <c r="L233" s="114"/>
      <c r="M233" s="114"/>
      <c r="N233" s="114"/>
      <c r="O233" s="114"/>
      <c r="P233" s="114"/>
      <c r="Q233" s="114"/>
      <c r="R233" s="114"/>
      <c r="S233" s="114"/>
      <c r="T233" s="114"/>
      <c r="U233" s="114"/>
      <c r="V233" s="114"/>
      <c r="W233" s="114"/>
      <c r="X233" s="114"/>
      <c r="Y233" s="114"/>
      <c r="Z233" s="114"/>
    </row>
    <row r="234" spans="1:26" ht="15.75" customHeight="1" x14ac:dyDescent="0.25">
      <c r="A234" s="24"/>
      <c r="B234" s="25"/>
      <c r="C234" s="24"/>
      <c r="D234" s="24"/>
      <c r="E234" s="24"/>
      <c r="F234" s="114"/>
      <c r="G234" s="114"/>
      <c r="H234" s="7"/>
      <c r="I234" s="212"/>
      <c r="J234" s="114"/>
      <c r="K234" s="114"/>
      <c r="L234" s="114"/>
      <c r="M234" s="114"/>
      <c r="N234" s="114"/>
      <c r="O234" s="114"/>
      <c r="P234" s="114"/>
      <c r="Q234" s="114"/>
      <c r="R234" s="114"/>
      <c r="S234" s="114"/>
      <c r="T234" s="114"/>
      <c r="U234" s="114"/>
      <c r="V234" s="114"/>
      <c r="W234" s="114"/>
      <c r="X234" s="114"/>
      <c r="Y234" s="114"/>
      <c r="Z234" s="114"/>
    </row>
    <row r="235" spans="1:26" ht="15.75" customHeight="1" x14ac:dyDescent="0.25">
      <c r="A235" s="24"/>
      <c r="B235" s="25"/>
      <c r="C235" s="24"/>
      <c r="D235" s="24"/>
      <c r="E235" s="24"/>
      <c r="F235" s="114"/>
      <c r="G235" s="114"/>
      <c r="H235" s="7"/>
      <c r="I235" s="212"/>
      <c r="J235" s="114"/>
      <c r="K235" s="114"/>
      <c r="L235" s="114"/>
      <c r="M235" s="114"/>
      <c r="N235" s="114"/>
      <c r="O235" s="114"/>
      <c r="P235" s="114"/>
      <c r="Q235" s="114"/>
      <c r="R235" s="114"/>
      <c r="S235" s="114"/>
      <c r="T235" s="114"/>
      <c r="U235" s="114"/>
      <c r="V235" s="114"/>
      <c r="W235" s="114"/>
      <c r="X235" s="114"/>
      <c r="Y235" s="114"/>
      <c r="Z235" s="114"/>
    </row>
    <row r="236" spans="1:26" ht="15.75" customHeight="1" x14ac:dyDescent="0.25">
      <c r="A236" s="24"/>
      <c r="B236" s="25"/>
      <c r="C236" s="24"/>
      <c r="D236" s="24"/>
      <c r="E236" s="24"/>
      <c r="F236" s="114"/>
      <c r="G236" s="114"/>
      <c r="H236" s="7"/>
      <c r="I236" s="212"/>
      <c r="J236" s="114"/>
      <c r="K236" s="114"/>
      <c r="L236" s="114"/>
      <c r="M236" s="114"/>
      <c r="N236" s="114"/>
      <c r="O236" s="114"/>
      <c r="P236" s="114"/>
      <c r="Q236" s="114"/>
      <c r="R236" s="114"/>
      <c r="S236" s="114"/>
      <c r="T236" s="114"/>
      <c r="U236" s="114"/>
      <c r="V236" s="114"/>
      <c r="W236" s="114"/>
      <c r="X236" s="114"/>
      <c r="Y236" s="114"/>
      <c r="Z236" s="114"/>
    </row>
    <row r="237" spans="1:26" ht="15.75" customHeight="1" x14ac:dyDescent="0.25">
      <c r="A237" s="24"/>
      <c r="B237" s="25"/>
      <c r="C237" s="24"/>
      <c r="D237" s="24"/>
      <c r="E237" s="24"/>
      <c r="F237" s="114"/>
      <c r="G237" s="114"/>
      <c r="H237" s="7"/>
      <c r="I237" s="212"/>
      <c r="J237" s="114"/>
      <c r="K237" s="114"/>
      <c r="L237" s="114"/>
      <c r="M237" s="114"/>
      <c r="N237" s="114"/>
      <c r="O237" s="114"/>
      <c r="P237" s="114"/>
      <c r="Q237" s="114"/>
      <c r="R237" s="114"/>
      <c r="S237" s="114"/>
      <c r="T237" s="114"/>
      <c r="U237" s="114"/>
      <c r="V237" s="114"/>
      <c r="W237" s="114"/>
      <c r="X237" s="114"/>
      <c r="Y237" s="114"/>
      <c r="Z237" s="114"/>
    </row>
    <row r="238" spans="1:26" ht="15.75" customHeight="1" x14ac:dyDescent="0.25">
      <c r="A238" s="24"/>
      <c r="B238" s="25"/>
      <c r="C238" s="24"/>
      <c r="D238" s="24"/>
      <c r="E238" s="24"/>
      <c r="F238" s="114"/>
      <c r="G238" s="114"/>
      <c r="H238" s="7"/>
      <c r="I238" s="212"/>
      <c r="J238" s="114"/>
      <c r="K238" s="114"/>
      <c r="L238" s="114"/>
      <c r="M238" s="114"/>
      <c r="N238" s="114"/>
      <c r="O238" s="114"/>
      <c r="P238" s="114"/>
      <c r="Q238" s="114"/>
      <c r="R238" s="114"/>
      <c r="S238" s="114"/>
      <c r="T238" s="114"/>
      <c r="U238" s="114"/>
      <c r="V238" s="114"/>
      <c r="W238" s="114"/>
      <c r="X238" s="114"/>
      <c r="Y238" s="114"/>
      <c r="Z238" s="114"/>
    </row>
    <row r="239" spans="1:26" ht="15.75" customHeight="1" x14ac:dyDescent="0.25">
      <c r="A239" s="24"/>
      <c r="B239" s="25"/>
      <c r="C239" s="24"/>
      <c r="D239" s="24"/>
      <c r="E239" s="24"/>
      <c r="F239" s="114"/>
      <c r="G239" s="114"/>
      <c r="H239" s="7"/>
      <c r="I239" s="212"/>
      <c r="J239" s="114"/>
      <c r="K239" s="114"/>
      <c r="L239" s="114"/>
      <c r="M239" s="114"/>
      <c r="N239" s="114"/>
      <c r="O239" s="114"/>
      <c r="P239" s="114"/>
      <c r="Q239" s="114"/>
      <c r="R239" s="114"/>
      <c r="S239" s="114"/>
      <c r="T239" s="114"/>
      <c r="U239" s="114"/>
      <c r="V239" s="114"/>
      <c r="W239" s="114"/>
      <c r="X239" s="114"/>
      <c r="Y239" s="114"/>
      <c r="Z239" s="114"/>
    </row>
    <row r="240" spans="1:26" ht="15.75" customHeight="1" x14ac:dyDescent="0.25">
      <c r="A240" s="24"/>
      <c r="B240" s="25"/>
      <c r="C240" s="24"/>
      <c r="D240" s="24"/>
      <c r="E240" s="24"/>
      <c r="F240" s="114"/>
      <c r="G240" s="114"/>
      <c r="H240" s="7"/>
      <c r="I240" s="212"/>
      <c r="J240" s="114"/>
      <c r="K240" s="114"/>
      <c r="L240" s="114"/>
      <c r="M240" s="114"/>
      <c r="N240" s="114"/>
      <c r="O240" s="114"/>
      <c r="P240" s="114"/>
      <c r="Q240" s="114"/>
      <c r="R240" s="114"/>
      <c r="S240" s="114"/>
      <c r="T240" s="114"/>
      <c r="U240" s="114"/>
      <c r="V240" s="114"/>
      <c r="W240" s="114"/>
      <c r="X240" s="114"/>
      <c r="Y240" s="114"/>
      <c r="Z240" s="114"/>
    </row>
    <row r="241" spans="1:26" ht="15.75" customHeight="1" x14ac:dyDescent="0.25">
      <c r="A241" s="24"/>
      <c r="B241" s="25"/>
      <c r="C241" s="24"/>
      <c r="D241" s="24"/>
      <c r="E241" s="24"/>
      <c r="F241" s="114"/>
      <c r="G241" s="114"/>
      <c r="H241" s="7"/>
      <c r="I241" s="212"/>
      <c r="J241" s="114"/>
      <c r="K241" s="114"/>
      <c r="L241" s="114"/>
      <c r="M241" s="114"/>
      <c r="N241" s="114"/>
      <c r="O241" s="114"/>
      <c r="P241" s="114"/>
      <c r="Q241" s="114"/>
      <c r="R241" s="114"/>
      <c r="S241" s="114"/>
      <c r="T241" s="114"/>
      <c r="U241" s="114"/>
      <c r="V241" s="114"/>
      <c r="W241" s="114"/>
      <c r="X241" s="114"/>
      <c r="Y241" s="114"/>
      <c r="Z241" s="114"/>
    </row>
    <row r="242" spans="1:26" ht="15.75" customHeight="1" x14ac:dyDescent="0.25">
      <c r="A242" s="24"/>
      <c r="B242" s="25"/>
      <c r="C242" s="24"/>
      <c r="D242" s="24"/>
      <c r="E242" s="24"/>
      <c r="F242" s="114"/>
      <c r="G242" s="114"/>
      <c r="H242" s="7"/>
      <c r="I242" s="212"/>
      <c r="J242" s="114"/>
      <c r="K242" s="114"/>
      <c r="L242" s="114"/>
      <c r="M242" s="114"/>
      <c r="N242" s="114"/>
      <c r="O242" s="114"/>
      <c r="P242" s="114"/>
      <c r="Q242" s="114"/>
      <c r="R242" s="114"/>
      <c r="S242" s="114"/>
      <c r="T242" s="114"/>
      <c r="U242" s="114"/>
      <c r="V242" s="114"/>
      <c r="W242" s="114"/>
      <c r="X242" s="114"/>
      <c r="Y242" s="114"/>
      <c r="Z242" s="114"/>
    </row>
    <row r="243" spans="1:26" ht="15.75" customHeight="1" x14ac:dyDescent="0.25">
      <c r="A243" s="24"/>
      <c r="B243" s="25"/>
      <c r="C243" s="24"/>
      <c r="D243" s="24"/>
      <c r="E243" s="24"/>
      <c r="F243" s="114"/>
      <c r="G243" s="114"/>
      <c r="H243" s="7"/>
      <c r="I243" s="212"/>
      <c r="J243" s="114"/>
      <c r="K243" s="114"/>
      <c r="L243" s="114"/>
      <c r="M243" s="114"/>
      <c r="N243" s="114"/>
      <c r="O243" s="114"/>
      <c r="P243" s="114"/>
      <c r="Q243" s="114"/>
      <c r="R243" s="114"/>
      <c r="S243" s="114"/>
      <c r="T243" s="114"/>
      <c r="U243" s="114"/>
      <c r="V243" s="114"/>
      <c r="W243" s="114"/>
      <c r="X243" s="114"/>
      <c r="Y243" s="114"/>
      <c r="Z243" s="114"/>
    </row>
    <row r="244" spans="1:26" ht="15.75" customHeight="1" x14ac:dyDescent="0.25">
      <c r="A244" s="24"/>
      <c r="B244" s="25"/>
      <c r="C244" s="24"/>
      <c r="D244" s="24"/>
      <c r="E244" s="24"/>
      <c r="F244" s="114"/>
      <c r="G244" s="114"/>
      <c r="H244" s="7"/>
      <c r="I244" s="212"/>
      <c r="J244" s="114"/>
      <c r="K244" s="114"/>
      <c r="L244" s="114"/>
      <c r="M244" s="114"/>
      <c r="N244" s="114"/>
      <c r="O244" s="114"/>
      <c r="P244" s="114"/>
      <c r="Q244" s="114"/>
      <c r="R244" s="114"/>
      <c r="S244" s="114"/>
      <c r="T244" s="114"/>
      <c r="U244" s="114"/>
      <c r="V244" s="114"/>
      <c r="W244" s="114"/>
      <c r="X244" s="114"/>
      <c r="Y244" s="114"/>
      <c r="Z244" s="114"/>
    </row>
    <row r="245" spans="1:26" ht="15.75" customHeight="1" x14ac:dyDescent="0.25">
      <c r="A245" s="24"/>
      <c r="B245" s="25"/>
      <c r="C245" s="24"/>
      <c r="D245" s="24"/>
      <c r="E245" s="24"/>
      <c r="F245" s="114"/>
      <c r="G245" s="114"/>
      <c r="H245" s="7"/>
      <c r="I245" s="212"/>
      <c r="J245" s="114"/>
      <c r="K245" s="114"/>
      <c r="L245" s="114"/>
      <c r="M245" s="114"/>
      <c r="N245" s="114"/>
      <c r="O245" s="114"/>
      <c r="P245" s="114"/>
      <c r="Q245" s="114"/>
      <c r="R245" s="114"/>
      <c r="S245" s="114"/>
      <c r="T245" s="114"/>
      <c r="U245" s="114"/>
      <c r="V245" s="114"/>
      <c r="W245" s="114"/>
      <c r="X245" s="114"/>
      <c r="Y245" s="114"/>
      <c r="Z245" s="114"/>
    </row>
    <row r="246" spans="1:26" ht="15.75" customHeight="1" x14ac:dyDescent="0.25">
      <c r="A246" s="24"/>
      <c r="B246" s="25"/>
      <c r="C246" s="24"/>
      <c r="D246" s="24"/>
      <c r="E246" s="24"/>
      <c r="F246" s="114"/>
      <c r="G246" s="114"/>
      <c r="H246" s="7"/>
      <c r="I246" s="212"/>
      <c r="J246" s="114"/>
      <c r="K246" s="114"/>
      <c r="L246" s="114"/>
      <c r="M246" s="114"/>
      <c r="N246" s="114"/>
      <c r="O246" s="114"/>
      <c r="P246" s="114"/>
      <c r="Q246" s="114"/>
      <c r="R246" s="114"/>
      <c r="S246" s="114"/>
      <c r="T246" s="114"/>
      <c r="U246" s="114"/>
      <c r="V246" s="114"/>
      <c r="W246" s="114"/>
      <c r="X246" s="114"/>
      <c r="Y246" s="114"/>
      <c r="Z246" s="114"/>
    </row>
    <row r="247" spans="1:26" ht="15.75" customHeight="1" x14ac:dyDescent="0.25">
      <c r="A247" s="24"/>
      <c r="B247" s="25"/>
      <c r="C247" s="24"/>
      <c r="D247" s="24"/>
      <c r="E247" s="24"/>
      <c r="F247" s="114"/>
      <c r="G247" s="114"/>
      <c r="H247" s="7"/>
      <c r="I247" s="212"/>
      <c r="J247" s="114"/>
      <c r="K247" s="114"/>
      <c r="L247" s="114"/>
      <c r="M247" s="114"/>
      <c r="N247" s="114"/>
      <c r="O247" s="114"/>
      <c r="P247" s="114"/>
      <c r="Q247" s="114"/>
      <c r="R247" s="114"/>
      <c r="S247" s="114"/>
      <c r="T247" s="114"/>
      <c r="U247" s="114"/>
      <c r="V247" s="114"/>
      <c r="W247" s="114"/>
      <c r="X247" s="114"/>
      <c r="Y247" s="114"/>
      <c r="Z247" s="114"/>
    </row>
    <row r="248" spans="1:26" ht="15.75" customHeight="1" x14ac:dyDescent="0.25">
      <c r="A248" s="24"/>
      <c r="B248" s="25"/>
      <c r="C248" s="24"/>
      <c r="D248" s="24"/>
      <c r="E248" s="24"/>
      <c r="F248" s="114"/>
      <c r="G248" s="114"/>
      <c r="H248" s="7"/>
      <c r="I248" s="212"/>
      <c r="J248" s="114"/>
      <c r="K248" s="114"/>
      <c r="L248" s="114"/>
      <c r="M248" s="114"/>
      <c r="N248" s="114"/>
      <c r="O248" s="114"/>
      <c r="P248" s="114"/>
      <c r="Q248" s="114"/>
      <c r="R248" s="114"/>
      <c r="S248" s="114"/>
      <c r="T248" s="114"/>
      <c r="U248" s="114"/>
      <c r="V248" s="114"/>
      <c r="W248" s="114"/>
      <c r="X248" s="114"/>
      <c r="Y248" s="114"/>
      <c r="Z248" s="114"/>
    </row>
    <row r="249" spans="1:26" ht="15.75" customHeight="1" x14ac:dyDescent="0.25">
      <c r="A249" s="24"/>
      <c r="B249" s="25"/>
      <c r="C249" s="24"/>
      <c r="D249" s="24"/>
      <c r="E249" s="24"/>
      <c r="F249" s="114"/>
      <c r="G249" s="114"/>
      <c r="H249" s="7"/>
      <c r="I249" s="212"/>
      <c r="J249" s="114"/>
      <c r="K249" s="114"/>
      <c r="L249" s="114"/>
      <c r="M249" s="114"/>
      <c r="N249" s="114"/>
      <c r="O249" s="114"/>
      <c r="P249" s="114"/>
      <c r="Q249" s="114"/>
      <c r="R249" s="114"/>
      <c r="S249" s="114"/>
      <c r="T249" s="114"/>
      <c r="U249" s="114"/>
      <c r="V249" s="114"/>
      <c r="W249" s="114"/>
      <c r="X249" s="114"/>
      <c r="Y249" s="114"/>
      <c r="Z249" s="114"/>
    </row>
    <row r="250" spans="1:26" ht="15.75" customHeight="1" x14ac:dyDescent="0.25">
      <c r="A250" s="24"/>
      <c r="B250" s="25"/>
      <c r="C250" s="24"/>
      <c r="D250" s="24"/>
      <c r="E250" s="24"/>
      <c r="F250" s="114"/>
      <c r="G250" s="114"/>
      <c r="H250" s="7"/>
      <c r="I250" s="212"/>
      <c r="J250" s="114"/>
      <c r="K250" s="114"/>
      <c r="L250" s="114"/>
      <c r="M250" s="114"/>
      <c r="N250" s="114"/>
      <c r="O250" s="114"/>
      <c r="P250" s="114"/>
      <c r="Q250" s="114"/>
      <c r="R250" s="114"/>
      <c r="S250" s="114"/>
      <c r="T250" s="114"/>
      <c r="U250" s="114"/>
      <c r="V250" s="114"/>
      <c r="W250" s="114"/>
      <c r="X250" s="114"/>
      <c r="Y250" s="114"/>
      <c r="Z250" s="114"/>
    </row>
    <row r="251" spans="1:26" ht="15.75" customHeight="1" x14ac:dyDescent="0.25">
      <c r="A251" s="24"/>
      <c r="B251" s="25"/>
      <c r="C251" s="24"/>
      <c r="D251" s="24"/>
      <c r="E251" s="24"/>
      <c r="F251" s="114"/>
      <c r="G251" s="114"/>
      <c r="H251" s="7"/>
      <c r="I251" s="212"/>
      <c r="J251" s="114"/>
      <c r="K251" s="114"/>
      <c r="L251" s="114"/>
      <c r="M251" s="114"/>
      <c r="N251" s="114"/>
      <c r="O251" s="114"/>
      <c r="P251" s="114"/>
      <c r="Q251" s="114"/>
      <c r="R251" s="114"/>
      <c r="S251" s="114"/>
      <c r="T251" s="114"/>
      <c r="U251" s="114"/>
      <c r="V251" s="114"/>
      <c r="W251" s="114"/>
      <c r="X251" s="114"/>
      <c r="Y251" s="114"/>
      <c r="Z251" s="114"/>
    </row>
    <row r="252" spans="1:26" ht="15.75" customHeight="1" x14ac:dyDescent="0.25">
      <c r="A252" s="24"/>
      <c r="B252" s="25"/>
      <c r="C252" s="24"/>
      <c r="D252" s="24"/>
      <c r="E252" s="24"/>
      <c r="F252" s="114"/>
      <c r="G252" s="114"/>
      <c r="H252" s="7"/>
      <c r="I252" s="212"/>
      <c r="J252" s="114"/>
      <c r="K252" s="114"/>
      <c r="L252" s="114"/>
      <c r="M252" s="114"/>
      <c r="N252" s="114"/>
      <c r="O252" s="114"/>
      <c r="P252" s="114"/>
      <c r="Q252" s="114"/>
      <c r="R252" s="114"/>
      <c r="S252" s="114"/>
      <c r="T252" s="114"/>
      <c r="U252" s="114"/>
      <c r="V252" s="114"/>
      <c r="W252" s="114"/>
      <c r="X252" s="114"/>
      <c r="Y252" s="114"/>
      <c r="Z252" s="114"/>
    </row>
    <row r="253" spans="1:26" ht="15.75" customHeight="1" x14ac:dyDescent="0.25">
      <c r="A253" s="24"/>
      <c r="B253" s="25"/>
      <c r="C253" s="24"/>
      <c r="D253" s="24"/>
      <c r="E253" s="24"/>
      <c r="F253" s="114"/>
      <c r="G253" s="114"/>
      <c r="H253" s="7"/>
      <c r="I253" s="212"/>
      <c r="J253" s="114"/>
      <c r="K253" s="114"/>
      <c r="L253" s="114"/>
      <c r="M253" s="114"/>
      <c r="N253" s="114"/>
      <c r="O253" s="114"/>
      <c r="P253" s="114"/>
      <c r="Q253" s="114"/>
      <c r="R253" s="114"/>
      <c r="S253" s="114"/>
      <c r="T253" s="114"/>
      <c r="U253" s="114"/>
      <c r="V253" s="114"/>
      <c r="W253" s="114"/>
      <c r="X253" s="114"/>
      <c r="Y253" s="114"/>
      <c r="Z253" s="114"/>
    </row>
    <row r="254" spans="1:26" ht="15.75" customHeight="1" x14ac:dyDescent="0.25">
      <c r="A254" s="24"/>
      <c r="B254" s="25"/>
      <c r="C254" s="24"/>
      <c r="D254" s="24"/>
      <c r="E254" s="24"/>
      <c r="F254" s="114"/>
      <c r="G254" s="114"/>
      <c r="H254" s="7"/>
      <c r="I254" s="212"/>
      <c r="J254" s="114"/>
      <c r="K254" s="114"/>
      <c r="L254" s="114"/>
      <c r="M254" s="114"/>
      <c r="N254" s="114"/>
      <c r="O254" s="114"/>
      <c r="P254" s="114"/>
      <c r="Q254" s="114"/>
      <c r="R254" s="114"/>
      <c r="S254" s="114"/>
      <c r="T254" s="114"/>
      <c r="U254" s="114"/>
      <c r="V254" s="114"/>
      <c r="W254" s="114"/>
      <c r="X254" s="114"/>
      <c r="Y254" s="114"/>
      <c r="Z254" s="114"/>
    </row>
    <row r="255" spans="1:26" ht="15.75" customHeight="1" x14ac:dyDescent="0.25">
      <c r="A255" s="24"/>
      <c r="B255" s="25"/>
      <c r="C255" s="24"/>
      <c r="D255" s="24"/>
      <c r="E255" s="24"/>
      <c r="F255" s="114"/>
      <c r="G255" s="114"/>
      <c r="H255" s="7"/>
      <c r="I255" s="212"/>
      <c r="J255" s="114"/>
      <c r="K255" s="114"/>
      <c r="L255" s="114"/>
      <c r="M255" s="114"/>
      <c r="N255" s="114"/>
      <c r="O255" s="114"/>
      <c r="P255" s="114"/>
      <c r="Q255" s="114"/>
      <c r="R255" s="114"/>
      <c r="S255" s="114"/>
      <c r="T255" s="114"/>
      <c r="U255" s="114"/>
      <c r="V255" s="114"/>
      <c r="W255" s="114"/>
      <c r="X255" s="114"/>
      <c r="Y255" s="114"/>
      <c r="Z255" s="114"/>
    </row>
    <row r="256" spans="1:26" ht="15.75" customHeight="1" x14ac:dyDescent="0.25">
      <c r="A256" s="24"/>
      <c r="B256" s="25"/>
      <c r="C256" s="24"/>
      <c r="D256" s="24"/>
      <c r="E256" s="24"/>
      <c r="F256" s="114"/>
      <c r="G256" s="114"/>
      <c r="H256" s="7"/>
      <c r="I256" s="212"/>
      <c r="J256" s="114"/>
      <c r="K256" s="114"/>
      <c r="L256" s="114"/>
      <c r="M256" s="114"/>
      <c r="N256" s="114"/>
      <c r="O256" s="114"/>
      <c r="P256" s="114"/>
      <c r="Q256" s="114"/>
      <c r="R256" s="114"/>
      <c r="S256" s="114"/>
      <c r="T256" s="114"/>
      <c r="U256" s="114"/>
      <c r="V256" s="114"/>
      <c r="W256" s="114"/>
      <c r="X256" s="114"/>
      <c r="Y256" s="114"/>
      <c r="Z256" s="114"/>
    </row>
    <row r="257" spans="1:26" ht="15.75" customHeight="1" x14ac:dyDescent="0.25">
      <c r="A257" s="24"/>
      <c r="B257" s="25"/>
      <c r="C257" s="24"/>
      <c r="D257" s="24"/>
      <c r="E257" s="24"/>
      <c r="F257" s="114"/>
      <c r="G257" s="114"/>
      <c r="H257" s="7"/>
      <c r="I257" s="212"/>
      <c r="J257" s="114"/>
      <c r="K257" s="114"/>
      <c r="L257" s="114"/>
      <c r="M257" s="114"/>
      <c r="N257" s="114"/>
      <c r="O257" s="114"/>
      <c r="P257" s="114"/>
      <c r="Q257" s="114"/>
      <c r="R257" s="114"/>
      <c r="S257" s="114"/>
      <c r="T257" s="114"/>
      <c r="U257" s="114"/>
      <c r="V257" s="114"/>
      <c r="W257" s="114"/>
      <c r="X257" s="114"/>
      <c r="Y257" s="114"/>
      <c r="Z257" s="114"/>
    </row>
    <row r="258" spans="1:26" ht="15.75" customHeight="1" x14ac:dyDescent="0.25">
      <c r="A258" s="24"/>
      <c r="B258" s="25"/>
      <c r="C258" s="24"/>
      <c r="D258" s="24"/>
      <c r="E258" s="24"/>
      <c r="F258" s="114"/>
      <c r="G258" s="114"/>
      <c r="H258" s="7"/>
      <c r="I258" s="212"/>
      <c r="J258" s="114"/>
      <c r="K258" s="114"/>
      <c r="L258" s="114"/>
      <c r="M258" s="114"/>
      <c r="N258" s="114"/>
      <c r="O258" s="114"/>
      <c r="P258" s="114"/>
      <c r="Q258" s="114"/>
      <c r="R258" s="114"/>
      <c r="S258" s="114"/>
      <c r="T258" s="114"/>
      <c r="U258" s="114"/>
      <c r="V258" s="114"/>
      <c r="W258" s="114"/>
      <c r="X258" s="114"/>
      <c r="Y258" s="114"/>
      <c r="Z258" s="114"/>
    </row>
    <row r="259" spans="1:26" ht="15.75" customHeight="1" x14ac:dyDescent="0.25">
      <c r="A259" s="24"/>
      <c r="B259" s="25"/>
      <c r="C259" s="24"/>
      <c r="D259" s="24"/>
      <c r="E259" s="24"/>
      <c r="F259" s="114"/>
      <c r="G259" s="114"/>
      <c r="H259" s="7"/>
      <c r="I259" s="212"/>
      <c r="J259" s="114"/>
      <c r="K259" s="114"/>
      <c r="L259" s="114"/>
      <c r="M259" s="114"/>
      <c r="N259" s="114"/>
      <c r="O259" s="114"/>
      <c r="P259" s="114"/>
      <c r="Q259" s="114"/>
      <c r="R259" s="114"/>
      <c r="S259" s="114"/>
      <c r="T259" s="114"/>
      <c r="U259" s="114"/>
      <c r="V259" s="114"/>
      <c r="W259" s="114"/>
      <c r="X259" s="114"/>
      <c r="Y259" s="114"/>
      <c r="Z259" s="114"/>
    </row>
    <row r="260" spans="1:26" ht="15.75" customHeight="1" x14ac:dyDescent="0.25">
      <c r="A260" s="24"/>
      <c r="B260" s="25"/>
      <c r="C260" s="24"/>
      <c r="D260" s="24"/>
      <c r="E260" s="24"/>
      <c r="F260" s="114"/>
      <c r="G260" s="114"/>
      <c r="H260" s="7"/>
      <c r="I260" s="212"/>
      <c r="J260" s="114"/>
      <c r="K260" s="114"/>
      <c r="L260" s="114"/>
      <c r="M260" s="114"/>
      <c r="N260" s="114"/>
      <c r="O260" s="114"/>
      <c r="P260" s="114"/>
      <c r="Q260" s="114"/>
      <c r="R260" s="114"/>
      <c r="S260" s="114"/>
      <c r="T260" s="114"/>
      <c r="U260" s="114"/>
      <c r="V260" s="114"/>
      <c r="W260" s="114"/>
      <c r="X260" s="114"/>
      <c r="Y260" s="114"/>
      <c r="Z260" s="114"/>
    </row>
    <row r="261" spans="1:26" ht="15.75" customHeight="1" x14ac:dyDescent="0.25">
      <c r="A261" s="24"/>
      <c r="B261" s="25"/>
      <c r="C261" s="24"/>
      <c r="D261" s="24"/>
      <c r="E261" s="24"/>
      <c r="F261" s="114"/>
      <c r="G261" s="114"/>
      <c r="H261" s="7"/>
      <c r="I261" s="212"/>
      <c r="J261" s="114"/>
      <c r="K261" s="114"/>
      <c r="L261" s="114"/>
      <c r="M261" s="114"/>
      <c r="N261" s="114"/>
      <c r="O261" s="114"/>
      <c r="P261" s="114"/>
      <c r="Q261" s="114"/>
      <c r="R261" s="114"/>
      <c r="S261" s="114"/>
      <c r="T261" s="114"/>
      <c r="U261" s="114"/>
      <c r="V261" s="114"/>
      <c r="W261" s="114"/>
      <c r="X261" s="114"/>
      <c r="Y261" s="114"/>
      <c r="Z261" s="114"/>
    </row>
    <row r="262" spans="1:26" ht="15.75" customHeight="1" x14ac:dyDescent="0.25">
      <c r="A262" s="24"/>
      <c r="B262" s="25"/>
      <c r="C262" s="24"/>
      <c r="D262" s="24"/>
      <c r="E262" s="24"/>
      <c r="F262" s="114"/>
      <c r="G262" s="114"/>
      <c r="H262" s="7"/>
      <c r="I262" s="212"/>
      <c r="J262" s="114"/>
      <c r="K262" s="114"/>
      <c r="L262" s="114"/>
      <c r="M262" s="114"/>
      <c r="N262" s="114"/>
      <c r="O262" s="114"/>
      <c r="P262" s="114"/>
      <c r="Q262" s="114"/>
      <c r="R262" s="114"/>
      <c r="S262" s="114"/>
      <c r="T262" s="114"/>
      <c r="U262" s="114"/>
      <c r="V262" s="114"/>
      <c r="W262" s="114"/>
      <c r="X262" s="114"/>
      <c r="Y262" s="114"/>
      <c r="Z262" s="114"/>
    </row>
    <row r="263" spans="1:26" ht="15.75" customHeight="1" x14ac:dyDescent="0.25">
      <c r="A263" s="24"/>
      <c r="B263" s="25"/>
      <c r="C263" s="24"/>
      <c r="D263" s="24"/>
      <c r="E263" s="24"/>
      <c r="F263" s="114"/>
      <c r="G263" s="114"/>
      <c r="H263" s="7"/>
      <c r="I263" s="212"/>
      <c r="J263" s="114"/>
      <c r="K263" s="114"/>
      <c r="L263" s="114"/>
      <c r="M263" s="114"/>
      <c r="N263" s="114"/>
      <c r="O263" s="114"/>
      <c r="P263" s="114"/>
      <c r="Q263" s="114"/>
      <c r="R263" s="114"/>
      <c r="S263" s="114"/>
      <c r="T263" s="114"/>
      <c r="U263" s="114"/>
      <c r="V263" s="114"/>
      <c r="W263" s="114"/>
      <c r="X263" s="114"/>
      <c r="Y263" s="114"/>
      <c r="Z263" s="114"/>
    </row>
    <row r="264" spans="1:26" ht="15.75" customHeight="1" x14ac:dyDescent="0.25">
      <c r="A264" s="24"/>
      <c r="B264" s="25"/>
      <c r="C264" s="24"/>
      <c r="D264" s="24"/>
      <c r="E264" s="24"/>
      <c r="F264" s="114"/>
      <c r="G264" s="114"/>
      <c r="H264" s="7"/>
      <c r="I264" s="212"/>
      <c r="J264" s="114"/>
      <c r="K264" s="114"/>
      <c r="L264" s="114"/>
      <c r="M264" s="114"/>
      <c r="N264" s="114"/>
      <c r="O264" s="114"/>
      <c r="P264" s="114"/>
      <c r="Q264" s="114"/>
      <c r="R264" s="114"/>
      <c r="S264" s="114"/>
      <c r="T264" s="114"/>
      <c r="U264" s="114"/>
      <c r="V264" s="114"/>
      <c r="W264" s="114"/>
      <c r="X264" s="114"/>
      <c r="Y264" s="114"/>
      <c r="Z264" s="114"/>
    </row>
    <row r="265" spans="1:26" ht="15.75" customHeight="1" x14ac:dyDescent="0.25">
      <c r="A265" s="24"/>
      <c r="B265" s="25"/>
      <c r="C265" s="24"/>
      <c r="D265" s="24"/>
      <c r="E265" s="24"/>
      <c r="F265" s="114"/>
      <c r="G265" s="114"/>
      <c r="H265" s="7"/>
      <c r="I265" s="212"/>
      <c r="J265" s="114"/>
      <c r="K265" s="114"/>
      <c r="L265" s="114"/>
      <c r="M265" s="114"/>
      <c r="N265" s="114"/>
      <c r="O265" s="114"/>
      <c r="P265" s="114"/>
      <c r="Q265" s="114"/>
      <c r="R265" s="114"/>
      <c r="S265" s="114"/>
      <c r="T265" s="114"/>
      <c r="U265" s="114"/>
      <c r="V265" s="114"/>
      <c r="W265" s="114"/>
      <c r="X265" s="114"/>
      <c r="Y265" s="114"/>
      <c r="Z265" s="114"/>
    </row>
    <row r="266" spans="1:26" ht="15.75" customHeight="1" x14ac:dyDescent="0.25">
      <c r="A266" s="24"/>
      <c r="B266" s="25"/>
      <c r="C266" s="24"/>
      <c r="D266" s="24"/>
      <c r="E266" s="24"/>
      <c r="F266" s="114"/>
      <c r="G266" s="114"/>
      <c r="H266" s="7"/>
      <c r="I266" s="212"/>
      <c r="J266" s="114"/>
      <c r="K266" s="114"/>
      <c r="L266" s="114"/>
      <c r="M266" s="114"/>
      <c r="N266" s="114"/>
      <c r="O266" s="114"/>
      <c r="P266" s="114"/>
      <c r="Q266" s="114"/>
      <c r="R266" s="114"/>
      <c r="S266" s="114"/>
      <c r="T266" s="114"/>
      <c r="U266" s="114"/>
      <c r="V266" s="114"/>
      <c r="W266" s="114"/>
      <c r="X266" s="114"/>
      <c r="Y266" s="114"/>
      <c r="Z266" s="114"/>
    </row>
    <row r="267" spans="1:26" ht="15.75" customHeight="1" x14ac:dyDescent="0.25">
      <c r="A267" s="24"/>
      <c r="B267" s="25"/>
      <c r="C267" s="24"/>
      <c r="D267" s="24"/>
      <c r="E267" s="24"/>
      <c r="F267" s="114"/>
      <c r="G267" s="114"/>
      <c r="H267" s="7"/>
      <c r="I267" s="212"/>
      <c r="J267" s="114"/>
      <c r="K267" s="114"/>
      <c r="L267" s="114"/>
      <c r="M267" s="114"/>
      <c r="N267" s="114"/>
      <c r="O267" s="114"/>
      <c r="P267" s="114"/>
      <c r="Q267" s="114"/>
      <c r="R267" s="114"/>
      <c r="S267" s="114"/>
      <c r="T267" s="114"/>
      <c r="U267" s="114"/>
      <c r="V267" s="114"/>
      <c r="W267" s="114"/>
      <c r="X267" s="114"/>
      <c r="Y267" s="114"/>
      <c r="Z267" s="114"/>
    </row>
    <row r="268" spans="1:26" ht="15.75" customHeight="1" x14ac:dyDescent="0.25">
      <c r="A268" s="24"/>
      <c r="B268" s="25"/>
      <c r="C268" s="24"/>
      <c r="D268" s="24"/>
      <c r="E268" s="24"/>
      <c r="F268" s="114"/>
      <c r="G268" s="114"/>
      <c r="H268" s="7"/>
      <c r="I268" s="212"/>
      <c r="J268" s="114"/>
      <c r="K268" s="114"/>
      <c r="L268" s="114"/>
      <c r="M268" s="114"/>
      <c r="N268" s="114"/>
      <c r="O268" s="114"/>
      <c r="P268" s="114"/>
      <c r="Q268" s="114"/>
      <c r="R268" s="114"/>
      <c r="S268" s="114"/>
      <c r="T268" s="114"/>
      <c r="U268" s="114"/>
      <c r="V268" s="114"/>
      <c r="W268" s="114"/>
      <c r="X268" s="114"/>
      <c r="Y268" s="114"/>
      <c r="Z268" s="114"/>
    </row>
    <row r="269" spans="1:26" ht="15.75" customHeight="1" x14ac:dyDescent="0.25">
      <c r="A269" s="24"/>
      <c r="B269" s="25"/>
      <c r="C269" s="24"/>
      <c r="D269" s="24"/>
      <c r="E269" s="24"/>
      <c r="F269" s="114"/>
      <c r="G269" s="114"/>
      <c r="H269" s="7"/>
      <c r="I269" s="212"/>
      <c r="J269" s="114"/>
      <c r="K269" s="114"/>
      <c r="L269" s="114"/>
      <c r="M269" s="114"/>
      <c r="N269" s="114"/>
      <c r="O269" s="114"/>
      <c r="P269" s="114"/>
      <c r="Q269" s="114"/>
      <c r="R269" s="114"/>
      <c r="S269" s="114"/>
      <c r="T269" s="114"/>
      <c r="U269" s="114"/>
      <c r="V269" s="114"/>
      <c r="W269" s="114"/>
      <c r="X269" s="114"/>
      <c r="Y269" s="114"/>
      <c r="Z269" s="114"/>
    </row>
    <row r="270" spans="1:26" ht="15.75" customHeight="1" x14ac:dyDescent="0.25">
      <c r="A270" s="24"/>
      <c r="B270" s="25"/>
      <c r="C270" s="24"/>
      <c r="D270" s="24"/>
      <c r="E270" s="24"/>
      <c r="F270" s="114"/>
      <c r="G270" s="114"/>
      <c r="H270" s="7"/>
      <c r="I270" s="212"/>
      <c r="J270" s="114"/>
      <c r="K270" s="114"/>
      <c r="L270" s="114"/>
      <c r="M270" s="114"/>
      <c r="N270" s="114"/>
      <c r="O270" s="114"/>
      <c r="P270" s="114"/>
      <c r="Q270" s="114"/>
      <c r="R270" s="114"/>
      <c r="S270" s="114"/>
      <c r="T270" s="114"/>
      <c r="U270" s="114"/>
      <c r="V270" s="114"/>
      <c r="W270" s="114"/>
      <c r="X270" s="114"/>
      <c r="Y270" s="114"/>
      <c r="Z270" s="114"/>
    </row>
    <row r="271" spans="1:26" ht="15.75" customHeight="1" x14ac:dyDescent="0.25">
      <c r="A271" s="24"/>
      <c r="B271" s="25"/>
      <c r="C271" s="24"/>
      <c r="D271" s="24"/>
      <c r="E271" s="24"/>
      <c r="F271" s="114"/>
      <c r="G271" s="114"/>
      <c r="H271" s="7"/>
      <c r="I271" s="212"/>
      <c r="J271" s="114"/>
      <c r="K271" s="114"/>
      <c r="L271" s="114"/>
      <c r="M271" s="114"/>
      <c r="N271" s="114"/>
      <c r="O271" s="114"/>
      <c r="P271" s="114"/>
      <c r="Q271" s="114"/>
      <c r="R271" s="114"/>
      <c r="S271" s="114"/>
      <c r="T271" s="114"/>
      <c r="U271" s="114"/>
      <c r="V271" s="114"/>
      <c r="W271" s="114"/>
      <c r="X271" s="114"/>
      <c r="Y271" s="114"/>
      <c r="Z271" s="114"/>
    </row>
    <row r="272" spans="1:26" ht="15.75" customHeight="1" x14ac:dyDescent="0.25">
      <c r="A272" s="24"/>
      <c r="B272" s="25"/>
      <c r="C272" s="24"/>
      <c r="D272" s="24"/>
      <c r="E272" s="24"/>
      <c r="F272" s="114"/>
      <c r="G272" s="114"/>
      <c r="H272" s="7"/>
      <c r="I272" s="212"/>
      <c r="J272" s="114"/>
      <c r="K272" s="114"/>
      <c r="L272" s="114"/>
      <c r="M272" s="114"/>
      <c r="N272" s="114"/>
      <c r="O272" s="114"/>
      <c r="P272" s="114"/>
      <c r="Q272" s="114"/>
      <c r="R272" s="114"/>
      <c r="S272" s="114"/>
      <c r="T272" s="114"/>
      <c r="U272" s="114"/>
      <c r="V272" s="114"/>
      <c r="W272" s="114"/>
      <c r="X272" s="114"/>
      <c r="Y272" s="114"/>
      <c r="Z272" s="114"/>
    </row>
    <row r="273" spans="1:26" ht="15.75" customHeight="1" x14ac:dyDescent="0.25">
      <c r="A273" s="24"/>
      <c r="B273" s="25"/>
      <c r="C273" s="24"/>
      <c r="D273" s="24"/>
      <c r="E273" s="24"/>
      <c r="F273" s="114"/>
      <c r="G273" s="114"/>
      <c r="H273" s="7"/>
      <c r="I273" s="212"/>
      <c r="J273" s="114"/>
      <c r="K273" s="114"/>
      <c r="L273" s="114"/>
      <c r="M273" s="114"/>
      <c r="N273" s="114"/>
      <c r="O273" s="114"/>
      <c r="P273" s="114"/>
      <c r="Q273" s="114"/>
      <c r="R273" s="114"/>
      <c r="S273" s="114"/>
      <c r="T273" s="114"/>
      <c r="U273" s="114"/>
      <c r="V273" s="114"/>
      <c r="W273" s="114"/>
      <c r="X273" s="114"/>
      <c r="Y273" s="114"/>
      <c r="Z273" s="114"/>
    </row>
    <row r="274" spans="1:26" ht="15.75" customHeight="1" x14ac:dyDescent="0.25">
      <c r="A274" s="24"/>
      <c r="B274" s="25"/>
      <c r="C274" s="24"/>
      <c r="D274" s="24"/>
      <c r="E274" s="24"/>
      <c r="F274" s="114"/>
      <c r="G274" s="114"/>
      <c r="H274" s="7"/>
      <c r="I274" s="212"/>
      <c r="J274" s="114"/>
      <c r="K274" s="114"/>
      <c r="L274" s="114"/>
      <c r="M274" s="114"/>
      <c r="N274" s="114"/>
      <c r="O274" s="114"/>
      <c r="P274" s="114"/>
      <c r="Q274" s="114"/>
      <c r="R274" s="114"/>
      <c r="S274" s="114"/>
      <c r="T274" s="114"/>
      <c r="U274" s="114"/>
      <c r="V274" s="114"/>
      <c r="W274" s="114"/>
      <c r="X274" s="114"/>
      <c r="Y274" s="114"/>
      <c r="Z274" s="114"/>
    </row>
    <row r="275" spans="1:26" ht="15.75" customHeight="1" x14ac:dyDescent="0.25">
      <c r="A275" s="24"/>
      <c r="B275" s="25"/>
      <c r="C275" s="24"/>
      <c r="D275" s="24"/>
      <c r="E275" s="24"/>
      <c r="F275" s="114"/>
      <c r="G275" s="114"/>
      <c r="H275" s="7"/>
      <c r="I275" s="212"/>
      <c r="J275" s="114"/>
      <c r="K275" s="114"/>
      <c r="L275" s="114"/>
      <c r="M275" s="114"/>
      <c r="N275" s="114"/>
      <c r="O275" s="114"/>
      <c r="P275" s="114"/>
      <c r="Q275" s="114"/>
      <c r="R275" s="114"/>
      <c r="S275" s="114"/>
      <c r="T275" s="114"/>
      <c r="U275" s="114"/>
      <c r="V275" s="114"/>
      <c r="W275" s="114"/>
      <c r="X275" s="114"/>
      <c r="Y275" s="114"/>
      <c r="Z275" s="114"/>
    </row>
    <row r="276" spans="1:26" ht="15.75" customHeight="1" x14ac:dyDescent="0.25">
      <c r="A276" s="24"/>
      <c r="B276" s="25"/>
      <c r="C276" s="24"/>
      <c r="D276" s="24"/>
      <c r="E276" s="24"/>
      <c r="F276" s="114"/>
      <c r="G276" s="114"/>
      <c r="H276" s="7"/>
      <c r="I276" s="212"/>
      <c r="J276" s="114"/>
      <c r="K276" s="114"/>
      <c r="L276" s="114"/>
      <c r="M276" s="114"/>
      <c r="N276" s="114"/>
      <c r="O276" s="114"/>
      <c r="P276" s="114"/>
      <c r="Q276" s="114"/>
      <c r="R276" s="114"/>
      <c r="S276" s="114"/>
      <c r="T276" s="114"/>
      <c r="U276" s="114"/>
      <c r="V276" s="114"/>
      <c r="W276" s="114"/>
      <c r="X276" s="114"/>
      <c r="Y276" s="114"/>
      <c r="Z276" s="114"/>
    </row>
    <row r="277" spans="1:26" ht="15.75" customHeight="1" x14ac:dyDescent="0.25">
      <c r="A277" s="24"/>
      <c r="B277" s="25"/>
      <c r="C277" s="24"/>
      <c r="D277" s="24"/>
      <c r="E277" s="24"/>
      <c r="F277" s="114"/>
      <c r="G277" s="114"/>
      <c r="H277" s="7"/>
      <c r="I277" s="212"/>
      <c r="J277" s="114"/>
      <c r="K277" s="114"/>
      <c r="L277" s="114"/>
      <c r="M277" s="114"/>
      <c r="N277" s="114"/>
      <c r="O277" s="114"/>
      <c r="P277" s="114"/>
      <c r="Q277" s="114"/>
      <c r="R277" s="114"/>
      <c r="S277" s="114"/>
      <c r="T277" s="114"/>
      <c r="U277" s="114"/>
      <c r="V277" s="114"/>
      <c r="W277" s="114"/>
      <c r="X277" s="114"/>
      <c r="Y277" s="114"/>
      <c r="Z277" s="114"/>
    </row>
    <row r="278" spans="1:26" ht="15.75" customHeight="1" x14ac:dyDescent="0.25">
      <c r="A278" s="24"/>
      <c r="B278" s="25"/>
      <c r="C278" s="24"/>
      <c r="D278" s="24"/>
      <c r="E278" s="24"/>
      <c r="F278" s="114"/>
      <c r="G278" s="114"/>
      <c r="H278" s="7"/>
      <c r="I278" s="212"/>
      <c r="J278" s="114"/>
      <c r="K278" s="114"/>
      <c r="L278" s="114"/>
      <c r="M278" s="114"/>
      <c r="N278" s="114"/>
      <c r="O278" s="114"/>
      <c r="P278" s="114"/>
      <c r="Q278" s="114"/>
      <c r="R278" s="114"/>
      <c r="S278" s="114"/>
      <c r="T278" s="114"/>
      <c r="U278" s="114"/>
      <c r="V278" s="114"/>
      <c r="W278" s="114"/>
      <c r="X278" s="114"/>
      <c r="Y278" s="114"/>
      <c r="Z278" s="114"/>
    </row>
    <row r="279" spans="1:26" ht="15.75" customHeight="1" x14ac:dyDescent="0.25">
      <c r="A279" s="24"/>
      <c r="B279" s="25"/>
      <c r="C279" s="24"/>
      <c r="D279" s="24"/>
      <c r="E279" s="24"/>
      <c r="F279" s="114"/>
      <c r="G279" s="114"/>
      <c r="H279" s="7"/>
      <c r="I279" s="212"/>
      <c r="J279" s="114"/>
      <c r="K279" s="114"/>
      <c r="L279" s="114"/>
      <c r="M279" s="114"/>
      <c r="N279" s="114"/>
      <c r="O279" s="114"/>
      <c r="P279" s="114"/>
      <c r="Q279" s="114"/>
      <c r="R279" s="114"/>
      <c r="S279" s="114"/>
      <c r="T279" s="114"/>
      <c r="U279" s="114"/>
      <c r="V279" s="114"/>
      <c r="W279" s="114"/>
      <c r="X279" s="114"/>
      <c r="Y279" s="114"/>
      <c r="Z279" s="114"/>
    </row>
    <row r="280" spans="1:26" ht="15.75" customHeight="1" x14ac:dyDescent="0.25">
      <c r="A280" s="24"/>
      <c r="B280" s="25"/>
      <c r="C280" s="24"/>
      <c r="D280" s="24"/>
      <c r="E280" s="24"/>
      <c r="F280" s="114"/>
      <c r="G280" s="114"/>
      <c r="H280" s="7"/>
      <c r="I280" s="212"/>
      <c r="J280" s="114"/>
      <c r="K280" s="114"/>
      <c r="L280" s="114"/>
      <c r="M280" s="114"/>
      <c r="N280" s="114"/>
      <c r="O280" s="114"/>
      <c r="P280" s="114"/>
      <c r="Q280" s="114"/>
      <c r="R280" s="114"/>
      <c r="S280" s="114"/>
      <c r="T280" s="114"/>
      <c r="U280" s="114"/>
      <c r="V280" s="114"/>
      <c r="W280" s="114"/>
      <c r="X280" s="114"/>
      <c r="Y280" s="114"/>
      <c r="Z280" s="114"/>
    </row>
    <row r="281" spans="1:26" ht="15.75" customHeight="1" x14ac:dyDescent="0.25">
      <c r="A281" s="24"/>
      <c r="B281" s="25"/>
      <c r="C281" s="24"/>
      <c r="D281" s="24"/>
      <c r="E281" s="24"/>
      <c r="F281" s="114"/>
      <c r="G281" s="114"/>
      <c r="H281" s="7"/>
      <c r="I281" s="212"/>
      <c r="J281" s="114"/>
      <c r="K281" s="114"/>
      <c r="L281" s="114"/>
      <c r="M281" s="114"/>
      <c r="N281" s="114"/>
      <c r="O281" s="114"/>
      <c r="P281" s="114"/>
      <c r="Q281" s="114"/>
      <c r="R281" s="114"/>
      <c r="S281" s="114"/>
      <c r="T281" s="114"/>
      <c r="U281" s="114"/>
      <c r="V281" s="114"/>
      <c r="W281" s="114"/>
      <c r="X281" s="114"/>
      <c r="Y281" s="114"/>
      <c r="Z281" s="114"/>
    </row>
    <row r="282" spans="1:26" ht="15.75" customHeight="1" x14ac:dyDescent="0.25">
      <c r="A282" s="24"/>
      <c r="B282" s="25"/>
      <c r="C282" s="24"/>
      <c r="D282" s="24"/>
      <c r="E282" s="24"/>
      <c r="F282" s="114"/>
      <c r="G282" s="114"/>
      <c r="H282" s="7"/>
      <c r="I282" s="212"/>
      <c r="J282" s="114"/>
      <c r="K282" s="114"/>
      <c r="L282" s="114"/>
      <c r="M282" s="114"/>
      <c r="N282" s="114"/>
      <c r="O282" s="114"/>
      <c r="P282" s="114"/>
      <c r="Q282" s="114"/>
      <c r="R282" s="114"/>
      <c r="S282" s="114"/>
      <c r="T282" s="114"/>
      <c r="U282" s="114"/>
      <c r="V282" s="114"/>
      <c r="W282" s="114"/>
      <c r="X282" s="114"/>
      <c r="Y282" s="114"/>
      <c r="Z282" s="114"/>
    </row>
    <row r="283" spans="1:26" ht="15.75" customHeight="1" x14ac:dyDescent="0.25">
      <c r="A283" s="24"/>
      <c r="B283" s="25"/>
      <c r="C283" s="24"/>
      <c r="D283" s="24"/>
      <c r="E283" s="24"/>
      <c r="F283" s="114"/>
      <c r="G283" s="114"/>
      <c r="H283" s="7"/>
      <c r="I283" s="212"/>
      <c r="J283" s="114"/>
      <c r="K283" s="114"/>
      <c r="L283" s="114"/>
      <c r="M283" s="114"/>
      <c r="N283" s="114"/>
      <c r="O283" s="114"/>
      <c r="P283" s="114"/>
      <c r="Q283" s="114"/>
      <c r="R283" s="114"/>
      <c r="S283" s="114"/>
      <c r="T283" s="114"/>
      <c r="U283" s="114"/>
      <c r="V283" s="114"/>
      <c r="W283" s="114"/>
      <c r="X283" s="114"/>
      <c r="Y283" s="114"/>
      <c r="Z283" s="114"/>
    </row>
    <row r="284" spans="1:26" ht="15.75" customHeight="1" x14ac:dyDescent="0.25">
      <c r="A284" s="24"/>
      <c r="B284" s="25"/>
      <c r="C284" s="24"/>
      <c r="D284" s="24"/>
      <c r="E284" s="24"/>
      <c r="F284" s="114"/>
      <c r="G284" s="114"/>
      <c r="H284" s="7"/>
      <c r="I284" s="212"/>
      <c r="J284" s="114"/>
      <c r="K284" s="114"/>
      <c r="L284" s="114"/>
      <c r="M284" s="114"/>
      <c r="N284" s="114"/>
      <c r="O284" s="114"/>
      <c r="P284" s="114"/>
      <c r="Q284" s="114"/>
      <c r="R284" s="114"/>
      <c r="S284" s="114"/>
      <c r="T284" s="114"/>
      <c r="U284" s="114"/>
      <c r="V284" s="114"/>
      <c r="W284" s="114"/>
      <c r="X284" s="114"/>
      <c r="Y284" s="114"/>
      <c r="Z284" s="114"/>
    </row>
    <row r="285" spans="1:26" ht="15.75" customHeight="1" x14ac:dyDescent="0.25">
      <c r="A285" s="24"/>
      <c r="B285" s="25"/>
      <c r="C285" s="24"/>
      <c r="D285" s="24"/>
      <c r="E285" s="24"/>
      <c r="F285" s="114"/>
      <c r="G285" s="114"/>
      <c r="H285" s="7"/>
      <c r="I285" s="212"/>
      <c r="J285" s="114"/>
      <c r="K285" s="114"/>
      <c r="L285" s="114"/>
      <c r="M285" s="114"/>
      <c r="N285" s="114"/>
      <c r="O285" s="114"/>
      <c r="P285" s="114"/>
      <c r="Q285" s="114"/>
      <c r="R285" s="114"/>
      <c r="S285" s="114"/>
      <c r="T285" s="114"/>
      <c r="U285" s="114"/>
      <c r="V285" s="114"/>
      <c r="W285" s="114"/>
      <c r="X285" s="114"/>
      <c r="Y285" s="114"/>
      <c r="Z285" s="114"/>
    </row>
    <row r="286" spans="1:26" ht="15.75" customHeight="1" x14ac:dyDescent="0.25">
      <c r="A286" s="24"/>
      <c r="B286" s="25"/>
      <c r="C286" s="24"/>
      <c r="D286" s="24"/>
      <c r="E286" s="24"/>
      <c r="F286" s="114"/>
      <c r="G286" s="114"/>
      <c r="H286" s="7"/>
      <c r="I286" s="212"/>
      <c r="J286" s="114"/>
      <c r="K286" s="114"/>
      <c r="L286" s="114"/>
      <c r="M286" s="114"/>
      <c r="N286" s="114"/>
      <c r="O286" s="114"/>
      <c r="P286" s="114"/>
      <c r="Q286" s="114"/>
      <c r="R286" s="114"/>
      <c r="S286" s="114"/>
      <c r="T286" s="114"/>
      <c r="U286" s="114"/>
      <c r="V286" s="114"/>
      <c r="W286" s="114"/>
      <c r="X286" s="114"/>
      <c r="Y286" s="114"/>
      <c r="Z286" s="114"/>
    </row>
    <row r="287" spans="1:26" ht="15.75" customHeight="1" x14ac:dyDescent="0.25">
      <c r="A287" s="24"/>
      <c r="B287" s="25"/>
      <c r="C287" s="24"/>
      <c r="D287" s="24"/>
      <c r="E287" s="24"/>
      <c r="F287" s="114"/>
      <c r="G287" s="114"/>
      <c r="H287" s="7"/>
      <c r="I287" s="212"/>
      <c r="J287" s="114"/>
      <c r="K287" s="114"/>
      <c r="L287" s="114"/>
      <c r="M287" s="114"/>
      <c r="N287" s="114"/>
      <c r="O287" s="114"/>
      <c r="P287" s="114"/>
      <c r="Q287" s="114"/>
      <c r="R287" s="114"/>
      <c r="S287" s="114"/>
      <c r="T287" s="114"/>
      <c r="U287" s="114"/>
      <c r="V287" s="114"/>
      <c r="W287" s="114"/>
      <c r="X287" s="114"/>
      <c r="Y287" s="114"/>
      <c r="Z287" s="114"/>
    </row>
    <row r="288" spans="1:26" ht="15.75" customHeight="1" x14ac:dyDescent="0.25">
      <c r="A288" s="24"/>
      <c r="B288" s="25"/>
      <c r="C288" s="24"/>
      <c r="D288" s="24"/>
      <c r="E288" s="24"/>
      <c r="F288" s="114"/>
      <c r="G288" s="114"/>
      <c r="H288" s="7"/>
      <c r="I288" s="212"/>
      <c r="J288" s="114"/>
      <c r="K288" s="114"/>
      <c r="L288" s="114"/>
      <c r="M288" s="114"/>
      <c r="N288" s="114"/>
      <c r="O288" s="114"/>
      <c r="P288" s="114"/>
      <c r="Q288" s="114"/>
      <c r="R288" s="114"/>
      <c r="S288" s="114"/>
      <c r="T288" s="114"/>
      <c r="U288" s="114"/>
      <c r="V288" s="114"/>
      <c r="W288" s="114"/>
      <c r="X288" s="114"/>
      <c r="Y288" s="114"/>
      <c r="Z288" s="114"/>
    </row>
    <row r="289" spans="9:9" ht="15.75" customHeight="1" x14ac:dyDescent="0.25">
      <c r="I289" s="168"/>
    </row>
    <row r="290" spans="9:9" ht="15.75" customHeight="1" x14ac:dyDescent="0.25">
      <c r="I290" s="168"/>
    </row>
    <row r="291" spans="9:9" ht="15.75" customHeight="1" x14ac:dyDescent="0.25">
      <c r="I291" s="168"/>
    </row>
    <row r="292" spans="9:9" ht="15.75" customHeight="1" x14ac:dyDescent="0.25">
      <c r="I292" s="168"/>
    </row>
    <row r="293" spans="9:9" ht="15.75" customHeight="1" x14ac:dyDescent="0.25">
      <c r="I293" s="168"/>
    </row>
    <row r="294" spans="9:9" ht="15.75" customHeight="1" x14ac:dyDescent="0.25">
      <c r="I294" s="168"/>
    </row>
    <row r="295" spans="9:9" ht="15.75" customHeight="1" x14ac:dyDescent="0.25">
      <c r="I295" s="168"/>
    </row>
    <row r="296" spans="9:9" ht="15.75" customHeight="1" x14ac:dyDescent="0.25">
      <c r="I296" s="168"/>
    </row>
    <row r="297" spans="9:9" ht="15.75" customHeight="1" x14ac:dyDescent="0.25">
      <c r="I297" s="168"/>
    </row>
    <row r="298" spans="9:9" ht="15.75" customHeight="1" x14ac:dyDescent="0.25">
      <c r="I298" s="168"/>
    </row>
    <row r="299" spans="9:9" ht="15.75" customHeight="1" x14ac:dyDescent="0.25">
      <c r="I299" s="168"/>
    </row>
    <row r="300" spans="9:9" ht="15.75" customHeight="1" x14ac:dyDescent="0.25">
      <c r="I300" s="168"/>
    </row>
    <row r="301" spans="9:9" ht="15.75" customHeight="1" x14ac:dyDescent="0.25">
      <c r="I301" s="168"/>
    </row>
    <row r="302" spans="9:9" ht="15.75" customHeight="1" x14ac:dyDescent="0.25">
      <c r="I302" s="168"/>
    </row>
    <row r="303" spans="9:9" ht="15.75" customHeight="1" x14ac:dyDescent="0.25">
      <c r="I303" s="168"/>
    </row>
    <row r="304" spans="9:9" ht="15.75" customHeight="1" x14ac:dyDescent="0.25">
      <c r="I304" s="168"/>
    </row>
    <row r="305" spans="9:9" ht="15.75" customHeight="1" x14ac:dyDescent="0.25">
      <c r="I305" s="168"/>
    </row>
    <row r="306" spans="9:9" ht="15.75" customHeight="1" x14ac:dyDescent="0.25">
      <c r="I306" s="168"/>
    </row>
    <row r="307" spans="9:9" ht="15.75" customHeight="1" x14ac:dyDescent="0.25">
      <c r="I307" s="168"/>
    </row>
    <row r="308" spans="9:9" ht="15.75" customHeight="1" x14ac:dyDescent="0.25">
      <c r="I308" s="168"/>
    </row>
    <row r="309" spans="9:9" ht="15.75" customHeight="1" x14ac:dyDescent="0.25">
      <c r="I309" s="168"/>
    </row>
    <row r="310" spans="9:9" ht="15.75" customHeight="1" x14ac:dyDescent="0.25">
      <c r="I310" s="168"/>
    </row>
    <row r="311" spans="9:9" ht="15.75" customHeight="1" x14ac:dyDescent="0.25">
      <c r="I311" s="168"/>
    </row>
    <row r="312" spans="9:9" ht="15.75" customHeight="1" x14ac:dyDescent="0.25">
      <c r="I312" s="168"/>
    </row>
    <row r="313" spans="9:9" ht="15.75" customHeight="1" x14ac:dyDescent="0.25">
      <c r="I313" s="168"/>
    </row>
    <row r="314" spans="9:9" ht="15.75" customHeight="1" x14ac:dyDescent="0.25">
      <c r="I314" s="168"/>
    </row>
    <row r="315" spans="9:9" ht="15.75" customHeight="1" x14ac:dyDescent="0.25">
      <c r="I315" s="168"/>
    </row>
    <row r="316" spans="9:9" ht="15.75" customHeight="1" x14ac:dyDescent="0.25">
      <c r="I316" s="168"/>
    </row>
    <row r="317" spans="9:9" ht="15.75" customHeight="1" x14ac:dyDescent="0.25">
      <c r="I317" s="168"/>
    </row>
    <row r="318" spans="9:9" ht="15.75" customHeight="1" x14ac:dyDescent="0.25">
      <c r="I318" s="168"/>
    </row>
    <row r="319" spans="9:9" ht="15.75" customHeight="1" x14ac:dyDescent="0.25">
      <c r="I319" s="168"/>
    </row>
    <row r="320" spans="9:9" ht="15.75" customHeight="1" x14ac:dyDescent="0.25">
      <c r="I320" s="168"/>
    </row>
    <row r="321" spans="9:9" ht="15.75" customHeight="1" x14ac:dyDescent="0.25">
      <c r="I321" s="168"/>
    </row>
    <row r="322" spans="9:9" ht="15.75" customHeight="1" x14ac:dyDescent="0.25">
      <c r="I322" s="168"/>
    </row>
    <row r="323" spans="9:9" ht="15.75" customHeight="1" x14ac:dyDescent="0.25">
      <c r="I323" s="168"/>
    </row>
    <row r="324" spans="9:9" ht="15.75" customHeight="1" x14ac:dyDescent="0.25">
      <c r="I324" s="168"/>
    </row>
    <row r="325" spans="9:9" ht="15.75" customHeight="1" x14ac:dyDescent="0.25">
      <c r="I325" s="168"/>
    </row>
    <row r="326" spans="9:9" ht="15.75" customHeight="1" x14ac:dyDescent="0.25">
      <c r="I326" s="168"/>
    </row>
    <row r="327" spans="9:9" ht="15.75" customHeight="1" x14ac:dyDescent="0.25">
      <c r="I327" s="168"/>
    </row>
    <row r="328" spans="9:9" ht="15.75" customHeight="1" x14ac:dyDescent="0.25">
      <c r="I328" s="168"/>
    </row>
    <row r="329" spans="9:9" ht="15.75" customHeight="1" x14ac:dyDescent="0.25">
      <c r="I329" s="168"/>
    </row>
    <row r="330" spans="9:9" ht="15.75" customHeight="1" x14ac:dyDescent="0.25">
      <c r="I330" s="168"/>
    </row>
    <row r="331" spans="9:9" ht="15.75" customHeight="1" x14ac:dyDescent="0.25">
      <c r="I331" s="168"/>
    </row>
    <row r="332" spans="9:9" ht="15.75" customHeight="1" x14ac:dyDescent="0.25">
      <c r="I332" s="168"/>
    </row>
    <row r="333" spans="9:9" ht="15.75" customHeight="1" x14ac:dyDescent="0.25">
      <c r="I333" s="168"/>
    </row>
    <row r="334" spans="9:9" ht="15.75" customHeight="1" x14ac:dyDescent="0.25">
      <c r="I334" s="168"/>
    </row>
    <row r="335" spans="9:9" ht="15.75" customHeight="1" x14ac:dyDescent="0.25">
      <c r="I335" s="168"/>
    </row>
    <row r="336" spans="9:9" ht="15.75" customHeight="1" x14ac:dyDescent="0.25">
      <c r="I336" s="168"/>
    </row>
    <row r="337" spans="9:9" ht="15.75" customHeight="1" x14ac:dyDescent="0.25">
      <c r="I337" s="168"/>
    </row>
    <row r="338" spans="9:9" ht="15.75" customHeight="1" x14ac:dyDescent="0.25">
      <c r="I338" s="168"/>
    </row>
    <row r="339" spans="9:9" ht="15.75" customHeight="1" x14ac:dyDescent="0.25">
      <c r="I339" s="168"/>
    </row>
    <row r="340" spans="9:9" ht="15.75" customHeight="1" x14ac:dyDescent="0.25">
      <c r="I340" s="168"/>
    </row>
    <row r="341" spans="9:9" ht="15.75" customHeight="1" x14ac:dyDescent="0.25">
      <c r="I341" s="168"/>
    </row>
    <row r="342" spans="9:9" ht="15.75" customHeight="1" x14ac:dyDescent="0.25">
      <c r="I342" s="168"/>
    </row>
    <row r="343" spans="9:9" ht="15.75" customHeight="1" x14ac:dyDescent="0.25">
      <c r="I343" s="168"/>
    </row>
    <row r="344" spans="9:9" ht="15.75" customHeight="1" x14ac:dyDescent="0.25">
      <c r="I344" s="168"/>
    </row>
    <row r="345" spans="9:9" ht="15.75" customHeight="1" x14ac:dyDescent="0.25">
      <c r="I345" s="168"/>
    </row>
    <row r="346" spans="9:9" ht="15.75" customHeight="1" x14ac:dyDescent="0.25">
      <c r="I346" s="168"/>
    </row>
    <row r="347" spans="9:9" ht="15.75" customHeight="1" x14ac:dyDescent="0.25">
      <c r="I347" s="168"/>
    </row>
    <row r="348" spans="9:9" ht="15.75" customHeight="1" x14ac:dyDescent="0.25">
      <c r="I348" s="168"/>
    </row>
    <row r="349" spans="9:9" ht="15.75" customHeight="1" x14ac:dyDescent="0.25">
      <c r="I349" s="168"/>
    </row>
    <row r="350" spans="9:9" ht="15.75" customHeight="1" x14ac:dyDescent="0.25">
      <c r="I350" s="168"/>
    </row>
    <row r="351" spans="9:9" ht="15.75" customHeight="1" x14ac:dyDescent="0.25">
      <c r="I351" s="168"/>
    </row>
    <row r="352" spans="9:9" ht="15.75" customHeight="1" x14ac:dyDescent="0.25">
      <c r="I352" s="168"/>
    </row>
    <row r="353" spans="9:9" ht="15.75" customHeight="1" x14ac:dyDescent="0.25">
      <c r="I353" s="168"/>
    </row>
    <row r="354" spans="9:9" ht="15.75" customHeight="1" x14ac:dyDescent="0.25">
      <c r="I354" s="168"/>
    </row>
    <row r="355" spans="9:9" ht="15.75" customHeight="1" x14ac:dyDescent="0.25">
      <c r="I355" s="168"/>
    </row>
    <row r="356" spans="9:9" ht="15.75" customHeight="1" x14ac:dyDescent="0.25">
      <c r="I356" s="168"/>
    </row>
    <row r="357" spans="9:9" ht="15.75" customHeight="1" x14ac:dyDescent="0.25">
      <c r="I357" s="168"/>
    </row>
    <row r="358" spans="9:9" ht="15.75" customHeight="1" x14ac:dyDescent="0.25">
      <c r="I358" s="168"/>
    </row>
    <row r="359" spans="9:9" ht="15.75" customHeight="1" x14ac:dyDescent="0.25">
      <c r="I359" s="168"/>
    </row>
    <row r="360" spans="9:9" ht="15.75" customHeight="1" x14ac:dyDescent="0.25">
      <c r="I360" s="168"/>
    </row>
    <row r="361" spans="9:9" ht="15.75" customHeight="1" x14ac:dyDescent="0.25">
      <c r="I361" s="168"/>
    </row>
    <row r="362" spans="9:9" ht="15.75" customHeight="1" x14ac:dyDescent="0.25">
      <c r="I362" s="168"/>
    </row>
    <row r="363" spans="9:9" ht="15.75" customHeight="1" x14ac:dyDescent="0.25">
      <c r="I363" s="168"/>
    </row>
    <row r="364" spans="9:9" ht="15.75" customHeight="1" x14ac:dyDescent="0.25">
      <c r="I364" s="168"/>
    </row>
    <row r="365" spans="9:9" ht="15.75" customHeight="1" x14ac:dyDescent="0.25">
      <c r="I365" s="168"/>
    </row>
    <row r="366" spans="9:9" ht="15.75" customHeight="1" x14ac:dyDescent="0.25">
      <c r="I366" s="168"/>
    </row>
    <row r="367" spans="9:9" ht="15.75" customHeight="1" x14ac:dyDescent="0.25">
      <c r="I367" s="168"/>
    </row>
    <row r="368" spans="9:9" ht="15.75" customHeight="1" x14ac:dyDescent="0.25">
      <c r="I368" s="168"/>
    </row>
    <row r="369" spans="9:9" ht="15.75" customHeight="1" x14ac:dyDescent="0.25">
      <c r="I369" s="168"/>
    </row>
    <row r="370" spans="9:9" ht="15.75" customHeight="1" x14ac:dyDescent="0.25">
      <c r="I370" s="168"/>
    </row>
    <row r="371" spans="9:9" ht="15.75" customHeight="1" x14ac:dyDescent="0.25">
      <c r="I371" s="168"/>
    </row>
    <row r="372" spans="9:9" ht="15.75" customHeight="1" x14ac:dyDescent="0.25">
      <c r="I372" s="168"/>
    </row>
    <row r="373" spans="9:9" ht="15.75" customHeight="1" x14ac:dyDescent="0.25">
      <c r="I373" s="168"/>
    </row>
    <row r="374" spans="9:9" ht="15.75" customHeight="1" x14ac:dyDescent="0.25">
      <c r="I374" s="168"/>
    </row>
    <row r="375" spans="9:9" ht="15.75" customHeight="1" x14ac:dyDescent="0.25">
      <c r="I375" s="168"/>
    </row>
    <row r="376" spans="9:9" ht="15.75" customHeight="1" x14ac:dyDescent="0.25">
      <c r="I376" s="168"/>
    </row>
    <row r="377" spans="9:9" ht="15.75" customHeight="1" x14ac:dyDescent="0.25">
      <c r="I377" s="168"/>
    </row>
    <row r="378" spans="9:9" ht="15.75" customHeight="1" x14ac:dyDescent="0.25">
      <c r="I378" s="168"/>
    </row>
    <row r="379" spans="9:9" ht="15.75" customHeight="1" x14ac:dyDescent="0.25">
      <c r="I379" s="168"/>
    </row>
    <row r="380" spans="9:9" ht="15.75" customHeight="1" x14ac:dyDescent="0.25">
      <c r="I380" s="168"/>
    </row>
    <row r="381" spans="9:9" ht="15.75" customHeight="1" x14ac:dyDescent="0.25">
      <c r="I381" s="168"/>
    </row>
    <row r="382" spans="9:9" ht="15.75" customHeight="1" x14ac:dyDescent="0.25">
      <c r="I382" s="168"/>
    </row>
    <row r="383" spans="9:9" ht="15.75" customHeight="1" x14ac:dyDescent="0.25">
      <c r="I383" s="168"/>
    </row>
    <row r="384" spans="9:9" ht="15.75" customHeight="1" x14ac:dyDescent="0.25">
      <c r="I384" s="168"/>
    </row>
    <row r="385" spans="9:9" ht="15.75" customHeight="1" x14ac:dyDescent="0.25">
      <c r="I385" s="168"/>
    </row>
    <row r="386" spans="9:9" ht="15.75" customHeight="1" x14ac:dyDescent="0.25">
      <c r="I386" s="168"/>
    </row>
    <row r="387" spans="9:9" ht="15.75" customHeight="1" x14ac:dyDescent="0.25">
      <c r="I387" s="168"/>
    </row>
    <row r="388" spans="9:9" ht="15.75" customHeight="1" x14ac:dyDescent="0.25">
      <c r="I388" s="168"/>
    </row>
    <row r="389" spans="9:9" ht="15.75" customHeight="1" x14ac:dyDescent="0.25">
      <c r="I389" s="168"/>
    </row>
    <row r="390" spans="9:9" ht="15.75" customHeight="1" x14ac:dyDescent="0.25">
      <c r="I390" s="168"/>
    </row>
    <row r="391" spans="9:9" ht="15.75" customHeight="1" x14ac:dyDescent="0.25">
      <c r="I391" s="168"/>
    </row>
    <row r="392" spans="9:9" ht="15.75" customHeight="1" x14ac:dyDescent="0.25">
      <c r="I392" s="168"/>
    </row>
    <row r="393" spans="9:9" ht="15.75" customHeight="1" x14ac:dyDescent="0.25">
      <c r="I393" s="168"/>
    </row>
    <row r="394" spans="9:9" ht="15.75" customHeight="1" x14ac:dyDescent="0.25">
      <c r="I394" s="168"/>
    </row>
    <row r="395" spans="9:9" ht="15.75" customHeight="1" x14ac:dyDescent="0.25">
      <c r="I395" s="168"/>
    </row>
    <row r="396" spans="9:9" ht="15.75" customHeight="1" x14ac:dyDescent="0.25">
      <c r="I396" s="168"/>
    </row>
    <row r="397" spans="9:9" ht="15.75" customHeight="1" x14ac:dyDescent="0.25">
      <c r="I397" s="168"/>
    </row>
    <row r="398" spans="9:9" ht="15.75" customHeight="1" x14ac:dyDescent="0.25">
      <c r="I398" s="168"/>
    </row>
    <row r="399" spans="9:9" ht="15.75" customHeight="1" x14ac:dyDescent="0.25">
      <c r="I399" s="168"/>
    </row>
    <row r="400" spans="9:9" ht="15.75" customHeight="1" x14ac:dyDescent="0.25">
      <c r="I400" s="168"/>
    </row>
    <row r="401" spans="9:9" ht="15.75" customHeight="1" x14ac:dyDescent="0.25">
      <c r="I401" s="168"/>
    </row>
    <row r="402" spans="9:9" ht="15.75" customHeight="1" x14ac:dyDescent="0.25">
      <c r="I402" s="168"/>
    </row>
    <row r="403" spans="9:9" ht="15.75" customHeight="1" x14ac:dyDescent="0.25">
      <c r="I403" s="168"/>
    </row>
    <row r="404" spans="9:9" ht="15.75" customHeight="1" x14ac:dyDescent="0.25">
      <c r="I404" s="168"/>
    </row>
    <row r="405" spans="9:9" ht="15.75" customHeight="1" x14ac:dyDescent="0.25">
      <c r="I405" s="168"/>
    </row>
    <row r="406" spans="9:9" ht="15.75" customHeight="1" x14ac:dyDescent="0.25">
      <c r="I406" s="168"/>
    </row>
    <row r="407" spans="9:9" ht="15.75" customHeight="1" x14ac:dyDescent="0.25">
      <c r="I407" s="168"/>
    </row>
    <row r="408" spans="9:9" ht="15.75" customHeight="1" x14ac:dyDescent="0.25">
      <c r="I408" s="168"/>
    </row>
    <row r="409" spans="9:9" ht="15.75" customHeight="1" x14ac:dyDescent="0.25">
      <c r="I409" s="168"/>
    </row>
    <row r="410" spans="9:9" ht="15.75" customHeight="1" x14ac:dyDescent="0.25">
      <c r="I410" s="168"/>
    </row>
    <row r="411" spans="9:9" ht="15.75" customHeight="1" x14ac:dyDescent="0.25">
      <c r="I411" s="168"/>
    </row>
    <row r="412" spans="9:9" ht="15.75" customHeight="1" x14ac:dyDescent="0.25">
      <c r="I412" s="168"/>
    </row>
    <row r="413" spans="9:9" ht="15.75" customHeight="1" x14ac:dyDescent="0.25">
      <c r="I413" s="168"/>
    </row>
    <row r="414" spans="9:9" ht="15.75" customHeight="1" x14ac:dyDescent="0.25">
      <c r="I414" s="168"/>
    </row>
    <row r="415" spans="9:9" ht="15.75" customHeight="1" x14ac:dyDescent="0.25">
      <c r="I415" s="168"/>
    </row>
    <row r="416" spans="9:9" ht="15.75" customHeight="1" x14ac:dyDescent="0.25">
      <c r="I416" s="168"/>
    </row>
    <row r="417" spans="9:9" ht="15.75" customHeight="1" x14ac:dyDescent="0.25">
      <c r="I417" s="168"/>
    </row>
    <row r="418" spans="9:9" ht="15.75" customHeight="1" x14ac:dyDescent="0.25">
      <c r="I418" s="168"/>
    </row>
    <row r="419" spans="9:9" ht="15.75" customHeight="1" x14ac:dyDescent="0.25">
      <c r="I419" s="168"/>
    </row>
    <row r="420" spans="9:9" ht="15.75" customHeight="1" x14ac:dyDescent="0.25">
      <c r="I420" s="168"/>
    </row>
    <row r="421" spans="9:9" ht="15.75" customHeight="1" x14ac:dyDescent="0.25">
      <c r="I421" s="168"/>
    </row>
    <row r="422" spans="9:9" ht="15.75" customHeight="1" x14ac:dyDescent="0.25">
      <c r="I422" s="168"/>
    </row>
    <row r="423" spans="9:9" ht="15.75" customHeight="1" x14ac:dyDescent="0.25">
      <c r="I423" s="168"/>
    </row>
    <row r="424" spans="9:9" ht="15.75" customHeight="1" x14ac:dyDescent="0.25">
      <c r="I424" s="168"/>
    </row>
    <row r="425" spans="9:9" ht="15.75" customHeight="1" x14ac:dyDescent="0.25">
      <c r="I425" s="168"/>
    </row>
    <row r="426" spans="9:9" ht="15.75" customHeight="1" x14ac:dyDescent="0.25">
      <c r="I426" s="168"/>
    </row>
    <row r="427" spans="9:9" ht="15.75" customHeight="1" x14ac:dyDescent="0.25">
      <c r="I427" s="168"/>
    </row>
    <row r="428" spans="9:9" ht="15.75" customHeight="1" x14ac:dyDescent="0.25">
      <c r="I428" s="168"/>
    </row>
    <row r="429" spans="9:9" ht="15.75" customHeight="1" x14ac:dyDescent="0.25">
      <c r="I429" s="168"/>
    </row>
    <row r="430" spans="9:9" ht="15.75" customHeight="1" x14ac:dyDescent="0.25">
      <c r="I430" s="168"/>
    </row>
    <row r="431" spans="9:9" ht="15.75" customHeight="1" x14ac:dyDescent="0.25">
      <c r="I431" s="168"/>
    </row>
    <row r="432" spans="9:9" ht="15.75" customHeight="1" x14ac:dyDescent="0.25">
      <c r="I432" s="168"/>
    </row>
    <row r="433" spans="9:9" ht="15.75" customHeight="1" x14ac:dyDescent="0.25">
      <c r="I433" s="168"/>
    </row>
    <row r="434" spans="9:9" ht="15.75" customHeight="1" x14ac:dyDescent="0.25">
      <c r="I434" s="168"/>
    </row>
    <row r="435" spans="9:9" ht="15.75" customHeight="1" x14ac:dyDescent="0.25">
      <c r="I435" s="168"/>
    </row>
    <row r="436" spans="9:9" ht="15.75" customHeight="1" x14ac:dyDescent="0.25">
      <c r="I436" s="168"/>
    </row>
    <row r="437" spans="9:9" ht="15.75" customHeight="1" x14ac:dyDescent="0.25">
      <c r="I437" s="168"/>
    </row>
    <row r="438" spans="9:9" ht="15.75" customHeight="1" x14ac:dyDescent="0.25">
      <c r="I438" s="168"/>
    </row>
    <row r="439" spans="9:9" ht="15.75" customHeight="1" x14ac:dyDescent="0.25">
      <c r="I439" s="168"/>
    </row>
    <row r="440" spans="9:9" ht="15.75" customHeight="1" x14ac:dyDescent="0.25">
      <c r="I440" s="168"/>
    </row>
    <row r="441" spans="9:9" ht="15.75" customHeight="1" x14ac:dyDescent="0.25">
      <c r="I441" s="168"/>
    </row>
    <row r="442" spans="9:9" ht="15.75" customHeight="1" x14ac:dyDescent="0.25">
      <c r="I442" s="168"/>
    </row>
    <row r="443" spans="9:9" ht="15.75" customHeight="1" x14ac:dyDescent="0.25">
      <c r="I443" s="168"/>
    </row>
    <row r="444" spans="9:9" ht="15.75" customHeight="1" x14ac:dyDescent="0.25">
      <c r="I444" s="168"/>
    </row>
    <row r="445" spans="9:9" ht="15.75" customHeight="1" x14ac:dyDescent="0.25">
      <c r="I445" s="168"/>
    </row>
    <row r="446" spans="9:9" ht="15.75" customHeight="1" x14ac:dyDescent="0.25">
      <c r="I446" s="168"/>
    </row>
    <row r="447" spans="9:9" ht="15.75" customHeight="1" x14ac:dyDescent="0.25">
      <c r="I447" s="168"/>
    </row>
    <row r="448" spans="9:9" ht="15.75" customHeight="1" x14ac:dyDescent="0.25">
      <c r="I448" s="168"/>
    </row>
    <row r="449" spans="9:9" ht="15.75" customHeight="1" x14ac:dyDescent="0.25">
      <c r="I449" s="168"/>
    </row>
    <row r="450" spans="9:9" ht="15.75" customHeight="1" x14ac:dyDescent="0.25">
      <c r="I450" s="168"/>
    </row>
    <row r="451" spans="9:9" ht="15.75" customHeight="1" x14ac:dyDescent="0.25">
      <c r="I451" s="168"/>
    </row>
    <row r="452" spans="9:9" ht="15.75" customHeight="1" x14ac:dyDescent="0.25">
      <c r="I452" s="168"/>
    </row>
    <row r="453" spans="9:9" ht="15.75" customHeight="1" x14ac:dyDescent="0.25">
      <c r="I453" s="168"/>
    </row>
    <row r="454" spans="9:9" ht="15.75" customHeight="1" x14ac:dyDescent="0.25">
      <c r="I454" s="168"/>
    </row>
    <row r="455" spans="9:9" ht="15.75" customHeight="1" x14ac:dyDescent="0.25">
      <c r="I455" s="168"/>
    </row>
    <row r="456" spans="9:9" ht="15.75" customHeight="1" x14ac:dyDescent="0.25">
      <c r="I456" s="168"/>
    </row>
    <row r="457" spans="9:9" ht="15.75" customHeight="1" x14ac:dyDescent="0.25">
      <c r="I457" s="168"/>
    </row>
    <row r="458" spans="9:9" ht="15.75" customHeight="1" x14ac:dyDescent="0.25">
      <c r="I458" s="168"/>
    </row>
    <row r="459" spans="9:9" ht="15.75" customHeight="1" x14ac:dyDescent="0.25">
      <c r="I459" s="168"/>
    </row>
    <row r="460" spans="9:9" ht="15.75" customHeight="1" x14ac:dyDescent="0.25">
      <c r="I460" s="168"/>
    </row>
    <row r="461" spans="9:9" ht="15.75" customHeight="1" x14ac:dyDescent="0.25">
      <c r="I461" s="168"/>
    </row>
    <row r="462" spans="9:9" ht="15.75" customHeight="1" x14ac:dyDescent="0.25">
      <c r="I462" s="168"/>
    </row>
    <row r="463" spans="9:9" ht="15.75" customHeight="1" x14ac:dyDescent="0.25">
      <c r="I463" s="168"/>
    </row>
    <row r="464" spans="9:9" ht="15.75" customHeight="1" x14ac:dyDescent="0.25">
      <c r="I464" s="168"/>
    </row>
    <row r="465" spans="9:9" ht="15.75" customHeight="1" x14ac:dyDescent="0.25">
      <c r="I465" s="168"/>
    </row>
    <row r="466" spans="9:9" ht="15.75" customHeight="1" x14ac:dyDescent="0.25">
      <c r="I466" s="168"/>
    </row>
    <row r="467" spans="9:9" ht="15.75" customHeight="1" x14ac:dyDescent="0.25">
      <c r="I467" s="168"/>
    </row>
    <row r="468" spans="9:9" ht="15.75" customHeight="1" x14ac:dyDescent="0.25">
      <c r="I468" s="168"/>
    </row>
    <row r="469" spans="9:9" ht="15.75" customHeight="1" x14ac:dyDescent="0.25">
      <c r="I469" s="168"/>
    </row>
    <row r="470" spans="9:9" ht="15.75" customHeight="1" x14ac:dyDescent="0.25">
      <c r="I470" s="168"/>
    </row>
    <row r="471" spans="9:9" ht="15.75" customHeight="1" x14ac:dyDescent="0.25">
      <c r="I471" s="168"/>
    </row>
    <row r="472" spans="9:9" ht="15.75" customHeight="1" x14ac:dyDescent="0.25">
      <c r="I472" s="168"/>
    </row>
    <row r="473" spans="9:9" ht="15.75" customHeight="1" x14ac:dyDescent="0.25">
      <c r="I473" s="168"/>
    </row>
    <row r="474" spans="9:9" ht="15.75" customHeight="1" x14ac:dyDescent="0.25">
      <c r="I474" s="168"/>
    </row>
    <row r="475" spans="9:9" ht="15.75" customHeight="1" x14ac:dyDescent="0.25">
      <c r="I475" s="168"/>
    </row>
    <row r="476" spans="9:9" ht="15.75" customHeight="1" x14ac:dyDescent="0.25">
      <c r="I476" s="168"/>
    </row>
    <row r="477" spans="9:9" ht="15.75" customHeight="1" x14ac:dyDescent="0.25">
      <c r="I477" s="168"/>
    </row>
    <row r="478" spans="9:9" ht="15.75" customHeight="1" x14ac:dyDescent="0.25">
      <c r="I478" s="168"/>
    </row>
    <row r="479" spans="9:9" ht="15.75" customHeight="1" x14ac:dyDescent="0.25">
      <c r="I479" s="168"/>
    </row>
    <row r="480" spans="9:9" ht="15.75" customHeight="1" x14ac:dyDescent="0.25">
      <c r="I480" s="168"/>
    </row>
    <row r="481" spans="9:9" ht="15.75" customHeight="1" x14ac:dyDescent="0.25">
      <c r="I481" s="168"/>
    </row>
    <row r="482" spans="9:9" ht="15.75" customHeight="1" x14ac:dyDescent="0.25">
      <c r="I482" s="168"/>
    </row>
    <row r="483" spans="9:9" ht="15.75" customHeight="1" x14ac:dyDescent="0.25">
      <c r="I483" s="168"/>
    </row>
    <row r="484" spans="9:9" ht="15.75" customHeight="1" x14ac:dyDescent="0.25">
      <c r="I484" s="168"/>
    </row>
    <row r="485" spans="9:9" ht="15.75" customHeight="1" x14ac:dyDescent="0.25">
      <c r="I485" s="168"/>
    </row>
    <row r="486" spans="9:9" ht="15.75" customHeight="1" x14ac:dyDescent="0.25">
      <c r="I486" s="168"/>
    </row>
    <row r="487" spans="9:9" ht="15.75" customHeight="1" x14ac:dyDescent="0.25">
      <c r="I487" s="168"/>
    </row>
    <row r="488" spans="9:9" ht="15.75" customHeight="1" x14ac:dyDescent="0.25">
      <c r="I488" s="168"/>
    </row>
    <row r="489" spans="9:9" ht="15.75" customHeight="1" x14ac:dyDescent="0.25">
      <c r="I489" s="168"/>
    </row>
    <row r="490" spans="9:9" ht="15.75" customHeight="1" x14ac:dyDescent="0.25">
      <c r="I490" s="168"/>
    </row>
    <row r="491" spans="9:9" ht="15.75" customHeight="1" x14ac:dyDescent="0.25">
      <c r="I491" s="168"/>
    </row>
    <row r="492" spans="9:9" ht="15.75" customHeight="1" x14ac:dyDescent="0.25">
      <c r="I492" s="168"/>
    </row>
    <row r="493" spans="9:9" ht="15.75" customHeight="1" x14ac:dyDescent="0.25">
      <c r="I493" s="168"/>
    </row>
    <row r="494" spans="9:9" ht="15.75" customHeight="1" x14ac:dyDescent="0.25">
      <c r="I494" s="168"/>
    </row>
    <row r="495" spans="9:9" ht="15.75" customHeight="1" x14ac:dyDescent="0.25">
      <c r="I495" s="168"/>
    </row>
    <row r="496" spans="9:9" ht="15.75" customHeight="1" x14ac:dyDescent="0.25">
      <c r="I496" s="168"/>
    </row>
    <row r="497" spans="9:9" ht="15.75" customHeight="1" x14ac:dyDescent="0.25">
      <c r="I497" s="168"/>
    </row>
    <row r="498" spans="9:9" ht="15.75" customHeight="1" x14ac:dyDescent="0.25">
      <c r="I498" s="168"/>
    </row>
    <row r="499" spans="9:9" ht="15.75" customHeight="1" x14ac:dyDescent="0.25">
      <c r="I499" s="168"/>
    </row>
    <row r="500" spans="9:9" ht="15.75" customHeight="1" x14ac:dyDescent="0.25">
      <c r="I500" s="168"/>
    </row>
    <row r="501" spans="9:9" ht="15.75" customHeight="1" x14ac:dyDescent="0.25">
      <c r="I501" s="168"/>
    </row>
    <row r="502" spans="9:9" ht="15.75" customHeight="1" x14ac:dyDescent="0.25">
      <c r="I502" s="168"/>
    </row>
    <row r="503" spans="9:9" ht="15.75" customHeight="1" x14ac:dyDescent="0.25">
      <c r="I503" s="168"/>
    </row>
    <row r="504" spans="9:9" ht="15.75" customHeight="1" x14ac:dyDescent="0.25">
      <c r="I504" s="168"/>
    </row>
    <row r="505" spans="9:9" ht="15.75" customHeight="1" x14ac:dyDescent="0.25">
      <c r="I505" s="168"/>
    </row>
    <row r="506" spans="9:9" ht="15.75" customHeight="1" x14ac:dyDescent="0.25">
      <c r="I506" s="168"/>
    </row>
    <row r="507" spans="9:9" ht="15.75" customHeight="1" x14ac:dyDescent="0.25">
      <c r="I507" s="168"/>
    </row>
    <row r="508" spans="9:9" ht="15.75" customHeight="1" x14ac:dyDescent="0.25">
      <c r="I508" s="168"/>
    </row>
    <row r="509" spans="9:9" ht="15.75" customHeight="1" x14ac:dyDescent="0.25">
      <c r="I509" s="168"/>
    </row>
    <row r="510" spans="9:9" ht="15.75" customHeight="1" x14ac:dyDescent="0.25">
      <c r="I510" s="168"/>
    </row>
    <row r="511" spans="9:9" ht="15.75" customHeight="1" x14ac:dyDescent="0.25">
      <c r="I511" s="168"/>
    </row>
    <row r="512" spans="9:9" ht="15.75" customHeight="1" x14ac:dyDescent="0.25">
      <c r="I512" s="168"/>
    </row>
    <row r="513" spans="9:9" ht="15.75" customHeight="1" x14ac:dyDescent="0.25">
      <c r="I513" s="168"/>
    </row>
    <row r="514" spans="9:9" ht="15.75" customHeight="1" x14ac:dyDescent="0.25">
      <c r="I514" s="168"/>
    </row>
    <row r="515" spans="9:9" ht="15.75" customHeight="1" x14ac:dyDescent="0.25">
      <c r="I515" s="168"/>
    </row>
    <row r="516" spans="9:9" ht="15.75" customHeight="1" x14ac:dyDescent="0.25">
      <c r="I516" s="168"/>
    </row>
    <row r="517" spans="9:9" ht="15.75" customHeight="1" x14ac:dyDescent="0.25">
      <c r="I517" s="168"/>
    </row>
    <row r="518" spans="9:9" ht="15.75" customHeight="1" x14ac:dyDescent="0.25">
      <c r="I518" s="168"/>
    </row>
    <row r="519" spans="9:9" ht="15.75" customHeight="1" x14ac:dyDescent="0.25">
      <c r="I519" s="168"/>
    </row>
    <row r="520" spans="9:9" ht="15.75" customHeight="1" x14ac:dyDescent="0.25">
      <c r="I520" s="168"/>
    </row>
    <row r="521" spans="9:9" ht="15.75" customHeight="1" x14ac:dyDescent="0.25">
      <c r="I521" s="168"/>
    </row>
    <row r="522" spans="9:9" ht="15.75" customHeight="1" x14ac:dyDescent="0.25">
      <c r="I522" s="168"/>
    </row>
    <row r="523" spans="9:9" ht="15.75" customHeight="1" x14ac:dyDescent="0.25">
      <c r="I523" s="168"/>
    </row>
    <row r="524" spans="9:9" ht="15.75" customHeight="1" x14ac:dyDescent="0.25">
      <c r="I524" s="168"/>
    </row>
    <row r="525" spans="9:9" ht="15.75" customHeight="1" x14ac:dyDescent="0.25">
      <c r="I525" s="168"/>
    </row>
    <row r="526" spans="9:9" ht="15.75" customHeight="1" x14ac:dyDescent="0.25">
      <c r="I526" s="168"/>
    </row>
    <row r="527" spans="9:9" ht="15.75" customHeight="1" x14ac:dyDescent="0.25">
      <c r="I527" s="168"/>
    </row>
    <row r="528" spans="9:9" ht="15.75" customHeight="1" x14ac:dyDescent="0.25">
      <c r="I528" s="168"/>
    </row>
    <row r="529" spans="9:9" ht="15.75" customHeight="1" x14ac:dyDescent="0.25">
      <c r="I529" s="168"/>
    </row>
    <row r="530" spans="9:9" ht="15.75" customHeight="1" x14ac:dyDescent="0.25">
      <c r="I530" s="168"/>
    </row>
    <row r="531" spans="9:9" ht="15.75" customHeight="1" x14ac:dyDescent="0.25">
      <c r="I531" s="168"/>
    </row>
    <row r="532" spans="9:9" ht="15.75" customHeight="1" x14ac:dyDescent="0.25">
      <c r="I532" s="168"/>
    </row>
    <row r="533" spans="9:9" ht="15.75" customHeight="1" x14ac:dyDescent="0.25">
      <c r="I533" s="168"/>
    </row>
    <row r="534" spans="9:9" ht="15.75" customHeight="1" x14ac:dyDescent="0.25">
      <c r="I534" s="168"/>
    </row>
    <row r="535" spans="9:9" ht="15.75" customHeight="1" x14ac:dyDescent="0.25">
      <c r="I535" s="168"/>
    </row>
    <row r="536" spans="9:9" ht="15.75" customHeight="1" x14ac:dyDescent="0.25">
      <c r="I536" s="168"/>
    </row>
    <row r="537" spans="9:9" ht="15.75" customHeight="1" x14ac:dyDescent="0.25">
      <c r="I537" s="168"/>
    </row>
    <row r="538" spans="9:9" ht="15.75" customHeight="1" x14ac:dyDescent="0.25">
      <c r="I538" s="168"/>
    </row>
    <row r="539" spans="9:9" ht="15.75" customHeight="1" x14ac:dyDescent="0.25">
      <c r="I539" s="168"/>
    </row>
    <row r="540" spans="9:9" ht="15.75" customHeight="1" x14ac:dyDescent="0.25">
      <c r="I540" s="168"/>
    </row>
    <row r="541" spans="9:9" ht="15.75" customHeight="1" x14ac:dyDescent="0.25">
      <c r="I541" s="168"/>
    </row>
    <row r="542" spans="9:9" ht="15.75" customHeight="1" x14ac:dyDescent="0.25">
      <c r="I542" s="168"/>
    </row>
    <row r="543" spans="9:9" ht="15.75" customHeight="1" x14ac:dyDescent="0.25">
      <c r="I543" s="168"/>
    </row>
    <row r="544" spans="9:9" ht="15.75" customHeight="1" x14ac:dyDescent="0.25">
      <c r="I544" s="168"/>
    </row>
    <row r="545" spans="9:9" ht="15.75" customHeight="1" x14ac:dyDescent="0.25">
      <c r="I545" s="168"/>
    </row>
    <row r="546" spans="9:9" ht="15.75" customHeight="1" x14ac:dyDescent="0.25">
      <c r="I546" s="168"/>
    </row>
    <row r="547" spans="9:9" ht="15.75" customHeight="1" x14ac:dyDescent="0.25">
      <c r="I547" s="168"/>
    </row>
    <row r="548" spans="9:9" ht="15.75" customHeight="1" x14ac:dyDescent="0.25">
      <c r="I548" s="168"/>
    </row>
    <row r="549" spans="9:9" ht="15.75" customHeight="1" x14ac:dyDescent="0.25">
      <c r="I549" s="168"/>
    </row>
    <row r="550" spans="9:9" ht="15.75" customHeight="1" x14ac:dyDescent="0.25">
      <c r="I550" s="168"/>
    </row>
    <row r="551" spans="9:9" ht="15.75" customHeight="1" x14ac:dyDescent="0.25">
      <c r="I551" s="168"/>
    </row>
    <row r="552" spans="9:9" ht="15.75" customHeight="1" x14ac:dyDescent="0.25">
      <c r="I552" s="168"/>
    </row>
    <row r="553" spans="9:9" ht="15.75" customHeight="1" x14ac:dyDescent="0.25">
      <c r="I553" s="168"/>
    </row>
    <row r="554" spans="9:9" ht="15.75" customHeight="1" x14ac:dyDescent="0.25">
      <c r="I554" s="168"/>
    </row>
    <row r="555" spans="9:9" ht="15.75" customHeight="1" x14ac:dyDescent="0.25">
      <c r="I555" s="168"/>
    </row>
    <row r="556" spans="9:9" ht="15.75" customHeight="1" x14ac:dyDescent="0.25">
      <c r="I556" s="168"/>
    </row>
    <row r="557" spans="9:9" ht="15.75" customHeight="1" x14ac:dyDescent="0.25">
      <c r="I557" s="168"/>
    </row>
    <row r="558" spans="9:9" ht="15.75" customHeight="1" x14ac:dyDescent="0.25">
      <c r="I558" s="168"/>
    </row>
    <row r="559" spans="9:9" ht="15.75" customHeight="1" x14ac:dyDescent="0.25">
      <c r="I559" s="168"/>
    </row>
    <row r="560" spans="9:9" ht="15.75" customHeight="1" x14ac:dyDescent="0.25">
      <c r="I560" s="168"/>
    </row>
    <row r="561" spans="9:9" ht="15.75" customHeight="1" x14ac:dyDescent="0.25">
      <c r="I561" s="168"/>
    </row>
    <row r="562" spans="9:9" ht="15.75" customHeight="1" x14ac:dyDescent="0.25">
      <c r="I562" s="168"/>
    </row>
    <row r="563" spans="9:9" ht="15.75" customHeight="1" x14ac:dyDescent="0.25">
      <c r="I563" s="168"/>
    </row>
    <row r="564" spans="9:9" ht="15.75" customHeight="1" x14ac:dyDescent="0.25">
      <c r="I564" s="168"/>
    </row>
    <row r="565" spans="9:9" ht="15.75" customHeight="1" x14ac:dyDescent="0.25">
      <c r="I565" s="168"/>
    </row>
    <row r="566" spans="9:9" ht="15.75" customHeight="1" x14ac:dyDescent="0.25">
      <c r="I566" s="168"/>
    </row>
    <row r="567" spans="9:9" ht="15.75" customHeight="1" x14ac:dyDescent="0.25">
      <c r="I567" s="168"/>
    </row>
    <row r="568" spans="9:9" ht="15.75" customHeight="1" x14ac:dyDescent="0.25">
      <c r="I568" s="168"/>
    </row>
    <row r="569" spans="9:9" ht="15.75" customHeight="1" x14ac:dyDescent="0.25">
      <c r="I569" s="168"/>
    </row>
    <row r="570" spans="9:9" ht="15.75" customHeight="1" x14ac:dyDescent="0.25">
      <c r="I570" s="168"/>
    </row>
    <row r="571" spans="9:9" ht="15.75" customHeight="1" x14ac:dyDescent="0.25">
      <c r="I571" s="168"/>
    </row>
    <row r="572" spans="9:9" ht="15.75" customHeight="1" x14ac:dyDescent="0.25">
      <c r="I572" s="168"/>
    </row>
    <row r="573" spans="9:9" ht="15.75" customHeight="1" x14ac:dyDescent="0.25">
      <c r="I573" s="168"/>
    </row>
    <row r="574" spans="9:9" ht="15.75" customHeight="1" x14ac:dyDescent="0.25">
      <c r="I574" s="168"/>
    </row>
    <row r="575" spans="9:9" ht="15.75" customHeight="1" x14ac:dyDescent="0.25">
      <c r="I575" s="168"/>
    </row>
    <row r="576" spans="9:9" ht="15.75" customHeight="1" x14ac:dyDescent="0.25">
      <c r="I576" s="168"/>
    </row>
    <row r="577" spans="9:9" ht="15.75" customHeight="1" x14ac:dyDescent="0.25">
      <c r="I577" s="168"/>
    </row>
    <row r="578" spans="9:9" ht="15.75" customHeight="1" x14ac:dyDescent="0.25">
      <c r="I578" s="168"/>
    </row>
    <row r="579" spans="9:9" ht="15.75" customHeight="1" x14ac:dyDescent="0.25">
      <c r="I579" s="168"/>
    </row>
    <row r="580" spans="9:9" ht="15.75" customHeight="1" x14ac:dyDescent="0.25">
      <c r="I580" s="168"/>
    </row>
    <row r="581" spans="9:9" ht="15.75" customHeight="1" x14ac:dyDescent="0.25">
      <c r="I581" s="168"/>
    </row>
    <row r="582" spans="9:9" ht="15.75" customHeight="1" x14ac:dyDescent="0.25">
      <c r="I582" s="168"/>
    </row>
    <row r="583" spans="9:9" ht="15.75" customHeight="1" x14ac:dyDescent="0.25">
      <c r="I583" s="168"/>
    </row>
    <row r="584" spans="9:9" ht="15.75" customHeight="1" x14ac:dyDescent="0.25">
      <c r="I584" s="168"/>
    </row>
    <row r="585" spans="9:9" ht="15.75" customHeight="1" x14ac:dyDescent="0.25">
      <c r="I585" s="168"/>
    </row>
    <row r="586" spans="9:9" ht="15.75" customHeight="1" x14ac:dyDescent="0.25">
      <c r="I586" s="168"/>
    </row>
    <row r="587" spans="9:9" ht="15.75" customHeight="1" x14ac:dyDescent="0.25">
      <c r="I587" s="168"/>
    </row>
    <row r="588" spans="9:9" ht="15.75" customHeight="1" x14ac:dyDescent="0.25">
      <c r="I588" s="168"/>
    </row>
    <row r="589" spans="9:9" ht="15.75" customHeight="1" x14ac:dyDescent="0.25">
      <c r="I589" s="168"/>
    </row>
    <row r="590" spans="9:9" ht="15.75" customHeight="1" x14ac:dyDescent="0.25">
      <c r="I590" s="168"/>
    </row>
    <row r="591" spans="9:9" ht="15.75" customHeight="1" x14ac:dyDescent="0.25">
      <c r="I591" s="168"/>
    </row>
    <row r="592" spans="9:9" ht="15.75" customHeight="1" x14ac:dyDescent="0.25">
      <c r="I592" s="168"/>
    </row>
    <row r="593" spans="9:9" ht="15.75" customHeight="1" x14ac:dyDescent="0.25">
      <c r="I593" s="168"/>
    </row>
    <row r="594" spans="9:9" ht="15.75" customHeight="1" x14ac:dyDescent="0.25">
      <c r="I594" s="168"/>
    </row>
    <row r="595" spans="9:9" ht="15.75" customHeight="1" x14ac:dyDescent="0.25">
      <c r="I595" s="168"/>
    </row>
    <row r="596" spans="9:9" ht="15.75" customHeight="1" x14ac:dyDescent="0.25">
      <c r="I596" s="168"/>
    </row>
    <row r="597" spans="9:9" ht="15.75" customHeight="1" x14ac:dyDescent="0.25">
      <c r="I597" s="168"/>
    </row>
    <row r="598" spans="9:9" ht="15.75" customHeight="1" x14ac:dyDescent="0.25">
      <c r="I598" s="168"/>
    </row>
    <row r="599" spans="9:9" ht="15.75" customHeight="1" x14ac:dyDescent="0.25">
      <c r="I599" s="168"/>
    </row>
    <row r="600" spans="9:9" ht="15.75" customHeight="1" x14ac:dyDescent="0.25">
      <c r="I600" s="168"/>
    </row>
    <row r="601" spans="9:9" ht="15.75" customHeight="1" x14ac:dyDescent="0.25">
      <c r="I601" s="168"/>
    </row>
    <row r="602" spans="9:9" ht="15.75" customHeight="1" x14ac:dyDescent="0.25">
      <c r="I602" s="168"/>
    </row>
    <row r="603" spans="9:9" ht="15.75" customHeight="1" x14ac:dyDescent="0.25">
      <c r="I603" s="168"/>
    </row>
    <row r="604" spans="9:9" ht="15.75" customHeight="1" x14ac:dyDescent="0.25">
      <c r="I604" s="168"/>
    </row>
    <row r="605" spans="9:9" ht="15.75" customHeight="1" x14ac:dyDescent="0.25">
      <c r="I605" s="168"/>
    </row>
    <row r="606" spans="9:9" ht="15.75" customHeight="1" x14ac:dyDescent="0.25">
      <c r="I606" s="168"/>
    </row>
    <row r="607" spans="9:9" ht="15.75" customHeight="1" x14ac:dyDescent="0.25">
      <c r="I607" s="168"/>
    </row>
    <row r="608" spans="9:9" ht="15.75" customHeight="1" x14ac:dyDescent="0.25">
      <c r="I608" s="168"/>
    </row>
    <row r="609" spans="9:9" ht="15.75" customHeight="1" x14ac:dyDescent="0.25">
      <c r="I609" s="168"/>
    </row>
    <row r="610" spans="9:9" ht="15.75" customHeight="1" x14ac:dyDescent="0.25">
      <c r="I610" s="168"/>
    </row>
    <row r="611" spans="9:9" ht="15.75" customHeight="1" x14ac:dyDescent="0.25">
      <c r="I611" s="168"/>
    </row>
    <row r="612" spans="9:9" ht="15.75" customHeight="1" x14ac:dyDescent="0.25">
      <c r="I612" s="168"/>
    </row>
    <row r="613" spans="9:9" ht="15.75" customHeight="1" x14ac:dyDescent="0.25">
      <c r="I613" s="168"/>
    </row>
    <row r="614" spans="9:9" ht="15.75" customHeight="1" x14ac:dyDescent="0.25">
      <c r="I614" s="168"/>
    </row>
    <row r="615" spans="9:9" ht="15.75" customHeight="1" x14ac:dyDescent="0.25">
      <c r="I615" s="168"/>
    </row>
    <row r="616" spans="9:9" ht="15.75" customHeight="1" x14ac:dyDescent="0.25">
      <c r="I616" s="168"/>
    </row>
    <row r="617" spans="9:9" ht="15.75" customHeight="1" x14ac:dyDescent="0.25">
      <c r="I617" s="168"/>
    </row>
    <row r="618" spans="9:9" ht="15.75" customHeight="1" x14ac:dyDescent="0.25">
      <c r="I618" s="168"/>
    </row>
    <row r="619" spans="9:9" ht="15.75" customHeight="1" x14ac:dyDescent="0.25">
      <c r="I619" s="168"/>
    </row>
    <row r="620" spans="9:9" ht="15.75" customHeight="1" x14ac:dyDescent="0.25">
      <c r="I620" s="168"/>
    </row>
    <row r="621" spans="9:9" ht="15.75" customHeight="1" x14ac:dyDescent="0.25">
      <c r="I621" s="168"/>
    </row>
    <row r="622" spans="9:9" ht="15.75" customHeight="1" x14ac:dyDescent="0.25">
      <c r="I622" s="168"/>
    </row>
    <row r="623" spans="9:9" ht="15.75" customHeight="1" x14ac:dyDescent="0.25">
      <c r="I623" s="168"/>
    </row>
    <row r="624" spans="9:9" ht="15.75" customHeight="1" x14ac:dyDescent="0.25">
      <c r="I624" s="168"/>
    </row>
    <row r="625" spans="9:9" ht="15.75" customHeight="1" x14ac:dyDescent="0.25">
      <c r="I625" s="168"/>
    </row>
    <row r="626" spans="9:9" ht="15.75" customHeight="1" x14ac:dyDescent="0.25">
      <c r="I626" s="168"/>
    </row>
    <row r="627" spans="9:9" ht="15.75" customHeight="1" x14ac:dyDescent="0.25">
      <c r="I627" s="168"/>
    </row>
    <row r="628" spans="9:9" ht="15.75" customHeight="1" x14ac:dyDescent="0.25">
      <c r="I628" s="168"/>
    </row>
    <row r="629" spans="9:9" ht="15.75" customHeight="1" x14ac:dyDescent="0.25">
      <c r="I629" s="168"/>
    </row>
    <row r="630" spans="9:9" ht="15.75" customHeight="1" x14ac:dyDescent="0.25">
      <c r="I630" s="168"/>
    </row>
    <row r="631" spans="9:9" ht="15.75" customHeight="1" x14ac:dyDescent="0.25">
      <c r="I631" s="168"/>
    </row>
    <row r="632" spans="9:9" ht="15.75" customHeight="1" x14ac:dyDescent="0.25">
      <c r="I632" s="168"/>
    </row>
    <row r="633" spans="9:9" ht="15.75" customHeight="1" x14ac:dyDescent="0.25">
      <c r="I633" s="168"/>
    </row>
    <row r="634" spans="9:9" ht="15.75" customHeight="1" x14ac:dyDescent="0.25">
      <c r="I634" s="168"/>
    </row>
    <row r="635" spans="9:9" ht="15.75" customHeight="1" x14ac:dyDescent="0.25">
      <c r="I635" s="168"/>
    </row>
    <row r="636" spans="9:9" ht="15.75" customHeight="1" x14ac:dyDescent="0.25">
      <c r="I636" s="168"/>
    </row>
    <row r="637" spans="9:9" ht="15.75" customHeight="1" x14ac:dyDescent="0.25">
      <c r="I637" s="168"/>
    </row>
    <row r="638" spans="9:9" ht="15.75" customHeight="1" x14ac:dyDescent="0.25">
      <c r="I638" s="168"/>
    </row>
    <row r="639" spans="9:9" ht="15.75" customHeight="1" x14ac:dyDescent="0.25">
      <c r="I639" s="168"/>
    </row>
    <row r="640" spans="9:9" ht="15.75" customHeight="1" x14ac:dyDescent="0.25">
      <c r="I640" s="168"/>
    </row>
    <row r="641" spans="9:9" ht="15.75" customHeight="1" x14ac:dyDescent="0.25">
      <c r="I641" s="168"/>
    </row>
    <row r="642" spans="9:9" ht="15.75" customHeight="1" x14ac:dyDescent="0.25">
      <c r="I642" s="168"/>
    </row>
    <row r="643" spans="9:9" ht="15.75" customHeight="1" x14ac:dyDescent="0.25">
      <c r="I643" s="168"/>
    </row>
    <row r="644" spans="9:9" ht="15.75" customHeight="1" x14ac:dyDescent="0.25">
      <c r="I644" s="168"/>
    </row>
    <row r="645" spans="9:9" ht="15.75" customHeight="1" x14ac:dyDescent="0.25">
      <c r="I645" s="168"/>
    </row>
    <row r="646" spans="9:9" ht="15.75" customHeight="1" x14ac:dyDescent="0.25">
      <c r="I646" s="168"/>
    </row>
    <row r="647" spans="9:9" ht="15.75" customHeight="1" x14ac:dyDescent="0.25">
      <c r="I647" s="168"/>
    </row>
    <row r="648" spans="9:9" ht="15.75" customHeight="1" x14ac:dyDescent="0.25">
      <c r="I648" s="168"/>
    </row>
    <row r="649" spans="9:9" ht="15.75" customHeight="1" x14ac:dyDescent="0.25">
      <c r="I649" s="168"/>
    </row>
    <row r="650" spans="9:9" ht="15.75" customHeight="1" x14ac:dyDescent="0.25">
      <c r="I650" s="168"/>
    </row>
    <row r="651" spans="9:9" ht="15.75" customHeight="1" x14ac:dyDescent="0.25">
      <c r="I651" s="168"/>
    </row>
    <row r="652" spans="9:9" ht="15.75" customHeight="1" x14ac:dyDescent="0.25">
      <c r="I652" s="168"/>
    </row>
    <row r="653" spans="9:9" ht="15.75" customHeight="1" x14ac:dyDescent="0.25">
      <c r="I653" s="168"/>
    </row>
    <row r="654" spans="9:9" ht="15.75" customHeight="1" x14ac:dyDescent="0.25">
      <c r="I654" s="168"/>
    </row>
    <row r="655" spans="9:9" ht="15.75" customHeight="1" x14ac:dyDescent="0.25">
      <c r="I655" s="168"/>
    </row>
    <row r="656" spans="9:9" ht="15.75" customHeight="1" x14ac:dyDescent="0.25">
      <c r="I656" s="168"/>
    </row>
    <row r="657" spans="9:9" ht="15.75" customHeight="1" x14ac:dyDescent="0.25">
      <c r="I657" s="168"/>
    </row>
    <row r="658" spans="9:9" ht="15.75" customHeight="1" x14ac:dyDescent="0.25">
      <c r="I658" s="168"/>
    </row>
    <row r="659" spans="9:9" ht="15.75" customHeight="1" x14ac:dyDescent="0.25">
      <c r="I659" s="168"/>
    </row>
    <row r="660" spans="9:9" ht="15.75" customHeight="1" x14ac:dyDescent="0.25">
      <c r="I660" s="168"/>
    </row>
    <row r="661" spans="9:9" ht="15.75" customHeight="1" x14ac:dyDescent="0.25">
      <c r="I661" s="168"/>
    </row>
    <row r="662" spans="9:9" ht="15.75" customHeight="1" x14ac:dyDescent="0.25">
      <c r="I662" s="168"/>
    </row>
    <row r="663" spans="9:9" ht="15.75" customHeight="1" x14ac:dyDescent="0.25">
      <c r="I663" s="168"/>
    </row>
    <row r="664" spans="9:9" ht="15.75" customHeight="1" x14ac:dyDescent="0.25">
      <c r="I664" s="168"/>
    </row>
    <row r="665" spans="9:9" ht="15.75" customHeight="1" x14ac:dyDescent="0.25">
      <c r="I665" s="168"/>
    </row>
    <row r="666" spans="9:9" ht="15.75" customHeight="1" x14ac:dyDescent="0.25">
      <c r="I666" s="168"/>
    </row>
    <row r="667" spans="9:9" ht="15.75" customHeight="1" x14ac:dyDescent="0.25">
      <c r="I667" s="168"/>
    </row>
    <row r="668" spans="9:9" ht="15.75" customHeight="1" x14ac:dyDescent="0.25">
      <c r="I668" s="168"/>
    </row>
    <row r="669" spans="9:9" ht="15.75" customHeight="1" x14ac:dyDescent="0.25">
      <c r="I669" s="168"/>
    </row>
    <row r="670" spans="9:9" ht="15.75" customHeight="1" x14ac:dyDescent="0.25">
      <c r="I670" s="168"/>
    </row>
    <row r="671" spans="9:9" ht="15.75" customHeight="1" x14ac:dyDescent="0.25">
      <c r="I671" s="168"/>
    </row>
    <row r="672" spans="9:9" ht="15.75" customHeight="1" x14ac:dyDescent="0.25">
      <c r="I672" s="168"/>
    </row>
    <row r="673" spans="9:9" ht="15.75" customHeight="1" x14ac:dyDescent="0.25">
      <c r="I673" s="168"/>
    </row>
    <row r="674" spans="9:9" ht="15.75" customHeight="1" x14ac:dyDescent="0.25">
      <c r="I674" s="168"/>
    </row>
    <row r="675" spans="9:9" ht="15.75" customHeight="1" x14ac:dyDescent="0.25">
      <c r="I675" s="168"/>
    </row>
    <row r="676" spans="9:9" ht="15.75" customHeight="1" x14ac:dyDescent="0.25">
      <c r="I676" s="168"/>
    </row>
    <row r="677" spans="9:9" ht="15.75" customHeight="1" x14ac:dyDescent="0.25">
      <c r="I677" s="168"/>
    </row>
    <row r="678" spans="9:9" ht="15.75" customHeight="1" x14ac:dyDescent="0.25">
      <c r="I678" s="168"/>
    </row>
    <row r="679" spans="9:9" ht="15.75" customHeight="1" x14ac:dyDescent="0.25">
      <c r="I679" s="168"/>
    </row>
    <row r="680" spans="9:9" ht="15.75" customHeight="1" x14ac:dyDescent="0.25">
      <c r="I680" s="168"/>
    </row>
    <row r="681" spans="9:9" ht="15.75" customHeight="1" x14ac:dyDescent="0.25">
      <c r="I681" s="168"/>
    </row>
    <row r="682" spans="9:9" ht="15.75" customHeight="1" x14ac:dyDescent="0.25">
      <c r="I682" s="168"/>
    </row>
    <row r="683" spans="9:9" ht="15.75" customHeight="1" x14ac:dyDescent="0.25">
      <c r="I683" s="168"/>
    </row>
    <row r="684" spans="9:9" ht="15.75" customHeight="1" x14ac:dyDescent="0.25">
      <c r="I684" s="168"/>
    </row>
    <row r="685" spans="9:9" ht="15.75" customHeight="1" x14ac:dyDescent="0.25">
      <c r="I685" s="168"/>
    </row>
    <row r="686" spans="9:9" ht="15.75" customHeight="1" x14ac:dyDescent="0.25">
      <c r="I686" s="168"/>
    </row>
    <row r="687" spans="9:9" ht="15.75" customHeight="1" x14ac:dyDescent="0.25">
      <c r="I687" s="168"/>
    </row>
    <row r="688" spans="9:9" ht="15.75" customHeight="1" x14ac:dyDescent="0.25">
      <c r="I688" s="168"/>
    </row>
    <row r="689" spans="9:9" ht="15.75" customHeight="1" x14ac:dyDescent="0.25">
      <c r="I689" s="168"/>
    </row>
    <row r="690" spans="9:9" ht="15.75" customHeight="1" x14ac:dyDescent="0.25">
      <c r="I690" s="168"/>
    </row>
    <row r="691" spans="9:9" ht="15.75" customHeight="1" x14ac:dyDescent="0.25">
      <c r="I691" s="168"/>
    </row>
    <row r="692" spans="9:9" ht="15.75" customHeight="1" x14ac:dyDescent="0.25">
      <c r="I692" s="168"/>
    </row>
    <row r="693" spans="9:9" ht="15.75" customHeight="1" x14ac:dyDescent="0.25">
      <c r="I693" s="168"/>
    </row>
    <row r="694" spans="9:9" ht="15.75" customHeight="1" x14ac:dyDescent="0.25">
      <c r="I694" s="168"/>
    </row>
    <row r="695" spans="9:9" ht="15.75" customHeight="1" x14ac:dyDescent="0.25">
      <c r="I695" s="168"/>
    </row>
    <row r="696" spans="9:9" ht="15.75" customHeight="1" x14ac:dyDescent="0.25">
      <c r="I696" s="168"/>
    </row>
    <row r="697" spans="9:9" ht="15.75" customHeight="1" x14ac:dyDescent="0.25">
      <c r="I697" s="168"/>
    </row>
    <row r="698" spans="9:9" ht="15.75" customHeight="1" x14ac:dyDescent="0.25">
      <c r="I698" s="168"/>
    </row>
    <row r="699" spans="9:9" ht="15.75" customHeight="1" x14ac:dyDescent="0.25">
      <c r="I699" s="168"/>
    </row>
    <row r="700" spans="9:9" ht="15.75" customHeight="1" x14ac:dyDescent="0.25">
      <c r="I700" s="168"/>
    </row>
    <row r="701" spans="9:9" ht="15.75" customHeight="1" x14ac:dyDescent="0.25">
      <c r="I701" s="168"/>
    </row>
    <row r="702" spans="9:9" ht="15.75" customHeight="1" x14ac:dyDescent="0.25">
      <c r="I702" s="168"/>
    </row>
    <row r="703" spans="9:9" ht="15.75" customHeight="1" x14ac:dyDescent="0.25">
      <c r="I703" s="168"/>
    </row>
    <row r="704" spans="9:9" ht="15.75" customHeight="1" x14ac:dyDescent="0.25">
      <c r="I704" s="168"/>
    </row>
    <row r="705" spans="9:9" ht="15.75" customHeight="1" x14ac:dyDescent="0.25">
      <c r="I705" s="168"/>
    </row>
    <row r="706" spans="9:9" ht="15.75" customHeight="1" x14ac:dyDescent="0.25">
      <c r="I706" s="168"/>
    </row>
    <row r="707" spans="9:9" ht="15.75" customHeight="1" x14ac:dyDescent="0.25">
      <c r="I707" s="168"/>
    </row>
    <row r="708" spans="9:9" ht="15.75" customHeight="1" x14ac:dyDescent="0.25">
      <c r="I708" s="168"/>
    </row>
    <row r="709" spans="9:9" ht="15.75" customHeight="1" x14ac:dyDescent="0.25">
      <c r="I709" s="168"/>
    </row>
    <row r="710" spans="9:9" ht="15.75" customHeight="1" x14ac:dyDescent="0.25">
      <c r="I710" s="168"/>
    </row>
    <row r="711" spans="9:9" ht="15.75" customHeight="1" x14ac:dyDescent="0.25">
      <c r="I711" s="168"/>
    </row>
    <row r="712" spans="9:9" ht="15.75" customHeight="1" x14ac:dyDescent="0.25">
      <c r="I712" s="168"/>
    </row>
    <row r="713" spans="9:9" ht="15.75" customHeight="1" x14ac:dyDescent="0.25">
      <c r="I713" s="168"/>
    </row>
    <row r="714" spans="9:9" ht="15.75" customHeight="1" x14ac:dyDescent="0.25">
      <c r="I714" s="168"/>
    </row>
    <row r="715" spans="9:9" ht="15.75" customHeight="1" x14ac:dyDescent="0.25">
      <c r="I715" s="168"/>
    </row>
    <row r="716" spans="9:9" ht="15.75" customHeight="1" x14ac:dyDescent="0.25">
      <c r="I716" s="168"/>
    </row>
    <row r="717" spans="9:9" ht="15.75" customHeight="1" x14ac:dyDescent="0.25">
      <c r="I717" s="168"/>
    </row>
    <row r="718" spans="9:9" ht="15.75" customHeight="1" x14ac:dyDescent="0.25">
      <c r="I718" s="168"/>
    </row>
    <row r="719" spans="9:9" ht="15.75" customHeight="1" x14ac:dyDescent="0.25">
      <c r="I719" s="168"/>
    </row>
    <row r="720" spans="9:9" ht="15.75" customHeight="1" x14ac:dyDescent="0.25">
      <c r="I720" s="168"/>
    </row>
    <row r="721" spans="9:9" ht="15.75" customHeight="1" x14ac:dyDescent="0.25">
      <c r="I721" s="168"/>
    </row>
    <row r="722" spans="9:9" ht="15.75" customHeight="1" x14ac:dyDescent="0.25">
      <c r="I722" s="168"/>
    </row>
    <row r="723" spans="9:9" ht="15.75" customHeight="1" x14ac:dyDescent="0.25">
      <c r="I723" s="168"/>
    </row>
    <row r="724" spans="9:9" ht="15.75" customHeight="1" x14ac:dyDescent="0.25">
      <c r="I724" s="168"/>
    </row>
    <row r="725" spans="9:9" ht="15.75" customHeight="1" x14ac:dyDescent="0.25">
      <c r="I725" s="168"/>
    </row>
    <row r="726" spans="9:9" ht="15.75" customHeight="1" x14ac:dyDescent="0.25">
      <c r="I726" s="168"/>
    </row>
    <row r="727" spans="9:9" ht="15.75" customHeight="1" x14ac:dyDescent="0.25">
      <c r="I727" s="168"/>
    </row>
    <row r="728" spans="9:9" ht="15.75" customHeight="1" x14ac:dyDescent="0.25">
      <c r="I728" s="168"/>
    </row>
    <row r="729" spans="9:9" ht="15.75" customHeight="1" x14ac:dyDescent="0.25">
      <c r="I729" s="168"/>
    </row>
    <row r="730" spans="9:9" ht="15.75" customHeight="1" x14ac:dyDescent="0.25">
      <c r="I730" s="168"/>
    </row>
    <row r="731" spans="9:9" ht="15.75" customHeight="1" x14ac:dyDescent="0.25">
      <c r="I731" s="168"/>
    </row>
    <row r="732" spans="9:9" ht="15.75" customHeight="1" x14ac:dyDescent="0.25">
      <c r="I732" s="168"/>
    </row>
    <row r="733" spans="9:9" ht="15.75" customHeight="1" x14ac:dyDescent="0.25">
      <c r="I733" s="168"/>
    </row>
    <row r="734" spans="9:9" ht="15.75" customHeight="1" x14ac:dyDescent="0.25">
      <c r="I734" s="168"/>
    </row>
    <row r="735" spans="9:9" ht="15.75" customHeight="1" x14ac:dyDescent="0.25">
      <c r="I735" s="168"/>
    </row>
    <row r="736" spans="9:9" ht="15.75" customHeight="1" x14ac:dyDescent="0.25">
      <c r="I736" s="168"/>
    </row>
    <row r="737" spans="9:9" ht="15.75" customHeight="1" x14ac:dyDescent="0.25">
      <c r="I737" s="168"/>
    </row>
    <row r="738" spans="9:9" ht="15.75" customHeight="1" x14ac:dyDescent="0.25">
      <c r="I738" s="168"/>
    </row>
    <row r="739" spans="9:9" ht="15.75" customHeight="1" x14ac:dyDescent="0.25">
      <c r="I739" s="168"/>
    </row>
    <row r="740" spans="9:9" ht="15.75" customHeight="1" x14ac:dyDescent="0.25">
      <c r="I740" s="168"/>
    </row>
    <row r="741" spans="9:9" ht="15.75" customHeight="1" x14ac:dyDescent="0.25">
      <c r="I741" s="168"/>
    </row>
    <row r="742" spans="9:9" ht="15.75" customHeight="1" x14ac:dyDescent="0.25">
      <c r="I742" s="168"/>
    </row>
    <row r="743" spans="9:9" ht="15.75" customHeight="1" x14ac:dyDescent="0.25">
      <c r="I743" s="168"/>
    </row>
    <row r="744" spans="9:9" ht="15.75" customHeight="1" x14ac:dyDescent="0.25">
      <c r="I744" s="168"/>
    </row>
    <row r="745" spans="9:9" ht="15.75" customHeight="1" x14ac:dyDescent="0.25">
      <c r="I745" s="168"/>
    </row>
    <row r="746" spans="9:9" ht="15.75" customHeight="1" x14ac:dyDescent="0.25">
      <c r="I746" s="168"/>
    </row>
    <row r="747" spans="9:9" ht="15.75" customHeight="1" x14ac:dyDescent="0.25">
      <c r="I747" s="168"/>
    </row>
    <row r="748" spans="9:9" ht="15.75" customHeight="1" x14ac:dyDescent="0.25">
      <c r="I748" s="168"/>
    </row>
    <row r="749" spans="9:9" ht="15.75" customHeight="1" x14ac:dyDescent="0.25">
      <c r="I749" s="168"/>
    </row>
    <row r="750" spans="9:9" ht="15.75" customHeight="1" x14ac:dyDescent="0.25">
      <c r="I750" s="168"/>
    </row>
    <row r="751" spans="9:9" ht="15.75" customHeight="1" x14ac:dyDescent="0.25">
      <c r="I751" s="168"/>
    </row>
    <row r="752" spans="9:9" ht="15.75" customHeight="1" x14ac:dyDescent="0.25">
      <c r="I752" s="168"/>
    </row>
    <row r="753" spans="9:9" ht="15.75" customHeight="1" x14ac:dyDescent="0.25">
      <c r="I753" s="168"/>
    </row>
    <row r="754" spans="9:9" ht="15.75" customHeight="1" x14ac:dyDescent="0.25">
      <c r="I754" s="168"/>
    </row>
    <row r="755" spans="9:9" ht="15.75" customHeight="1" x14ac:dyDescent="0.25">
      <c r="I755" s="168"/>
    </row>
    <row r="756" spans="9:9" ht="15.75" customHeight="1" x14ac:dyDescent="0.25">
      <c r="I756" s="168"/>
    </row>
    <row r="757" spans="9:9" ht="15.75" customHeight="1" x14ac:dyDescent="0.25">
      <c r="I757" s="168"/>
    </row>
    <row r="758" spans="9:9" ht="15.75" customHeight="1" x14ac:dyDescent="0.25">
      <c r="I758" s="168"/>
    </row>
    <row r="759" spans="9:9" ht="15.75" customHeight="1" x14ac:dyDescent="0.25">
      <c r="I759" s="168"/>
    </row>
    <row r="760" spans="9:9" ht="15.75" customHeight="1" x14ac:dyDescent="0.25">
      <c r="I760" s="168"/>
    </row>
    <row r="761" spans="9:9" ht="15.75" customHeight="1" x14ac:dyDescent="0.25">
      <c r="I761" s="168"/>
    </row>
    <row r="762" spans="9:9" ht="15.75" customHeight="1" x14ac:dyDescent="0.25">
      <c r="I762" s="168"/>
    </row>
    <row r="763" spans="9:9" ht="15.75" customHeight="1" x14ac:dyDescent="0.25">
      <c r="I763" s="168"/>
    </row>
    <row r="764" spans="9:9" ht="15.75" customHeight="1" x14ac:dyDescent="0.25">
      <c r="I764" s="168"/>
    </row>
    <row r="765" spans="9:9" ht="15.75" customHeight="1" x14ac:dyDescent="0.25">
      <c r="I765" s="168"/>
    </row>
    <row r="766" spans="9:9" ht="15.75" customHeight="1" x14ac:dyDescent="0.25">
      <c r="I766" s="168"/>
    </row>
    <row r="767" spans="9:9" ht="15.75" customHeight="1" x14ac:dyDescent="0.25">
      <c r="I767" s="168"/>
    </row>
    <row r="768" spans="9:9" ht="15.75" customHeight="1" x14ac:dyDescent="0.25">
      <c r="I768" s="168"/>
    </row>
    <row r="769" spans="9:9" ht="15.75" customHeight="1" x14ac:dyDescent="0.25">
      <c r="I769" s="168"/>
    </row>
    <row r="770" spans="9:9" ht="15.75" customHeight="1" x14ac:dyDescent="0.25">
      <c r="I770" s="168"/>
    </row>
    <row r="771" spans="9:9" ht="15.75" customHeight="1" x14ac:dyDescent="0.25">
      <c r="I771" s="168"/>
    </row>
    <row r="772" spans="9:9" ht="15.75" customHeight="1" x14ac:dyDescent="0.25">
      <c r="I772" s="168"/>
    </row>
    <row r="773" spans="9:9" ht="15.75" customHeight="1" x14ac:dyDescent="0.25">
      <c r="I773" s="168"/>
    </row>
    <row r="774" spans="9:9" ht="15.75" customHeight="1" x14ac:dyDescent="0.25">
      <c r="I774" s="168"/>
    </row>
    <row r="775" spans="9:9" ht="15.75" customHeight="1" x14ac:dyDescent="0.25">
      <c r="I775" s="168"/>
    </row>
    <row r="776" spans="9:9" ht="15.75" customHeight="1" x14ac:dyDescent="0.25">
      <c r="I776" s="168"/>
    </row>
    <row r="777" spans="9:9" ht="15.75" customHeight="1" x14ac:dyDescent="0.25">
      <c r="I777" s="168"/>
    </row>
    <row r="778" spans="9:9" ht="15.75" customHeight="1" x14ac:dyDescent="0.25">
      <c r="I778" s="168"/>
    </row>
    <row r="779" spans="9:9" ht="15.75" customHeight="1" x14ac:dyDescent="0.25">
      <c r="I779" s="168"/>
    </row>
    <row r="780" spans="9:9" ht="15.75" customHeight="1" x14ac:dyDescent="0.25">
      <c r="I780" s="168"/>
    </row>
    <row r="781" spans="9:9" ht="15.75" customHeight="1" x14ac:dyDescent="0.25">
      <c r="I781" s="168"/>
    </row>
    <row r="782" spans="9:9" ht="15.75" customHeight="1" x14ac:dyDescent="0.25">
      <c r="I782" s="168"/>
    </row>
    <row r="783" spans="9:9" ht="15.75" customHeight="1" x14ac:dyDescent="0.25">
      <c r="I783" s="168"/>
    </row>
    <row r="784" spans="9:9" ht="15.75" customHeight="1" x14ac:dyDescent="0.25">
      <c r="I784" s="168"/>
    </row>
    <row r="785" spans="9:9" ht="15.75" customHeight="1" x14ac:dyDescent="0.25">
      <c r="I785" s="168"/>
    </row>
    <row r="786" spans="9:9" ht="15.75" customHeight="1" x14ac:dyDescent="0.25">
      <c r="I786" s="168"/>
    </row>
    <row r="787" spans="9:9" ht="15.75" customHeight="1" x14ac:dyDescent="0.25">
      <c r="I787" s="168"/>
    </row>
    <row r="788" spans="9:9" ht="15.75" customHeight="1" x14ac:dyDescent="0.25">
      <c r="I788" s="168"/>
    </row>
    <row r="789" spans="9:9" ht="15.75" customHeight="1" x14ac:dyDescent="0.25">
      <c r="I789" s="168"/>
    </row>
    <row r="790" spans="9:9" ht="15.75" customHeight="1" x14ac:dyDescent="0.25">
      <c r="I790" s="168"/>
    </row>
    <row r="791" spans="9:9" ht="15.75" customHeight="1" x14ac:dyDescent="0.25">
      <c r="I791" s="168"/>
    </row>
    <row r="792" spans="9:9" ht="15.75" customHeight="1" x14ac:dyDescent="0.25">
      <c r="I792" s="168"/>
    </row>
    <row r="793" spans="9:9" ht="15.75" customHeight="1" x14ac:dyDescent="0.25">
      <c r="I793" s="168"/>
    </row>
    <row r="794" spans="9:9" ht="15.75" customHeight="1" x14ac:dyDescent="0.25">
      <c r="I794" s="168"/>
    </row>
    <row r="795" spans="9:9" ht="15.75" customHeight="1" x14ac:dyDescent="0.25">
      <c r="I795" s="168"/>
    </row>
    <row r="796" spans="9:9" ht="15.75" customHeight="1" x14ac:dyDescent="0.25">
      <c r="I796" s="168"/>
    </row>
    <row r="797" spans="9:9" ht="15.75" customHeight="1" x14ac:dyDescent="0.25">
      <c r="I797" s="168"/>
    </row>
    <row r="798" spans="9:9" ht="15.75" customHeight="1" x14ac:dyDescent="0.25">
      <c r="I798" s="168"/>
    </row>
    <row r="799" spans="9:9" ht="15.75" customHeight="1" x14ac:dyDescent="0.25">
      <c r="I799" s="168"/>
    </row>
    <row r="800" spans="9:9" ht="15.75" customHeight="1" x14ac:dyDescent="0.25">
      <c r="I800" s="168"/>
    </row>
    <row r="801" spans="9:9" ht="15.75" customHeight="1" x14ac:dyDescent="0.25">
      <c r="I801" s="168"/>
    </row>
    <row r="802" spans="9:9" ht="15.75" customHeight="1" x14ac:dyDescent="0.25">
      <c r="I802" s="168"/>
    </row>
    <row r="803" spans="9:9" ht="15.75" customHeight="1" x14ac:dyDescent="0.25">
      <c r="I803" s="168"/>
    </row>
    <row r="804" spans="9:9" ht="15.75" customHeight="1" x14ac:dyDescent="0.25">
      <c r="I804" s="168"/>
    </row>
    <row r="805" spans="9:9" ht="15.75" customHeight="1" x14ac:dyDescent="0.25">
      <c r="I805" s="168"/>
    </row>
    <row r="806" spans="9:9" ht="15.75" customHeight="1" x14ac:dyDescent="0.25">
      <c r="I806" s="168"/>
    </row>
    <row r="807" spans="9:9" ht="15.75" customHeight="1" x14ac:dyDescent="0.25">
      <c r="I807" s="168"/>
    </row>
    <row r="808" spans="9:9" ht="15.75" customHeight="1" x14ac:dyDescent="0.25">
      <c r="I808" s="168"/>
    </row>
    <row r="809" spans="9:9" ht="15.75" customHeight="1" x14ac:dyDescent="0.25">
      <c r="I809" s="168"/>
    </row>
    <row r="810" spans="9:9" ht="15.75" customHeight="1" x14ac:dyDescent="0.25">
      <c r="I810" s="168"/>
    </row>
    <row r="811" spans="9:9" ht="15.75" customHeight="1" x14ac:dyDescent="0.25">
      <c r="I811" s="168"/>
    </row>
    <row r="812" spans="9:9" ht="15.75" customHeight="1" x14ac:dyDescent="0.25">
      <c r="I812" s="168"/>
    </row>
    <row r="813" spans="9:9" ht="15.75" customHeight="1" x14ac:dyDescent="0.25">
      <c r="I813" s="168"/>
    </row>
    <row r="814" spans="9:9" ht="15.75" customHeight="1" x14ac:dyDescent="0.25">
      <c r="I814" s="168"/>
    </row>
    <row r="815" spans="9:9" ht="15.75" customHeight="1" x14ac:dyDescent="0.25">
      <c r="I815" s="168"/>
    </row>
    <row r="816" spans="9:9" ht="15.75" customHeight="1" x14ac:dyDescent="0.25">
      <c r="I816" s="168"/>
    </row>
    <row r="817" spans="9:9" ht="15.75" customHeight="1" x14ac:dyDescent="0.25">
      <c r="I817" s="168"/>
    </row>
    <row r="818" spans="9:9" ht="15.75" customHeight="1" x14ac:dyDescent="0.25">
      <c r="I818" s="168"/>
    </row>
    <row r="819" spans="9:9" ht="15.75" customHeight="1" x14ac:dyDescent="0.25">
      <c r="I819" s="168"/>
    </row>
    <row r="820" spans="9:9" ht="15.75" customHeight="1" x14ac:dyDescent="0.25">
      <c r="I820" s="168"/>
    </row>
    <row r="821" spans="9:9" ht="15.75" customHeight="1" x14ac:dyDescent="0.25">
      <c r="I821" s="168"/>
    </row>
    <row r="822" spans="9:9" ht="15.75" customHeight="1" x14ac:dyDescent="0.25">
      <c r="I822" s="168"/>
    </row>
    <row r="823" spans="9:9" ht="15.75" customHeight="1" x14ac:dyDescent="0.25">
      <c r="I823" s="168"/>
    </row>
    <row r="824" spans="9:9" ht="15.75" customHeight="1" x14ac:dyDescent="0.25">
      <c r="I824" s="168"/>
    </row>
    <row r="825" spans="9:9" ht="15.75" customHeight="1" x14ac:dyDescent="0.25">
      <c r="I825" s="168"/>
    </row>
    <row r="826" spans="9:9" ht="15.75" customHeight="1" x14ac:dyDescent="0.25">
      <c r="I826" s="168"/>
    </row>
    <row r="827" spans="9:9" ht="15.75" customHeight="1" x14ac:dyDescent="0.25">
      <c r="I827" s="168"/>
    </row>
    <row r="828" spans="9:9" ht="15.75" customHeight="1" x14ac:dyDescent="0.25">
      <c r="I828" s="168"/>
    </row>
    <row r="829" spans="9:9" ht="15.75" customHeight="1" x14ac:dyDescent="0.25">
      <c r="I829" s="168"/>
    </row>
    <row r="830" spans="9:9" ht="15.75" customHeight="1" x14ac:dyDescent="0.25">
      <c r="I830" s="168"/>
    </row>
    <row r="831" spans="9:9" ht="15.75" customHeight="1" x14ac:dyDescent="0.25">
      <c r="I831" s="168"/>
    </row>
    <row r="832" spans="9:9" ht="15.75" customHeight="1" x14ac:dyDescent="0.25">
      <c r="I832" s="168"/>
    </row>
    <row r="833" spans="9:9" ht="15.75" customHeight="1" x14ac:dyDescent="0.25">
      <c r="I833" s="168"/>
    </row>
    <row r="834" spans="9:9" ht="15.75" customHeight="1" x14ac:dyDescent="0.25">
      <c r="I834" s="168"/>
    </row>
    <row r="835" spans="9:9" ht="15.75" customHeight="1" x14ac:dyDescent="0.25">
      <c r="I835" s="168"/>
    </row>
    <row r="836" spans="9:9" ht="15.75" customHeight="1" x14ac:dyDescent="0.25">
      <c r="I836" s="168"/>
    </row>
    <row r="837" spans="9:9" ht="15.75" customHeight="1" x14ac:dyDescent="0.25">
      <c r="I837" s="168"/>
    </row>
    <row r="838" spans="9:9" ht="15.75" customHeight="1" x14ac:dyDescent="0.25">
      <c r="I838" s="168"/>
    </row>
    <row r="839" spans="9:9" ht="15.75" customHeight="1" x14ac:dyDescent="0.25">
      <c r="I839" s="168"/>
    </row>
    <row r="840" spans="9:9" ht="15.75" customHeight="1" x14ac:dyDescent="0.25">
      <c r="I840" s="168"/>
    </row>
    <row r="841" spans="9:9" ht="15.75" customHeight="1" x14ac:dyDescent="0.25">
      <c r="I841" s="168"/>
    </row>
    <row r="842" spans="9:9" ht="15.75" customHeight="1" x14ac:dyDescent="0.25">
      <c r="I842" s="168"/>
    </row>
    <row r="843" spans="9:9" ht="15.75" customHeight="1" x14ac:dyDescent="0.25">
      <c r="I843" s="168"/>
    </row>
    <row r="844" spans="9:9" ht="15.75" customHeight="1" x14ac:dyDescent="0.25">
      <c r="I844" s="168"/>
    </row>
    <row r="845" spans="9:9" ht="15.75" customHeight="1" x14ac:dyDescent="0.25">
      <c r="I845" s="168"/>
    </row>
    <row r="846" spans="9:9" ht="15.75" customHeight="1" x14ac:dyDescent="0.25">
      <c r="I846" s="168"/>
    </row>
    <row r="847" spans="9:9" ht="15.75" customHeight="1" x14ac:dyDescent="0.25">
      <c r="I847" s="168"/>
    </row>
    <row r="848" spans="9:9" ht="15.75" customHeight="1" x14ac:dyDescent="0.25">
      <c r="I848" s="168"/>
    </row>
    <row r="849" spans="9:9" ht="15.75" customHeight="1" x14ac:dyDescent="0.25">
      <c r="I849" s="168"/>
    </row>
    <row r="850" spans="9:9" ht="15.75" customHeight="1" x14ac:dyDescent="0.25">
      <c r="I850" s="168"/>
    </row>
    <row r="851" spans="9:9" ht="15.75" customHeight="1" x14ac:dyDescent="0.25">
      <c r="I851" s="168"/>
    </row>
    <row r="852" spans="9:9" ht="15.75" customHeight="1" x14ac:dyDescent="0.25">
      <c r="I852" s="168"/>
    </row>
    <row r="853" spans="9:9" ht="15.75" customHeight="1" x14ac:dyDescent="0.25">
      <c r="I853" s="168"/>
    </row>
    <row r="854" spans="9:9" ht="15.75" customHeight="1" x14ac:dyDescent="0.25">
      <c r="I854" s="168"/>
    </row>
    <row r="855" spans="9:9" ht="15.75" customHeight="1" x14ac:dyDescent="0.25">
      <c r="I855" s="168"/>
    </row>
    <row r="856" spans="9:9" ht="15.75" customHeight="1" x14ac:dyDescent="0.25">
      <c r="I856" s="168"/>
    </row>
    <row r="857" spans="9:9" ht="15.75" customHeight="1" x14ac:dyDescent="0.25">
      <c r="I857" s="168"/>
    </row>
    <row r="858" spans="9:9" ht="15.75" customHeight="1" x14ac:dyDescent="0.25">
      <c r="I858" s="168"/>
    </row>
    <row r="859" spans="9:9" ht="15.75" customHeight="1" x14ac:dyDescent="0.25">
      <c r="I859" s="168"/>
    </row>
    <row r="860" spans="9:9" ht="15.75" customHeight="1" x14ac:dyDescent="0.25">
      <c r="I860" s="168"/>
    </row>
    <row r="861" spans="9:9" ht="15.75" customHeight="1" x14ac:dyDescent="0.25">
      <c r="I861" s="168"/>
    </row>
    <row r="862" spans="9:9" ht="15.75" customHeight="1" x14ac:dyDescent="0.25">
      <c r="I862" s="168"/>
    </row>
    <row r="863" spans="9:9" ht="15.75" customHeight="1" x14ac:dyDescent="0.25">
      <c r="I863" s="168"/>
    </row>
    <row r="864" spans="9:9" ht="15.75" customHeight="1" x14ac:dyDescent="0.25">
      <c r="I864" s="168"/>
    </row>
    <row r="865" spans="9:9" ht="15.75" customHeight="1" x14ac:dyDescent="0.25">
      <c r="I865" s="168"/>
    </row>
    <row r="866" spans="9:9" ht="15.75" customHeight="1" x14ac:dyDescent="0.25">
      <c r="I866" s="168"/>
    </row>
    <row r="867" spans="9:9" ht="15.75" customHeight="1" x14ac:dyDescent="0.25">
      <c r="I867" s="168"/>
    </row>
    <row r="868" spans="9:9" ht="15.75" customHeight="1" x14ac:dyDescent="0.25">
      <c r="I868" s="168"/>
    </row>
    <row r="869" spans="9:9" ht="15.75" customHeight="1" x14ac:dyDescent="0.25">
      <c r="I869" s="168"/>
    </row>
    <row r="870" spans="9:9" ht="15.75" customHeight="1" x14ac:dyDescent="0.25">
      <c r="I870" s="168"/>
    </row>
    <row r="871" spans="9:9" ht="15.75" customHeight="1" x14ac:dyDescent="0.25">
      <c r="I871" s="168"/>
    </row>
    <row r="872" spans="9:9" ht="15.75" customHeight="1" x14ac:dyDescent="0.25">
      <c r="I872" s="168"/>
    </row>
    <row r="873" spans="9:9" ht="15.75" customHeight="1" x14ac:dyDescent="0.25">
      <c r="I873" s="168"/>
    </row>
    <row r="874" spans="9:9" ht="15.75" customHeight="1" x14ac:dyDescent="0.25">
      <c r="I874" s="168"/>
    </row>
    <row r="875" spans="9:9" ht="15.75" customHeight="1" x14ac:dyDescent="0.25">
      <c r="I875" s="168"/>
    </row>
    <row r="876" spans="9:9" ht="15.75" customHeight="1" x14ac:dyDescent="0.25">
      <c r="I876" s="168"/>
    </row>
    <row r="877" spans="9:9" ht="15.75" customHeight="1" x14ac:dyDescent="0.25">
      <c r="I877" s="168"/>
    </row>
    <row r="878" spans="9:9" ht="15.75" customHeight="1" x14ac:dyDescent="0.25">
      <c r="I878" s="168"/>
    </row>
    <row r="879" spans="9:9" ht="15.75" customHeight="1" x14ac:dyDescent="0.25">
      <c r="I879" s="168"/>
    </row>
    <row r="880" spans="9:9" ht="15.75" customHeight="1" x14ac:dyDescent="0.25">
      <c r="I880" s="168"/>
    </row>
    <row r="881" spans="9:9" ht="15.75" customHeight="1" x14ac:dyDescent="0.25">
      <c r="I881" s="168"/>
    </row>
    <row r="882" spans="9:9" ht="15.75" customHeight="1" x14ac:dyDescent="0.25">
      <c r="I882" s="168"/>
    </row>
    <row r="883" spans="9:9" ht="15.75" customHeight="1" x14ac:dyDescent="0.25">
      <c r="I883" s="168"/>
    </row>
    <row r="884" spans="9:9" ht="15.75" customHeight="1" x14ac:dyDescent="0.25">
      <c r="I884" s="168"/>
    </row>
    <row r="885" spans="9:9" ht="15.75" customHeight="1" x14ac:dyDescent="0.25">
      <c r="I885" s="168"/>
    </row>
    <row r="886" spans="9:9" ht="15.75" customHeight="1" x14ac:dyDescent="0.25">
      <c r="I886" s="168"/>
    </row>
    <row r="887" spans="9:9" ht="15.75" customHeight="1" x14ac:dyDescent="0.25">
      <c r="I887" s="168"/>
    </row>
    <row r="888" spans="9:9" ht="15.75" customHeight="1" x14ac:dyDescent="0.25">
      <c r="I888" s="168"/>
    </row>
    <row r="889" spans="9:9" ht="15.75" customHeight="1" x14ac:dyDescent="0.25">
      <c r="I889" s="168"/>
    </row>
    <row r="890" spans="9:9" ht="15.75" customHeight="1" x14ac:dyDescent="0.25">
      <c r="I890" s="168"/>
    </row>
    <row r="891" spans="9:9" ht="15.75" customHeight="1" x14ac:dyDescent="0.25">
      <c r="I891" s="168"/>
    </row>
    <row r="892" spans="9:9" ht="15.75" customHeight="1" x14ac:dyDescent="0.25">
      <c r="I892" s="168"/>
    </row>
    <row r="893" spans="9:9" ht="15.75" customHeight="1" x14ac:dyDescent="0.25">
      <c r="I893" s="168"/>
    </row>
    <row r="894" spans="9:9" ht="15.75" customHeight="1" x14ac:dyDescent="0.25">
      <c r="I894" s="168"/>
    </row>
    <row r="895" spans="9:9" ht="15.75" customHeight="1" x14ac:dyDescent="0.25">
      <c r="I895" s="168"/>
    </row>
    <row r="896" spans="9:9" ht="15.75" customHeight="1" x14ac:dyDescent="0.25">
      <c r="I896" s="168"/>
    </row>
    <row r="897" spans="9:9" ht="15.75" customHeight="1" x14ac:dyDescent="0.25">
      <c r="I897" s="168"/>
    </row>
    <row r="898" spans="9:9" ht="15.75" customHeight="1" x14ac:dyDescent="0.25">
      <c r="I898" s="168"/>
    </row>
    <row r="899" spans="9:9" ht="15.75" customHeight="1" x14ac:dyDescent="0.25">
      <c r="I899" s="168"/>
    </row>
    <row r="900" spans="9:9" ht="15.75" customHeight="1" x14ac:dyDescent="0.25">
      <c r="I900" s="168"/>
    </row>
    <row r="901" spans="9:9" ht="15.75" customHeight="1" x14ac:dyDescent="0.25">
      <c r="I901" s="168"/>
    </row>
    <row r="902" spans="9:9" ht="15.75" customHeight="1" x14ac:dyDescent="0.25">
      <c r="I902" s="168"/>
    </row>
    <row r="903" spans="9:9" ht="15.75" customHeight="1" x14ac:dyDescent="0.25">
      <c r="I903" s="168"/>
    </row>
    <row r="904" spans="9:9" ht="15.75" customHeight="1" x14ac:dyDescent="0.25">
      <c r="I904" s="168"/>
    </row>
    <row r="905" spans="9:9" ht="15.75" customHeight="1" x14ac:dyDescent="0.25">
      <c r="I905" s="168"/>
    </row>
    <row r="906" spans="9:9" ht="15.75" customHeight="1" x14ac:dyDescent="0.25">
      <c r="I906" s="168"/>
    </row>
    <row r="907" spans="9:9" ht="15.75" customHeight="1" x14ac:dyDescent="0.25">
      <c r="I907" s="168"/>
    </row>
    <row r="908" spans="9:9" ht="15.75" customHeight="1" x14ac:dyDescent="0.25">
      <c r="I908" s="168"/>
    </row>
    <row r="909" spans="9:9" ht="15.75" customHeight="1" x14ac:dyDescent="0.25">
      <c r="I909" s="168"/>
    </row>
    <row r="910" spans="9:9" ht="15.75" customHeight="1" x14ac:dyDescent="0.25">
      <c r="I910" s="168"/>
    </row>
    <row r="911" spans="9:9" ht="15.75" customHeight="1" x14ac:dyDescent="0.25">
      <c r="I911" s="168"/>
    </row>
    <row r="912" spans="9:9" ht="15.75" customHeight="1" x14ac:dyDescent="0.25">
      <c r="I912" s="168"/>
    </row>
    <row r="913" spans="9:9" ht="15.75" customHeight="1" x14ac:dyDescent="0.25">
      <c r="I913" s="168"/>
    </row>
    <row r="914" spans="9:9" ht="15.75" customHeight="1" x14ac:dyDescent="0.25">
      <c r="I914" s="168"/>
    </row>
    <row r="915" spans="9:9" ht="15.75" customHeight="1" x14ac:dyDescent="0.25">
      <c r="I915" s="168"/>
    </row>
    <row r="916" spans="9:9" ht="15.75" customHeight="1" x14ac:dyDescent="0.25">
      <c r="I916" s="168"/>
    </row>
    <row r="917" spans="9:9" ht="15.75" customHeight="1" x14ac:dyDescent="0.25">
      <c r="I917" s="168"/>
    </row>
    <row r="918" spans="9:9" ht="15.75" customHeight="1" x14ac:dyDescent="0.25">
      <c r="I918" s="168"/>
    </row>
    <row r="919" spans="9:9" ht="15.75" customHeight="1" x14ac:dyDescent="0.25">
      <c r="I919" s="168"/>
    </row>
    <row r="920" spans="9:9" ht="15.75" customHeight="1" x14ac:dyDescent="0.25">
      <c r="I920" s="168"/>
    </row>
    <row r="921" spans="9:9" ht="15.75" customHeight="1" x14ac:dyDescent="0.25">
      <c r="I921" s="168"/>
    </row>
    <row r="922" spans="9:9" ht="15.75" customHeight="1" x14ac:dyDescent="0.25">
      <c r="I922" s="168"/>
    </row>
    <row r="923" spans="9:9" ht="15.75" customHeight="1" x14ac:dyDescent="0.25">
      <c r="I923" s="168"/>
    </row>
    <row r="924" spans="9:9" ht="15.75" customHeight="1" x14ac:dyDescent="0.25">
      <c r="I924" s="168"/>
    </row>
    <row r="925" spans="9:9" ht="15.75" customHeight="1" x14ac:dyDescent="0.25">
      <c r="I925" s="168"/>
    </row>
    <row r="926" spans="9:9" ht="15.75" customHeight="1" x14ac:dyDescent="0.25">
      <c r="I926" s="168"/>
    </row>
    <row r="927" spans="9:9" ht="15.75" customHeight="1" x14ac:dyDescent="0.25">
      <c r="I927" s="168"/>
    </row>
    <row r="928" spans="9:9" ht="15.75" customHeight="1" x14ac:dyDescent="0.25">
      <c r="I928" s="168"/>
    </row>
    <row r="929" spans="9:9" ht="15.75" customHeight="1" x14ac:dyDescent="0.25">
      <c r="I929" s="168"/>
    </row>
    <row r="930" spans="9:9" ht="15.75" customHeight="1" x14ac:dyDescent="0.25">
      <c r="I930" s="168"/>
    </row>
    <row r="931" spans="9:9" ht="15.75" customHeight="1" x14ac:dyDescent="0.25">
      <c r="I931" s="168"/>
    </row>
    <row r="932" spans="9:9" ht="15.75" customHeight="1" x14ac:dyDescent="0.25">
      <c r="I932" s="168"/>
    </row>
    <row r="933" spans="9:9" ht="15.75" customHeight="1" x14ac:dyDescent="0.25">
      <c r="I933" s="168"/>
    </row>
    <row r="934" spans="9:9" ht="15.75" customHeight="1" x14ac:dyDescent="0.25">
      <c r="I934" s="168"/>
    </row>
    <row r="935" spans="9:9" ht="15.75" customHeight="1" x14ac:dyDescent="0.25">
      <c r="I935" s="168"/>
    </row>
    <row r="936" spans="9:9" ht="15.75" customHeight="1" x14ac:dyDescent="0.25">
      <c r="I936" s="168"/>
    </row>
    <row r="937" spans="9:9" ht="15.75" customHeight="1" x14ac:dyDescent="0.25">
      <c r="I937" s="168"/>
    </row>
    <row r="938" spans="9:9" ht="15.75" customHeight="1" x14ac:dyDescent="0.25">
      <c r="I938" s="168"/>
    </row>
    <row r="939" spans="9:9" ht="15.75" customHeight="1" x14ac:dyDescent="0.25">
      <c r="I939" s="168"/>
    </row>
    <row r="940" spans="9:9" ht="15.75" customHeight="1" x14ac:dyDescent="0.25">
      <c r="I940" s="168"/>
    </row>
    <row r="941" spans="9:9" ht="15.75" customHeight="1" x14ac:dyDescent="0.25">
      <c r="I941" s="168"/>
    </row>
    <row r="942" spans="9:9" ht="15.75" customHeight="1" x14ac:dyDescent="0.25">
      <c r="I942" s="168"/>
    </row>
    <row r="943" spans="9:9" ht="15.75" customHeight="1" x14ac:dyDescent="0.25">
      <c r="I943" s="168"/>
    </row>
    <row r="944" spans="9:9" ht="15.75" customHeight="1" x14ac:dyDescent="0.25">
      <c r="I944" s="168"/>
    </row>
    <row r="945" spans="9:9" ht="15.75" customHeight="1" x14ac:dyDescent="0.25">
      <c r="I945" s="168"/>
    </row>
    <row r="946" spans="9:9" ht="15.75" customHeight="1" x14ac:dyDescent="0.25">
      <c r="I946" s="168"/>
    </row>
    <row r="947" spans="9:9" ht="15.75" customHeight="1" x14ac:dyDescent="0.25">
      <c r="I947" s="168"/>
    </row>
    <row r="948" spans="9:9" ht="15.75" customHeight="1" x14ac:dyDescent="0.25">
      <c r="I948" s="168"/>
    </row>
    <row r="949" spans="9:9" ht="15.75" customHeight="1" x14ac:dyDescent="0.25">
      <c r="I949" s="168"/>
    </row>
    <row r="950" spans="9:9" ht="15.75" customHeight="1" x14ac:dyDescent="0.25">
      <c r="I950" s="168"/>
    </row>
    <row r="951" spans="9:9" ht="15.75" customHeight="1" x14ac:dyDescent="0.25">
      <c r="I951" s="168"/>
    </row>
    <row r="952" spans="9:9" ht="15.75" customHeight="1" x14ac:dyDescent="0.25">
      <c r="I952" s="168"/>
    </row>
    <row r="953" spans="9:9" ht="15.75" customHeight="1" x14ac:dyDescent="0.25">
      <c r="I953" s="168"/>
    </row>
    <row r="954" spans="9:9" ht="15.75" customHeight="1" x14ac:dyDescent="0.25">
      <c r="I954" s="168"/>
    </row>
    <row r="955" spans="9:9" ht="15.75" customHeight="1" x14ac:dyDescent="0.25">
      <c r="I955" s="168"/>
    </row>
    <row r="956" spans="9:9" ht="15.75" customHeight="1" x14ac:dyDescent="0.25">
      <c r="I956" s="168"/>
    </row>
    <row r="957" spans="9:9" ht="15.75" customHeight="1" x14ac:dyDescent="0.25">
      <c r="I957" s="168"/>
    </row>
    <row r="958" spans="9:9" ht="15.75" customHeight="1" x14ac:dyDescent="0.25">
      <c r="I958" s="168"/>
    </row>
    <row r="959" spans="9:9" ht="15.75" customHeight="1" x14ac:dyDescent="0.25">
      <c r="I959" s="168"/>
    </row>
    <row r="960" spans="9:9" ht="15.75" customHeight="1" x14ac:dyDescent="0.25">
      <c r="I960" s="168"/>
    </row>
    <row r="961" spans="9:9" ht="15.75" customHeight="1" x14ac:dyDescent="0.25">
      <c r="I961" s="168"/>
    </row>
    <row r="962" spans="9:9" ht="15.75" customHeight="1" x14ac:dyDescent="0.25">
      <c r="I962" s="168"/>
    </row>
    <row r="963" spans="9:9" ht="15.75" customHeight="1" x14ac:dyDescent="0.25">
      <c r="I963" s="168"/>
    </row>
    <row r="964" spans="9:9" ht="15.75" customHeight="1" x14ac:dyDescent="0.25">
      <c r="I964" s="168"/>
    </row>
    <row r="965" spans="9:9" ht="15.75" customHeight="1" x14ac:dyDescent="0.25">
      <c r="I965" s="168"/>
    </row>
    <row r="966" spans="9:9" ht="15.75" customHeight="1" x14ac:dyDescent="0.25">
      <c r="I966" s="168"/>
    </row>
    <row r="967" spans="9:9" ht="15.75" customHeight="1" x14ac:dyDescent="0.25">
      <c r="I967" s="168"/>
    </row>
    <row r="968" spans="9:9" ht="15.75" customHeight="1" x14ac:dyDescent="0.25">
      <c r="I968" s="168"/>
    </row>
    <row r="969" spans="9:9" ht="15.75" customHeight="1" x14ac:dyDescent="0.25">
      <c r="I969" s="168"/>
    </row>
    <row r="970" spans="9:9" ht="15.75" customHeight="1" x14ac:dyDescent="0.25">
      <c r="I970" s="168"/>
    </row>
    <row r="971" spans="9:9" ht="15.75" customHeight="1" x14ac:dyDescent="0.25">
      <c r="I971" s="168"/>
    </row>
    <row r="972" spans="9:9" ht="15.75" customHeight="1" x14ac:dyDescent="0.25">
      <c r="I972" s="168"/>
    </row>
    <row r="973" spans="9:9" ht="15.75" customHeight="1" x14ac:dyDescent="0.25">
      <c r="I973" s="168"/>
    </row>
    <row r="974" spans="9:9" ht="15.75" customHeight="1" x14ac:dyDescent="0.25">
      <c r="I974" s="168"/>
    </row>
    <row r="975" spans="9:9" ht="15.75" customHeight="1" x14ac:dyDescent="0.25">
      <c r="I975" s="168"/>
    </row>
    <row r="976" spans="9:9" ht="15.75" customHeight="1" x14ac:dyDescent="0.25">
      <c r="I976" s="168"/>
    </row>
    <row r="977" spans="9:9" ht="15.75" customHeight="1" x14ac:dyDescent="0.25">
      <c r="I977" s="168"/>
    </row>
    <row r="978" spans="9:9" ht="15.75" customHeight="1" x14ac:dyDescent="0.25">
      <c r="I978" s="168"/>
    </row>
    <row r="979" spans="9:9" ht="15.75" customHeight="1" x14ac:dyDescent="0.25">
      <c r="I979" s="168"/>
    </row>
    <row r="980" spans="9:9" ht="15.75" customHeight="1" x14ac:dyDescent="0.25">
      <c r="I980" s="168"/>
    </row>
    <row r="981" spans="9:9" ht="15.75" customHeight="1" x14ac:dyDescent="0.25">
      <c r="I981" s="168"/>
    </row>
    <row r="982" spans="9:9" ht="15.75" customHeight="1" x14ac:dyDescent="0.25">
      <c r="I982" s="168"/>
    </row>
    <row r="983" spans="9:9" ht="15.75" customHeight="1" x14ac:dyDescent="0.25">
      <c r="I983" s="168"/>
    </row>
    <row r="984" spans="9:9" ht="15.75" customHeight="1" x14ac:dyDescent="0.25">
      <c r="I984" s="168"/>
    </row>
    <row r="985" spans="9:9" ht="15.75" customHeight="1" x14ac:dyDescent="0.25">
      <c r="I985" s="168"/>
    </row>
    <row r="986" spans="9:9" ht="15.75" customHeight="1" x14ac:dyDescent="0.25">
      <c r="I986" s="168"/>
    </row>
    <row r="987" spans="9:9" ht="15.75" customHeight="1" x14ac:dyDescent="0.25">
      <c r="I987" s="168"/>
    </row>
    <row r="988" spans="9:9" ht="15.75" customHeight="1" x14ac:dyDescent="0.25">
      <c r="I988" s="168"/>
    </row>
    <row r="989" spans="9:9" ht="15.75" customHeight="1" x14ac:dyDescent="0.25">
      <c r="I989" s="168"/>
    </row>
    <row r="990" spans="9:9" ht="15.75" customHeight="1" x14ac:dyDescent="0.25">
      <c r="I990" s="168"/>
    </row>
    <row r="991" spans="9:9" ht="15.75" customHeight="1" x14ac:dyDescent="0.25">
      <c r="I991" s="168"/>
    </row>
    <row r="992" spans="9:9" ht="15.75" customHeight="1" x14ac:dyDescent="0.25">
      <c r="I992" s="168"/>
    </row>
    <row r="993" spans="9:9" ht="15.75" customHeight="1" x14ac:dyDescent="0.25">
      <c r="I993" s="168"/>
    </row>
    <row r="994" spans="9:9" ht="15.75" customHeight="1" x14ac:dyDescent="0.25">
      <c r="I994" s="168"/>
    </row>
    <row r="995" spans="9:9" ht="15.75" customHeight="1" x14ac:dyDescent="0.25">
      <c r="I995" s="168"/>
    </row>
    <row r="996" spans="9:9" ht="15.75" customHeight="1" x14ac:dyDescent="0.25">
      <c r="I996" s="168"/>
    </row>
    <row r="997" spans="9:9" ht="15.75" customHeight="1" x14ac:dyDescent="0.25">
      <c r="I997" s="168"/>
    </row>
    <row r="998" spans="9:9" ht="15.75" customHeight="1" x14ac:dyDescent="0.25">
      <c r="I998" s="168"/>
    </row>
    <row r="999" spans="9:9" ht="15.75" customHeight="1" x14ac:dyDescent="0.25">
      <c r="I999" s="168"/>
    </row>
    <row r="1000" spans="9:9" ht="15.75" customHeight="1" x14ac:dyDescent="0.25">
      <c r="I1000" s="168"/>
    </row>
    <row r="1001" spans="9:9" ht="15.75" customHeight="1" x14ac:dyDescent="0.25">
      <c r="I1001" s="168"/>
    </row>
    <row r="1002" spans="9:9" ht="15.75" customHeight="1" x14ac:dyDescent="0.25">
      <c r="I1002" s="168"/>
    </row>
    <row r="1003" spans="9:9" ht="15.75" customHeight="1" x14ac:dyDescent="0.25">
      <c r="I1003" s="168"/>
    </row>
    <row r="1004" spans="9:9" ht="15.75" customHeight="1" x14ac:dyDescent="0.25">
      <c r="I1004" s="168"/>
    </row>
    <row r="1005" spans="9:9" ht="15.75" customHeight="1" x14ac:dyDescent="0.25">
      <c r="I1005" s="168"/>
    </row>
    <row r="1006" spans="9:9" ht="15.75" customHeight="1" x14ac:dyDescent="0.25">
      <c r="I1006" s="168"/>
    </row>
    <row r="1007" spans="9:9" ht="15.75" customHeight="1" x14ac:dyDescent="0.25">
      <c r="I1007" s="168"/>
    </row>
    <row r="1008" spans="9:9" ht="15.75" customHeight="1" x14ac:dyDescent="0.25">
      <c r="I1008" s="168"/>
    </row>
    <row r="1009" spans="9:9" ht="15.75" customHeight="1" x14ac:dyDescent="0.25">
      <c r="I1009" s="168"/>
    </row>
    <row r="1010" spans="9:9" ht="15.75" customHeight="1" x14ac:dyDescent="0.25">
      <c r="I1010" s="168"/>
    </row>
    <row r="1011" spans="9:9" ht="15.75" customHeight="1" x14ac:dyDescent="0.25">
      <c r="I1011" s="168"/>
    </row>
    <row r="1012" spans="9:9" ht="15.75" customHeight="1" x14ac:dyDescent="0.25">
      <c r="I1012" s="168"/>
    </row>
    <row r="1013" spans="9:9" ht="15.75" customHeight="1" x14ac:dyDescent="0.25">
      <c r="I1013" s="168"/>
    </row>
    <row r="1014" spans="9:9" ht="15.75" customHeight="1" x14ac:dyDescent="0.25">
      <c r="I1014" s="168"/>
    </row>
    <row r="1015" spans="9:9" ht="15.75" customHeight="1" x14ac:dyDescent="0.25">
      <c r="I1015" s="168"/>
    </row>
    <row r="1016" spans="9:9" ht="15.75" customHeight="1" x14ac:dyDescent="0.25">
      <c r="I1016"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55"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6"/>
  <sheetViews>
    <sheetView view="pageBreakPreview" zoomScale="115" zoomScaleNormal="100" zoomScaleSheetLayoutView="115" workbookViewId="0">
      <selection activeCell="A5" sqref="A5"/>
    </sheetView>
  </sheetViews>
  <sheetFormatPr defaultColWidth="14.42578125" defaultRowHeight="15" customHeight="1" x14ac:dyDescent="0.25"/>
  <cols>
    <col min="1" max="1" width="69.42578125" customWidth="1"/>
    <col min="2" max="2" width="14.42578125" customWidth="1"/>
    <col min="3" max="6" width="16.85546875" hidden="1" customWidth="1"/>
    <col min="7" max="7" width="16.85546875" customWidth="1"/>
    <col min="8" max="8" width="10.28515625" customWidth="1"/>
    <col min="9" max="9" width="7" customWidth="1"/>
    <col min="10" max="10" width="10.42578125" customWidth="1"/>
    <col min="11" max="11" width="12" customWidth="1"/>
    <col min="12" max="12" width="13.28515625" customWidth="1"/>
    <col min="13" max="13" width="13.140625" customWidth="1"/>
    <col min="14"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1550</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row>
    <row r="14" spans="1:26" ht="15.75" customHeight="1" x14ac:dyDescent="0.25">
      <c r="A14" s="42" t="s">
        <v>391</v>
      </c>
      <c r="B14" s="199"/>
      <c r="C14" s="42"/>
      <c r="D14" s="42"/>
      <c r="E14" s="42"/>
      <c r="F14" s="42"/>
      <c r="G14" s="42"/>
    </row>
    <row r="15" spans="1:26" ht="15.75" customHeight="1" x14ac:dyDescent="0.25">
      <c r="A15" s="17" t="s">
        <v>642</v>
      </c>
      <c r="B15" s="172"/>
      <c r="C15" s="43"/>
      <c r="D15" s="43"/>
      <c r="E15" s="43"/>
      <c r="F15" s="43"/>
      <c r="G15" s="43"/>
    </row>
    <row r="16" spans="1:26" ht="15.75" customHeight="1" x14ac:dyDescent="0.25">
      <c r="A16" s="44" t="s">
        <v>393</v>
      </c>
      <c r="B16" s="41" t="s">
        <v>187</v>
      </c>
      <c r="C16" s="43">
        <v>25620.6</v>
      </c>
      <c r="D16" s="43">
        <v>0</v>
      </c>
      <c r="E16" s="43">
        <f>+F16-D16</f>
        <v>125000</v>
      </c>
      <c r="F16" s="43">
        <v>125000</v>
      </c>
      <c r="G16" s="43">
        <v>100000</v>
      </c>
      <c r="H16" s="15"/>
      <c r="I16" s="15"/>
      <c r="J16" s="15"/>
      <c r="K16" s="15"/>
      <c r="L16" s="15"/>
      <c r="M16" s="15"/>
      <c r="N16" s="15"/>
      <c r="O16" s="15"/>
      <c r="P16" s="15"/>
      <c r="Q16" s="15"/>
      <c r="R16" s="15"/>
      <c r="S16" s="15"/>
      <c r="T16" s="15"/>
      <c r="U16" s="15"/>
      <c r="V16" s="15"/>
      <c r="W16" s="15"/>
      <c r="X16" s="15"/>
      <c r="Y16" s="15"/>
      <c r="Z16" s="15"/>
    </row>
    <row r="17" spans="1:26" ht="15.75" customHeight="1" x14ac:dyDescent="0.25">
      <c r="A17" s="17" t="s">
        <v>493</v>
      </c>
      <c r="B17" s="41"/>
      <c r="C17" s="43"/>
      <c r="D17" s="43"/>
      <c r="E17" s="43"/>
      <c r="F17" s="43"/>
      <c r="G17" s="43"/>
      <c r="H17" s="15"/>
      <c r="I17" s="15"/>
      <c r="J17" s="15"/>
      <c r="K17" s="15"/>
      <c r="L17" s="15"/>
      <c r="M17" s="15"/>
      <c r="N17" s="15"/>
      <c r="O17" s="15"/>
      <c r="P17" s="15"/>
      <c r="Q17" s="15"/>
      <c r="R17" s="15"/>
      <c r="S17" s="15"/>
      <c r="T17" s="15"/>
      <c r="U17" s="15"/>
      <c r="V17" s="15"/>
      <c r="W17" s="15"/>
      <c r="X17" s="15"/>
      <c r="Y17" s="15"/>
      <c r="Z17" s="15"/>
    </row>
    <row r="18" spans="1:26" ht="15.75" customHeight="1" x14ac:dyDescent="0.25">
      <c r="A18" s="44" t="s">
        <v>396</v>
      </c>
      <c r="B18" s="41" t="s">
        <v>191</v>
      </c>
      <c r="C18" s="43">
        <v>56700</v>
      </c>
      <c r="D18" s="43">
        <v>0</v>
      </c>
      <c r="E18" s="43">
        <f>+F18-D18</f>
        <v>200000</v>
      </c>
      <c r="F18" s="43">
        <v>200000</v>
      </c>
      <c r="G18" s="43">
        <v>150000</v>
      </c>
      <c r="H18" s="15"/>
      <c r="I18" s="15"/>
      <c r="J18" s="15"/>
      <c r="K18" s="15"/>
      <c r="L18" s="15"/>
      <c r="M18" s="15"/>
      <c r="N18" s="15"/>
      <c r="O18" s="15"/>
      <c r="P18" s="15"/>
      <c r="Q18" s="15"/>
      <c r="R18" s="15"/>
      <c r="S18" s="15"/>
      <c r="T18" s="15"/>
      <c r="U18" s="15"/>
      <c r="V18" s="15"/>
      <c r="W18" s="15"/>
      <c r="X18" s="15"/>
      <c r="Y18" s="15"/>
      <c r="Z18" s="15"/>
    </row>
    <row r="19" spans="1:26" ht="15.75" customHeight="1" x14ac:dyDescent="0.25">
      <c r="A19" s="17" t="s">
        <v>499</v>
      </c>
      <c r="B19" s="41"/>
      <c r="C19" s="43"/>
      <c r="D19" s="43"/>
      <c r="E19" s="43"/>
      <c r="F19" s="43"/>
      <c r="G19" s="43"/>
      <c r="H19" s="15"/>
      <c r="I19" s="15"/>
      <c r="J19" s="15"/>
      <c r="K19" s="15"/>
      <c r="L19" s="15"/>
      <c r="M19" s="15"/>
      <c r="N19" s="15"/>
      <c r="O19" s="15"/>
      <c r="P19" s="15"/>
      <c r="Q19" s="15"/>
      <c r="R19" s="15"/>
      <c r="S19" s="15"/>
      <c r="T19" s="15"/>
      <c r="U19" s="15"/>
      <c r="V19" s="15"/>
      <c r="W19" s="15"/>
      <c r="X19" s="15"/>
      <c r="Y19" s="15"/>
      <c r="Z19" s="15"/>
    </row>
    <row r="20" spans="1:26" ht="15.75" customHeight="1" x14ac:dyDescent="0.25">
      <c r="A20" s="44" t="s">
        <v>398</v>
      </c>
      <c r="B20" s="41" t="s">
        <v>195</v>
      </c>
      <c r="C20" s="43">
        <v>48644.45</v>
      </c>
      <c r="D20" s="43">
        <v>13901.94</v>
      </c>
      <c r="E20" s="43">
        <f>+F20-D20</f>
        <v>15519.06</v>
      </c>
      <c r="F20" s="43">
        <v>29421</v>
      </c>
      <c r="G20" s="43">
        <v>112737</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96" t="s">
        <v>400</v>
      </c>
      <c r="B21" s="41" t="s">
        <v>221</v>
      </c>
      <c r="C21" s="43">
        <v>0</v>
      </c>
      <c r="D21" s="43">
        <v>10250</v>
      </c>
      <c r="E21" s="43">
        <v>10250</v>
      </c>
      <c r="F21" s="43">
        <v>20500</v>
      </c>
      <c r="G21" s="43">
        <v>7000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96" t="s">
        <v>401</v>
      </c>
      <c r="B22" s="41" t="s">
        <v>223</v>
      </c>
      <c r="C22" s="43">
        <v>0</v>
      </c>
      <c r="D22" s="43">
        <v>4500</v>
      </c>
      <c r="E22" s="43">
        <v>9000</v>
      </c>
      <c r="F22" s="43">
        <v>13500</v>
      </c>
      <c r="G22" s="43">
        <v>84000</v>
      </c>
      <c r="H22" s="15"/>
      <c r="I22" s="15"/>
      <c r="J22" s="15"/>
      <c r="K22" s="15"/>
      <c r="L22" s="15"/>
      <c r="M22" s="15"/>
      <c r="N22" s="15"/>
      <c r="O22" s="15"/>
      <c r="P22" s="15"/>
      <c r="Q22" s="15"/>
      <c r="R22" s="15"/>
      <c r="S22" s="15"/>
      <c r="T22" s="15"/>
      <c r="U22" s="15"/>
      <c r="V22" s="15"/>
      <c r="W22" s="15"/>
      <c r="X22" s="15"/>
      <c r="Y22" s="15"/>
      <c r="Z22" s="15"/>
    </row>
    <row r="23" spans="1:26" ht="15.75" customHeight="1" x14ac:dyDescent="0.25">
      <c r="A23" s="44" t="s">
        <v>402</v>
      </c>
      <c r="B23" s="41" t="s">
        <v>225</v>
      </c>
      <c r="C23" s="43">
        <v>66279.520000000004</v>
      </c>
      <c r="D23" s="43">
        <v>38925.85</v>
      </c>
      <c r="E23" s="43">
        <f>+F23-D23</f>
        <v>38981.15</v>
      </c>
      <c r="F23" s="43">
        <v>77907</v>
      </c>
      <c r="G23" s="43">
        <v>79893</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17" t="s">
        <v>1378</v>
      </c>
      <c r="B24" s="41"/>
      <c r="C24" s="43"/>
      <c r="D24" s="43"/>
      <c r="E24" s="43"/>
      <c r="F24" s="43"/>
      <c r="G24" s="43"/>
      <c r="H24" s="15"/>
      <c r="I24" s="15"/>
      <c r="J24" s="15"/>
      <c r="K24" s="15"/>
      <c r="L24" s="15"/>
      <c r="M24" s="15"/>
      <c r="N24" s="15"/>
      <c r="O24" s="15"/>
      <c r="P24" s="15"/>
      <c r="Q24" s="15"/>
      <c r="R24" s="15"/>
      <c r="S24" s="15"/>
      <c r="T24" s="15"/>
      <c r="U24" s="15"/>
      <c r="V24" s="15"/>
      <c r="W24" s="15"/>
      <c r="X24" s="15"/>
      <c r="Y24" s="15"/>
      <c r="Z24" s="15"/>
    </row>
    <row r="25" spans="1:26" ht="15.75" customHeight="1" x14ac:dyDescent="0.25">
      <c r="A25" s="44" t="s">
        <v>1551</v>
      </c>
      <c r="B25" s="41" t="s">
        <v>267</v>
      </c>
      <c r="C25" s="43">
        <v>1102000</v>
      </c>
      <c r="D25" s="43">
        <v>437000</v>
      </c>
      <c r="E25" s="43">
        <f>+F25-D25</f>
        <v>1387000</v>
      </c>
      <c r="F25" s="43">
        <v>1824000</v>
      </c>
      <c r="G25" s="43">
        <v>3192000</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17" t="s">
        <v>1552</v>
      </c>
      <c r="B26" s="41"/>
      <c r="C26" s="43"/>
      <c r="D26" s="43"/>
      <c r="E26" s="43"/>
      <c r="F26" s="43"/>
      <c r="G26" s="43"/>
      <c r="H26" s="15"/>
      <c r="I26" s="15">
        <v>14</v>
      </c>
      <c r="J26" s="16">
        <v>19000</v>
      </c>
      <c r="K26" s="15">
        <v>12</v>
      </c>
      <c r="L26" s="16">
        <f>I26*J26*K26</f>
        <v>3192000</v>
      </c>
      <c r="M26" s="15"/>
      <c r="N26" s="15"/>
      <c r="O26" s="15"/>
      <c r="P26" s="15"/>
      <c r="Q26" s="15"/>
      <c r="R26" s="15"/>
      <c r="S26" s="15"/>
      <c r="T26" s="15"/>
      <c r="U26" s="15"/>
      <c r="V26" s="15"/>
      <c r="W26" s="15"/>
      <c r="X26" s="15"/>
      <c r="Y26" s="15"/>
      <c r="Z26" s="15"/>
    </row>
    <row r="27" spans="1:26" ht="15.75" customHeight="1" x14ac:dyDescent="0.25">
      <c r="A27" s="17" t="s">
        <v>511</v>
      </c>
      <c r="B27" s="41"/>
      <c r="C27" s="43"/>
      <c r="D27" s="43"/>
      <c r="E27" s="43"/>
      <c r="F27" s="43"/>
      <c r="G27" s="43"/>
      <c r="H27" s="15"/>
      <c r="I27" s="15"/>
      <c r="J27" s="15"/>
      <c r="K27" s="15"/>
      <c r="L27" s="15"/>
      <c r="M27" s="15"/>
      <c r="N27" s="15"/>
      <c r="O27" s="15"/>
      <c r="P27" s="15"/>
      <c r="Q27" s="15"/>
      <c r="R27" s="15"/>
      <c r="S27" s="15"/>
      <c r="T27" s="15"/>
      <c r="U27" s="15"/>
      <c r="V27" s="15"/>
      <c r="W27" s="15"/>
      <c r="X27" s="15"/>
      <c r="Y27" s="15"/>
      <c r="Z27" s="15"/>
    </row>
    <row r="28" spans="1:26" ht="15.75" customHeight="1" x14ac:dyDescent="0.25">
      <c r="A28" s="44" t="s">
        <v>424</v>
      </c>
      <c r="B28" s="41" t="s">
        <v>335</v>
      </c>
      <c r="C28" s="43">
        <v>240817.59</v>
      </c>
      <c r="D28" s="43">
        <v>65155</v>
      </c>
      <c r="E28" s="43">
        <f>+F28-D28</f>
        <v>233645</v>
      </c>
      <c r="F28" s="43">
        <v>298800</v>
      </c>
      <c r="G28" s="43">
        <v>357984</v>
      </c>
      <c r="H28" s="15"/>
      <c r="N28" s="15"/>
      <c r="O28" s="15"/>
      <c r="P28" s="15"/>
      <c r="Q28" s="15"/>
      <c r="R28" s="15"/>
      <c r="S28" s="15"/>
      <c r="T28" s="15"/>
      <c r="U28" s="15"/>
      <c r="V28" s="15"/>
      <c r="W28" s="15"/>
      <c r="X28" s="15"/>
      <c r="Y28" s="15"/>
      <c r="Z28" s="15"/>
    </row>
    <row r="29" spans="1:26" ht="15.75" x14ac:dyDescent="0.25">
      <c r="A29" s="44" t="s">
        <v>864</v>
      </c>
      <c r="B29" s="41"/>
      <c r="C29" s="43"/>
      <c r="D29" s="43"/>
      <c r="E29" s="43"/>
      <c r="F29" s="43"/>
      <c r="G29" s="43"/>
      <c r="H29" s="15"/>
      <c r="I29" s="60"/>
      <c r="J29" s="211"/>
      <c r="K29" s="8"/>
      <c r="L29" s="8"/>
      <c r="M29" s="60"/>
      <c r="N29" s="15"/>
      <c r="O29" s="15"/>
      <c r="P29" s="15"/>
      <c r="Q29" s="15"/>
      <c r="R29" s="15"/>
      <c r="S29" s="15"/>
      <c r="T29" s="15"/>
      <c r="U29" s="15"/>
      <c r="V29" s="15"/>
      <c r="W29" s="15"/>
      <c r="X29" s="15"/>
      <c r="Y29" s="15"/>
      <c r="Z29" s="15"/>
    </row>
    <row r="30" spans="1:26" ht="31.5" x14ac:dyDescent="0.25">
      <c r="A30" s="118" t="s">
        <v>1553</v>
      </c>
      <c r="B30" s="41"/>
      <c r="C30" s="43"/>
      <c r="D30" s="43"/>
      <c r="E30" s="43"/>
      <c r="F30" s="43"/>
      <c r="G30" s="43"/>
      <c r="H30" s="15"/>
      <c r="I30" s="60">
        <v>678</v>
      </c>
      <c r="J30" s="211">
        <v>2</v>
      </c>
      <c r="K30" s="8">
        <v>22</v>
      </c>
      <c r="L30" s="8">
        <v>12</v>
      </c>
      <c r="M30" s="60">
        <f>I30*J30*K30*L30</f>
        <v>357984</v>
      </c>
      <c r="N30" s="15"/>
      <c r="O30" s="15"/>
      <c r="P30" s="15"/>
      <c r="Q30" s="15"/>
      <c r="R30" s="15"/>
      <c r="S30" s="15"/>
      <c r="T30" s="15"/>
      <c r="U30" s="15"/>
      <c r="V30" s="15"/>
      <c r="W30" s="15"/>
      <c r="X30" s="15"/>
      <c r="Y30" s="15"/>
      <c r="Z30" s="15"/>
    </row>
    <row r="31" spans="1:26" ht="15.75" customHeight="1" x14ac:dyDescent="0.25">
      <c r="A31" s="42" t="s">
        <v>466</v>
      </c>
      <c r="B31" s="41"/>
      <c r="C31" s="54">
        <f t="shared" ref="C31:F31" si="0">+SUM(C16:C28)</f>
        <v>1540062.1600000001</v>
      </c>
      <c r="D31" s="54">
        <f t="shared" si="0"/>
        <v>569732.79</v>
      </c>
      <c r="E31" s="54">
        <f t="shared" si="0"/>
        <v>2019395.21</v>
      </c>
      <c r="F31" s="54">
        <f t="shared" si="0"/>
        <v>2589128</v>
      </c>
      <c r="G31" s="54">
        <f>SUM(G16:G30)</f>
        <v>4083614</v>
      </c>
      <c r="H31" s="15"/>
      <c r="I31" s="15"/>
      <c r="J31" s="15"/>
      <c r="K31" s="15"/>
      <c r="L31" s="15"/>
      <c r="M31" s="15"/>
      <c r="N31" s="15"/>
      <c r="O31" s="15"/>
      <c r="P31" s="15"/>
      <c r="Q31" s="15"/>
      <c r="R31" s="15"/>
      <c r="S31" s="15"/>
      <c r="T31" s="15"/>
      <c r="U31" s="15"/>
      <c r="V31" s="15"/>
      <c r="W31" s="15"/>
      <c r="X31" s="15"/>
      <c r="Y31" s="15"/>
      <c r="Z31" s="15"/>
    </row>
    <row r="32" spans="1:26" ht="15.75" customHeight="1" x14ac:dyDescent="0.25">
      <c r="A32" s="17"/>
      <c r="B32" s="41"/>
      <c r="C32" s="55"/>
      <c r="D32" s="55"/>
      <c r="E32" s="55"/>
      <c r="F32" s="55"/>
      <c r="G32" s="5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7" t="s">
        <v>467</v>
      </c>
      <c r="B33" s="41"/>
      <c r="C33" s="43">
        <f t="shared" ref="C33:G33" si="1">C31</f>
        <v>1540062.1600000001</v>
      </c>
      <c r="D33" s="43">
        <f t="shared" si="1"/>
        <v>569732.79</v>
      </c>
      <c r="E33" s="43">
        <f t="shared" si="1"/>
        <v>2019395.21</v>
      </c>
      <c r="F33" s="43">
        <f t="shared" si="1"/>
        <v>2589128</v>
      </c>
      <c r="G33" s="43">
        <f t="shared" si="1"/>
        <v>4083614</v>
      </c>
      <c r="H33" s="15"/>
      <c r="I33" s="15" t="s">
        <v>488</v>
      </c>
      <c r="J33" s="15"/>
      <c r="K33" s="15"/>
      <c r="L33" s="15"/>
      <c r="M33" s="15"/>
      <c r="N33" s="15"/>
      <c r="O33" s="15"/>
      <c r="P33" s="15"/>
      <c r="Q33" s="15"/>
      <c r="R33" s="15"/>
      <c r="S33" s="15"/>
      <c r="T33" s="15"/>
      <c r="U33" s="15"/>
      <c r="V33" s="15"/>
      <c r="W33" s="15"/>
      <c r="X33" s="15"/>
      <c r="Y33" s="15"/>
      <c r="Z33" s="15"/>
    </row>
    <row r="34" spans="1:26" ht="15.75" customHeight="1" x14ac:dyDescent="0.25">
      <c r="A34" s="456"/>
      <c r="B34" s="461"/>
      <c r="C34" s="473"/>
      <c r="D34" s="43"/>
      <c r="E34" s="43"/>
      <c r="F34" s="43"/>
      <c r="G34" s="43"/>
      <c r="H34" s="15"/>
      <c r="I34" s="15"/>
      <c r="J34" s="15"/>
      <c r="K34" s="15"/>
      <c r="L34" s="15"/>
      <c r="M34" s="15"/>
      <c r="N34" s="15"/>
      <c r="O34" s="15"/>
      <c r="P34" s="15"/>
      <c r="Q34" s="15"/>
      <c r="R34" s="15"/>
      <c r="S34" s="15"/>
      <c r="T34" s="15"/>
      <c r="U34" s="15"/>
      <c r="V34" s="15"/>
      <c r="W34" s="15"/>
      <c r="X34" s="15"/>
      <c r="Y34" s="15"/>
      <c r="Z34" s="15"/>
    </row>
    <row r="35" spans="1:26" ht="15.75" customHeight="1" x14ac:dyDescent="0.25">
      <c r="A35" s="482" t="s">
        <v>487</v>
      </c>
      <c r="B35" s="555" t="s">
        <v>488</v>
      </c>
      <c r="C35" s="54">
        <f t="shared" ref="C35:G35" si="2">C33</f>
        <v>1540062.1600000001</v>
      </c>
      <c r="D35" s="54">
        <f t="shared" si="2"/>
        <v>569732.79</v>
      </c>
      <c r="E35" s="54">
        <f t="shared" si="2"/>
        <v>2019395.21</v>
      </c>
      <c r="F35" s="54">
        <f t="shared" si="2"/>
        <v>2589128</v>
      </c>
      <c r="G35" s="54">
        <f t="shared" si="2"/>
        <v>4083614</v>
      </c>
      <c r="I35" s="7" t="s">
        <v>488</v>
      </c>
    </row>
    <row r="36" spans="1:26" ht="15.75" customHeight="1" x14ac:dyDescent="0.25">
      <c r="A36" s="24"/>
      <c r="B36" s="174"/>
      <c r="C36" s="26"/>
      <c r="D36" s="26"/>
      <c r="E36" s="26"/>
      <c r="F36" s="26"/>
      <c r="G36" s="26"/>
      <c r="I36" s="7"/>
    </row>
    <row r="37" spans="1:26" ht="15.75" customHeight="1" x14ac:dyDescent="0.25">
      <c r="A37" s="101"/>
      <c r="B37" s="174"/>
      <c r="C37" s="24"/>
      <c r="D37" s="24"/>
      <c r="E37" s="24"/>
    </row>
    <row r="38" spans="1:26" ht="15.75" customHeight="1" x14ac:dyDescent="0.25">
      <c r="A38" s="103"/>
      <c r="B38" s="174"/>
      <c r="C38" s="24"/>
      <c r="D38" s="24"/>
      <c r="E38" s="24"/>
    </row>
    <row r="39" spans="1:26" ht="15.75" customHeight="1" x14ac:dyDescent="0.25">
      <c r="A39" s="24"/>
      <c r="B39" s="174"/>
      <c r="C39" s="24"/>
      <c r="D39" s="24"/>
      <c r="E39" s="24"/>
    </row>
    <row r="40" spans="1:26" ht="15.75" customHeight="1" x14ac:dyDescent="0.25">
      <c r="A40" s="24"/>
      <c r="B40" s="174"/>
      <c r="C40" s="24"/>
      <c r="D40" s="24"/>
      <c r="E40" s="24"/>
    </row>
    <row r="41" spans="1:26" ht="15.75" customHeight="1" x14ac:dyDescent="0.25">
      <c r="A41" s="24"/>
      <c r="B41" s="174"/>
      <c r="C41" s="24"/>
      <c r="D41" s="24"/>
      <c r="E41" s="24"/>
    </row>
    <row r="42" spans="1:26" ht="15.75" customHeight="1" x14ac:dyDescent="0.25">
      <c r="A42" s="24"/>
      <c r="B42" s="174"/>
      <c r="C42" s="24"/>
      <c r="D42" s="24"/>
      <c r="E42" s="24"/>
    </row>
    <row r="43" spans="1:26" ht="15.75" customHeight="1" x14ac:dyDescent="0.25">
      <c r="A43" s="24"/>
      <c r="B43" s="174"/>
      <c r="C43" s="24"/>
      <c r="D43" s="24"/>
      <c r="E43" s="24"/>
    </row>
    <row r="44" spans="1:26" ht="15.75" customHeight="1" x14ac:dyDescent="0.25">
      <c r="A44" s="24"/>
      <c r="B44" s="174"/>
      <c r="C44" s="24"/>
      <c r="D44" s="24"/>
      <c r="E44" s="24"/>
    </row>
    <row r="45" spans="1:26" ht="15.75" customHeight="1" x14ac:dyDescent="0.25">
      <c r="A45" s="24"/>
      <c r="B45" s="174"/>
      <c r="C45" s="24"/>
      <c r="D45" s="24"/>
      <c r="E45" s="24"/>
    </row>
    <row r="46" spans="1:26" ht="15.75" customHeight="1" x14ac:dyDescent="0.25">
      <c r="A46" s="24"/>
      <c r="B46" s="174"/>
      <c r="C46" s="24"/>
      <c r="D46" s="24"/>
      <c r="E46" s="24"/>
    </row>
    <row r="47" spans="1:26" ht="15.75" customHeight="1" x14ac:dyDescent="0.25">
      <c r="A47" s="24"/>
      <c r="B47" s="174"/>
      <c r="C47" s="24"/>
      <c r="D47" s="24"/>
      <c r="E47" s="24"/>
    </row>
    <row r="48" spans="1:26" ht="15.75" customHeight="1" x14ac:dyDescent="0.25">
      <c r="A48" s="24"/>
      <c r="B48" s="174"/>
      <c r="C48" s="24"/>
      <c r="D48" s="24"/>
      <c r="E48" s="24"/>
    </row>
    <row r="49" spans="1:5" ht="15.75" customHeight="1" x14ac:dyDescent="0.25">
      <c r="A49" s="24"/>
      <c r="B49" s="174"/>
      <c r="C49" s="24"/>
      <c r="D49" s="24"/>
      <c r="E49" s="24"/>
    </row>
    <row r="50" spans="1:5" ht="15.75" customHeight="1" x14ac:dyDescent="0.25">
      <c r="A50" s="24"/>
      <c r="B50" s="174"/>
      <c r="C50" s="24"/>
      <c r="D50" s="24"/>
      <c r="E50" s="24"/>
    </row>
    <row r="51" spans="1:5" ht="15.75" customHeight="1" x14ac:dyDescent="0.25">
      <c r="A51" s="24"/>
      <c r="B51" s="174"/>
      <c r="C51" s="24"/>
      <c r="D51" s="24"/>
      <c r="E51" s="24"/>
    </row>
    <row r="52" spans="1:5" ht="15.75" customHeight="1" x14ac:dyDescent="0.25">
      <c r="A52" s="24"/>
      <c r="B52" s="174"/>
      <c r="C52" s="24"/>
      <c r="D52" s="24"/>
      <c r="E52" s="24"/>
    </row>
    <row r="53" spans="1:5" ht="15.75" customHeight="1" x14ac:dyDescent="0.25">
      <c r="A53" s="24"/>
      <c r="B53" s="174"/>
      <c r="C53" s="24"/>
      <c r="D53" s="24"/>
      <c r="E53" s="24"/>
    </row>
    <row r="54" spans="1:5" ht="15.75" customHeight="1" x14ac:dyDescent="0.25">
      <c r="A54" s="24"/>
      <c r="B54" s="174"/>
      <c r="C54" s="24"/>
      <c r="D54" s="24"/>
      <c r="E54" s="24"/>
    </row>
    <row r="55" spans="1:5" ht="15.75" customHeight="1" x14ac:dyDescent="0.25">
      <c r="A55" s="24"/>
      <c r="B55" s="174"/>
      <c r="C55" s="24"/>
      <c r="D55" s="24"/>
      <c r="E55" s="24"/>
    </row>
    <row r="56" spans="1:5" ht="15.75" customHeight="1" x14ac:dyDescent="0.25">
      <c r="A56" s="24"/>
      <c r="B56" s="174"/>
      <c r="C56" s="24"/>
      <c r="D56" s="24"/>
      <c r="E56" s="24"/>
    </row>
    <row r="57" spans="1:5" ht="15.75" customHeight="1" x14ac:dyDescent="0.25">
      <c r="A57" s="24"/>
      <c r="B57" s="174"/>
      <c r="C57" s="24"/>
      <c r="D57" s="24"/>
      <c r="E57" s="24"/>
    </row>
    <row r="58" spans="1:5" ht="15.75" customHeight="1" x14ac:dyDescent="0.25">
      <c r="A58" s="24"/>
      <c r="B58" s="174"/>
      <c r="C58" s="24"/>
      <c r="D58" s="24"/>
      <c r="E58" s="24"/>
    </row>
    <row r="59" spans="1:5" ht="15.75" customHeight="1" x14ac:dyDescent="0.25">
      <c r="A59" s="24"/>
      <c r="B59" s="174"/>
      <c r="C59" s="24"/>
      <c r="D59" s="24"/>
      <c r="E59" s="24"/>
    </row>
    <row r="60" spans="1:5" ht="15.75" customHeight="1" x14ac:dyDescent="0.25">
      <c r="A60" s="24"/>
      <c r="B60" s="174"/>
      <c r="C60" s="24"/>
      <c r="D60" s="24"/>
      <c r="E60" s="24"/>
    </row>
    <row r="61" spans="1:5" ht="15.75" customHeight="1" x14ac:dyDescent="0.25">
      <c r="A61" s="24"/>
      <c r="B61" s="174"/>
      <c r="C61" s="24"/>
      <c r="D61" s="24"/>
      <c r="E61" s="24"/>
    </row>
    <row r="62" spans="1:5" ht="15.75" customHeight="1" x14ac:dyDescent="0.25">
      <c r="A62" s="24"/>
      <c r="B62" s="174"/>
      <c r="C62" s="24"/>
      <c r="D62" s="24"/>
      <c r="E62" s="24"/>
    </row>
    <row r="63" spans="1:5" ht="15.75" customHeight="1" x14ac:dyDescent="0.25">
      <c r="A63" s="24"/>
      <c r="B63" s="174"/>
      <c r="C63" s="24"/>
      <c r="D63" s="24"/>
      <c r="E63" s="24"/>
    </row>
    <row r="64" spans="1:5" ht="15.75" customHeight="1" x14ac:dyDescent="0.25">
      <c r="A64" s="24"/>
      <c r="B64" s="174"/>
      <c r="C64" s="24"/>
      <c r="D64" s="24"/>
      <c r="E64" s="24"/>
    </row>
    <row r="65" spans="1:5" ht="15.75" customHeight="1" x14ac:dyDescent="0.25">
      <c r="A65" s="24"/>
      <c r="B65" s="174"/>
      <c r="C65" s="24"/>
      <c r="D65" s="24"/>
      <c r="E65" s="24"/>
    </row>
    <row r="66" spans="1:5" ht="15.75" customHeight="1" x14ac:dyDescent="0.25">
      <c r="A66" s="24"/>
      <c r="B66" s="174"/>
      <c r="C66" s="24"/>
      <c r="D66" s="24"/>
      <c r="E66" s="24"/>
    </row>
    <row r="67" spans="1:5" ht="15.75" customHeight="1" x14ac:dyDescent="0.25">
      <c r="A67" s="24"/>
      <c r="B67" s="174"/>
      <c r="C67" s="24"/>
      <c r="D67" s="24"/>
      <c r="E67" s="24"/>
    </row>
    <row r="68" spans="1:5" ht="15.75" customHeight="1" x14ac:dyDescent="0.25">
      <c r="A68" s="24"/>
      <c r="B68" s="174"/>
      <c r="C68" s="24"/>
      <c r="D68" s="24"/>
      <c r="E68" s="24"/>
    </row>
    <row r="69" spans="1:5" ht="15.75" customHeight="1" x14ac:dyDescent="0.25">
      <c r="A69" s="24"/>
      <c r="B69" s="174"/>
      <c r="C69" s="24"/>
      <c r="D69" s="24"/>
      <c r="E69" s="24"/>
    </row>
    <row r="70" spans="1:5" ht="15.75" customHeight="1" x14ac:dyDescent="0.25">
      <c r="A70" s="24"/>
      <c r="B70" s="174"/>
      <c r="C70" s="24"/>
      <c r="D70" s="24"/>
      <c r="E70" s="24"/>
    </row>
    <row r="71" spans="1:5" ht="15.75" customHeight="1" x14ac:dyDescent="0.25">
      <c r="A71" s="24"/>
      <c r="B71" s="174"/>
      <c r="C71" s="24"/>
      <c r="D71" s="24"/>
      <c r="E71" s="24"/>
    </row>
    <row r="72" spans="1:5" ht="15.75" customHeight="1" x14ac:dyDescent="0.25">
      <c r="A72" s="24"/>
      <c r="B72" s="174"/>
      <c r="C72" s="24"/>
      <c r="D72" s="24"/>
      <c r="E72" s="24"/>
    </row>
    <row r="73" spans="1:5" ht="15.75" customHeight="1" x14ac:dyDescent="0.25">
      <c r="A73" s="24"/>
      <c r="B73" s="174"/>
      <c r="C73" s="24"/>
      <c r="D73" s="24"/>
      <c r="E73" s="24"/>
    </row>
    <row r="74" spans="1:5" ht="15.75" customHeight="1" x14ac:dyDescent="0.25">
      <c r="A74" s="24"/>
      <c r="B74" s="174"/>
      <c r="C74" s="24"/>
      <c r="D74" s="24"/>
      <c r="E74" s="24"/>
    </row>
    <row r="75" spans="1:5" ht="15.75" customHeight="1" x14ac:dyDescent="0.25">
      <c r="A75" s="24"/>
      <c r="B75" s="174"/>
      <c r="C75" s="24"/>
      <c r="D75" s="24"/>
      <c r="E75" s="24"/>
    </row>
    <row r="76" spans="1:5" ht="15.75" customHeight="1" x14ac:dyDescent="0.25">
      <c r="A76" s="24"/>
      <c r="B76" s="174"/>
      <c r="C76" s="24"/>
      <c r="D76" s="24"/>
      <c r="E76" s="24"/>
    </row>
    <row r="77" spans="1:5" ht="15.75" customHeight="1" x14ac:dyDescent="0.25">
      <c r="A77" s="24"/>
      <c r="B77" s="174"/>
      <c r="C77" s="24"/>
      <c r="D77" s="24"/>
      <c r="E77" s="24"/>
    </row>
    <row r="78" spans="1:5" ht="15.75" customHeight="1" x14ac:dyDescent="0.25">
      <c r="A78" s="24"/>
      <c r="B78" s="174"/>
      <c r="C78" s="24"/>
      <c r="D78" s="24"/>
      <c r="E78" s="24"/>
    </row>
    <row r="79" spans="1:5" ht="15.75" customHeight="1" x14ac:dyDescent="0.25">
      <c r="A79" s="24"/>
      <c r="B79" s="174"/>
      <c r="C79" s="24"/>
      <c r="D79" s="24"/>
      <c r="E79" s="24"/>
    </row>
    <row r="80" spans="1:5" ht="15.75" customHeight="1" x14ac:dyDescent="0.25">
      <c r="A80" s="24"/>
      <c r="B80" s="174"/>
      <c r="C80" s="24"/>
      <c r="D80" s="24"/>
      <c r="E80" s="24"/>
    </row>
    <row r="81" spans="1:5" ht="15.75" customHeight="1" x14ac:dyDescent="0.25">
      <c r="A81" s="24"/>
      <c r="B81" s="174"/>
      <c r="C81" s="24"/>
      <c r="D81" s="24"/>
      <c r="E81" s="24"/>
    </row>
    <row r="82" spans="1:5" ht="15.75" customHeight="1" x14ac:dyDescent="0.25">
      <c r="A82" s="24"/>
      <c r="B82" s="174"/>
      <c r="C82" s="24"/>
      <c r="D82" s="24"/>
      <c r="E82" s="24"/>
    </row>
    <row r="83" spans="1:5" ht="15.75" customHeight="1" x14ac:dyDescent="0.25">
      <c r="A83" s="24"/>
      <c r="B83" s="174"/>
      <c r="C83" s="24"/>
      <c r="D83" s="24"/>
      <c r="E83" s="24"/>
    </row>
    <row r="84" spans="1:5" ht="15.75" customHeight="1" x14ac:dyDescent="0.25">
      <c r="A84" s="24"/>
      <c r="B84" s="174"/>
      <c r="C84" s="24"/>
      <c r="D84" s="24"/>
      <c r="E84" s="24"/>
    </row>
    <row r="85" spans="1:5" ht="15.75" customHeight="1" x14ac:dyDescent="0.25">
      <c r="A85" s="24"/>
      <c r="B85" s="174"/>
      <c r="C85" s="24"/>
      <c r="D85" s="24"/>
      <c r="E85" s="24"/>
    </row>
    <row r="86" spans="1:5" ht="15.75" customHeight="1" x14ac:dyDescent="0.25">
      <c r="A86" s="24"/>
      <c r="B86" s="174"/>
      <c r="C86" s="24"/>
      <c r="D86" s="24"/>
      <c r="E86" s="24"/>
    </row>
    <row r="87" spans="1:5" ht="15.75" customHeight="1" x14ac:dyDescent="0.25">
      <c r="A87" s="24"/>
      <c r="B87" s="174"/>
      <c r="C87" s="24"/>
      <c r="D87" s="24"/>
      <c r="E87" s="24"/>
    </row>
    <row r="88" spans="1:5" ht="15.75" customHeight="1" x14ac:dyDescent="0.25">
      <c r="A88" s="24"/>
      <c r="B88" s="174"/>
      <c r="C88" s="24"/>
      <c r="D88" s="24"/>
      <c r="E88" s="24"/>
    </row>
    <row r="89" spans="1:5" ht="15.75" customHeight="1" x14ac:dyDescent="0.25">
      <c r="A89" s="24"/>
      <c r="B89" s="174"/>
      <c r="C89" s="24"/>
      <c r="D89" s="24"/>
      <c r="E89" s="24"/>
    </row>
    <row r="90" spans="1:5" ht="15.75" customHeight="1" x14ac:dyDescent="0.25">
      <c r="A90" s="24"/>
      <c r="B90" s="174"/>
      <c r="C90" s="24"/>
      <c r="D90" s="24"/>
      <c r="E90" s="24"/>
    </row>
    <row r="91" spans="1:5" ht="15.75" customHeight="1" x14ac:dyDescent="0.25">
      <c r="A91" s="24"/>
      <c r="B91" s="174"/>
      <c r="C91" s="24"/>
      <c r="D91" s="24"/>
      <c r="E91" s="24"/>
    </row>
    <row r="92" spans="1:5" ht="15.75" customHeight="1" x14ac:dyDescent="0.25">
      <c r="A92" s="24"/>
      <c r="B92" s="174"/>
      <c r="C92" s="24"/>
      <c r="D92" s="24"/>
      <c r="E92" s="24"/>
    </row>
    <row r="93" spans="1:5" ht="15.75" customHeight="1" x14ac:dyDescent="0.25">
      <c r="A93" s="24"/>
      <c r="B93" s="174"/>
      <c r="C93" s="24"/>
      <c r="D93" s="24"/>
      <c r="E93" s="24"/>
    </row>
    <row r="94" spans="1:5" ht="15.75" customHeight="1" x14ac:dyDescent="0.25">
      <c r="A94" s="24"/>
      <c r="B94" s="174"/>
      <c r="C94" s="24"/>
      <c r="D94" s="24"/>
      <c r="E94" s="24"/>
    </row>
    <row r="95" spans="1:5" ht="15.75" customHeight="1" x14ac:dyDescent="0.25">
      <c r="A95" s="24"/>
      <c r="B95" s="174"/>
      <c r="C95" s="24"/>
      <c r="D95" s="24"/>
      <c r="E95" s="24"/>
    </row>
    <row r="96" spans="1:5" ht="15.75" customHeight="1" x14ac:dyDescent="0.25">
      <c r="A96" s="24"/>
      <c r="B96" s="174"/>
      <c r="C96" s="24"/>
      <c r="D96" s="24"/>
      <c r="E96" s="24"/>
    </row>
    <row r="97" spans="1:5" ht="15.75" customHeight="1" x14ac:dyDescent="0.25">
      <c r="A97" s="24"/>
      <c r="B97" s="174"/>
      <c r="C97" s="24"/>
      <c r="D97" s="24"/>
      <c r="E97" s="24"/>
    </row>
    <row r="98" spans="1:5" ht="15.75" customHeight="1" x14ac:dyDescent="0.25">
      <c r="A98" s="24"/>
      <c r="B98" s="174"/>
      <c r="C98" s="24"/>
      <c r="D98" s="24"/>
      <c r="E98" s="24"/>
    </row>
    <row r="99" spans="1:5" ht="15.75" customHeight="1" x14ac:dyDescent="0.25">
      <c r="A99" s="24"/>
      <c r="B99" s="174"/>
      <c r="C99" s="24"/>
      <c r="D99" s="24"/>
      <c r="E99" s="24"/>
    </row>
    <row r="100" spans="1:5" ht="15.75" customHeight="1" x14ac:dyDescent="0.25">
      <c r="A100" s="24"/>
      <c r="B100" s="174"/>
      <c r="C100" s="24"/>
      <c r="D100" s="24"/>
      <c r="E100" s="24"/>
    </row>
    <row r="101" spans="1:5" ht="15.75" customHeight="1" x14ac:dyDescent="0.25">
      <c r="A101" s="24"/>
      <c r="B101" s="174"/>
      <c r="C101" s="24"/>
      <c r="D101" s="24"/>
      <c r="E101" s="24"/>
    </row>
    <row r="102" spans="1:5" ht="15.75" customHeight="1" x14ac:dyDescent="0.25">
      <c r="A102" s="24"/>
      <c r="B102" s="174"/>
      <c r="C102" s="24"/>
      <c r="D102" s="24"/>
      <c r="E102" s="24"/>
    </row>
    <row r="103" spans="1:5" ht="15.75" customHeight="1" x14ac:dyDescent="0.25">
      <c r="A103" s="24"/>
      <c r="B103" s="174"/>
      <c r="C103" s="24"/>
      <c r="D103" s="24"/>
      <c r="E103" s="24"/>
    </row>
    <row r="104" spans="1:5" ht="15.75" customHeight="1" x14ac:dyDescent="0.25">
      <c r="A104" s="24"/>
      <c r="B104" s="174"/>
      <c r="C104" s="24"/>
      <c r="D104" s="24"/>
      <c r="E104" s="24"/>
    </row>
    <row r="105" spans="1:5" ht="15.75" customHeight="1" x14ac:dyDescent="0.25">
      <c r="A105" s="24"/>
      <c r="B105" s="174"/>
      <c r="C105" s="24"/>
      <c r="D105" s="24"/>
      <c r="E105" s="24"/>
    </row>
    <row r="106" spans="1:5" ht="15.75" customHeight="1" x14ac:dyDescent="0.25">
      <c r="A106" s="24"/>
      <c r="B106" s="174"/>
      <c r="C106" s="24"/>
      <c r="D106" s="24"/>
      <c r="E106" s="24"/>
    </row>
    <row r="107" spans="1:5" ht="15.75" customHeight="1" x14ac:dyDescent="0.25">
      <c r="A107" s="24"/>
      <c r="B107" s="174"/>
      <c r="C107" s="24"/>
      <c r="D107" s="24"/>
      <c r="E107" s="24"/>
    </row>
    <row r="108" spans="1:5" ht="15.75" customHeight="1" x14ac:dyDescent="0.25">
      <c r="A108" s="24"/>
      <c r="B108" s="174"/>
      <c r="C108" s="24"/>
      <c r="D108" s="24"/>
      <c r="E108" s="24"/>
    </row>
    <row r="109" spans="1:5" ht="15.75" customHeight="1" x14ac:dyDescent="0.25">
      <c r="A109" s="24"/>
      <c r="B109" s="174"/>
      <c r="C109" s="24"/>
      <c r="D109" s="24"/>
      <c r="E109" s="24"/>
    </row>
    <row r="110" spans="1:5" ht="15.75" customHeight="1" x14ac:dyDescent="0.25">
      <c r="A110" s="24"/>
      <c r="B110" s="174"/>
      <c r="C110" s="24"/>
      <c r="D110" s="24"/>
      <c r="E110" s="24"/>
    </row>
    <row r="111" spans="1:5" ht="15.75" customHeight="1" x14ac:dyDescent="0.25">
      <c r="A111" s="24"/>
      <c r="B111" s="174"/>
      <c r="C111" s="24"/>
      <c r="D111" s="24"/>
      <c r="E111" s="24"/>
    </row>
    <row r="112" spans="1:5" ht="15.75" customHeight="1" x14ac:dyDescent="0.25">
      <c r="A112" s="24"/>
      <c r="B112" s="174"/>
      <c r="C112" s="24"/>
      <c r="D112" s="24"/>
      <c r="E112" s="24"/>
    </row>
    <row r="113" spans="1:5" ht="15.75" customHeight="1" x14ac:dyDescent="0.25">
      <c r="A113" s="24"/>
      <c r="B113" s="174"/>
      <c r="C113" s="24"/>
      <c r="D113" s="24"/>
      <c r="E113" s="24"/>
    </row>
    <row r="114" spans="1:5" ht="15.75" customHeight="1" x14ac:dyDescent="0.25">
      <c r="A114" s="24"/>
      <c r="B114" s="174"/>
      <c r="C114" s="24"/>
      <c r="D114" s="24"/>
      <c r="E114" s="24"/>
    </row>
    <row r="115" spans="1:5" ht="15.75" customHeight="1" x14ac:dyDescent="0.25">
      <c r="A115" s="24"/>
      <c r="B115" s="174"/>
      <c r="C115" s="24"/>
      <c r="D115" s="24"/>
      <c r="E115" s="24"/>
    </row>
    <row r="116" spans="1:5" ht="15.75" customHeight="1" x14ac:dyDescent="0.25">
      <c r="A116" s="24"/>
      <c r="B116" s="174"/>
      <c r="C116" s="24"/>
      <c r="D116" s="24"/>
      <c r="E116" s="24"/>
    </row>
    <row r="117" spans="1:5" ht="15.75" customHeight="1" x14ac:dyDescent="0.25">
      <c r="A117" s="24"/>
      <c r="B117" s="174"/>
      <c r="C117" s="24"/>
      <c r="D117" s="24"/>
      <c r="E117" s="24"/>
    </row>
    <row r="118" spans="1:5" ht="15.75" customHeight="1" x14ac:dyDescent="0.25">
      <c r="A118" s="24"/>
      <c r="B118" s="174"/>
      <c r="C118" s="24"/>
      <c r="D118" s="24"/>
      <c r="E118" s="24"/>
    </row>
    <row r="119" spans="1:5" ht="15.75" customHeight="1" x14ac:dyDescent="0.25">
      <c r="A119" s="24"/>
      <c r="B119" s="174"/>
      <c r="C119" s="24"/>
      <c r="D119" s="24"/>
      <c r="E119" s="24"/>
    </row>
    <row r="120" spans="1:5" ht="15.75" customHeight="1" x14ac:dyDescent="0.25">
      <c r="A120" s="24"/>
      <c r="B120" s="174"/>
      <c r="C120" s="24"/>
      <c r="D120" s="24"/>
      <c r="E120" s="24"/>
    </row>
    <row r="121" spans="1:5" ht="15.75" customHeight="1" x14ac:dyDescent="0.25">
      <c r="A121" s="24"/>
      <c r="B121" s="174"/>
      <c r="C121" s="24"/>
      <c r="D121" s="24"/>
      <c r="E121" s="24"/>
    </row>
    <row r="122" spans="1:5" ht="15.75" customHeight="1" x14ac:dyDescent="0.25">
      <c r="A122" s="24"/>
      <c r="B122" s="174"/>
      <c r="C122" s="24"/>
      <c r="D122" s="24"/>
      <c r="E122" s="24"/>
    </row>
    <row r="123" spans="1:5" ht="15.75" customHeight="1" x14ac:dyDescent="0.25">
      <c r="A123" s="24"/>
      <c r="B123" s="174"/>
      <c r="C123" s="24"/>
      <c r="D123" s="24"/>
      <c r="E123" s="24"/>
    </row>
    <row r="124" spans="1:5" ht="15.75" customHeight="1" x14ac:dyDescent="0.25">
      <c r="A124" s="24"/>
      <c r="B124" s="174"/>
      <c r="C124" s="24"/>
      <c r="D124" s="24"/>
      <c r="E124" s="24"/>
    </row>
    <row r="125" spans="1:5" ht="15.75" customHeight="1" x14ac:dyDescent="0.25">
      <c r="A125" s="24"/>
      <c r="B125" s="174"/>
      <c r="C125" s="24"/>
      <c r="D125" s="24"/>
      <c r="E125" s="24"/>
    </row>
    <row r="126" spans="1:5" ht="15.75" customHeight="1" x14ac:dyDescent="0.25">
      <c r="A126" s="24"/>
      <c r="B126" s="174"/>
      <c r="C126" s="24"/>
      <c r="D126" s="24"/>
      <c r="E126" s="24"/>
    </row>
    <row r="127" spans="1:5" ht="15.75" customHeight="1" x14ac:dyDescent="0.25">
      <c r="A127" s="24"/>
      <c r="B127" s="174"/>
      <c r="C127" s="24"/>
      <c r="D127" s="24"/>
      <c r="E127" s="24"/>
    </row>
    <row r="128" spans="1:5" ht="15.75" customHeight="1" x14ac:dyDescent="0.25">
      <c r="A128" s="24"/>
      <c r="B128" s="174"/>
      <c r="C128" s="24"/>
      <c r="D128" s="24"/>
      <c r="E128" s="24"/>
    </row>
    <row r="129" spans="1:5" ht="15.75" customHeight="1" x14ac:dyDescent="0.25">
      <c r="A129" s="24"/>
      <c r="B129" s="174"/>
      <c r="C129" s="24"/>
      <c r="D129" s="24"/>
      <c r="E129" s="24"/>
    </row>
    <row r="130" spans="1:5" ht="15.75" customHeight="1" x14ac:dyDescent="0.25">
      <c r="A130" s="24"/>
      <c r="B130" s="174"/>
      <c r="C130" s="24"/>
      <c r="D130" s="24"/>
      <c r="E130" s="24"/>
    </row>
    <row r="131" spans="1:5" ht="15.75" customHeight="1" x14ac:dyDescent="0.25">
      <c r="A131" s="24"/>
      <c r="B131" s="174"/>
      <c r="C131" s="24"/>
      <c r="D131" s="24"/>
      <c r="E131" s="24"/>
    </row>
    <row r="132" spans="1:5" ht="15.75" customHeight="1" x14ac:dyDescent="0.25">
      <c r="A132" s="24"/>
      <c r="B132" s="174"/>
      <c r="C132" s="24"/>
      <c r="D132" s="24"/>
      <c r="E132" s="24"/>
    </row>
    <row r="133" spans="1:5" ht="15.75" customHeight="1" x14ac:dyDescent="0.25">
      <c r="A133" s="24"/>
      <c r="B133" s="174"/>
      <c r="C133" s="24"/>
      <c r="D133" s="24"/>
      <c r="E133" s="24"/>
    </row>
    <row r="134" spans="1:5" ht="15.75" customHeight="1" x14ac:dyDescent="0.25">
      <c r="A134" s="24"/>
      <c r="B134" s="174"/>
      <c r="C134" s="24"/>
      <c r="D134" s="24"/>
      <c r="E134" s="24"/>
    </row>
    <row r="135" spans="1:5" ht="15.75" customHeight="1" x14ac:dyDescent="0.25">
      <c r="A135" s="24"/>
      <c r="B135" s="174"/>
      <c r="C135" s="24"/>
      <c r="D135" s="24"/>
      <c r="E135" s="24"/>
    </row>
    <row r="136" spans="1:5" ht="15.75" customHeight="1" x14ac:dyDescent="0.25">
      <c r="A136" s="24"/>
      <c r="B136" s="174"/>
      <c r="C136" s="24"/>
      <c r="D136" s="24"/>
      <c r="E136" s="24"/>
    </row>
    <row r="137" spans="1:5" ht="15.75" customHeight="1" x14ac:dyDescent="0.25">
      <c r="A137" s="24"/>
      <c r="B137" s="174"/>
      <c r="C137" s="24"/>
      <c r="D137" s="24"/>
      <c r="E137" s="24"/>
    </row>
    <row r="138" spans="1:5" ht="15.75" customHeight="1" x14ac:dyDescent="0.25">
      <c r="A138" s="24"/>
      <c r="B138" s="174"/>
      <c r="C138" s="24"/>
      <c r="D138" s="24"/>
      <c r="E138" s="24"/>
    </row>
    <row r="139" spans="1:5" ht="15.75" customHeight="1" x14ac:dyDescent="0.25">
      <c r="A139" s="24"/>
      <c r="B139" s="174"/>
      <c r="C139" s="24"/>
      <c r="D139" s="24"/>
      <c r="E139" s="24"/>
    </row>
    <row r="140" spans="1:5" ht="15.75" customHeight="1" x14ac:dyDescent="0.25">
      <c r="A140" s="24"/>
      <c r="B140" s="174"/>
      <c r="C140" s="24"/>
      <c r="D140" s="24"/>
      <c r="E140" s="24"/>
    </row>
    <row r="141" spans="1:5" ht="15.75" customHeight="1" x14ac:dyDescent="0.25">
      <c r="A141" s="24"/>
      <c r="B141" s="174"/>
      <c r="C141" s="24"/>
      <c r="D141" s="24"/>
      <c r="E141" s="24"/>
    </row>
    <row r="142" spans="1:5" ht="15.75" customHeight="1" x14ac:dyDescent="0.25">
      <c r="A142" s="24"/>
      <c r="B142" s="174"/>
      <c r="C142" s="24"/>
      <c r="D142" s="24"/>
      <c r="E142" s="24"/>
    </row>
    <row r="143" spans="1:5" ht="15.75" customHeight="1" x14ac:dyDescent="0.25">
      <c r="A143" s="24"/>
      <c r="B143" s="174"/>
      <c r="C143" s="24"/>
      <c r="D143" s="24"/>
      <c r="E143" s="24"/>
    </row>
    <row r="144" spans="1:5" ht="15.75" customHeight="1" x14ac:dyDescent="0.25">
      <c r="A144" s="24"/>
      <c r="B144" s="174"/>
      <c r="C144" s="24"/>
      <c r="D144" s="24"/>
      <c r="E144" s="24"/>
    </row>
    <row r="145" spans="1:5" ht="15.75" customHeight="1" x14ac:dyDescent="0.25">
      <c r="A145" s="24"/>
      <c r="B145" s="174"/>
      <c r="C145" s="24"/>
      <c r="D145" s="24"/>
      <c r="E145" s="24"/>
    </row>
    <row r="146" spans="1:5" ht="15.75" customHeight="1" x14ac:dyDescent="0.25">
      <c r="A146" s="24"/>
      <c r="B146" s="174"/>
      <c r="C146" s="24"/>
      <c r="D146" s="24"/>
      <c r="E146" s="24"/>
    </row>
    <row r="147" spans="1:5" ht="15.75" customHeight="1" x14ac:dyDescent="0.25">
      <c r="A147" s="24"/>
      <c r="B147" s="174"/>
      <c r="C147" s="24"/>
      <c r="D147" s="24"/>
      <c r="E147" s="24"/>
    </row>
    <row r="148" spans="1:5" ht="15.75" customHeight="1" x14ac:dyDescent="0.25">
      <c r="A148" s="24"/>
      <c r="B148" s="174"/>
      <c r="C148" s="24"/>
      <c r="D148" s="24"/>
      <c r="E148" s="24"/>
    </row>
    <row r="149" spans="1:5" ht="15.75" customHeight="1" x14ac:dyDescent="0.25">
      <c r="A149" s="24"/>
      <c r="B149" s="174"/>
      <c r="C149" s="24"/>
      <c r="D149" s="24"/>
      <c r="E149" s="24"/>
    </row>
    <row r="150" spans="1:5" ht="15.75" customHeight="1" x14ac:dyDescent="0.25">
      <c r="A150" s="24"/>
      <c r="B150" s="174"/>
      <c r="C150" s="24"/>
      <c r="D150" s="24"/>
      <c r="E150" s="24"/>
    </row>
    <row r="151" spans="1:5" ht="15.75" customHeight="1" x14ac:dyDescent="0.25">
      <c r="A151" s="24"/>
      <c r="B151" s="174"/>
      <c r="C151" s="24"/>
      <c r="D151" s="24"/>
      <c r="E151" s="24"/>
    </row>
    <row r="152" spans="1:5" ht="15.75" customHeight="1" x14ac:dyDescent="0.25">
      <c r="A152" s="24"/>
      <c r="B152" s="174"/>
      <c r="C152" s="24"/>
      <c r="D152" s="24"/>
      <c r="E152" s="24"/>
    </row>
    <row r="153" spans="1:5" ht="15.75" customHeight="1" x14ac:dyDescent="0.25">
      <c r="A153" s="24"/>
      <c r="B153" s="174"/>
      <c r="C153" s="24"/>
      <c r="D153" s="24"/>
      <c r="E153" s="24"/>
    </row>
    <row r="154" spans="1:5" ht="15.75" customHeight="1" x14ac:dyDescent="0.25">
      <c r="A154" s="24"/>
      <c r="B154" s="174"/>
      <c r="C154" s="24"/>
      <c r="D154" s="24"/>
      <c r="E154" s="24"/>
    </row>
    <row r="155" spans="1:5" ht="15.75" customHeight="1" x14ac:dyDescent="0.25">
      <c r="A155" s="24"/>
      <c r="B155" s="174"/>
      <c r="C155" s="24"/>
      <c r="D155" s="24"/>
      <c r="E155" s="24"/>
    </row>
    <row r="156" spans="1:5" ht="15.75" customHeight="1" x14ac:dyDescent="0.25">
      <c r="A156" s="24"/>
      <c r="B156" s="174"/>
      <c r="C156" s="24"/>
      <c r="D156" s="24"/>
      <c r="E156" s="24"/>
    </row>
    <row r="157" spans="1:5" ht="15.75" customHeight="1" x14ac:dyDescent="0.25">
      <c r="A157" s="24"/>
      <c r="B157" s="174"/>
      <c r="C157" s="24"/>
      <c r="D157" s="24"/>
      <c r="E157" s="24"/>
    </row>
    <row r="158" spans="1:5" ht="15.75" customHeight="1" x14ac:dyDescent="0.25">
      <c r="A158" s="24"/>
      <c r="B158" s="174"/>
      <c r="C158" s="24"/>
      <c r="D158" s="24"/>
      <c r="E158" s="24"/>
    </row>
    <row r="159" spans="1:5" ht="15.75" customHeight="1" x14ac:dyDescent="0.25">
      <c r="A159" s="24"/>
      <c r="B159" s="174"/>
      <c r="C159" s="24"/>
      <c r="D159" s="24"/>
      <c r="E159" s="24"/>
    </row>
    <row r="160" spans="1:5" ht="15.75" customHeight="1" x14ac:dyDescent="0.25">
      <c r="A160" s="24"/>
      <c r="B160" s="174"/>
      <c r="C160" s="24"/>
      <c r="D160" s="24"/>
      <c r="E160" s="24"/>
    </row>
    <row r="161" spans="1:5" ht="15.75" customHeight="1" x14ac:dyDescent="0.25">
      <c r="A161" s="24"/>
      <c r="B161" s="174"/>
      <c r="C161" s="24"/>
      <c r="D161" s="24"/>
      <c r="E161" s="24"/>
    </row>
    <row r="162" spans="1:5" ht="15.75" customHeight="1" x14ac:dyDescent="0.25">
      <c r="A162" s="24"/>
      <c r="B162" s="174"/>
      <c r="C162" s="24"/>
      <c r="D162" s="24"/>
      <c r="E162" s="24"/>
    </row>
    <row r="163" spans="1:5" ht="15.75" customHeight="1" x14ac:dyDescent="0.25">
      <c r="A163" s="24"/>
      <c r="B163" s="174"/>
      <c r="C163" s="24"/>
      <c r="D163" s="24"/>
      <c r="E163" s="24"/>
    </row>
    <row r="164" spans="1:5" ht="15.75" customHeight="1" x14ac:dyDescent="0.25">
      <c r="A164" s="24"/>
      <c r="B164" s="174"/>
      <c r="C164" s="24"/>
      <c r="D164" s="24"/>
      <c r="E164" s="24"/>
    </row>
    <row r="165" spans="1:5" ht="15.75" customHeight="1" x14ac:dyDescent="0.25">
      <c r="A165" s="24"/>
      <c r="B165" s="174"/>
      <c r="C165" s="24"/>
      <c r="D165" s="24"/>
      <c r="E165" s="24"/>
    </row>
    <row r="166" spans="1:5" ht="15.75" customHeight="1" x14ac:dyDescent="0.25">
      <c r="A166" s="24"/>
      <c r="B166" s="174"/>
      <c r="C166" s="24"/>
      <c r="D166" s="24"/>
      <c r="E166" s="24"/>
    </row>
    <row r="167" spans="1:5" ht="15.75" customHeight="1" x14ac:dyDescent="0.25">
      <c r="A167" s="24"/>
      <c r="B167" s="174"/>
      <c r="C167" s="24"/>
      <c r="D167" s="24"/>
      <c r="E167" s="24"/>
    </row>
    <row r="168" spans="1:5" ht="15.75" customHeight="1" x14ac:dyDescent="0.25">
      <c r="A168" s="24"/>
      <c r="B168" s="174"/>
      <c r="C168" s="24"/>
      <c r="D168" s="24"/>
      <c r="E168" s="24"/>
    </row>
    <row r="169" spans="1:5" ht="15.75" customHeight="1" x14ac:dyDescent="0.25">
      <c r="A169" s="24"/>
      <c r="B169" s="174"/>
      <c r="C169" s="24"/>
      <c r="D169" s="24"/>
      <c r="E169" s="24"/>
    </row>
    <row r="170" spans="1:5" ht="15.75" customHeight="1" x14ac:dyDescent="0.25">
      <c r="A170" s="24"/>
      <c r="B170" s="174"/>
      <c r="C170" s="24"/>
      <c r="D170" s="24"/>
      <c r="E170" s="24"/>
    </row>
    <row r="171" spans="1:5" ht="15.75" customHeight="1" x14ac:dyDescent="0.25">
      <c r="A171" s="24"/>
      <c r="B171" s="174"/>
      <c r="C171" s="24"/>
      <c r="D171" s="24"/>
      <c r="E171" s="24"/>
    </row>
    <row r="172" spans="1:5" ht="15.75" customHeight="1" x14ac:dyDescent="0.25">
      <c r="A172" s="24"/>
      <c r="B172" s="174"/>
      <c r="C172" s="24"/>
      <c r="D172" s="24"/>
      <c r="E172" s="24"/>
    </row>
    <row r="173" spans="1:5" ht="15.75" customHeight="1" x14ac:dyDescent="0.25">
      <c r="A173" s="24"/>
      <c r="B173" s="174"/>
      <c r="C173" s="24"/>
      <c r="D173" s="24"/>
      <c r="E173" s="24"/>
    </row>
    <row r="174" spans="1:5" ht="15.75" customHeight="1" x14ac:dyDescent="0.25">
      <c r="A174" s="24"/>
      <c r="B174" s="174"/>
      <c r="C174" s="24"/>
      <c r="D174" s="24"/>
      <c r="E174" s="24"/>
    </row>
    <row r="175" spans="1:5" ht="15.75" customHeight="1" x14ac:dyDescent="0.25">
      <c r="A175" s="24"/>
      <c r="B175" s="174"/>
      <c r="C175" s="24"/>
      <c r="D175" s="24"/>
      <c r="E175" s="24"/>
    </row>
    <row r="176" spans="1:5" ht="15.75" customHeight="1" x14ac:dyDescent="0.25">
      <c r="A176" s="24"/>
      <c r="B176" s="174"/>
      <c r="C176" s="24"/>
      <c r="D176" s="24"/>
      <c r="E176" s="24"/>
    </row>
    <row r="177" spans="1:5" ht="15.75" customHeight="1" x14ac:dyDescent="0.25">
      <c r="A177" s="24"/>
      <c r="B177" s="174"/>
      <c r="C177" s="24"/>
      <c r="D177" s="24"/>
      <c r="E177" s="24"/>
    </row>
    <row r="178" spans="1:5" ht="15.75" customHeight="1" x14ac:dyDescent="0.25">
      <c r="A178" s="24"/>
      <c r="B178" s="174"/>
      <c r="C178" s="24"/>
      <c r="D178" s="24"/>
      <c r="E178" s="24"/>
    </row>
    <row r="179" spans="1:5" ht="15.75" customHeight="1" x14ac:dyDescent="0.25">
      <c r="A179" s="24"/>
      <c r="B179" s="174"/>
      <c r="C179" s="24"/>
      <c r="D179" s="24"/>
      <c r="E179" s="24"/>
    </row>
    <row r="180" spans="1:5" ht="15.75" customHeight="1" x14ac:dyDescent="0.25">
      <c r="A180" s="24"/>
      <c r="B180" s="174"/>
      <c r="C180" s="24"/>
      <c r="D180" s="24"/>
      <c r="E180" s="24"/>
    </row>
    <row r="181" spans="1:5" ht="15.75" customHeight="1" x14ac:dyDescent="0.25">
      <c r="A181" s="24"/>
      <c r="B181" s="174"/>
      <c r="C181" s="24"/>
      <c r="D181" s="24"/>
      <c r="E181" s="24"/>
    </row>
    <row r="182" spans="1:5" ht="15.75" customHeight="1" x14ac:dyDescent="0.25">
      <c r="A182" s="24"/>
      <c r="B182" s="174"/>
      <c r="C182" s="24"/>
      <c r="D182" s="24"/>
      <c r="E182" s="24"/>
    </row>
    <row r="183" spans="1:5" ht="15.75" customHeight="1" x14ac:dyDescent="0.25">
      <c r="A183" s="24"/>
      <c r="B183" s="174"/>
      <c r="C183" s="24"/>
      <c r="D183" s="24"/>
      <c r="E183" s="24"/>
    </row>
    <row r="184" spans="1:5" ht="15.75" customHeight="1" x14ac:dyDescent="0.25">
      <c r="A184" s="24"/>
      <c r="B184" s="174"/>
      <c r="C184" s="24"/>
      <c r="D184" s="24"/>
      <c r="E184" s="24"/>
    </row>
    <row r="185" spans="1:5" ht="15.75" customHeight="1" x14ac:dyDescent="0.25">
      <c r="A185" s="24"/>
      <c r="B185" s="174"/>
      <c r="C185" s="24"/>
      <c r="D185" s="24"/>
      <c r="E185" s="24"/>
    </row>
    <row r="186" spans="1:5" ht="15.75" customHeight="1" x14ac:dyDescent="0.25">
      <c r="A186" s="24"/>
      <c r="B186" s="174"/>
      <c r="C186" s="24"/>
      <c r="D186" s="24"/>
      <c r="E186" s="24"/>
    </row>
    <row r="187" spans="1:5" ht="15.75" customHeight="1" x14ac:dyDescent="0.25">
      <c r="A187" s="24"/>
      <c r="B187" s="174"/>
      <c r="C187" s="24"/>
      <c r="D187" s="24"/>
      <c r="E187" s="24"/>
    </row>
    <row r="188" spans="1:5" ht="15.75" customHeight="1" x14ac:dyDescent="0.25">
      <c r="A188" s="24"/>
      <c r="B188" s="174"/>
      <c r="C188" s="24"/>
      <c r="D188" s="24"/>
      <c r="E188" s="24"/>
    </row>
    <row r="189" spans="1:5" ht="15.75" customHeight="1" x14ac:dyDescent="0.25">
      <c r="A189" s="24"/>
      <c r="B189" s="174"/>
      <c r="C189" s="24"/>
      <c r="D189" s="24"/>
      <c r="E189" s="24"/>
    </row>
    <row r="190" spans="1:5" ht="15.75" customHeight="1" x14ac:dyDescent="0.25">
      <c r="A190" s="24"/>
      <c r="B190" s="174"/>
      <c r="C190" s="24"/>
      <c r="D190" s="24"/>
      <c r="E190" s="24"/>
    </row>
    <row r="191" spans="1:5" ht="15.75" customHeight="1" x14ac:dyDescent="0.25">
      <c r="A191" s="24"/>
      <c r="B191" s="174"/>
      <c r="C191" s="24"/>
      <c r="D191" s="24"/>
      <c r="E191" s="24"/>
    </row>
    <row r="192" spans="1:5" ht="15.75" customHeight="1" x14ac:dyDescent="0.25">
      <c r="A192" s="24"/>
      <c r="B192" s="174"/>
      <c r="C192" s="24"/>
      <c r="D192" s="24"/>
      <c r="E192" s="24"/>
    </row>
    <row r="193" spans="1:5" ht="15.75" customHeight="1" x14ac:dyDescent="0.25">
      <c r="A193" s="24"/>
      <c r="B193" s="174"/>
      <c r="C193" s="24"/>
      <c r="D193" s="24"/>
      <c r="E193" s="24"/>
    </row>
    <row r="194" spans="1:5" ht="15.75" customHeight="1" x14ac:dyDescent="0.25">
      <c r="A194" s="24"/>
      <c r="B194" s="174"/>
      <c r="C194" s="24"/>
      <c r="D194" s="24"/>
      <c r="E194" s="24"/>
    </row>
    <row r="195" spans="1:5" ht="15.75" customHeight="1" x14ac:dyDescent="0.25">
      <c r="A195" s="24"/>
      <c r="B195" s="174"/>
      <c r="C195" s="24"/>
      <c r="D195" s="24"/>
      <c r="E195" s="24"/>
    </row>
    <row r="196" spans="1:5" ht="15.75" customHeight="1" x14ac:dyDescent="0.25">
      <c r="A196" s="24"/>
      <c r="B196" s="174"/>
      <c r="C196" s="24"/>
      <c r="D196" s="24"/>
      <c r="E196" s="24"/>
    </row>
    <row r="197" spans="1:5" ht="15.75" customHeight="1" x14ac:dyDescent="0.25">
      <c r="A197" s="24"/>
      <c r="B197" s="174"/>
      <c r="C197" s="24"/>
      <c r="D197" s="24"/>
      <c r="E197" s="24"/>
    </row>
    <row r="198" spans="1:5" ht="15.75" customHeight="1" x14ac:dyDescent="0.25">
      <c r="A198" s="24"/>
      <c r="B198" s="174"/>
      <c r="C198" s="24"/>
      <c r="D198" s="24"/>
      <c r="E198" s="24"/>
    </row>
    <row r="199" spans="1:5" ht="15.75" customHeight="1" x14ac:dyDescent="0.25">
      <c r="A199" s="24"/>
      <c r="B199" s="174"/>
      <c r="C199" s="24"/>
      <c r="D199" s="24"/>
      <c r="E199" s="24"/>
    </row>
    <row r="200" spans="1:5" ht="15.75" customHeight="1" x14ac:dyDescent="0.25">
      <c r="A200" s="24"/>
      <c r="B200" s="174"/>
      <c r="C200" s="24"/>
      <c r="D200" s="24"/>
      <c r="E200" s="24"/>
    </row>
    <row r="201" spans="1:5" ht="15.75" customHeight="1" x14ac:dyDescent="0.25">
      <c r="A201" s="24"/>
      <c r="B201" s="174"/>
      <c r="C201" s="24"/>
      <c r="D201" s="24"/>
      <c r="E201" s="24"/>
    </row>
    <row r="202" spans="1:5" ht="15.75" customHeight="1" x14ac:dyDescent="0.25">
      <c r="A202" s="24"/>
      <c r="B202" s="174"/>
      <c r="C202" s="24"/>
      <c r="D202" s="24"/>
      <c r="E202" s="24"/>
    </row>
    <row r="203" spans="1:5" ht="15.75" customHeight="1" x14ac:dyDescent="0.25">
      <c r="A203" s="24"/>
      <c r="B203" s="174"/>
      <c r="C203" s="24"/>
      <c r="D203" s="24"/>
      <c r="E203" s="24"/>
    </row>
    <row r="204" spans="1:5" ht="15.75" customHeight="1" x14ac:dyDescent="0.25">
      <c r="A204" s="24"/>
      <c r="B204" s="174"/>
      <c r="C204" s="24"/>
      <c r="D204" s="24"/>
      <c r="E204" s="24"/>
    </row>
    <row r="205" spans="1:5" ht="15.75" customHeight="1" x14ac:dyDescent="0.25">
      <c r="A205" s="24"/>
      <c r="B205" s="174"/>
      <c r="C205" s="24"/>
      <c r="D205" s="24"/>
      <c r="E205" s="24"/>
    </row>
    <row r="206" spans="1:5" ht="15.75" customHeight="1" x14ac:dyDescent="0.25">
      <c r="A206" s="24"/>
      <c r="B206" s="174"/>
      <c r="C206" s="24"/>
      <c r="D206" s="24"/>
      <c r="E206" s="24"/>
    </row>
    <row r="207" spans="1:5" ht="15.75" customHeight="1" x14ac:dyDescent="0.25">
      <c r="A207" s="24"/>
      <c r="B207" s="174"/>
      <c r="C207" s="24"/>
      <c r="D207" s="24"/>
      <c r="E207" s="24"/>
    </row>
    <row r="208" spans="1:5" ht="15.75" customHeight="1" x14ac:dyDescent="0.25">
      <c r="A208" s="24"/>
      <c r="B208" s="174"/>
      <c r="C208" s="24"/>
      <c r="D208" s="24"/>
      <c r="E208" s="24"/>
    </row>
    <row r="209" spans="1:5" ht="15.75" customHeight="1" x14ac:dyDescent="0.25">
      <c r="A209" s="24"/>
      <c r="B209" s="174"/>
      <c r="C209" s="24"/>
      <c r="D209" s="24"/>
      <c r="E209" s="24"/>
    </row>
    <row r="210" spans="1:5" ht="15.75" customHeight="1" x14ac:dyDescent="0.25">
      <c r="A210" s="24"/>
      <c r="B210" s="174"/>
      <c r="C210" s="24"/>
      <c r="D210" s="24"/>
      <c r="E210" s="24"/>
    </row>
    <row r="211" spans="1:5" ht="15.75" customHeight="1" x14ac:dyDescent="0.25">
      <c r="A211" s="24"/>
      <c r="B211" s="174"/>
      <c r="C211" s="24"/>
      <c r="D211" s="24"/>
      <c r="E211" s="24"/>
    </row>
    <row r="212" spans="1:5" ht="15.75" customHeight="1" x14ac:dyDescent="0.25">
      <c r="A212" s="24"/>
      <c r="B212" s="174"/>
      <c r="C212" s="24"/>
      <c r="D212" s="24"/>
      <c r="E212" s="24"/>
    </row>
    <row r="213" spans="1:5" ht="15.75" customHeight="1" x14ac:dyDescent="0.25">
      <c r="A213" s="24"/>
      <c r="B213" s="174"/>
      <c r="C213" s="24"/>
      <c r="D213" s="24"/>
      <c r="E213" s="24"/>
    </row>
    <row r="214" spans="1:5" ht="15.75" customHeight="1" x14ac:dyDescent="0.25">
      <c r="A214" s="24"/>
      <c r="B214" s="174"/>
      <c r="C214" s="24"/>
      <c r="D214" s="24"/>
      <c r="E214" s="24"/>
    </row>
    <row r="215" spans="1:5" ht="15.75" customHeight="1" x14ac:dyDescent="0.25">
      <c r="A215" s="24"/>
      <c r="B215" s="174"/>
      <c r="C215" s="24"/>
      <c r="D215" s="24"/>
      <c r="E215" s="24"/>
    </row>
    <row r="216" spans="1:5" ht="15.75" customHeight="1" x14ac:dyDescent="0.25">
      <c r="A216" s="24"/>
      <c r="B216" s="174"/>
      <c r="C216" s="24"/>
      <c r="D216" s="24"/>
      <c r="E216" s="24"/>
    </row>
    <row r="217" spans="1:5" ht="15.75" customHeight="1" x14ac:dyDescent="0.25">
      <c r="A217" s="24"/>
      <c r="B217" s="174"/>
      <c r="C217" s="24"/>
      <c r="D217" s="24"/>
      <c r="E217" s="24"/>
    </row>
    <row r="218" spans="1:5" ht="15.75" customHeight="1" x14ac:dyDescent="0.25">
      <c r="A218" s="24"/>
      <c r="B218" s="174"/>
      <c r="C218" s="24"/>
      <c r="D218" s="24"/>
      <c r="E218" s="24"/>
    </row>
    <row r="219" spans="1:5" ht="15.75" customHeight="1" x14ac:dyDescent="0.25">
      <c r="A219" s="24"/>
      <c r="B219" s="174"/>
      <c r="C219" s="24"/>
      <c r="D219" s="24"/>
      <c r="E219" s="24"/>
    </row>
    <row r="220" spans="1:5" ht="15.75" customHeight="1" x14ac:dyDescent="0.25">
      <c r="A220" s="24"/>
      <c r="B220" s="174"/>
      <c r="C220" s="24"/>
      <c r="D220" s="24"/>
      <c r="E220" s="24"/>
    </row>
    <row r="221" spans="1:5" ht="15.75" customHeight="1" x14ac:dyDescent="0.25">
      <c r="A221" s="24"/>
      <c r="B221" s="174"/>
      <c r="C221" s="24"/>
      <c r="D221" s="24"/>
      <c r="E221" s="24"/>
    </row>
    <row r="222" spans="1:5" ht="15.75" customHeight="1" x14ac:dyDescent="0.25">
      <c r="A222" s="24"/>
      <c r="B222" s="174"/>
      <c r="C222" s="24"/>
      <c r="D222" s="24"/>
      <c r="E222" s="24"/>
    </row>
    <row r="223" spans="1:5" ht="15.75" customHeight="1" x14ac:dyDescent="0.25">
      <c r="A223" s="24"/>
      <c r="B223" s="174"/>
      <c r="C223" s="24"/>
      <c r="D223" s="24"/>
      <c r="E223" s="24"/>
    </row>
    <row r="224" spans="1:5" ht="15.75" customHeight="1" x14ac:dyDescent="0.25">
      <c r="A224" s="24"/>
      <c r="B224" s="174"/>
      <c r="C224" s="24"/>
      <c r="D224" s="24"/>
      <c r="E224" s="24"/>
    </row>
    <row r="225" spans="1:5" ht="15.75" customHeight="1" x14ac:dyDescent="0.25">
      <c r="A225" s="24"/>
      <c r="B225" s="174"/>
      <c r="C225" s="24"/>
      <c r="D225" s="24"/>
      <c r="E225" s="24"/>
    </row>
    <row r="226" spans="1:5" ht="15.75" customHeight="1" x14ac:dyDescent="0.25">
      <c r="A226" s="24"/>
      <c r="B226" s="174"/>
      <c r="C226" s="24"/>
      <c r="D226" s="24"/>
      <c r="E226" s="24"/>
    </row>
    <row r="227" spans="1:5" ht="15.75" customHeight="1" x14ac:dyDescent="0.25">
      <c r="A227" s="24"/>
      <c r="B227" s="174"/>
      <c r="C227" s="24"/>
      <c r="D227" s="24"/>
      <c r="E227" s="24"/>
    </row>
    <row r="228" spans="1:5" ht="15.75" customHeight="1" x14ac:dyDescent="0.25">
      <c r="A228" s="24"/>
      <c r="B228" s="174"/>
      <c r="C228" s="24"/>
      <c r="D228" s="24"/>
      <c r="E228" s="24"/>
    </row>
    <row r="229" spans="1:5" ht="15.75" customHeight="1" x14ac:dyDescent="0.25">
      <c r="A229" s="24"/>
      <c r="B229" s="174"/>
      <c r="C229" s="24"/>
      <c r="D229" s="24"/>
      <c r="E229" s="24"/>
    </row>
    <row r="230" spans="1:5" ht="15.75" customHeight="1" x14ac:dyDescent="0.25">
      <c r="A230" s="24"/>
      <c r="B230" s="174"/>
      <c r="C230" s="24"/>
      <c r="D230" s="24"/>
      <c r="E230" s="24"/>
    </row>
    <row r="231" spans="1:5" ht="15.75" customHeight="1" x14ac:dyDescent="0.25">
      <c r="A231" s="24"/>
      <c r="B231" s="174"/>
      <c r="C231" s="24"/>
      <c r="D231" s="24"/>
      <c r="E231" s="24"/>
    </row>
    <row r="232" spans="1:5" ht="15.75" customHeight="1" x14ac:dyDescent="0.25">
      <c r="A232" s="24"/>
      <c r="B232" s="174"/>
      <c r="C232" s="24"/>
      <c r="D232" s="24"/>
      <c r="E232" s="24"/>
    </row>
    <row r="233" spans="1:5" ht="15.75" customHeight="1" x14ac:dyDescent="0.25">
      <c r="A233" s="24"/>
      <c r="B233" s="174"/>
      <c r="C233" s="24"/>
      <c r="D233" s="24"/>
      <c r="E233" s="24"/>
    </row>
    <row r="234" spans="1:5" ht="15.75" customHeight="1" x14ac:dyDescent="0.25">
      <c r="A234" s="24"/>
      <c r="B234" s="174"/>
      <c r="C234" s="24"/>
      <c r="D234" s="24"/>
      <c r="E234" s="24"/>
    </row>
    <row r="235" spans="1:5" ht="15.75" customHeight="1" x14ac:dyDescent="0.25"/>
    <row r="236" spans="1:5" ht="15.75" customHeight="1" x14ac:dyDescent="0.25"/>
    <row r="237" spans="1:5" ht="15.75" customHeight="1" x14ac:dyDescent="0.25"/>
    <row r="238" spans="1:5" ht="15.75" customHeight="1" x14ac:dyDescent="0.25"/>
    <row r="239" spans="1:5" ht="15.75" customHeight="1" x14ac:dyDescent="0.25"/>
    <row r="240" spans="1: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1"/>
  <sheetViews>
    <sheetView view="pageBreakPreview" zoomScale="130" zoomScaleNormal="100" zoomScaleSheetLayoutView="130" workbookViewId="0">
      <selection activeCell="A13" sqref="A13"/>
    </sheetView>
  </sheetViews>
  <sheetFormatPr defaultColWidth="14.42578125" defaultRowHeight="15" customHeight="1" x14ac:dyDescent="0.25"/>
  <cols>
    <col min="1" max="1" width="69" customWidth="1"/>
    <col min="2" max="2" width="16.5703125" customWidth="1"/>
    <col min="3" max="6" width="18.85546875" hidden="1" customWidth="1"/>
    <col min="7" max="7" width="18.85546875" customWidth="1"/>
    <col min="8" max="8" width="10.28515625" customWidth="1"/>
    <col min="9" max="9" width="10.7109375" customWidth="1"/>
    <col min="10" max="10" width="11.85546875" customWidth="1"/>
    <col min="11" max="11" width="12" customWidth="1"/>
    <col min="12" max="12" width="11.5703125" customWidth="1"/>
    <col min="13" max="13" width="13.140625" customWidth="1"/>
    <col min="14"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1554</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 customHeight="1" x14ac:dyDescent="0.25">
      <c r="A13" s="17" t="s">
        <v>364</v>
      </c>
      <c r="B13" s="172"/>
      <c r="C13" s="42"/>
      <c r="D13" s="42"/>
      <c r="E13" s="42"/>
      <c r="F13" s="42"/>
      <c r="G13" s="42"/>
      <c r="K13" s="7"/>
    </row>
    <row r="14" spans="1:26" ht="15" customHeight="1" x14ac:dyDescent="0.25">
      <c r="A14" s="42" t="s">
        <v>1463</v>
      </c>
      <c r="B14" s="172"/>
      <c r="C14" s="43"/>
      <c r="D14" s="43"/>
      <c r="E14" s="43"/>
      <c r="F14" s="43"/>
      <c r="G14" s="43"/>
      <c r="K14" s="7"/>
    </row>
    <row r="15" spans="1:26" ht="15" customHeight="1" x14ac:dyDescent="0.25">
      <c r="A15" s="17" t="s">
        <v>642</v>
      </c>
      <c r="B15" s="172"/>
      <c r="C15" s="43"/>
      <c r="D15" s="43"/>
      <c r="E15" s="43"/>
      <c r="F15" s="43"/>
      <c r="G15" s="43"/>
      <c r="K15" s="7"/>
    </row>
    <row r="16" spans="1:26" ht="15" customHeight="1" x14ac:dyDescent="0.25">
      <c r="A16" s="44" t="s">
        <v>393</v>
      </c>
      <c r="B16" s="41" t="s">
        <v>187</v>
      </c>
      <c r="C16" s="43">
        <v>117326.36</v>
      </c>
      <c r="D16" s="43">
        <v>20850</v>
      </c>
      <c r="E16" s="43">
        <f>+F16-D16</f>
        <v>186500</v>
      </c>
      <c r="F16" s="43">
        <v>207350</v>
      </c>
      <c r="G16" s="43">
        <v>207350</v>
      </c>
      <c r="H16" s="15"/>
      <c r="I16" s="15"/>
      <c r="J16" s="15"/>
      <c r="K16" s="14"/>
      <c r="L16" s="15"/>
      <c r="M16" s="15"/>
      <c r="N16" s="15"/>
      <c r="O16" s="15"/>
      <c r="P16" s="15"/>
      <c r="Q16" s="15"/>
      <c r="R16" s="15"/>
      <c r="S16" s="15"/>
      <c r="T16" s="15"/>
      <c r="U16" s="15"/>
      <c r="V16" s="15"/>
      <c r="W16" s="15"/>
      <c r="X16" s="15"/>
      <c r="Y16" s="15"/>
      <c r="Z16" s="15"/>
    </row>
    <row r="17" spans="1:26" ht="15" customHeight="1" x14ac:dyDescent="0.25">
      <c r="A17" s="17" t="s">
        <v>493</v>
      </c>
      <c r="B17" s="41"/>
      <c r="C17" s="43"/>
      <c r="D17" s="43"/>
      <c r="E17" s="43"/>
      <c r="F17" s="43"/>
      <c r="G17" s="43"/>
      <c r="H17" s="15"/>
      <c r="I17" s="15"/>
      <c r="J17" s="15"/>
      <c r="K17" s="14"/>
      <c r="L17" s="15"/>
      <c r="M17" s="15"/>
      <c r="N17" s="15"/>
      <c r="O17" s="15"/>
      <c r="P17" s="15"/>
      <c r="Q17" s="15"/>
      <c r="R17" s="15"/>
      <c r="S17" s="15"/>
      <c r="T17" s="15"/>
      <c r="U17" s="15"/>
      <c r="V17" s="15"/>
      <c r="W17" s="15"/>
      <c r="X17" s="15"/>
      <c r="Y17" s="15"/>
      <c r="Z17" s="15"/>
    </row>
    <row r="18" spans="1:26" ht="15" customHeight="1" x14ac:dyDescent="0.25">
      <c r="A18" s="44" t="s">
        <v>396</v>
      </c>
      <c r="B18" s="41" t="s">
        <v>191</v>
      </c>
      <c r="C18" s="43">
        <v>159500</v>
      </c>
      <c r="D18" s="43">
        <v>76152.479999999996</v>
      </c>
      <c r="E18" s="43">
        <f>+F18-D18</f>
        <v>151847.52000000002</v>
      </c>
      <c r="F18" s="43">
        <v>228000</v>
      </c>
      <c r="G18" s="43">
        <v>228000</v>
      </c>
      <c r="H18" s="15"/>
      <c r="I18" s="15"/>
      <c r="J18" s="14"/>
      <c r="K18" s="14"/>
      <c r="L18" s="15"/>
      <c r="M18" s="15"/>
      <c r="N18" s="15"/>
      <c r="O18" s="15"/>
      <c r="P18" s="15"/>
      <c r="Q18" s="15"/>
      <c r="R18" s="15"/>
      <c r="S18" s="15"/>
      <c r="T18" s="15"/>
      <c r="U18" s="15"/>
      <c r="V18" s="15"/>
      <c r="W18" s="15"/>
      <c r="X18" s="15"/>
      <c r="Y18" s="15"/>
      <c r="Z18" s="15"/>
    </row>
    <row r="19" spans="1:26" ht="31.5" x14ac:dyDescent="0.25">
      <c r="A19" s="118" t="s">
        <v>1555</v>
      </c>
      <c r="B19" s="41"/>
      <c r="C19" s="43"/>
      <c r="D19" s="43"/>
      <c r="E19" s="43"/>
      <c r="F19" s="43"/>
      <c r="G19" s="43"/>
      <c r="H19" s="15"/>
      <c r="I19" s="294">
        <v>162614</v>
      </c>
      <c r="J19" s="16"/>
      <c r="K19" s="14"/>
      <c r="L19" s="15"/>
      <c r="M19" s="15"/>
      <c r="N19" s="15"/>
      <c r="O19" s="15"/>
      <c r="P19" s="15"/>
      <c r="Q19" s="15"/>
      <c r="R19" s="15"/>
      <c r="S19" s="15"/>
      <c r="T19" s="15"/>
      <c r="U19" s="15"/>
      <c r="V19" s="15"/>
      <c r="W19" s="15"/>
      <c r="X19" s="15"/>
      <c r="Y19" s="15"/>
      <c r="Z19" s="15"/>
    </row>
    <row r="20" spans="1:26" ht="15" customHeight="1" x14ac:dyDescent="0.25">
      <c r="A20" s="44" t="s">
        <v>1556</v>
      </c>
      <c r="B20" s="41"/>
      <c r="C20" s="43"/>
      <c r="D20" s="43"/>
      <c r="E20" s="43"/>
      <c r="F20" s="43"/>
      <c r="G20" s="43"/>
      <c r="H20" s="15"/>
      <c r="I20" s="294">
        <v>65386</v>
      </c>
      <c r="J20" s="16">
        <f>I19+I20</f>
        <v>228000</v>
      </c>
      <c r="K20" s="14"/>
      <c r="L20" s="15"/>
      <c r="M20" s="15"/>
      <c r="N20" s="15"/>
      <c r="O20" s="15"/>
      <c r="P20" s="15"/>
      <c r="Q20" s="15"/>
      <c r="R20" s="15"/>
      <c r="S20" s="15"/>
      <c r="T20" s="15"/>
      <c r="U20" s="15"/>
      <c r="V20" s="15"/>
      <c r="W20" s="15"/>
      <c r="X20" s="15"/>
      <c r="Y20" s="15"/>
      <c r="Z20" s="15"/>
    </row>
    <row r="21" spans="1:26" ht="15" customHeight="1" x14ac:dyDescent="0.25">
      <c r="A21" s="17" t="s">
        <v>499</v>
      </c>
      <c r="B21" s="41"/>
      <c r="C21" s="43"/>
      <c r="D21" s="43"/>
      <c r="E21" s="43"/>
      <c r="F21" s="43"/>
      <c r="G21" s="43"/>
      <c r="H21" s="15"/>
      <c r="I21" s="15"/>
      <c r="J21" s="14"/>
      <c r="K21" s="14"/>
      <c r="L21" s="15"/>
      <c r="M21" s="15"/>
      <c r="N21" s="15"/>
      <c r="O21" s="15"/>
      <c r="P21" s="15"/>
      <c r="Q21" s="15"/>
      <c r="R21" s="15"/>
      <c r="S21" s="15"/>
      <c r="T21" s="15"/>
      <c r="U21" s="15"/>
      <c r="V21" s="15"/>
      <c r="W21" s="15"/>
      <c r="X21" s="15"/>
      <c r="Y21" s="15"/>
      <c r="Z21" s="15"/>
    </row>
    <row r="22" spans="1:26" ht="15" customHeight="1" x14ac:dyDescent="0.25">
      <c r="A22" s="44" t="s">
        <v>398</v>
      </c>
      <c r="B22" s="41" t="s">
        <v>195</v>
      </c>
      <c r="C22" s="43">
        <v>221262.41</v>
      </c>
      <c r="D22" s="43">
        <v>57277</v>
      </c>
      <c r="E22" s="43">
        <f t="shared" ref="E22:E23" si="0">+F22-D22</f>
        <v>172275</v>
      </c>
      <c r="F22" s="43">
        <v>229552</v>
      </c>
      <c r="G22" s="43">
        <v>228812</v>
      </c>
      <c r="H22" s="15"/>
      <c r="I22" s="15"/>
      <c r="J22" s="14"/>
      <c r="K22" s="14"/>
      <c r="L22" s="15"/>
      <c r="M22" s="15"/>
      <c r="N22" s="15"/>
      <c r="O22" s="15"/>
      <c r="P22" s="15"/>
      <c r="Q22" s="15"/>
      <c r="R22" s="15"/>
      <c r="S22" s="15"/>
      <c r="T22" s="15"/>
      <c r="U22" s="15"/>
      <c r="V22" s="15"/>
      <c r="W22" s="15"/>
      <c r="X22" s="15"/>
      <c r="Y22" s="15"/>
      <c r="Z22" s="15"/>
    </row>
    <row r="23" spans="1:26" ht="15" customHeight="1" x14ac:dyDescent="0.25">
      <c r="A23" s="44" t="s">
        <v>402</v>
      </c>
      <c r="B23" s="41" t="s">
        <v>225</v>
      </c>
      <c r="C23" s="43">
        <v>61727.85</v>
      </c>
      <c r="D23" s="43">
        <v>17805.96</v>
      </c>
      <c r="E23" s="43">
        <f t="shared" si="0"/>
        <v>33610.04</v>
      </c>
      <c r="F23" s="43">
        <v>51416</v>
      </c>
      <c r="G23" s="43">
        <v>49470</v>
      </c>
      <c r="H23" s="15"/>
      <c r="I23" s="15"/>
      <c r="J23" s="14"/>
      <c r="K23" s="14"/>
      <c r="L23" s="15"/>
      <c r="M23" s="15"/>
      <c r="N23" s="15"/>
      <c r="O23" s="15"/>
      <c r="P23" s="15"/>
      <c r="Q23" s="15"/>
      <c r="R23" s="15"/>
      <c r="S23" s="15"/>
      <c r="T23" s="15"/>
      <c r="U23" s="15"/>
      <c r="V23" s="15"/>
      <c r="W23" s="15"/>
      <c r="X23" s="15"/>
      <c r="Y23" s="15"/>
      <c r="Z23" s="15"/>
    </row>
    <row r="24" spans="1:26" ht="15" customHeight="1" x14ac:dyDescent="0.25">
      <c r="A24" s="17" t="s">
        <v>503</v>
      </c>
      <c r="B24" s="41"/>
      <c r="C24" s="43"/>
      <c r="D24" s="43"/>
      <c r="E24" s="43"/>
      <c r="F24" s="43"/>
      <c r="G24" s="43"/>
      <c r="H24" s="15"/>
      <c r="I24" s="15"/>
      <c r="J24" s="14"/>
      <c r="K24" s="14"/>
      <c r="L24" s="15"/>
      <c r="M24" s="15"/>
      <c r="N24" s="15"/>
      <c r="O24" s="15"/>
      <c r="P24" s="15"/>
      <c r="Q24" s="15"/>
      <c r="R24" s="15"/>
      <c r="S24" s="15"/>
      <c r="T24" s="15"/>
      <c r="U24" s="15"/>
      <c r="V24" s="15"/>
      <c r="W24" s="15"/>
      <c r="X24" s="15"/>
      <c r="Y24" s="15"/>
      <c r="Z24" s="15"/>
    </row>
    <row r="25" spans="1:26" ht="15" customHeight="1" x14ac:dyDescent="0.25">
      <c r="A25" s="44" t="s">
        <v>1303</v>
      </c>
      <c r="B25" s="41" t="s">
        <v>231</v>
      </c>
      <c r="C25" s="43">
        <v>14535</v>
      </c>
      <c r="D25" s="43">
        <v>6989</v>
      </c>
      <c r="E25" s="43">
        <f>+F25-D25</f>
        <v>18011</v>
      </c>
      <c r="F25" s="43">
        <v>25000</v>
      </c>
      <c r="G25" s="43">
        <v>25000</v>
      </c>
      <c r="H25" s="15"/>
      <c r="I25" s="15"/>
      <c r="J25" s="14"/>
      <c r="K25" s="14"/>
      <c r="L25" s="15"/>
      <c r="M25" s="15"/>
      <c r="N25" s="15"/>
      <c r="O25" s="15"/>
      <c r="P25" s="15"/>
      <c r="Q25" s="15"/>
      <c r="R25" s="15"/>
      <c r="S25" s="15"/>
      <c r="T25" s="15"/>
      <c r="U25" s="15"/>
      <c r="V25" s="15"/>
      <c r="W25" s="15"/>
      <c r="X25" s="15"/>
      <c r="Y25" s="15"/>
      <c r="Z25" s="15"/>
    </row>
    <row r="26" spans="1:26" ht="15" customHeight="1" x14ac:dyDescent="0.25">
      <c r="A26" s="17" t="s">
        <v>1378</v>
      </c>
      <c r="B26" s="20"/>
      <c r="C26" s="56"/>
      <c r="D26" s="43"/>
      <c r="E26" s="43"/>
      <c r="F26" s="43"/>
      <c r="G26" s="43"/>
      <c r="H26" s="15"/>
      <c r="I26" s="15"/>
      <c r="J26" s="14"/>
      <c r="K26" s="14"/>
      <c r="L26" s="15"/>
      <c r="M26" s="15"/>
      <c r="N26" s="15"/>
      <c r="O26" s="15"/>
      <c r="P26" s="15"/>
      <c r="Q26" s="15"/>
      <c r="R26" s="15"/>
      <c r="S26" s="15"/>
      <c r="T26" s="15"/>
      <c r="U26" s="15"/>
      <c r="V26" s="15"/>
      <c r="W26" s="15"/>
      <c r="X26" s="15"/>
      <c r="Y26" s="15"/>
      <c r="Z26" s="15"/>
    </row>
    <row r="27" spans="1:26" ht="15" customHeight="1" x14ac:dyDescent="0.25">
      <c r="A27" s="44" t="s">
        <v>1551</v>
      </c>
      <c r="B27" s="41" t="s">
        <v>267</v>
      </c>
      <c r="C27" s="56">
        <v>337000</v>
      </c>
      <c r="D27" s="43">
        <v>180500</v>
      </c>
      <c r="E27" s="43">
        <f>+F27-D27</f>
        <v>161500</v>
      </c>
      <c r="F27" s="43">
        <v>342000</v>
      </c>
      <c r="G27" s="43">
        <v>684000</v>
      </c>
      <c r="H27" s="15"/>
      <c r="I27" s="18">
        <v>3</v>
      </c>
      <c r="J27" s="22">
        <v>19000</v>
      </c>
      <c r="K27" s="296">
        <v>12</v>
      </c>
      <c r="L27" s="297">
        <f>I27*J27*K27</f>
        <v>684000</v>
      </c>
      <c r="M27" s="15"/>
      <c r="N27" s="15"/>
      <c r="O27" s="15"/>
      <c r="P27" s="15"/>
      <c r="Q27" s="15"/>
      <c r="R27" s="15"/>
      <c r="S27" s="15"/>
      <c r="T27" s="15"/>
      <c r="U27" s="15"/>
      <c r="V27" s="15"/>
      <c r="W27" s="15"/>
      <c r="X27" s="15"/>
      <c r="Y27" s="15"/>
      <c r="Z27" s="15"/>
    </row>
    <row r="28" spans="1:26" ht="15" customHeight="1" x14ac:dyDescent="0.25">
      <c r="A28" s="44" t="s">
        <v>1557</v>
      </c>
      <c r="B28" s="41"/>
      <c r="C28" s="56"/>
      <c r="D28" s="43"/>
      <c r="E28" s="43"/>
      <c r="F28" s="43"/>
      <c r="G28" s="43"/>
      <c r="H28" s="15"/>
      <c r="I28" s="15"/>
      <c r="J28" s="14"/>
      <c r="K28" s="14"/>
      <c r="L28" s="15"/>
      <c r="M28" s="15"/>
      <c r="N28" s="15"/>
      <c r="O28" s="15"/>
      <c r="P28" s="15"/>
      <c r="Q28" s="15"/>
      <c r="R28" s="15"/>
      <c r="S28" s="15"/>
      <c r="T28" s="15"/>
      <c r="U28" s="15"/>
      <c r="V28" s="15"/>
      <c r="W28" s="15"/>
      <c r="X28" s="15"/>
      <c r="Y28" s="15"/>
      <c r="Z28" s="15"/>
    </row>
    <row r="29" spans="1:26" ht="15" customHeight="1" x14ac:dyDescent="0.25">
      <c r="A29" s="17" t="s">
        <v>424</v>
      </c>
      <c r="B29" s="41"/>
      <c r="C29" s="43"/>
      <c r="D29" s="43"/>
      <c r="E29" s="43"/>
      <c r="F29" s="43"/>
      <c r="G29" s="43"/>
      <c r="H29" s="15"/>
      <c r="I29" s="210" t="s">
        <v>877</v>
      </c>
      <c r="J29" s="211" t="s">
        <v>878</v>
      </c>
      <c r="K29" s="210" t="s">
        <v>879</v>
      </c>
      <c r="L29" s="8" t="s">
        <v>880</v>
      </c>
      <c r="M29" s="210" t="s">
        <v>881</v>
      </c>
      <c r="N29" s="15"/>
      <c r="O29" s="15"/>
      <c r="P29" s="15"/>
      <c r="Q29" s="15"/>
      <c r="R29" s="15"/>
      <c r="S29" s="15"/>
      <c r="T29" s="15"/>
      <c r="U29" s="15"/>
      <c r="V29" s="15"/>
      <c r="W29" s="15"/>
      <c r="X29" s="15"/>
      <c r="Y29" s="15"/>
      <c r="Z29" s="15"/>
    </row>
    <row r="30" spans="1:26" ht="15" customHeight="1" x14ac:dyDescent="0.25">
      <c r="A30" s="44" t="s">
        <v>424</v>
      </c>
      <c r="B30" s="41" t="s">
        <v>335</v>
      </c>
      <c r="C30" s="43">
        <v>1184469.55</v>
      </c>
      <c r="D30" s="43">
        <v>485471.09</v>
      </c>
      <c r="E30" s="43">
        <f>+F30-D30</f>
        <v>709728.90999999992</v>
      </c>
      <c r="F30" s="43">
        <v>1195200</v>
      </c>
      <c r="G30" s="43">
        <v>1431936</v>
      </c>
      <c r="H30" s="15"/>
      <c r="I30" s="60">
        <v>678</v>
      </c>
      <c r="J30" s="211">
        <v>8</v>
      </c>
      <c r="K30" s="8">
        <v>22</v>
      </c>
      <c r="L30" s="8">
        <v>12</v>
      </c>
      <c r="M30" s="60">
        <f>I30*J30*K30*L30</f>
        <v>1431936</v>
      </c>
      <c r="N30" s="15"/>
      <c r="O30" s="15"/>
      <c r="P30" s="15"/>
      <c r="Q30" s="15"/>
      <c r="R30" s="15"/>
      <c r="S30" s="15"/>
      <c r="T30" s="15"/>
      <c r="U30" s="15"/>
      <c r="V30" s="15"/>
      <c r="W30" s="15"/>
      <c r="X30" s="15"/>
      <c r="Y30" s="15"/>
      <c r="Z30" s="15"/>
    </row>
    <row r="31" spans="1:26" ht="15.75" x14ac:dyDescent="0.25">
      <c r="A31" s="44" t="s">
        <v>864</v>
      </c>
      <c r="B31" s="41"/>
      <c r="C31" s="43"/>
      <c r="D31" s="43"/>
      <c r="E31" s="43"/>
      <c r="F31" s="43"/>
      <c r="G31" s="43"/>
      <c r="H31" s="15"/>
      <c r="I31" s="15"/>
      <c r="J31" s="14"/>
      <c r="K31" s="14"/>
      <c r="L31" s="15"/>
      <c r="M31" s="15"/>
      <c r="N31" s="15"/>
      <c r="O31" s="15"/>
      <c r="P31" s="15"/>
      <c r="Q31" s="15"/>
      <c r="R31" s="15"/>
      <c r="S31" s="15"/>
      <c r="T31" s="15"/>
      <c r="U31" s="15"/>
      <c r="V31" s="15"/>
      <c r="W31" s="15"/>
      <c r="X31" s="15"/>
      <c r="Y31" s="15"/>
      <c r="Z31" s="15"/>
    </row>
    <row r="32" spans="1:26" ht="31.5" x14ac:dyDescent="0.25">
      <c r="A32" s="479" t="s">
        <v>1558</v>
      </c>
      <c r="B32" s="461"/>
      <c r="C32" s="473"/>
      <c r="D32" s="43"/>
      <c r="E32" s="43"/>
      <c r="F32" s="43"/>
      <c r="G32" s="43"/>
      <c r="H32" s="15"/>
      <c r="I32" s="15"/>
      <c r="J32" s="14"/>
      <c r="K32" s="14"/>
      <c r="L32" s="15"/>
      <c r="M32" s="15"/>
      <c r="N32" s="15"/>
      <c r="O32" s="15"/>
      <c r="P32" s="15"/>
      <c r="Q32" s="15"/>
      <c r="R32" s="15"/>
      <c r="S32" s="15"/>
      <c r="T32" s="15"/>
      <c r="U32" s="15"/>
      <c r="V32" s="15"/>
      <c r="W32" s="15"/>
      <c r="X32" s="15"/>
      <c r="Y32" s="15"/>
      <c r="Z32" s="15"/>
    </row>
    <row r="33" spans="1:26" ht="15" customHeight="1" x14ac:dyDescent="0.25">
      <c r="A33" s="42" t="s">
        <v>466</v>
      </c>
      <c r="B33" s="41"/>
      <c r="C33" s="54">
        <f>+SUM(C16:C30)</f>
        <v>2095821.17</v>
      </c>
      <c r="D33" s="54">
        <f>+SUM(D16:D30)</f>
        <v>845045.53</v>
      </c>
      <c r="E33" s="54">
        <f>+SUM(E16:E30)</f>
        <v>1433472.47</v>
      </c>
      <c r="F33" s="54">
        <f>+SUM(F16:F30)</f>
        <v>2278518</v>
      </c>
      <c r="G33" s="54">
        <f>SUM(G16:G32)</f>
        <v>2854568</v>
      </c>
      <c r="H33" s="15"/>
      <c r="I33" s="15"/>
      <c r="J33" s="14"/>
      <c r="K33" s="14"/>
      <c r="L33" s="15"/>
      <c r="M33" s="15"/>
      <c r="N33" s="15"/>
      <c r="O33" s="15"/>
      <c r="P33" s="15"/>
      <c r="Q33" s="15"/>
      <c r="R33" s="15"/>
      <c r="S33" s="15"/>
      <c r="T33" s="15"/>
      <c r="U33" s="15"/>
      <c r="V33" s="15"/>
      <c r="W33" s="15"/>
      <c r="X33" s="15"/>
      <c r="Y33" s="15"/>
      <c r="Z33" s="15"/>
    </row>
    <row r="34" spans="1:26" ht="15" customHeight="1" x14ac:dyDescent="0.25">
      <c r="A34" s="17"/>
      <c r="B34" s="41"/>
      <c r="C34" s="55"/>
      <c r="D34" s="55"/>
      <c r="E34" s="55"/>
      <c r="F34" s="55"/>
      <c r="G34" s="55"/>
      <c r="H34" s="15"/>
      <c r="I34" s="15"/>
      <c r="J34" s="14"/>
      <c r="K34" s="14"/>
      <c r="L34" s="15"/>
      <c r="M34" s="15"/>
      <c r="N34" s="15"/>
      <c r="O34" s="15"/>
      <c r="P34" s="15"/>
      <c r="Q34" s="15"/>
      <c r="R34" s="15"/>
      <c r="S34" s="15"/>
      <c r="T34" s="15"/>
      <c r="U34" s="15"/>
      <c r="V34" s="15"/>
      <c r="W34" s="15"/>
      <c r="X34" s="15"/>
      <c r="Y34" s="15"/>
      <c r="Z34" s="15"/>
    </row>
    <row r="35" spans="1:26" ht="15" customHeight="1" x14ac:dyDescent="0.25">
      <c r="A35" s="17" t="s">
        <v>467</v>
      </c>
      <c r="B35" s="41"/>
      <c r="C35" s="43" t="e">
        <f>#REF!+C33</f>
        <v>#REF!</v>
      </c>
      <c r="D35" s="43" t="e">
        <f>#REF!+D33</f>
        <v>#REF!</v>
      </c>
      <c r="E35" s="43" t="e">
        <f>#REF!+E33</f>
        <v>#REF!</v>
      </c>
      <c r="F35" s="43" t="e">
        <f>#REF!+F33</f>
        <v>#REF!</v>
      </c>
      <c r="G35" s="43">
        <f>+G33</f>
        <v>2854568</v>
      </c>
      <c r="H35" s="15"/>
      <c r="I35" s="15"/>
      <c r="J35" s="14"/>
      <c r="K35" s="14"/>
      <c r="L35" s="15"/>
      <c r="M35" s="15"/>
      <c r="N35" s="15"/>
      <c r="O35" s="15"/>
      <c r="P35" s="15"/>
      <c r="Q35" s="15"/>
      <c r="R35" s="15"/>
      <c r="S35" s="15"/>
      <c r="T35" s="15"/>
      <c r="U35" s="15"/>
      <c r="V35" s="15"/>
      <c r="W35" s="15"/>
      <c r="X35" s="15"/>
      <c r="Y35" s="15"/>
      <c r="Z35" s="15"/>
    </row>
    <row r="36" spans="1:26" ht="15" customHeight="1" x14ac:dyDescent="0.25">
      <c r="A36" s="42"/>
      <c r="B36" s="172"/>
      <c r="C36" s="42"/>
      <c r="D36" s="42"/>
      <c r="E36" s="42"/>
      <c r="F36" s="42"/>
      <c r="G36" s="42"/>
      <c r="H36" s="15"/>
      <c r="I36" s="15"/>
      <c r="J36" s="14"/>
      <c r="K36" s="14"/>
      <c r="L36" s="15"/>
      <c r="M36" s="15"/>
      <c r="N36" s="15"/>
      <c r="O36" s="15"/>
      <c r="P36" s="15"/>
      <c r="Q36" s="15"/>
      <c r="R36" s="15"/>
      <c r="S36" s="15"/>
      <c r="T36" s="15"/>
      <c r="U36" s="15"/>
      <c r="V36" s="15"/>
      <c r="W36" s="15"/>
      <c r="X36" s="15"/>
      <c r="Y36" s="15"/>
      <c r="Z36" s="15"/>
    </row>
    <row r="37" spans="1:26" ht="15" customHeight="1" x14ac:dyDescent="0.25">
      <c r="A37" s="640" t="s">
        <v>487</v>
      </c>
      <c r="B37" s="641" t="s">
        <v>488</v>
      </c>
      <c r="C37" s="634" t="e">
        <f t="shared" ref="C37:G37" si="1">C35</f>
        <v>#REF!</v>
      </c>
      <c r="D37" s="634" t="e">
        <f t="shared" si="1"/>
        <v>#REF!</v>
      </c>
      <c r="E37" s="634" t="e">
        <f t="shared" si="1"/>
        <v>#REF!</v>
      </c>
      <c r="F37" s="634" t="e">
        <f t="shared" si="1"/>
        <v>#REF!</v>
      </c>
      <c r="G37" s="634">
        <f t="shared" si="1"/>
        <v>2854568</v>
      </c>
      <c r="J37" s="7"/>
      <c r="K37" s="7"/>
    </row>
    <row r="38" spans="1:26" ht="15.75" customHeight="1" x14ac:dyDescent="0.25">
      <c r="A38" s="637"/>
      <c r="B38" s="663"/>
      <c r="C38" s="637"/>
      <c r="D38" s="637"/>
      <c r="E38" s="637"/>
      <c r="F38" s="639"/>
      <c r="G38" s="639"/>
      <c r="K38" s="7"/>
    </row>
    <row r="39" spans="1:26" ht="15.75" customHeight="1" x14ac:dyDescent="0.25">
      <c r="A39" s="24"/>
      <c r="B39" s="174"/>
      <c r="C39" s="24"/>
      <c r="D39" s="24"/>
      <c r="E39" s="24"/>
      <c r="K39" s="7"/>
    </row>
    <row r="40" spans="1:26" ht="15.75" customHeight="1" x14ac:dyDescent="0.25">
      <c r="A40" s="24"/>
      <c r="B40" s="174"/>
      <c r="C40" s="24"/>
      <c r="D40" s="24"/>
      <c r="E40" s="24"/>
      <c r="K40" s="7"/>
    </row>
    <row r="41" spans="1:26" ht="15.75" customHeight="1" x14ac:dyDescent="0.25">
      <c r="A41" s="24"/>
      <c r="B41" s="174"/>
      <c r="C41" s="24"/>
      <c r="D41" s="24"/>
      <c r="E41" s="24"/>
      <c r="K41" s="7"/>
    </row>
    <row r="42" spans="1:26" ht="15.75" customHeight="1" x14ac:dyDescent="0.25">
      <c r="A42" s="24"/>
      <c r="B42" s="174"/>
      <c r="C42" s="24"/>
      <c r="D42" s="24"/>
      <c r="E42" s="24"/>
      <c r="K42" s="7"/>
    </row>
    <row r="43" spans="1:26" ht="15.75" customHeight="1" x14ac:dyDescent="0.25">
      <c r="A43" s="24"/>
      <c r="B43" s="174"/>
      <c r="C43" s="24"/>
      <c r="D43" s="24"/>
      <c r="E43" s="24"/>
      <c r="K43" s="7"/>
    </row>
    <row r="44" spans="1:26" ht="15.75" customHeight="1" x14ac:dyDescent="0.25">
      <c r="A44" s="24"/>
      <c r="B44" s="174"/>
      <c r="C44" s="24"/>
      <c r="D44" s="24"/>
      <c r="E44" s="24"/>
      <c r="K44" s="7"/>
    </row>
    <row r="45" spans="1:26" ht="15.75" customHeight="1" x14ac:dyDescent="0.25">
      <c r="A45" s="24"/>
      <c r="B45" s="174"/>
      <c r="C45" s="24"/>
      <c r="D45" s="24"/>
      <c r="E45" s="24"/>
      <c r="K45" s="7"/>
    </row>
    <row r="46" spans="1:26" ht="15.75" customHeight="1" x14ac:dyDescent="0.25">
      <c r="A46" s="24"/>
      <c r="B46" s="174"/>
      <c r="C46" s="24"/>
      <c r="D46" s="24"/>
      <c r="E46" s="24"/>
      <c r="K46" s="7"/>
    </row>
    <row r="47" spans="1:26" ht="15.75" customHeight="1" x14ac:dyDescent="0.25">
      <c r="A47" s="24"/>
      <c r="B47" s="174"/>
      <c r="C47" s="24"/>
      <c r="D47" s="24"/>
      <c r="E47" s="24"/>
      <c r="K47" s="7"/>
    </row>
    <row r="48" spans="1:26" ht="15.75" customHeight="1" x14ac:dyDescent="0.25">
      <c r="A48" s="24"/>
      <c r="B48" s="174"/>
      <c r="C48" s="24"/>
      <c r="D48" s="24"/>
      <c r="E48" s="24"/>
      <c r="K48" s="7"/>
    </row>
    <row r="49" spans="1:11" ht="15.75" customHeight="1" x14ac:dyDescent="0.25">
      <c r="A49" s="24"/>
      <c r="B49" s="174"/>
      <c r="C49" s="24"/>
      <c r="D49" s="24"/>
      <c r="E49" s="24"/>
      <c r="K49" s="7"/>
    </row>
    <row r="50" spans="1:11" ht="15.75" customHeight="1" x14ac:dyDescent="0.25">
      <c r="A50" s="24"/>
      <c r="B50" s="174"/>
      <c r="C50" s="24"/>
      <c r="D50" s="24"/>
      <c r="E50" s="24"/>
      <c r="K50" s="7"/>
    </row>
    <row r="51" spans="1:11" ht="15.75" customHeight="1" x14ac:dyDescent="0.25">
      <c r="A51" s="24"/>
      <c r="B51" s="174"/>
      <c r="C51" s="24"/>
      <c r="D51" s="24"/>
      <c r="E51" s="24"/>
      <c r="K51" s="7"/>
    </row>
    <row r="52" spans="1:11" ht="15.75" customHeight="1" x14ac:dyDescent="0.25">
      <c r="A52" s="24"/>
      <c r="B52" s="174"/>
      <c r="C52" s="24"/>
      <c r="D52" s="24"/>
      <c r="E52" s="24"/>
      <c r="K52" s="7"/>
    </row>
    <row r="53" spans="1:11" ht="15.75" customHeight="1" x14ac:dyDescent="0.25">
      <c r="A53" s="24"/>
      <c r="B53" s="174"/>
      <c r="C53" s="24"/>
      <c r="D53" s="24"/>
      <c r="E53" s="24"/>
      <c r="K53" s="7"/>
    </row>
    <row r="54" spans="1:11" ht="15.75" customHeight="1" x14ac:dyDescent="0.25">
      <c r="A54" s="24"/>
      <c r="B54" s="174"/>
      <c r="C54" s="24"/>
      <c r="D54" s="24"/>
      <c r="E54" s="24"/>
      <c r="K54" s="7"/>
    </row>
    <row r="55" spans="1:11" ht="15.75" customHeight="1" x14ac:dyDescent="0.25">
      <c r="A55" s="24"/>
      <c r="B55" s="174"/>
      <c r="C55" s="24"/>
      <c r="D55" s="24"/>
      <c r="E55" s="24"/>
      <c r="K55" s="7"/>
    </row>
    <row r="56" spans="1:11" ht="15.75" customHeight="1" x14ac:dyDescent="0.25">
      <c r="A56" s="24"/>
      <c r="B56" s="174"/>
      <c r="C56" s="24"/>
      <c r="D56" s="24"/>
      <c r="E56" s="24"/>
      <c r="K56" s="7"/>
    </row>
    <row r="57" spans="1:11" ht="15.75" customHeight="1" x14ac:dyDescent="0.25">
      <c r="A57" s="24"/>
      <c r="B57" s="174"/>
      <c r="C57" s="24"/>
      <c r="D57" s="24"/>
      <c r="E57" s="24"/>
      <c r="K57" s="7"/>
    </row>
    <row r="58" spans="1:11" ht="15.75" customHeight="1" x14ac:dyDescent="0.25">
      <c r="A58" s="24"/>
      <c r="B58" s="174"/>
      <c r="C58" s="24"/>
      <c r="D58" s="24"/>
      <c r="E58" s="24"/>
      <c r="K58" s="7"/>
    </row>
    <row r="59" spans="1:11" ht="15.75" customHeight="1" x14ac:dyDescent="0.25">
      <c r="A59" s="24"/>
      <c r="B59" s="174"/>
      <c r="C59" s="24"/>
      <c r="D59" s="24"/>
      <c r="E59" s="24"/>
      <c r="K59" s="7"/>
    </row>
    <row r="60" spans="1:11" ht="15.75" customHeight="1" x14ac:dyDescent="0.25">
      <c r="A60" s="24"/>
      <c r="B60" s="174"/>
      <c r="C60" s="24"/>
      <c r="D60" s="24"/>
      <c r="E60" s="24"/>
      <c r="K60" s="7"/>
    </row>
    <row r="61" spans="1:11" ht="15.75" customHeight="1" x14ac:dyDescent="0.25">
      <c r="A61" s="24"/>
      <c r="B61" s="174"/>
      <c r="C61" s="24"/>
      <c r="D61" s="24"/>
      <c r="E61" s="24"/>
      <c r="K61" s="7"/>
    </row>
    <row r="62" spans="1:11" ht="15.75" customHeight="1" x14ac:dyDescent="0.25">
      <c r="A62" s="24"/>
      <c r="B62" s="174"/>
      <c r="C62" s="24"/>
      <c r="D62" s="24"/>
      <c r="E62" s="24"/>
      <c r="K62" s="7"/>
    </row>
    <row r="63" spans="1:11" ht="15.75" customHeight="1" x14ac:dyDescent="0.25">
      <c r="A63" s="24"/>
      <c r="B63" s="174"/>
      <c r="C63" s="24"/>
      <c r="D63" s="24"/>
      <c r="E63" s="24"/>
      <c r="K63" s="7"/>
    </row>
    <row r="64" spans="1:11" ht="15.75" customHeight="1" x14ac:dyDescent="0.25">
      <c r="A64" s="24"/>
      <c r="B64" s="174"/>
      <c r="C64" s="24"/>
      <c r="D64" s="24"/>
      <c r="E64" s="24"/>
      <c r="K64" s="7"/>
    </row>
    <row r="65" spans="1:11" ht="15.75" customHeight="1" x14ac:dyDescent="0.25">
      <c r="A65" s="24"/>
      <c r="B65" s="174"/>
      <c r="C65" s="24"/>
      <c r="D65" s="24"/>
      <c r="E65" s="24"/>
      <c r="K65" s="7"/>
    </row>
    <row r="66" spans="1:11" ht="15.75" customHeight="1" x14ac:dyDescent="0.25">
      <c r="A66" s="24"/>
      <c r="B66" s="174"/>
      <c r="C66" s="24"/>
      <c r="D66" s="24"/>
      <c r="E66" s="24"/>
      <c r="K66" s="7"/>
    </row>
    <row r="67" spans="1:11" ht="15.75" customHeight="1" x14ac:dyDescent="0.25">
      <c r="A67" s="24"/>
      <c r="B67" s="174"/>
      <c r="C67" s="24"/>
      <c r="D67" s="24"/>
      <c r="E67" s="24"/>
      <c r="K67" s="7"/>
    </row>
    <row r="68" spans="1:11" ht="15.75" customHeight="1" x14ac:dyDescent="0.25">
      <c r="A68" s="24"/>
      <c r="B68" s="174"/>
      <c r="C68" s="24"/>
      <c r="D68" s="24"/>
      <c r="E68" s="24"/>
      <c r="K68" s="7"/>
    </row>
    <row r="69" spans="1:11" ht="15.75" customHeight="1" x14ac:dyDescent="0.25">
      <c r="A69" s="24"/>
      <c r="B69" s="174"/>
      <c r="C69" s="24"/>
      <c r="D69" s="24"/>
      <c r="E69" s="24"/>
      <c r="K69" s="7"/>
    </row>
    <row r="70" spans="1:11" ht="15.75" customHeight="1" x14ac:dyDescent="0.25">
      <c r="A70" s="24"/>
      <c r="B70" s="174"/>
      <c r="C70" s="24"/>
      <c r="D70" s="24"/>
      <c r="E70" s="24"/>
      <c r="K70" s="7"/>
    </row>
    <row r="71" spans="1:11" ht="15.75" customHeight="1" x14ac:dyDescent="0.25">
      <c r="A71" s="24"/>
      <c r="B71" s="174"/>
      <c r="C71" s="24"/>
      <c r="D71" s="24"/>
      <c r="E71" s="24"/>
      <c r="K71" s="7"/>
    </row>
    <row r="72" spans="1:11" ht="15.75" customHeight="1" x14ac:dyDescent="0.25">
      <c r="A72" s="24"/>
      <c r="B72" s="174"/>
      <c r="C72" s="24"/>
      <c r="D72" s="24"/>
      <c r="E72" s="24"/>
      <c r="K72" s="7"/>
    </row>
    <row r="73" spans="1:11" ht="15.75" customHeight="1" x14ac:dyDescent="0.25">
      <c r="A73" s="24"/>
      <c r="B73" s="174"/>
      <c r="C73" s="24"/>
      <c r="D73" s="24"/>
      <c r="E73" s="24"/>
      <c r="K73" s="7"/>
    </row>
    <row r="74" spans="1:11" ht="15.75" customHeight="1" x14ac:dyDescent="0.25">
      <c r="A74" s="24"/>
      <c r="B74" s="174"/>
      <c r="C74" s="24"/>
      <c r="D74" s="24"/>
      <c r="E74" s="24"/>
      <c r="K74" s="7"/>
    </row>
    <row r="75" spans="1:11" ht="15.75" customHeight="1" x14ac:dyDescent="0.25">
      <c r="A75" s="24"/>
      <c r="B75" s="174"/>
      <c r="C75" s="24"/>
      <c r="D75" s="24"/>
      <c r="E75" s="24"/>
      <c r="K75" s="7"/>
    </row>
    <row r="76" spans="1:11" ht="15.75" customHeight="1" x14ac:dyDescent="0.25">
      <c r="A76" s="24"/>
      <c r="B76" s="174"/>
      <c r="C76" s="24"/>
      <c r="D76" s="24"/>
      <c r="E76" s="24"/>
      <c r="K76" s="7"/>
    </row>
    <row r="77" spans="1:11" ht="15.75" customHeight="1" x14ac:dyDescent="0.25">
      <c r="A77" s="24"/>
      <c r="B77" s="174"/>
      <c r="C77" s="24"/>
      <c r="D77" s="24"/>
      <c r="E77" s="24"/>
      <c r="K77" s="7"/>
    </row>
    <row r="78" spans="1:11" ht="15.75" customHeight="1" x14ac:dyDescent="0.25">
      <c r="A78" s="24"/>
      <c r="B78" s="174"/>
      <c r="C78" s="24"/>
      <c r="D78" s="24"/>
      <c r="E78" s="24"/>
      <c r="K78" s="7"/>
    </row>
    <row r="79" spans="1:11" ht="15.75" customHeight="1" x14ac:dyDescent="0.25">
      <c r="A79" s="24"/>
      <c r="B79" s="174"/>
      <c r="C79" s="24"/>
      <c r="D79" s="24"/>
      <c r="E79" s="24"/>
      <c r="K79" s="7"/>
    </row>
    <row r="80" spans="1:11" ht="15.75" customHeight="1" x14ac:dyDescent="0.25">
      <c r="A80" s="24"/>
      <c r="B80" s="174"/>
      <c r="C80" s="24"/>
      <c r="D80" s="24"/>
      <c r="E80" s="24"/>
      <c r="K80" s="7"/>
    </row>
    <row r="81" spans="1:11" ht="15.75" customHeight="1" x14ac:dyDescent="0.25">
      <c r="A81" s="24"/>
      <c r="B81" s="174"/>
      <c r="C81" s="24"/>
      <c r="D81" s="24"/>
      <c r="E81" s="24"/>
      <c r="K81" s="7"/>
    </row>
    <row r="82" spans="1:11" ht="15.75" customHeight="1" x14ac:dyDescent="0.25">
      <c r="A82" s="24"/>
      <c r="B82" s="174"/>
      <c r="C82" s="24"/>
      <c r="D82" s="24"/>
      <c r="E82" s="24"/>
      <c r="K82" s="7"/>
    </row>
    <row r="83" spans="1:11" ht="15.75" customHeight="1" x14ac:dyDescent="0.25">
      <c r="A83" s="24"/>
      <c r="B83" s="174"/>
      <c r="C83" s="24"/>
      <c r="D83" s="24"/>
      <c r="E83" s="24"/>
      <c r="K83" s="7"/>
    </row>
    <row r="84" spans="1:11" ht="15.75" customHeight="1" x14ac:dyDescent="0.25">
      <c r="A84" s="24"/>
      <c r="B84" s="174"/>
      <c r="C84" s="24"/>
      <c r="D84" s="24"/>
      <c r="E84" s="24"/>
      <c r="K84" s="7"/>
    </row>
    <row r="85" spans="1:11" ht="15.75" customHeight="1" x14ac:dyDescent="0.25">
      <c r="A85" s="24"/>
      <c r="B85" s="174"/>
      <c r="C85" s="24"/>
      <c r="D85" s="24"/>
      <c r="E85" s="24"/>
      <c r="K85" s="7"/>
    </row>
    <row r="86" spans="1:11" ht="15.75" customHeight="1" x14ac:dyDescent="0.25">
      <c r="A86" s="24"/>
      <c r="B86" s="174"/>
      <c r="C86" s="24"/>
      <c r="D86" s="24"/>
      <c r="E86" s="24"/>
      <c r="K86" s="7"/>
    </row>
    <row r="87" spans="1:11" ht="15.75" customHeight="1" x14ac:dyDescent="0.25">
      <c r="A87" s="24"/>
      <c r="B87" s="174"/>
      <c r="C87" s="24"/>
      <c r="D87" s="24"/>
      <c r="E87" s="24"/>
      <c r="K87" s="7"/>
    </row>
    <row r="88" spans="1:11" ht="15.75" customHeight="1" x14ac:dyDescent="0.25">
      <c r="A88" s="24"/>
      <c r="B88" s="174"/>
      <c r="C88" s="24"/>
      <c r="D88" s="24"/>
      <c r="E88" s="24"/>
      <c r="K88" s="7"/>
    </row>
    <row r="89" spans="1:11" ht="15.75" customHeight="1" x14ac:dyDescent="0.25">
      <c r="A89" s="24"/>
      <c r="B89" s="174"/>
      <c r="C89" s="24"/>
      <c r="D89" s="24"/>
      <c r="E89" s="24"/>
      <c r="K89" s="7"/>
    </row>
    <row r="90" spans="1:11" ht="15.75" customHeight="1" x14ac:dyDescent="0.25">
      <c r="A90" s="24"/>
      <c r="B90" s="174"/>
      <c r="C90" s="24"/>
      <c r="D90" s="24"/>
      <c r="E90" s="24"/>
      <c r="K90" s="7"/>
    </row>
    <row r="91" spans="1:11" ht="15.75" customHeight="1" x14ac:dyDescent="0.25">
      <c r="A91" s="24"/>
      <c r="B91" s="174"/>
      <c r="C91" s="24"/>
      <c r="D91" s="24"/>
      <c r="E91" s="24"/>
      <c r="K91" s="7"/>
    </row>
    <row r="92" spans="1:11" ht="15.75" customHeight="1" x14ac:dyDescent="0.25">
      <c r="A92" s="24"/>
      <c r="B92" s="174"/>
      <c r="C92" s="24"/>
      <c r="D92" s="24"/>
      <c r="E92" s="24"/>
      <c r="K92" s="7"/>
    </row>
    <row r="93" spans="1:11" ht="15.75" customHeight="1" x14ac:dyDescent="0.25">
      <c r="A93" s="24"/>
      <c r="B93" s="174"/>
      <c r="C93" s="24"/>
      <c r="D93" s="24"/>
      <c r="E93" s="24"/>
      <c r="K93" s="7"/>
    </row>
    <row r="94" spans="1:11" ht="15.75" customHeight="1" x14ac:dyDescent="0.25">
      <c r="A94" s="24"/>
      <c r="B94" s="174"/>
      <c r="C94" s="24"/>
      <c r="D94" s="24"/>
      <c r="E94" s="24"/>
      <c r="K94" s="7"/>
    </row>
    <row r="95" spans="1:11" ht="15.75" customHeight="1" x14ac:dyDescent="0.25">
      <c r="A95" s="24"/>
      <c r="B95" s="174"/>
      <c r="C95" s="24"/>
      <c r="D95" s="24"/>
      <c r="E95" s="24"/>
      <c r="K95" s="7"/>
    </row>
    <row r="96" spans="1:11" ht="15.75" customHeight="1" x14ac:dyDescent="0.25">
      <c r="A96" s="24"/>
      <c r="B96" s="174"/>
      <c r="C96" s="24"/>
      <c r="D96" s="24"/>
      <c r="E96" s="24"/>
      <c r="K96" s="7"/>
    </row>
    <row r="97" spans="1:11" ht="15.75" customHeight="1" x14ac:dyDescent="0.25">
      <c r="A97" s="24"/>
      <c r="B97" s="174"/>
      <c r="C97" s="24"/>
      <c r="D97" s="24"/>
      <c r="E97" s="24"/>
      <c r="K97" s="7"/>
    </row>
    <row r="98" spans="1:11" ht="15.75" customHeight="1" x14ac:dyDescent="0.25">
      <c r="A98" s="24"/>
      <c r="B98" s="174"/>
      <c r="C98" s="24"/>
      <c r="D98" s="24"/>
      <c r="E98" s="24"/>
      <c r="K98" s="7"/>
    </row>
    <row r="99" spans="1:11" ht="15.75" customHeight="1" x14ac:dyDescent="0.25">
      <c r="A99" s="24"/>
      <c r="B99" s="174"/>
      <c r="C99" s="24"/>
      <c r="D99" s="24"/>
      <c r="E99" s="24"/>
      <c r="K99" s="7"/>
    </row>
    <row r="100" spans="1:11" ht="15.75" customHeight="1" x14ac:dyDescent="0.25">
      <c r="A100" s="24"/>
      <c r="B100" s="174"/>
      <c r="C100" s="24"/>
      <c r="D100" s="24"/>
      <c r="E100" s="24"/>
      <c r="K100" s="7"/>
    </row>
    <row r="101" spans="1:11" ht="15.75" customHeight="1" x14ac:dyDescent="0.25">
      <c r="A101" s="24"/>
      <c r="B101" s="174"/>
      <c r="C101" s="24"/>
      <c r="D101" s="24"/>
      <c r="E101" s="24"/>
      <c r="K101" s="7"/>
    </row>
    <row r="102" spans="1:11" ht="15.75" customHeight="1" x14ac:dyDescent="0.25">
      <c r="A102" s="24"/>
      <c r="B102" s="174"/>
      <c r="C102" s="24"/>
      <c r="D102" s="24"/>
      <c r="E102" s="24"/>
      <c r="K102" s="7"/>
    </row>
    <row r="103" spans="1:11" ht="15.75" customHeight="1" x14ac:dyDescent="0.25">
      <c r="A103" s="24"/>
      <c r="B103" s="174"/>
      <c r="C103" s="24"/>
      <c r="D103" s="24"/>
      <c r="E103" s="24"/>
      <c r="K103" s="7"/>
    </row>
    <row r="104" spans="1:11" ht="15.75" customHeight="1" x14ac:dyDescent="0.25">
      <c r="A104" s="24"/>
      <c r="B104" s="174"/>
      <c r="C104" s="24"/>
      <c r="D104" s="24"/>
      <c r="E104" s="24"/>
      <c r="K104" s="7"/>
    </row>
    <row r="105" spans="1:11" ht="15.75" customHeight="1" x14ac:dyDescent="0.25">
      <c r="A105" s="24"/>
      <c r="B105" s="174"/>
      <c r="C105" s="24"/>
      <c r="D105" s="24"/>
      <c r="E105" s="24"/>
      <c r="K105" s="7"/>
    </row>
    <row r="106" spans="1:11" ht="15.75" customHeight="1" x14ac:dyDescent="0.25">
      <c r="A106" s="24"/>
      <c r="B106" s="174"/>
      <c r="C106" s="24"/>
      <c r="D106" s="24"/>
      <c r="E106" s="24"/>
      <c r="K106" s="7"/>
    </row>
    <row r="107" spans="1:11" ht="15.75" customHeight="1" x14ac:dyDescent="0.25">
      <c r="A107" s="24"/>
      <c r="B107" s="174"/>
      <c r="C107" s="24"/>
      <c r="D107" s="24"/>
      <c r="E107" s="24"/>
      <c r="K107" s="7"/>
    </row>
    <row r="108" spans="1:11" ht="15.75" customHeight="1" x14ac:dyDescent="0.25">
      <c r="A108" s="24"/>
      <c r="B108" s="174"/>
      <c r="C108" s="24"/>
      <c r="D108" s="24"/>
      <c r="E108" s="24"/>
      <c r="K108" s="7"/>
    </row>
    <row r="109" spans="1:11" ht="15.75" customHeight="1" x14ac:dyDescent="0.25">
      <c r="A109" s="24"/>
      <c r="B109" s="174"/>
      <c r="C109" s="24"/>
      <c r="D109" s="24"/>
      <c r="E109" s="24"/>
      <c r="K109" s="7"/>
    </row>
    <row r="110" spans="1:11" ht="15.75" customHeight="1" x14ac:dyDescent="0.25">
      <c r="A110" s="24"/>
      <c r="B110" s="174"/>
      <c r="C110" s="24"/>
      <c r="D110" s="24"/>
      <c r="E110" s="24"/>
      <c r="K110" s="7"/>
    </row>
    <row r="111" spans="1:11" ht="15.75" customHeight="1" x14ac:dyDescent="0.25">
      <c r="A111" s="24"/>
      <c r="B111" s="174"/>
      <c r="C111" s="24"/>
      <c r="D111" s="24"/>
      <c r="E111" s="24"/>
      <c r="K111" s="7"/>
    </row>
    <row r="112" spans="1:11" ht="15.75" customHeight="1" x14ac:dyDescent="0.25">
      <c r="A112" s="24"/>
      <c r="B112" s="174"/>
      <c r="C112" s="24"/>
      <c r="D112" s="24"/>
      <c r="E112" s="24"/>
      <c r="K112" s="7"/>
    </row>
    <row r="113" spans="1:11" ht="15.75" customHeight="1" x14ac:dyDescent="0.25">
      <c r="A113" s="24"/>
      <c r="B113" s="174"/>
      <c r="C113" s="24"/>
      <c r="D113" s="24"/>
      <c r="E113" s="24"/>
      <c r="K113" s="7"/>
    </row>
    <row r="114" spans="1:11" ht="15.75" customHeight="1" x14ac:dyDescent="0.25">
      <c r="A114" s="24"/>
      <c r="B114" s="174"/>
      <c r="C114" s="24"/>
      <c r="D114" s="24"/>
      <c r="E114" s="24"/>
      <c r="K114" s="7"/>
    </row>
    <row r="115" spans="1:11" ht="15.75" customHeight="1" x14ac:dyDescent="0.25">
      <c r="A115" s="24"/>
      <c r="B115" s="174"/>
      <c r="C115" s="24"/>
      <c r="D115" s="24"/>
      <c r="E115" s="24"/>
      <c r="K115" s="7"/>
    </row>
    <row r="116" spans="1:11" ht="15.75" customHeight="1" x14ac:dyDescent="0.25">
      <c r="A116" s="24"/>
      <c r="B116" s="174"/>
      <c r="C116" s="24"/>
      <c r="D116" s="24"/>
      <c r="E116" s="24"/>
      <c r="K116" s="7"/>
    </row>
    <row r="117" spans="1:11" ht="15.75" customHeight="1" x14ac:dyDescent="0.25">
      <c r="A117" s="24"/>
      <c r="B117" s="174"/>
      <c r="C117" s="24"/>
      <c r="D117" s="24"/>
      <c r="E117" s="24"/>
      <c r="K117" s="7"/>
    </row>
    <row r="118" spans="1:11" ht="15.75" customHeight="1" x14ac:dyDescent="0.25">
      <c r="A118" s="24"/>
      <c r="B118" s="174"/>
      <c r="C118" s="24"/>
      <c r="D118" s="24"/>
      <c r="E118" s="24"/>
      <c r="K118" s="7"/>
    </row>
    <row r="119" spans="1:11" ht="15.75" customHeight="1" x14ac:dyDescent="0.25">
      <c r="A119" s="24"/>
      <c r="B119" s="174"/>
      <c r="C119" s="24"/>
      <c r="D119" s="24"/>
      <c r="E119" s="24"/>
      <c r="K119" s="7"/>
    </row>
    <row r="120" spans="1:11" ht="15.75" customHeight="1" x14ac:dyDescent="0.25">
      <c r="A120" s="24"/>
      <c r="B120" s="174"/>
      <c r="C120" s="24"/>
      <c r="D120" s="24"/>
      <c r="E120" s="24"/>
      <c r="K120" s="7"/>
    </row>
    <row r="121" spans="1:11" ht="15.75" customHeight="1" x14ac:dyDescent="0.25">
      <c r="A121" s="24"/>
      <c r="B121" s="174"/>
      <c r="C121" s="24"/>
      <c r="D121" s="24"/>
      <c r="E121" s="24"/>
      <c r="K121" s="7"/>
    </row>
    <row r="122" spans="1:11" ht="15.75" customHeight="1" x14ac:dyDescent="0.25">
      <c r="A122" s="24"/>
      <c r="B122" s="174"/>
      <c r="C122" s="24"/>
      <c r="D122" s="24"/>
      <c r="E122" s="24"/>
      <c r="K122" s="7"/>
    </row>
    <row r="123" spans="1:11" ht="15.75" customHeight="1" x14ac:dyDescent="0.25">
      <c r="A123" s="24"/>
      <c r="B123" s="174"/>
      <c r="C123" s="24"/>
      <c r="D123" s="24"/>
      <c r="E123" s="24"/>
      <c r="K123" s="7"/>
    </row>
    <row r="124" spans="1:11" ht="15.75" customHeight="1" x14ac:dyDescent="0.25">
      <c r="A124" s="24"/>
      <c r="B124" s="174"/>
      <c r="C124" s="24"/>
      <c r="D124" s="24"/>
      <c r="E124" s="24"/>
      <c r="K124" s="7"/>
    </row>
    <row r="125" spans="1:11" ht="15.75" customHeight="1" x14ac:dyDescent="0.25">
      <c r="A125" s="24"/>
      <c r="B125" s="174"/>
      <c r="C125" s="24"/>
      <c r="D125" s="24"/>
      <c r="E125" s="24"/>
      <c r="K125" s="7"/>
    </row>
    <row r="126" spans="1:11" ht="15.75" customHeight="1" x14ac:dyDescent="0.25">
      <c r="A126" s="24"/>
      <c r="B126" s="174"/>
      <c r="C126" s="24"/>
      <c r="D126" s="24"/>
      <c r="E126" s="24"/>
      <c r="K126" s="7"/>
    </row>
    <row r="127" spans="1:11" ht="15.75" customHeight="1" x14ac:dyDescent="0.25">
      <c r="A127" s="24"/>
      <c r="B127" s="174"/>
      <c r="C127" s="24"/>
      <c r="D127" s="24"/>
      <c r="E127" s="24"/>
      <c r="K127" s="7"/>
    </row>
    <row r="128" spans="1:11" ht="15.75" customHeight="1" x14ac:dyDescent="0.25">
      <c r="A128" s="24"/>
      <c r="B128" s="174"/>
      <c r="C128" s="24"/>
      <c r="D128" s="24"/>
      <c r="E128" s="24"/>
      <c r="K128" s="7"/>
    </row>
    <row r="129" spans="1:11" ht="15.75" customHeight="1" x14ac:dyDescent="0.25">
      <c r="A129" s="24"/>
      <c r="B129" s="174"/>
      <c r="C129" s="24"/>
      <c r="D129" s="24"/>
      <c r="E129" s="24"/>
      <c r="K129" s="7"/>
    </row>
    <row r="130" spans="1:11" ht="15.75" customHeight="1" x14ac:dyDescent="0.25">
      <c r="A130" s="24"/>
      <c r="B130" s="174"/>
      <c r="C130" s="24"/>
      <c r="D130" s="24"/>
      <c r="E130" s="24"/>
      <c r="K130" s="7"/>
    </row>
    <row r="131" spans="1:11" ht="15.75" customHeight="1" x14ac:dyDescent="0.25">
      <c r="A131" s="24"/>
      <c r="B131" s="174"/>
      <c r="C131" s="24"/>
      <c r="D131" s="24"/>
      <c r="E131" s="24"/>
      <c r="K131" s="7"/>
    </row>
    <row r="132" spans="1:11" ht="15.75" customHeight="1" x14ac:dyDescent="0.25">
      <c r="A132" s="24"/>
      <c r="B132" s="174"/>
      <c r="C132" s="24"/>
      <c r="D132" s="24"/>
      <c r="E132" s="24"/>
      <c r="K132" s="7"/>
    </row>
    <row r="133" spans="1:11" ht="15.75" customHeight="1" x14ac:dyDescent="0.25">
      <c r="A133" s="24"/>
      <c r="B133" s="174"/>
      <c r="C133" s="24"/>
      <c r="D133" s="24"/>
      <c r="E133" s="24"/>
      <c r="K133" s="7"/>
    </row>
    <row r="134" spans="1:11" ht="15.75" customHeight="1" x14ac:dyDescent="0.25">
      <c r="A134" s="24"/>
      <c r="B134" s="174"/>
      <c r="C134" s="24"/>
      <c r="D134" s="24"/>
      <c r="E134" s="24"/>
      <c r="K134" s="7"/>
    </row>
    <row r="135" spans="1:11" ht="15.75" customHeight="1" x14ac:dyDescent="0.25">
      <c r="A135" s="24"/>
      <c r="B135" s="174"/>
      <c r="C135" s="24"/>
      <c r="D135" s="24"/>
      <c r="E135" s="24"/>
      <c r="K135" s="7"/>
    </row>
    <row r="136" spans="1:11" ht="15.75" customHeight="1" x14ac:dyDescent="0.25">
      <c r="A136" s="24"/>
      <c r="B136" s="174"/>
      <c r="C136" s="24"/>
      <c r="D136" s="24"/>
      <c r="E136" s="24"/>
      <c r="K136" s="7"/>
    </row>
    <row r="137" spans="1:11" ht="15.75" customHeight="1" x14ac:dyDescent="0.25">
      <c r="A137" s="24"/>
      <c r="B137" s="174"/>
      <c r="C137" s="24"/>
      <c r="D137" s="24"/>
      <c r="E137" s="24"/>
      <c r="K137" s="7"/>
    </row>
    <row r="138" spans="1:11" ht="15.75" customHeight="1" x14ac:dyDescent="0.25">
      <c r="A138" s="24"/>
      <c r="B138" s="174"/>
      <c r="C138" s="24"/>
      <c r="D138" s="24"/>
      <c r="E138" s="24"/>
      <c r="K138" s="7"/>
    </row>
    <row r="139" spans="1:11" ht="15.75" customHeight="1" x14ac:dyDescent="0.25">
      <c r="A139" s="24"/>
      <c r="B139" s="174"/>
      <c r="C139" s="24"/>
      <c r="D139" s="24"/>
      <c r="E139" s="24"/>
      <c r="K139" s="7"/>
    </row>
    <row r="140" spans="1:11" ht="15.75" customHeight="1" x14ac:dyDescent="0.25">
      <c r="A140" s="24"/>
      <c r="B140" s="174"/>
      <c r="C140" s="24"/>
      <c r="D140" s="24"/>
      <c r="E140" s="24"/>
      <c r="K140" s="7"/>
    </row>
    <row r="141" spans="1:11" ht="15.75" customHeight="1" x14ac:dyDescent="0.25">
      <c r="A141" s="24"/>
      <c r="B141" s="174"/>
      <c r="C141" s="24"/>
      <c r="D141" s="24"/>
      <c r="E141" s="24"/>
      <c r="K141" s="7"/>
    </row>
    <row r="142" spans="1:11" ht="15.75" customHeight="1" x14ac:dyDescent="0.25">
      <c r="A142" s="24"/>
      <c r="B142" s="174"/>
      <c r="C142" s="24"/>
      <c r="D142" s="24"/>
      <c r="E142" s="24"/>
      <c r="K142" s="7"/>
    </row>
    <row r="143" spans="1:11" ht="15.75" customHeight="1" x14ac:dyDescent="0.25">
      <c r="A143" s="24"/>
      <c r="B143" s="174"/>
      <c r="C143" s="24"/>
      <c r="D143" s="24"/>
      <c r="E143" s="24"/>
      <c r="K143" s="7"/>
    </row>
    <row r="144" spans="1:11" ht="15.75" customHeight="1" x14ac:dyDescent="0.25">
      <c r="A144" s="24"/>
      <c r="B144" s="174"/>
      <c r="C144" s="24"/>
      <c r="D144" s="24"/>
      <c r="E144" s="24"/>
      <c r="K144" s="7"/>
    </row>
    <row r="145" spans="1:11" ht="15.75" customHeight="1" x14ac:dyDescent="0.25">
      <c r="A145" s="24"/>
      <c r="B145" s="174"/>
      <c r="C145" s="24"/>
      <c r="D145" s="24"/>
      <c r="E145" s="24"/>
      <c r="K145" s="7"/>
    </row>
    <row r="146" spans="1:11" ht="15.75" customHeight="1" x14ac:dyDescent="0.25">
      <c r="A146" s="24"/>
      <c r="B146" s="174"/>
      <c r="C146" s="24"/>
      <c r="D146" s="24"/>
      <c r="E146" s="24"/>
      <c r="K146" s="7"/>
    </row>
    <row r="147" spans="1:11" ht="15.75" customHeight="1" x14ac:dyDescent="0.25">
      <c r="A147" s="24"/>
      <c r="B147" s="174"/>
      <c r="C147" s="24"/>
      <c r="D147" s="24"/>
      <c r="E147" s="24"/>
      <c r="K147" s="7"/>
    </row>
    <row r="148" spans="1:11" ht="15.75" customHeight="1" x14ac:dyDescent="0.25">
      <c r="A148" s="24"/>
      <c r="B148" s="174"/>
      <c r="C148" s="24"/>
      <c r="D148" s="24"/>
      <c r="E148" s="24"/>
      <c r="K148" s="7"/>
    </row>
    <row r="149" spans="1:11" ht="15.75" customHeight="1" x14ac:dyDescent="0.25">
      <c r="A149" s="24"/>
      <c r="B149" s="174"/>
      <c r="C149" s="24"/>
      <c r="D149" s="24"/>
      <c r="E149" s="24"/>
      <c r="K149" s="7"/>
    </row>
    <row r="150" spans="1:11" ht="15.75" customHeight="1" x14ac:dyDescent="0.25">
      <c r="A150" s="24"/>
      <c r="B150" s="174"/>
      <c r="C150" s="24"/>
      <c r="D150" s="24"/>
      <c r="E150" s="24"/>
      <c r="K150" s="7"/>
    </row>
    <row r="151" spans="1:11" ht="15.75" customHeight="1" x14ac:dyDescent="0.25">
      <c r="A151" s="24"/>
      <c r="B151" s="174"/>
      <c r="C151" s="24"/>
      <c r="D151" s="24"/>
      <c r="E151" s="24"/>
      <c r="K151" s="7"/>
    </row>
    <row r="152" spans="1:11" ht="15.75" customHeight="1" x14ac:dyDescent="0.25">
      <c r="A152" s="24"/>
      <c r="B152" s="174"/>
      <c r="C152" s="24"/>
      <c r="D152" s="24"/>
      <c r="E152" s="24"/>
      <c r="K152" s="7"/>
    </row>
    <row r="153" spans="1:11" ht="15.75" customHeight="1" x14ac:dyDescent="0.25">
      <c r="A153" s="24"/>
      <c r="B153" s="174"/>
      <c r="C153" s="24"/>
      <c r="D153" s="24"/>
      <c r="E153" s="24"/>
      <c r="K153" s="7"/>
    </row>
    <row r="154" spans="1:11" ht="15.75" customHeight="1" x14ac:dyDescent="0.25">
      <c r="A154" s="24"/>
      <c r="B154" s="174"/>
      <c r="C154" s="24"/>
      <c r="D154" s="24"/>
      <c r="E154" s="24"/>
      <c r="K154" s="7"/>
    </row>
    <row r="155" spans="1:11" ht="15.75" customHeight="1" x14ac:dyDescent="0.25">
      <c r="A155" s="24"/>
      <c r="B155" s="174"/>
      <c r="C155" s="24"/>
      <c r="D155" s="24"/>
      <c r="E155" s="24"/>
      <c r="K155" s="7"/>
    </row>
    <row r="156" spans="1:11" ht="15.75" customHeight="1" x14ac:dyDescent="0.25">
      <c r="A156" s="24"/>
      <c r="B156" s="174"/>
      <c r="C156" s="24"/>
      <c r="D156" s="24"/>
      <c r="E156" s="24"/>
      <c r="K156" s="7"/>
    </row>
    <row r="157" spans="1:11" ht="15.75" customHeight="1" x14ac:dyDescent="0.25">
      <c r="A157" s="24"/>
      <c r="B157" s="174"/>
      <c r="C157" s="24"/>
      <c r="D157" s="24"/>
      <c r="E157" s="24"/>
      <c r="K157" s="7"/>
    </row>
    <row r="158" spans="1:11" ht="15.75" customHeight="1" x14ac:dyDescent="0.25">
      <c r="A158" s="24"/>
      <c r="B158" s="174"/>
      <c r="C158" s="24"/>
      <c r="D158" s="24"/>
      <c r="E158" s="24"/>
      <c r="K158" s="7"/>
    </row>
    <row r="159" spans="1:11" ht="15.75" customHeight="1" x14ac:dyDescent="0.25">
      <c r="A159" s="24"/>
      <c r="B159" s="174"/>
      <c r="C159" s="24"/>
      <c r="D159" s="24"/>
      <c r="E159" s="24"/>
      <c r="K159" s="7"/>
    </row>
    <row r="160" spans="1:11" ht="15.75" customHeight="1" x14ac:dyDescent="0.25">
      <c r="A160" s="24"/>
      <c r="B160" s="174"/>
      <c r="C160" s="24"/>
      <c r="D160" s="24"/>
      <c r="E160" s="24"/>
      <c r="K160" s="7"/>
    </row>
    <row r="161" spans="1:11" ht="15.75" customHeight="1" x14ac:dyDescent="0.25">
      <c r="A161" s="24"/>
      <c r="B161" s="174"/>
      <c r="C161" s="24"/>
      <c r="D161" s="24"/>
      <c r="E161" s="24"/>
      <c r="K161" s="7"/>
    </row>
    <row r="162" spans="1:11" ht="15.75" customHeight="1" x14ac:dyDescent="0.25">
      <c r="A162" s="24"/>
      <c r="B162" s="174"/>
      <c r="C162" s="24"/>
      <c r="D162" s="24"/>
      <c r="E162" s="24"/>
      <c r="K162" s="7"/>
    </row>
    <row r="163" spans="1:11" ht="15.75" customHeight="1" x14ac:dyDescent="0.25">
      <c r="A163" s="24"/>
      <c r="B163" s="174"/>
      <c r="C163" s="24"/>
      <c r="D163" s="24"/>
      <c r="E163" s="24"/>
      <c r="K163" s="7"/>
    </row>
    <row r="164" spans="1:11" ht="15.75" customHeight="1" x14ac:dyDescent="0.25">
      <c r="A164" s="24"/>
      <c r="B164" s="174"/>
      <c r="C164" s="24"/>
      <c r="D164" s="24"/>
      <c r="E164" s="24"/>
      <c r="K164" s="7"/>
    </row>
    <row r="165" spans="1:11" ht="15.75" customHeight="1" x14ac:dyDescent="0.25">
      <c r="A165" s="24"/>
      <c r="B165" s="174"/>
      <c r="C165" s="24"/>
      <c r="D165" s="24"/>
      <c r="E165" s="24"/>
      <c r="K165" s="7"/>
    </row>
    <row r="166" spans="1:11" ht="15.75" customHeight="1" x14ac:dyDescent="0.25">
      <c r="A166" s="24"/>
      <c r="B166" s="174"/>
      <c r="C166" s="24"/>
      <c r="D166" s="24"/>
      <c r="E166" s="24"/>
      <c r="K166" s="7"/>
    </row>
    <row r="167" spans="1:11" ht="15.75" customHeight="1" x14ac:dyDescent="0.25">
      <c r="A167" s="24"/>
      <c r="B167" s="174"/>
      <c r="C167" s="24"/>
      <c r="D167" s="24"/>
      <c r="E167" s="24"/>
      <c r="K167" s="7"/>
    </row>
    <row r="168" spans="1:11" ht="15.75" customHeight="1" x14ac:dyDescent="0.25">
      <c r="A168" s="24"/>
      <c r="B168" s="174"/>
      <c r="C168" s="24"/>
      <c r="D168" s="24"/>
      <c r="E168" s="24"/>
      <c r="K168" s="7"/>
    </row>
    <row r="169" spans="1:11" ht="15.75" customHeight="1" x14ac:dyDescent="0.25">
      <c r="A169" s="24"/>
      <c r="B169" s="174"/>
      <c r="C169" s="24"/>
      <c r="D169" s="24"/>
      <c r="E169" s="24"/>
      <c r="K169" s="7"/>
    </row>
    <row r="170" spans="1:11" ht="15.75" customHeight="1" x14ac:dyDescent="0.25">
      <c r="A170" s="24"/>
      <c r="B170" s="174"/>
      <c r="C170" s="24"/>
      <c r="D170" s="24"/>
      <c r="E170" s="24"/>
      <c r="K170" s="7"/>
    </row>
    <row r="171" spans="1:11" ht="15.75" customHeight="1" x14ac:dyDescent="0.25">
      <c r="A171" s="24"/>
      <c r="B171" s="174"/>
      <c r="C171" s="24"/>
      <c r="D171" s="24"/>
      <c r="E171" s="24"/>
      <c r="K171" s="7"/>
    </row>
    <row r="172" spans="1:11" ht="15.75" customHeight="1" x14ac:dyDescent="0.25">
      <c r="A172" s="24"/>
      <c r="B172" s="174"/>
      <c r="C172" s="24"/>
      <c r="D172" s="24"/>
      <c r="E172" s="24"/>
      <c r="K172" s="7"/>
    </row>
    <row r="173" spans="1:11" ht="15.75" customHeight="1" x14ac:dyDescent="0.25">
      <c r="A173" s="24"/>
      <c r="B173" s="174"/>
      <c r="C173" s="24"/>
      <c r="D173" s="24"/>
      <c r="E173" s="24"/>
      <c r="K173" s="7"/>
    </row>
    <row r="174" spans="1:11" ht="15.75" customHeight="1" x14ac:dyDescent="0.25">
      <c r="A174" s="24"/>
      <c r="B174" s="174"/>
      <c r="C174" s="24"/>
      <c r="D174" s="24"/>
      <c r="E174" s="24"/>
      <c r="K174" s="7"/>
    </row>
    <row r="175" spans="1:11" ht="15.75" customHeight="1" x14ac:dyDescent="0.25">
      <c r="A175" s="24"/>
      <c r="B175" s="174"/>
      <c r="C175" s="24"/>
      <c r="D175" s="24"/>
      <c r="E175" s="24"/>
      <c r="K175" s="7"/>
    </row>
    <row r="176" spans="1:11" ht="15.75" customHeight="1" x14ac:dyDescent="0.25">
      <c r="A176" s="24"/>
      <c r="B176" s="174"/>
      <c r="C176" s="24"/>
      <c r="D176" s="24"/>
      <c r="E176" s="24"/>
      <c r="K176" s="7"/>
    </row>
    <row r="177" spans="1:11" ht="15.75" customHeight="1" x14ac:dyDescent="0.25">
      <c r="A177" s="24"/>
      <c r="B177" s="174"/>
      <c r="C177" s="24"/>
      <c r="D177" s="24"/>
      <c r="E177" s="24"/>
      <c r="K177" s="7"/>
    </row>
    <row r="178" spans="1:11" ht="15.75" customHeight="1" x14ac:dyDescent="0.25">
      <c r="A178" s="24"/>
      <c r="B178" s="174"/>
      <c r="C178" s="24"/>
      <c r="D178" s="24"/>
      <c r="E178" s="24"/>
      <c r="K178" s="7"/>
    </row>
    <row r="179" spans="1:11" ht="15.75" customHeight="1" x14ac:dyDescent="0.25">
      <c r="A179" s="24"/>
      <c r="B179" s="174"/>
      <c r="C179" s="24"/>
      <c r="D179" s="24"/>
      <c r="E179" s="24"/>
      <c r="K179" s="7"/>
    </row>
    <row r="180" spans="1:11" ht="15.75" customHeight="1" x14ac:dyDescent="0.25">
      <c r="A180" s="24"/>
      <c r="B180" s="174"/>
      <c r="C180" s="24"/>
      <c r="D180" s="24"/>
      <c r="E180" s="24"/>
      <c r="K180" s="7"/>
    </row>
    <row r="181" spans="1:11" ht="15.75" customHeight="1" x14ac:dyDescent="0.25">
      <c r="A181" s="24"/>
      <c r="B181" s="174"/>
      <c r="C181" s="24"/>
      <c r="D181" s="24"/>
      <c r="E181" s="24"/>
      <c r="K181" s="7"/>
    </row>
    <row r="182" spans="1:11" ht="15.75" customHeight="1" x14ac:dyDescent="0.25">
      <c r="A182" s="24"/>
      <c r="B182" s="174"/>
      <c r="C182" s="24"/>
      <c r="D182" s="24"/>
      <c r="E182" s="24"/>
      <c r="K182" s="7"/>
    </row>
    <row r="183" spans="1:11" ht="15.75" customHeight="1" x14ac:dyDescent="0.25">
      <c r="A183" s="24"/>
      <c r="B183" s="174"/>
      <c r="C183" s="24"/>
      <c r="D183" s="24"/>
      <c r="E183" s="24"/>
      <c r="K183" s="7"/>
    </row>
    <row r="184" spans="1:11" ht="15.75" customHeight="1" x14ac:dyDescent="0.25">
      <c r="A184" s="24"/>
      <c r="B184" s="174"/>
      <c r="C184" s="24"/>
      <c r="D184" s="24"/>
      <c r="E184" s="24"/>
      <c r="K184" s="7"/>
    </row>
    <row r="185" spans="1:11" ht="15.75" customHeight="1" x14ac:dyDescent="0.25">
      <c r="A185" s="24"/>
      <c r="B185" s="174"/>
      <c r="C185" s="24"/>
      <c r="D185" s="24"/>
      <c r="E185" s="24"/>
      <c r="K185" s="7"/>
    </row>
    <row r="186" spans="1:11" ht="15.75" customHeight="1" x14ac:dyDescent="0.25">
      <c r="A186" s="24"/>
      <c r="B186" s="174"/>
      <c r="C186" s="24"/>
      <c r="D186" s="24"/>
      <c r="E186" s="24"/>
      <c r="K186" s="7"/>
    </row>
    <row r="187" spans="1:11" ht="15.75" customHeight="1" x14ac:dyDescent="0.25">
      <c r="A187" s="24"/>
      <c r="B187" s="174"/>
      <c r="C187" s="24"/>
      <c r="D187" s="24"/>
      <c r="E187" s="24"/>
      <c r="K187" s="7"/>
    </row>
    <row r="188" spans="1:11" ht="15.75" customHeight="1" x14ac:dyDescent="0.25">
      <c r="A188" s="24"/>
      <c r="B188" s="174"/>
      <c r="C188" s="24"/>
      <c r="D188" s="24"/>
      <c r="E188" s="24"/>
      <c r="K188" s="7"/>
    </row>
    <row r="189" spans="1:11" ht="15.75" customHeight="1" x14ac:dyDescent="0.25">
      <c r="A189" s="24"/>
      <c r="B189" s="174"/>
      <c r="C189" s="24"/>
      <c r="D189" s="24"/>
      <c r="E189" s="24"/>
      <c r="K189" s="7"/>
    </row>
    <row r="190" spans="1:11" ht="15.75" customHeight="1" x14ac:dyDescent="0.25">
      <c r="A190" s="24"/>
      <c r="B190" s="174"/>
      <c r="C190" s="24"/>
      <c r="D190" s="24"/>
      <c r="E190" s="24"/>
      <c r="K190" s="7"/>
    </row>
    <row r="191" spans="1:11" ht="15.75" customHeight="1" x14ac:dyDescent="0.25">
      <c r="A191" s="24"/>
      <c r="B191" s="174"/>
      <c r="C191" s="24"/>
      <c r="D191" s="24"/>
      <c r="E191" s="24"/>
      <c r="K191" s="7"/>
    </row>
    <row r="192" spans="1:11" ht="15.75" customHeight="1" x14ac:dyDescent="0.25">
      <c r="A192" s="24"/>
      <c r="B192" s="174"/>
      <c r="C192" s="24"/>
      <c r="D192" s="24"/>
      <c r="E192" s="24"/>
      <c r="K192" s="7"/>
    </row>
    <row r="193" spans="1:11" ht="15.75" customHeight="1" x14ac:dyDescent="0.25">
      <c r="A193" s="24"/>
      <c r="B193" s="174"/>
      <c r="C193" s="24"/>
      <c r="D193" s="24"/>
      <c r="E193" s="24"/>
      <c r="K193" s="7"/>
    </row>
    <row r="194" spans="1:11" ht="15.75" customHeight="1" x14ac:dyDescent="0.25">
      <c r="A194" s="24"/>
      <c r="B194" s="174"/>
      <c r="C194" s="24"/>
      <c r="D194" s="24"/>
      <c r="E194" s="24"/>
      <c r="K194" s="7"/>
    </row>
    <row r="195" spans="1:11" ht="15.75" customHeight="1" x14ac:dyDescent="0.25">
      <c r="A195" s="24"/>
      <c r="B195" s="174"/>
      <c r="C195" s="24"/>
      <c r="D195" s="24"/>
      <c r="E195" s="24"/>
      <c r="K195" s="7"/>
    </row>
    <row r="196" spans="1:11" ht="15.75" customHeight="1" x14ac:dyDescent="0.25">
      <c r="A196" s="24"/>
      <c r="B196" s="174"/>
      <c r="C196" s="24"/>
      <c r="D196" s="24"/>
      <c r="E196" s="24"/>
      <c r="K196" s="7"/>
    </row>
    <row r="197" spans="1:11" ht="15.75" customHeight="1" x14ac:dyDescent="0.25">
      <c r="A197" s="24"/>
      <c r="B197" s="174"/>
      <c r="C197" s="24"/>
      <c r="D197" s="24"/>
      <c r="E197" s="24"/>
      <c r="K197" s="7"/>
    </row>
    <row r="198" spans="1:11" ht="15.75" customHeight="1" x14ac:dyDescent="0.25">
      <c r="A198" s="24"/>
      <c r="B198" s="174"/>
      <c r="C198" s="24"/>
      <c r="D198" s="24"/>
      <c r="E198" s="24"/>
      <c r="K198" s="7"/>
    </row>
    <row r="199" spans="1:11" ht="15.75" customHeight="1" x14ac:dyDescent="0.25">
      <c r="A199" s="24"/>
      <c r="B199" s="174"/>
      <c r="C199" s="24"/>
      <c r="D199" s="24"/>
      <c r="E199" s="24"/>
      <c r="K199" s="7"/>
    </row>
    <row r="200" spans="1:11" ht="15.75" customHeight="1" x14ac:dyDescent="0.25">
      <c r="A200" s="24"/>
      <c r="B200" s="174"/>
      <c r="C200" s="24"/>
      <c r="D200" s="24"/>
      <c r="E200" s="24"/>
      <c r="K200" s="7"/>
    </row>
    <row r="201" spans="1:11" ht="15.75" customHeight="1" x14ac:dyDescent="0.25">
      <c r="A201" s="24"/>
      <c r="B201" s="174"/>
      <c r="C201" s="24"/>
      <c r="D201" s="24"/>
      <c r="E201" s="24"/>
      <c r="K201" s="7"/>
    </row>
    <row r="202" spans="1:11" ht="15.75" customHeight="1" x14ac:dyDescent="0.25">
      <c r="A202" s="24"/>
      <c r="B202" s="174"/>
      <c r="C202" s="24"/>
      <c r="D202" s="24"/>
      <c r="E202" s="24"/>
      <c r="K202" s="7"/>
    </row>
    <row r="203" spans="1:11" ht="15.75" customHeight="1" x14ac:dyDescent="0.25">
      <c r="A203" s="24"/>
      <c r="B203" s="174"/>
      <c r="C203" s="24"/>
      <c r="D203" s="24"/>
      <c r="E203" s="24"/>
      <c r="K203" s="7"/>
    </row>
    <row r="204" spans="1:11" ht="15.75" customHeight="1" x14ac:dyDescent="0.25">
      <c r="A204" s="24"/>
      <c r="B204" s="174"/>
      <c r="C204" s="24"/>
      <c r="D204" s="24"/>
      <c r="E204" s="24"/>
      <c r="K204" s="7"/>
    </row>
    <row r="205" spans="1:11" ht="15.75" customHeight="1" x14ac:dyDescent="0.25">
      <c r="A205" s="24"/>
      <c r="B205" s="174"/>
      <c r="C205" s="24"/>
      <c r="D205" s="24"/>
      <c r="E205" s="24"/>
      <c r="K205" s="7"/>
    </row>
    <row r="206" spans="1:11" ht="15.75" customHeight="1" x14ac:dyDescent="0.25">
      <c r="A206" s="24"/>
      <c r="B206" s="174"/>
      <c r="C206" s="24"/>
      <c r="D206" s="24"/>
      <c r="E206" s="24"/>
      <c r="K206" s="7"/>
    </row>
    <row r="207" spans="1:11" ht="15.75" customHeight="1" x14ac:dyDescent="0.25">
      <c r="A207" s="24"/>
      <c r="B207" s="174"/>
      <c r="C207" s="24"/>
      <c r="D207" s="24"/>
      <c r="E207" s="24"/>
      <c r="K207" s="7"/>
    </row>
    <row r="208" spans="1:11" ht="15.75" customHeight="1" x14ac:dyDescent="0.25">
      <c r="A208" s="24"/>
      <c r="B208" s="174"/>
      <c r="C208" s="24"/>
      <c r="D208" s="24"/>
      <c r="E208" s="24"/>
      <c r="K208" s="7"/>
    </row>
    <row r="209" spans="1:11" ht="15.75" customHeight="1" x14ac:dyDescent="0.25">
      <c r="A209" s="24"/>
      <c r="B209" s="174"/>
      <c r="C209" s="24"/>
      <c r="D209" s="24"/>
      <c r="E209" s="24"/>
      <c r="K209" s="7"/>
    </row>
    <row r="210" spans="1:11" ht="15.75" customHeight="1" x14ac:dyDescent="0.25">
      <c r="A210" s="24"/>
      <c r="B210" s="174"/>
      <c r="C210" s="24"/>
      <c r="D210" s="24"/>
      <c r="E210" s="24"/>
      <c r="K210" s="7"/>
    </row>
    <row r="211" spans="1:11" ht="15.75" customHeight="1" x14ac:dyDescent="0.25">
      <c r="A211" s="24"/>
      <c r="B211" s="174"/>
      <c r="C211" s="24"/>
      <c r="D211" s="24"/>
      <c r="E211" s="24"/>
      <c r="K211" s="7"/>
    </row>
    <row r="212" spans="1:11" ht="15.75" customHeight="1" x14ac:dyDescent="0.25">
      <c r="A212" s="24"/>
      <c r="B212" s="174"/>
      <c r="C212" s="24"/>
      <c r="D212" s="24"/>
      <c r="E212" s="24"/>
      <c r="K212" s="7"/>
    </row>
    <row r="213" spans="1:11" ht="15.75" customHeight="1" x14ac:dyDescent="0.25">
      <c r="A213" s="24"/>
      <c r="B213" s="174"/>
      <c r="C213" s="24"/>
      <c r="D213" s="24"/>
      <c r="E213" s="24"/>
      <c r="K213" s="7"/>
    </row>
    <row r="214" spans="1:11" ht="15.75" customHeight="1" x14ac:dyDescent="0.25">
      <c r="A214" s="24"/>
      <c r="B214" s="174"/>
      <c r="C214" s="24"/>
      <c r="D214" s="24"/>
      <c r="E214" s="24"/>
      <c r="K214" s="7"/>
    </row>
    <row r="215" spans="1:11" ht="15.75" customHeight="1" x14ac:dyDescent="0.25">
      <c r="A215" s="24"/>
      <c r="B215" s="174"/>
      <c r="C215" s="24"/>
      <c r="D215" s="24"/>
      <c r="E215" s="24"/>
      <c r="K215" s="7"/>
    </row>
    <row r="216" spans="1:11" ht="15.75" customHeight="1" x14ac:dyDescent="0.25">
      <c r="A216" s="24"/>
      <c r="B216" s="174"/>
      <c r="C216" s="24"/>
      <c r="D216" s="24"/>
      <c r="E216" s="24"/>
      <c r="K216" s="7"/>
    </row>
    <row r="217" spans="1:11" ht="15.75" customHeight="1" x14ac:dyDescent="0.25">
      <c r="A217" s="24"/>
      <c r="B217" s="174"/>
      <c r="C217" s="24"/>
      <c r="D217" s="24"/>
      <c r="E217" s="24"/>
      <c r="K217" s="7"/>
    </row>
    <row r="218" spans="1:11" ht="15.75" customHeight="1" x14ac:dyDescent="0.25">
      <c r="A218" s="24"/>
      <c r="B218" s="174"/>
      <c r="C218" s="24"/>
      <c r="D218" s="24"/>
      <c r="E218" s="24"/>
      <c r="K218" s="7"/>
    </row>
    <row r="219" spans="1:11" ht="15.75" customHeight="1" x14ac:dyDescent="0.25">
      <c r="A219" s="24"/>
      <c r="B219" s="174"/>
      <c r="C219" s="24"/>
      <c r="D219" s="24"/>
      <c r="E219" s="24"/>
      <c r="K219" s="7"/>
    </row>
    <row r="220" spans="1:11" ht="15.75" customHeight="1" x14ac:dyDescent="0.25">
      <c r="A220" s="24"/>
      <c r="B220" s="174"/>
      <c r="C220" s="24"/>
      <c r="D220" s="24"/>
      <c r="E220" s="24"/>
      <c r="K220" s="7"/>
    </row>
    <row r="221" spans="1:11" ht="15.75" customHeight="1" x14ac:dyDescent="0.25">
      <c r="A221" s="24"/>
      <c r="B221" s="174"/>
      <c r="C221" s="24"/>
      <c r="D221" s="24"/>
      <c r="E221" s="24"/>
      <c r="K221" s="7"/>
    </row>
    <row r="222" spans="1:11" ht="15.75" customHeight="1" x14ac:dyDescent="0.25">
      <c r="A222" s="24"/>
      <c r="B222" s="174"/>
      <c r="C222" s="24"/>
      <c r="D222" s="24"/>
      <c r="E222" s="24"/>
      <c r="K222" s="7"/>
    </row>
    <row r="223" spans="1:11" ht="15.75" customHeight="1" x14ac:dyDescent="0.25">
      <c r="A223" s="24"/>
      <c r="B223" s="174"/>
      <c r="C223" s="24"/>
      <c r="D223" s="24"/>
      <c r="E223" s="24"/>
      <c r="K223" s="7"/>
    </row>
    <row r="224" spans="1:11" ht="15.75" customHeight="1" x14ac:dyDescent="0.25">
      <c r="A224" s="24"/>
      <c r="B224" s="174"/>
      <c r="C224" s="24"/>
      <c r="D224" s="24"/>
      <c r="E224" s="24"/>
      <c r="K224" s="7"/>
    </row>
    <row r="225" spans="1:11" ht="15.75" customHeight="1" x14ac:dyDescent="0.25">
      <c r="A225" s="24"/>
      <c r="B225" s="174"/>
      <c r="C225" s="24"/>
      <c r="D225" s="24"/>
      <c r="E225" s="24"/>
      <c r="K225" s="7"/>
    </row>
    <row r="226" spans="1:11" ht="15.75" customHeight="1" x14ac:dyDescent="0.25">
      <c r="A226" s="24"/>
      <c r="B226" s="174"/>
      <c r="C226" s="24"/>
      <c r="D226" s="24"/>
      <c r="E226" s="24"/>
      <c r="K226" s="7"/>
    </row>
    <row r="227" spans="1:11" ht="15.75" customHeight="1" x14ac:dyDescent="0.25">
      <c r="A227" s="24"/>
      <c r="B227" s="174"/>
      <c r="C227" s="24"/>
      <c r="D227" s="24"/>
      <c r="E227" s="24"/>
      <c r="K227" s="7"/>
    </row>
    <row r="228" spans="1:11" ht="15.75" customHeight="1" x14ac:dyDescent="0.25">
      <c r="A228" s="24"/>
      <c r="B228" s="174"/>
      <c r="C228" s="24"/>
      <c r="D228" s="24"/>
      <c r="E228" s="24"/>
      <c r="K228" s="7"/>
    </row>
    <row r="229" spans="1:11" ht="15.75" customHeight="1" x14ac:dyDescent="0.25">
      <c r="A229" s="24"/>
      <c r="B229" s="174"/>
      <c r="C229" s="24"/>
      <c r="D229" s="24"/>
      <c r="E229" s="24"/>
      <c r="K229" s="7"/>
    </row>
    <row r="230" spans="1:11" ht="15.75" customHeight="1" x14ac:dyDescent="0.25">
      <c r="A230" s="24"/>
      <c r="B230" s="174"/>
      <c r="C230" s="24"/>
      <c r="D230" s="24"/>
      <c r="E230" s="24"/>
      <c r="K230" s="7"/>
    </row>
    <row r="231" spans="1:11" ht="15.75" customHeight="1" x14ac:dyDescent="0.25">
      <c r="A231" s="24"/>
      <c r="B231" s="174"/>
      <c r="C231" s="24"/>
      <c r="D231" s="24"/>
      <c r="E231" s="24"/>
      <c r="K231" s="7"/>
    </row>
    <row r="232" spans="1:11" ht="15.75" customHeight="1" x14ac:dyDescent="0.25">
      <c r="A232" s="24"/>
      <c r="B232" s="174"/>
      <c r="C232" s="24"/>
      <c r="D232" s="24"/>
      <c r="E232" s="24"/>
      <c r="K232" s="7"/>
    </row>
    <row r="233" spans="1:11" ht="15.75" customHeight="1" x14ac:dyDescent="0.25">
      <c r="A233" s="24"/>
      <c r="B233" s="174"/>
      <c r="C233" s="24"/>
      <c r="D233" s="24"/>
      <c r="E233" s="24"/>
      <c r="K233" s="7"/>
    </row>
    <row r="234" spans="1:11" ht="15.75" customHeight="1" x14ac:dyDescent="0.25">
      <c r="A234" s="24"/>
      <c r="B234" s="174"/>
      <c r="C234" s="24"/>
      <c r="D234" s="24"/>
      <c r="E234" s="24"/>
      <c r="K234" s="7"/>
    </row>
    <row r="235" spans="1:11" ht="15.75" customHeight="1" x14ac:dyDescent="0.25">
      <c r="A235" s="24"/>
      <c r="B235" s="174"/>
      <c r="C235" s="24"/>
      <c r="D235" s="24"/>
      <c r="E235" s="24"/>
      <c r="K235" s="7"/>
    </row>
    <row r="236" spans="1:11" ht="15.75" customHeight="1" x14ac:dyDescent="0.25"/>
    <row r="237" spans="1:11" ht="15.75" customHeight="1" x14ac:dyDescent="0.25"/>
    <row r="238" spans="1:11" ht="15.75" customHeight="1" x14ac:dyDescent="0.25"/>
    <row r="239" spans="1:11" ht="15.75" customHeight="1" x14ac:dyDescent="0.25"/>
    <row r="240" spans="1:1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sheetPr>
  <dimension ref="A1:Z1017"/>
  <sheetViews>
    <sheetView view="pageBreakPreview" topLeftCell="A85" zoomScale="115" zoomScaleNormal="115" zoomScaleSheetLayoutView="115" workbookViewId="0">
      <selection activeCell="A84" sqref="A84"/>
    </sheetView>
  </sheetViews>
  <sheetFormatPr defaultColWidth="14.42578125" defaultRowHeight="15" customHeight="1" x14ac:dyDescent="0.25"/>
  <cols>
    <col min="1" max="1" width="69.42578125" customWidth="1"/>
    <col min="2" max="2" width="17.42578125" customWidth="1"/>
    <col min="3" max="6" width="18.28515625" hidden="1" customWidth="1"/>
    <col min="7" max="7" width="18.28515625" customWidth="1"/>
    <col min="8" max="8" width="8.5703125" hidden="1" customWidth="1"/>
    <col min="9" max="10" width="7.7109375" hidden="1" customWidth="1"/>
    <col min="11" max="11" width="12.28515625" hidden="1" customWidth="1"/>
    <col min="12" max="16" width="10.28515625" hidden="1" customWidth="1"/>
    <col min="17" max="26" width="10.28515625" customWidth="1"/>
  </cols>
  <sheetData>
    <row r="1" spans="1:26" ht="15.75" customHeight="1" x14ac:dyDescent="0.25">
      <c r="A1" s="9"/>
      <c r="B1" s="10"/>
      <c r="C1" s="11"/>
      <c r="D1" s="11"/>
      <c r="E1" s="11"/>
      <c r="F1" s="12"/>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4"/>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3.5" customHeight="1" x14ac:dyDescent="0.25">
      <c r="A5" s="21"/>
      <c r="B5" s="18"/>
      <c r="C5" s="18"/>
      <c r="D5" s="18"/>
      <c r="E5" s="18"/>
      <c r="F5" s="22"/>
      <c r="G5" s="23"/>
      <c r="H5" s="15"/>
      <c r="I5" s="15"/>
      <c r="J5" s="15"/>
      <c r="K5" s="16"/>
      <c r="L5" s="15"/>
      <c r="M5" s="15"/>
      <c r="N5" s="15"/>
      <c r="O5" s="15"/>
      <c r="P5" s="15"/>
      <c r="Q5" s="15"/>
      <c r="R5" s="15"/>
      <c r="S5" s="15"/>
      <c r="T5" s="15"/>
      <c r="U5" s="15"/>
      <c r="V5" s="15"/>
      <c r="W5" s="15"/>
      <c r="X5" s="15"/>
      <c r="Y5" s="15"/>
      <c r="Z5" s="15"/>
    </row>
    <row r="6" spans="1:26" ht="15.75" customHeight="1" x14ac:dyDescent="0.25">
      <c r="A6" s="17" t="s">
        <v>351</v>
      </c>
      <c r="B6" s="24"/>
      <c r="C6" s="25"/>
      <c r="D6" s="25"/>
      <c r="E6" s="25"/>
      <c r="F6" s="26"/>
      <c r="G6" s="19"/>
      <c r="H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6"/>
      <c r="G7" s="19"/>
      <c r="H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59" t="s">
        <v>360</v>
      </c>
      <c r="G10" s="858"/>
      <c r="H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J12" s="15"/>
      <c r="K12" s="16"/>
      <c r="L12" s="15"/>
      <c r="M12" s="15"/>
      <c r="N12" s="15"/>
      <c r="O12" s="15"/>
      <c r="P12" s="15"/>
      <c r="Q12" s="15"/>
      <c r="R12" s="15"/>
      <c r="S12" s="15"/>
      <c r="T12" s="15"/>
      <c r="U12" s="15"/>
      <c r="V12" s="15"/>
      <c r="W12" s="15"/>
      <c r="X12" s="15"/>
      <c r="Y12" s="15"/>
      <c r="Z12" s="15"/>
    </row>
    <row r="13" spans="1:26" ht="15.75" customHeight="1" x14ac:dyDescent="0.25">
      <c r="A13" s="37" t="s">
        <v>364</v>
      </c>
      <c r="B13" s="38"/>
      <c r="C13" s="37"/>
      <c r="D13" s="37"/>
      <c r="E13" s="13"/>
      <c r="F13" s="39"/>
      <c r="G13" s="37"/>
      <c r="K13" s="40"/>
    </row>
    <row r="14" spans="1:26" ht="15.75" customHeight="1" x14ac:dyDescent="0.25">
      <c r="A14" s="17" t="s">
        <v>365</v>
      </c>
      <c r="B14" s="41"/>
      <c r="C14" s="42"/>
      <c r="D14" s="42"/>
      <c r="E14" s="19"/>
      <c r="F14" s="43"/>
      <c r="G14" s="42"/>
      <c r="K14" s="40"/>
    </row>
    <row r="15" spans="1:26" ht="15.75" customHeight="1" x14ac:dyDescent="0.25">
      <c r="A15" s="17" t="s">
        <v>366</v>
      </c>
      <c r="B15" s="41"/>
      <c r="C15" s="42"/>
      <c r="D15" s="42"/>
      <c r="E15" s="19"/>
      <c r="F15" s="43"/>
      <c r="G15" s="42"/>
      <c r="K15" s="40"/>
    </row>
    <row r="16" spans="1:26" ht="15.75" customHeight="1" x14ac:dyDescent="0.25">
      <c r="A16" s="44" t="s">
        <v>367</v>
      </c>
      <c r="B16" s="41" t="s">
        <v>121</v>
      </c>
      <c r="C16" s="43">
        <v>44063197.130000003</v>
      </c>
      <c r="D16" s="43">
        <v>18695408.68</v>
      </c>
      <c r="E16" s="45">
        <f>F16-D16</f>
        <v>31013991.32</v>
      </c>
      <c r="F16" s="43">
        <v>49709400</v>
      </c>
      <c r="G16" s="43">
        <v>51913788</v>
      </c>
      <c r="K16" s="40"/>
    </row>
    <row r="17" spans="1:11" ht="15.75" customHeight="1" x14ac:dyDescent="0.25">
      <c r="A17" s="17" t="s">
        <v>368</v>
      </c>
      <c r="B17" s="41"/>
      <c r="C17" s="46"/>
      <c r="D17" s="46"/>
      <c r="E17" s="45"/>
      <c r="F17" s="43"/>
      <c r="G17" s="43"/>
      <c r="K17" s="40"/>
    </row>
    <row r="18" spans="1:11" ht="15.75" customHeight="1" x14ac:dyDescent="0.25">
      <c r="A18" s="44" t="s">
        <v>369</v>
      </c>
      <c r="B18" s="41" t="s">
        <v>125</v>
      </c>
      <c r="C18" s="43">
        <v>2262173.5299999998</v>
      </c>
      <c r="D18" s="43">
        <v>890243.39</v>
      </c>
      <c r="E18" s="45">
        <f t="shared" ref="E18:E23" si="0">F18-D18</f>
        <v>1413756.6099999999</v>
      </c>
      <c r="F18" s="43">
        <v>2304000</v>
      </c>
      <c r="G18" s="47">
        <v>2304000</v>
      </c>
      <c r="K18" s="40"/>
    </row>
    <row r="19" spans="1:11" ht="15.75" customHeight="1" x14ac:dyDescent="0.25">
      <c r="A19" s="44" t="s">
        <v>370</v>
      </c>
      <c r="B19" s="41" t="s">
        <v>127</v>
      </c>
      <c r="C19" s="43">
        <v>150000</v>
      </c>
      <c r="D19" s="43">
        <v>0</v>
      </c>
      <c r="E19" s="45">
        <f t="shared" si="0"/>
        <v>150000</v>
      </c>
      <c r="F19" s="43">
        <v>150000</v>
      </c>
      <c r="G19" s="47">
        <v>150000</v>
      </c>
      <c r="K19" s="40"/>
    </row>
    <row r="20" spans="1:11" ht="15.75" customHeight="1" x14ac:dyDescent="0.25">
      <c r="A20" s="44" t="s">
        <v>371</v>
      </c>
      <c r="B20" s="41" t="s">
        <v>372</v>
      </c>
      <c r="C20" s="43">
        <v>0</v>
      </c>
      <c r="D20" s="43">
        <v>0</v>
      </c>
      <c r="E20" s="45">
        <f t="shared" si="0"/>
        <v>150000</v>
      </c>
      <c r="F20" s="43">
        <v>150000</v>
      </c>
      <c r="G20" s="47">
        <v>150000</v>
      </c>
      <c r="K20" s="40"/>
    </row>
    <row r="21" spans="1:11" ht="15.75" customHeight="1" x14ac:dyDescent="0.25">
      <c r="A21" s="44" t="s">
        <v>373</v>
      </c>
      <c r="B21" s="41" t="s">
        <v>131</v>
      </c>
      <c r="C21" s="43">
        <v>595000</v>
      </c>
      <c r="D21" s="43">
        <v>595000</v>
      </c>
      <c r="E21" s="45">
        <f t="shared" si="0"/>
        <v>77000</v>
      </c>
      <c r="F21" s="43">
        <v>672000</v>
      </c>
      <c r="G21" s="47">
        <v>672000</v>
      </c>
      <c r="K21" s="40"/>
    </row>
    <row r="22" spans="1:11" ht="15.75" customHeight="1" x14ac:dyDescent="0.25">
      <c r="A22" s="44" t="s">
        <v>374</v>
      </c>
      <c r="B22" s="41" t="s">
        <v>151</v>
      </c>
      <c r="C22" s="43">
        <v>3699973.4</v>
      </c>
      <c r="D22" s="43">
        <v>0</v>
      </c>
      <c r="E22" s="45">
        <f t="shared" si="0"/>
        <v>4142450</v>
      </c>
      <c r="F22" s="43">
        <v>4142450</v>
      </c>
      <c r="G22" s="43">
        <v>4326149</v>
      </c>
      <c r="K22" s="40"/>
    </row>
    <row r="23" spans="1:11" ht="15.75" customHeight="1" x14ac:dyDescent="0.25">
      <c r="A23" s="44" t="s">
        <v>375</v>
      </c>
      <c r="B23" s="41" t="s">
        <v>153</v>
      </c>
      <c r="C23" s="43">
        <v>439500</v>
      </c>
      <c r="D23" s="43">
        <v>0</v>
      </c>
      <c r="E23" s="45">
        <f t="shared" si="0"/>
        <v>480000</v>
      </c>
      <c r="F23" s="43">
        <v>480000</v>
      </c>
      <c r="G23" s="43">
        <v>480000</v>
      </c>
      <c r="K23" s="40"/>
    </row>
    <row r="24" spans="1:11" ht="15.75" customHeight="1" x14ac:dyDescent="0.25">
      <c r="A24" s="44" t="s">
        <v>376</v>
      </c>
      <c r="B24" s="41" t="s">
        <v>155</v>
      </c>
      <c r="C24" s="46"/>
      <c r="D24" s="46"/>
      <c r="E24" s="45"/>
      <c r="F24" s="43"/>
      <c r="G24" s="43"/>
      <c r="K24" s="40"/>
    </row>
    <row r="25" spans="1:11" ht="15.75" customHeight="1" x14ac:dyDescent="0.25">
      <c r="A25" s="44" t="s">
        <v>377</v>
      </c>
      <c r="B25" s="41" t="s">
        <v>157</v>
      </c>
      <c r="C25" s="43">
        <v>30000</v>
      </c>
      <c r="D25" s="43">
        <v>20000</v>
      </c>
      <c r="E25" s="45">
        <f t="shared" ref="E25:E27" si="1">F25-D25</f>
        <v>0</v>
      </c>
      <c r="F25" s="43">
        <v>20000</v>
      </c>
      <c r="G25" s="43">
        <v>0</v>
      </c>
      <c r="K25" s="40"/>
    </row>
    <row r="26" spans="1:11" ht="15.75" customHeight="1" x14ac:dyDescent="0.25">
      <c r="A26" s="44" t="s">
        <v>378</v>
      </c>
      <c r="B26" s="41" t="s">
        <v>159</v>
      </c>
      <c r="C26" s="43">
        <v>0</v>
      </c>
      <c r="D26" s="43">
        <v>255000</v>
      </c>
      <c r="E26" s="45">
        <f t="shared" si="1"/>
        <v>33000</v>
      </c>
      <c r="F26" s="43">
        <v>288000</v>
      </c>
      <c r="G26" s="43">
        <v>0</v>
      </c>
      <c r="K26" s="40"/>
    </row>
    <row r="27" spans="1:11" ht="15.75" customHeight="1" x14ac:dyDescent="0.25">
      <c r="A27" s="44" t="s">
        <v>379</v>
      </c>
      <c r="B27" s="41" t="s">
        <v>161</v>
      </c>
      <c r="C27" s="43">
        <v>3662455</v>
      </c>
      <c r="D27" s="43">
        <v>3615584</v>
      </c>
      <c r="E27" s="45">
        <f t="shared" si="1"/>
        <v>526866</v>
      </c>
      <c r="F27" s="43">
        <v>4142450</v>
      </c>
      <c r="G27" s="43">
        <v>4326149</v>
      </c>
      <c r="K27" s="40"/>
    </row>
    <row r="28" spans="1:11" ht="15.75" customHeight="1" x14ac:dyDescent="0.25">
      <c r="A28" s="17" t="s">
        <v>380</v>
      </c>
      <c r="B28" s="41"/>
      <c r="C28" s="46"/>
      <c r="D28" s="46"/>
      <c r="E28" s="45"/>
      <c r="F28" s="43"/>
      <c r="G28" s="43"/>
      <c r="K28" s="40"/>
    </row>
    <row r="29" spans="1:11" ht="15.75" customHeight="1" x14ac:dyDescent="0.25">
      <c r="A29" s="44" t="s">
        <v>381</v>
      </c>
      <c r="B29" s="41" t="s">
        <v>165</v>
      </c>
      <c r="C29" s="43">
        <v>4720590.74</v>
      </c>
      <c r="D29" s="43">
        <v>1998559.63</v>
      </c>
      <c r="E29" s="45">
        <f t="shared" ref="E29:E32" si="2">F29-D29</f>
        <v>3966568.37</v>
      </c>
      <c r="F29" s="43">
        <v>5965128</v>
      </c>
      <c r="G29" s="43">
        <v>6229655</v>
      </c>
      <c r="K29" s="40"/>
    </row>
    <row r="30" spans="1:11" ht="15.75" customHeight="1" x14ac:dyDescent="0.25">
      <c r="A30" s="44" t="s">
        <v>382</v>
      </c>
      <c r="B30" s="41" t="s">
        <v>167</v>
      </c>
      <c r="C30" s="43">
        <v>729253.59</v>
      </c>
      <c r="D30" s="43">
        <v>308900.98</v>
      </c>
      <c r="E30" s="45">
        <f t="shared" si="2"/>
        <v>685287.02</v>
      </c>
      <c r="F30" s="43">
        <v>994188</v>
      </c>
      <c r="G30" s="43">
        <v>1038276</v>
      </c>
      <c r="K30" s="40"/>
    </row>
    <row r="31" spans="1:11" ht="15.75" customHeight="1" x14ac:dyDescent="0.25">
      <c r="A31" s="44" t="s">
        <v>383</v>
      </c>
      <c r="B31" s="41" t="s">
        <v>169</v>
      </c>
      <c r="C31" s="43">
        <v>1071952.1599999999</v>
      </c>
      <c r="D31" s="43">
        <v>454419.86</v>
      </c>
      <c r="E31" s="45">
        <f t="shared" si="2"/>
        <v>755653.14</v>
      </c>
      <c r="F31" s="43">
        <v>1210073</v>
      </c>
      <c r="G31" s="43">
        <v>1263094</v>
      </c>
      <c r="K31" s="40"/>
    </row>
    <row r="32" spans="1:11" ht="15.75" customHeight="1" x14ac:dyDescent="0.25">
      <c r="A32" s="48" t="s">
        <v>384</v>
      </c>
      <c r="B32" s="49" t="s">
        <v>171</v>
      </c>
      <c r="C32" s="43">
        <v>98000</v>
      </c>
      <c r="D32" s="43">
        <v>40900</v>
      </c>
      <c r="E32" s="45">
        <f t="shared" si="2"/>
        <v>74300</v>
      </c>
      <c r="F32" s="43">
        <v>115200</v>
      </c>
      <c r="G32" s="43">
        <v>115200</v>
      </c>
      <c r="K32" s="40"/>
    </row>
    <row r="33" spans="1:11" ht="15.75" customHeight="1" x14ac:dyDescent="0.25">
      <c r="A33" s="17" t="s">
        <v>385</v>
      </c>
      <c r="B33" s="41"/>
      <c r="C33" s="46"/>
      <c r="D33" s="46"/>
      <c r="E33" s="45"/>
      <c r="F33" s="43"/>
      <c r="G33" s="43"/>
      <c r="K33" s="40"/>
    </row>
    <row r="34" spans="1:11" ht="15.75" customHeight="1" x14ac:dyDescent="0.25">
      <c r="A34" s="44" t="s">
        <v>386</v>
      </c>
      <c r="B34" s="41" t="s">
        <v>179</v>
      </c>
      <c r="C34" s="43">
        <v>1085861.1299999999</v>
      </c>
      <c r="D34" s="43">
        <v>1406310.13</v>
      </c>
      <c r="E34" s="45">
        <f t="shared" ref="E34:E36" si="3">F34-D34</f>
        <v>29296622.870000001</v>
      </c>
      <c r="F34" s="43">
        <v>30702933</v>
      </c>
      <c r="G34" s="43">
        <v>1586246</v>
      </c>
      <c r="K34" s="40"/>
    </row>
    <row r="35" spans="1:11" ht="15.75" customHeight="1" x14ac:dyDescent="0.25">
      <c r="A35" s="44" t="s">
        <v>387</v>
      </c>
      <c r="B35" s="41" t="s">
        <v>181</v>
      </c>
      <c r="C35" s="43">
        <v>1096952.08</v>
      </c>
      <c r="D35" s="43">
        <v>568944.26</v>
      </c>
      <c r="E35" s="45">
        <f t="shared" si="3"/>
        <v>1427414.74</v>
      </c>
      <c r="F35" s="43">
        <v>1996359</v>
      </c>
      <c r="G35" s="43">
        <v>2084889</v>
      </c>
      <c r="K35" s="40"/>
    </row>
    <row r="36" spans="1:11" ht="15.75" customHeight="1" x14ac:dyDescent="0.25">
      <c r="A36" s="44" t="s">
        <v>388</v>
      </c>
      <c r="B36" s="41" t="s">
        <v>183</v>
      </c>
      <c r="C36" s="43">
        <v>455000</v>
      </c>
      <c r="D36" s="43">
        <v>0</v>
      </c>
      <c r="E36" s="45">
        <f t="shared" si="3"/>
        <v>480000</v>
      </c>
      <c r="F36" s="43">
        <v>480000</v>
      </c>
      <c r="G36" s="43">
        <v>480000</v>
      </c>
      <c r="K36" s="40"/>
    </row>
    <row r="37" spans="1:11" ht="31.5" x14ac:dyDescent="0.25">
      <c r="A37" s="455" t="s">
        <v>389</v>
      </c>
      <c r="B37" s="454"/>
      <c r="C37" s="452">
        <v>0</v>
      </c>
      <c r="D37" s="53">
        <v>0</v>
      </c>
      <c r="E37" s="52">
        <v>0</v>
      </c>
      <c r="F37" s="52">
        <v>0</v>
      </c>
      <c r="G37" s="53">
        <f>1453165</f>
        <v>1453165</v>
      </c>
      <c r="K37" s="40"/>
    </row>
    <row r="38" spans="1:11" ht="15.75" customHeight="1" x14ac:dyDescent="0.25">
      <c r="A38" s="456" t="s">
        <v>390</v>
      </c>
      <c r="B38" s="454"/>
      <c r="C38" s="453">
        <f>SUM(C16:C37)</f>
        <v>64159908.760000005</v>
      </c>
      <c r="D38" s="54">
        <f>SUM(D16:D37)</f>
        <v>28849270.93</v>
      </c>
      <c r="E38" s="54">
        <f>SUM(E16:E37)</f>
        <v>74672910.069999993</v>
      </c>
      <c r="F38" s="54">
        <f>SUM(F16:F37)</f>
        <v>103522181</v>
      </c>
      <c r="G38" s="54">
        <f>SUM(G16:G37)</f>
        <v>78572611</v>
      </c>
      <c r="K38" s="40"/>
    </row>
    <row r="39" spans="1:11" ht="15.75" customHeight="1" x14ac:dyDescent="0.25">
      <c r="A39" s="42"/>
      <c r="B39" s="41"/>
      <c r="C39" s="39"/>
      <c r="D39" s="55"/>
      <c r="E39" s="39"/>
      <c r="F39" s="39"/>
      <c r="G39" s="55"/>
      <c r="K39" s="40"/>
    </row>
    <row r="40" spans="1:11" ht="15.75" customHeight="1" x14ac:dyDescent="0.25">
      <c r="A40" s="42" t="s">
        <v>391</v>
      </c>
      <c r="B40" s="25"/>
      <c r="C40" s="43"/>
      <c r="D40" s="26"/>
      <c r="E40" s="43"/>
      <c r="F40" s="26"/>
      <c r="G40" s="43"/>
      <c r="K40" s="40"/>
    </row>
    <row r="41" spans="1:11" ht="15.75" customHeight="1" x14ac:dyDescent="0.25">
      <c r="A41" s="42" t="s">
        <v>392</v>
      </c>
      <c r="B41" s="20"/>
      <c r="C41" s="56"/>
      <c r="D41" s="56"/>
      <c r="E41" s="56"/>
      <c r="F41" s="56"/>
      <c r="G41" s="43"/>
      <c r="K41" s="40"/>
    </row>
    <row r="42" spans="1:11" ht="15.75" customHeight="1" x14ac:dyDescent="0.25">
      <c r="A42" s="44" t="s">
        <v>393</v>
      </c>
      <c r="B42" s="20" t="s">
        <v>187</v>
      </c>
      <c r="C42" s="56">
        <v>781719.07</v>
      </c>
      <c r="D42" s="56">
        <v>294683.90000000002</v>
      </c>
      <c r="E42" s="43">
        <f t="shared" ref="E42:E43" si="4">F42-D42</f>
        <v>505316.1</v>
      </c>
      <c r="F42" s="45">
        <v>800000</v>
      </c>
      <c r="G42" s="43">
        <v>1500000</v>
      </c>
      <c r="H42" s="57">
        <v>1500000</v>
      </c>
      <c r="K42" s="40"/>
    </row>
    <row r="43" spans="1:11" ht="15.75" customHeight="1" x14ac:dyDescent="0.25">
      <c r="A43" s="44" t="s">
        <v>394</v>
      </c>
      <c r="B43" s="20" t="s">
        <v>189</v>
      </c>
      <c r="C43" s="58">
        <v>0</v>
      </c>
      <c r="D43" s="56">
        <v>0</v>
      </c>
      <c r="E43" s="43">
        <f t="shared" si="4"/>
        <v>100000</v>
      </c>
      <c r="F43" s="45">
        <v>100000</v>
      </c>
      <c r="G43" s="43">
        <v>500000</v>
      </c>
      <c r="H43" s="57">
        <v>500000</v>
      </c>
      <c r="K43" s="40"/>
    </row>
    <row r="44" spans="1:11" ht="15.75" customHeight="1" x14ac:dyDescent="0.25">
      <c r="A44" s="17" t="s">
        <v>395</v>
      </c>
      <c r="B44" s="20"/>
      <c r="C44" s="59"/>
      <c r="D44" s="59"/>
      <c r="E44" s="43"/>
      <c r="F44" s="45"/>
      <c r="G44" s="43"/>
      <c r="K44" s="40"/>
    </row>
    <row r="45" spans="1:11" ht="15.75" customHeight="1" x14ac:dyDescent="0.25">
      <c r="A45" s="44" t="s">
        <v>396</v>
      </c>
      <c r="B45" s="20" t="s">
        <v>191</v>
      </c>
      <c r="C45" s="56">
        <v>629112.24</v>
      </c>
      <c r="D45" s="56">
        <v>23093</v>
      </c>
      <c r="E45" s="43">
        <f>F45-D45</f>
        <v>176907</v>
      </c>
      <c r="F45" s="45">
        <v>200000</v>
      </c>
      <c r="G45" s="43">
        <v>200000</v>
      </c>
      <c r="H45" s="57">
        <v>200000</v>
      </c>
      <c r="K45" s="40"/>
    </row>
    <row r="46" spans="1:11" ht="15.75" customHeight="1" x14ac:dyDescent="0.25">
      <c r="A46" s="17" t="s">
        <v>397</v>
      </c>
      <c r="B46" s="20"/>
      <c r="C46" s="59"/>
      <c r="D46" s="59"/>
      <c r="E46" s="43"/>
      <c r="F46" s="45"/>
      <c r="G46" s="43"/>
      <c r="I46" s="60"/>
      <c r="K46" s="40"/>
    </row>
    <row r="47" spans="1:11" ht="15.75" customHeight="1" x14ac:dyDescent="0.25">
      <c r="A47" s="44" t="s">
        <v>398</v>
      </c>
      <c r="B47" s="20" t="s">
        <v>195</v>
      </c>
      <c r="C47" s="56">
        <v>441335.41</v>
      </c>
      <c r="D47" s="56">
        <v>921396</v>
      </c>
      <c r="E47" s="43">
        <f t="shared" ref="E47:E51" si="5">F47-D47</f>
        <v>79</v>
      </c>
      <c r="F47" s="45">
        <v>921475</v>
      </c>
      <c r="G47" s="43">
        <v>955851</v>
      </c>
      <c r="H47" s="57">
        <v>955851</v>
      </c>
      <c r="I47" s="60"/>
      <c r="K47" s="40"/>
    </row>
    <row r="48" spans="1:11" ht="15.75" customHeight="1" x14ac:dyDescent="0.25">
      <c r="A48" s="44" t="s">
        <v>399</v>
      </c>
      <c r="B48" s="41" t="s">
        <v>211</v>
      </c>
      <c r="C48" s="26">
        <v>60127686.990000002</v>
      </c>
      <c r="D48" s="43">
        <v>42146118.920000002</v>
      </c>
      <c r="E48" s="43">
        <f t="shared" si="5"/>
        <v>22353881.079999998</v>
      </c>
      <c r="F48" s="45">
        <v>64500000</v>
      </c>
      <c r="G48" s="45">
        <v>64500000</v>
      </c>
      <c r="H48" s="57">
        <v>64500000</v>
      </c>
      <c r="I48" s="7"/>
      <c r="K48" s="40"/>
    </row>
    <row r="49" spans="1:11" ht="15.75" customHeight="1" x14ac:dyDescent="0.25">
      <c r="A49" s="44" t="s">
        <v>400</v>
      </c>
      <c r="B49" s="41" t="s">
        <v>221</v>
      </c>
      <c r="C49" s="26">
        <v>0</v>
      </c>
      <c r="D49" s="43">
        <v>247350</v>
      </c>
      <c r="E49" s="43">
        <f t="shared" si="5"/>
        <v>337000</v>
      </c>
      <c r="F49" s="45">
        <v>584350</v>
      </c>
      <c r="G49" s="45">
        <v>526100</v>
      </c>
      <c r="H49" s="57">
        <v>526100</v>
      </c>
      <c r="I49" s="7"/>
      <c r="K49" s="40"/>
    </row>
    <row r="50" spans="1:11" ht="15.75" customHeight="1" x14ac:dyDescent="0.25">
      <c r="A50" s="44" t="s">
        <v>401</v>
      </c>
      <c r="B50" s="41" t="s">
        <v>223</v>
      </c>
      <c r="C50" s="26">
        <v>0</v>
      </c>
      <c r="D50" s="43">
        <v>0</v>
      </c>
      <c r="E50" s="43">
        <f t="shared" si="5"/>
        <v>76700</v>
      </c>
      <c r="F50" s="45">
        <v>76700</v>
      </c>
      <c r="G50" s="45">
        <v>158000</v>
      </c>
      <c r="H50" s="57">
        <v>158000</v>
      </c>
      <c r="I50" s="7"/>
      <c r="K50" s="40"/>
    </row>
    <row r="51" spans="1:11" ht="15.75" customHeight="1" x14ac:dyDescent="0.25">
      <c r="A51" s="44" t="s">
        <v>402</v>
      </c>
      <c r="B51" s="41" t="s">
        <v>225</v>
      </c>
      <c r="C51" s="26">
        <v>1272401</v>
      </c>
      <c r="D51" s="43">
        <v>315374</v>
      </c>
      <c r="E51" s="43">
        <f t="shared" si="5"/>
        <v>102.40000000002328</v>
      </c>
      <c r="F51" s="45">
        <v>315476.40000000002</v>
      </c>
      <c r="G51" s="45">
        <v>176984</v>
      </c>
      <c r="H51" s="57">
        <v>176984</v>
      </c>
      <c r="K51" s="40"/>
    </row>
    <row r="52" spans="1:11" ht="15.75" customHeight="1" x14ac:dyDescent="0.25">
      <c r="A52" s="17" t="s">
        <v>403</v>
      </c>
      <c r="B52" s="41"/>
      <c r="C52" s="25"/>
      <c r="D52" s="46"/>
      <c r="E52" s="43"/>
      <c r="F52" s="61"/>
      <c r="G52" s="49"/>
      <c r="K52" s="40"/>
    </row>
    <row r="53" spans="1:11" ht="15.75" customHeight="1" x14ac:dyDescent="0.25">
      <c r="A53" s="48" t="s">
        <v>404</v>
      </c>
      <c r="B53" s="49" t="s">
        <v>231</v>
      </c>
      <c r="C53" s="62">
        <v>0</v>
      </c>
      <c r="D53" s="45">
        <v>0</v>
      </c>
      <c r="E53" s="43">
        <f t="shared" ref="E53:E54" si="6">F53-D53</f>
        <v>30000</v>
      </c>
      <c r="F53" s="45">
        <v>30000</v>
      </c>
      <c r="G53" s="45">
        <v>100000</v>
      </c>
      <c r="K53" s="40"/>
    </row>
    <row r="54" spans="1:11" ht="15.75" customHeight="1" x14ac:dyDescent="0.25">
      <c r="A54" s="597" t="s">
        <v>405</v>
      </c>
      <c r="B54" s="598" t="s">
        <v>235</v>
      </c>
      <c r="C54" s="452">
        <v>0</v>
      </c>
      <c r="D54" s="452">
        <v>0</v>
      </c>
      <c r="E54" s="457">
        <f t="shared" si="6"/>
        <v>60000</v>
      </c>
      <c r="F54" s="452">
        <v>60000</v>
      </c>
      <c r="G54" s="452">
        <f>5000*12</f>
        <v>60000</v>
      </c>
      <c r="K54" s="40"/>
    </row>
    <row r="55" spans="1:11" ht="15.75" customHeight="1" x14ac:dyDescent="0.25">
      <c r="A55" s="599" t="s">
        <v>406</v>
      </c>
      <c r="B55" s="539"/>
      <c r="C55" s="539"/>
      <c r="D55" s="539"/>
      <c r="E55" s="448"/>
      <c r="F55" s="600"/>
      <c r="G55" s="601"/>
      <c r="K55" s="40"/>
    </row>
    <row r="56" spans="1:11" ht="15.75" customHeight="1" x14ac:dyDescent="0.25">
      <c r="A56" s="44" t="s">
        <v>407</v>
      </c>
      <c r="B56" s="20" t="s">
        <v>259</v>
      </c>
      <c r="C56" s="56">
        <v>0</v>
      </c>
      <c r="D56" s="56">
        <v>0</v>
      </c>
      <c r="E56" s="43">
        <f>F56-D56</f>
        <v>2724311</v>
      </c>
      <c r="F56" s="45">
        <v>2724311</v>
      </c>
      <c r="G56" s="43">
        <v>2995802</v>
      </c>
      <c r="K56" s="40"/>
    </row>
    <row r="57" spans="1:11" ht="15.75" customHeight="1" x14ac:dyDescent="0.25">
      <c r="A57" s="42" t="s">
        <v>408</v>
      </c>
      <c r="B57" s="41"/>
      <c r="C57" s="46"/>
      <c r="D57" s="46"/>
      <c r="E57" s="43"/>
      <c r="F57" s="45"/>
      <c r="G57" s="43"/>
      <c r="K57" s="40"/>
    </row>
    <row r="58" spans="1:11" ht="15.75" customHeight="1" x14ac:dyDescent="0.25">
      <c r="A58" s="44" t="s">
        <v>409</v>
      </c>
      <c r="B58" s="20" t="s">
        <v>299</v>
      </c>
      <c r="C58" s="56">
        <v>18219000</v>
      </c>
      <c r="D58" s="56">
        <v>3200000</v>
      </c>
      <c r="E58" s="43">
        <f>F58-D58</f>
        <v>17128000</v>
      </c>
      <c r="F58" s="443">
        <f>13200000+7128000</f>
        <v>20328000</v>
      </c>
      <c r="G58" s="444">
        <f>19800000+7128000</f>
        <v>26928000</v>
      </c>
      <c r="K58" s="40"/>
    </row>
    <row r="59" spans="1:11" ht="15.75" customHeight="1" x14ac:dyDescent="0.25">
      <c r="A59" s="44" t="s">
        <v>410</v>
      </c>
      <c r="B59" s="20"/>
      <c r="C59" s="56"/>
      <c r="D59" s="56"/>
      <c r="E59" s="43"/>
      <c r="F59" s="45"/>
      <c r="G59" s="43"/>
      <c r="K59" s="40"/>
    </row>
    <row r="60" spans="1:11" ht="15.75" customHeight="1" x14ac:dyDescent="0.25">
      <c r="A60" s="44" t="s">
        <v>411</v>
      </c>
      <c r="B60" s="20"/>
      <c r="C60" s="56"/>
      <c r="D60" s="56"/>
      <c r="E60" s="43"/>
      <c r="F60" s="45"/>
      <c r="G60" s="43"/>
      <c r="K60" s="40"/>
    </row>
    <row r="61" spans="1:11" ht="15.75" customHeight="1" x14ac:dyDescent="0.25">
      <c r="A61" s="17" t="s">
        <v>412</v>
      </c>
      <c r="B61" s="20"/>
      <c r="C61" s="59"/>
      <c r="D61" s="59"/>
      <c r="E61" s="43"/>
      <c r="F61" s="45"/>
      <c r="G61" s="43"/>
      <c r="K61" s="40"/>
    </row>
    <row r="62" spans="1:11" ht="15.75" customHeight="1" x14ac:dyDescent="0.25">
      <c r="A62" s="44" t="s">
        <v>413</v>
      </c>
      <c r="B62" s="20" t="s">
        <v>315</v>
      </c>
      <c r="C62" s="56">
        <v>299917.81</v>
      </c>
      <c r="D62" s="56">
        <v>435000</v>
      </c>
      <c r="E62" s="43">
        <f>F62-D62</f>
        <v>25000</v>
      </c>
      <c r="F62" s="45">
        <v>460000</v>
      </c>
      <c r="G62" s="43">
        <v>550000</v>
      </c>
      <c r="K62" s="40"/>
    </row>
    <row r="63" spans="1:11" ht="15.75" customHeight="1" x14ac:dyDescent="0.25">
      <c r="A63" s="17" t="s">
        <v>414</v>
      </c>
      <c r="B63" s="20"/>
      <c r="C63" s="63"/>
      <c r="D63" s="63"/>
      <c r="E63" s="43"/>
      <c r="F63" s="45"/>
      <c r="G63" s="43"/>
      <c r="K63" s="40"/>
    </row>
    <row r="64" spans="1:11" ht="15.75" customHeight="1" x14ac:dyDescent="0.25">
      <c r="A64" s="44" t="s">
        <v>415</v>
      </c>
      <c r="B64" s="20" t="s">
        <v>319</v>
      </c>
      <c r="C64" s="56">
        <v>2663135.86</v>
      </c>
      <c r="D64" s="56">
        <v>1495408.4</v>
      </c>
      <c r="E64" s="43">
        <f t="shared" ref="E64:E67" si="7">F64-D64</f>
        <v>1504591.6</v>
      </c>
      <c r="F64" s="45">
        <v>3000000</v>
      </c>
      <c r="G64" s="43">
        <v>3000000</v>
      </c>
      <c r="K64" s="40"/>
    </row>
    <row r="65" spans="1:11" ht="15.75" customHeight="1" x14ac:dyDescent="0.25">
      <c r="A65" s="44" t="s">
        <v>416</v>
      </c>
      <c r="B65" s="20" t="s">
        <v>323</v>
      </c>
      <c r="C65" s="56">
        <v>9991032.5399999991</v>
      </c>
      <c r="D65" s="56">
        <v>5995157.3700000001</v>
      </c>
      <c r="E65" s="43">
        <f t="shared" si="7"/>
        <v>4004842.63</v>
      </c>
      <c r="F65" s="45">
        <v>10000000</v>
      </c>
      <c r="G65" s="43">
        <v>10000000</v>
      </c>
      <c r="K65" s="40"/>
    </row>
    <row r="66" spans="1:11" ht="15.75" customHeight="1" x14ac:dyDescent="0.25">
      <c r="A66" s="44" t="s">
        <v>417</v>
      </c>
      <c r="B66" s="41" t="s">
        <v>329</v>
      </c>
      <c r="C66" s="43">
        <v>593277</v>
      </c>
      <c r="D66" s="56">
        <v>243496</v>
      </c>
      <c r="E66" s="43">
        <f t="shared" si="7"/>
        <v>756504</v>
      </c>
      <c r="F66" s="45">
        <v>1000000</v>
      </c>
      <c r="G66" s="45">
        <v>1000000</v>
      </c>
      <c r="K66" s="40"/>
    </row>
    <row r="67" spans="1:11" ht="15.75" customHeight="1" x14ac:dyDescent="0.25">
      <c r="A67" s="44" t="s">
        <v>418</v>
      </c>
      <c r="B67" s="41" t="s">
        <v>331</v>
      </c>
      <c r="C67" s="43">
        <v>0</v>
      </c>
      <c r="D67" s="56">
        <v>0</v>
      </c>
      <c r="E67" s="43">
        <f t="shared" si="7"/>
        <v>100000</v>
      </c>
      <c r="F67" s="45">
        <v>100000</v>
      </c>
      <c r="G67" s="45">
        <v>150000</v>
      </c>
      <c r="K67" s="40"/>
    </row>
    <row r="68" spans="1:11" ht="15.75" customHeight="1" x14ac:dyDescent="0.25">
      <c r="A68" s="44" t="s">
        <v>419</v>
      </c>
      <c r="B68" s="41" t="s">
        <v>333</v>
      </c>
      <c r="C68" s="64"/>
      <c r="D68" s="56"/>
      <c r="E68" s="43"/>
      <c r="F68" s="45"/>
      <c r="G68" s="45"/>
      <c r="K68" s="40"/>
    </row>
    <row r="69" spans="1:11" ht="15.75" x14ac:dyDescent="0.25">
      <c r="A69" s="48" t="s">
        <v>420</v>
      </c>
      <c r="B69" s="49"/>
      <c r="C69" s="45">
        <v>169992</v>
      </c>
      <c r="D69" s="45">
        <v>84996</v>
      </c>
      <c r="E69" s="43">
        <f t="shared" ref="E69:E72" si="8">F69-D69</f>
        <v>85004</v>
      </c>
      <c r="F69" s="45">
        <v>170000</v>
      </c>
      <c r="G69" s="45">
        <v>170000</v>
      </c>
      <c r="K69" s="40"/>
    </row>
    <row r="70" spans="1:11" ht="15.75" customHeight="1" x14ac:dyDescent="0.25">
      <c r="A70" s="48" t="s">
        <v>421</v>
      </c>
      <c r="B70" s="49"/>
      <c r="C70" s="45">
        <v>165199.22</v>
      </c>
      <c r="D70" s="45">
        <v>0</v>
      </c>
      <c r="E70" s="43">
        <f t="shared" si="8"/>
        <v>200000</v>
      </c>
      <c r="F70" s="45">
        <v>200000</v>
      </c>
      <c r="G70" s="45">
        <v>200000</v>
      </c>
      <c r="K70" s="40"/>
    </row>
    <row r="71" spans="1:11" ht="15.75" customHeight="1" x14ac:dyDescent="0.25">
      <c r="A71" s="44" t="s">
        <v>422</v>
      </c>
      <c r="B71" s="20"/>
      <c r="C71" s="56">
        <v>300000</v>
      </c>
      <c r="D71" s="56">
        <v>150000</v>
      </c>
      <c r="E71" s="43">
        <f t="shared" si="8"/>
        <v>150000</v>
      </c>
      <c r="F71" s="45">
        <v>300000</v>
      </c>
      <c r="G71" s="43">
        <v>300000</v>
      </c>
      <c r="K71" s="40"/>
    </row>
    <row r="72" spans="1:11" ht="15.75" customHeight="1" x14ac:dyDescent="0.25">
      <c r="A72" s="44" t="s">
        <v>423</v>
      </c>
      <c r="B72" s="20"/>
      <c r="C72" s="56">
        <v>0</v>
      </c>
      <c r="D72" s="56">
        <v>0</v>
      </c>
      <c r="E72" s="43">
        <f t="shared" si="8"/>
        <v>3000000</v>
      </c>
      <c r="F72" s="45">
        <v>3000000</v>
      </c>
      <c r="G72" s="43">
        <v>3000000</v>
      </c>
      <c r="K72" s="40"/>
    </row>
    <row r="73" spans="1:11" ht="15.75" customHeight="1" x14ac:dyDescent="0.25">
      <c r="A73" s="44" t="s">
        <v>424</v>
      </c>
      <c r="B73" s="20" t="s">
        <v>335</v>
      </c>
      <c r="C73" s="56"/>
      <c r="D73" s="56"/>
      <c r="E73" s="43"/>
      <c r="F73" s="45"/>
      <c r="G73" s="43"/>
      <c r="K73" s="40"/>
    </row>
    <row r="74" spans="1:11" ht="15.75" customHeight="1" x14ac:dyDescent="0.25">
      <c r="A74" s="44" t="s">
        <v>425</v>
      </c>
      <c r="B74" s="20"/>
      <c r="C74" s="56">
        <v>568089</v>
      </c>
      <c r="D74" s="56">
        <v>0</v>
      </c>
      <c r="E74" s="43">
        <f t="shared" ref="E74:E77" si="9">F74-D74</f>
        <v>568800</v>
      </c>
      <c r="F74" s="45">
        <v>568800</v>
      </c>
      <c r="G74" s="43">
        <v>600000</v>
      </c>
      <c r="K74" s="40"/>
    </row>
    <row r="75" spans="1:11" ht="15.75" customHeight="1" x14ac:dyDescent="0.25">
      <c r="A75" s="460" t="s">
        <v>426</v>
      </c>
      <c r="B75" s="461"/>
      <c r="C75" s="443">
        <v>315541.86</v>
      </c>
      <c r="D75" s="443">
        <v>0</v>
      </c>
      <c r="E75" s="443">
        <f t="shared" si="9"/>
        <v>100000</v>
      </c>
      <c r="F75" s="443">
        <v>100000</v>
      </c>
      <c r="G75" s="462">
        <v>100000</v>
      </c>
      <c r="H75" s="458"/>
      <c r="K75" s="40"/>
    </row>
    <row r="76" spans="1:11" ht="15.75" customHeight="1" x14ac:dyDescent="0.25">
      <c r="A76" s="460" t="s">
        <v>427</v>
      </c>
      <c r="B76" s="461"/>
      <c r="C76" s="443">
        <v>763000</v>
      </c>
      <c r="D76" s="443">
        <v>399000</v>
      </c>
      <c r="E76" s="443">
        <f t="shared" si="9"/>
        <v>399000</v>
      </c>
      <c r="F76" s="443">
        <v>798000</v>
      </c>
      <c r="G76" s="463">
        <v>1596000</v>
      </c>
      <c r="H76" s="459">
        <f>19000*7*12</f>
        <v>1596000</v>
      </c>
      <c r="K76" s="40"/>
    </row>
    <row r="77" spans="1:11" ht="15.75" customHeight="1" x14ac:dyDescent="0.25">
      <c r="A77" s="48" t="s">
        <v>428</v>
      </c>
      <c r="B77" s="25"/>
      <c r="C77" s="43">
        <v>12793000</v>
      </c>
      <c r="D77" s="26">
        <v>7652000</v>
      </c>
      <c r="E77" s="43">
        <f t="shared" si="9"/>
        <v>9996000</v>
      </c>
      <c r="F77" s="26">
        <v>17648000</v>
      </c>
      <c r="G77" s="43">
        <v>17648000</v>
      </c>
      <c r="K77" s="40"/>
    </row>
    <row r="78" spans="1:11" ht="15.75" customHeight="1" x14ac:dyDescent="0.25">
      <c r="A78" s="44" t="s">
        <v>2805</v>
      </c>
      <c r="B78" s="20"/>
      <c r="C78" s="56"/>
      <c r="D78" s="56"/>
      <c r="E78" s="43"/>
      <c r="F78" s="45"/>
      <c r="G78" s="43"/>
      <c r="K78" s="40"/>
    </row>
    <row r="79" spans="1:11" ht="15.75" customHeight="1" x14ac:dyDescent="0.25">
      <c r="A79" s="44" t="s">
        <v>429</v>
      </c>
      <c r="B79" s="20"/>
      <c r="C79" s="56"/>
      <c r="D79" s="56"/>
      <c r="E79" s="43"/>
      <c r="F79" s="45"/>
      <c r="G79" s="43"/>
      <c r="K79" s="40"/>
    </row>
    <row r="80" spans="1:11" ht="15.75" customHeight="1" x14ac:dyDescent="0.25">
      <c r="A80" s="44" t="s">
        <v>430</v>
      </c>
      <c r="B80" s="20"/>
      <c r="C80" s="56">
        <v>87000</v>
      </c>
      <c r="D80" s="56">
        <v>60000</v>
      </c>
      <c r="E80" s="43">
        <f t="shared" ref="E80" si="10">F80-D80</f>
        <v>40000</v>
      </c>
      <c r="F80" s="45">
        <v>100000</v>
      </c>
      <c r="G80" s="43">
        <v>288000</v>
      </c>
      <c r="H80" s="57">
        <f>2000*12*12</f>
        <v>288000</v>
      </c>
      <c r="K80" s="40"/>
    </row>
    <row r="81" spans="1:11" ht="15.75" customHeight="1" x14ac:dyDescent="0.25">
      <c r="A81" s="44" t="s">
        <v>431</v>
      </c>
      <c r="B81" s="20"/>
      <c r="C81" s="56">
        <v>0</v>
      </c>
      <c r="D81" s="56">
        <v>0</v>
      </c>
      <c r="E81" s="43">
        <v>0</v>
      </c>
      <c r="F81" s="45">
        <v>0</v>
      </c>
      <c r="G81" s="43">
        <v>72000000</v>
      </c>
      <c r="K81" s="40"/>
    </row>
    <row r="82" spans="1:11" ht="15.75" customHeight="1" x14ac:dyDescent="0.25">
      <c r="A82" s="44" t="s">
        <v>432</v>
      </c>
      <c r="B82" s="20"/>
      <c r="C82" s="56">
        <v>192000</v>
      </c>
      <c r="D82" s="56">
        <v>0</v>
      </c>
      <c r="E82" s="43">
        <f t="shared" ref="E82:E97" si="11">F82-D82</f>
        <v>200000</v>
      </c>
      <c r="F82" s="45">
        <v>200000</v>
      </c>
      <c r="G82" s="43">
        <v>100000</v>
      </c>
      <c r="K82" s="40"/>
    </row>
    <row r="83" spans="1:11" ht="15.75" customHeight="1" x14ac:dyDescent="0.25">
      <c r="A83" s="44" t="s">
        <v>433</v>
      </c>
      <c r="B83" s="20"/>
      <c r="C83" s="56">
        <v>1996900.15</v>
      </c>
      <c r="D83" s="56">
        <v>1999614.3</v>
      </c>
      <c r="E83" s="43">
        <f t="shared" si="11"/>
        <v>385.69999999995343</v>
      </c>
      <c r="F83" s="45">
        <v>2000000</v>
      </c>
      <c r="G83" s="43">
        <v>2000000</v>
      </c>
      <c r="K83" s="40"/>
    </row>
    <row r="84" spans="1:11" ht="15.75" customHeight="1" x14ac:dyDescent="0.25">
      <c r="A84" s="44" t="s">
        <v>434</v>
      </c>
      <c r="B84" s="20"/>
      <c r="C84" s="56">
        <v>3996400.17</v>
      </c>
      <c r="D84" s="56">
        <v>996752.5</v>
      </c>
      <c r="E84" s="43">
        <f t="shared" si="11"/>
        <v>4003247.5</v>
      </c>
      <c r="F84" s="45">
        <v>5000000</v>
      </c>
      <c r="G84" s="43">
        <v>5000000</v>
      </c>
      <c r="K84" s="40"/>
    </row>
    <row r="85" spans="1:11" ht="15.75" customHeight="1" x14ac:dyDescent="0.25">
      <c r="A85" s="44" t="s">
        <v>435</v>
      </c>
      <c r="B85" s="20"/>
      <c r="C85" s="56">
        <v>292248</v>
      </c>
      <c r="D85" s="56">
        <v>166032</v>
      </c>
      <c r="E85" s="43">
        <f t="shared" si="11"/>
        <v>333968</v>
      </c>
      <c r="F85" s="45">
        <v>500000</v>
      </c>
      <c r="G85" s="43">
        <v>600000</v>
      </c>
      <c r="K85" s="40"/>
    </row>
    <row r="86" spans="1:11" ht="15.75" customHeight="1" x14ac:dyDescent="0.25">
      <c r="A86" s="44" t="s">
        <v>436</v>
      </c>
      <c r="B86" s="20"/>
      <c r="C86" s="56">
        <v>4769905.5</v>
      </c>
      <c r="D86" s="56">
        <v>320421.06</v>
      </c>
      <c r="E86" s="43">
        <f t="shared" si="11"/>
        <v>4679578.9400000004</v>
      </c>
      <c r="F86" s="45">
        <v>5000000</v>
      </c>
      <c r="G86" s="43">
        <v>5000000</v>
      </c>
      <c r="K86" s="40"/>
    </row>
    <row r="87" spans="1:11" ht="15.75" customHeight="1" x14ac:dyDescent="0.25">
      <c r="A87" s="44" t="s">
        <v>437</v>
      </c>
      <c r="B87" s="20"/>
      <c r="C87" s="56">
        <v>747500</v>
      </c>
      <c r="D87" s="56">
        <v>0</v>
      </c>
      <c r="E87" s="43">
        <f t="shared" si="11"/>
        <v>750000</v>
      </c>
      <c r="F87" s="45">
        <v>750000</v>
      </c>
      <c r="G87" s="43">
        <v>1000000</v>
      </c>
      <c r="K87" s="40"/>
    </row>
    <row r="88" spans="1:11" ht="15.75" customHeight="1" x14ac:dyDescent="0.25">
      <c r="A88" s="48" t="s">
        <v>438</v>
      </c>
      <c r="B88" s="41"/>
      <c r="C88" s="43">
        <v>1683000</v>
      </c>
      <c r="D88" s="43">
        <v>918000</v>
      </c>
      <c r="E88" s="43">
        <f t="shared" si="11"/>
        <v>1122000</v>
      </c>
      <c r="F88" s="45">
        <v>2040000</v>
      </c>
      <c r="G88" s="45">
        <v>4104000</v>
      </c>
      <c r="H88" s="57">
        <f>(19000*12)+(17000*19*12)</f>
        <v>4104000</v>
      </c>
      <c r="K88" s="40"/>
    </row>
    <row r="89" spans="1:11" ht="15.75" customHeight="1" x14ac:dyDescent="0.25">
      <c r="A89" s="44" t="s">
        <v>439</v>
      </c>
      <c r="B89" s="20"/>
      <c r="C89" s="56">
        <v>127305</v>
      </c>
      <c r="D89" s="56">
        <v>49446</v>
      </c>
      <c r="E89" s="43">
        <f t="shared" si="11"/>
        <v>130554</v>
      </c>
      <c r="F89" s="45">
        <v>180000</v>
      </c>
      <c r="G89" s="43">
        <v>180000</v>
      </c>
      <c r="K89" s="40"/>
    </row>
    <row r="90" spans="1:11" ht="15.75" customHeight="1" x14ac:dyDescent="0.25">
      <c r="A90" s="44" t="s">
        <v>440</v>
      </c>
      <c r="B90" s="20"/>
      <c r="C90" s="56">
        <v>0</v>
      </c>
      <c r="D90" s="56">
        <v>0</v>
      </c>
      <c r="E90" s="43">
        <f t="shared" si="11"/>
        <v>50000</v>
      </c>
      <c r="F90" s="45">
        <v>50000</v>
      </c>
      <c r="G90" s="43">
        <v>50000</v>
      </c>
      <c r="K90" s="40"/>
    </row>
    <row r="91" spans="1:11" ht="15.75" customHeight="1" x14ac:dyDescent="0.25">
      <c r="A91" s="44" t="s">
        <v>441</v>
      </c>
      <c r="B91" s="20"/>
      <c r="C91" s="56">
        <v>98355</v>
      </c>
      <c r="D91" s="56">
        <v>55610</v>
      </c>
      <c r="E91" s="43">
        <f t="shared" si="11"/>
        <v>94390</v>
      </c>
      <c r="F91" s="45">
        <v>150000</v>
      </c>
      <c r="G91" s="43">
        <v>200000</v>
      </c>
      <c r="K91" s="40"/>
    </row>
    <row r="92" spans="1:11" ht="15.75" customHeight="1" x14ac:dyDescent="0.25">
      <c r="A92" s="44" t="s">
        <v>442</v>
      </c>
      <c r="B92" s="20"/>
      <c r="C92" s="56">
        <v>4994271.82</v>
      </c>
      <c r="D92" s="56">
        <v>2497443.52</v>
      </c>
      <c r="E92" s="43">
        <f t="shared" si="11"/>
        <v>2502556.48</v>
      </c>
      <c r="F92" s="45">
        <v>5000000</v>
      </c>
      <c r="G92" s="43">
        <v>6000000</v>
      </c>
      <c r="K92" s="40"/>
    </row>
    <row r="93" spans="1:11" ht="15.75" customHeight="1" x14ac:dyDescent="0.25">
      <c r="A93" s="44" t="s">
        <v>443</v>
      </c>
      <c r="B93" s="20"/>
      <c r="C93" s="56">
        <v>0</v>
      </c>
      <c r="D93" s="56">
        <v>0</v>
      </c>
      <c r="E93" s="43">
        <f t="shared" si="11"/>
        <v>213500</v>
      </c>
      <c r="F93" s="45">
        <v>213500</v>
      </c>
      <c r="G93" s="43">
        <v>300000</v>
      </c>
      <c r="K93" s="40"/>
    </row>
    <row r="94" spans="1:11" ht="15.75" customHeight="1" x14ac:dyDescent="0.25">
      <c r="A94" s="44" t="s">
        <v>444</v>
      </c>
      <c r="B94" s="20"/>
      <c r="C94" s="56">
        <v>147000</v>
      </c>
      <c r="D94" s="56">
        <v>73500</v>
      </c>
      <c r="E94" s="43">
        <f t="shared" si="11"/>
        <v>76500</v>
      </c>
      <c r="F94" s="45">
        <v>150000</v>
      </c>
      <c r="G94" s="43">
        <v>150000</v>
      </c>
      <c r="K94" s="40"/>
    </row>
    <row r="95" spans="1:11" ht="15.75" customHeight="1" x14ac:dyDescent="0.25">
      <c r="A95" s="48" t="s">
        <v>445</v>
      </c>
      <c r="B95" s="41"/>
      <c r="C95" s="43">
        <v>0</v>
      </c>
      <c r="D95" s="43">
        <v>0</v>
      </c>
      <c r="E95" s="43">
        <f t="shared" si="11"/>
        <v>100000</v>
      </c>
      <c r="F95" s="45">
        <v>100000</v>
      </c>
      <c r="G95" s="45">
        <v>100000</v>
      </c>
      <c r="K95" s="40"/>
    </row>
    <row r="96" spans="1:11" ht="33.75" customHeight="1" x14ac:dyDescent="0.25">
      <c r="A96" s="68" t="s">
        <v>446</v>
      </c>
      <c r="B96" s="49"/>
      <c r="C96" s="45">
        <v>0</v>
      </c>
      <c r="D96" s="45">
        <v>0</v>
      </c>
      <c r="E96" s="43">
        <f t="shared" si="11"/>
        <v>100000</v>
      </c>
      <c r="F96" s="45">
        <v>100000</v>
      </c>
      <c r="G96" s="45">
        <v>50000</v>
      </c>
      <c r="K96" s="40"/>
    </row>
    <row r="97" spans="1:26" ht="31.5" x14ac:dyDescent="0.25">
      <c r="A97" s="68" t="s">
        <v>2719</v>
      </c>
      <c r="B97" s="69"/>
      <c r="C97" s="70">
        <v>0</v>
      </c>
      <c r="D97" s="70">
        <v>29398.32</v>
      </c>
      <c r="E97" s="43">
        <f t="shared" si="11"/>
        <v>70601.679999999993</v>
      </c>
      <c r="F97" s="70">
        <v>100000</v>
      </c>
      <c r="G97" s="70">
        <v>50000</v>
      </c>
      <c r="H97" s="71"/>
      <c r="I97" s="72"/>
      <c r="J97" s="72"/>
      <c r="K97" s="73"/>
      <c r="L97" s="72"/>
      <c r="M97" s="72"/>
      <c r="N97" s="72"/>
      <c r="O97" s="72"/>
      <c r="P97" s="72"/>
      <c r="Q97" s="72"/>
      <c r="R97" s="72"/>
      <c r="S97" s="72"/>
      <c r="T97" s="72"/>
      <c r="U97" s="72"/>
      <c r="V97" s="72"/>
      <c r="W97" s="72"/>
      <c r="X97" s="72"/>
      <c r="Y97" s="72"/>
      <c r="Z97" s="72"/>
    </row>
    <row r="98" spans="1:26" ht="15.75" customHeight="1" x14ac:dyDescent="0.25">
      <c r="A98" s="48" t="s">
        <v>447</v>
      </c>
      <c r="B98" s="49"/>
      <c r="C98" s="45">
        <v>0</v>
      </c>
      <c r="D98" s="45">
        <v>0</v>
      </c>
      <c r="E98" s="43">
        <v>0</v>
      </c>
      <c r="F98" s="45">
        <v>0</v>
      </c>
      <c r="G98" s="45">
        <v>50000</v>
      </c>
      <c r="K98" s="40"/>
    </row>
    <row r="99" spans="1:26" ht="15.75" customHeight="1" x14ac:dyDescent="0.25">
      <c r="A99" s="74" t="s">
        <v>448</v>
      </c>
      <c r="B99" s="49"/>
      <c r="C99" s="45">
        <v>13554180</v>
      </c>
      <c r="D99" s="45">
        <v>12483000</v>
      </c>
      <c r="E99" s="43">
        <f t="shared" ref="E99:E101" si="12">F99-D99</f>
        <v>2517000</v>
      </c>
      <c r="F99" s="45">
        <v>15000000</v>
      </c>
      <c r="G99" s="45">
        <v>15000000</v>
      </c>
      <c r="K99" s="40"/>
    </row>
    <row r="100" spans="1:26" ht="15.75" customHeight="1" x14ac:dyDescent="0.25">
      <c r="A100" s="74" t="s">
        <v>449</v>
      </c>
      <c r="B100" s="49"/>
      <c r="C100" s="45">
        <v>0</v>
      </c>
      <c r="D100" s="45">
        <v>0</v>
      </c>
      <c r="E100" s="43">
        <f t="shared" si="12"/>
        <v>50000</v>
      </c>
      <c r="F100" s="45">
        <v>50000</v>
      </c>
      <c r="G100" s="45">
        <v>50000</v>
      </c>
      <c r="K100" s="40"/>
    </row>
    <row r="101" spans="1:26" ht="15.75" customHeight="1" x14ac:dyDescent="0.25">
      <c r="A101" s="74" t="s">
        <v>450</v>
      </c>
      <c r="B101" s="20"/>
      <c r="C101" s="43">
        <v>20555449.66</v>
      </c>
      <c r="D101" s="26">
        <v>7743025</v>
      </c>
      <c r="E101" s="43">
        <f t="shared" si="12"/>
        <v>15375335</v>
      </c>
      <c r="F101" s="443">
        <v>23118360</v>
      </c>
      <c r="G101" s="444">
        <v>25341832</v>
      </c>
      <c r="H101" s="56"/>
      <c r="I101" s="67"/>
      <c r="K101" s="40"/>
    </row>
    <row r="102" spans="1:26" ht="15.75" x14ac:dyDescent="0.25">
      <c r="A102" s="464" t="s">
        <v>451</v>
      </c>
      <c r="B102" s="461"/>
      <c r="C102" s="443"/>
      <c r="D102" s="443"/>
      <c r="E102" s="443"/>
      <c r="F102" s="443"/>
      <c r="G102" s="462"/>
      <c r="H102" s="459"/>
      <c r="I102" s="57"/>
      <c r="K102" s="40"/>
    </row>
    <row r="103" spans="1:26" ht="36" customHeight="1" x14ac:dyDescent="0.25">
      <c r="A103" s="465" t="s">
        <v>452</v>
      </c>
      <c r="B103" s="461"/>
      <c r="C103" s="443"/>
      <c r="D103" s="443"/>
      <c r="E103" s="443"/>
      <c r="F103" s="443"/>
      <c r="G103" s="462"/>
      <c r="H103" s="459">
        <v>9</v>
      </c>
      <c r="I103" s="57">
        <v>678</v>
      </c>
      <c r="J103" s="57">
        <f>26*12</f>
        <v>312</v>
      </c>
      <c r="K103" s="40">
        <f>J103*I103*H103</f>
        <v>1903824</v>
      </c>
    </row>
    <row r="104" spans="1:26" ht="15.75" customHeight="1" x14ac:dyDescent="0.25">
      <c r="A104" s="78" t="s">
        <v>453</v>
      </c>
      <c r="B104" s="20"/>
      <c r="C104" s="43"/>
      <c r="D104" s="26"/>
      <c r="E104" s="43"/>
      <c r="F104" s="443"/>
      <c r="G104" s="444"/>
      <c r="H104" s="57"/>
      <c r="I104" s="57"/>
      <c r="K104" s="40"/>
    </row>
    <row r="105" spans="1:26" ht="15.75" customHeight="1" x14ac:dyDescent="0.25">
      <c r="A105" s="602" t="s">
        <v>454</v>
      </c>
      <c r="B105" s="603"/>
      <c r="C105" s="457"/>
      <c r="D105" s="77"/>
      <c r="E105" s="457"/>
      <c r="F105" s="77"/>
      <c r="G105" s="445"/>
      <c r="H105" s="57">
        <v>38</v>
      </c>
      <c r="I105" s="57">
        <v>678</v>
      </c>
      <c r="J105" s="57">
        <f>26*12</f>
        <v>312</v>
      </c>
      <c r="K105" s="40">
        <f>J105*I105*H105</f>
        <v>8038368</v>
      </c>
    </row>
    <row r="106" spans="1:26" ht="15.75" customHeight="1" x14ac:dyDescent="0.25">
      <c r="A106" s="604" t="s">
        <v>455</v>
      </c>
      <c r="B106" s="539"/>
      <c r="C106" s="448"/>
      <c r="D106" s="497"/>
      <c r="E106" s="448"/>
      <c r="F106" s="497"/>
      <c r="G106" s="605"/>
      <c r="K106" s="40"/>
    </row>
    <row r="107" spans="1:26" ht="15.75" customHeight="1" x14ac:dyDescent="0.25">
      <c r="A107" s="74" t="s">
        <v>456</v>
      </c>
      <c r="B107" s="20"/>
      <c r="C107" s="43"/>
      <c r="D107" s="26"/>
      <c r="E107" s="43"/>
      <c r="F107" s="443"/>
      <c r="G107" s="444"/>
      <c r="H107" s="57">
        <v>14</v>
      </c>
      <c r="I107" s="57">
        <v>678</v>
      </c>
      <c r="J107" s="57">
        <f>22*12</f>
        <v>264</v>
      </c>
      <c r="K107" s="40">
        <f>J107*I107*H107</f>
        <v>2505888</v>
      </c>
    </row>
    <row r="108" spans="1:26" ht="15.75" customHeight="1" x14ac:dyDescent="0.25">
      <c r="A108" s="78" t="s">
        <v>457</v>
      </c>
      <c r="B108" s="20"/>
      <c r="C108" s="43"/>
      <c r="D108" s="26"/>
      <c r="E108" s="43"/>
      <c r="F108" s="443"/>
      <c r="G108" s="444"/>
      <c r="K108" s="40"/>
    </row>
    <row r="109" spans="1:26" ht="31.5" x14ac:dyDescent="0.25">
      <c r="A109" s="90" t="s">
        <v>458</v>
      </c>
      <c r="B109" s="20"/>
      <c r="C109" s="43"/>
      <c r="D109" s="26"/>
      <c r="E109" s="43"/>
      <c r="F109" s="443"/>
      <c r="G109" s="444"/>
      <c r="H109" s="57">
        <v>4</v>
      </c>
      <c r="I109" s="57">
        <v>639</v>
      </c>
      <c r="J109" s="57">
        <f>22*12</f>
        <v>264</v>
      </c>
      <c r="K109" s="40">
        <f>J109*I109*H109</f>
        <v>674784</v>
      </c>
    </row>
    <row r="110" spans="1:26" ht="15.75" customHeight="1" x14ac:dyDescent="0.25">
      <c r="A110" s="78" t="s">
        <v>459</v>
      </c>
      <c r="B110" s="20"/>
      <c r="C110" s="43"/>
      <c r="D110" s="26"/>
      <c r="E110" s="43"/>
      <c r="F110" s="443"/>
      <c r="G110" s="444"/>
      <c r="K110" s="40"/>
    </row>
    <row r="111" spans="1:26" ht="15.75" customHeight="1" x14ac:dyDescent="0.25">
      <c r="A111" s="74" t="s">
        <v>460</v>
      </c>
      <c r="B111" s="20"/>
      <c r="C111" s="43"/>
      <c r="D111" s="26"/>
      <c r="E111" s="43"/>
      <c r="F111" s="443"/>
      <c r="G111" s="444"/>
      <c r="H111" s="57">
        <v>2</v>
      </c>
      <c r="I111" s="57">
        <v>678</v>
      </c>
      <c r="J111" s="57">
        <v>264</v>
      </c>
      <c r="K111" s="40">
        <f>J111*I111*H111</f>
        <v>357984</v>
      </c>
    </row>
    <row r="112" spans="1:26" ht="15.75" customHeight="1" x14ac:dyDescent="0.25">
      <c r="A112" s="78" t="s">
        <v>461</v>
      </c>
      <c r="B112" s="20"/>
      <c r="C112" s="43"/>
      <c r="D112" s="26"/>
      <c r="E112" s="43"/>
      <c r="F112" s="443"/>
      <c r="G112" s="444"/>
      <c r="K112" s="40"/>
    </row>
    <row r="113" spans="1:11" ht="15.75" customHeight="1" x14ac:dyDescent="0.25">
      <c r="A113" s="74" t="s">
        <v>462</v>
      </c>
      <c r="B113" s="20"/>
      <c r="C113" s="43"/>
      <c r="D113" s="26"/>
      <c r="E113" s="43"/>
      <c r="F113" s="443"/>
      <c r="G113" s="444"/>
      <c r="H113" s="57">
        <v>8</v>
      </c>
      <c r="I113" s="57">
        <v>678</v>
      </c>
      <c r="J113" s="57">
        <f>26*12</f>
        <v>312</v>
      </c>
      <c r="K113" s="40">
        <f>J113*I113*H113</f>
        <v>1692288</v>
      </c>
    </row>
    <row r="114" spans="1:11" ht="15.75" customHeight="1" x14ac:dyDescent="0.25">
      <c r="A114" s="78" t="s">
        <v>463</v>
      </c>
      <c r="B114" s="20"/>
      <c r="C114" s="43"/>
      <c r="D114" s="26"/>
      <c r="E114" s="43"/>
      <c r="F114" s="443"/>
      <c r="G114" s="444"/>
      <c r="K114" s="40"/>
    </row>
    <row r="115" spans="1:11" ht="15.75" customHeight="1" x14ac:dyDescent="0.25">
      <c r="A115" s="74" t="s">
        <v>464</v>
      </c>
      <c r="B115" s="20"/>
      <c r="C115" s="43"/>
      <c r="D115" s="26"/>
      <c r="E115" s="43"/>
      <c r="F115" s="443"/>
      <c r="G115" s="444"/>
      <c r="H115" s="57">
        <v>1</v>
      </c>
      <c r="I115" s="57">
        <v>639</v>
      </c>
      <c r="J115" s="57">
        <v>264</v>
      </c>
      <c r="K115" s="40">
        <f>J115*I115*H115</f>
        <v>168696</v>
      </c>
    </row>
    <row r="116" spans="1:11" ht="15.75" customHeight="1" x14ac:dyDescent="0.25">
      <c r="A116" s="78" t="s">
        <v>465</v>
      </c>
      <c r="B116" s="20"/>
      <c r="C116" s="43"/>
      <c r="D116" s="26"/>
      <c r="E116" s="43"/>
      <c r="F116" s="443"/>
      <c r="G116" s="445"/>
      <c r="K116" s="40">
        <v>10000000</v>
      </c>
    </row>
    <row r="117" spans="1:11" ht="15.75" customHeight="1" x14ac:dyDescent="0.25">
      <c r="A117" s="42" t="s">
        <v>466</v>
      </c>
      <c r="B117" s="41"/>
      <c r="C117" s="79">
        <f>+SUM(C42:C101)</f>
        <v>163334955.30000001</v>
      </c>
      <c r="D117" s="79">
        <f>+SUM(D42:D101)</f>
        <v>90995316.289999977</v>
      </c>
      <c r="E117" s="79">
        <f>+SUM(E42:E101)</f>
        <v>96791656.110000014</v>
      </c>
      <c r="F117" s="79">
        <f>+SUM(F42:F101)</f>
        <v>187786972.40000001</v>
      </c>
      <c r="G117" s="79">
        <f>SUM(G42:G116)</f>
        <v>274528569</v>
      </c>
      <c r="K117" s="40"/>
    </row>
    <row r="118" spans="1:11" ht="12" customHeight="1" x14ac:dyDescent="0.25">
      <c r="A118" s="42"/>
      <c r="B118" s="80"/>
      <c r="C118" s="81"/>
      <c r="D118" s="56"/>
      <c r="E118" s="43"/>
      <c r="F118" s="56"/>
      <c r="G118" s="55"/>
      <c r="K118" s="40"/>
    </row>
    <row r="119" spans="1:11" ht="15.75" customHeight="1" x14ac:dyDescent="0.25">
      <c r="A119" s="17" t="s">
        <v>467</v>
      </c>
      <c r="B119" s="20"/>
      <c r="C119" s="65">
        <f>C38+C117</f>
        <v>227494864.06</v>
      </c>
      <c r="D119" s="65">
        <f>D38+D117</f>
        <v>119844587.21999997</v>
      </c>
      <c r="E119" s="53">
        <f>F119-D119</f>
        <v>171464566.18000001</v>
      </c>
      <c r="F119" s="65">
        <f>F38+F117</f>
        <v>291309153.39999998</v>
      </c>
      <c r="G119" s="53">
        <f>G38+G117</f>
        <v>353101180</v>
      </c>
      <c r="K119" s="40"/>
    </row>
    <row r="120" spans="1:11" ht="14.25" customHeight="1" x14ac:dyDescent="0.25">
      <c r="A120" s="42"/>
      <c r="B120" s="80"/>
      <c r="C120" s="82"/>
      <c r="D120" s="83"/>
      <c r="E120" s="43"/>
      <c r="F120" s="84"/>
      <c r="G120" s="85"/>
      <c r="K120" s="40"/>
    </row>
    <row r="121" spans="1:11" ht="14.25" customHeight="1" x14ac:dyDescent="0.25">
      <c r="A121" s="42"/>
      <c r="B121" s="80"/>
      <c r="C121" s="82"/>
      <c r="D121" s="83"/>
      <c r="E121" s="43"/>
      <c r="F121" s="86"/>
      <c r="G121" s="80"/>
      <c r="K121" s="40"/>
    </row>
    <row r="122" spans="1:11" ht="14.25" customHeight="1" x14ac:dyDescent="0.25">
      <c r="A122" s="42" t="s">
        <v>468</v>
      </c>
      <c r="B122" s="82"/>
      <c r="C122" s="80"/>
      <c r="D122" s="82"/>
      <c r="E122" s="43"/>
      <c r="F122" s="87"/>
      <c r="G122" s="80"/>
      <c r="K122" s="40"/>
    </row>
    <row r="123" spans="1:11" ht="14.25" customHeight="1" x14ac:dyDescent="0.25">
      <c r="A123" s="68" t="s">
        <v>469</v>
      </c>
      <c r="B123" s="80"/>
      <c r="C123" s="82"/>
      <c r="D123" s="43"/>
      <c r="E123" s="43"/>
      <c r="F123" s="43"/>
      <c r="G123" s="80"/>
      <c r="K123" s="40"/>
    </row>
    <row r="124" spans="1:11" ht="14.25" customHeight="1" x14ac:dyDescent="0.25">
      <c r="A124" s="88" t="s">
        <v>470</v>
      </c>
      <c r="B124" s="80" t="s">
        <v>471</v>
      </c>
      <c r="C124" s="43">
        <v>89081163.340000004</v>
      </c>
      <c r="D124" s="43">
        <v>46293522.560000002</v>
      </c>
      <c r="E124" s="43">
        <f t="shared" ref="E124:E126" si="13">F124-D124</f>
        <v>69071623.399999991</v>
      </c>
      <c r="F124" s="45">
        <v>115365145.95999999</v>
      </c>
      <c r="G124" s="466">
        <v>104089083.64</v>
      </c>
      <c r="K124" s="40"/>
    </row>
    <row r="125" spans="1:11" ht="14.25" customHeight="1" x14ac:dyDescent="0.25">
      <c r="A125" s="90" t="s">
        <v>472</v>
      </c>
      <c r="B125" s="80" t="s">
        <v>339</v>
      </c>
      <c r="C125" s="43">
        <v>40460321.579999998</v>
      </c>
      <c r="D125" s="43">
        <v>18852571.440000001</v>
      </c>
      <c r="E125" s="43">
        <f t="shared" si="13"/>
        <v>28042311.190000001</v>
      </c>
      <c r="F125" s="43">
        <v>46894882.630000003</v>
      </c>
      <c r="G125" s="466">
        <f>262901880.98-125000000</f>
        <v>137901880.97999999</v>
      </c>
      <c r="K125" s="40"/>
    </row>
    <row r="126" spans="1:11" ht="14.25" customHeight="1" x14ac:dyDescent="0.25">
      <c r="A126" s="90" t="s">
        <v>473</v>
      </c>
      <c r="B126" s="80" t="s">
        <v>347</v>
      </c>
      <c r="C126" s="43">
        <v>0</v>
      </c>
      <c r="D126" s="43">
        <v>0</v>
      </c>
      <c r="E126" s="43">
        <f t="shared" si="13"/>
        <v>5000000</v>
      </c>
      <c r="F126" s="43">
        <v>5000000</v>
      </c>
      <c r="G126" s="466">
        <v>5000000</v>
      </c>
      <c r="K126" s="40"/>
    </row>
    <row r="127" spans="1:11" ht="14.25" customHeight="1" x14ac:dyDescent="0.25">
      <c r="A127" s="88" t="s">
        <v>474</v>
      </c>
      <c r="B127" s="80"/>
      <c r="C127" s="54">
        <f t="shared" ref="C127:G127" si="14">SUM(C124:C126)</f>
        <v>129541484.92</v>
      </c>
      <c r="D127" s="54">
        <f t="shared" si="14"/>
        <v>65146094</v>
      </c>
      <c r="E127" s="54">
        <f t="shared" si="14"/>
        <v>102113934.58999999</v>
      </c>
      <c r="F127" s="54">
        <f t="shared" si="14"/>
        <v>167260028.59</v>
      </c>
      <c r="G127" s="54">
        <f t="shared" si="14"/>
        <v>246990964.62</v>
      </c>
      <c r="K127" s="40"/>
    </row>
    <row r="128" spans="1:11" ht="14.25" customHeight="1" x14ac:dyDescent="0.25">
      <c r="A128" s="88"/>
      <c r="B128" s="80"/>
      <c r="C128" s="92"/>
      <c r="D128" s="43"/>
      <c r="E128" s="93"/>
      <c r="F128" s="43"/>
      <c r="G128" s="89"/>
      <c r="K128" s="40"/>
    </row>
    <row r="129" spans="1:11" ht="15.75" customHeight="1" x14ac:dyDescent="0.25">
      <c r="A129" s="42" t="s">
        <v>475</v>
      </c>
      <c r="B129" s="94"/>
      <c r="C129" s="95"/>
      <c r="D129" s="43"/>
      <c r="E129" s="93"/>
      <c r="F129" s="43"/>
      <c r="G129" s="93"/>
      <c r="K129" s="40"/>
    </row>
    <row r="130" spans="1:11" ht="15.75" customHeight="1" x14ac:dyDescent="0.25">
      <c r="A130" s="17" t="s">
        <v>476</v>
      </c>
      <c r="B130" s="94"/>
      <c r="C130" s="95"/>
      <c r="D130" s="43"/>
      <c r="E130" s="93"/>
      <c r="F130" s="43"/>
      <c r="G130" s="93"/>
      <c r="K130" s="40"/>
    </row>
    <row r="131" spans="1:11" ht="15.75" customHeight="1" x14ac:dyDescent="0.25">
      <c r="A131" s="44" t="s">
        <v>477</v>
      </c>
      <c r="B131" s="41" t="s">
        <v>45</v>
      </c>
      <c r="C131" s="43">
        <v>0</v>
      </c>
      <c r="D131" s="43">
        <v>0</v>
      </c>
      <c r="E131" s="43">
        <v>0</v>
      </c>
      <c r="F131" s="43">
        <v>0</v>
      </c>
      <c r="G131" s="45">
        <v>140000</v>
      </c>
      <c r="K131" s="40"/>
    </row>
    <row r="132" spans="1:11" ht="15.75" customHeight="1" x14ac:dyDescent="0.25">
      <c r="A132" s="96" t="s">
        <v>478</v>
      </c>
      <c r="B132" s="94"/>
      <c r="C132" s="95"/>
      <c r="D132" s="43"/>
      <c r="E132" s="93"/>
      <c r="F132" s="43"/>
      <c r="G132" s="93"/>
      <c r="K132" s="40"/>
    </row>
    <row r="133" spans="1:11" ht="15.75" customHeight="1" x14ac:dyDescent="0.25">
      <c r="A133" s="44" t="s">
        <v>479</v>
      </c>
      <c r="B133" s="41" t="s">
        <v>47</v>
      </c>
      <c r="C133" s="43">
        <v>0</v>
      </c>
      <c r="D133" s="43">
        <v>0</v>
      </c>
      <c r="E133" s="43">
        <v>0</v>
      </c>
      <c r="F133" s="43">
        <v>0</v>
      </c>
      <c r="G133" s="45">
        <f>270000+105600</f>
        <v>375600</v>
      </c>
      <c r="K133" s="40"/>
    </row>
    <row r="134" spans="1:11" ht="15.75" customHeight="1" x14ac:dyDescent="0.25">
      <c r="A134" s="96" t="s">
        <v>480</v>
      </c>
      <c r="B134" s="94"/>
      <c r="C134" s="95"/>
      <c r="D134" s="43"/>
      <c r="E134" s="93"/>
      <c r="F134" s="43"/>
      <c r="G134" s="93"/>
      <c r="K134" s="40"/>
    </row>
    <row r="135" spans="1:11" ht="15.75" customHeight="1" x14ac:dyDescent="0.25">
      <c r="A135" s="96" t="s">
        <v>481</v>
      </c>
      <c r="B135" s="41"/>
      <c r="C135" s="95"/>
      <c r="D135" s="43"/>
      <c r="E135" s="93"/>
      <c r="F135" s="43"/>
      <c r="G135" s="93"/>
      <c r="K135" s="40"/>
    </row>
    <row r="136" spans="1:11" ht="15.75" customHeight="1" x14ac:dyDescent="0.25">
      <c r="A136" s="44" t="s">
        <v>482</v>
      </c>
      <c r="B136" s="41" t="s">
        <v>52</v>
      </c>
      <c r="C136" s="95"/>
      <c r="D136" s="43"/>
      <c r="E136" s="93"/>
      <c r="F136" s="43"/>
      <c r="G136" s="45">
        <v>168000</v>
      </c>
      <c r="K136" s="40"/>
    </row>
    <row r="137" spans="1:11" ht="31.5" x14ac:dyDescent="0.25">
      <c r="A137" s="295" t="s">
        <v>483</v>
      </c>
      <c r="B137" s="94"/>
      <c r="C137" s="95"/>
      <c r="D137" s="43"/>
      <c r="E137" s="93"/>
      <c r="F137" s="43"/>
      <c r="G137" s="93"/>
      <c r="K137" s="40"/>
    </row>
    <row r="138" spans="1:11" ht="15.75" customHeight="1" x14ac:dyDescent="0.25">
      <c r="A138" s="17" t="s">
        <v>484</v>
      </c>
      <c r="B138" s="94"/>
      <c r="C138" s="95"/>
      <c r="D138" s="43"/>
      <c r="E138" s="93"/>
      <c r="F138" s="43"/>
      <c r="G138" s="93"/>
      <c r="K138" s="40"/>
    </row>
    <row r="139" spans="1:11" ht="15.75" customHeight="1" x14ac:dyDescent="0.25">
      <c r="A139" s="468" t="s">
        <v>485</v>
      </c>
      <c r="B139" s="461" t="s">
        <v>55</v>
      </c>
      <c r="C139" s="467"/>
      <c r="D139" s="443">
        <v>0</v>
      </c>
      <c r="E139" s="443">
        <f>F139-D139</f>
        <v>48000000</v>
      </c>
      <c r="F139" s="443">
        <v>48000000</v>
      </c>
      <c r="G139" s="462">
        <v>46200000</v>
      </c>
      <c r="H139" s="458"/>
      <c r="K139" s="40"/>
    </row>
    <row r="140" spans="1:11" ht="15.75" x14ac:dyDescent="0.25">
      <c r="A140" s="468" t="s">
        <v>2718</v>
      </c>
      <c r="B140" s="461"/>
      <c r="C140" s="443"/>
      <c r="D140" s="443"/>
      <c r="E140" s="443"/>
      <c r="F140" s="443"/>
      <c r="G140" s="462"/>
      <c r="H140" s="458"/>
      <c r="K140" s="40"/>
    </row>
    <row r="141" spans="1:11" ht="15.75" customHeight="1" x14ac:dyDescent="0.25">
      <c r="A141" s="446" t="s">
        <v>486</v>
      </c>
      <c r="B141" s="447"/>
      <c r="C141" s="457">
        <f t="shared" ref="C141:G141" si="15">SUM(C131:C140)</f>
        <v>0</v>
      </c>
      <c r="D141" s="457">
        <f t="shared" si="15"/>
        <v>0</v>
      </c>
      <c r="E141" s="457">
        <f t="shared" si="15"/>
        <v>48000000</v>
      </c>
      <c r="F141" s="457">
        <f t="shared" si="15"/>
        <v>48000000</v>
      </c>
      <c r="G141" s="457">
        <f t="shared" si="15"/>
        <v>46883600</v>
      </c>
      <c r="K141" s="40"/>
    </row>
    <row r="142" spans="1:11" ht="13.5" customHeight="1" x14ac:dyDescent="0.25">
      <c r="A142" s="17"/>
      <c r="B142" s="20"/>
      <c r="C142" s="56"/>
      <c r="D142" s="56"/>
      <c r="E142" s="43"/>
      <c r="F142" s="56"/>
      <c r="G142" s="43"/>
      <c r="K142" s="40"/>
    </row>
    <row r="143" spans="1:11" ht="15.75" customHeight="1" x14ac:dyDescent="0.25">
      <c r="A143" s="50" t="s">
        <v>487</v>
      </c>
      <c r="B143" s="27" t="s">
        <v>488</v>
      </c>
      <c r="C143" s="97">
        <f t="shared" ref="C143:G143" si="16">C119+C127+C141</f>
        <v>357036348.98000002</v>
      </c>
      <c r="D143" s="97">
        <f t="shared" si="16"/>
        <v>184990681.21999997</v>
      </c>
      <c r="E143" s="97">
        <f t="shared" si="16"/>
        <v>321578500.76999998</v>
      </c>
      <c r="F143" s="97">
        <f t="shared" si="16"/>
        <v>506569181.99000001</v>
      </c>
      <c r="G143" s="54">
        <f t="shared" si="16"/>
        <v>646975744.62</v>
      </c>
      <c r="K143" s="40"/>
    </row>
    <row r="144" spans="1:11" ht="13.5" customHeight="1" x14ac:dyDescent="0.25">
      <c r="A144" s="24"/>
      <c r="B144" s="25"/>
      <c r="C144" s="26"/>
      <c r="D144" s="26"/>
      <c r="E144" s="26"/>
      <c r="F144" s="26"/>
      <c r="G144" s="26"/>
      <c r="K144" s="40"/>
    </row>
    <row r="145" spans="1:26" ht="15.75" customHeight="1" x14ac:dyDescent="0.25">
      <c r="A145" s="24"/>
      <c r="B145" s="98"/>
      <c r="C145" s="99"/>
      <c r="D145" s="99"/>
      <c r="E145" s="99"/>
      <c r="F145" s="26"/>
      <c r="G145" s="24"/>
      <c r="H145" s="15"/>
      <c r="I145" s="15"/>
      <c r="J145" s="15"/>
      <c r="K145" s="16"/>
      <c r="L145" s="15"/>
      <c r="M145" s="15"/>
      <c r="N145" s="15"/>
      <c r="O145" s="15"/>
      <c r="P145" s="15"/>
      <c r="Q145" s="15"/>
      <c r="R145" s="15"/>
      <c r="S145" s="15"/>
      <c r="T145" s="15"/>
      <c r="U145" s="15"/>
      <c r="V145" s="15"/>
      <c r="W145" s="15"/>
      <c r="X145" s="15"/>
      <c r="Y145" s="15"/>
      <c r="Z145" s="15"/>
    </row>
    <row r="146" spans="1:26" ht="15.75" customHeight="1" x14ac:dyDescent="0.25">
      <c r="A146" s="24"/>
      <c r="B146" s="98"/>
      <c r="C146" s="24"/>
      <c r="D146" s="24"/>
      <c r="E146" s="24"/>
      <c r="F146" s="24"/>
      <c r="G146" s="24"/>
      <c r="H146" s="15"/>
      <c r="I146" s="15"/>
      <c r="J146" s="15"/>
      <c r="K146" s="16"/>
      <c r="L146" s="15"/>
      <c r="M146" s="15"/>
      <c r="N146" s="15"/>
      <c r="O146" s="15"/>
      <c r="P146" s="15"/>
      <c r="Q146" s="15"/>
      <c r="R146" s="15"/>
      <c r="S146" s="15"/>
      <c r="T146" s="15"/>
      <c r="U146" s="15"/>
      <c r="V146" s="15"/>
      <c r="W146" s="15"/>
      <c r="X146" s="15"/>
      <c r="Y146" s="15"/>
      <c r="Z146" s="15"/>
    </row>
    <row r="147" spans="1:26" ht="15.75" customHeight="1" x14ac:dyDescent="0.25">
      <c r="A147" s="24"/>
      <c r="B147" s="98"/>
      <c r="C147" s="24"/>
      <c r="D147" s="24"/>
      <c r="E147" s="24"/>
      <c r="F147" s="14"/>
      <c r="G147" s="24"/>
      <c r="H147" s="15"/>
      <c r="I147" s="15"/>
      <c r="J147" s="15"/>
      <c r="K147" s="16"/>
      <c r="L147" s="15"/>
      <c r="M147" s="15"/>
      <c r="N147" s="15"/>
      <c r="O147" s="15"/>
      <c r="P147" s="15"/>
      <c r="Q147" s="15"/>
      <c r="R147" s="15"/>
      <c r="S147" s="15"/>
      <c r="T147" s="15"/>
      <c r="U147" s="15"/>
      <c r="V147" s="15"/>
      <c r="W147" s="15"/>
      <c r="X147" s="15"/>
      <c r="Y147" s="15"/>
      <c r="Z147" s="15"/>
    </row>
    <row r="148" spans="1:26" ht="15.75" customHeight="1" x14ac:dyDescent="0.25">
      <c r="A148" s="24"/>
      <c r="B148" s="25"/>
      <c r="C148" s="24"/>
      <c r="D148" s="24"/>
      <c r="E148" s="24"/>
      <c r="F148" s="24"/>
      <c r="G148" s="24"/>
      <c r="H148" s="15"/>
      <c r="I148" s="15"/>
      <c r="J148" s="15"/>
      <c r="K148" s="16"/>
      <c r="L148" s="15"/>
      <c r="M148" s="15"/>
      <c r="N148" s="15"/>
      <c r="O148" s="15"/>
      <c r="P148" s="15"/>
      <c r="Q148" s="15"/>
      <c r="R148" s="15"/>
      <c r="S148" s="15"/>
      <c r="T148" s="15"/>
      <c r="U148" s="15"/>
      <c r="V148" s="15"/>
      <c r="W148" s="15"/>
      <c r="X148" s="15"/>
      <c r="Y148" s="15"/>
      <c r="Z148" s="15"/>
    </row>
    <row r="149" spans="1:26" ht="15.75" customHeight="1" x14ac:dyDescent="0.25">
      <c r="A149" s="24"/>
      <c r="B149" s="25"/>
      <c r="C149" s="24"/>
      <c r="D149" s="24"/>
      <c r="E149" s="24"/>
      <c r="F149" s="14"/>
      <c r="G149" s="24"/>
      <c r="H149" s="15"/>
      <c r="I149" s="15"/>
      <c r="J149" s="15"/>
      <c r="K149" s="16"/>
      <c r="L149" s="15"/>
      <c r="M149" s="15"/>
      <c r="N149" s="15"/>
      <c r="O149" s="15"/>
      <c r="P149" s="15"/>
      <c r="Q149" s="15"/>
      <c r="R149" s="15"/>
      <c r="S149" s="15"/>
      <c r="T149" s="15"/>
      <c r="U149" s="15"/>
      <c r="V149" s="15"/>
      <c r="W149" s="15"/>
      <c r="X149" s="15"/>
      <c r="Y149" s="15"/>
      <c r="Z149" s="15"/>
    </row>
    <row r="150" spans="1:26" ht="15.75" customHeight="1" x14ac:dyDescent="0.25">
      <c r="A150" s="100"/>
      <c r="B150" s="101"/>
      <c r="C150" s="24"/>
      <c r="D150" s="24"/>
      <c r="E150" s="100"/>
      <c r="F150" s="14"/>
      <c r="G150" s="24"/>
      <c r="H150" s="15"/>
      <c r="I150" s="15"/>
      <c r="J150" s="15"/>
      <c r="K150" s="16"/>
      <c r="L150" s="15"/>
      <c r="M150" s="15"/>
      <c r="N150" s="15"/>
      <c r="O150" s="15"/>
      <c r="P150" s="15"/>
      <c r="Q150" s="15"/>
      <c r="R150" s="15"/>
      <c r="S150" s="15"/>
      <c r="T150" s="15"/>
      <c r="U150" s="15"/>
      <c r="V150" s="15"/>
      <c r="W150" s="15"/>
      <c r="X150" s="15"/>
      <c r="Y150" s="15"/>
      <c r="Z150" s="15"/>
    </row>
    <row r="151" spans="1:26" ht="15.75" customHeight="1" x14ac:dyDescent="0.25">
      <c r="A151" s="102"/>
      <c r="B151" s="103"/>
      <c r="C151" s="24"/>
      <c r="D151" s="24"/>
      <c r="E151" s="15"/>
      <c r="F151" s="14"/>
      <c r="G151" s="24"/>
      <c r="H151" s="15"/>
      <c r="I151" s="15"/>
      <c r="J151" s="15"/>
      <c r="K151" s="16"/>
      <c r="L151" s="15"/>
      <c r="M151" s="15"/>
      <c r="N151" s="15"/>
      <c r="O151" s="15"/>
      <c r="P151" s="15"/>
      <c r="Q151" s="15"/>
      <c r="R151" s="15"/>
      <c r="S151" s="15"/>
      <c r="T151" s="15"/>
      <c r="U151" s="15"/>
      <c r="V151" s="15"/>
      <c r="W151" s="15"/>
      <c r="X151" s="15"/>
      <c r="Y151" s="15"/>
      <c r="Z151" s="15"/>
    </row>
    <row r="152" spans="1:26" ht="15.75" customHeight="1" x14ac:dyDescent="0.25">
      <c r="A152" s="17"/>
      <c r="B152" s="25"/>
      <c r="C152" s="24"/>
      <c r="D152" s="24"/>
      <c r="E152" s="24"/>
      <c r="F152" s="26"/>
      <c r="K152" s="40"/>
    </row>
    <row r="153" spans="1:26" ht="15.75" customHeight="1" x14ac:dyDescent="0.25">
      <c r="A153" s="17"/>
      <c r="B153" s="25"/>
      <c r="C153" s="24"/>
      <c r="D153" s="24"/>
      <c r="E153" s="24"/>
      <c r="F153" s="26"/>
      <c r="K153" s="40"/>
    </row>
    <row r="154" spans="1:26" ht="15.75" customHeight="1" x14ac:dyDescent="0.25">
      <c r="A154" s="17"/>
      <c r="B154" s="25"/>
      <c r="C154" s="24"/>
      <c r="D154" s="24"/>
      <c r="E154" s="24"/>
      <c r="F154" s="26"/>
      <c r="K154" s="40"/>
    </row>
    <row r="155" spans="1:26" ht="15.75" customHeight="1" x14ac:dyDescent="0.25">
      <c r="A155" s="17"/>
      <c r="B155" s="25"/>
      <c r="C155" s="24"/>
      <c r="D155" s="24"/>
      <c r="E155" s="24"/>
      <c r="F155" s="26"/>
      <c r="K155" s="40"/>
    </row>
    <row r="156" spans="1:26" ht="15.75" customHeight="1" x14ac:dyDescent="0.25">
      <c r="A156" s="17"/>
      <c r="B156" s="25"/>
      <c r="C156" s="24"/>
      <c r="D156" s="24"/>
      <c r="E156" s="24"/>
      <c r="F156" s="26"/>
      <c r="K156" s="40"/>
    </row>
    <row r="157" spans="1:26" ht="15.75" customHeight="1" x14ac:dyDescent="0.25">
      <c r="A157" s="17"/>
      <c r="B157" s="25"/>
      <c r="C157" s="24"/>
      <c r="D157" s="24"/>
      <c r="E157" s="24"/>
      <c r="F157" s="26"/>
      <c r="K157" s="40"/>
    </row>
    <row r="158" spans="1:26" ht="15.75" customHeight="1" x14ac:dyDescent="0.25">
      <c r="A158" s="17"/>
      <c r="B158" s="25"/>
      <c r="C158" s="24"/>
      <c r="D158" s="24"/>
      <c r="E158" s="24"/>
      <c r="F158" s="26"/>
      <c r="K158" s="40"/>
    </row>
    <row r="159" spans="1:26" ht="15.75" customHeight="1" x14ac:dyDescent="0.25">
      <c r="A159" s="17"/>
      <c r="B159" s="25"/>
      <c r="C159" s="24"/>
      <c r="D159" s="24"/>
      <c r="E159" s="24"/>
      <c r="F159" s="26"/>
      <c r="K159" s="40"/>
    </row>
    <row r="160" spans="1:26" ht="15.75" customHeight="1" x14ac:dyDescent="0.25">
      <c r="A160" s="17"/>
      <c r="B160" s="25"/>
      <c r="C160" s="24"/>
      <c r="D160" s="24"/>
      <c r="E160" s="24"/>
      <c r="F160" s="26"/>
      <c r="K160" s="40"/>
    </row>
    <row r="161" spans="1:11" ht="15.75" customHeight="1" x14ac:dyDescent="0.25">
      <c r="A161" s="17"/>
      <c r="B161" s="25"/>
      <c r="C161" s="24"/>
      <c r="D161" s="24"/>
      <c r="E161" s="24"/>
      <c r="F161" s="26"/>
      <c r="K161" s="40"/>
    </row>
    <row r="162" spans="1:11" ht="15.75" customHeight="1" x14ac:dyDescent="0.25">
      <c r="A162" s="17"/>
      <c r="B162" s="25"/>
      <c r="C162" s="24"/>
      <c r="D162" s="24"/>
      <c r="E162" s="24"/>
      <c r="F162" s="26"/>
      <c r="K162" s="40"/>
    </row>
    <row r="163" spans="1:11" ht="15.75" customHeight="1" x14ac:dyDescent="0.25">
      <c r="A163" s="17"/>
      <c r="B163" s="25"/>
      <c r="C163" s="24"/>
      <c r="D163" s="24"/>
      <c r="E163" s="24"/>
      <c r="F163" s="26"/>
      <c r="K163" s="40"/>
    </row>
    <row r="164" spans="1:11" ht="15.75" customHeight="1" x14ac:dyDescent="0.25">
      <c r="A164" s="17"/>
      <c r="B164" s="25"/>
      <c r="C164" s="24"/>
      <c r="D164" s="24"/>
      <c r="E164" s="24"/>
      <c r="F164" s="26"/>
      <c r="K164" s="40"/>
    </row>
    <row r="165" spans="1:11" ht="15.75" customHeight="1" x14ac:dyDescent="0.25">
      <c r="A165" s="17"/>
      <c r="B165" s="25"/>
      <c r="C165" s="24"/>
      <c r="D165" s="24"/>
      <c r="E165" s="24"/>
      <c r="F165" s="26"/>
      <c r="K165" s="40"/>
    </row>
    <row r="166" spans="1:11" ht="15.75" customHeight="1" x14ac:dyDescent="0.25">
      <c r="A166" s="17"/>
      <c r="B166" s="25"/>
      <c r="C166" s="24"/>
      <c r="D166" s="24"/>
      <c r="E166" s="24"/>
      <c r="F166" s="26"/>
      <c r="K166" s="40"/>
    </row>
    <row r="167" spans="1:11" ht="15.75" customHeight="1" x14ac:dyDescent="0.25">
      <c r="A167" s="17"/>
      <c r="B167" s="25"/>
      <c r="C167" s="24"/>
      <c r="D167" s="24"/>
      <c r="E167" s="24"/>
      <c r="F167" s="26"/>
      <c r="K167" s="40"/>
    </row>
    <row r="168" spans="1:11" ht="15.75" customHeight="1" x14ac:dyDescent="0.25">
      <c r="A168" s="17"/>
      <c r="B168" s="25"/>
      <c r="C168" s="24"/>
      <c r="D168" s="24"/>
      <c r="E168" s="24"/>
      <c r="F168" s="26"/>
      <c r="K168" s="40"/>
    </row>
    <row r="169" spans="1:11" ht="15.75" customHeight="1" x14ac:dyDescent="0.25">
      <c r="A169" s="17"/>
      <c r="B169" s="25"/>
      <c r="C169" s="24"/>
      <c r="D169" s="24"/>
      <c r="E169" s="24"/>
      <c r="F169" s="26"/>
      <c r="K169" s="40"/>
    </row>
    <row r="170" spans="1:11" ht="15.75" customHeight="1" x14ac:dyDescent="0.25">
      <c r="A170" s="17"/>
      <c r="B170" s="25"/>
      <c r="C170" s="24"/>
      <c r="D170" s="24"/>
      <c r="E170" s="24"/>
      <c r="F170" s="26"/>
      <c r="K170" s="40"/>
    </row>
    <row r="171" spans="1:11" ht="15.75" customHeight="1" x14ac:dyDescent="0.25">
      <c r="A171" s="17"/>
      <c r="B171" s="25"/>
      <c r="C171" s="24"/>
      <c r="D171" s="24"/>
      <c r="E171" s="24"/>
      <c r="F171" s="26"/>
      <c r="K171" s="40"/>
    </row>
    <row r="172" spans="1:11" ht="15.75" customHeight="1" x14ac:dyDescent="0.25">
      <c r="A172" s="17"/>
      <c r="B172" s="25"/>
      <c r="C172" s="24"/>
      <c r="D172" s="24"/>
      <c r="E172" s="24"/>
      <c r="F172" s="26"/>
      <c r="K172" s="40"/>
    </row>
    <row r="173" spans="1:11" ht="15.75" customHeight="1" x14ac:dyDescent="0.25">
      <c r="A173" s="17"/>
      <c r="B173" s="25"/>
      <c r="C173" s="24"/>
      <c r="D173" s="24"/>
      <c r="E173" s="24"/>
      <c r="F173" s="26"/>
      <c r="K173" s="40"/>
    </row>
    <row r="174" spans="1:11" ht="15.75" customHeight="1" x14ac:dyDescent="0.25">
      <c r="A174" s="17"/>
      <c r="B174" s="25"/>
      <c r="C174" s="24"/>
      <c r="D174" s="24"/>
      <c r="E174" s="24"/>
      <c r="F174" s="26"/>
      <c r="K174" s="40"/>
    </row>
    <row r="175" spans="1:11" ht="15.75" customHeight="1" x14ac:dyDescent="0.25">
      <c r="A175" s="17"/>
      <c r="B175" s="25"/>
      <c r="C175" s="24"/>
      <c r="D175" s="24"/>
      <c r="E175" s="24"/>
      <c r="F175" s="26"/>
      <c r="K175" s="40"/>
    </row>
    <row r="176" spans="1:11" ht="15.75" customHeight="1" x14ac:dyDescent="0.25">
      <c r="A176" s="17"/>
      <c r="B176" s="25"/>
      <c r="C176" s="24"/>
      <c r="D176" s="24"/>
      <c r="E176" s="24"/>
      <c r="F176" s="26"/>
      <c r="K176" s="40"/>
    </row>
    <row r="177" spans="1:11" ht="15.75" customHeight="1" x14ac:dyDescent="0.25">
      <c r="A177" s="17"/>
      <c r="B177" s="25"/>
      <c r="C177" s="24"/>
      <c r="D177" s="24"/>
      <c r="E177" s="24"/>
      <c r="F177" s="26"/>
      <c r="K177" s="40"/>
    </row>
    <row r="178" spans="1:11" ht="15.75" customHeight="1" x14ac:dyDescent="0.25">
      <c r="A178" s="17"/>
      <c r="B178" s="25"/>
      <c r="C178" s="24"/>
      <c r="D178" s="24"/>
      <c r="E178" s="24"/>
      <c r="F178" s="26"/>
      <c r="K178" s="40"/>
    </row>
    <row r="179" spans="1:11" ht="15.75" customHeight="1" x14ac:dyDescent="0.25">
      <c r="A179" s="17"/>
      <c r="B179" s="25"/>
      <c r="C179" s="24"/>
      <c r="D179" s="24"/>
      <c r="E179" s="24"/>
      <c r="F179" s="26"/>
      <c r="K179" s="40"/>
    </row>
    <row r="180" spans="1:11" ht="15.75" customHeight="1" x14ac:dyDescent="0.25">
      <c r="A180" s="17"/>
      <c r="B180" s="25"/>
      <c r="C180" s="24"/>
      <c r="D180" s="24"/>
      <c r="E180" s="24"/>
      <c r="F180" s="26"/>
      <c r="K180" s="40"/>
    </row>
    <row r="181" spans="1:11" ht="15.75" customHeight="1" x14ac:dyDescent="0.25">
      <c r="A181" s="17"/>
      <c r="B181" s="25"/>
      <c r="C181" s="24"/>
      <c r="D181" s="24"/>
      <c r="E181" s="24"/>
      <c r="F181" s="26"/>
      <c r="K181" s="40"/>
    </row>
    <row r="182" spans="1:11" ht="15.75" customHeight="1" x14ac:dyDescent="0.25">
      <c r="A182" s="17"/>
      <c r="B182" s="25"/>
      <c r="C182" s="24"/>
      <c r="D182" s="24"/>
      <c r="E182" s="24"/>
      <c r="F182" s="26"/>
      <c r="K182" s="40"/>
    </row>
    <row r="183" spans="1:11" ht="15.75" customHeight="1" x14ac:dyDescent="0.25">
      <c r="A183" s="17"/>
      <c r="B183" s="25"/>
      <c r="C183" s="24"/>
      <c r="D183" s="24"/>
      <c r="E183" s="24"/>
      <c r="F183" s="26"/>
      <c r="K183" s="40"/>
    </row>
    <row r="184" spans="1:11" ht="15.75" customHeight="1" x14ac:dyDescent="0.25">
      <c r="A184" s="17"/>
      <c r="B184" s="25"/>
      <c r="C184" s="24"/>
      <c r="D184" s="24"/>
      <c r="E184" s="24"/>
      <c r="F184" s="26"/>
      <c r="K184" s="40"/>
    </row>
    <row r="185" spans="1:11" ht="15.75" customHeight="1" x14ac:dyDescent="0.25">
      <c r="A185" s="17"/>
      <c r="B185" s="25"/>
      <c r="C185" s="24"/>
      <c r="D185" s="24"/>
      <c r="E185" s="24"/>
      <c r="F185" s="26"/>
      <c r="K185" s="40"/>
    </row>
    <row r="186" spans="1:11" ht="15.75" customHeight="1" x14ac:dyDescent="0.25">
      <c r="A186" s="17"/>
      <c r="B186" s="25"/>
      <c r="C186" s="24"/>
      <c r="D186" s="24"/>
      <c r="E186" s="24"/>
      <c r="F186" s="26"/>
      <c r="K186" s="40"/>
    </row>
    <row r="187" spans="1:11" ht="15.75" customHeight="1" x14ac:dyDescent="0.25">
      <c r="A187" s="17"/>
      <c r="B187" s="25"/>
      <c r="C187" s="24"/>
      <c r="D187" s="24"/>
      <c r="E187" s="24"/>
      <c r="F187" s="26"/>
      <c r="K187" s="40"/>
    </row>
    <row r="188" spans="1:11" ht="15.75" customHeight="1" x14ac:dyDescent="0.25">
      <c r="A188" s="17"/>
      <c r="B188" s="25"/>
      <c r="C188" s="24"/>
      <c r="D188" s="24"/>
      <c r="E188" s="24"/>
      <c r="F188" s="26"/>
      <c r="K188" s="40"/>
    </row>
    <row r="189" spans="1:11" ht="15.75" customHeight="1" x14ac:dyDescent="0.25">
      <c r="A189" s="17"/>
      <c r="B189" s="25"/>
      <c r="C189" s="24"/>
      <c r="D189" s="24"/>
      <c r="E189" s="24"/>
      <c r="F189" s="26"/>
      <c r="K189" s="40"/>
    </row>
    <row r="190" spans="1:11" ht="15.75" customHeight="1" x14ac:dyDescent="0.25">
      <c r="A190" s="17"/>
      <c r="B190" s="25"/>
      <c r="C190" s="24"/>
      <c r="D190" s="24"/>
      <c r="E190" s="24"/>
      <c r="F190" s="26"/>
      <c r="K190" s="40"/>
    </row>
    <row r="191" spans="1:11" ht="15.75" customHeight="1" x14ac:dyDescent="0.25">
      <c r="A191" s="17"/>
      <c r="B191" s="25"/>
      <c r="C191" s="24"/>
      <c r="D191" s="24"/>
      <c r="E191" s="24"/>
      <c r="F191" s="26"/>
      <c r="K191" s="40"/>
    </row>
    <row r="192" spans="1:11" ht="15.75" customHeight="1" x14ac:dyDescent="0.25">
      <c r="A192" s="17"/>
      <c r="B192" s="25"/>
      <c r="C192" s="24"/>
      <c r="D192" s="24"/>
      <c r="E192" s="24"/>
      <c r="F192" s="26"/>
      <c r="K192" s="40"/>
    </row>
    <row r="193" spans="1:11" ht="15.75" customHeight="1" x14ac:dyDescent="0.25">
      <c r="A193" s="17"/>
      <c r="B193" s="25"/>
      <c r="C193" s="24"/>
      <c r="D193" s="24"/>
      <c r="E193" s="24"/>
      <c r="F193" s="26"/>
      <c r="K193" s="40"/>
    </row>
    <row r="194" spans="1:11" ht="15.75" customHeight="1" x14ac:dyDescent="0.25">
      <c r="A194" s="17"/>
      <c r="B194" s="25"/>
      <c r="C194" s="24"/>
      <c r="D194" s="24"/>
      <c r="E194" s="24"/>
      <c r="F194" s="26"/>
      <c r="K194" s="40"/>
    </row>
    <row r="195" spans="1:11" ht="15.75" customHeight="1" x14ac:dyDescent="0.25">
      <c r="A195" s="17"/>
      <c r="B195" s="25"/>
      <c r="C195" s="24"/>
      <c r="D195" s="24"/>
      <c r="E195" s="24"/>
      <c r="F195" s="26"/>
      <c r="K195" s="40"/>
    </row>
    <row r="196" spans="1:11" ht="15.75" customHeight="1" x14ac:dyDescent="0.25">
      <c r="A196" s="17"/>
      <c r="B196" s="25"/>
      <c r="C196" s="24"/>
      <c r="D196" s="24"/>
      <c r="E196" s="24"/>
      <c r="F196" s="26"/>
      <c r="K196" s="40"/>
    </row>
    <row r="197" spans="1:11" ht="15.75" customHeight="1" x14ac:dyDescent="0.25">
      <c r="A197" s="17"/>
      <c r="B197" s="25"/>
      <c r="C197" s="24"/>
      <c r="D197" s="24"/>
      <c r="E197" s="24"/>
      <c r="F197" s="26"/>
      <c r="K197" s="40"/>
    </row>
    <row r="198" spans="1:11" ht="15.75" customHeight="1" x14ac:dyDescent="0.25">
      <c r="A198" s="17"/>
      <c r="B198" s="25"/>
      <c r="C198" s="24"/>
      <c r="D198" s="24"/>
      <c r="E198" s="24"/>
      <c r="F198" s="26"/>
      <c r="K198" s="40"/>
    </row>
    <row r="199" spans="1:11" ht="15.75" customHeight="1" x14ac:dyDescent="0.25">
      <c r="A199" s="17"/>
      <c r="B199" s="25"/>
      <c r="C199" s="24"/>
      <c r="D199" s="24"/>
      <c r="E199" s="24"/>
      <c r="F199" s="26"/>
      <c r="K199" s="40"/>
    </row>
    <row r="200" spans="1:11" ht="15.75" customHeight="1" x14ac:dyDescent="0.25">
      <c r="A200" s="17"/>
      <c r="B200" s="25"/>
      <c r="C200" s="24"/>
      <c r="D200" s="24"/>
      <c r="E200" s="24"/>
      <c r="F200" s="26"/>
      <c r="K200" s="40"/>
    </row>
    <row r="201" spans="1:11" ht="15.75" customHeight="1" x14ac:dyDescent="0.25">
      <c r="A201" s="17"/>
      <c r="B201" s="25"/>
      <c r="C201" s="24"/>
      <c r="D201" s="24"/>
      <c r="E201" s="24"/>
      <c r="F201" s="26"/>
      <c r="K201" s="40"/>
    </row>
    <row r="202" spans="1:11" ht="15.75" customHeight="1" x14ac:dyDescent="0.25">
      <c r="A202" s="17"/>
      <c r="B202" s="25"/>
      <c r="C202" s="24"/>
      <c r="D202" s="24"/>
      <c r="E202" s="24"/>
      <c r="F202" s="26"/>
      <c r="K202" s="40"/>
    </row>
    <row r="203" spans="1:11" ht="15.75" customHeight="1" x14ac:dyDescent="0.25">
      <c r="A203" s="17"/>
      <c r="B203" s="25"/>
      <c r="C203" s="24"/>
      <c r="D203" s="24"/>
      <c r="E203" s="24"/>
      <c r="F203" s="26"/>
      <c r="K203" s="40"/>
    </row>
    <row r="204" spans="1:11" ht="15.75" customHeight="1" x14ac:dyDescent="0.25">
      <c r="A204" s="17"/>
      <c r="B204" s="25"/>
      <c r="C204" s="24"/>
      <c r="D204" s="24"/>
      <c r="E204" s="24"/>
      <c r="F204" s="26"/>
      <c r="K204" s="40"/>
    </row>
    <row r="205" spans="1:11" ht="15.75" customHeight="1" x14ac:dyDescent="0.25">
      <c r="A205" s="17"/>
      <c r="B205" s="25"/>
      <c r="C205" s="24"/>
      <c r="D205" s="24"/>
      <c r="E205" s="24"/>
      <c r="F205" s="26"/>
      <c r="K205" s="40"/>
    </row>
    <row r="206" spans="1:11" ht="15.75" customHeight="1" x14ac:dyDescent="0.25">
      <c r="A206" s="17"/>
      <c r="B206" s="25"/>
      <c r="C206" s="24"/>
      <c r="D206" s="24"/>
      <c r="E206" s="24"/>
      <c r="F206" s="26"/>
      <c r="K206" s="40"/>
    </row>
    <row r="207" spans="1:11" ht="15.75" customHeight="1" x14ac:dyDescent="0.25">
      <c r="A207" s="17"/>
      <c r="B207" s="25"/>
      <c r="C207" s="24"/>
      <c r="D207" s="24"/>
      <c r="E207" s="24"/>
      <c r="F207" s="26"/>
      <c r="K207" s="40"/>
    </row>
    <row r="208" spans="1:11" ht="15.75" customHeight="1" x14ac:dyDescent="0.25">
      <c r="A208" s="17"/>
      <c r="B208" s="25"/>
      <c r="C208" s="24"/>
      <c r="D208" s="24"/>
      <c r="E208" s="24"/>
      <c r="F208" s="26"/>
      <c r="K208" s="40"/>
    </row>
    <row r="209" spans="1:11" ht="15.75" customHeight="1" x14ac:dyDescent="0.25">
      <c r="A209" s="17"/>
      <c r="B209" s="25"/>
      <c r="C209" s="24"/>
      <c r="D209" s="24"/>
      <c r="E209" s="24"/>
      <c r="F209" s="26"/>
      <c r="K209" s="40"/>
    </row>
    <row r="210" spans="1:11" ht="15.75" customHeight="1" x14ac:dyDescent="0.25">
      <c r="A210" s="17"/>
      <c r="B210" s="25"/>
      <c r="C210" s="24"/>
      <c r="D210" s="24"/>
      <c r="E210" s="24"/>
      <c r="F210" s="26"/>
      <c r="K210" s="40"/>
    </row>
    <row r="211" spans="1:11" ht="15.75" customHeight="1" x14ac:dyDescent="0.25">
      <c r="A211" s="17"/>
      <c r="B211" s="25"/>
      <c r="C211" s="24"/>
      <c r="D211" s="24"/>
      <c r="E211" s="24"/>
      <c r="F211" s="26"/>
      <c r="K211" s="40"/>
    </row>
    <row r="212" spans="1:11" ht="15.75" customHeight="1" x14ac:dyDescent="0.25">
      <c r="A212" s="17"/>
      <c r="B212" s="25"/>
      <c r="C212" s="24"/>
      <c r="D212" s="24"/>
      <c r="E212" s="24"/>
      <c r="F212" s="26"/>
      <c r="K212" s="40"/>
    </row>
    <row r="213" spans="1:11" ht="15.75" customHeight="1" x14ac:dyDescent="0.25">
      <c r="A213" s="17"/>
      <c r="B213" s="25"/>
      <c r="C213" s="24"/>
      <c r="D213" s="24"/>
      <c r="E213" s="24"/>
      <c r="F213" s="26"/>
      <c r="K213" s="40"/>
    </row>
    <row r="214" spans="1:11" ht="15.75" customHeight="1" x14ac:dyDescent="0.25">
      <c r="A214" s="17"/>
      <c r="B214" s="25"/>
      <c r="C214" s="24"/>
      <c r="D214" s="24"/>
      <c r="E214" s="24"/>
      <c r="F214" s="26"/>
      <c r="K214" s="40"/>
    </row>
    <row r="215" spans="1:11" ht="15.75" customHeight="1" x14ac:dyDescent="0.25">
      <c r="A215" s="17"/>
      <c r="B215" s="25"/>
      <c r="C215" s="24"/>
      <c r="D215" s="24"/>
      <c r="E215" s="24"/>
      <c r="F215" s="26"/>
      <c r="K215" s="40"/>
    </row>
    <row r="216" spans="1:11" ht="15.75" customHeight="1" x14ac:dyDescent="0.25">
      <c r="A216" s="17"/>
      <c r="B216" s="25"/>
      <c r="C216" s="24"/>
      <c r="D216" s="24"/>
      <c r="E216" s="24"/>
      <c r="F216" s="26"/>
      <c r="K216" s="40"/>
    </row>
    <row r="217" spans="1:11" ht="15.75" customHeight="1" x14ac:dyDescent="0.25">
      <c r="A217" s="17"/>
      <c r="B217" s="25"/>
      <c r="C217" s="24"/>
      <c r="D217" s="24"/>
      <c r="E217" s="24"/>
      <c r="F217" s="26"/>
      <c r="K217" s="40"/>
    </row>
    <row r="218" spans="1:11" ht="15.75" customHeight="1" x14ac:dyDescent="0.25">
      <c r="A218" s="17"/>
      <c r="B218" s="25"/>
      <c r="C218" s="24"/>
      <c r="D218" s="24"/>
      <c r="E218" s="24"/>
      <c r="F218" s="26"/>
      <c r="K218" s="40"/>
    </row>
    <row r="219" spans="1:11" ht="15.75" customHeight="1" x14ac:dyDescent="0.25">
      <c r="A219" s="17"/>
      <c r="B219" s="25"/>
      <c r="C219" s="24"/>
      <c r="D219" s="24"/>
      <c r="E219" s="24"/>
      <c r="F219" s="26"/>
      <c r="K219" s="40"/>
    </row>
    <row r="220" spans="1:11" ht="15.75" customHeight="1" x14ac:dyDescent="0.25">
      <c r="A220" s="17"/>
      <c r="B220" s="25"/>
      <c r="C220" s="24"/>
      <c r="D220" s="24"/>
      <c r="E220" s="24"/>
      <c r="F220" s="26"/>
      <c r="K220" s="40"/>
    </row>
    <row r="221" spans="1:11" ht="15.75" customHeight="1" x14ac:dyDescent="0.25">
      <c r="A221" s="17"/>
      <c r="B221" s="25"/>
      <c r="C221" s="24"/>
      <c r="D221" s="24"/>
      <c r="E221" s="24"/>
      <c r="F221" s="26"/>
      <c r="K221" s="40"/>
    </row>
    <row r="222" spans="1:11" ht="15.75" customHeight="1" x14ac:dyDescent="0.25">
      <c r="A222" s="17"/>
      <c r="B222" s="25"/>
      <c r="C222" s="24"/>
      <c r="D222" s="24"/>
      <c r="E222" s="24"/>
      <c r="F222" s="26"/>
      <c r="K222" s="40"/>
    </row>
    <row r="223" spans="1:11" ht="15.75" customHeight="1" x14ac:dyDescent="0.25">
      <c r="A223" s="17"/>
      <c r="B223" s="25"/>
      <c r="C223" s="24"/>
      <c r="D223" s="24"/>
      <c r="E223" s="24"/>
      <c r="F223" s="26"/>
      <c r="K223" s="40"/>
    </row>
    <row r="224" spans="1:11" ht="15.75" customHeight="1" x14ac:dyDescent="0.25">
      <c r="A224" s="17"/>
      <c r="B224" s="25"/>
      <c r="C224" s="24"/>
      <c r="D224" s="24"/>
      <c r="E224" s="24"/>
      <c r="F224" s="26"/>
      <c r="K224" s="40"/>
    </row>
    <row r="225" spans="1:11" ht="15.75" customHeight="1" x14ac:dyDescent="0.25">
      <c r="A225" s="17"/>
      <c r="B225" s="25"/>
      <c r="C225" s="24"/>
      <c r="D225" s="24"/>
      <c r="E225" s="24"/>
      <c r="F225" s="26"/>
      <c r="K225" s="40"/>
    </row>
    <row r="226" spans="1:11" ht="15.75" customHeight="1" x14ac:dyDescent="0.25">
      <c r="A226" s="17"/>
      <c r="B226" s="25"/>
      <c r="C226" s="24"/>
      <c r="D226" s="24"/>
      <c r="E226" s="24"/>
      <c r="F226" s="26"/>
      <c r="K226" s="40"/>
    </row>
    <row r="227" spans="1:11" ht="15.75" customHeight="1" x14ac:dyDescent="0.25">
      <c r="A227" s="17"/>
      <c r="B227" s="25"/>
      <c r="C227" s="24"/>
      <c r="D227" s="24"/>
      <c r="E227" s="24"/>
      <c r="F227" s="26"/>
      <c r="K227" s="40"/>
    </row>
    <row r="228" spans="1:11" ht="15.75" customHeight="1" x14ac:dyDescent="0.25">
      <c r="A228" s="17"/>
      <c r="B228" s="25"/>
      <c r="C228" s="24"/>
      <c r="D228" s="24"/>
      <c r="E228" s="24"/>
      <c r="F228" s="26"/>
      <c r="K228" s="40"/>
    </row>
    <row r="229" spans="1:11" ht="15.75" customHeight="1" x14ac:dyDescent="0.25">
      <c r="A229" s="17"/>
      <c r="B229" s="25"/>
      <c r="C229" s="24"/>
      <c r="D229" s="24"/>
      <c r="E229" s="24"/>
      <c r="F229" s="26"/>
      <c r="K229" s="40"/>
    </row>
    <row r="230" spans="1:11" ht="15.75" customHeight="1" x14ac:dyDescent="0.25">
      <c r="A230" s="17"/>
      <c r="B230" s="25"/>
      <c r="C230" s="24"/>
      <c r="D230" s="24"/>
      <c r="E230" s="24"/>
      <c r="F230" s="26"/>
      <c r="K230" s="40"/>
    </row>
    <row r="231" spans="1:11" ht="15.75" customHeight="1" x14ac:dyDescent="0.25">
      <c r="A231" s="17"/>
      <c r="B231" s="25"/>
      <c r="C231" s="24"/>
      <c r="D231" s="24"/>
      <c r="E231" s="24"/>
      <c r="F231" s="26"/>
      <c r="K231" s="40"/>
    </row>
    <row r="232" spans="1:11" ht="15.75" customHeight="1" x14ac:dyDescent="0.25">
      <c r="A232" s="17"/>
      <c r="B232" s="25"/>
      <c r="C232" s="24"/>
      <c r="D232" s="24"/>
      <c r="E232" s="24"/>
      <c r="F232" s="26"/>
      <c r="K232" s="40"/>
    </row>
    <row r="233" spans="1:11" ht="15.75" customHeight="1" x14ac:dyDescent="0.25">
      <c r="A233" s="17"/>
      <c r="B233" s="25"/>
      <c r="C233" s="24"/>
      <c r="D233" s="24"/>
      <c r="E233" s="24"/>
      <c r="F233" s="26"/>
      <c r="K233" s="40"/>
    </row>
    <row r="234" spans="1:11" ht="15.75" customHeight="1" x14ac:dyDescent="0.25">
      <c r="A234" s="17"/>
      <c r="B234" s="25"/>
      <c r="C234" s="24"/>
      <c r="D234" s="24"/>
      <c r="E234" s="24"/>
      <c r="F234" s="26"/>
      <c r="K234" s="40"/>
    </row>
    <row r="235" spans="1:11" ht="15.75" customHeight="1" x14ac:dyDescent="0.25">
      <c r="A235" s="17"/>
      <c r="B235" s="25"/>
      <c r="C235" s="24"/>
      <c r="D235" s="24"/>
      <c r="E235" s="24"/>
      <c r="F235" s="26"/>
      <c r="K235" s="40"/>
    </row>
    <row r="236" spans="1:11" ht="15.75" customHeight="1" x14ac:dyDescent="0.25">
      <c r="A236" s="17"/>
      <c r="B236" s="25"/>
      <c r="C236" s="24"/>
      <c r="D236" s="24"/>
      <c r="E236" s="24"/>
      <c r="F236" s="26"/>
      <c r="K236" s="40"/>
    </row>
    <row r="237" spans="1:11" ht="15.75" customHeight="1" x14ac:dyDescent="0.25">
      <c r="A237" s="17"/>
      <c r="B237" s="25"/>
      <c r="C237" s="24"/>
      <c r="D237" s="24"/>
      <c r="E237" s="24"/>
      <c r="F237" s="26"/>
      <c r="K237" s="40"/>
    </row>
    <row r="238" spans="1:11" ht="15.75" customHeight="1" x14ac:dyDescent="0.25">
      <c r="A238" s="17"/>
      <c r="B238" s="25"/>
      <c r="C238" s="24"/>
      <c r="D238" s="24"/>
      <c r="E238" s="24"/>
      <c r="F238" s="26"/>
      <c r="K238" s="40"/>
    </row>
    <row r="239" spans="1:11" ht="15.75" customHeight="1" x14ac:dyDescent="0.25">
      <c r="A239" s="17"/>
      <c r="B239" s="25"/>
      <c r="C239" s="24"/>
      <c r="D239" s="24"/>
      <c r="E239" s="24"/>
      <c r="F239" s="26"/>
      <c r="K239" s="40"/>
    </row>
    <row r="240" spans="1:11" ht="15.75" customHeight="1" x14ac:dyDescent="0.25">
      <c r="A240" s="17"/>
      <c r="B240" s="25"/>
      <c r="C240" s="24"/>
      <c r="D240" s="24"/>
      <c r="E240" s="24"/>
      <c r="F240" s="26"/>
      <c r="K240" s="40"/>
    </row>
    <row r="241" spans="1:11" ht="15.75" customHeight="1" x14ac:dyDescent="0.25">
      <c r="A241" s="17"/>
      <c r="B241" s="25"/>
      <c r="C241" s="24"/>
      <c r="D241" s="24"/>
      <c r="E241" s="24"/>
      <c r="F241" s="26"/>
      <c r="K241" s="40"/>
    </row>
    <row r="242" spans="1:11" ht="15.75" customHeight="1" x14ac:dyDescent="0.25">
      <c r="A242" s="17"/>
      <c r="B242" s="25"/>
      <c r="C242" s="24"/>
      <c r="D242" s="24"/>
      <c r="E242" s="24"/>
      <c r="F242" s="26"/>
      <c r="K242" s="40"/>
    </row>
    <row r="243" spans="1:11" ht="15.75" customHeight="1" x14ac:dyDescent="0.25">
      <c r="A243" s="17"/>
      <c r="B243" s="25"/>
      <c r="C243" s="24"/>
      <c r="D243" s="24"/>
      <c r="E243" s="24"/>
      <c r="F243" s="26"/>
      <c r="K243" s="40"/>
    </row>
    <row r="244" spans="1:11" ht="15.75" customHeight="1" x14ac:dyDescent="0.25">
      <c r="A244" s="17"/>
      <c r="B244" s="25"/>
      <c r="C244" s="24"/>
      <c r="D244" s="24"/>
      <c r="E244" s="24"/>
      <c r="F244" s="26"/>
      <c r="K244" s="40"/>
    </row>
    <row r="245" spans="1:11" ht="15.75" customHeight="1" x14ac:dyDescent="0.25">
      <c r="A245" s="17"/>
      <c r="B245" s="25"/>
      <c r="C245" s="24"/>
      <c r="D245" s="24"/>
      <c r="E245" s="24"/>
      <c r="F245" s="26"/>
      <c r="K245" s="40"/>
    </row>
    <row r="246" spans="1:11" ht="15.75" customHeight="1" x14ac:dyDescent="0.25">
      <c r="A246" s="17"/>
      <c r="B246" s="25"/>
      <c r="C246" s="24"/>
      <c r="D246" s="24"/>
      <c r="E246" s="24"/>
      <c r="F246" s="26"/>
      <c r="K246" s="40"/>
    </row>
    <row r="247" spans="1:11" ht="15.75" customHeight="1" x14ac:dyDescent="0.25">
      <c r="A247" s="17"/>
      <c r="B247" s="25"/>
      <c r="C247" s="24"/>
      <c r="D247" s="24"/>
      <c r="E247" s="24"/>
      <c r="F247" s="26"/>
      <c r="K247" s="40"/>
    </row>
    <row r="248" spans="1:11" ht="15.75" customHeight="1" x14ac:dyDescent="0.25">
      <c r="A248" s="17"/>
      <c r="B248" s="25"/>
      <c r="C248" s="24"/>
      <c r="D248" s="24"/>
      <c r="E248" s="24"/>
      <c r="F248" s="26"/>
      <c r="K248" s="40"/>
    </row>
    <row r="249" spans="1:11" ht="15.75" customHeight="1" x14ac:dyDescent="0.25">
      <c r="A249" s="17"/>
      <c r="B249" s="25"/>
      <c r="C249" s="24"/>
      <c r="D249" s="24"/>
      <c r="E249" s="24"/>
      <c r="F249" s="26"/>
      <c r="K249" s="40"/>
    </row>
    <row r="250" spans="1:11" ht="15.75" customHeight="1" x14ac:dyDescent="0.25">
      <c r="A250" s="17"/>
      <c r="B250" s="25"/>
      <c r="C250" s="24"/>
      <c r="D250" s="24"/>
      <c r="E250" s="24"/>
      <c r="F250" s="26"/>
      <c r="K250" s="40"/>
    </row>
    <row r="251" spans="1:11" ht="15.75" customHeight="1" x14ac:dyDescent="0.25">
      <c r="A251" s="17"/>
      <c r="B251" s="25"/>
      <c r="C251" s="24"/>
      <c r="D251" s="24"/>
      <c r="E251" s="24"/>
      <c r="F251" s="26"/>
      <c r="K251" s="40"/>
    </row>
    <row r="252" spans="1:11" ht="15.75" customHeight="1" x14ac:dyDescent="0.25">
      <c r="A252" s="17"/>
      <c r="B252" s="25"/>
      <c r="C252" s="24"/>
      <c r="D252" s="24"/>
      <c r="E252" s="24"/>
      <c r="F252" s="26"/>
      <c r="K252" s="40"/>
    </row>
    <row r="253" spans="1:11" ht="15.75" customHeight="1" x14ac:dyDescent="0.25">
      <c r="A253" s="17"/>
      <c r="B253" s="25"/>
      <c r="C253" s="24"/>
      <c r="D253" s="24"/>
      <c r="E253" s="24"/>
      <c r="F253" s="26"/>
      <c r="K253" s="40"/>
    </row>
    <row r="254" spans="1:11" ht="15.75" customHeight="1" x14ac:dyDescent="0.25">
      <c r="A254" s="17"/>
      <c r="B254" s="25"/>
      <c r="C254" s="24"/>
      <c r="D254" s="24"/>
      <c r="E254" s="24"/>
      <c r="F254" s="26"/>
      <c r="K254" s="40"/>
    </row>
    <row r="255" spans="1:11" ht="15.75" customHeight="1" x14ac:dyDescent="0.25">
      <c r="A255" s="17"/>
      <c r="B255" s="25"/>
      <c r="C255" s="24"/>
      <c r="D255" s="24"/>
      <c r="E255" s="24"/>
      <c r="F255" s="26"/>
      <c r="K255" s="40"/>
    </row>
    <row r="256" spans="1:11" ht="15.75" customHeight="1" x14ac:dyDescent="0.25">
      <c r="A256" s="17"/>
      <c r="B256" s="25"/>
      <c r="C256" s="24"/>
      <c r="D256" s="24"/>
      <c r="E256" s="24"/>
      <c r="F256" s="26"/>
      <c r="K256" s="40"/>
    </row>
    <row r="257" spans="1:11" ht="15.75" customHeight="1" x14ac:dyDescent="0.25">
      <c r="A257" s="17"/>
      <c r="B257" s="25"/>
      <c r="C257" s="24"/>
      <c r="D257" s="24"/>
      <c r="E257" s="24"/>
      <c r="F257" s="26"/>
      <c r="K257" s="40"/>
    </row>
    <row r="258" spans="1:11" ht="15.75" customHeight="1" x14ac:dyDescent="0.25">
      <c r="A258" s="17"/>
      <c r="B258" s="25"/>
      <c r="C258" s="24"/>
      <c r="D258" s="24"/>
      <c r="E258" s="24"/>
      <c r="F258" s="26"/>
      <c r="K258" s="40"/>
    </row>
    <row r="259" spans="1:11" ht="15.75" customHeight="1" x14ac:dyDescent="0.25">
      <c r="A259" s="17"/>
      <c r="B259" s="25"/>
      <c r="C259" s="24"/>
      <c r="D259" s="24"/>
      <c r="E259" s="24"/>
      <c r="F259" s="26"/>
      <c r="K259" s="40"/>
    </row>
    <row r="260" spans="1:11" ht="15.75" customHeight="1" x14ac:dyDescent="0.25">
      <c r="A260" s="17"/>
      <c r="B260" s="25"/>
      <c r="C260" s="24"/>
      <c r="D260" s="24"/>
      <c r="E260" s="24"/>
      <c r="F260" s="26"/>
      <c r="K260" s="40"/>
    </row>
    <row r="261" spans="1:11" ht="15.75" customHeight="1" x14ac:dyDescent="0.25">
      <c r="A261" s="17"/>
      <c r="B261" s="25"/>
      <c r="C261" s="24"/>
      <c r="D261" s="24"/>
      <c r="E261" s="24"/>
      <c r="F261" s="26"/>
      <c r="K261" s="40"/>
    </row>
    <row r="262" spans="1:11" ht="15.75" customHeight="1" x14ac:dyDescent="0.25">
      <c r="A262" s="17"/>
      <c r="B262" s="25"/>
      <c r="C262" s="24"/>
      <c r="D262" s="24"/>
      <c r="E262" s="24"/>
      <c r="F262" s="26"/>
      <c r="K262" s="40"/>
    </row>
    <row r="263" spans="1:11" ht="15.75" customHeight="1" x14ac:dyDescent="0.25">
      <c r="A263" s="17"/>
      <c r="B263" s="25"/>
      <c r="C263" s="24"/>
      <c r="D263" s="24"/>
      <c r="E263" s="24"/>
      <c r="F263" s="26"/>
      <c r="K263" s="40"/>
    </row>
    <row r="264" spans="1:11" ht="15.75" customHeight="1" x14ac:dyDescent="0.25">
      <c r="A264" s="17"/>
      <c r="B264" s="25"/>
      <c r="C264" s="24"/>
      <c r="D264" s="24"/>
      <c r="E264" s="24"/>
      <c r="F264" s="26"/>
      <c r="K264" s="40"/>
    </row>
    <row r="265" spans="1:11" ht="15.75" customHeight="1" x14ac:dyDescent="0.25">
      <c r="A265" s="17"/>
      <c r="B265" s="25"/>
      <c r="C265" s="24"/>
      <c r="D265" s="24"/>
      <c r="E265" s="24"/>
      <c r="F265" s="26"/>
      <c r="K265" s="40"/>
    </row>
    <row r="266" spans="1:11" ht="15.75" customHeight="1" x14ac:dyDescent="0.25">
      <c r="A266" s="17"/>
      <c r="B266" s="25"/>
      <c r="C266" s="24"/>
      <c r="D266" s="24"/>
      <c r="E266" s="24"/>
      <c r="F266" s="26"/>
      <c r="K266" s="40"/>
    </row>
    <row r="267" spans="1:11" ht="15.75" customHeight="1" x14ac:dyDescent="0.25">
      <c r="A267" s="17"/>
      <c r="B267" s="25"/>
      <c r="C267" s="24"/>
      <c r="D267" s="24"/>
      <c r="E267" s="24"/>
      <c r="F267" s="26"/>
      <c r="K267" s="40"/>
    </row>
    <row r="268" spans="1:11" ht="15.75" customHeight="1" x14ac:dyDescent="0.25">
      <c r="A268" s="17"/>
      <c r="B268" s="25"/>
      <c r="C268" s="24"/>
      <c r="D268" s="24"/>
      <c r="E268" s="24"/>
      <c r="F268" s="26"/>
      <c r="K268" s="40"/>
    </row>
    <row r="269" spans="1:11" ht="15.75" customHeight="1" x14ac:dyDescent="0.25">
      <c r="A269" s="17"/>
      <c r="B269" s="25"/>
      <c r="C269" s="24"/>
      <c r="D269" s="24"/>
      <c r="E269" s="24"/>
      <c r="F269" s="26"/>
      <c r="K269" s="40"/>
    </row>
    <row r="270" spans="1:11" ht="15.75" customHeight="1" x14ac:dyDescent="0.25">
      <c r="A270" s="17"/>
      <c r="B270" s="25"/>
      <c r="C270" s="24"/>
      <c r="D270" s="24"/>
      <c r="E270" s="24"/>
      <c r="F270" s="26"/>
      <c r="K270" s="40"/>
    </row>
    <row r="271" spans="1:11" ht="15.75" customHeight="1" x14ac:dyDescent="0.25">
      <c r="A271" s="17"/>
      <c r="B271" s="25"/>
      <c r="C271" s="24"/>
      <c r="D271" s="24"/>
      <c r="E271" s="24"/>
      <c r="F271" s="26"/>
      <c r="K271" s="40"/>
    </row>
    <row r="272" spans="1:11" ht="15.75" customHeight="1" x14ac:dyDescent="0.25">
      <c r="A272" s="17"/>
      <c r="B272" s="25"/>
      <c r="C272" s="24"/>
      <c r="D272" s="24"/>
      <c r="E272" s="24"/>
      <c r="F272" s="26"/>
      <c r="K272" s="40"/>
    </row>
    <row r="273" spans="1:11" ht="15.75" customHeight="1" x14ac:dyDescent="0.25">
      <c r="A273" s="17"/>
      <c r="B273" s="25"/>
      <c r="C273" s="24"/>
      <c r="D273" s="24"/>
      <c r="E273" s="24"/>
      <c r="F273" s="26"/>
      <c r="K273" s="40"/>
    </row>
    <row r="274" spans="1:11" ht="15.75" customHeight="1" x14ac:dyDescent="0.25">
      <c r="A274" s="17"/>
      <c r="B274" s="25"/>
      <c r="C274" s="24"/>
      <c r="D274" s="24"/>
      <c r="E274" s="24"/>
      <c r="F274" s="26"/>
      <c r="K274" s="40"/>
    </row>
    <row r="275" spans="1:11" ht="15.75" customHeight="1" x14ac:dyDescent="0.25">
      <c r="A275" s="17"/>
      <c r="B275" s="25"/>
      <c r="C275" s="24"/>
      <c r="D275" s="24"/>
      <c r="E275" s="24"/>
      <c r="F275" s="26"/>
      <c r="K275" s="40"/>
    </row>
    <row r="276" spans="1:11" ht="15.75" customHeight="1" x14ac:dyDescent="0.25">
      <c r="A276" s="17"/>
      <c r="B276" s="25"/>
      <c r="C276" s="24"/>
      <c r="D276" s="24"/>
      <c r="E276" s="24"/>
      <c r="F276" s="26"/>
      <c r="K276" s="40"/>
    </row>
    <row r="277" spans="1:11" ht="15.75" customHeight="1" x14ac:dyDescent="0.25">
      <c r="A277" s="17"/>
      <c r="B277" s="25"/>
      <c r="C277" s="24"/>
      <c r="D277" s="24"/>
      <c r="E277" s="24"/>
      <c r="F277" s="26"/>
      <c r="K277" s="40"/>
    </row>
    <row r="278" spans="1:11" ht="15.75" customHeight="1" x14ac:dyDescent="0.25">
      <c r="A278" s="17"/>
      <c r="B278" s="25"/>
      <c r="C278" s="24"/>
      <c r="D278" s="24"/>
      <c r="E278" s="24"/>
      <c r="F278" s="26"/>
      <c r="K278" s="40"/>
    </row>
    <row r="279" spans="1:11" ht="15.75" customHeight="1" x14ac:dyDescent="0.25">
      <c r="A279" s="17"/>
      <c r="B279" s="25"/>
      <c r="C279" s="24"/>
      <c r="D279" s="24"/>
      <c r="E279" s="24"/>
      <c r="F279" s="26"/>
      <c r="K279" s="40"/>
    </row>
    <row r="280" spans="1:11" ht="15.75" customHeight="1" x14ac:dyDescent="0.25">
      <c r="A280" s="17"/>
      <c r="B280" s="25"/>
      <c r="C280" s="24"/>
      <c r="D280" s="24"/>
      <c r="E280" s="24"/>
      <c r="F280" s="26"/>
      <c r="K280" s="40"/>
    </row>
    <row r="281" spans="1:11" ht="15.75" customHeight="1" x14ac:dyDescent="0.25">
      <c r="A281" s="17"/>
      <c r="B281" s="25"/>
      <c r="C281" s="24"/>
      <c r="D281" s="24"/>
      <c r="E281" s="24"/>
      <c r="F281" s="26"/>
      <c r="K281" s="40"/>
    </row>
    <row r="282" spans="1:11" ht="15.75" customHeight="1" x14ac:dyDescent="0.25">
      <c r="A282" s="17"/>
      <c r="B282" s="25"/>
      <c r="C282" s="24"/>
      <c r="D282" s="24"/>
      <c r="E282" s="24"/>
      <c r="F282" s="26"/>
      <c r="K282" s="40"/>
    </row>
    <row r="283" spans="1:11" ht="15.75" customHeight="1" x14ac:dyDescent="0.25">
      <c r="A283" s="17"/>
      <c r="B283" s="25"/>
      <c r="C283" s="24"/>
      <c r="D283" s="24"/>
      <c r="E283" s="24"/>
      <c r="F283" s="26"/>
      <c r="K283" s="40"/>
    </row>
    <row r="284" spans="1:11" ht="15.75" customHeight="1" x14ac:dyDescent="0.25">
      <c r="A284" s="17"/>
      <c r="B284" s="25"/>
      <c r="C284" s="24"/>
      <c r="D284" s="24"/>
      <c r="E284" s="24"/>
      <c r="F284" s="26"/>
      <c r="K284" s="40"/>
    </row>
    <row r="285" spans="1:11" ht="15.75" customHeight="1" x14ac:dyDescent="0.25">
      <c r="A285" s="17"/>
      <c r="B285" s="25"/>
      <c r="C285" s="24"/>
      <c r="D285" s="24"/>
      <c r="E285" s="24"/>
      <c r="F285" s="26"/>
      <c r="K285" s="40"/>
    </row>
    <row r="286" spans="1:11" ht="15.75" customHeight="1" x14ac:dyDescent="0.25">
      <c r="A286" s="17"/>
      <c r="B286" s="25"/>
      <c r="C286" s="24"/>
      <c r="D286" s="24"/>
      <c r="E286" s="24"/>
      <c r="F286" s="26"/>
      <c r="K286" s="40"/>
    </row>
    <row r="287" spans="1:11" ht="15.75" customHeight="1" x14ac:dyDescent="0.25">
      <c r="A287" s="17"/>
      <c r="B287" s="25"/>
      <c r="C287" s="24"/>
      <c r="D287" s="24"/>
      <c r="E287" s="24"/>
      <c r="F287" s="26"/>
      <c r="K287" s="40"/>
    </row>
    <row r="288" spans="1:11" ht="15.75" customHeight="1" x14ac:dyDescent="0.25">
      <c r="A288" s="17"/>
      <c r="B288" s="25"/>
      <c r="C288" s="24"/>
      <c r="D288" s="24"/>
      <c r="E288" s="24"/>
      <c r="F288" s="26"/>
      <c r="K288" s="40"/>
    </row>
    <row r="289" spans="1:11" ht="15.75" customHeight="1" x14ac:dyDescent="0.25">
      <c r="A289" s="17"/>
      <c r="B289" s="25"/>
      <c r="C289" s="24"/>
      <c r="D289" s="24"/>
      <c r="E289" s="24"/>
      <c r="F289" s="26"/>
      <c r="K289" s="40"/>
    </row>
    <row r="290" spans="1:11" ht="15.75" customHeight="1" x14ac:dyDescent="0.25">
      <c r="A290" s="17"/>
      <c r="B290" s="25"/>
      <c r="C290" s="24"/>
      <c r="D290" s="24"/>
      <c r="E290" s="24"/>
      <c r="F290" s="26"/>
      <c r="K290" s="40"/>
    </row>
    <row r="291" spans="1:11" ht="15.75" customHeight="1" x14ac:dyDescent="0.25">
      <c r="A291" s="17"/>
      <c r="B291" s="25"/>
      <c r="C291" s="24"/>
      <c r="D291" s="24"/>
      <c r="E291" s="24"/>
      <c r="F291" s="26"/>
      <c r="K291" s="40"/>
    </row>
    <row r="292" spans="1:11" ht="15.75" customHeight="1" x14ac:dyDescent="0.25">
      <c r="A292" s="17"/>
      <c r="B292" s="25"/>
      <c r="C292" s="24"/>
      <c r="D292" s="24"/>
      <c r="E292" s="24"/>
      <c r="F292" s="26"/>
      <c r="K292" s="40"/>
    </row>
    <row r="293" spans="1:11" ht="15.75" customHeight="1" x14ac:dyDescent="0.25">
      <c r="A293" s="17"/>
      <c r="B293" s="25"/>
      <c r="C293" s="24"/>
      <c r="D293" s="24"/>
      <c r="E293" s="24"/>
      <c r="F293" s="26"/>
      <c r="K293" s="40"/>
    </row>
    <row r="294" spans="1:11" ht="15.75" customHeight="1" x14ac:dyDescent="0.25">
      <c r="A294" s="17"/>
      <c r="B294" s="25"/>
      <c r="C294" s="24"/>
      <c r="D294" s="24"/>
      <c r="E294" s="24"/>
      <c r="F294" s="26"/>
      <c r="K294" s="40"/>
    </row>
    <row r="295" spans="1:11" ht="15.75" customHeight="1" x14ac:dyDescent="0.25">
      <c r="A295" s="17"/>
      <c r="B295" s="25"/>
      <c r="C295" s="24"/>
      <c r="D295" s="24"/>
      <c r="E295" s="24"/>
      <c r="F295" s="26"/>
      <c r="K295" s="40"/>
    </row>
    <row r="296" spans="1:11" ht="15.75" customHeight="1" x14ac:dyDescent="0.25">
      <c r="A296" s="17"/>
      <c r="B296" s="25"/>
      <c r="C296" s="24"/>
      <c r="D296" s="24"/>
      <c r="E296" s="24"/>
      <c r="F296" s="26"/>
      <c r="K296" s="40"/>
    </row>
    <row r="297" spans="1:11" ht="15.75" customHeight="1" x14ac:dyDescent="0.25">
      <c r="A297" s="17"/>
      <c r="B297" s="25"/>
      <c r="C297" s="24"/>
      <c r="D297" s="24"/>
      <c r="E297" s="24"/>
      <c r="F297" s="26"/>
      <c r="K297" s="40"/>
    </row>
    <row r="298" spans="1:11" ht="15.75" customHeight="1" x14ac:dyDescent="0.25">
      <c r="A298" s="17"/>
      <c r="B298" s="25"/>
      <c r="C298" s="24"/>
      <c r="D298" s="24"/>
      <c r="E298" s="24"/>
      <c r="F298" s="26"/>
      <c r="K298" s="40"/>
    </row>
    <row r="299" spans="1:11" ht="15.75" customHeight="1" x14ac:dyDescent="0.25">
      <c r="A299" s="17"/>
      <c r="B299" s="25"/>
      <c r="C299" s="24"/>
      <c r="D299" s="24"/>
      <c r="E299" s="24"/>
      <c r="F299" s="26"/>
      <c r="K299" s="40"/>
    </row>
    <row r="300" spans="1:11" ht="15.75" customHeight="1" x14ac:dyDescent="0.25">
      <c r="A300" s="17"/>
      <c r="B300" s="25"/>
      <c r="C300" s="24"/>
      <c r="D300" s="24"/>
      <c r="E300" s="24"/>
      <c r="F300" s="26"/>
      <c r="K300" s="40"/>
    </row>
    <row r="301" spans="1:11" ht="15.75" customHeight="1" x14ac:dyDescent="0.25">
      <c r="A301" s="17"/>
      <c r="B301" s="25"/>
      <c r="C301" s="24"/>
      <c r="D301" s="24"/>
      <c r="E301" s="24"/>
      <c r="F301" s="26"/>
      <c r="K301" s="40"/>
    </row>
    <row r="302" spans="1:11" ht="15.75" customHeight="1" x14ac:dyDescent="0.25">
      <c r="A302" s="17"/>
      <c r="B302" s="25"/>
      <c r="C302" s="24"/>
      <c r="D302" s="24"/>
      <c r="E302" s="24"/>
      <c r="F302" s="26"/>
      <c r="K302" s="40"/>
    </row>
    <row r="303" spans="1:11" ht="15.75" customHeight="1" x14ac:dyDescent="0.25">
      <c r="A303" s="17"/>
      <c r="B303" s="25"/>
      <c r="C303" s="24"/>
      <c r="D303" s="24"/>
      <c r="E303" s="24"/>
      <c r="F303" s="26"/>
      <c r="K303" s="40"/>
    </row>
    <row r="304" spans="1:11" ht="15.75" customHeight="1" x14ac:dyDescent="0.25">
      <c r="A304" s="17"/>
      <c r="B304" s="25"/>
      <c r="C304" s="24"/>
      <c r="D304" s="24"/>
      <c r="E304" s="24"/>
      <c r="F304" s="26"/>
      <c r="K304" s="40"/>
    </row>
    <row r="305" spans="1:11" ht="15.75" customHeight="1" x14ac:dyDescent="0.25">
      <c r="A305" s="17"/>
      <c r="B305" s="25"/>
      <c r="C305" s="24"/>
      <c r="D305" s="24"/>
      <c r="E305" s="24"/>
      <c r="F305" s="26"/>
      <c r="K305" s="40"/>
    </row>
    <row r="306" spans="1:11" ht="15.75" customHeight="1" x14ac:dyDescent="0.25">
      <c r="A306" s="17"/>
      <c r="B306" s="25"/>
      <c r="C306" s="24"/>
      <c r="D306" s="24"/>
      <c r="E306" s="24"/>
      <c r="F306" s="26"/>
      <c r="K306" s="40"/>
    </row>
    <row r="307" spans="1:11" ht="15.75" customHeight="1" x14ac:dyDescent="0.25">
      <c r="A307" s="17"/>
      <c r="B307" s="25"/>
      <c r="C307" s="24"/>
      <c r="D307" s="24"/>
      <c r="E307" s="24"/>
      <c r="F307" s="26"/>
      <c r="K307" s="40"/>
    </row>
    <row r="308" spans="1:11" ht="15.75" customHeight="1" x14ac:dyDescent="0.25">
      <c r="A308" s="17"/>
      <c r="B308" s="25"/>
      <c r="C308" s="24"/>
      <c r="D308" s="24"/>
      <c r="E308" s="24"/>
      <c r="F308" s="26"/>
      <c r="K308" s="40"/>
    </row>
    <row r="309" spans="1:11" ht="15.75" customHeight="1" x14ac:dyDescent="0.25">
      <c r="A309" s="17"/>
      <c r="B309" s="25"/>
      <c r="C309" s="24"/>
      <c r="D309" s="24"/>
      <c r="E309" s="24"/>
      <c r="F309" s="26"/>
      <c r="K309" s="40"/>
    </row>
    <row r="310" spans="1:11" ht="15.75" customHeight="1" x14ac:dyDescent="0.25">
      <c r="A310" s="17"/>
      <c r="B310" s="25"/>
      <c r="C310" s="24"/>
      <c r="D310" s="24"/>
      <c r="E310" s="24"/>
      <c r="F310" s="26"/>
      <c r="K310" s="40"/>
    </row>
    <row r="311" spans="1:11" ht="15.75" customHeight="1" x14ac:dyDescent="0.25">
      <c r="A311" s="17"/>
      <c r="B311" s="25"/>
      <c r="C311" s="24"/>
      <c r="D311" s="24"/>
      <c r="E311" s="24"/>
      <c r="F311" s="26"/>
      <c r="K311" s="40"/>
    </row>
    <row r="312" spans="1:11" ht="15.75" customHeight="1" x14ac:dyDescent="0.25">
      <c r="A312" s="17"/>
      <c r="B312" s="25"/>
      <c r="C312" s="24"/>
      <c r="D312" s="24"/>
      <c r="E312" s="24"/>
      <c r="F312" s="26"/>
      <c r="K312" s="40"/>
    </row>
    <row r="313" spans="1:11" ht="15.75" customHeight="1" x14ac:dyDescent="0.25">
      <c r="A313" s="17"/>
      <c r="B313" s="25"/>
      <c r="C313" s="24"/>
      <c r="D313" s="24"/>
      <c r="E313" s="24"/>
      <c r="F313" s="26"/>
      <c r="K313" s="40"/>
    </row>
    <row r="314" spans="1:11" ht="15.75" customHeight="1" x14ac:dyDescent="0.25">
      <c r="A314" s="17"/>
      <c r="B314" s="25"/>
      <c r="C314" s="24"/>
      <c r="D314" s="24"/>
      <c r="E314" s="24"/>
      <c r="F314" s="26"/>
      <c r="K314" s="40"/>
    </row>
    <row r="315" spans="1:11" ht="15.75" customHeight="1" x14ac:dyDescent="0.25">
      <c r="A315" s="17"/>
      <c r="B315" s="25"/>
      <c r="C315" s="24"/>
      <c r="D315" s="24"/>
      <c r="E315" s="24"/>
      <c r="F315" s="26"/>
      <c r="K315" s="40"/>
    </row>
    <row r="316" spans="1:11" ht="15.75" customHeight="1" x14ac:dyDescent="0.25">
      <c r="A316" s="17"/>
      <c r="B316" s="25"/>
      <c r="C316" s="24"/>
      <c r="D316" s="24"/>
      <c r="E316" s="24"/>
      <c r="F316" s="26"/>
      <c r="K316" s="40"/>
    </row>
    <row r="317" spans="1:11" ht="15.75" customHeight="1" x14ac:dyDescent="0.25">
      <c r="A317" s="17"/>
      <c r="B317" s="25"/>
      <c r="C317" s="24"/>
      <c r="D317" s="24"/>
      <c r="E317" s="24"/>
      <c r="F317" s="26"/>
      <c r="K317" s="40"/>
    </row>
    <row r="318" spans="1:11" ht="15.75" customHeight="1" x14ac:dyDescent="0.25">
      <c r="A318" s="17"/>
      <c r="B318" s="25"/>
      <c r="C318" s="24"/>
      <c r="D318" s="24"/>
      <c r="E318" s="24"/>
      <c r="F318" s="26"/>
      <c r="K318" s="40"/>
    </row>
    <row r="319" spans="1:11" ht="15.75" customHeight="1" x14ac:dyDescent="0.25">
      <c r="A319" s="17"/>
      <c r="B319" s="25"/>
      <c r="C319" s="24"/>
      <c r="D319" s="24"/>
      <c r="E319" s="24"/>
      <c r="F319" s="26"/>
      <c r="K319" s="40"/>
    </row>
    <row r="320" spans="1:11" ht="15.75" customHeight="1" x14ac:dyDescent="0.25">
      <c r="A320" s="17"/>
      <c r="B320" s="25"/>
      <c r="C320" s="24"/>
      <c r="D320" s="24"/>
      <c r="E320" s="24"/>
      <c r="F320" s="26"/>
      <c r="K320" s="40"/>
    </row>
    <row r="321" spans="1:11" ht="15.75" customHeight="1" x14ac:dyDescent="0.25">
      <c r="A321" s="17"/>
      <c r="B321" s="25"/>
      <c r="C321" s="24"/>
      <c r="D321" s="24"/>
      <c r="E321" s="24"/>
      <c r="F321" s="26"/>
      <c r="K321" s="40"/>
    </row>
    <row r="322" spans="1:11" ht="15.75" customHeight="1" x14ac:dyDescent="0.25">
      <c r="A322" s="17"/>
      <c r="B322" s="25"/>
      <c r="C322" s="24"/>
      <c r="D322" s="24"/>
      <c r="E322" s="24"/>
      <c r="F322" s="26"/>
      <c r="K322" s="40"/>
    </row>
    <row r="323" spans="1:11" ht="15.75" customHeight="1" x14ac:dyDescent="0.25">
      <c r="A323" s="17"/>
      <c r="B323" s="25"/>
      <c r="C323" s="24"/>
      <c r="D323" s="24"/>
      <c r="E323" s="24"/>
      <c r="F323" s="26"/>
      <c r="K323" s="40"/>
    </row>
    <row r="324" spans="1:11" ht="15.75" customHeight="1" x14ac:dyDescent="0.25">
      <c r="A324" s="17"/>
      <c r="B324" s="25"/>
      <c r="C324" s="24"/>
      <c r="D324" s="24"/>
      <c r="E324" s="24"/>
      <c r="F324" s="26"/>
      <c r="K324" s="40"/>
    </row>
    <row r="325" spans="1:11" ht="15.75" customHeight="1" x14ac:dyDescent="0.25">
      <c r="A325" s="17"/>
      <c r="B325" s="25"/>
      <c r="C325" s="24"/>
      <c r="D325" s="24"/>
      <c r="E325" s="24"/>
      <c r="F325" s="26"/>
      <c r="K325" s="40"/>
    </row>
    <row r="326" spans="1:11" ht="15.75" customHeight="1" x14ac:dyDescent="0.25">
      <c r="A326" s="17"/>
      <c r="B326" s="25"/>
      <c r="C326" s="24"/>
      <c r="D326" s="24"/>
      <c r="E326" s="24"/>
      <c r="F326" s="26"/>
      <c r="K326" s="40"/>
    </row>
    <row r="327" spans="1:11" ht="15.75" customHeight="1" x14ac:dyDescent="0.25">
      <c r="A327" s="17"/>
      <c r="B327" s="25"/>
      <c r="C327" s="24"/>
      <c r="D327" s="24"/>
      <c r="E327" s="24"/>
      <c r="F327" s="26"/>
      <c r="K327" s="40"/>
    </row>
    <row r="328" spans="1:11" ht="15.75" customHeight="1" x14ac:dyDescent="0.25">
      <c r="A328" s="17"/>
      <c r="B328" s="25"/>
      <c r="C328" s="24"/>
      <c r="D328" s="24"/>
      <c r="E328" s="24"/>
      <c r="F328" s="26"/>
      <c r="K328" s="40"/>
    </row>
    <row r="329" spans="1:11" ht="15.75" customHeight="1" x14ac:dyDescent="0.25">
      <c r="A329" s="17"/>
      <c r="B329" s="25"/>
      <c r="C329" s="24"/>
      <c r="D329" s="24"/>
      <c r="E329" s="24"/>
      <c r="F329" s="26"/>
      <c r="K329" s="40"/>
    </row>
    <row r="330" spans="1:11" ht="15.75" customHeight="1" x14ac:dyDescent="0.25">
      <c r="A330" s="17"/>
      <c r="B330" s="25"/>
      <c r="C330" s="24"/>
      <c r="D330" s="24"/>
      <c r="E330" s="24"/>
      <c r="F330" s="26"/>
      <c r="K330" s="40"/>
    </row>
    <row r="331" spans="1:11" ht="15.75" customHeight="1" x14ac:dyDescent="0.25">
      <c r="A331" s="17"/>
      <c r="B331" s="25"/>
      <c r="C331" s="24"/>
      <c r="D331" s="24"/>
      <c r="E331" s="24"/>
      <c r="F331" s="26"/>
      <c r="K331" s="40"/>
    </row>
    <row r="332" spans="1:11" ht="15.75" customHeight="1" x14ac:dyDescent="0.25">
      <c r="A332" s="17"/>
      <c r="B332" s="25"/>
      <c r="C332" s="24"/>
      <c r="D332" s="24"/>
      <c r="E332" s="24"/>
      <c r="F332" s="26"/>
      <c r="K332" s="40"/>
    </row>
    <row r="333" spans="1:11" ht="15.75" customHeight="1" x14ac:dyDescent="0.25">
      <c r="A333" s="17"/>
      <c r="B333" s="25"/>
      <c r="C333" s="24"/>
      <c r="D333" s="24"/>
      <c r="E333" s="24"/>
      <c r="F333" s="26"/>
      <c r="K333" s="40"/>
    </row>
    <row r="334" spans="1:11" ht="15.75" customHeight="1" x14ac:dyDescent="0.25">
      <c r="A334" s="17"/>
      <c r="B334" s="25"/>
      <c r="C334" s="24"/>
      <c r="D334" s="24"/>
      <c r="E334" s="24"/>
      <c r="F334" s="26"/>
      <c r="K334" s="40"/>
    </row>
    <row r="335" spans="1:11" ht="15.75" customHeight="1" x14ac:dyDescent="0.25">
      <c r="A335" s="17"/>
      <c r="B335" s="25"/>
      <c r="C335" s="24"/>
      <c r="D335" s="24"/>
      <c r="E335" s="24"/>
      <c r="F335" s="26"/>
      <c r="K335" s="40"/>
    </row>
    <row r="336" spans="1:11" ht="15.75" customHeight="1" x14ac:dyDescent="0.25">
      <c r="A336" s="17"/>
      <c r="B336" s="25"/>
      <c r="C336" s="24"/>
      <c r="D336" s="24"/>
      <c r="E336" s="24"/>
      <c r="F336" s="26"/>
      <c r="K336" s="40"/>
    </row>
    <row r="337" spans="1:11" ht="15.75" customHeight="1" x14ac:dyDescent="0.25">
      <c r="A337" s="17"/>
      <c r="B337" s="25"/>
      <c r="C337" s="24"/>
      <c r="D337" s="24"/>
      <c r="E337" s="24"/>
      <c r="F337" s="26"/>
      <c r="K337" s="40"/>
    </row>
    <row r="338" spans="1:11" ht="15.75" customHeight="1" x14ac:dyDescent="0.25">
      <c r="A338" s="17"/>
      <c r="B338" s="25"/>
      <c r="C338" s="24"/>
      <c r="D338" s="24"/>
      <c r="E338" s="24"/>
      <c r="F338" s="26"/>
      <c r="K338" s="40"/>
    </row>
    <row r="339" spans="1:11" ht="15.75" customHeight="1" x14ac:dyDescent="0.25">
      <c r="A339" s="17"/>
      <c r="B339" s="25"/>
      <c r="C339" s="24"/>
      <c r="D339" s="24"/>
      <c r="E339" s="24"/>
      <c r="F339" s="26"/>
      <c r="K339" s="40"/>
    </row>
    <row r="340" spans="1:11" ht="15.75" customHeight="1" x14ac:dyDescent="0.25">
      <c r="A340" s="17"/>
      <c r="B340" s="25"/>
      <c r="C340" s="24"/>
      <c r="D340" s="24"/>
      <c r="E340" s="24"/>
      <c r="F340" s="26"/>
      <c r="K340" s="40"/>
    </row>
    <row r="341" spans="1:11" ht="15.75" customHeight="1" x14ac:dyDescent="0.25">
      <c r="A341" s="17"/>
      <c r="B341" s="25"/>
      <c r="C341" s="24"/>
      <c r="D341" s="24"/>
      <c r="E341" s="24"/>
      <c r="F341" s="26"/>
      <c r="K341" s="40"/>
    </row>
    <row r="342" spans="1:11" ht="15.75" customHeight="1" x14ac:dyDescent="0.25">
      <c r="A342" s="17"/>
      <c r="B342" s="25"/>
      <c r="C342" s="24"/>
      <c r="D342" s="24"/>
      <c r="E342" s="24"/>
      <c r="F342" s="26"/>
      <c r="K342" s="40"/>
    </row>
    <row r="343" spans="1:11" ht="15.75" customHeight="1" x14ac:dyDescent="0.25">
      <c r="A343" s="17"/>
      <c r="B343" s="25"/>
      <c r="C343" s="24"/>
      <c r="D343" s="24"/>
      <c r="E343" s="24"/>
      <c r="F343" s="26"/>
      <c r="K343" s="40"/>
    </row>
    <row r="344" spans="1:11" ht="15.75" customHeight="1" x14ac:dyDescent="0.25">
      <c r="A344" s="17"/>
      <c r="B344" s="25"/>
      <c r="C344" s="24"/>
      <c r="D344" s="24"/>
      <c r="E344" s="24"/>
      <c r="F344" s="26"/>
      <c r="K344" s="40"/>
    </row>
    <row r="345" spans="1:11" ht="15.75" customHeight="1" x14ac:dyDescent="0.25">
      <c r="A345" s="17"/>
      <c r="B345" s="25"/>
      <c r="C345" s="24"/>
      <c r="D345" s="24"/>
      <c r="E345" s="24"/>
      <c r="F345" s="26"/>
      <c r="K345" s="40"/>
    </row>
    <row r="346" spans="1:11" ht="15.75" customHeight="1" x14ac:dyDescent="0.25">
      <c r="A346" s="17"/>
      <c r="B346" s="25"/>
      <c r="C346" s="24"/>
      <c r="D346" s="24"/>
      <c r="E346" s="24"/>
      <c r="F346" s="26"/>
      <c r="K346" s="40"/>
    </row>
    <row r="347" spans="1:11" ht="15.75" customHeight="1" x14ac:dyDescent="0.25">
      <c r="A347" s="17"/>
      <c r="B347" s="25"/>
      <c r="C347" s="24"/>
      <c r="D347" s="24"/>
      <c r="E347" s="24"/>
      <c r="F347" s="26"/>
      <c r="K347" s="40"/>
    </row>
    <row r="348" spans="1:11" ht="15.75" customHeight="1" x14ac:dyDescent="0.25">
      <c r="A348" s="17"/>
      <c r="B348" s="25"/>
      <c r="C348" s="24"/>
      <c r="D348" s="24"/>
      <c r="E348" s="24"/>
      <c r="F348" s="26"/>
      <c r="K348" s="40"/>
    </row>
    <row r="349" spans="1:11" ht="15.75" customHeight="1" x14ac:dyDescent="0.25">
      <c r="A349" s="17"/>
      <c r="B349" s="25"/>
      <c r="C349" s="24"/>
      <c r="D349" s="24"/>
      <c r="E349" s="24"/>
      <c r="F349" s="26"/>
      <c r="K349" s="40"/>
    </row>
    <row r="350" spans="1:11" ht="15.75" customHeight="1" x14ac:dyDescent="0.25">
      <c r="A350" s="17"/>
      <c r="B350" s="25"/>
      <c r="C350" s="24"/>
      <c r="D350" s="24"/>
      <c r="E350" s="24"/>
      <c r="F350" s="26"/>
      <c r="K350" s="40"/>
    </row>
    <row r="351" spans="1:11" ht="15.75" customHeight="1" x14ac:dyDescent="0.25">
      <c r="A351" s="17"/>
      <c r="B351" s="25"/>
      <c r="C351" s="24"/>
      <c r="D351" s="24"/>
      <c r="E351" s="24"/>
      <c r="F351" s="26"/>
      <c r="K351" s="40"/>
    </row>
    <row r="352" spans="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row r="997" spans="11:11" ht="15.75" customHeight="1" x14ac:dyDescent="0.25">
      <c r="K997" s="40"/>
    </row>
    <row r="998" spans="11:11" ht="15.75" customHeight="1" x14ac:dyDescent="0.25">
      <c r="K998" s="40"/>
    </row>
    <row r="999" spans="11:11" ht="15.75" customHeight="1" x14ac:dyDescent="0.25">
      <c r="K999" s="40"/>
    </row>
    <row r="1000" spans="11:11" ht="15.75" customHeight="1" x14ac:dyDescent="0.25">
      <c r="K1000" s="40"/>
    </row>
    <row r="1001" spans="11:11" ht="15.75" customHeight="1" x14ac:dyDescent="0.25">
      <c r="K1001" s="40"/>
    </row>
    <row r="1002" spans="11:11" ht="15.75" customHeight="1" x14ac:dyDescent="0.25">
      <c r="K1002" s="40"/>
    </row>
    <row r="1003" spans="11:11" ht="15.75" customHeight="1" x14ac:dyDescent="0.25">
      <c r="K1003" s="40"/>
    </row>
    <row r="1004" spans="11:11" ht="15.75" customHeight="1" x14ac:dyDescent="0.25">
      <c r="K1004" s="40"/>
    </row>
    <row r="1005" spans="11:11" ht="15.75" customHeight="1" x14ac:dyDescent="0.25">
      <c r="K1005" s="40"/>
    </row>
    <row r="1006" spans="11:11" ht="15.75" customHeight="1" x14ac:dyDescent="0.25">
      <c r="K1006" s="40"/>
    </row>
    <row r="1007" spans="11:11" ht="15.75" customHeight="1" x14ac:dyDescent="0.25">
      <c r="K1007" s="40"/>
    </row>
    <row r="1008" spans="11:11" ht="15.75" customHeight="1" x14ac:dyDescent="0.25">
      <c r="K1008" s="40"/>
    </row>
    <row r="1009" spans="11:11" ht="15.75" customHeight="1" x14ac:dyDescent="0.25">
      <c r="K1009" s="40"/>
    </row>
    <row r="1010" spans="11:11" ht="15.75" customHeight="1" x14ac:dyDescent="0.25">
      <c r="K1010" s="40"/>
    </row>
    <row r="1011" spans="11:11" ht="15.75" customHeight="1" x14ac:dyDescent="0.25">
      <c r="K1011" s="40"/>
    </row>
    <row r="1012" spans="11:11" ht="15.75" customHeight="1" x14ac:dyDescent="0.25">
      <c r="K1012" s="40"/>
    </row>
    <row r="1013" spans="11:11" ht="15.75" customHeight="1" x14ac:dyDescent="0.25">
      <c r="K1013" s="40"/>
    </row>
    <row r="1014" spans="11:11" ht="15.75" customHeight="1" x14ac:dyDescent="0.25">
      <c r="K1014" s="40"/>
    </row>
    <row r="1015" spans="11:11" ht="15.75" customHeight="1" x14ac:dyDescent="0.25">
      <c r="K1015" s="40"/>
    </row>
    <row r="1016" spans="11:11" ht="15.75" customHeight="1" x14ac:dyDescent="0.25">
      <c r="K1016" s="40"/>
    </row>
    <row r="1017" spans="11:11" ht="15.75" customHeight="1" x14ac:dyDescent="0.25">
      <c r="K1017"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0" fitToHeight="0" orientation="portrait" r:id="rId1"/>
  <rowBreaks count="2" manualBreakCount="2">
    <brk id="54" max="6" man="1"/>
    <brk id="105"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7"/>
  <sheetViews>
    <sheetView view="pageBreakPreview" zoomScale="130" zoomScaleNormal="100" zoomScaleSheetLayoutView="130" workbookViewId="0">
      <selection activeCell="A6" sqref="A6"/>
    </sheetView>
  </sheetViews>
  <sheetFormatPr defaultColWidth="14.42578125" defaultRowHeight="15" customHeight="1" x14ac:dyDescent="0.25"/>
  <cols>
    <col min="1" max="1" width="75.28515625" customWidth="1"/>
    <col min="2" max="2" width="17" customWidth="1"/>
    <col min="3" max="6" width="16.85546875" hidden="1" customWidth="1"/>
    <col min="7" max="7" width="16.85546875" customWidth="1"/>
    <col min="8"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1559</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row>
    <row r="14" spans="1:26" ht="15.75" customHeight="1" x14ac:dyDescent="0.25">
      <c r="A14" s="17" t="s">
        <v>365</v>
      </c>
      <c r="B14" s="172"/>
      <c r="C14" s="42"/>
      <c r="D14" s="42"/>
      <c r="E14" s="42"/>
      <c r="F14" s="42"/>
      <c r="G14" s="42"/>
    </row>
    <row r="15" spans="1:26" ht="15.75" customHeight="1" x14ac:dyDescent="0.25">
      <c r="A15" s="17" t="s">
        <v>366</v>
      </c>
      <c r="B15" s="172"/>
      <c r="C15" s="42"/>
      <c r="D15" s="42"/>
      <c r="E15" s="42"/>
      <c r="F15" s="42"/>
      <c r="G15" s="42"/>
    </row>
    <row r="16" spans="1:26" ht="15.75" customHeight="1" x14ac:dyDescent="0.25">
      <c r="A16" s="44" t="s">
        <v>367</v>
      </c>
      <c r="B16" s="41" t="s">
        <v>121</v>
      </c>
      <c r="C16" s="43">
        <v>784224.8</v>
      </c>
      <c r="D16" s="43">
        <v>401412</v>
      </c>
      <c r="E16" s="43">
        <f>+F16-D16</f>
        <v>622200</v>
      </c>
      <c r="F16" s="43">
        <v>1023612</v>
      </c>
      <c r="G16" s="43">
        <v>1062156</v>
      </c>
    </row>
    <row r="17" spans="1:26" ht="15.75" customHeight="1" x14ac:dyDescent="0.25">
      <c r="A17" s="17" t="s">
        <v>368</v>
      </c>
      <c r="B17" s="41"/>
      <c r="C17" s="43"/>
      <c r="D17" s="43"/>
      <c r="E17" s="43"/>
      <c r="F17" s="43"/>
      <c r="G17" s="43"/>
    </row>
    <row r="18" spans="1:26" ht="15.75" customHeight="1" x14ac:dyDescent="0.25">
      <c r="A18" s="44" t="s">
        <v>369</v>
      </c>
      <c r="B18" s="41" t="s">
        <v>125</v>
      </c>
      <c r="C18" s="43">
        <v>96000</v>
      </c>
      <c r="D18" s="43">
        <v>48000</v>
      </c>
      <c r="E18" s="43">
        <f t="shared" ref="E18:E23" si="0">+F18-D18</f>
        <v>72000</v>
      </c>
      <c r="F18" s="43">
        <v>120000</v>
      </c>
      <c r="G18" s="43">
        <v>120000</v>
      </c>
      <c r="H18" s="15"/>
      <c r="I18" s="15"/>
      <c r="J18" s="15"/>
      <c r="K18" s="15"/>
      <c r="L18" s="15"/>
      <c r="M18" s="15"/>
      <c r="N18" s="15"/>
      <c r="O18" s="15"/>
      <c r="P18" s="15"/>
      <c r="Q18" s="15"/>
      <c r="R18" s="15"/>
      <c r="S18" s="15"/>
      <c r="T18" s="15"/>
      <c r="U18" s="15"/>
      <c r="V18" s="15"/>
      <c r="W18" s="15"/>
      <c r="X18" s="15"/>
      <c r="Y18" s="15"/>
      <c r="Z18" s="15"/>
    </row>
    <row r="19" spans="1:26" ht="15.75" hidden="1" customHeight="1" x14ac:dyDescent="0.25">
      <c r="A19" s="44" t="s">
        <v>370</v>
      </c>
      <c r="B19" s="41" t="s">
        <v>127</v>
      </c>
      <c r="C19" s="43">
        <v>216000</v>
      </c>
      <c r="D19" s="43">
        <v>90000</v>
      </c>
      <c r="E19" s="43">
        <f t="shared" si="0"/>
        <v>126000</v>
      </c>
      <c r="F19" s="43">
        <v>216000</v>
      </c>
      <c r="G19" s="43">
        <v>0</v>
      </c>
      <c r="H19" s="15"/>
      <c r="I19" s="15"/>
      <c r="J19" s="15"/>
      <c r="K19" s="15"/>
      <c r="L19" s="15"/>
      <c r="M19" s="15"/>
      <c r="N19" s="15"/>
      <c r="O19" s="15"/>
      <c r="P19" s="15"/>
      <c r="Q19" s="15"/>
      <c r="R19" s="15"/>
      <c r="S19" s="15"/>
      <c r="T19" s="15"/>
      <c r="U19" s="15"/>
      <c r="V19" s="15"/>
      <c r="W19" s="15"/>
      <c r="X19" s="15"/>
      <c r="Y19" s="15"/>
      <c r="Z19" s="15"/>
    </row>
    <row r="20" spans="1:26" ht="15.75" hidden="1" customHeight="1" x14ac:dyDescent="0.25">
      <c r="A20" s="44" t="s">
        <v>371</v>
      </c>
      <c r="B20" s="41" t="s">
        <v>372</v>
      </c>
      <c r="C20" s="43">
        <v>216000</v>
      </c>
      <c r="D20" s="43">
        <v>90000</v>
      </c>
      <c r="E20" s="43">
        <f t="shared" si="0"/>
        <v>126000</v>
      </c>
      <c r="F20" s="43">
        <v>216000</v>
      </c>
      <c r="G20" s="43">
        <v>0</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28000</v>
      </c>
      <c r="D21" s="43">
        <v>28000</v>
      </c>
      <c r="E21" s="43">
        <f t="shared" si="0"/>
        <v>7000</v>
      </c>
      <c r="F21" s="43">
        <v>35000</v>
      </c>
      <c r="G21" s="43">
        <v>35000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66902</v>
      </c>
      <c r="D22" s="43">
        <v>0</v>
      </c>
      <c r="E22" s="43">
        <f t="shared" si="0"/>
        <v>85301</v>
      </c>
      <c r="F22" s="43">
        <v>85301</v>
      </c>
      <c r="G22" s="43">
        <v>88513</v>
      </c>
      <c r="H22" s="15"/>
      <c r="I22" s="15"/>
      <c r="J22" s="15"/>
      <c r="K22" s="15"/>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20000</v>
      </c>
      <c r="D23" s="43">
        <v>0</v>
      </c>
      <c r="E23" s="43">
        <f t="shared" si="0"/>
        <v>25000</v>
      </c>
      <c r="F23" s="43">
        <v>25000</v>
      </c>
      <c r="G23" s="43">
        <v>25000</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5"/>
      <c r="I24" s="15"/>
      <c r="J24" s="15"/>
      <c r="K24" s="15"/>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0</v>
      </c>
      <c r="D25" s="43">
        <v>5000</v>
      </c>
      <c r="E25" s="43">
        <v>5000</v>
      </c>
      <c r="F25" s="43">
        <v>10000</v>
      </c>
      <c r="G25" s="43">
        <v>0</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44" t="s">
        <v>378</v>
      </c>
      <c r="B26" s="41" t="s">
        <v>159</v>
      </c>
      <c r="C26" s="43">
        <v>0</v>
      </c>
      <c r="D26" s="43">
        <v>12000</v>
      </c>
      <c r="E26" s="43">
        <v>3000</v>
      </c>
      <c r="F26" s="43">
        <v>15000</v>
      </c>
      <c r="G26" s="43">
        <v>0</v>
      </c>
      <c r="H26" s="15"/>
      <c r="I26" s="15"/>
      <c r="J26" s="15"/>
      <c r="K26" s="15"/>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64329</v>
      </c>
      <c r="D27" s="43">
        <v>66902</v>
      </c>
      <c r="E27" s="43">
        <f>+F27-D27</f>
        <v>18399</v>
      </c>
      <c r="F27" s="43">
        <v>85301</v>
      </c>
      <c r="G27" s="43">
        <v>88513</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5"/>
      <c r="I28" s="15"/>
      <c r="J28" s="15"/>
      <c r="K28" s="15"/>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94106.96</v>
      </c>
      <c r="D29" s="43">
        <v>48169.440000000002</v>
      </c>
      <c r="E29" s="43">
        <f t="shared" ref="E29:E32" si="1">+F29-D29</f>
        <v>74664.56</v>
      </c>
      <c r="F29" s="43">
        <v>122834</v>
      </c>
      <c r="G29" s="43">
        <v>127459</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15684.49</v>
      </c>
      <c r="D30" s="43">
        <v>8028.24</v>
      </c>
      <c r="E30" s="43">
        <f t="shared" si="1"/>
        <v>12444.76</v>
      </c>
      <c r="F30" s="43">
        <v>20473</v>
      </c>
      <c r="G30" s="43">
        <v>21244</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19605.740000000002</v>
      </c>
      <c r="D31" s="43">
        <v>10035.299999999999</v>
      </c>
      <c r="E31" s="43">
        <f t="shared" si="1"/>
        <v>15557.7</v>
      </c>
      <c r="F31" s="43">
        <v>25593</v>
      </c>
      <c r="G31" s="43">
        <v>26556</v>
      </c>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4800</v>
      </c>
      <c r="D32" s="43">
        <v>2400</v>
      </c>
      <c r="E32" s="43">
        <f t="shared" si="1"/>
        <v>3600</v>
      </c>
      <c r="F32" s="43">
        <v>6000</v>
      </c>
      <c r="G32" s="43">
        <v>6000</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17" t="s">
        <v>624</v>
      </c>
      <c r="B33" s="41"/>
      <c r="C33" s="43"/>
      <c r="D33" s="43"/>
      <c r="E33" s="43"/>
      <c r="F33" s="484"/>
      <c r="G33" s="462"/>
      <c r="H33" s="15"/>
      <c r="I33" s="15"/>
      <c r="J33" s="15"/>
      <c r="K33" s="15"/>
      <c r="L33" s="15"/>
      <c r="M33" s="15"/>
      <c r="N33" s="15"/>
      <c r="O33" s="15"/>
      <c r="P33" s="15"/>
      <c r="Q33" s="15"/>
      <c r="R33" s="15"/>
      <c r="S33" s="15"/>
      <c r="T33" s="15"/>
      <c r="U33" s="15"/>
      <c r="V33" s="15"/>
      <c r="W33" s="15"/>
      <c r="X33" s="15"/>
      <c r="Y33" s="15"/>
      <c r="Z33" s="15"/>
    </row>
    <row r="34" spans="1:26" ht="15.75" customHeight="1" x14ac:dyDescent="0.25">
      <c r="A34" s="460" t="s">
        <v>387</v>
      </c>
      <c r="B34" s="454" t="s">
        <v>181</v>
      </c>
      <c r="C34" s="443">
        <v>13421.66</v>
      </c>
      <c r="D34" s="443">
        <v>13958.54</v>
      </c>
      <c r="E34" s="443">
        <f t="shared" ref="E34:E35" si="2">+F34-D34</f>
        <v>27150.46</v>
      </c>
      <c r="F34" s="443">
        <v>41109</v>
      </c>
      <c r="G34" s="462">
        <v>42657</v>
      </c>
      <c r="H34" s="15"/>
      <c r="I34" s="15"/>
      <c r="J34" s="15"/>
      <c r="K34" s="15"/>
      <c r="L34" s="15"/>
      <c r="M34" s="15"/>
      <c r="N34" s="15"/>
      <c r="O34" s="15"/>
      <c r="P34" s="15"/>
      <c r="Q34" s="15"/>
      <c r="R34" s="15"/>
      <c r="S34" s="15"/>
      <c r="T34" s="15"/>
      <c r="U34" s="15"/>
      <c r="V34" s="15"/>
      <c r="W34" s="15"/>
      <c r="X34" s="15"/>
      <c r="Y34" s="15"/>
      <c r="Z34" s="15"/>
    </row>
    <row r="35" spans="1:26" ht="15.75" customHeight="1" x14ac:dyDescent="0.25">
      <c r="A35" s="460" t="s">
        <v>388</v>
      </c>
      <c r="B35" s="454" t="s">
        <v>183</v>
      </c>
      <c r="C35" s="443">
        <v>20000</v>
      </c>
      <c r="D35" s="443">
        <v>0</v>
      </c>
      <c r="E35" s="443">
        <f t="shared" si="2"/>
        <v>25000</v>
      </c>
      <c r="F35" s="443">
        <v>25000</v>
      </c>
      <c r="G35" s="462">
        <v>25000</v>
      </c>
      <c r="H35" s="15"/>
      <c r="I35" s="15"/>
      <c r="J35" s="15"/>
      <c r="K35" s="15"/>
      <c r="L35" s="15"/>
      <c r="M35" s="15"/>
      <c r="N35" s="15"/>
      <c r="O35" s="15"/>
      <c r="P35" s="15"/>
      <c r="Q35" s="15"/>
      <c r="R35" s="15"/>
      <c r="S35" s="15"/>
      <c r="T35" s="15"/>
      <c r="U35" s="15"/>
      <c r="V35" s="15"/>
      <c r="W35" s="15"/>
      <c r="X35" s="15"/>
      <c r="Y35" s="15"/>
      <c r="Z35" s="15"/>
    </row>
    <row r="36" spans="1:26" ht="31.5" x14ac:dyDescent="0.25">
      <c r="A36" s="88" t="s">
        <v>625</v>
      </c>
      <c r="B36" s="41"/>
      <c r="C36" s="45">
        <v>0</v>
      </c>
      <c r="D36" s="43">
        <v>0</v>
      </c>
      <c r="E36" s="43">
        <v>0</v>
      </c>
      <c r="F36" s="43">
        <v>0</v>
      </c>
      <c r="G36" s="43">
        <f>25870</f>
        <v>25870</v>
      </c>
      <c r="H36" s="15"/>
      <c r="I36" s="15"/>
      <c r="J36" s="15"/>
      <c r="K36" s="15"/>
      <c r="L36" s="15"/>
      <c r="M36" s="15"/>
      <c r="N36" s="15"/>
      <c r="O36" s="15"/>
      <c r="P36" s="15"/>
      <c r="Q36" s="15"/>
      <c r="R36" s="15"/>
      <c r="S36" s="15"/>
      <c r="T36" s="15"/>
      <c r="U36" s="15"/>
      <c r="V36" s="15"/>
      <c r="W36" s="15"/>
      <c r="X36" s="15"/>
      <c r="Y36" s="15"/>
      <c r="Z36" s="15"/>
    </row>
    <row r="37" spans="1:26" ht="15.75" customHeight="1" x14ac:dyDescent="0.25">
      <c r="A37" s="17" t="s">
        <v>390</v>
      </c>
      <c r="B37" s="41"/>
      <c r="C37" s="79">
        <f t="shared" ref="C37:G37" si="3">+SUM(C16:C36)</f>
        <v>1659074.65</v>
      </c>
      <c r="D37" s="54">
        <f t="shared" si="3"/>
        <v>823905.52</v>
      </c>
      <c r="E37" s="54">
        <f t="shared" si="3"/>
        <v>1248317.48</v>
      </c>
      <c r="F37" s="54">
        <f t="shared" si="3"/>
        <v>2072223</v>
      </c>
      <c r="G37" s="54">
        <f t="shared" si="3"/>
        <v>1693968</v>
      </c>
      <c r="H37" s="232"/>
      <c r="I37" s="232"/>
      <c r="J37" s="232"/>
      <c r="K37" s="232"/>
      <c r="L37" s="232"/>
      <c r="M37" s="232"/>
      <c r="N37" s="232"/>
      <c r="O37" s="232"/>
      <c r="P37" s="232"/>
      <c r="Q37" s="232"/>
      <c r="R37" s="232"/>
      <c r="S37" s="232"/>
      <c r="T37" s="232"/>
      <c r="U37" s="232"/>
      <c r="V37" s="232"/>
      <c r="W37" s="232"/>
      <c r="X37" s="232"/>
      <c r="Y37" s="232"/>
      <c r="Z37" s="232"/>
    </row>
    <row r="38" spans="1:26" ht="15.75" customHeight="1" x14ac:dyDescent="0.25">
      <c r="A38" s="17"/>
      <c r="B38" s="41"/>
      <c r="C38" s="55"/>
      <c r="D38" s="55"/>
      <c r="E38" s="55"/>
      <c r="F38" s="55"/>
      <c r="G38" s="55"/>
      <c r="H38" s="10"/>
      <c r="I38" s="10"/>
      <c r="J38" s="10"/>
      <c r="K38" s="10"/>
      <c r="L38" s="10"/>
      <c r="M38" s="10"/>
      <c r="N38" s="10"/>
      <c r="O38" s="10"/>
      <c r="P38" s="10"/>
      <c r="Q38" s="10"/>
      <c r="R38" s="10"/>
      <c r="S38" s="10"/>
      <c r="T38" s="10"/>
      <c r="U38" s="10"/>
      <c r="V38" s="10"/>
      <c r="W38" s="10"/>
      <c r="X38" s="10"/>
      <c r="Y38" s="10"/>
      <c r="Z38" s="10"/>
    </row>
    <row r="39" spans="1:26" ht="15.75" customHeight="1" x14ac:dyDescent="0.25">
      <c r="A39" s="42" t="s">
        <v>391</v>
      </c>
      <c r="B39" s="20"/>
      <c r="C39" s="56"/>
      <c r="D39" s="43"/>
      <c r="E39" s="26"/>
      <c r="F39" s="56"/>
      <c r="G39" s="43"/>
      <c r="H39" s="15"/>
      <c r="I39" s="15"/>
      <c r="J39" s="15"/>
      <c r="K39" s="15"/>
      <c r="L39" s="15"/>
      <c r="M39" s="15"/>
      <c r="N39" s="15"/>
      <c r="O39" s="15"/>
      <c r="P39" s="15"/>
      <c r="Q39" s="15"/>
      <c r="R39" s="15"/>
      <c r="S39" s="15"/>
      <c r="T39" s="15"/>
      <c r="U39" s="15"/>
      <c r="V39" s="15"/>
      <c r="W39" s="15"/>
      <c r="X39" s="15"/>
      <c r="Y39" s="15"/>
      <c r="Z39" s="15"/>
    </row>
    <row r="40" spans="1:26" ht="15.75" customHeight="1" x14ac:dyDescent="0.25">
      <c r="A40" s="17" t="s">
        <v>392</v>
      </c>
      <c r="B40" s="41"/>
      <c r="C40" s="43"/>
      <c r="D40" s="43"/>
      <c r="E40" s="43"/>
      <c r="F40" s="43"/>
      <c r="G40" s="43"/>
      <c r="H40" s="15"/>
      <c r="I40" s="15"/>
      <c r="J40" s="15"/>
      <c r="K40" s="15"/>
      <c r="L40" s="15"/>
      <c r="M40" s="15"/>
      <c r="N40" s="15"/>
      <c r="O40" s="15"/>
      <c r="P40" s="15"/>
      <c r="Q40" s="15"/>
      <c r="R40" s="15"/>
      <c r="S40" s="15"/>
      <c r="T40" s="15"/>
      <c r="U40" s="15"/>
      <c r="V40" s="15"/>
      <c r="W40" s="15"/>
      <c r="X40" s="15"/>
      <c r="Y40" s="15"/>
      <c r="Z40" s="15"/>
    </row>
    <row r="41" spans="1:26" ht="15.75" customHeight="1" x14ac:dyDescent="0.25">
      <c r="A41" s="44" t="s">
        <v>1356</v>
      </c>
      <c r="B41" s="41" t="s">
        <v>187</v>
      </c>
      <c r="C41" s="45">
        <v>140295.92000000001</v>
      </c>
      <c r="D41" s="45">
        <v>45916</v>
      </c>
      <c r="E41" s="45">
        <f>+F41-D41</f>
        <v>104084</v>
      </c>
      <c r="F41" s="45">
        <v>150000</v>
      </c>
      <c r="G41" s="45">
        <v>150000</v>
      </c>
      <c r="H41" s="15"/>
      <c r="I41" s="15"/>
      <c r="J41" s="15"/>
      <c r="K41" s="15"/>
      <c r="L41" s="15"/>
      <c r="M41" s="15"/>
      <c r="N41" s="15"/>
      <c r="O41" s="15"/>
      <c r="P41" s="15"/>
      <c r="Q41" s="15"/>
      <c r="R41" s="15"/>
      <c r="S41" s="15"/>
      <c r="T41" s="15"/>
      <c r="U41" s="15"/>
      <c r="V41" s="15"/>
      <c r="W41" s="15"/>
      <c r="X41" s="15"/>
      <c r="Y41" s="15"/>
      <c r="Z41" s="15"/>
    </row>
    <row r="42" spans="1:26" ht="15.75" customHeight="1" x14ac:dyDescent="0.25">
      <c r="A42" s="17" t="s">
        <v>397</v>
      </c>
      <c r="B42" s="41"/>
      <c r="C42" s="43"/>
      <c r="D42" s="43"/>
      <c r="E42" s="45"/>
      <c r="F42" s="43"/>
      <c r="G42" s="43"/>
      <c r="H42" s="15"/>
      <c r="I42" s="15"/>
      <c r="J42" s="15"/>
      <c r="K42" s="15"/>
      <c r="L42" s="15"/>
      <c r="M42" s="15"/>
      <c r="N42" s="15"/>
      <c r="O42" s="15"/>
      <c r="P42" s="15"/>
      <c r="Q42" s="15"/>
      <c r="R42" s="15"/>
      <c r="S42" s="15"/>
      <c r="T42" s="15"/>
      <c r="U42" s="15"/>
      <c r="V42" s="15"/>
      <c r="W42" s="15"/>
      <c r="X42" s="15"/>
      <c r="Y42" s="15"/>
      <c r="Z42" s="15"/>
    </row>
    <row r="43" spans="1:26" ht="15.75" customHeight="1" x14ac:dyDescent="0.25">
      <c r="A43" s="44" t="s">
        <v>1358</v>
      </c>
      <c r="B43" s="41" t="s">
        <v>195</v>
      </c>
      <c r="C43" s="43">
        <v>146493</v>
      </c>
      <c r="D43" s="43">
        <v>0</v>
      </c>
      <c r="E43" s="45">
        <f>+F43-D43</f>
        <v>131700</v>
      </c>
      <c r="F43" s="43">
        <v>131700</v>
      </c>
      <c r="G43" s="43">
        <v>180918</v>
      </c>
      <c r="H43" s="15"/>
      <c r="I43" s="15"/>
      <c r="J43" s="15"/>
      <c r="K43" s="15"/>
      <c r="L43" s="15"/>
      <c r="M43" s="15"/>
      <c r="N43" s="15"/>
      <c r="O43" s="15"/>
      <c r="P43" s="15"/>
      <c r="Q43" s="15"/>
      <c r="R43" s="15"/>
      <c r="S43" s="15"/>
      <c r="T43" s="15"/>
      <c r="U43" s="15"/>
      <c r="V43" s="15"/>
      <c r="W43" s="15"/>
      <c r="X43" s="15"/>
      <c r="Y43" s="15"/>
      <c r="Z43" s="15"/>
    </row>
    <row r="44" spans="1:26" ht="15.75" customHeight="1" x14ac:dyDescent="0.25">
      <c r="A44" s="96" t="s">
        <v>1362</v>
      </c>
      <c r="B44" s="41" t="s">
        <v>225</v>
      </c>
      <c r="C44" s="43">
        <v>0</v>
      </c>
      <c r="D44" s="43"/>
      <c r="E44" s="45">
        <v>10461</v>
      </c>
      <c r="F44" s="43">
        <v>10461</v>
      </c>
      <c r="G44" s="43">
        <v>18869</v>
      </c>
      <c r="H44" s="15"/>
      <c r="I44" s="15"/>
      <c r="J44" s="15"/>
      <c r="K44" s="15"/>
      <c r="L44" s="15"/>
      <c r="M44" s="15"/>
      <c r="N44" s="15"/>
      <c r="O44" s="15"/>
      <c r="P44" s="15"/>
      <c r="Q44" s="15"/>
      <c r="R44" s="15"/>
      <c r="S44" s="15"/>
      <c r="T44" s="15"/>
      <c r="U44" s="15"/>
      <c r="V44" s="15"/>
      <c r="W44" s="15"/>
      <c r="X44" s="15"/>
      <c r="Y44" s="15"/>
      <c r="Z44" s="15"/>
    </row>
    <row r="45" spans="1:26" ht="15.75" customHeight="1" x14ac:dyDescent="0.25">
      <c r="A45" s="17" t="s">
        <v>403</v>
      </c>
      <c r="B45" s="41"/>
      <c r="C45" s="43"/>
      <c r="D45" s="43"/>
      <c r="E45" s="45"/>
      <c r="F45" s="43"/>
      <c r="G45" s="43"/>
      <c r="H45" s="15"/>
      <c r="I45" s="15"/>
      <c r="J45" s="15"/>
      <c r="K45" s="15"/>
      <c r="L45" s="15"/>
      <c r="M45" s="15"/>
      <c r="N45" s="15"/>
      <c r="O45" s="15"/>
      <c r="P45" s="15"/>
      <c r="Q45" s="15"/>
      <c r="R45" s="15"/>
      <c r="S45" s="15"/>
      <c r="T45" s="15"/>
      <c r="U45" s="15"/>
      <c r="V45" s="15"/>
      <c r="W45" s="15"/>
      <c r="X45" s="15"/>
      <c r="Y45" s="15"/>
      <c r="Z45" s="15"/>
    </row>
    <row r="46" spans="1:26" ht="15.75" customHeight="1" x14ac:dyDescent="0.25">
      <c r="A46" s="44" t="s">
        <v>1419</v>
      </c>
      <c r="B46" s="41" t="s">
        <v>231</v>
      </c>
      <c r="C46" s="43">
        <v>0</v>
      </c>
      <c r="D46" s="43">
        <v>0</v>
      </c>
      <c r="E46" s="45">
        <f>+F46-D46</f>
        <v>3000</v>
      </c>
      <c r="F46" s="43">
        <v>3000</v>
      </c>
      <c r="G46" s="43">
        <v>3000</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48" t="s">
        <v>1363</v>
      </c>
      <c r="B47" s="41" t="s">
        <v>235</v>
      </c>
      <c r="C47" s="43">
        <v>0</v>
      </c>
      <c r="D47" s="43">
        <v>0</v>
      </c>
      <c r="E47" s="43">
        <v>0</v>
      </c>
      <c r="F47" s="43">
        <v>0</v>
      </c>
      <c r="G47" s="43">
        <v>24000</v>
      </c>
      <c r="H47" s="14"/>
      <c r="I47" s="14"/>
      <c r="J47" s="14"/>
      <c r="K47" s="15"/>
      <c r="L47" s="15"/>
      <c r="M47" s="15"/>
      <c r="N47" s="15"/>
      <c r="O47" s="15"/>
      <c r="P47" s="15"/>
      <c r="Q47" s="15"/>
      <c r="R47" s="15"/>
      <c r="S47" s="15"/>
      <c r="T47" s="15"/>
      <c r="U47" s="15"/>
      <c r="V47" s="15"/>
      <c r="W47" s="15"/>
      <c r="X47" s="15"/>
      <c r="Y47" s="15"/>
      <c r="Z47" s="15"/>
    </row>
    <row r="48" spans="1:26" ht="15.75" customHeight="1" x14ac:dyDescent="0.25">
      <c r="A48" s="17" t="s">
        <v>414</v>
      </c>
      <c r="B48" s="41"/>
      <c r="C48" s="43"/>
      <c r="D48" s="43"/>
      <c r="E48" s="45"/>
      <c r="F48" s="43"/>
      <c r="G48" s="43"/>
      <c r="H48" s="15"/>
      <c r="I48" s="15"/>
      <c r="J48" s="15"/>
      <c r="K48" s="15"/>
      <c r="L48" s="15"/>
      <c r="M48" s="15"/>
      <c r="N48" s="15"/>
      <c r="O48" s="15"/>
      <c r="P48" s="15"/>
      <c r="Q48" s="15"/>
      <c r="R48" s="15"/>
      <c r="S48" s="15"/>
      <c r="T48" s="15"/>
      <c r="U48" s="15"/>
      <c r="V48" s="15"/>
      <c r="W48" s="15"/>
      <c r="X48" s="15"/>
      <c r="Y48" s="15"/>
      <c r="Z48" s="15"/>
    </row>
    <row r="49" spans="1:26" ht="15.75" customHeight="1" x14ac:dyDescent="0.25">
      <c r="A49" s="44" t="s">
        <v>414</v>
      </c>
      <c r="B49" s="41" t="s">
        <v>335</v>
      </c>
      <c r="C49" s="43">
        <v>0</v>
      </c>
      <c r="D49" s="43">
        <v>0</v>
      </c>
      <c r="E49" s="43">
        <v>0</v>
      </c>
      <c r="F49" s="43">
        <v>0</v>
      </c>
      <c r="G49" s="43">
        <f>(19000+17000)*12</f>
        <v>432000</v>
      </c>
      <c r="H49" s="15"/>
      <c r="I49" s="15"/>
      <c r="J49" s="15"/>
      <c r="K49" s="15"/>
      <c r="L49" s="15"/>
      <c r="M49" s="15"/>
      <c r="N49" s="15"/>
      <c r="O49" s="15"/>
      <c r="P49" s="15"/>
      <c r="Q49" s="15"/>
      <c r="R49" s="15"/>
      <c r="S49" s="15"/>
      <c r="T49" s="15"/>
      <c r="U49" s="15"/>
      <c r="V49" s="15"/>
      <c r="W49" s="15"/>
      <c r="X49" s="15"/>
      <c r="Y49" s="15"/>
      <c r="Z49" s="15"/>
    </row>
    <row r="50" spans="1:26" ht="15.75" customHeight="1" x14ac:dyDescent="0.25">
      <c r="A50" s="44" t="s">
        <v>1560</v>
      </c>
      <c r="B50" s="41"/>
      <c r="C50" s="43"/>
      <c r="D50" s="43"/>
      <c r="E50" s="43"/>
      <c r="F50" s="43"/>
      <c r="G50" s="43"/>
      <c r="H50" s="15"/>
      <c r="I50" s="15"/>
      <c r="J50" s="15"/>
      <c r="K50" s="15"/>
      <c r="L50" s="15"/>
      <c r="M50" s="15"/>
      <c r="N50" s="15"/>
      <c r="O50" s="15"/>
      <c r="P50" s="15"/>
      <c r="Q50" s="15"/>
      <c r="R50" s="15"/>
      <c r="S50" s="15"/>
      <c r="T50" s="15"/>
      <c r="U50" s="15"/>
      <c r="V50" s="15"/>
      <c r="W50" s="15"/>
      <c r="X50" s="15"/>
      <c r="Y50" s="15"/>
      <c r="Z50" s="15"/>
    </row>
    <row r="51" spans="1:26" ht="15.75" customHeight="1" x14ac:dyDescent="0.25">
      <c r="A51" s="44" t="s">
        <v>1561</v>
      </c>
      <c r="B51" s="41"/>
      <c r="C51" s="43"/>
      <c r="D51" s="43"/>
      <c r="E51" s="43"/>
      <c r="F51" s="43"/>
      <c r="G51" s="43"/>
      <c r="H51" s="15"/>
      <c r="I51" s="15"/>
      <c r="J51" s="15"/>
      <c r="K51" s="15"/>
      <c r="L51" s="15"/>
      <c r="M51" s="15"/>
      <c r="N51" s="15"/>
      <c r="O51" s="15"/>
      <c r="P51" s="15"/>
      <c r="Q51" s="15"/>
      <c r="R51" s="15"/>
      <c r="S51" s="15"/>
      <c r="T51" s="15"/>
      <c r="U51" s="15"/>
      <c r="V51" s="15"/>
      <c r="W51" s="15"/>
      <c r="X51" s="15"/>
      <c r="Y51" s="15"/>
      <c r="Z51" s="15"/>
    </row>
    <row r="52" spans="1:26" ht="15.75" customHeight="1" x14ac:dyDescent="0.25">
      <c r="A52" s="44" t="s">
        <v>1562</v>
      </c>
      <c r="B52" s="41"/>
      <c r="C52" s="43"/>
      <c r="D52" s="43"/>
      <c r="E52" s="43"/>
      <c r="F52" s="43"/>
      <c r="G52" s="43"/>
      <c r="H52" s="15"/>
      <c r="I52" s="15"/>
      <c r="J52" s="15"/>
      <c r="K52" s="15"/>
      <c r="L52" s="15"/>
      <c r="M52" s="15"/>
      <c r="N52" s="15"/>
      <c r="O52" s="15"/>
      <c r="P52" s="15"/>
      <c r="Q52" s="15"/>
      <c r="R52" s="15"/>
      <c r="S52" s="15"/>
      <c r="T52" s="15"/>
      <c r="U52" s="15"/>
      <c r="V52" s="15"/>
      <c r="W52" s="15"/>
      <c r="X52" s="15"/>
      <c r="Y52" s="15"/>
      <c r="Z52" s="15"/>
    </row>
    <row r="53" spans="1:26" ht="15.75" customHeight="1" x14ac:dyDescent="0.25">
      <c r="A53" s="42" t="s">
        <v>672</v>
      </c>
      <c r="B53" s="41"/>
      <c r="C53" s="54">
        <f t="shared" ref="C53:F53" si="4">+SUM(C41:C46)</f>
        <v>286788.92000000004</v>
      </c>
      <c r="D53" s="54">
        <f t="shared" si="4"/>
        <v>45916</v>
      </c>
      <c r="E53" s="54">
        <f t="shared" si="4"/>
        <v>249245</v>
      </c>
      <c r="F53" s="54">
        <f t="shared" si="4"/>
        <v>295161</v>
      </c>
      <c r="G53" s="54">
        <f>SUM(G41:G50)</f>
        <v>808787</v>
      </c>
      <c r="H53" s="15"/>
      <c r="I53" s="15"/>
      <c r="J53" s="15"/>
      <c r="K53" s="15"/>
      <c r="L53" s="15"/>
      <c r="M53" s="15"/>
      <c r="N53" s="15"/>
      <c r="O53" s="15"/>
      <c r="P53" s="15"/>
      <c r="Q53" s="15"/>
      <c r="R53" s="15"/>
      <c r="S53" s="15"/>
      <c r="T53" s="15"/>
      <c r="U53" s="15"/>
      <c r="V53" s="15"/>
      <c r="W53" s="15"/>
      <c r="X53" s="15"/>
      <c r="Y53" s="15"/>
      <c r="Z53" s="15"/>
    </row>
    <row r="54" spans="1:26" ht="15.75" customHeight="1" x14ac:dyDescent="0.25">
      <c r="A54" s="17"/>
      <c r="B54" s="41"/>
      <c r="C54" s="55"/>
      <c r="D54" s="55"/>
      <c r="E54" s="55"/>
      <c r="F54" s="55"/>
      <c r="G54" s="5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7" t="s">
        <v>467</v>
      </c>
      <c r="B55" s="41"/>
      <c r="C55" s="43">
        <f t="shared" ref="C55:G55" si="5">+C53+C37</f>
        <v>1945863.5699999998</v>
      </c>
      <c r="D55" s="43">
        <f t="shared" si="5"/>
        <v>869821.52</v>
      </c>
      <c r="E55" s="43">
        <f t="shared" si="5"/>
        <v>1497562.48</v>
      </c>
      <c r="F55" s="43">
        <f t="shared" si="5"/>
        <v>2367384</v>
      </c>
      <c r="G55" s="43">
        <f t="shared" si="5"/>
        <v>2502755</v>
      </c>
      <c r="H55" s="15"/>
      <c r="I55" s="15"/>
      <c r="J55" s="15"/>
      <c r="K55" s="15"/>
      <c r="L55" s="15"/>
      <c r="M55" s="15"/>
      <c r="N55" s="15"/>
      <c r="O55" s="15"/>
      <c r="P55" s="15"/>
      <c r="Q55" s="15"/>
      <c r="R55" s="15"/>
      <c r="S55" s="15"/>
      <c r="T55" s="15"/>
      <c r="U55" s="15"/>
      <c r="V55" s="15"/>
      <c r="W55" s="15"/>
      <c r="X55" s="15"/>
      <c r="Y55" s="15"/>
      <c r="Z55" s="15"/>
    </row>
    <row r="56" spans="1:26" ht="15.75" customHeight="1" x14ac:dyDescent="0.25">
      <c r="A56" s="42"/>
      <c r="B56" s="41"/>
      <c r="C56" s="43"/>
      <c r="D56" s="43"/>
      <c r="E56" s="43"/>
      <c r="F56" s="43"/>
      <c r="G56" s="43"/>
      <c r="H56" s="15"/>
      <c r="I56" s="15"/>
      <c r="J56" s="15"/>
      <c r="K56" s="15"/>
      <c r="L56" s="15"/>
      <c r="M56" s="15"/>
      <c r="N56" s="15"/>
      <c r="O56" s="15"/>
      <c r="P56" s="15"/>
      <c r="Q56" s="15"/>
      <c r="R56" s="15"/>
      <c r="S56" s="15"/>
      <c r="T56" s="15"/>
      <c r="U56" s="15"/>
      <c r="V56" s="15"/>
      <c r="W56" s="15"/>
      <c r="X56" s="15"/>
      <c r="Y56" s="15"/>
      <c r="Z56" s="15"/>
    </row>
    <row r="57" spans="1:26" ht="15.75" customHeight="1" x14ac:dyDescent="0.25">
      <c r="A57" s="50" t="s">
        <v>487</v>
      </c>
      <c r="B57" s="51" t="s">
        <v>488</v>
      </c>
      <c r="C57" s="54">
        <f t="shared" ref="C57:G57" si="6">+C55</f>
        <v>1945863.5699999998</v>
      </c>
      <c r="D57" s="54">
        <f t="shared" si="6"/>
        <v>869821.52</v>
      </c>
      <c r="E57" s="54">
        <f t="shared" si="6"/>
        <v>1497562.48</v>
      </c>
      <c r="F57" s="54">
        <f t="shared" si="6"/>
        <v>2367384</v>
      </c>
      <c r="G57" s="54">
        <f t="shared" si="6"/>
        <v>2502755</v>
      </c>
    </row>
    <row r="58" spans="1:26" ht="15.75" customHeight="1" x14ac:dyDescent="0.25">
      <c r="A58" s="24"/>
      <c r="B58" s="25"/>
      <c r="C58" s="24"/>
      <c r="D58" s="24"/>
      <c r="E58" s="24"/>
      <c r="F58" s="24"/>
    </row>
    <row r="59" spans="1:26" ht="15.75" customHeight="1" x14ac:dyDescent="0.25">
      <c r="A59" s="298"/>
      <c r="B59" s="25"/>
      <c r="C59" s="24"/>
      <c r="D59" s="24"/>
      <c r="E59" s="24"/>
    </row>
    <row r="60" spans="1:26" ht="15.75" customHeight="1" x14ac:dyDescent="0.25">
      <c r="A60" s="18"/>
      <c r="B60" s="25"/>
      <c r="C60" s="24"/>
      <c r="D60" s="24"/>
      <c r="E60" s="24"/>
    </row>
    <row r="61" spans="1:26" ht="15.75" customHeight="1" x14ac:dyDescent="0.25">
      <c r="A61" s="24"/>
      <c r="B61" s="25"/>
      <c r="C61" s="24"/>
      <c r="D61" s="24"/>
      <c r="E61" s="24"/>
    </row>
    <row r="62" spans="1:26" ht="15.75" customHeight="1" x14ac:dyDescent="0.25">
      <c r="A62" s="24"/>
      <c r="B62" s="25"/>
      <c r="C62" s="24"/>
      <c r="D62" s="24"/>
      <c r="E62" s="24"/>
    </row>
    <row r="63" spans="1:26" ht="15.75" customHeight="1" x14ac:dyDescent="0.25">
      <c r="A63" s="24"/>
      <c r="B63" s="25"/>
      <c r="C63" s="24"/>
      <c r="D63" s="24"/>
      <c r="E63" s="24"/>
    </row>
    <row r="64" spans="1:26" ht="15.75" customHeight="1" x14ac:dyDescent="0.25">
      <c r="A64" s="24"/>
      <c r="B64" s="25"/>
      <c r="C64" s="24"/>
      <c r="D64" s="24"/>
      <c r="E64" s="24"/>
    </row>
    <row r="65" spans="1:5" ht="15.75" customHeight="1" x14ac:dyDescent="0.25">
      <c r="A65" s="24"/>
      <c r="B65" s="25"/>
      <c r="C65" s="24"/>
      <c r="D65" s="24"/>
      <c r="E65" s="24"/>
    </row>
    <row r="66" spans="1:5" ht="15.75" customHeight="1" x14ac:dyDescent="0.25">
      <c r="A66" s="24"/>
      <c r="B66" s="25"/>
      <c r="C66" s="24"/>
      <c r="D66" s="24"/>
      <c r="E66" s="24"/>
    </row>
    <row r="67" spans="1:5" ht="15.75" customHeight="1" x14ac:dyDescent="0.25">
      <c r="A67" s="24"/>
      <c r="B67" s="25"/>
      <c r="C67" s="24"/>
      <c r="D67" s="24"/>
      <c r="E67" s="24"/>
    </row>
    <row r="68" spans="1:5" ht="15.75" customHeight="1" x14ac:dyDescent="0.25">
      <c r="A68" s="24"/>
      <c r="B68" s="25"/>
      <c r="C68" s="24"/>
      <c r="D68" s="24"/>
      <c r="E68" s="24"/>
    </row>
    <row r="69" spans="1:5" ht="15.75" customHeight="1" x14ac:dyDescent="0.25">
      <c r="A69" s="24"/>
      <c r="B69" s="25"/>
      <c r="C69" s="24"/>
      <c r="D69" s="24"/>
      <c r="E69" s="24"/>
    </row>
    <row r="70" spans="1:5" ht="15.75" customHeight="1" x14ac:dyDescent="0.25">
      <c r="A70" s="24"/>
      <c r="B70" s="25"/>
      <c r="C70" s="24"/>
      <c r="D70" s="24"/>
      <c r="E70" s="24"/>
    </row>
    <row r="71" spans="1:5" ht="15.75" customHeight="1" x14ac:dyDescent="0.25">
      <c r="A71" s="24"/>
      <c r="B71" s="25"/>
      <c r="C71" s="24"/>
      <c r="D71" s="24"/>
      <c r="E71" s="24"/>
    </row>
    <row r="72" spans="1:5" ht="15.75" customHeight="1" x14ac:dyDescent="0.25">
      <c r="A72" s="24"/>
      <c r="B72" s="25"/>
      <c r="C72" s="24"/>
      <c r="D72" s="24"/>
      <c r="E72" s="24"/>
    </row>
    <row r="73" spans="1:5" ht="15.75" customHeight="1" x14ac:dyDescent="0.25">
      <c r="A73" s="24"/>
      <c r="B73" s="25"/>
      <c r="C73" s="24"/>
      <c r="D73" s="24"/>
      <c r="E73" s="24"/>
    </row>
    <row r="74" spans="1:5" ht="15.75" customHeight="1" x14ac:dyDescent="0.25">
      <c r="A74" s="24"/>
      <c r="B74" s="25"/>
      <c r="C74" s="24"/>
      <c r="D74" s="24"/>
      <c r="E74" s="24"/>
    </row>
    <row r="75" spans="1:5" ht="15.75" customHeight="1" x14ac:dyDescent="0.25">
      <c r="A75" s="24"/>
      <c r="B75" s="25"/>
      <c r="C75" s="24"/>
      <c r="D75" s="24"/>
      <c r="E75" s="24"/>
    </row>
    <row r="76" spans="1:5" ht="15.75" customHeight="1" x14ac:dyDescent="0.25">
      <c r="A76" s="24"/>
      <c r="B76" s="25"/>
      <c r="C76" s="24"/>
      <c r="D76" s="24"/>
      <c r="E76" s="24"/>
    </row>
    <row r="77" spans="1:5" ht="15.75" customHeight="1" x14ac:dyDescent="0.25">
      <c r="A77" s="24"/>
      <c r="B77" s="25"/>
      <c r="C77" s="24"/>
      <c r="D77" s="24"/>
      <c r="E77" s="24"/>
    </row>
    <row r="78" spans="1:5" ht="15.75" customHeight="1" x14ac:dyDescent="0.25">
      <c r="A78" s="24"/>
      <c r="B78" s="25"/>
      <c r="C78" s="24"/>
      <c r="D78" s="24"/>
      <c r="E78" s="24"/>
    </row>
    <row r="79" spans="1:5" ht="15.75" customHeight="1" x14ac:dyDescent="0.25">
      <c r="A79" s="24"/>
      <c r="B79" s="25"/>
      <c r="C79" s="24"/>
      <c r="D79" s="24"/>
      <c r="E79" s="24"/>
    </row>
    <row r="80" spans="1:5" ht="15.75" customHeight="1" x14ac:dyDescent="0.25">
      <c r="A80" s="24"/>
      <c r="B80" s="25"/>
      <c r="C80" s="24"/>
      <c r="D80" s="24"/>
      <c r="E80" s="24"/>
    </row>
    <row r="81" spans="1:5" ht="15.75" customHeight="1" x14ac:dyDescent="0.25">
      <c r="A81" s="24"/>
      <c r="B81" s="25"/>
      <c r="C81" s="24"/>
      <c r="D81" s="24"/>
      <c r="E81" s="24"/>
    </row>
    <row r="82" spans="1:5" ht="15.75" customHeight="1" x14ac:dyDescent="0.25">
      <c r="A82" s="24"/>
      <c r="B82" s="25"/>
      <c r="C82" s="24"/>
      <c r="D82" s="24"/>
      <c r="E82" s="24"/>
    </row>
    <row r="83" spans="1:5" ht="15.75" customHeight="1" x14ac:dyDescent="0.25">
      <c r="A83" s="24"/>
      <c r="B83" s="25"/>
      <c r="C83" s="24"/>
      <c r="D83" s="24"/>
      <c r="E83" s="24"/>
    </row>
    <row r="84" spans="1:5" ht="15.75" customHeight="1" x14ac:dyDescent="0.25">
      <c r="A84" s="24"/>
      <c r="B84" s="25"/>
      <c r="C84" s="24"/>
      <c r="D84" s="24"/>
      <c r="E84" s="24"/>
    </row>
    <row r="85" spans="1:5" ht="15.75" customHeight="1" x14ac:dyDescent="0.25">
      <c r="A85" s="24"/>
      <c r="B85" s="25"/>
      <c r="C85" s="24"/>
      <c r="D85" s="24"/>
      <c r="E85" s="24"/>
    </row>
    <row r="86" spans="1:5" ht="15.75" customHeight="1" x14ac:dyDescent="0.25">
      <c r="A86" s="24"/>
      <c r="B86" s="25"/>
      <c r="C86" s="24"/>
      <c r="D86" s="24"/>
      <c r="E86" s="24"/>
    </row>
    <row r="87" spans="1:5" ht="15.75" customHeight="1" x14ac:dyDescent="0.25">
      <c r="A87" s="24"/>
      <c r="B87" s="25"/>
      <c r="C87" s="24"/>
      <c r="D87" s="24"/>
      <c r="E87" s="24"/>
    </row>
    <row r="88" spans="1:5" ht="15.75" customHeight="1" x14ac:dyDescent="0.25">
      <c r="A88" s="24"/>
      <c r="B88" s="25"/>
      <c r="C88" s="24"/>
      <c r="D88" s="24"/>
      <c r="E88" s="24"/>
    </row>
    <row r="89" spans="1:5" ht="15.75" customHeight="1" x14ac:dyDescent="0.25">
      <c r="A89" s="24"/>
      <c r="B89" s="25"/>
      <c r="C89" s="24"/>
      <c r="D89" s="24"/>
      <c r="E89" s="24"/>
    </row>
    <row r="90" spans="1:5" ht="15.75" customHeight="1" x14ac:dyDescent="0.25">
      <c r="A90" s="24"/>
      <c r="B90" s="25"/>
      <c r="C90" s="24"/>
      <c r="D90" s="24"/>
      <c r="E90" s="24"/>
    </row>
    <row r="91" spans="1:5" ht="15.75" customHeight="1" x14ac:dyDescent="0.25">
      <c r="A91" s="24"/>
      <c r="B91" s="25"/>
      <c r="C91" s="24"/>
      <c r="D91" s="24"/>
      <c r="E91" s="24"/>
    </row>
    <row r="92" spans="1:5" ht="15.75" customHeight="1" x14ac:dyDescent="0.25">
      <c r="A92" s="24"/>
      <c r="B92" s="25"/>
      <c r="C92" s="24"/>
      <c r="D92" s="24"/>
      <c r="E92" s="24"/>
    </row>
    <row r="93" spans="1:5" ht="15.75" customHeight="1" x14ac:dyDescent="0.25">
      <c r="A93" s="24"/>
      <c r="B93" s="25"/>
      <c r="C93" s="24"/>
      <c r="D93" s="24"/>
      <c r="E93" s="24"/>
    </row>
    <row r="94" spans="1:5" ht="15.75" customHeight="1" x14ac:dyDescent="0.25">
      <c r="A94" s="24"/>
      <c r="B94" s="25"/>
      <c r="C94" s="24"/>
      <c r="D94" s="24"/>
      <c r="E94" s="24"/>
    </row>
    <row r="95" spans="1:5" ht="15.75" customHeight="1" x14ac:dyDescent="0.25">
      <c r="A95" s="24"/>
      <c r="B95" s="25"/>
      <c r="C95" s="24"/>
      <c r="D95" s="24"/>
      <c r="E95" s="24"/>
    </row>
    <row r="96" spans="1:5" ht="15.75" customHeight="1" x14ac:dyDescent="0.25">
      <c r="A96" s="24"/>
      <c r="B96" s="25"/>
      <c r="C96" s="24"/>
      <c r="D96" s="24"/>
      <c r="E96" s="24"/>
    </row>
    <row r="97" spans="1:5" ht="15.75" customHeight="1" x14ac:dyDescent="0.25">
      <c r="A97" s="24"/>
      <c r="B97" s="25"/>
      <c r="C97" s="24"/>
      <c r="D97" s="24"/>
      <c r="E97" s="24"/>
    </row>
    <row r="98" spans="1:5" ht="15.75" customHeight="1" x14ac:dyDescent="0.25">
      <c r="A98" s="24"/>
      <c r="B98" s="25"/>
      <c r="C98" s="24"/>
      <c r="D98" s="24"/>
      <c r="E98" s="24"/>
    </row>
    <row r="99" spans="1:5" ht="15.75" customHeight="1" x14ac:dyDescent="0.25">
      <c r="A99" s="24"/>
      <c r="B99" s="25"/>
      <c r="C99" s="24"/>
      <c r="D99" s="24"/>
      <c r="E99" s="24"/>
    </row>
    <row r="100" spans="1:5" ht="15.75" customHeight="1" x14ac:dyDescent="0.25">
      <c r="A100" s="24"/>
      <c r="B100" s="25"/>
      <c r="C100" s="24"/>
      <c r="D100" s="24"/>
      <c r="E100" s="24"/>
    </row>
    <row r="101" spans="1:5" ht="15.75" customHeight="1" x14ac:dyDescent="0.25">
      <c r="A101" s="24"/>
      <c r="B101" s="25"/>
      <c r="C101" s="24"/>
      <c r="D101" s="24"/>
      <c r="E101" s="24"/>
    </row>
    <row r="102" spans="1:5" ht="15.75" customHeight="1" x14ac:dyDescent="0.25">
      <c r="A102" s="24"/>
      <c r="B102" s="25"/>
      <c r="C102" s="24"/>
      <c r="D102" s="24"/>
      <c r="E102" s="24"/>
    </row>
    <row r="103" spans="1:5" ht="15.75" customHeight="1" x14ac:dyDescent="0.25">
      <c r="A103" s="24"/>
      <c r="B103" s="25"/>
      <c r="C103" s="24"/>
      <c r="D103" s="24"/>
      <c r="E103" s="24"/>
    </row>
    <row r="104" spans="1:5" ht="15.75" customHeight="1" x14ac:dyDescent="0.25">
      <c r="A104" s="24"/>
      <c r="B104" s="25"/>
      <c r="C104" s="24"/>
      <c r="D104" s="24"/>
      <c r="E104" s="24"/>
    </row>
    <row r="105" spans="1:5" ht="15.75" customHeight="1" x14ac:dyDescent="0.25">
      <c r="A105" s="24"/>
      <c r="B105" s="25"/>
      <c r="C105" s="24"/>
      <c r="D105" s="24"/>
      <c r="E105" s="24"/>
    </row>
    <row r="106" spans="1:5" ht="15.75" customHeight="1" x14ac:dyDescent="0.25">
      <c r="A106" s="24"/>
      <c r="B106" s="25"/>
      <c r="C106" s="24"/>
      <c r="D106" s="24"/>
      <c r="E106" s="24"/>
    </row>
    <row r="107" spans="1:5" ht="15.75" customHeight="1" x14ac:dyDescent="0.25">
      <c r="A107" s="24"/>
      <c r="B107" s="25"/>
      <c r="C107" s="24"/>
      <c r="D107" s="24"/>
      <c r="E107" s="24"/>
    </row>
    <row r="108" spans="1:5" ht="15.75" customHeight="1" x14ac:dyDescent="0.25">
      <c r="A108" s="24"/>
      <c r="B108" s="25"/>
      <c r="C108" s="24"/>
      <c r="D108" s="24"/>
      <c r="E108" s="24"/>
    </row>
    <row r="109" spans="1:5" ht="15.75" customHeight="1" x14ac:dyDescent="0.25">
      <c r="A109" s="24"/>
      <c r="B109" s="25"/>
      <c r="C109" s="24"/>
      <c r="D109" s="24"/>
      <c r="E109" s="24"/>
    </row>
    <row r="110" spans="1:5" ht="15.75" customHeight="1" x14ac:dyDescent="0.25">
      <c r="A110" s="24"/>
      <c r="B110" s="25"/>
      <c r="C110" s="24"/>
      <c r="D110" s="24"/>
      <c r="E110" s="24"/>
    </row>
    <row r="111" spans="1:5" ht="15.75" customHeight="1" x14ac:dyDescent="0.25">
      <c r="A111" s="24"/>
      <c r="B111" s="25"/>
      <c r="C111" s="24"/>
      <c r="D111" s="24"/>
      <c r="E111" s="24"/>
    </row>
    <row r="112" spans="1:5" ht="15.75" customHeight="1" x14ac:dyDescent="0.25">
      <c r="A112" s="24"/>
      <c r="B112" s="25"/>
      <c r="C112" s="24"/>
      <c r="D112" s="24"/>
      <c r="E112" s="24"/>
    </row>
    <row r="113" spans="1:5" ht="15.75" customHeight="1" x14ac:dyDescent="0.25">
      <c r="A113" s="24"/>
      <c r="B113" s="25"/>
      <c r="C113" s="24"/>
      <c r="D113" s="24"/>
      <c r="E113" s="24"/>
    </row>
    <row r="114" spans="1:5" ht="15.75" customHeight="1" x14ac:dyDescent="0.25">
      <c r="A114" s="24"/>
      <c r="B114" s="25"/>
      <c r="C114" s="24"/>
      <c r="D114" s="24"/>
      <c r="E114" s="24"/>
    </row>
    <row r="115" spans="1:5" ht="15.75" customHeight="1" x14ac:dyDescent="0.25">
      <c r="A115" s="24"/>
      <c r="B115" s="25"/>
      <c r="C115" s="24"/>
      <c r="D115" s="24"/>
      <c r="E115" s="24"/>
    </row>
    <row r="116" spans="1:5" ht="15.75" customHeight="1" x14ac:dyDescent="0.25">
      <c r="A116" s="24"/>
      <c r="B116" s="25"/>
      <c r="C116" s="24"/>
      <c r="D116" s="24"/>
      <c r="E116" s="24"/>
    </row>
    <row r="117" spans="1:5" ht="15.75" customHeight="1" x14ac:dyDescent="0.25">
      <c r="A117" s="24"/>
      <c r="B117" s="25"/>
      <c r="C117" s="24"/>
      <c r="D117" s="24"/>
      <c r="E117" s="24"/>
    </row>
    <row r="118" spans="1:5" ht="15.75" customHeight="1" x14ac:dyDescent="0.25">
      <c r="A118" s="24"/>
      <c r="B118" s="25"/>
      <c r="C118" s="24"/>
      <c r="D118" s="24"/>
      <c r="E118" s="24"/>
    </row>
    <row r="119" spans="1:5" ht="15.75" customHeight="1" x14ac:dyDescent="0.25">
      <c r="A119" s="24"/>
      <c r="B119" s="25"/>
      <c r="C119" s="24"/>
      <c r="D119" s="24"/>
      <c r="E119" s="24"/>
    </row>
    <row r="120" spans="1:5" ht="15.75" customHeight="1" x14ac:dyDescent="0.25">
      <c r="A120" s="24"/>
      <c r="B120" s="25"/>
      <c r="C120" s="24"/>
      <c r="D120" s="24"/>
      <c r="E120" s="24"/>
    </row>
    <row r="121" spans="1:5" ht="15.75" customHeight="1" x14ac:dyDescent="0.25">
      <c r="A121" s="24"/>
      <c r="B121" s="25"/>
      <c r="C121" s="24"/>
      <c r="D121" s="24"/>
      <c r="E121" s="24"/>
    </row>
    <row r="122" spans="1:5" ht="15.75" customHeight="1" x14ac:dyDescent="0.25">
      <c r="A122" s="24"/>
      <c r="B122" s="25"/>
      <c r="C122" s="24"/>
      <c r="D122" s="24"/>
      <c r="E122" s="24"/>
    </row>
    <row r="123" spans="1:5" ht="15.75" customHeight="1" x14ac:dyDescent="0.25">
      <c r="A123" s="24"/>
      <c r="B123" s="25"/>
      <c r="C123" s="24"/>
      <c r="D123" s="24"/>
      <c r="E123" s="24"/>
    </row>
    <row r="124" spans="1:5" ht="15.75" customHeight="1" x14ac:dyDescent="0.25">
      <c r="A124" s="24"/>
      <c r="B124" s="25"/>
      <c r="C124" s="24"/>
      <c r="D124" s="24"/>
      <c r="E124" s="24"/>
    </row>
    <row r="125" spans="1:5" ht="15.75" customHeight="1" x14ac:dyDescent="0.25">
      <c r="A125" s="24"/>
      <c r="B125" s="25"/>
      <c r="C125" s="24"/>
      <c r="D125" s="24"/>
      <c r="E125" s="24"/>
    </row>
    <row r="126" spans="1:5" ht="15.75" customHeight="1" x14ac:dyDescent="0.25">
      <c r="A126" s="24"/>
      <c r="B126" s="25"/>
      <c r="C126" s="24"/>
      <c r="D126" s="24"/>
      <c r="E126" s="24"/>
    </row>
    <row r="127" spans="1:5" ht="15.75" customHeight="1" x14ac:dyDescent="0.25">
      <c r="A127" s="24"/>
      <c r="B127" s="25"/>
      <c r="C127" s="24"/>
      <c r="D127" s="24"/>
      <c r="E127" s="24"/>
    </row>
    <row r="128" spans="1:5" ht="15.75" customHeight="1" x14ac:dyDescent="0.25">
      <c r="A128" s="24"/>
      <c r="B128" s="25"/>
      <c r="C128" s="24"/>
      <c r="D128" s="24"/>
      <c r="E128" s="24"/>
    </row>
    <row r="129" spans="1:5" ht="15.75" customHeight="1" x14ac:dyDescent="0.25">
      <c r="A129" s="24"/>
      <c r="B129" s="25"/>
      <c r="C129" s="24"/>
      <c r="D129" s="24"/>
      <c r="E129" s="24"/>
    </row>
    <row r="130" spans="1:5" ht="15.75" customHeight="1" x14ac:dyDescent="0.25">
      <c r="A130" s="24"/>
      <c r="B130" s="25"/>
      <c r="C130" s="24"/>
      <c r="D130" s="24"/>
      <c r="E130" s="24"/>
    </row>
    <row r="131" spans="1:5" ht="15.75" customHeight="1" x14ac:dyDescent="0.25">
      <c r="A131" s="24"/>
      <c r="B131" s="25"/>
      <c r="C131" s="24"/>
      <c r="D131" s="24"/>
      <c r="E131" s="24"/>
    </row>
    <row r="132" spans="1:5" ht="15.75" customHeight="1" x14ac:dyDescent="0.25">
      <c r="A132" s="24"/>
      <c r="B132" s="25"/>
      <c r="C132" s="24"/>
      <c r="D132" s="24"/>
      <c r="E132" s="24"/>
    </row>
    <row r="133" spans="1:5" ht="15.75" customHeight="1" x14ac:dyDescent="0.25">
      <c r="A133" s="24"/>
      <c r="B133" s="25"/>
      <c r="C133" s="24"/>
      <c r="D133" s="24"/>
      <c r="E133" s="24"/>
    </row>
    <row r="134" spans="1:5" ht="15.75" customHeight="1" x14ac:dyDescent="0.25">
      <c r="A134" s="24"/>
      <c r="B134" s="25"/>
      <c r="C134" s="24"/>
      <c r="D134" s="24"/>
      <c r="E134" s="24"/>
    </row>
    <row r="135" spans="1:5" ht="15.75" customHeight="1" x14ac:dyDescent="0.25">
      <c r="A135" s="24"/>
      <c r="B135" s="25"/>
      <c r="C135" s="24"/>
      <c r="D135" s="24"/>
      <c r="E135" s="24"/>
    </row>
    <row r="136" spans="1:5" ht="15.75" customHeight="1" x14ac:dyDescent="0.25">
      <c r="A136" s="24"/>
      <c r="B136" s="25"/>
      <c r="C136" s="24"/>
      <c r="D136" s="24"/>
      <c r="E136" s="24"/>
    </row>
    <row r="137" spans="1:5" ht="15.75" customHeight="1" x14ac:dyDescent="0.25">
      <c r="A137" s="24"/>
      <c r="B137" s="25"/>
      <c r="C137" s="24"/>
      <c r="D137" s="24"/>
      <c r="E137" s="24"/>
    </row>
    <row r="138" spans="1:5" ht="15.75" customHeight="1" x14ac:dyDescent="0.25">
      <c r="A138" s="24"/>
      <c r="B138" s="25"/>
      <c r="C138" s="24"/>
      <c r="D138" s="24"/>
      <c r="E138" s="24"/>
    </row>
    <row r="139" spans="1:5" ht="15.75" customHeight="1" x14ac:dyDescent="0.25">
      <c r="A139" s="24"/>
      <c r="B139" s="25"/>
      <c r="C139" s="24"/>
      <c r="D139" s="24"/>
      <c r="E139" s="24"/>
    </row>
    <row r="140" spans="1:5" ht="15.75" customHeight="1" x14ac:dyDescent="0.25">
      <c r="A140" s="24"/>
      <c r="B140" s="25"/>
      <c r="C140" s="24"/>
      <c r="D140" s="24"/>
      <c r="E140" s="24"/>
    </row>
    <row r="141" spans="1:5" ht="15.75" customHeight="1" x14ac:dyDescent="0.25">
      <c r="A141" s="24"/>
      <c r="B141" s="25"/>
      <c r="C141" s="24"/>
      <c r="D141" s="24"/>
      <c r="E141" s="24"/>
    </row>
    <row r="142" spans="1:5" ht="15.75" customHeight="1" x14ac:dyDescent="0.25">
      <c r="A142" s="24"/>
      <c r="B142" s="25"/>
      <c r="C142" s="24"/>
      <c r="D142" s="24"/>
      <c r="E142" s="24"/>
    </row>
    <row r="143" spans="1:5" ht="15.75" customHeight="1" x14ac:dyDescent="0.25">
      <c r="A143" s="24"/>
      <c r="B143" s="25"/>
      <c r="C143" s="24"/>
      <c r="D143" s="24"/>
      <c r="E143" s="24"/>
    </row>
    <row r="144" spans="1:5" ht="15.75" customHeight="1" x14ac:dyDescent="0.25">
      <c r="A144" s="24"/>
      <c r="B144" s="25"/>
      <c r="C144" s="24"/>
      <c r="D144" s="24"/>
      <c r="E144" s="24"/>
    </row>
    <row r="145" spans="1:5" ht="15.75" customHeight="1" x14ac:dyDescent="0.25">
      <c r="A145" s="24"/>
      <c r="B145" s="25"/>
      <c r="C145" s="24"/>
      <c r="D145" s="24"/>
      <c r="E145" s="24"/>
    </row>
    <row r="146" spans="1:5" ht="15.75" customHeight="1" x14ac:dyDescent="0.25">
      <c r="A146" s="24"/>
      <c r="B146" s="25"/>
      <c r="C146" s="24"/>
      <c r="D146" s="24"/>
      <c r="E146" s="24"/>
    </row>
    <row r="147" spans="1:5" ht="15.75" customHeight="1" x14ac:dyDescent="0.25">
      <c r="A147" s="24"/>
      <c r="B147" s="25"/>
      <c r="C147" s="24"/>
      <c r="D147" s="24"/>
      <c r="E147" s="24"/>
    </row>
    <row r="148" spans="1:5" ht="15.75" customHeight="1" x14ac:dyDescent="0.25">
      <c r="A148" s="24"/>
      <c r="B148" s="25"/>
      <c r="C148" s="24"/>
      <c r="D148" s="24"/>
      <c r="E148" s="24"/>
    </row>
    <row r="149" spans="1:5" ht="15.75" customHeight="1" x14ac:dyDescent="0.25">
      <c r="A149" s="24"/>
      <c r="B149" s="25"/>
      <c r="C149" s="24"/>
      <c r="D149" s="24"/>
      <c r="E149" s="24"/>
    </row>
    <row r="150" spans="1:5" ht="15.75" customHeight="1" x14ac:dyDescent="0.25">
      <c r="A150" s="24"/>
      <c r="B150" s="25"/>
      <c r="C150" s="24"/>
      <c r="D150" s="24"/>
      <c r="E150" s="24"/>
    </row>
    <row r="151" spans="1:5" ht="15.75" customHeight="1" x14ac:dyDescent="0.25">
      <c r="A151" s="24"/>
      <c r="B151" s="25"/>
      <c r="C151" s="24"/>
      <c r="D151" s="24"/>
      <c r="E151" s="24"/>
    </row>
    <row r="152" spans="1:5" ht="15.75" customHeight="1" x14ac:dyDescent="0.25">
      <c r="A152" s="24"/>
      <c r="B152" s="25"/>
      <c r="C152" s="24"/>
      <c r="D152" s="24"/>
      <c r="E152" s="24"/>
    </row>
    <row r="153" spans="1:5" ht="15.75" customHeight="1" x14ac:dyDescent="0.25">
      <c r="A153" s="24"/>
      <c r="B153" s="25"/>
      <c r="C153" s="24"/>
      <c r="D153" s="24"/>
      <c r="E153" s="24"/>
    </row>
    <row r="154" spans="1:5" ht="15.75" customHeight="1" x14ac:dyDescent="0.25">
      <c r="A154" s="24"/>
      <c r="B154" s="25"/>
      <c r="C154" s="24"/>
      <c r="D154" s="24"/>
      <c r="E154" s="24"/>
    </row>
    <row r="155" spans="1:5" ht="15.75" customHeight="1" x14ac:dyDescent="0.25">
      <c r="A155" s="24"/>
      <c r="B155" s="25"/>
      <c r="C155" s="24"/>
      <c r="D155" s="24"/>
      <c r="E155" s="24"/>
    </row>
    <row r="156" spans="1:5" ht="15.75" customHeight="1" x14ac:dyDescent="0.25">
      <c r="A156" s="24"/>
      <c r="B156" s="25"/>
      <c r="C156" s="24"/>
      <c r="D156" s="24"/>
      <c r="E156" s="24"/>
    </row>
    <row r="157" spans="1:5" ht="15.75" customHeight="1" x14ac:dyDescent="0.25">
      <c r="A157" s="24"/>
      <c r="B157" s="25"/>
      <c r="C157" s="24"/>
      <c r="D157" s="24"/>
      <c r="E157" s="24"/>
    </row>
    <row r="158" spans="1:5" ht="15.75" customHeight="1" x14ac:dyDescent="0.25">
      <c r="A158" s="24"/>
      <c r="B158" s="25"/>
      <c r="C158" s="24"/>
      <c r="D158" s="24"/>
      <c r="E158" s="24"/>
    </row>
    <row r="159" spans="1:5" ht="15.75" customHeight="1" x14ac:dyDescent="0.25">
      <c r="A159" s="24"/>
      <c r="B159" s="25"/>
      <c r="C159" s="24"/>
      <c r="D159" s="24"/>
      <c r="E159" s="24"/>
    </row>
    <row r="160" spans="1:5" ht="15.75" customHeight="1" x14ac:dyDescent="0.25">
      <c r="A160" s="24"/>
      <c r="B160" s="25"/>
      <c r="C160" s="24"/>
      <c r="D160" s="24"/>
      <c r="E160" s="24"/>
    </row>
    <row r="161" spans="1:5" ht="15.75" customHeight="1" x14ac:dyDescent="0.25">
      <c r="A161" s="24"/>
      <c r="B161" s="25"/>
      <c r="C161" s="24"/>
      <c r="D161" s="24"/>
      <c r="E161" s="24"/>
    </row>
    <row r="162" spans="1:5" ht="15.75" customHeight="1" x14ac:dyDescent="0.25">
      <c r="A162" s="24"/>
      <c r="B162" s="25"/>
      <c r="C162" s="24"/>
      <c r="D162" s="24"/>
      <c r="E162" s="24"/>
    </row>
    <row r="163" spans="1:5" ht="15.75" customHeight="1" x14ac:dyDescent="0.25">
      <c r="A163" s="24"/>
      <c r="B163" s="25"/>
      <c r="C163" s="24"/>
      <c r="D163" s="24"/>
      <c r="E163" s="24"/>
    </row>
    <row r="164" spans="1:5" ht="15.75" customHeight="1" x14ac:dyDescent="0.25">
      <c r="A164" s="24"/>
      <c r="B164" s="25"/>
      <c r="C164" s="24"/>
      <c r="D164" s="24"/>
      <c r="E164" s="24"/>
    </row>
    <row r="165" spans="1:5" ht="15.75" customHeight="1" x14ac:dyDescent="0.25">
      <c r="A165" s="24"/>
      <c r="B165" s="25"/>
      <c r="C165" s="24"/>
      <c r="D165" s="24"/>
      <c r="E165" s="24"/>
    </row>
    <row r="166" spans="1:5" ht="15.75" customHeight="1" x14ac:dyDescent="0.25">
      <c r="A166" s="24"/>
      <c r="B166" s="25"/>
      <c r="C166" s="24"/>
      <c r="D166" s="24"/>
      <c r="E166" s="24"/>
    </row>
    <row r="167" spans="1:5" ht="15.75" customHeight="1" x14ac:dyDescent="0.25">
      <c r="A167" s="24"/>
      <c r="B167" s="25"/>
      <c r="C167" s="24"/>
      <c r="D167" s="24"/>
      <c r="E167" s="24"/>
    </row>
    <row r="168" spans="1:5" ht="15.75" customHeight="1" x14ac:dyDescent="0.25">
      <c r="A168" s="24"/>
      <c r="B168" s="25"/>
      <c r="C168" s="24"/>
      <c r="D168" s="24"/>
      <c r="E168" s="24"/>
    </row>
    <row r="169" spans="1:5" ht="15.75" customHeight="1" x14ac:dyDescent="0.25">
      <c r="A169" s="24"/>
      <c r="B169" s="25"/>
      <c r="C169" s="24"/>
      <c r="D169" s="24"/>
      <c r="E169" s="24"/>
    </row>
    <row r="170" spans="1:5" ht="15.75" customHeight="1" x14ac:dyDescent="0.25">
      <c r="A170" s="24"/>
      <c r="B170" s="25"/>
      <c r="C170" s="24"/>
      <c r="D170" s="24"/>
      <c r="E170" s="24"/>
    </row>
    <row r="171" spans="1:5" ht="15.75" customHeight="1" x14ac:dyDescent="0.25">
      <c r="A171" s="24"/>
      <c r="B171" s="25"/>
      <c r="C171" s="24"/>
      <c r="D171" s="24"/>
      <c r="E171" s="24"/>
    </row>
    <row r="172" spans="1:5" ht="15.75" customHeight="1" x14ac:dyDescent="0.25">
      <c r="A172" s="24"/>
      <c r="B172" s="25"/>
      <c r="C172" s="24"/>
      <c r="D172" s="24"/>
      <c r="E172" s="24"/>
    </row>
    <row r="173" spans="1:5" ht="15.75" customHeight="1" x14ac:dyDescent="0.25">
      <c r="A173" s="24"/>
      <c r="B173" s="25"/>
      <c r="C173" s="24"/>
      <c r="D173" s="24"/>
      <c r="E173" s="24"/>
    </row>
    <row r="174" spans="1:5" ht="15.75" customHeight="1" x14ac:dyDescent="0.25">
      <c r="A174" s="24"/>
      <c r="B174" s="25"/>
      <c r="C174" s="24"/>
      <c r="D174" s="24"/>
      <c r="E174" s="24"/>
    </row>
    <row r="175" spans="1:5" ht="15.75" customHeight="1" x14ac:dyDescent="0.25">
      <c r="A175" s="24"/>
      <c r="B175" s="25"/>
      <c r="C175" s="24"/>
      <c r="D175" s="24"/>
      <c r="E175" s="24"/>
    </row>
    <row r="176" spans="1:5" ht="15.75" customHeight="1" x14ac:dyDescent="0.25">
      <c r="A176" s="24"/>
      <c r="B176" s="25"/>
      <c r="C176" s="24"/>
      <c r="D176" s="24"/>
      <c r="E176" s="24"/>
    </row>
    <row r="177" spans="1:5" ht="15.75" customHeight="1" x14ac:dyDescent="0.25">
      <c r="A177" s="24"/>
      <c r="B177" s="25"/>
      <c r="C177" s="24"/>
      <c r="D177" s="24"/>
      <c r="E177" s="24"/>
    </row>
    <row r="178" spans="1:5" ht="15.75" customHeight="1" x14ac:dyDescent="0.25">
      <c r="A178" s="24"/>
      <c r="B178" s="25"/>
      <c r="C178" s="24"/>
      <c r="D178" s="24"/>
      <c r="E178" s="24"/>
    </row>
    <row r="179" spans="1:5" ht="15.75" customHeight="1" x14ac:dyDescent="0.25">
      <c r="A179" s="24"/>
      <c r="B179" s="25"/>
      <c r="C179" s="24"/>
      <c r="D179" s="24"/>
      <c r="E179" s="24"/>
    </row>
    <row r="180" spans="1:5" ht="15.75" customHeight="1" x14ac:dyDescent="0.25">
      <c r="A180" s="24"/>
      <c r="B180" s="25"/>
      <c r="C180" s="24"/>
      <c r="D180" s="24"/>
      <c r="E180" s="24"/>
    </row>
    <row r="181" spans="1:5" ht="15.75" customHeight="1" x14ac:dyDescent="0.25">
      <c r="A181" s="24"/>
      <c r="B181" s="25"/>
      <c r="C181" s="24"/>
      <c r="D181" s="24"/>
      <c r="E181" s="24"/>
    </row>
    <row r="182" spans="1:5" ht="15.75" customHeight="1" x14ac:dyDescent="0.25">
      <c r="A182" s="24"/>
      <c r="B182" s="25"/>
      <c r="C182" s="24"/>
      <c r="D182" s="24"/>
      <c r="E182" s="24"/>
    </row>
    <row r="183" spans="1:5" ht="15.75" customHeight="1" x14ac:dyDescent="0.25">
      <c r="A183" s="24"/>
      <c r="B183" s="25"/>
      <c r="C183" s="24"/>
      <c r="D183" s="24"/>
      <c r="E183" s="24"/>
    </row>
    <row r="184" spans="1:5" ht="15.75" customHeight="1" x14ac:dyDescent="0.25">
      <c r="A184" s="24"/>
      <c r="B184" s="25"/>
      <c r="C184" s="24"/>
      <c r="D184" s="24"/>
      <c r="E184" s="24"/>
    </row>
    <row r="185" spans="1:5" ht="15.75" customHeight="1" x14ac:dyDescent="0.25">
      <c r="A185" s="24"/>
      <c r="B185" s="25"/>
      <c r="C185" s="24"/>
      <c r="D185" s="24"/>
      <c r="E185" s="24"/>
    </row>
    <row r="186" spans="1:5" ht="15.75" customHeight="1" x14ac:dyDescent="0.25">
      <c r="A186" s="24"/>
      <c r="B186" s="25"/>
      <c r="C186" s="24"/>
      <c r="D186" s="24"/>
      <c r="E186" s="24"/>
    </row>
    <row r="187" spans="1:5" ht="15.75" customHeight="1" x14ac:dyDescent="0.25">
      <c r="A187" s="24"/>
      <c r="B187" s="25"/>
      <c r="C187" s="24"/>
      <c r="D187" s="24"/>
      <c r="E187" s="24"/>
    </row>
    <row r="188" spans="1:5" ht="15.75" customHeight="1" x14ac:dyDescent="0.25">
      <c r="A188" s="24"/>
      <c r="B188" s="25"/>
      <c r="C188" s="24"/>
      <c r="D188" s="24"/>
      <c r="E188" s="24"/>
    </row>
    <row r="189" spans="1:5" ht="15.75" customHeight="1" x14ac:dyDescent="0.25">
      <c r="A189" s="24"/>
      <c r="B189" s="25"/>
      <c r="C189" s="24"/>
      <c r="D189" s="24"/>
      <c r="E189" s="24"/>
    </row>
    <row r="190" spans="1:5" ht="15.75" customHeight="1" x14ac:dyDescent="0.25">
      <c r="A190" s="24"/>
      <c r="B190" s="25"/>
      <c r="C190" s="24"/>
      <c r="D190" s="24"/>
      <c r="E190" s="24"/>
    </row>
    <row r="191" spans="1:5" ht="15.75" customHeight="1" x14ac:dyDescent="0.25">
      <c r="A191" s="24"/>
      <c r="B191" s="25"/>
      <c r="C191" s="24"/>
      <c r="D191" s="24"/>
      <c r="E191" s="24"/>
    </row>
    <row r="192" spans="1:5" ht="15.75" customHeight="1" x14ac:dyDescent="0.25">
      <c r="A192" s="24"/>
      <c r="B192" s="25"/>
      <c r="C192" s="24"/>
      <c r="D192" s="24"/>
      <c r="E192" s="24"/>
    </row>
    <row r="193" spans="1:5" ht="15.75" customHeight="1" x14ac:dyDescent="0.25">
      <c r="A193" s="24"/>
      <c r="B193" s="25"/>
      <c r="C193" s="24"/>
      <c r="D193" s="24"/>
      <c r="E193" s="24"/>
    </row>
    <row r="194" spans="1:5" ht="15.75" customHeight="1" x14ac:dyDescent="0.25">
      <c r="A194" s="24"/>
      <c r="B194" s="25"/>
      <c r="C194" s="24"/>
      <c r="D194" s="24"/>
      <c r="E194" s="24"/>
    </row>
    <row r="195" spans="1:5" ht="15.75" customHeight="1" x14ac:dyDescent="0.25">
      <c r="A195" s="24"/>
      <c r="B195" s="25"/>
      <c r="C195" s="24"/>
      <c r="D195" s="24"/>
      <c r="E195" s="24"/>
    </row>
    <row r="196" spans="1:5" ht="15.75" customHeight="1" x14ac:dyDescent="0.25">
      <c r="A196" s="24"/>
      <c r="B196" s="25"/>
      <c r="C196" s="24"/>
      <c r="D196" s="24"/>
      <c r="E196" s="24"/>
    </row>
    <row r="197" spans="1:5" ht="15.75" customHeight="1" x14ac:dyDescent="0.25">
      <c r="A197" s="24"/>
      <c r="B197" s="25"/>
      <c r="C197" s="24"/>
      <c r="D197" s="24"/>
      <c r="E197" s="24"/>
    </row>
    <row r="198" spans="1:5" ht="15.75" customHeight="1" x14ac:dyDescent="0.25">
      <c r="A198" s="24"/>
      <c r="B198" s="25"/>
      <c r="C198" s="24"/>
      <c r="D198" s="24"/>
      <c r="E198" s="24"/>
    </row>
    <row r="199" spans="1:5" ht="15.75" customHeight="1" x14ac:dyDescent="0.25">
      <c r="A199" s="24"/>
      <c r="B199" s="25"/>
      <c r="C199" s="24"/>
      <c r="D199" s="24"/>
      <c r="E199" s="24"/>
    </row>
    <row r="200" spans="1:5" ht="15.75" customHeight="1" x14ac:dyDescent="0.25">
      <c r="A200" s="24"/>
      <c r="B200" s="25"/>
      <c r="C200" s="24"/>
      <c r="D200" s="24"/>
      <c r="E200" s="24"/>
    </row>
    <row r="201" spans="1:5" ht="15.75" customHeight="1" x14ac:dyDescent="0.25">
      <c r="A201" s="24"/>
      <c r="B201" s="25"/>
      <c r="C201" s="24"/>
      <c r="D201" s="24"/>
      <c r="E201" s="24"/>
    </row>
    <row r="202" spans="1:5" ht="15.75" customHeight="1" x14ac:dyDescent="0.25">
      <c r="A202" s="24"/>
      <c r="B202" s="25"/>
      <c r="C202" s="24"/>
      <c r="D202" s="24"/>
      <c r="E202" s="24"/>
    </row>
    <row r="203" spans="1:5" ht="15.75" customHeight="1" x14ac:dyDescent="0.25">
      <c r="A203" s="24"/>
      <c r="B203" s="25"/>
      <c r="C203" s="24"/>
      <c r="D203" s="24"/>
      <c r="E203" s="24"/>
    </row>
    <row r="204" spans="1:5" ht="15.75" customHeight="1" x14ac:dyDescent="0.25">
      <c r="A204" s="24"/>
      <c r="B204" s="25"/>
      <c r="C204" s="24"/>
      <c r="D204" s="24"/>
      <c r="E204" s="24"/>
    </row>
    <row r="205" spans="1:5" ht="15.75" customHeight="1" x14ac:dyDescent="0.25">
      <c r="A205" s="24"/>
      <c r="B205" s="25"/>
      <c r="C205" s="24"/>
      <c r="D205" s="24"/>
      <c r="E205" s="24"/>
    </row>
    <row r="206" spans="1:5" ht="15.75" customHeight="1" x14ac:dyDescent="0.25">
      <c r="A206" s="24"/>
      <c r="B206" s="25"/>
      <c r="C206" s="24"/>
      <c r="D206" s="24"/>
      <c r="E206" s="24"/>
    </row>
    <row r="207" spans="1:5" ht="15.75" customHeight="1" x14ac:dyDescent="0.25">
      <c r="A207" s="24"/>
      <c r="B207" s="25"/>
      <c r="C207" s="24"/>
      <c r="D207" s="24"/>
      <c r="E207" s="24"/>
    </row>
    <row r="208" spans="1:5" ht="15.75" customHeight="1" x14ac:dyDescent="0.25">
      <c r="A208" s="24"/>
      <c r="B208" s="25"/>
      <c r="C208" s="24"/>
      <c r="D208" s="24"/>
      <c r="E208" s="24"/>
    </row>
    <row r="209" spans="1:5" ht="15.75" customHeight="1" x14ac:dyDescent="0.25">
      <c r="A209" s="24"/>
      <c r="B209" s="25"/>
      <c r="C209" s="24"/>
      <c r="D209" s="24"/>
      <c r="E209" s="24"/>
    </row>
    <row r="210" spans="1:5" ht="15.75" customHeight="1" x14ac:dyDescent="0.25">
      <c r="A210" s="24"/>
      <c r="B210" s="25"/>
      <c r="C210" s="24"/>
      <c r="D210" s="24"/>
      <c r="E210" s="24"/>
    </row>
    <row r="211" spans="1:5" ht="15.75" customHeight="1" x14ac:dyDescent="0.25">
      <c r="A211" s="24"/>
      <c r="B211" s="25"/>
      <c r="C211" s="24"/>
      <c r="D211" s="24"/>
      <c r="E211" s="24"/>
    </row>
    <row r="212" spans="1:5" ht="15.75" customHeight="1" x14ac:dyDescent="0.25">
      <c r="A212" s="24"/>
      <c r="B212" s="25"/>
      <c r="C212" s="24"/>
      <c r="D212" s="24"/>
      <c r="E212" s="24"/>
    </row>
    <row r="213" spans="1:5" ht="15.75" customHeight="1" x14ac:dyDescent="0.25">
      <c r="A213" s="24"/>
      <c r="B213" s="25"/>
      <c r="C213" s="24"/>
      <c r="D213" s="24"/>
      <c r="E213" s="24"/>
    </row>
    <row r="214" spans="1:5" ht="15.75" customHeight="1" x14ac:dyDescent="0.25">
      <c r="A214" s="24"/>
      <c r="B214" s="25"/>
      <c r="C214" s="24"/>
      <c r="D214" s="24"/>
      <c r="E214" s="24"/>
    </row>
    <row r="215" spans="1:5" ht="15.75" customHeight="1" x14ac:dyDescent="0.25">
      <c r="A215" s="24"/>
      <c r="B215" s="25"/>
      <c r="C215" s="24"/>
      <c r="D215" s="24"/>
      <c r="E215" s="24"/>
    </row>
    <row r="216" spans="1:5" ht="15.75" customHeight="1" x14ac:dyDescent="0.25">
      <c r="A216" s="24"/>
      <c r="B216" s="25"/>
      <c r="C216" s="24"/>
      <c r="D216" s="24"/>
      <c r="E216" s="24"/>
    </row>
    <row r="217" spans="1:5" ht="15.75" customHeight="1" x14ac:dyDescent="0.25">
      <c r="A217" s="24"/>
      <c r="B217" s="25"/>
      <c r="C217" s="24"/>
      <c r="D217" s="24"/>
      <c r="E217" s="24"/>
    </row>
    <row r="218" spans="1:5" ht="15.75" customHeight="1" x14ac:dyDescent="0.25">
      <c r="A218" s="24"/>
      <c r="B218" s="25"/>
      <c r="C218" s="24"/>
      <c r="D218" s="24"/>
      <c r="E218" s="24"/>
    </row>
    <row r="219" spans="1:5" ht="15.75" customHeight="1" x14ac:dyDescent="0.25">
      <c r="A219" s="24"/>
      <c r="B219" s="25"/>
      <c r="C219" s="24"/>
      <c r="D219" s="24"/>
      <c r="E219" s="24"/>
    </row>
    <row r="220" spans="1:5" ht="15.75" customHeight="1" x14ac:dyDescent="0.25">
      <c r="A220" s="24"/>
      <c r="B220" s="25"/>
      <c r="C220" s="24"/>
      <c r="D220" s="24"/>
      <c r="E220" s="24"/>
    </row>
    <row r="221" spans="1:5" ht="15.75" customHeight="1" x14ac:dyDescent="0.25">
      <c r="A221" s="24"/>
      <c r="B221" s="25"/>
      <c r="C221" s="24"/>
      <c r="D221" s="24"/>
      <c r="E221" s="24"/>
    </row>
    <row r="222" spans="1:5" ht="15.75" customHeight="1" x14ac:dyDescent="0.25">
      <c r="A222" s="24"/>
      <c r="B222" s="25"/>
      <c r="C222" s="24"/>
      <c r="D222" s="24"/>
      <c r="E222" s="24"/>
    </row>
    <row r="223" spans="1:5" ht="15.75" customHeight="1" x14ac:dyDescent="0.25">
      <c r="A223" s="24"/>
      <c r="B223" s="25"/>
      <c r="C223" s="24"/>
      <c r="D223" s="24"/>
      <c r="E223" s="24"/>
    </row>
    <row r="224" spans="1:5" ht="15.75" customHeight="1" x14ac:dyDescent="0.25">
      <c r="A224" s="24"/>
      <c r="B224" s="25"/>
      <c r="C224" s="24"/>
      <c r="D224" s="24"/>
      <c r="E224" s="24"/>
    </row>
    <row r="225" spans="1:5" ht="15.75" customHeight="1" x14ac:dyDescent="0.25">
      <c r="A225" s="24"/>
      <c r="B225" s="25"/>
      <c r="C225" s="24"/>
      <c r="D225" s="24"/>
      <c r="E225" s="24"/>
    </row>
    <row r="226" spans="1:5" ht="15.75" customHeight="1" x14ac:dyDescent="0.25">
      <c r="A226" s="24"/>
      <c r="B226" s="25"/>
      <c r="C226" s="24"/>
      <c r="D226" s="24"/>
      <c r="E226" s="24"/>
    </row>
    <row r="227" spans="1:5" ht="15.75" customHeight="1" x14ac:dyDescent="0.25">
      <c r="A227" s="24"/>
      <c r="B227" s="25"/>
      <c r="C227" s="24"/>
      <c r="D227" s="24"/>
      <c r="E227" s="24"/>
    </row>
    <row r="228" spans="1:5" ht="15.75" customHeight="1" x14ac:dyDescent="0.25">
      <c r="A228" s="24"/>
      <c r="B228" s="25"/>
      <c r="C228" s="24"/>
      <c r="D228" s="24"/>
      <c r="E228" s="24"/>
    </row>
    <row r="229" spans="1:5" ht="15.75" customHeight="1" x14ac:dyDescent="0.25">
      <c r="A229" s="24"/>
      <c r="B229" s="25"/>
      <c r="C229" s="24"/>
      <c r="D229" s="24"/>
      <c r="E229" s="24"/>
    </row>
    <row r="230" spans="1:5" ht="15.75" customHeight="1" x14ac:dyDescent="0.25">
      <c r="A230" s="24"/>
      <c r="B230" s="25"/>
      <c r="C230" s="24"/>
      <c r="D230" s="24"/>
      <c r="E230" s="24"/>
    </row>
    <row r="231" spans="1:5" ht="15.75" customHeight="1" x14ac:dyDescent="0.25">
      <c r="A231" s="24"/>
      <c r="B231" s="25"/>
      <c r="C231" s="24"/>
      <c r="D231" s="24"/>
      <c r="E231" s="24"/>
    </row>
    <row r="232" spans="1:5" ht="15.75" customHeight="1" x14ac:dyDescent="0.25">
      <c r="A232" s="24"/>
      <c r="B232" s="25"/>
      <c r="C232" s="24"/>
      <c r="D232" s="24"/>
      <c r="E232" s="24"/>
    </row>
    <row r="233" spans="1:5" ht="15.75" customHeight="1" x14ac:dyDescent="0.25">
      <c r="A233" s="24"/>
      <c r="B233" s="25"/>
      <c r="C233" s="24"/>
      <c r="D233" s="24"/>
      <c r="E233" s="24"/>
    </row>
    <row r="234" spans="1:5" ht="15.75" customHeight="1" x14ac:dyDescent="0.25">
      <c r="A234" s="24"/>
      <c r="B234" s="25"/>
      <c r="C234" s="24"/>
      <c r="D234" s="24"/>
      <c r="E234" s="24"/>
    </row>
    <row r="235" spans="1:5" ht="15.75" customHeight="1" x14ac:dyDescent="0.25">
      <c r="A235" s="24"/>
      <c r="B235" s="25"/>
      <c r="C235" s="24"/>
      <c r="D235" s="24"/>
      <c r="E235" s="24"/>
    </row>
    <row r="236" spans="1:5" ht="15.75" customHeight="1" x14ac:dyDescent="0.25">
      <c r="A236" s="24"/>
      <c r="B236" s="25"/>
      <c r="C236" s="24"/>
      <c r="D236" s="24"/>
      <c r="E236" s="24"/>
    </row>
    <row r="237" spans="1:5" ht="15.75" customHeight="1" x14ac:dyDescent="0.25">
      <c r="A237" s="24"/>
      <c r="B237" s="25"/>
      <c r="C237" s="24"/>
      <c r="D237" s="24"/>
      <c r="E237" s="24"/>
    </row>
    <row r="238" spans="1:5" ht="15.75" customHeight="1" x14ac:dyDescent="0.25">
      <c r="A238" s="24"/>
      <c r="B238" s="25"/>
      <c r="C238" s="24"/>
      <c r="D238" s="24"/>
      <c r="E238" s="24"/>
    </row>
    <row r="239" spans="1:5" ht="15.75" customHeight="1" x14ac:dyDescent="0.25">
      <c r="A239" s="24"/>
      <c r="B239" s="25"/>
      <c r="C239" s="24"/>
      <c r="D239" s="24"/>
      <c r="E239" s="24"/>
    </row>
    <row r="240" spans="1:5" ht="15.75" customHeight="1" x14ac:dyDescent="0.25">
      <c r="A240" s="24"/>
      <c r="B240" s="25"/>
      <c r="C240" s="24"/>
      <c r="D240" s="24"/>
      <c r="E240" s="24"/>
    </row>
    <row r="241" spans="1:5" ht="15.75" customHeight="1" x14ac:dyDescent="0.25">
      <c r="A241" s="24"/>
      <c r="B241" s="25"/>
      <c r="C241" s="24"/>
      <c r="D241" s="24"/>
      <c r="E241" s="24"/>
    </row>
    <row r="242" spans="1:5" ht="15.75" customHeight="1" x14ac:dyDescent="0.25">
      <c r="A242" s="24"/>
      <c r="B242" s="25"/>
      <c r="C242" s="24"/>
      <c r="D242" s="24"/>
      <c r="E242" s="24"/>
    </row>
    <row r="243" spans="1:5" ht="15.75" customHeight="1" x14ac:dyDescent="0.25">
      <c r="A243" s="24"/>
      <c r="B243" s="25"/>
      <c r="C243" s="24"/>
      <c r="D243" s="24"/>
      <c r="E243" s="24"/>
    </row>
    <row r="244" spans="1:5" ht="15.75" customHeight="1" x14ac:dyDescent="0.25">
      <c r="A244" s="24"/>
      <c r="B244" s="25"/>
      <c r="C244" s="24"/>
      <c r="D244" s="24"/>
      <c r="E244" s="24"/>
    </row>
    <row r="245" spans="1:5" ht="15.75" customHeight="1" x14ac:dyDescent="0.25">
      <c r="A245" s="24"/>
      <c r="B245" s="25"/>
      <c r="C245" s="24"/>
      <c r="D245" s="24"/>
      <c r="E245" s="24"/>
    </row>
    <row r="246" spans="1:5" ht="15.75" customHeight="1" x14ac:dyDescent="0.25">
      <c r="A246" s="24"/>
      <c r="B246" s="25"/>
      <c r="C246" s="24"/>
      <c r="D246" s="24"/>
      <c r="E246" s="24"/>
    </row>
    <row r="247" spans="1:5" ht="15.75" customHeight="1" x14ac:dyDescent="0.25">
      <c r="A247" s="24"/>
      <c r="B247" s="25"/>
      <c r="C247" s="24"/>
      <c r="D247" s="24"/>
      <c r="E247" s="24"/>
    </row>
    <row r="248" spans="1:5" ht="15.75" customHeight="1" x14ac:dyDescent="0.25">
      <c r="A248" s="24"/>
      <c r="B248" s="25"/>
      <c r="C248" s="24"/>
      <c r="D248" s="24"/>
      <c r="E248" s="24"/>
    </row>
    <row r="249" spans="1:5" ht="15.75" customHeight="1" x14ac:dyDescent="0.25">
      <c r="A249" s="24"/>
      <c r="B249" s="25"/>
      <c r="C249" s="24"/>
      <c r="D249" s="24"/>
      <c r="E249" s="24"/>
    </row>
    <row r="250" spans="1:5" ht="15.75" customHeight="1" x14ac:dyDescent="0.25">
      <c r="A250" s="24"/>
      <c r="B250" s="25"/>
      <c r="C250" s="24"/>
      <c r="D250" s="24"/>
      <c r="E250" s="24"/>
    </row>
    <row r="251" spans="1:5" ht="15.75" customHeight="1" x14ac:dyDescent="0.25">
      <c r="A251" s="24"/>
      <c r="B251" s="25"/>
      <c r="C251" s="24"/>
      <c r="D251" s="24"/>
      <c r="E251" s="24"/>
    </row>
    <row r="252" spans="1:5" ht="15.75" customHeight="1" x14ac:dyDescent="0.25">
      <c r="A252" s="24"/>
      <c r="B252" s="25"/>
      <c r="C252" s="24"/>
      <c r="D252" s="24"/>
      <c r="E252" s="24"/>
    </row>
    <row r="253" spans="1:5" ht="15.75" customHeight="1" x14ac:dyDescent="0.25">
      <c r="A253" s="24"/>
      <c r="B253" s="25"/>
      <c r="C253" s="24"/>
      <c r="D253" s="24"/>
      <c r="E253" s="24"/>
    </row>
    <row r="254" spans="1:5" ht="15.75" customHeight="1" x14ac:dyDescent="0.25">
      <c r="A254" s="24"/>
      <c r="B254" s="25"/>
      <c r="C254" s="24"/>
      <c r="D254" s="24"/>
      <c r="E254" s="24"/>
    </row>
    <row r="255" spans="1:5" ht="15.75" customHeight="1" x14ac:dyDescent="0.25">
      <c r="A255" s="24"/>
      <c r="B255" s="25"/>
      <c r="C255" s="24"/>
      <c r="D255" s="24"/>
      <c r="E255" s="24"/>
    </row>
    <row r="256" spans="1:5" ht="15.75" customHeight="1" x14ac:dyDescent="0.25">
      <c r="A256" s="24"/>
      <c r="B256" s="25"/>
      <c r="C256" s="24"/>
      <c r="D256" s="24"/>
      <c r="E256" s="24"/>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7"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204"/>
  <sheetViews>
    <sheetView view="pageBreakPreview" zoomScale="130" zoomScaleNormal="100" zoomScaleSheetLayoutView="130" workbookViewId="0">
      <selection activeCell="A9" sqref="A9:A12"/>
    </sheetView>
  </sheetViews>
  <sheetFormatPr defaultColWidth="14.42578125" defaultRowHeight="15" customHeight="1" x14ac:dyDescent="0.25"/>
  <cols>
    <col min="1" max="1" width="78.42578125" customWidth="1"/>
    <col min="2" max="2" width="17.140625" customWidth="1"/>
    <col min="3" max="6" width="19.42578125" hidden="1" customWidth="1"/>
    <col min="7" max="7" width="19.42578125" customWidth="1"/>
    <col min="8" max="8" width="16.85546875" customWidth="1"/>
    <col min="9" max="9" width="9.7109375" customWidth="1"/>
    <col min="10" max="10" width="15.85546875" customWidth="1"/>
    <col min="11" max="11" width="15.42578125" bestFit="1" customWidth="1"/>
    <col min="12" max="12" width="15.7109375" customWidth="1"/>
    <col min="13"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1.2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1563</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75" x14ac:dyDescent="0.25">
      <c r="A13" s="17" t="s">
        <v>364</v>
      </c>
      <c r="B13" s="172"/>
      <c r="C13" s="42"/>
      <c r="D13" s="42"/>
      <c r="E13" s="42"/>
      <c r="F13" s="42"/>
      <c r="G13" s="42"/>
      <c r="K13" s="40"/>
    </row>
    <row r="14" spans="1:26" ht="15.75" x14ac:dyDescent="0.25">
      <c r="A14" s="17" t="s">
        <v>365</v>
      </c>
      <c r="B14" s="172"/>
      <c r="C14" s="42"/>
      <c r="D14" s="42"/>
      <c r="E14" s="42"/>
      <c r="F14" s="42"/>
      <c r="G14" s="42"/>
      <c r="K14" s="40"/>
    </row>
    <row r="15" spans="1:26" ht="15.75" x14ac:dyDescent="0.25">
      <c r="A15" s="17" t="s">
        <v>366</v>
      </c>
      <c r="B15" s="172"/>
      <c r="C15" s="42"/>
      <c r="D15" s="42"/>
      <c r="E15" s="42"/>
      <c r="F15" s="42"/>
      <c r="G15" s="43"/>
      <c r="K15" s="40"/>
    </row>
    <row r="16" spans="1:26" ht="15.75" x14ac:dyDescent="0.25">
      <c r="A16" s="44" t="s">
        <v>367</v>
      </c>
      <c r="B16" s="41" t="s">
        <v>121</v>
      </c>
      <c r="C16" s="43">
        <v>81314548.730000004</v>
      </c>
      <c r="D16" s="43">
        <v>41309022.840000004</v>
      </c>
      <c r="E16" s="43">
        <f>F16-D16</f>
        <v>49607153.159999996</v>
      </c>
      <c r="F16" s="43">
        <v>90916176</v>
      </c>
      <c r="G16" s="43">
        <v>95110392</v>
      </c>
      <c r="J16" s="26"/>
      <c r="K16" s="40"/>
    </row>
    <row r="17" spans="1:26" ht="15.75" x14ac:dyDescent="0.25">
      <c r="A17" s="17" t="s">
        <v>368</v>
      </c>
      <c r="B17" s="41"/>
      <c r="C17" s="43"/>
      <c r="D17" s="43"/>
      <c r="E17" s="43"/>
      <c r="F17" s="43"/>
      <c r="G17" s="43"/>
      <c r="J17" s="7"/>
      <c r="K17" s="40"/>
    </row>
    <row r="18" spans="1:26" ht="15.75" x14ac:dyDescent="0.25">
      <c r="A18" s="44" t="s">
        <v>369</v>
      </c>
      <c r="B18" s="41" t="s">
        <v>125</v>
      </c>
      <c r="C18" s="43">
        <v>4802965.84</v>
      </c>
      <c r="D18" s="43">
        <v>2498729.4</v>
      </c>
      <c r="E18" s="43">
        <f t="shared" ref="E18:E26" si="0">F18-D18</f>
        <v>2709270.6</v>
      </c>
      <c r="F18" s="43">
        <v>5208000</v>
      </c>
      <c r="G18" s="43">
        <v>5208000</v>
      </c>
      <c r="H18" s="15"/>
      <c r="I18" s="15"/>
      <c r="J18" s="26"/>
      <c r="K18" s="16"/>
      <c r="L18" s="15"/>
      <c r="M18" s="15"/>
      <c r="N18" s="15"/>
      <c r="O18" s="15"/>
      <c r="P18" s="15"/>
      <c r="Q18" s="15"/>
      <c r="R18" s="15"/>
      <c r="S18" s="15"/>
      <c r="T18" s="15"/>
      <c r="U18" s="15"/>
      <c r="V18" s="15"/>
      <c r="W18" s="15"/>
      <c r="X18" s="15"/>
      <c r="Y18" s="15"/>
      <c r="Z18" s="15"/>
    </row>
    <row r="19" spans="1:26" ht="15.75" x14ac:dyDescent="0.25">
      <c r="A19" s="44" t="s">
        <v>370</v>
      </c>
      <c r="B19" s="41" t="s">
        <v>127</v>
      </c>
      <c r="C19" s="43">
        <v>273100</v>
      </c>
      <c r="D19" s="43">
        <v>102450</v>
      </c>
      <c r="E19" s="43">
        <f t="shared" si="0"/>
        <v>473550</v>
      </c>
      <c r="F19" s="43">
        <v>576000</v>
      </c>
      <c r="G19" s="43">
        <v>576000</v>
      </c>
      <c r="H19" s="15"/>
      <c r="I19" s="15"/>
      <c r="J19" s="15"/>
      <c r="K19" s="16"/>
      <c r="L19" s="15"/>
      <c r="M19" s="15"/>
      <c r="N19" s="15"/>
      <c r="O19" s="15"/>
      <c r="P19" s="15"/>
      <c r="Q19" s="15"/>
      <c r="R19" s="15"/>
      <c r="S19" s="15"/>
      <c r="T19" s="15"/>
      <c r="U19" s="15"/>
      <c r="V19" s="15"/>
      <c r="W19" s="15"/>
      <c r="X19" s="15"/>
      <c r="Y19" s="15"/>
      <c r="Z19" s="15"/>
    </row>
    <row r="20" spans="1:26" ht="15.75" x14ac:dyDescent="0.25">
      <c r="A20" s="44" t="s">
        <v>371</v>
      </c>
      <c r="B20" s="41" t="s">
        <v>372</v>
      </c>
      <c r="C20" s="43">
        <v>273100</v>
      </c>
      <c r="D20" s="43">
        <v>102450</v>
      </c>
      <c r="E20" s="43">
        <f t="shared" si="0"/>
        <v>473550</v>
      </c>
      <c r="F20" s="43">
        <v>576000</v>
      </c>
      <c r="G20" s="43">
        <v>576000</v>
      </c>
      <c r="H20" s="15"/>
      <c r="I20" s="15"/>
      <c r="J20" s="15"/>
      <c r="K20" s="16"/>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1400000</v>
      </c>
      <c r="D21" s="43">
        <v>1372000</v>
      </c>
      <c r="E21" s="43">
        <f t="shared" si="0"/>
        <v>147000</v>
      </c>
      <c r="F21" s="43">
        <v>1519000</v>
      </c>
      <c r="G21" s="43">
        <v>1519000</v>
      </c>
      <c r="H21" s="15"/>
      <c r="I21" s="15"/>
      <c r="J21" s="26"/>
      <c r="K21" s="16"/>
      <c r="L21" s="15"/>
      <c r="M21" s="15"/>
      <c r="N21" s="15"/>
      <c r="O21" s="15"/>
      <c r="P21" s="15"/>
      <c r="Q21" s="15"/>
      <c r="R21" s="15"/>
      <c r="S21" s="15"/>
      <c r="T21" s="15"/>
      <c r="U21" s="15"/>
      <c r="V21" s="15"/>
      <c r="W21" s="15"/>
      <c r="X21" s="15"/>
      <c r="Y21" s="15"/>
      <c r="Z21" s="15"/>
    </row>
    <row r="22" spans="1:26" ht="15.75" customHeight="1" x14ac:dyDescent="0.25">
      <c r="A22" s="44" t="s">
        <v>1564</v>
      </c>
      <c r="B22" s="41" t="s">
        <v>133</v>
      </c>
      <c r="C22" s="43">
        <v>2111575</v>
      </c>
      <c r="D22" s="43">
        <v>850900</v>
      </c>
      <c r="E22" s="43">
        <f t="shared" si="0"/>
        <v>3055100</v>
      </c>
      <c r="F22" s="43">
        <v>3906000</v>
      </c>
      <c r="G22" s="43">
        <v>3906000</v>
      </c>
      <c r="H22" s="15"/>
      <c r="I22" s="15"/>
      <c r="J22" s="26"/>
      <c r="K22" s="16"/>
      <c r="L22" s="15"/>
      <c r="M22" s="15"/>
      <c r="N22" s="15"/>
      <c r="O22" s="15"/>
      <c r="P22" s="15"/>
      <c r="Q22" s="15"/>
      <c r="R22" s="15"/>
      <c r="S22" s="15"/>
      <c r="T22" s="15"/>
      <c r="U22" s="15"/>
      <c r="V22" s="15"/>
      <c r="W22" s="15"/>
      <c r="X22" s="15"/>
      <c r="Y22" s="15"/>
      <c r="Z22" s="15"/>
    </row>
    <row r="23" spans="1:26" ht="15.75" customHeight="1" x14ac:dyDescent="0.25">
      <c r="A23" s="44" t="s">
        <v>1565</v>
      </c>
      <c r="B23" s="41" t="s">
        <v>135</v>
      </c>
      <c r="C23" s="43">
        <v>318279.73</v>
      </c>
      <c r="D23" s="43">
        <v>129205.08</v>
      </c>
      <c r="E23" s="43">
        <f t="shared" si="0"/>
        <v>261394.91999999998</v>
      </c>
      <c r="F23" s="43">
        <v>390600</v>
      </c>
      <c r="G23" s="43">
        <v>390600</v>
      </c>
      <c r="H23" s="15"/>
      <c r="I23" s="15"/>
      <c r="J23" s="26"/>
      <c r="K23" s="16"/>
      <c r="L23" s="15"/>
      <c r="M23" s="15"/>
      <c r="N23" s="15"/>
      <c r="O23" s="15"/>
      <c r="P23" s="15"/>
      <c r="Q23" s="15"/>
      <c r="R23" s="15"/>
      <c r="S23" s="15"/>
      <c r="T23" s="15"/>
      <c r="U23" s="15"/>
      <c r="V23" s="15"/>
      <c r="W23" s="15"/>
      <c r="X23" s="15"/>
      <c r="Y23" s="15"/>
      <c r="Z23" s="15"/>
    </row>
    <row r="24" spans="1:26" ht="15.75" customHeight="1" x14ac:dyDescent="0.25">
      <c r="A24" s="44" t="s">
        <v>1566</v>
      </c>
      <c r="B24" s="41" t="s">
        <v>143</v>
      </c>
      <c r="C24" s="43">
        <v>1371000</v>
      </c>
      <c r="D24" s="43">
        <v>346000</v>
      </c>
      <c r="E24" s="43">
        <f t="shared" si="0"/>
        <v>2714000</v>
      </c>
      <c r="F24" s="43">
        <v>3060000</v>
      </c>
      <c r="G24" s="43">
        <v>3060000</v>
      </c>
      <c r="H24" s="15"/>
      <c r="I24" s="15"/>
      <c r="J24" s="26"/>
      <c r="K24" s="16"/>
      <c r="L24" s="15"/>
      <c r="M24" s="15"/>
      <c r="N24" s="15"/>
      <c r="O24" s="15"/>
      <c r="P24" s="15"/>
      <c r="Q24" s="15"/>
      <c r="R24" s="15"/>
      <c r="S24" s="15"/>
      <c r="T24" s="15"/>
      <c r="U24" s="15"/>
      <c r="V24" s="15"/>
      <c r="W24" s="15"/>
      <c r="X24" s="15"/>
      <c r="Y24" s="15"/>
      <c r="Z24" s="15"/>
    </row>
    <row r="25" spans="1:26" ht="15.75" customHeight="1" x14ac:dyDescent="0.25">
      <c r="A25" s="44" t="s">
        <v>1567</v>
      </c>
      <c r="B25" s="41" t="s">
        <v>145</v>
      </c>
      <c r="C25" s="43">
        <v>17291610.32</v>
      </c>
      <c r="D25" s="43">
        <v>7348059.2300000004</v>
      </c>
      <c r="E25" s="43">
        <f t="shared" si="0"/>
        <v>12125732.77</v>
      </c>
      <c r="F25" s="43">
        <v>19473792</v>
      </c>
      <c r="G25" s="43">
        <v>20356042</v>
      </c>
      <c r="H25" s="15"/>
      <c r="I25" s="15"/>
      <c r="J25" s="26"/>
      <c r="K25" s="16"/>
      <c r="L25" s="15"/>
      <c r="M25" s="15"/>
      <c r="N25" s="15"/>
      <c r="O25" s="15"/>
      <c r="P25" s="15"/>
      <c r="Q25" s="15"/>
      <c r="R25" s="15"/>
      <c r="S25" s="15"/>
      <c r="T25" s="15"/>
      <c r="U25" s="15"/>
      <c r="V25" s="15"/>
      <c r="W25" s="15"/>
      <c r="X25" s="15"/>
      <c r="Y25" s="15"/>
      <c r="Z25" s="15"/>
    </row>
    <row r="26" spans="1:26" ht="15.75" customHeight="1" x14ac:dyDescent="0.25">
      <c r="A26" s="44" t="s">
        <v>1568</v>
      </c>
      <c r="B26" s="41" t="s">
        <v>147</v>
      </c>
      <c r="C26" s="43">
        <v>4326017.13</v>
      </c>
      <c r="D26" s="43">
        <v>0</v>
      </c>
      <c r="E26" s="43">
        <f t="shared" si="0"/>
        <v>4886465</v>
      </c>
      <c r="F26" s="43">
        <v>4886465</v>
      </c>
      <c r="G26" s="43">
        <v>5642906</v>
      </c>
      <c r="H26" s="15"/>
      <c r="I26" s="15"/>
      <c r="J26" s="26"/>
      <c r="K26" s="16"/>
      <c r="L26" s="15"/>
      <c r="M26" s="15"/>
      <c r="N26" s="15"/>
      <c r="O26" s="15"/>
      <c r="P26" s="15"/>
      <c r="Q26" s="15"/>
      <c r="R26" s="15"/>
      <c r="S26" s="15"/>
      <c r="T26" s="15"/>
      <c r="U26" s="15"/>
      <c r="V26" s="15"/>
      <c r="W26" s="15"/>
      <c r="X26" s="15"/>
      <c r="Y26" s="15"/>
      <c r="Z26" s="15"/>
    </row>
    <row r="27" spans="1:26" ht="15.75" customHeight="1" x14ac:dyDescent="0.25">
      <c r="A27" s="44" t="s">
        <v>1569</v>
      </c>
      <c r="B27" s="41" t="s">
        <v>149</v>
      </c>
      <c r="C27" s="43">
        <v>0</v>
      </c>
      <c r="D27" s="43">
        <v>0</v>
      </c>
      <c r="E27" s="43">
        <v>0</v>
      </c>
      <c r="F27" s="43">
        <v>0</v>
      </c>
      <c r="G27" s="43">
        <v>5402635</v>
      </c>
      <c r="H27" s="15"/>
      <c r="I27" s="15"/>
      <c r="J27" s="26"/>
      <c r="K27" s="16"/>
      <c r="L27" s="15"/>
      <c r="M27" s="15"/>
      <c r="N27" s="15"/>
      <c r="O27" s="15"/>
      <c r="P27" s="15"/>
      <c r="Q27" s="15"/>
      <c r="R27" s="15"/>
      <c r="S27" s="15"/>
      <c r="T27" s="15"/>
      <c r="U27" s="15"/>
      <c r="V27" s="15"/>
      <c r="W27" s="15"/>
      <c r="X27" s="15"/>
      <c r="Y27" s="15"/>
      <c r="Z27" s="15"/>
    </row>
    <row r="28" spans="1:26" ht="15.75" customHeight="1" x14ac:dyDescent="0.25">
      <c r="A28" s="44" t="s">
        <v>374</v>
      </c>
      <c r="B28" s="41" t="s">
        <v>151</v>
      </c>
      <c r="C28" s="43">
        <v>7064800.4500000002</v>
      </c>
      <c r="D28" s="43">
        <v>0</v>
      </c>
      <c r="E28" s="43">
        <f t="shared" ref="E28:E29" si="1">F28-D28</f>
        <v>7576348</v>
      </c>
      <c r="F28" s="43">
        <v>7576348</v>
      </c>
      <c r="G28" s="43">
        <v>7925866</v>
      </c>
      <c r="H28" s="15"/>
      <c r="I28" s="15"/>
      <c r="J28" s="26"/>
      <c r="K28" s="16"/>
      <c r="L28" s="15"/>
      <c r="M28" s="15"/>
      <c r="N28" s="15"/>
      <c r="O28" s="15"/>
      <c r="P28" s="15"/>
      <c r="Q28" s="15"/>
      <c r="R28" s="15"/>
      <c r="S28" s="15"/>
      <c r="T28" s="15"/>
      <c r="U28" s="15"/>
      <c r="V28" s="15"/>
      <c r="W28" s="15"/>
      <c r="X28" s="15"/>
      <c r="Y28" s="15"/>
      <c r="Z28" s="15"/>
    </row>
    <row r="29" spans="1:26" ht="15.75" customHeight="1" x14ac:dyDescent="0.25">
      <c r="A29" s="44" t="s">
        <v>375</v>
      </c>
      <c r="B29" s="41" t="s">
        <v>153</v>
      </c>
      <c r="C29" s="43">
        <v>1007250</v>
      </c>
      <c r="D29" s="43">
        <v>0</v>
      </c>
      <c r="E29" s="43">
        <f t="shared" si="1"/>
        <v>1085000</v>
      </c>
      <c r="F29" s="43">
        <v>1085000</v>
      </c>
      <c r="G29" s="43">
        <v>1085000</v>
      </c>
      <c r="H29" s="15"/>
      <c r="I29" s="15"/>
      <c r="J29" s="26"/>
      <c r="K29" s="16"/>
      <c r="L29" s="15"/>
      <c r="M29" s="15"/>
      <c r="N29" s="15"/>
      <c r="O29" s="15"/>
      <c r="P29" s="15"/>
      <c r="Q29" s="15"/>
      <c r="R29" s="15"/>
      <c r="S29" s="15"/>
      <c r="T29" s="15"/>
      <c r="U29" s="15"/>
      <c r="V29" s="15"/>
      <c r="W29" s="15"/>
      <c r="X29" s="15"/>
      <c r="Y29" s="15"/>
      <c r="Z29" s="15"/>
    </row>
    <row r="30" spans="1:26" ht="15.75" customHeight="1" x14ac:dyDescent="0.25">
      <c r="A30" s="44" t="s">
        <v>376</v>
      </c>
      <c r="B30" s="41" t="s">
        <v>155</v>
      </c>
      <c r="C30" s="43"/>
      <c r="D30" s="43"/>
      <c r="E30" s="43"/>
      <c r="F30" s="43"/>
      <c r="G30" s="43"/>
      <c r="H30" s="15"/>
      <c r="I30" s="15"/>
      <c r="J30" s="7"/>
      <c r="K30" s="16"/>
      <c r="L30" s="15"/>
      <c r="M30" s="15"/>
      <c r="N30" s="15"/>
      <c r="O30" s="15"/>
      <c r="P30" s="15"/>
      <c r="Q30" s="15"/>
      <c r="R30" s="15"/>
      <c r="S30" s="15"/>
      <c r="T30" s="15"/>
      <c r="U30" s="15"/>
      <c r="V30" s="15"/>
      <c r="W30" s="15"/>
      <c r="X30" s="15"/>
      <c r="Y30" s="15"/>
      <c r="Z30" s="15"/>
    </row>
    <row r="31" spans="1:26" ht="15.75" customHeight="1" x14ac:dyDescent="0.25">
      <c r="A31" s="44" t="s">
        <v>377</v>
      </c>
      <c r="B31" s="41" t="s">
        <v>157</v>
      </c>
      <c r="C31" s="43">
        <v>25000</v>
      </c>
      <c r="D31" s="43">
        <v>80000</v>
      </c>
      <c r="E31" s="43">
        <f>F31-D31</f>
        <v>75000</v>
      </c>
      <c r="F31" s="43">
        <v>155000</v>
      </c>
      <c r="G31" s="43">
        <v>280000</v>
      </c>
      <c r="H31" s="15"/>
      <c r="I31" s="15"/>
      <c r="J31" s="7"/>
      <c r="K31" s="16"/>
      <c r="L31" s="15"/>
      <c r="M31" s="15"/>
      <c r="N31" s="15"/>
      <c r="O31" s="15"/>
      <c r="P31" s="15"/>
      <c r="Q31" s="15"/>
      <c r="R31" s="15"/>
      <c r="S31" s="15"/>
      <c r="T31" s="15"/>
      <c r="U31" s="15"/>
      <c r="V31" s="15"/>
      <c r="W31" s="15"/>
      <c r="X31" s="15"/>
      <c r="Y31" s="15"/>
      <c r="Z31" s="15"/>
    </row>
    <row r="32" spans="1:26" ht="15.75" customHeight="1" x14ac:dyDescent="0.25">
      <c r="A32" s="44" t="s">
        <v>1227</v>
      </c>
      <c r="B32" s="41" t="s">
        <v>159</v>
      </c>
      <c r="C32" s="43"/>
      <c r="D32" s="43">
        <v>573000</v>
      </c>
      <c r="E32" s="43">
        <v>78000</v>
      </c>
      <c r="F32" s="43">
        <v>651000</v>
      </c>
      <c r="G32" s="43">
        <v>0</v>
      </c>
      <c r="H32" s="15"/>
      <c r="I32" s="15"/>
      <c r="J32" s="7"/>
      <c r="K32" s="16"/>
      <c r="L32" s="15"/>
      <c r="M32" s="15"/>
      <c r="N32" s="15"/>
      <c r="O32" s="15"/>
      <c r="P32" s="15"/>
      <c r="Q32" s="15"/>
      <c r="R32" s="15"/>
      <c r="S32" s="15"/>
      <c r="T32" s="15"/>
      <c r="U32" s="15"/>
      <c r="V32" s="15"/>
      <c r="W32" s="15"/>
      <c r="X32" s="15"/>
      <c r="Y32" s="15"/>
      <c r="Z32" s="15"/>
    </row>
    <row r="33" spans="1:26" ht="15.75" customHeight="1" x14ac:dyDescent="0.25">
      <c r="A33" s="44" t="s">
        <v>379</v>
      </c>
      <c r="B33" s="41" t="s">
        <v>161</v>
      </c>
      <c r="C33" s="43">
        <v>6619705</v>
      </c>
      <c r="D33" s="43">
        <v>6829332</v>
      </c>
      <c r="E33" s="43">
        <f>F33-D33</f>
        <v>747016</v>
      </c>
      <c r="F33" s="43">
        <v>7576348</v>
      </c>
      <c r="G33" s="43">
        <v>7925866</v>
      </c>
      <c r="H33" s="15"/>
      <c r="I33" s="15"/>
      <c r="J33" s="26"/>
      <c r="K33" s="16"/>
      <c r="L33" s="15"/>
      <c r="M33" s="15"/>
      <c r="N33" s="15"/>
      <c r="O33" s="15"/>
      <c r="P33" s="15"/>
      <c r="Q33" s="15"/>
      <c r="R33" s="15"/>
      <c r="S33" s="15"/>
      <c r="T33" s="15"/>
      <c r="U33" s="15"/>
      <c r="V33" s="15"/>
      <c r="W33" s="15"/>
      <c r="X33" s="15"/>
      <c r="Y33" s="15"/>
      <c r="Z33" s="15"/>
    </row>
    <row r="34" spans="1:26" ht="15.75" customHeight="1" x14ac:dyDescent="0.25">
      <c r="A34" s="17" t="s">
        <v>380</v>
      </c>
      <c r="B34" s="41"/>
      <c r="C34" s="43"/>
      <c r="D34" s="43"/>
      <c r="E34" s="43"/>
      <c r="F34" s="43"/>
      <c r="G34" s="43"/>
      <c r="H34" s="15"/>
      <c r="I34" s="15"/>
      <c r="J34" s="7"/>
      <c r="K34" s="16"/>
      <c r="L34" s="15"/>
      <c r="M34" s="15"/>
      <c r="N34" s="15"/>
      <c r="O34" s="15"/>
      <c r="P34" s="15"/>
      <c r="Q34" s="15"/>
      <c r="R34" s="15"/>
      <c r="S34" s="15"/>
      <c r="T34" s="15"/>
      <c r="U34" s="15"/>
      <c r="V34" s="15"/>
      <c r="W34" s="15"/>
      <c r="X34" s="15"/>
      <c r="Y34" s="15"/>
      <c r="Z34" s="15"/>
    </row>
    <row r="35" spans="1:26" ht="15.75" customHeight="1" x14ac:dyDescent="0.25">
      <c r="A35" s="44" t="s">
        <v>381</v>
      </c>
      <c r="B35" s="41" t="s">
        <v>165</v>
      </c>
      <c r="C35" s="43">
        <v>9773718.6500000004</v>
      </c>
      <c r="D35" s="43">
        <v>4973694.88</v>
      </c>
      <c r="E35" s="43">
        <f t="shared" ref="E35:E38" si="2">F35-D35</f>
        <v>5936247.1200000001</v>
      </c>
      <c r="F35" s="43">
        <v>10909942</v>
      </c>
      <c r="G35" s="43">
        <v>11413248</v>
      </c>
      <c r="H35" s="15"/>
      <c r="I35" s="15"/>
      <c r="J35" s="26"/>
      <c r="K35" s="16"/>
      <c r="L35" s="15"/>
      <c r="M35" s="15"/>
      <c r="N35" s="15"/>
      <c r="O35" s="15"/>
      <c r="P35" s="15"/>
      <c r="Q35" s="15"/>
      <c r="R35" s="15"/>
      <c r="S35" s="15"/>
      <c r="T35" s="15"/>
      <c r="U35" s="15"/>
      <c r="V35" s="15"/>
      <c r="W35" s="15"/>
      <c r="X35" s="15"/>
      <c r="Y35" s="15"/>
      <c r="Z35" s="15"/>
    </row>
    <row r="36" spans="1:26" ht="15.75" customHeight="1" x14ac:dyDescent="0.25">
      <c r="A36" s="44" t="s">
        <v>382</v>
      </c>
      <c r="B36" s="41" t="s">
        <v>167</v>
      </c>
      <c r="C36" s="43">
        <v>1628952.86</v>
      </c>
      <c r="D36" s="43">
        <v>690736.61</v>
      </c>
      <c r="E36" s="43">
        <f t="shared" si="2"/>
        <v>1127587.3900000001</v>
      </c>
      <c r="F36" s="43">
        <v>1818324</v>
      </c>
      <c r="G36" s="43">
        <v>1902208</v>
      </c>
      <c r="H36" s="15"/>
      <c r="I36" s="15"/>
      <c r="J36" s="26"/>
      <c r="K36" s="16"/>
      <c r="L36" s="15"/>
      <c r="M36" s="15"/>
      <c r="N36" s="15"/>
      <c r="O36" s="15"/>
      <c r="P36" s="15"/>
      <c r="Q36" s="15"/>
      <c r="R36" s="15"/>
      <c r="S36" s="15"/>
      <c r="T36" s="15"/>
      <c r="U36" s="15"/>
      <c r="V36" s="15"/>
      <c r="W36" s="15"/>
      <c r="X36" s="15"/>
      <c r="Y36" s="15"/>
      <c r="Z36" s="15"/>
    </row>
    <row r="37" spans="1:26" ht="15.75" customHeight="1" x14ac:dyDescent="0.25">
      <c r="A37" s="44" t="s">
        <v>383</v>
      </c>
      <c r="B37" s="41" t="s">
        <v>169</v>
      </c>
      <c r="C37" s="43">
        <v>2030750.11</v>
      </c>
      <c r="D37" s="43">
        <v>1031971.44</v>
      </c>
      <c r="E37" s="43">
        <f t="shared" si="2"/>
        <v>1234680.56</v>
      </c>
      <c r="F37" s="43">
        <v>2266652</v>
      </c>
      <c r="G37" s="43">
        <v>2370006</v>
      </c>
      <c r="H37" s="15"/>
      <c r="I37" s="15"/>
      <c r="J37" s="26"/>
      <c r="K37" s="16"/>
      <c r="L37" s="15"/>
      <c r="M37" s="15"/>
      <c r="N37" s="15"/>
      <c r="O37" s="15"/>
      <c r="P37" s="15"/>
      <c r="Q37" s="15"/>
      <c r="R37" s="15"/>
      <c r="S37" s="15"/>
      <c r="T37" s="15"/>
      <c r="U37" s="15"/>
      <c r="V37" s="15"/>
      <c r="W37" s="15"/>
      <c r="X37" s="15"/>
      <c r="Y37" s="15"/>
      <c r="Z37" s="15"/>
    </row>
    <row r="38" spans="1:26" ht="15.75" customHeight="1" x14ac:dyDescent="0.25">
      <c r="A38" s="44" t="s">
        <v>384</v>
      </c>
      <c r="B38" s="41" t="s">
        <v>171</v>
      </c>
      <c r="C38" s="43">
        <v>240921.94</v>
      </c>
      <c r="D38" s="43">
        <v>118700</v>
      </c>
      <c r="E38" s="43">
        <f t="shared" si="2"/>
        <v>141700</v>
      </c>
      <c r="F38" s="43">
        <v>260400</v>
      </c>
      <c r="G38" s="43">
        <v>260400</v>
      </c>
      <c r="H38" s="15"/>
      <c r="I38" s="15"/>
      <c r="J38" s="26"/>
      <c r="K38" s="16"/>
      <c r="L38" s="15"/>
      <c r="M38" s="15"/>
      <c r="N38" s="15"/>
      <c r="O38" s="15"/>
      <c r="P38" s="15"/>
      <c r="Q38" s="15"/>
      <c r="R38" s="15"/>
      <c r="S38" s="15"/>
      <c r="T38" s="15"/>
      <c r="U38" s="15"/>
      <c r="V38" s="15"/>
      <c r="W38" s="15"/>
      <c r="X38" s="15"/>
      <c r="Y38" s="15"/>
      <c r="Z38" s="15"/>
    </row>
    <row r="39" spans="1:26" ht="15.75" customHeight="1" x14ac:dyDescent="0.25">
      <c r="A39" s="17" t="s">
        <v>624</v>
      </c>
      <c r="B39" s="41"/>
      <c r="C39" s="43"/>
      <c r="D39" s="43"/>
      <c r="E39" s="43"/>
      <c r="F39" s="43"/>
      <c r="G39" s="43"/>
      <c r="H39" s="15"/>
      <c r="I39" s="15"/>
      <c r="J39" s="7"/>
      <c r="K39" s="16"/>
      <c r="L39" s="15"/>
      <c r="M39" s="15"/>
      <c r="N39" s="15"/>
      <c r="O39" s="15"/>
      <c r="P39" s="15"/>
      <c r="Q39" s="15"/>
      <c r="R39" s="15"/>
      <c r="S39" s="15"/>
      <c r="T39" s="15"/>
      <c r="U39" s="15"/>
      <c r="V39" s="15"/>
      <c r="W39" s="15"/>
      <c r="X39" s="15"/>
      <c r="Y39" s="15"/>
      <c r="Z39" s="15"/>
    </row>
    <row r="40" spans="1:26" ht="15.75" customHeight="1" x14ac:dyDescent="0.25">
      <c r="A40" s="44" t="s">
        <v>386</v>
      </c>
      <c r="B40" s="41" t="s">
        <v>179</v>
      </c>
      <c r="C40" s="26">
        <v>1418964.4</v>
      </c>
      <c r="D40" s="43">
        <v>578478.96</v>
      </c>
      <c r="E40" s="43">
        <f t="shared" ref="E40:E42" si="3">F40-D40</f>
        <v>1482650.04</v>
      </c>
      <c r="F40" s="43">
        <v>2061129</v>
      </c>
      <c r="G40" s="682">
        <v>1458364</v>
      </c>
      <c r="H40" s="683"/>
      <c r="I40" s="15"/>
      <c r="J40" s="7"/>
      <c r="K40" s="16"/>
      <c r="L40" s="15"/>
      <c r="M40" s="15"/>
      <c r="N40" s="15"/>
      <c r="O40" s="15"/>
      <c r="P40" s="15"/>
      <c r="Q40" s="15"/>
      <c r="R40" s="15"/>
      <c r="S40" s="15"/>
      <c r="T40" s="15"/>
      <c r="U40" s="15"/>
      <c r="V40" s="15"/>
      <c r="W40" s="15"/>
      <c r="X40" s="15"/>
      <c r="Y40" s="15"/>
      <c r="Z40" s="15"/>
    </row>
    <row r="41" spans="1:26" ht="15.75" customHeight="1" x14ac:dyDescent="0.25">
      <c r="A41" s="44" t="s">
        <v>387</v>
      </c>
      <c r="B41" s="41" t="s">
        <v>181</v>
      </c>
      <c r="C41" s="45">
        <v>2176933.85</v>
      </c>
      <c r="D41" s="43">
        <v>1467754.22</v>
      </c>
      <c r="E41" s="43">
        <f t="shared" si="3"/>
        <v>2183492.7800000003</v>
      </c>
      <c r="F41" s="43">
        <v>3651247</v>
      </c>
      <c r="G41" s="682">
        <v>3819689</v>
      </c>
      <c r="H41" s="683"/>
      <c r="I41" s="15"/>
      <c r="J41" s="26"/>
      <c r="K41" s="16"/>
      <c r="L41" s="15"/>
      <c r="M41" s="15"/>
      <c r="N41" s="15"/>
      <c r="O41" s="15"/>
      <c r="P41" s="15"/>
      <c r="Q41" s="15"/>
      <c r="R41" s="15"/>
      <c r="S41" s="15"/>
      <c r="T41" s="15"/>
      <c r="U41" s="15"/>
      <c r="V41" s="15"/>
      <c r="W41" s="15"/>
      <c r="X41" s="15"/>
      <c r="Y41" s="15"/>
      <c r="Z41" s="15"/>
    </row>
    <row r="42" spans="1:26" ht="15.75" customHeight="1" x14ac:dyDescent="0.25">
      <c r="A42" s="460" t="s">
        <v>388</v>
      </c>
      <c r="B42" s="454" t="s">
        <v>183</v>
      </c>
      <c r="C42" s="443">
        <v>996000</v>
      </c>
      <c r="D42" s="443">
        <v>0</v>
      </c>
      <c r="E42" s="443">
        <f t="shared" si="3"/>
        <v>1085000</v>
      </c>
      <c r="F42" s="443">
        <v>1085000</v>
      </c>
      <c r="G42" s="462">
        <v>1085000</v>
      </c>
      <c r="H42" s="683"/>
      <c r="I42" s="15"/>
      <c r="J42" s="26"/>
      <c r="K42" s="16"/>
      <c r="L42" s="15"/>
      <c r="M42" s="15"/>
      <c r="N42" s="15"/>
      <c r="O42" s="15"/>
      <c r="P42" s="15"/>
      <c r="Q42" s="15"/>
      <c r="R42" s="15"/>
      <c r="S42" s="15"/>
      <c r="T42" s="15"/>
      <c r="U42" s="15"/>
      <c r="V42" s="15"/>
      <c r="W42" s="15"/>
      <c r="X42" s="15"/>
      <c r="Y42" s="15"/>
      <c r="Z42" s="15"/>
    </row>
    <row r="43" spans="1:26" ht="31.5" x14ac:dyDescent="0.25">
      <c r="A43" s="88" t="s">
        <v>625</v>
      </c>
      <c r="B43" s="49"/>
      <c r="C43" s="43">
        <v>0</v>
      </c>
      <c r="D43" s="43">
        <v>0</v>
      </c>
      <c r="E43" s="43">
        <v>0</v>
      </c>
      <c r="F43" s="43">
        <v>0</v>
      </c>
      <c r="G43" s="682">
        <v>3186477</v>
      </c>
      <c r="H43" s="683"/>
      <c r="I43" s="15"/>
      <c r="J43" s="14"/>
      <c r="K43" s="16"/>
      <c r="L43" s="15"/>
      <c r="M43" s="15"/>
      <c r="N43" s="15"/>
      <c r="O43" s="15"/>
      <c r="P43" s="15"/>
      <c r="Q43" s="15"/>
      <c r="R43" s="15"/>
      <c r="S43" s="15"/>
      <c r="T43" s="15"/>
      <c r="U43" s="15"/>
      <c r="V43" s="15"/>
      <c r="W43" s="15"/>
      <c r="X43" s="15"/>
      <c r="Y43" s="15"/>
      <c r="Z43" s="15"/>
    </row>
    <row r="44" spans="1:26" ht="15.75" customHeight="1" x14ac:dyDescent="0.25">
      <c r="A44" s="17" t="s">
        <v>632</v>
      </c>
      <c r="B44" s="41"/>
      <c r="C44" s="54">
        <f t="shared" ref="C44:G44" si="4">SUM(C16:C43)</f>
        <v>146465194.01000002</v>
      </c>
      <c r="D44" s="54">
        <f t="shared" si="4"/>
        <v>70402484.659999996</v>
      </c>
      <c r="E44" s="54">
        <f t="shared" si="4"/>
        <v>99205938.340000018</v>
      </c>
      <c r="F44" s="54">
        <f t="shared" si="4"/>
        <v>169608423</v>
      </c>
      <c r="G44" s="684">
        <f t="shared" si="4"/>
        <v>184459699</v>
      </c>
      <c r="H44" s="683"/>
      <c r="I44" s="15"/>
      <c r="J44" s="14"/>
      <c r="K44" s="16"/>
      <c r="L44" s="15"/>
      <c r="M44" s="15"/>
      <c r="N44" s="15"/>
      <c r="O44" s="15"/>
      <c r="P44" s="15"/>
      <c r="Q44" s="15"/>
      <c r="R44" s="15"/>
      <c r="S44" s="15"/>
      <c r="T44" s="15"/>
      <c r="U44" s="15"/>
      <c r="V44" s="15"/>
      <c r="W44" s="15"/>
      <c r="X44" s="15"/>
      <c r="Y44" s="15"/>
      <c r="Z44" s="15"/>
    </row>
    <row r="45" spans="1:26" ht="15.75" customHeight="1" x14ac:dyDescent="0.25">
      <c r="A45" s="17"/>
      <c r="B45" s="41"/>
      <c r="C45" s="39"/>
      <c r="D45" s="55"/>
      <c r="E45" s="55"/>
      <c r="F45" s="55"/>
      <c r="G45" s="55"/>
      <c r="H45" s="15"/>
      <c r="I45" s="15"/>
      <c r="J45" s="15"/>
      <c r="K45" s="16"/>
      <c r="L45" s="15"/>
      <c r="M45" s="15"/>
      <c r="N45" s="15"/>
      <c r="O45" s="15"/>
      <c r="P45" s="15"/>
      <c r="Q45" s="15"/>
      <c r="R45" s="15"/>
      <c r="S45" s="15"/>
      <c r="T45" s="15"/>
      <c r="U45" s="15"/>
      <c r="V45" s="15"/>
      <c r="W45" s="15"/>
      <c r="X45" s="15"/>
      <c r="Y45" s="15"/>
      <c r="Z45" s="15"/>
    </row>
    <row r="46" spans="1:26" ht="15.75" customHeight="1" x14ac:dyDescent="0.25">
      <c r="A46" s="42" t="s">
        <v>391</v>
      </c>
      <c r="B46" s="25"/>
      <c r="C46" s="43"/>
      <c r="D46" s="43"/>
      <c r="E46" s="43"/>
      <c r="F46" s="43"/>
      <c r="G46" s="43"/>
      <c r="H46" s="15"/>
      <c r="I46" s="15"/>
      <c r="J46" s="15"/>
      <c r="K46" s="16"/>
      <c r="L46" s="15"/>
      <c r="M46" s="15"/>
      <c r="N46" s="15"/>
      <c r="O46" s="15"/>
      <c r="P46" s="15"/>
      <c r="Q46" s="15"/>
      <c r="R46" s="15"/>
      <c r="S46" s="15"/>
      <c r="T46" s="15"/>
      <c r="U46" s="15"/>
      <c r="V46" s="15"/>
      <c r="W46" s="15"/>
      <c r="X46" s="15"/>
      <c r="Y46" s="15"/>
      <c r="Z46" s="15"/>
    </row>
    <row r="47" spans="1:26" ht="15.75" customHeight="1" x14ac:dyDescent="0.25">
      <c r="A47" s="17" t="s">
        <v>642</v>
      </c>
      <c r="B47" s="41"/>
      <c r="C47" s="43"/>
      <c r="D47" s="43"/>
      <c r="E47" s="43"/>
      <c r="F47" s="43"/>
      <c r="G47" s="43"/>
      <c r="H47" s="15"/>
      <c r="I47" s="15"/>
      <c r="J47" s="15"/>
      <c r="K47" s="16"/>
      <c r="L47" s="15"/>
      <c r="M47" s="15"/>
      <c r="N47" s="15"/>
      <c r="O47" s="15"/>
      <c r="P47" s="15"/>
      <c r="Q47" s="15"/>
      <c r="R47" s="15"/>
      <c r="S47" s="15"/>
      <c r="T47" s="15"/>
      <c r="U47" s="15"/>
      <c r="V47" s="15"/>
      <c r="W47" s="15"/>
      <c r="X47" s="15"/>
      <c r="Y47" s="15"/>
      <c r="Z47" s="15"/>
    </row>
    <row r="48" spans="1:26" ht="15.75" customHeight="1" x14ac:dyDescent="0.25">
      <c r="A48" s="44" t="s">
        <v>393</v>
      </c>
      <c r="B48" s="41" t="s">
        <v>187</v>
      </c>
      <c r="C48" s="43">
        <v>1708354.05</v>
      </c>
      <c r="D48" s="43">
        <v>638336.64</v>
      </c>
      <c r="E48" s="43">
        <f>F48-D48</f>
        <v>1961663.3599999999</v>
      </c>
      <c r="F48" s="43">
        <v>2600000</v>
      </c>
      <c r="G48" s="43">
        <v>2600000</v>
      </c>
      <c r="H48" s="299">
        <v>2600000</v>
      </c>
      <c r="I48" s="286"/>
      <c r="J48" s="15"/>
      <c r="K48" s="16"/>
      <c r="L48" s="15"/>
      <c r="M48" s="15"/>
      <c r="N48" s="15"/>
      <c r="O48" s="15"/>
      <c r="P48" s="15"/>
      <c r="Q48" s="15"/>
      <c r="R48" s="15"/>
      <c r="S48" s="15"/>
      <c r="T48" s="15"/>
      <c r="U48" s="15"/>
      <c r="V48" s="15"/>
      <c r="W48" s="15"/>
      <c r="X48" s="15"/>
      <c r="Y48" s="15"/>
      <c r="Z48" s="15"/>
    </row>
    <row r="49" spans="1:26" ht="15.75" customHeight="1" x14ac:dyDescent="0.25">
      <c r="A49" s="74" t="s">
        <v>1570</v>
      </c>
      <c r="B49" s="41"/>
      <c r="C49" s="43"/>
      <c r="D49" s="43"/>
      <c r="E49" s="43"/>
      <c r="F49" s="43"/>
      <c r="G49" s="43"/>
      <c r="H49" s="286"/>
      <c r="I49" s="286"/>
      <c r="J49" s="15"/>
      <c r="K49" s="16"/>
      <c r="L49" s="15"/>
      <c r="M49" s="15"/>
      <c r="N49" s="15"/>
      <c r="O49" s="15"/>
      <c r="P49" s="15"/>
      <c r="Q49" s="15"/>
      <c r="R49" s="15"/>
      <c r="S49" s="15"/>
      <c r="T49" s="15"/>
      <c r="U49" s="15"/>
      <c r="V49" s="15"/>
      <c r="W49" s="15"/>
      <c r="X49" s="15"/>
      <c r="Y49" s="15"/>
      <c r="Z49" s="15"/>
    </row>
    <row r="50" spans="1:26" ht="15.75" customHeight="1" x14ac:dyDescent="0.25">
      <c r="A50" s="74" t="s">
        <v>1571</v>
      </c>
      <c r="B50" s="41"/>
      <c r="C50" s="43"/>
      <c r="D50" s="43"/>
      <c r="E50" s="43"/>
      <c r="F50" s="43"/>
      <c r="G50" s="43"/>
      <c r="H50" s="286"/>
      <c r="I50" s="286"/>
      <c r="J50" s="15"/>
      <c r="K50" s="16"/>
      <c r="L50" s="15"/>
      <c r="M50" s="15"/>
      <c r="N50" s="15"/>
      <c r="O50" s="15"/>
      <c r="P50" s="15"/>
      <c r="Q50" s="15"/>
      <c r="R50" s="15"/>
      <c r="S50" s="15"/>
      <c r="T50" s="15"/>
      <c r="U50" s="15"/>
      <c r="V50" s="15"/>
      <c r="W50" s="15"/>
      <c r="X50" s="15"/>
      <c r="Y50" s="15"/>
      <c r="Z50" s="15"/>
    </row>
    <row r="51" spans="1:26" ht="15.75" customHeight="1" x14ac:dyDescent="0.25">
      <c r="A51" s="17" t="s">
        <v>493</v>
      </c>
      <c r="B51" s="41"/>
      <c r="C51" s="43"/>
      <c r="D51" s="43"/>
      <c r="E51" s="43"/>
      <c r="F51" s="43"/>
      <c r="G51" s="43"/>
      <c r="H51" s="286"/>
      <c r="I51" s="286"/>
      <c r="J51" s="15"/>
      <c r="K51" s="16"/>
      <c r="L51" s="15"/>
      <c r="M51" s="15"/>
      <c r="N51" s="15"/>
      <c r="O51" s="15"/>
      <c r="P51" s="15"/>
      <c r="Q51" s="15"/>
      <c r="R51" s="15"/>
      <c r="S51" s="15"/>
      <c r="T51" s="15"/>
      <c r="U51" s="15"/>
      <c r="V51" s="15"/>
      <c r="W51" s="15"/>
      <c r="X51" s="15"/>
      <c r="Y51" s="15"/>
      <c r="Z51" s="15"/>
    </row>
    <row r="52" spans="1:26" ht="15.75" customHeight="1" x14ac:dyDescent="0.25">
      <c r="A52" s="44" t="s">
        <v>396</v>
      </c>
      <c r="B52" s="41" t="s">
        <v>191</v>
      </c>
      <c r="C52" s="43">
        <v>3483586.71</v>
      </c>
      <c r="D52" s="43">
        <v>1468333.5</v>
      </c>
      <c r="E52" s="43">
        <f>F52-D52</f>
        <v>1270486.5</v>
      </c>
      <c r="F52" s="43">
        <v>2738820</v>
      </c>
      <c r="G52" s="43">
        <v>2923713</v>
      </c>
      <c r="H52" s="286"/>
      <c r="I52" s="286"/>
      <c r="J52" s="15"/>
      <c r="K52" s="16"/>
      <c r="L52" s="15"/>
      <c r="M52" s="15"/>
      <c r="N52" s="15"/>
      <c r="O52" s="15"/>
      <c r="P52" s="15"/>
      <c r="Q52" s="15"/>
      <c r="R52" s="15"/>
      <c r="S52" s="15"/>
      <c r="T52" s="15"/>
      <c r="U52" s="15"/>
      <c r="V52" s="15"/>
      <c r="W52" s="15"/>
      <c r="X52" s="15"/>
      <c r="Y52" s="15"/>
      <c r="Z52" s="15"/>
    </row>
    <row r="53" spans="1:26" ht="15.75" x14ac:dyDescent="0.25">
      <c r="A53" s="74" t="s">
        <v>1572</v>
      </c>
      <c r="B53" s="41"/>
      <c r="C53" s="43"/>
      <c r="D53" s="43"/>
      <c r="E53" s="43"/>
      <c r="F53" s="43"/>
      <c r="G53" s="43"/>
      <c r="H53" s="299">
        <v>1000000</v>
      </c>
      <c r="I53" s="286"/>
      <c r="J53" s="15"/>
      <c r="K53" s="16"/>
      <c r="L53" s="15"/>
      <c r="M53" s="15"/>
      <c r="N53" s="15"/>
      <c r="O53" s="15"/>
      <c r="P53" s="15"/>
      <c r="Q53" s="15"/>
      <c r="R53" s="15"/>
      <c r="S53" s="15"/>
      <c r="T53" s="15"/>
      <c r="U53" s="15"/>
      <c r="V53" s="15"/>
      <c r="W53" s="15"/>
      <c r="X53" s="15"/>
      <c r="Y53" s="15"/>
      <c r="Z53" s="15"/>
    </row>
    <row r="54" spans="1:26" ht="15.75" x14ac:dyDescent="0.25">
      <c r="A54" s="74" t="s">
        <v>1573</v>
      </c>
      <c r="B54" s="41"/>
      <c r="C54" s="43"/>
      <c r="D54" s="43"/>
      <c r="E54" s="43"/>
      <c r="F54" s="43"/>
      <c r="G54" s="43"/>
      <c r="H54" s="299">
        <v>277500</v>
      </c>
      <c r="I54" s="286"/>
      <c r="J54" s="15"/>
      <c r="K54" s="16"/>
      <c r="L54" s="15"/>
      <c r="M54" s="15"/>
      <c r="N54" s="15"/>
      <c r="O54" s="15"/>
      <c r="P54" s="15"/>
      <c r="Q54" s="15"/>
      <c r="R54" s="15"/>
      <c r="S54" s="15"/>
      <c r="T54" s="15"/>
      <c r="U54" s="15"/>
      <c r="V54" s="15"/>
      <c r="W54" s="15"/>
      <c r="X54" s="15"/>
      <c r="Y54" s="15"/>
      <c r="Z54" s="15"/>
    </row>
    <row r="55" spans="1:26" ht="15.75" x14ac:dyDescent="0.25">
      <c r="A55" s="74" t="s">
        <v>1574</v>
      </c>
      <c r="B55" s="41"/>
      <c r="C55" s="43"/>
      <c r="D55" s="43"/>
      <c r="E55" s="43"/>
      <c r="F55" s="43"/>
      <c r="G55" s="43"/>
      <c r="H55" s="299">
        <v>166500</v>
      </c>
      <c r="I55" s="286"/>
      <c r="J55" s="15"/>
      <c r="K55" s="16"/>
      <c r="L55" s="15"/>
      <c r="M55" s="15"/>
      <c r="N55" s="15"/>
      <c r="O55" s="15"/>
      <c r="P55" s="15"/>
      <c r="Q55" s="15"/>
      <c r="R55" s="15"/>
      <c r="S55" s="15"/>
      <c r="T55" s="15"/>
      <c r="U55" s="15"/>
      <c r="V55" s="15"/>
      <c r="W55" s="15"/>
      <c r="X55" s="15"/>
      <c r="Y55" s="15"/>
      <c r="Z55" s="15"/>
    </row>
    <row r="56" spans="1:26" ht="31.5" x14ac:dyDescent="0.25">
      <c r="A56" s="90" t="s">
        <v>1575</v>
      </c>
      <c r="B56" s="41"/>
      <c r="C56" s="43"/>
      <c r="D56" s="43"/>
      <c r="E56" s="43"/>
      <c r="F56" s="43"/>
      <c r="G56" s="43"/>
      <c r="H56" s="299">
        <v>277500</v>
      </c>
      <c r="I56" s="286"/>
      <c r="J56" s="15"/>
      <c r="K56" s="16"/>
      <c r="L56" s="15"/>
      <c r="M56" s="15"/>
      <c r="N56" s="15"/>
      <c r="O56" s="15"/>
      <c r="P56" s="15"/>
      <c r="Q56" s="15"/>
      <c r="R56" s="15"/>
      <c r="S56" s="15"/>
      <c r="T56" s="15"/>
      <c r="U56" s="15"/>
      <c r="V56" s="15"/>
      <c r="W56" s="15"/>
      <c r="X56" s="15"/>
      <c r="Y56" s="15"/>
      <c r="Z56" s="15"/>
    </row>
    <row r="57" spans="1:26" ht="15.75" x14ac:dyDescent="0.25">
      <c r="A57" s="602" t="s">
        <v>1576</v>
      </c>
      <c r="B57" s="483"/>
      <c r="C57" s="457"/>
      <c r="D57" s="457"/>
      <c r="E57" s="457"/>
      <c r="F57" s="457"/>
      <c r="G57" s="457"/>
      <c r="H57" s="299">
        <v>51060</v>
      </c>
      <c r="I57" s="286"/>
      <c r="J57" s="15"/>
      <c r="K57" s="16"/>
      <c r="L57" s="15"/>
      <c r="M57" s="15"/>
      <c r="N57" s="15"/>
      <c r="O57" s="15"/>
      <c r="P57" s="15"/>
      <c r="Q57" s="15"/>
      <c r="R57" s="15"/>
      <c r="S57" s="15"/>
      <c r="T57" s="15"/>
      <c r="U57" s="15"/>
      <c r="V57" s="15"/>
      <c r="W57" s="15"/>
      <c r="X57" s="15"/>
      <c r="Y57" s="15"/>
      <c r="Z57" s="15"/>
    </row>
    <row r="58" spans="1:26" ht="31.5" x14ac:dyDescent="0.25">
      <c r="A58" s="620" t="s">
        <v>1577</v>
      </c>
      <c r="B58" s="601"/>
      <c r="C58" s="448"/>
      <c r="D58" s="448"/>
      <c r="E58" s="448"/>
      <c r="F58" s="448"/>
      <c r="G58" s="448"/>
      <c r="H58" s="299">
        <v>37000</v>
      </c>
      <c r="I58" s="286"/>
      <c r="J58" s="15"/>
      <c r="K58" s="16"/>
      <c r="L58" s="15"/>
      <c r="M58" s="15"/>
      <c r="N58" s="15"/>
      <c r="O58" s="15"/>
      <c r="P58" s="15"/>
      <c r="Q58" s="15"/>
      <c r="R58" s="15"/>
      <c r="S58" s="15"/>
      <c r="T58" s="15"/>
      <c r="U58" s="15"/>
      <c r="V58" s="15"/>
      <c r="W58" s="15"/>
      <c r="X58" s="15"/>
      <c r="Y58" s="15"/>
      <c r="Z58" s="15"/>
    </row>
    <row r="59" spans="1:26" ht="15.75" x14ac:dyDescent="0.25">
      <c r="A59" s="74" t="s">
        <v>1578</v>
      </c>
      <c r="B59" s="41"/>
      <c r="C59" s="43"/>
      <c r="D59" s="43"/>
      <c r="E59" s="43"/>
      <c r="F59" s="43"/>
      <c r="G59" s="43"/>
      <c r="H59" s="299">
        <v>29600</v>
      </c>
      <c r="I59" s="286"/>
      <c r="J59" s="15"/>
      <c r="K59" s="16"/>
      <c r="L59" s="15"/>
      <c r="M59" s="15"/>
      <c r="N59" s="15"/>
      <c r="O59" s="15"/>
      <c r="P59" s="15"/>
      <c r="Q59" s="15"/>
      <c r="R59" s="15"/>
      <c r="S59" s="15"/>
      <c r="T59" s="15"/>
      <c r="U59" s="15"/>
      <c r="V59" s="15"/>
      <c r="W59" s="15"/>
      <c r="X59" s="15"/>
      <c r="Y59" s="15"/>
      <c r="Z59" s="15"/>
    </row>
    <row r="60" spans="1:26" ht="15.75" x14ac:dyDescent="0.25">
      <c r="A60" s="74" t="s">
        <v>1579</v>
      </c>
      <c r="B60" s="41"/>
      <c r="C60" s="43"/>
      <c r="D60" s="43"/>
      <c r="E60" s="43"/>
      <c r="F60" s="43"/>
      <c r="G60" s="43"/>
      <c r="H60" s="299">
        <v>223000</v>
      </c>
      <c r="I60" s="286"/>
      <c r="J60" s="15"/>
      <c r="K60" s="16"/>
      <c r="L60" s="15"/>
      <c r="M60" s="15"/>
      <c r="N60" s="15"/>
      <c r="O60" s="15"/>
      <c r="P60" s="15"/>
      <c r="Q60" s="15"/>
      <c r="R60" s="15"/>
      <c r="S60" s="15"/>
      <c r="T60" s="15"/>
      <c r="U60" s="15"/>
      <c r="V60" s="15"/>
      <c r="W60" s="15"/>
      <c r="X60" s="15"/>
      <c r="Y60" s="15"/>
      <c r="Z60" s="15"/>
    </row>
    <row r="61" spans="1:26" ht="15.75" x14ac:dyDescent="0.25">
      <c r="A61" s="300" t="s">
        <v>1580</v>
      </c>
      <c r="B61" s="41"/>
      <c r="C61" s="43"/>
      <c r="D61" s="43"/>
      <c r="E61" s="43"/>
      <c r="F61" s="43"/>
      <c r="G61" s="43"/>
      <c r="H61" s="299"/>
      <c r="I61" s="286"/>
      <c r="J61" s="15"/>
      <c r="K61" s="16"/>
      <c r="L61" s="15"/>
      <c r="M61" s="15"/>
      <c r="N61" s="15"/>
      <c r="O61" s="15"/>
      <c r="P61" s="15"/>
      <c r="Q61" s="15"/>
      <c r="R61" s="15"/>
      <c r="S61" s="15"/>
      <c r="T61" s="15"/>
      <c r="U61" s="15"/>
      <c r="V61" s="15"/>
      <c r="W61" s="15"/>
      <c r="X61" s="15"/>
      <c r="Y61" s="15"/>
      <c r="Z61" s="15"/>
    </row>
    <row r="62" spans="1:26" ht="31.5" x14ac:dyDescent="0.25">
      <c r="A62" s="90" t="s">
        <v>1581</v>
      </c>
      <c r="B62" s="41"/>
      <c r="C62" s="43"/>
      <c r="D62" s="43"/>
      <c r="E62" s="43"/>
      <c r="F62" s="43"/>
      <c r="G62" s="43"/>
      <c r="H62" s="299">
        <v>74000</v>
      </c>
      <c r="I62" s="286"/>
      <c r="J62" s="15"/>
      <c r="K62" s="16"/>
      <c r="L62" s="15"/>
      <c r="M62" s="15"/>
      <c r="N62" s="15"/>
      <c r="O62" s="15"/>
      <c r="P62" s="15"/>
      <c r="Q62" s="15"/>
      <c r="R62" s="15"/>
      <c r="S62" s="15"/>
      <c r="T62" s="15"/>
      <c r="U62" s="15"/>
      <c r="V62" s="15"/>
      <c r="W62" s="15"/>
      <c r="X62" s="15"/>
      <c r="Y62" s="15"/>
      <c r="Z62" s="15"/>
    </row>
    <row r="63" spans="1:26" ht="15.75" x14ac:dyDescent="0.25">
      <c r="A63" s="74" t="s">
        <v>1582</v>
      </c>
      <c r="B63" s="41"/>
      <c r="C63" s="43"/>
      <c r="D63" s="43"/>
      <c r="E63" s="43"/>
      <c r="F63" s="43"/>
      <c r="G63" s="43"/>
      <c r="H63" s="299">
        <v>59200</v>
      </c>
      <c r="I63" s="286"/>
      <c r="J63" s="15"/>
      <c r="K63" s="16"/>
      <c r="L63" s="15"/>
      <c r="M63" s="15"/>
      <c r="N63" s="15"/>
      <c r="O63" s="15"/>
      <c r="P63" s="15"/>
      <c r="Q63" s="15"/>
      <c r="R63" s="15"/>
      <c r="S63" s="15"/>
      <c r="T63" s="15"/>
      <c r="U63" s="15"/>
      <c r="V63" s="15"/>
      <c r="W63" s="15"/>
      <c r="X63" s="15"/>
      <c r="Y63" s="15"/>
      <c r="Z63" s="15"/>
    </row>
    <row r="64" spans="1:26" ht="31.5" x14ac:dyDescent="0.25">
      <c r="A64" s="90" t="s">
        <v>1583</v>
      </c>
      <c r="B64" s="41"/>
      <c r="C64" s="43"/>
      <c r="D64" s="43"/>
      <c r="E64" s="43"/>
      <c r="F64" s="43"/>
      <c r="G64" s="43"/>
      <c r="H64" s="299">
        <v>111000</v>
      </c>
      <c r="I64" s="286"/>
      <c r="J64" s="15"/>
      <c r="K64" s="16"/>
      <c r="L64" s="15"/>
      <c r="M64" s="15"/>
      <c r="N64" s="15"/>
      <c r="O64" s="15"/>
      <c r="P64" s="15"/>
      <c r="Q64" s="15"/>
      <c r="R64" s="15"/>
      <c r="S64" s="15"/>
      <c r="T64" s="15"/>
      <c r="U64" s="15"/>
      <c r="V64" s="15"/>
      <c r="W64" s="15"/>
      <c r="X64" s="15"/>
      <c r="Y64" s="15"/>
      <c r="Z64" s="15"/>
    </row>
    <row r="65" spans="1:26" ht="31.5" x14ac:dyDescent="0.25">
      <c r="A65" s="90" t="s">
        <v>1584</v>
      </c>
      <c r="B65" s="41"/>
      <c r="C65" s="43"/>
      <c r="D65" s="43"/>
      <c r="E65" s="43"/>
      <c r="F65" s="43"/>
      <c r="G65" s="43"/>
      <c r="H65" s="299">
        <v>55500</v>
      </c>
      <c r="I65" s="286"/>
      <c r="J65" s="15"/>
      <c r="K65" s="16"/>
      <c r="L65" s="15"/>
      <c r="M65" s="15"/>
      <c r="N65" s="15"/>
      <c r="O65" s="15"/>
      <c r="P65" s="15"/>
      <c r="Q65" s="15"/>
      <c r="R65" s="15"/>
      <c r="S65" s="15"/>
      <c r="T65" s="15"/>
      <c r="U65" s="15"/>
      <c r="V65" s="15"/>
      <c r="W65" s="15"/>
      <c r="X65" s="15"/>
      <c r="Y65" s="15"/>
      <c r="Z65" s="15"/>
    </row>
    <row r="66" spans="1:26" ht="31.5" x14ac:dyDescent="0.25">
      <c r="A66" s="559" t="s">
        <v>1585</v>
      </c>
      <c r="B66" s="41"/>
      <c r="C66" s="43"/>
      <c r="D66" s="43"/>
      <c r="E66" s="43"/>
      <c r="F66" s="43"/>
      <c r="G66" s="43"/>
      <c r="H66" s="286"/>
      <c r="I66" s="286"/>
      <c r="J66" s="15"/>
      <c r="K66" s="16"/>
      <c r="L66" s="15"/>
      <c r="M66" s="15"/>
      <c r="N66" s="15"/>
      <c r="O66" s="15"/>
      <c r="P66" s="15"/>
      <c r="Q66" s="15"/>
      <c r="R66" s="15"/>
      <c r="S66" s="15"/>
      <c r="T66" s="15"/>
      <c r="U66" s="15"/>
      <c r="V66" s="15"/>
      <c r="W66" s="15"/>
      <c r="X66" s="15"/>
      <c r="Y66" s="15"/>
      <c r="Z66" s="15"/>
    </row>
    <row r="67" spans="1:26" ht="47.25" x14ac:dyDescent="0.25">
      <c r="A67" s="90" t="s">
        <v>1586</v>
      </c>
      <c r="B67" s="41"/>
      <c r="C67" s="43"/>
      <c r="D67" s="43"/>
      <c r="E67" s="43"/>
      <c r="F67" s="43"/>
      <c r="G67" s="43"/>
      <c r="H67" s="286">
        <v>294586</v>
      </c>
      <c r="I67" s="286"/>
      <c r="J67" s="15"/>
      <c r="K67" s="16"/>
      <c r="L67" s="15"/>
      <c r="M67" s="15"/>
      <c r="N67" s="15"/>
      <c r="O67" s="15"/>
      <c r="P67" s="15"/>
      <c r="Q67" s="15"/>
      <c r="R67" s="15"/>
      <c r="S67" s="15"/>
      <c r="T67" s="15"/>
      <c r="U67" s="15"/>
      <c r="V67" s="15"/>
      <c r="W67" s="15"/>
      <c r="X67" s="15"/>
      <c r="Y67" s="15"/>
      <c r="Z67" s="15"/>
    </row>
    <row r="68" spans="1:26" ht="15.75" x14ac:dyDescent="0.25">
      <c r="A68" s="74" t="s">
        <v>1587</v>
      </c>
      <c r="B68" s="41"/>
      <c r="C68" s="43"/>
      <c r="D68" s="43"/>
      <c r="E68" s="43"/>
      <c r="F68" s="43"/>
      <c r="G68" s="43"/>
      <c r="H68" s="286">
        <v>85867</v>
      </c>
      <c r="I68" s="286"/>
      <c r="J68" s="15"/>
      <c r="K68" s="16"/>
      <c r="L68" s="15"/>
      <c r="M68" s="15"/>
      <c r="N68" s="15"/>
      <c r="O68" s="15"/>
      <c r="P68" s="15"/>
      <c r="Q68" s="15"/>
      <c r="R68" s="15"/>
      <c r="S68" s="15"/>
      <c r="T68" s="15"/>
      <c r="U68" s="15"/>
      <c r="V68" s="15"/>
      <c r="W68" s="15"/>
      <c r="X68" s="15"/>
      <c r="Y68" s="15"/>
      <c r="Z68" s="15"/>
    </row>
    <row r="69" spans="1:26" ht="15.75" x14ac:dyDescent="0.25">
      <c r="A69" s="300" t="s">
        <v>1588</v>
      </c>
      <c r="B69" s="41"/>
      <c r="C69" s="43"/>
      <c r="D69" s="43"/>
      <c r="E69" s="43"/>
      <c r="F69" s="43"/>
      <c r="G69" s="43"/>
      <c r="H69" s="286"/>
      <c r="I69" s="286"/>
      <c r="J69" s="15"/>
      <c r="K69" s="16"/>
      <c r="L69" s="15"/>
      <c r="M69" s="15"/>
      <c r="N69" s="15"/>
      <c r="O69" s="15"/>
      <c r="P69" s="15"/>
      <c r="Q69" s="15"/>
      <c r="R69" s="15"/>
      <c r="S69" s="15"/>
      <c r="T69" s="15"/>
      <c r="U69" s="15"/>
      <c r="V69" s="15"/>
      <c r="W69" s="15"/>
      <c r="X69" s="15"/>
      <c r="Y69" s="15"/>
      <c r="Z69" s="15"/>
    </row>
    <row r="70" spans="1:26" ht="15.75" x14ac:dyDescent="0.25">
      <c r="A70" s="74" t="s">
        <v>1589</v>
      </c>
      <c r="B70" s="41"/>
      <c r="C70" s="43"/>
      <c r="D70" s="43"/>
      <c r="E70" s="43"/>
      <c r="F70" s="43"/>
      <c r="G70" s="43"/>
      <c r="H70" s="286">
        <v>11100</v>
      </c>
      <c r="I70" s="286"/>
      <c r="J70" s="15"/>
      <c r="K70" s="16"/>
      <c r="L70" s="15"/>
      <c r="M70" s="15"/>
      <c r="N70" s="15"/>
      <c r="O70" s="15"/>
      <c r="P70" s="15"/>
      <c r="Q70" s="15"/>
      <c r="R70" s="15"/>
      <c r="S70" s="15"/>
      <c r="T70" s="15"/>
      <c r="U70" s="15"/>
      <c r="V70" s="15"/>
      <c r="W70" s="15"/>
      <c r="X70" s="15"/>
      <c r="Y70" s="15"/>
      <c r="Z70" s="15"/>
    </row>
    <row r="71" spans="1:26" ht="15.75" x14ac:dyDescent="0.25">
      <c r="A71" s="74" t="s">
        <v>1590</v>
      </c>
      <c r="B71" s="41"/>
      <c r="C71" s="43"/>
      <c r="D71" s="43"/>
      <c r="E71" s="43"/>
      <c r="F71" s="43"/>
      <c r="G71" s="43"/>
      <c r="H71" s="286">
        <v>29600</v>
      </c>
      <c r="I71" s="286"/>
      <c r="J71" s="15"/>
      <c r="K71" s="16"/>
      <c r="L71" s="15"/>
      <c r="M71" s="15"/>
      <c r="N71" s="15"/>
      <c r="O71" s="15"/>
      <c r="P71" s="15"/>
      <c r="Q71" s="15"/>
      <c r="R71" s="15"/>
      <c r="S71" s="15"/>
      <c r="T71" s="15"/>
      <c r="U71" s="15"/>
      <c r="V71" s="15"/>
      <c r="W71" s="15"/>
      <c r="X71" s="15"/>
      <c r="Y71" s="15"/>
      <c r="Z71" s="15"/>
    </row>
    <row r="72" spans="1:26" ht="31.5" x14ac:dyDescent="0.25">
      <c r="A72" s="90" t="s">
        <v>1591</v>
      </c>
      <c r="B72" s="41"/>
      <c r="C72" s="43"/>
      <c r="D72" s="43"/>
      <c r="E72" s="43"/>
      <c r="F72" s="43"/>
      <c r="G72" s="43"/>
      <c r="H72" s="286">
        <v>29600</v>
      </c>
      <c r="I72" s="286"/>
      <c r="J72" s="15"/>
      <c r="K72" s="16"/>
      <c r="L72" s="15"/>
      <c r="M72" s="15"/>
      <c r="N72" s="15"/>
      <c r="O72" s="15"/>
      <c r="P72" s="15"/>
      <c r="Q72" s="15"/>
      <c r="R72" s="15"/>
      <c r="S72" s="15"/>
      <c r="T72" s="15"/>
      <c r="U72" s="15"/>
      <c r="V72" s="15"/>
      <c r="W72" s="15"/>
      <c r="X72" s="15"/>
      <c r="Y72" s="15"/>
      <c r="Z72" s="15"/>
    </row>
    <row r="73" spans="1:26" ht="31.5" x14ac:dyDescent="0.25">
      <c r="A73" s="90" t="s">
        <v>1592</v>
      </c>
      <c r="B73" s="41"/>
      <c r="C73" s="43"/>
      <c r="D73" s="43"/>
      <c r="E73" s="43"/>
      <c r="F73" s="43"/>
      <c r="G73" s="43"/>
      <c r="H73" s="286">
        <v>11100</v>
      </c>
      <c r="I73" s="286"/>
      <c r="J73" s="15"/>
      <c r="K73" s="16"/>
      <c r="L73" s="15"/>
      <c r="M73" s="15"/>
      <c r="N73" s="15"/>
      <c r="O73" s="15"/>
      <c r="P73" s="15"/>
      <c r="Q73" s="15"/>
      <c r="R73" s="15"/>
      <c r="S73" s="15"/>
      <c r="T73" s="15"/>
      <c r="U73" s="15"/>
      <c r="V73" s="15"/>
      <c r="W73" s="15"/>
      <c r="X73" s="15"/>
      <c r="Y73" s="15"/>
      <c r="Z73" s="15"/>
    </row>
    <row r="74" spans="1:26" ht="15.75" customHeight="1" x14ac:dyDescent="0.25">
      <c r="A74" s="468" t="s">
        <v>1593</v>
      </c>
      <c r="B74" s="454"/>
      <c r="C74" s="443"/>
      <c r="D74" s="443"/>
      <c r="E74" s="443"/>
      <c r="F74" s="443"/>
      <c r="G74" s="462"/>
      <c r="H74" s="286"/>
      <c r="I74" s="286"/>
      <c r="J74" s="15"/>
      <c r="K74" s="16"/>
      <c r="L74" s="15"/>
      <c r="M74" s="15"/>
      <c r="N74" s="15"/>
      <c r="O74" s="15"/>
      <c r="P74" s="15"/>
      <c r="Q74" s="15"/>
      <c r="R74" s="15"/>
      <c r="S74" s="15"/>
      <c r="T74" s="15"/>
      <c r="U74" s="15"/>
      <c r="V74" s="15"/>
      <c r="W74" s="15"/>
      <c r="X74" s="15"/>
      <c r="Y74" s="15"/>
      <c r="Z74" s="15"/>
    </row>
    <row r="75" spans="1:26" ht="15.75" customHeight="1" x14ac:dyDescent="0.25">
      <c r="A75" s="456" t="s">
        <v>499</v>
      </c>
      <c r="B75" s="454"/>
      <c r="C75" s="443"/>
      <c r="D75" s="443"/>
      <c r="E75" s="443"/>
      <c r="F75" s="443"/>
      <c r="G75" s="462"/>
      <c r="H75" s="286"/>
      <c r="I75" s="286"/>
      <c r="J75" s="15"/>
      <c r="K75" s="16"/>
      <c r="L75" s="15"/>
      <c r="M75" s="15"/>
      <c r="N75" s="15"/>
      <c r="O75" s="15"/>
      <c r="P75" s="15"/>
      <c r="Q75" s="15"/>
      <c r="R75" s="15"/>
      <c r="S75" s="15"/>
      <c r="T75" s="15"/>
      <c r="U75" s="15"/>
      <c r="V75" s="15"/>
      <c r="W75" s="15"/>
      <c r="X75" s="15"/>
      <c r="Y75" s="15"/>
      <c r="Z75" s="15"/>
    </row>
    <row r="76" spans="1:26" ht="15.75" customHeight="1" x14ac:dyDescent="0.25">
      <c r="A76" s="44" t="s">
        <v>398</v>
      </c>
      <c r="B76" s="41" t="s">
        <v>195</v>
      </c>
      <c r="C76" s="301">
        <v>3062680.21</v>
      </c>
      <c r="D76" s="43">
        <v>1190898.0900000001</v>
      </c>
      <c r="E76" s="43">
        <f>F76-D76</f>
        <v>2282225.91</v>
      </c>
      <c r="F76" s="43">
        <v>3473124</v>
      </c>
      <c r="G76" s="43">
        <v>3600000</v>
      </c>
      <c r="H76" s="286"/>
      <c r="I76" s="286"/>
      <c r="J76" s="15"/>
      <c r="K76" s="16"/>
      <c r="L76" s="15"/>
      <c r="M76" s="15"/>
      <c r="N76" s="15"/>
      <c r="O76" s="15"/>
      <c r="P76" s="15"/>
      <c r="Q76" s="15"/>
      <c r="R76" s="15"/>
      <c r="S76" s="15"/>
      <c r="T76" s="15"/>
      <c r="U76" s="15"/>
      <c r="V76" s="15"/>
      <c r="W76" s="15"/>
      <c r="X76" s="15"/>
      <c r="Y76" s="15"/>
      <c r="Z76" s="15"/>
    </row>
    <row r="77" spans="1:26" ht="15.75" x14ac:dyDescent="0.25">
      <c r="A77" s="74" t="s">
        <v>1570</v>
      </c>
      <c r="B77" s="41"/>
      <c r="C77" s="26"/>
      <c r="D77" s="43"/>
      <c r="E77" s="43"/>
      <c r="F77" s="43"/>
      <c r="G77" s="43"/>
      <c r="H77" s="74">
        <f>2500000</f>
        <v>2500000</v>
      </c>
      <c r="I77" s="286"/>
      <c r="J77" s="15"/>
      <c r="K77" s="16"/>
      <c r="L77" s="15"/>
      <c r="M77" s="15"/>
      <c r="N77" s="15"/>
      <c r="O77" s="15"/>
      <c r="P77" s="15"/>
      <c r="Q77" s="15"/>
      <c r="R77" s="15"/>
      <c r="S77" s="15"/>
      <c r="T77" s="15"/>
      <c r="U77" s="15"/>
      <c r="V77" s="15"/>
      <c r="W77" s="15"/>
      <c r="X77" s="15"/>
      <c r="Y77" s="15"/>
      <c r="Z77" s="15"/>
    </row>
    <row r="78" spans="1:26" ht="15.75" x14ac:dyDescent="0.25">
      <c r="A78" s="74" t="s">
        <v>1571</v>
      </c>
      <c r="B78" s="41"/>
      <c r="C78" s="26"/>
      <c r="D78" s="43"/>
      <c r="E78" s="43"/>
      <c r="F78" s="43"/>
      <c r="G78" s="43"/>
      <c r="H78" s="299">
        <v>100000</v>
      </c>
      <c r="I78" s="286"/>
      <c r="J78" s="15"/>
      <c r="K78" s="16"/>
      <c r="L78" s="15"/>
      <c r="M78" s="15"/>
      <c r="N78" s="15"/>
      <c r="O78" s="15"/>
      <c r="P78" s="15"/>
      <c r="Q78" s="15"/>
      <c r="R78" s="15"/>
      <c r="S78" s="15"/>
      <c r="T78" s="15"/>
      <c r="U78" s="15"/>
      <c r="V78" s="15"/>
      <c r="W78" s="15"/>
      <c r="X78" s="15"/>
      <c r="Y78" s="15"/>
      <c r="Z78" s="15"/>
    </row>
    <row r="79" spans="1:26" ht="31.5" x14ac:dyDescent="0.25">
      <c r="A79" s="90" t="s">
        <v>1594</v>
      </c>
      <c r="B79" s="41"/>
      <c r="C79" s="26"/>
      <c r="D79" s="43"/>
      <c r="E79" s="43"/>
      <c r="F79" s="43"/>
      <c r="G79" s="43"/>
      <c r="H79" s="299">
        <v>100000</v>
      </c>
      <c r="I79" s="286"/>
      <c r="J79" s="15"/>
      <c r="K79" s="16"/>
      <c r="L79" s="15"/>
      <c r="M79" s="15"/>
      <c r="N79" s="15"/>
      <c r="O79" s="15"/>
      <c r="P79" s="15"/>
      <c r="Q79" s="15"/>
      <c r="R79" s="15"/>
      <c r="S79" s="15"/>
      <c r="T79" s="15"/>
      <c r="U79" s="15"/>
      <c r="V79" s="15"/>
      <c r="W79" s="15"/>
      <c r="X79" s="15"/>
      <c r="Y79" s="15"/>
      <c r="Z79" s="15"/>
    </row>
    <row r="80" spans="1:26" ht="15.75" x14ac:dyDescent="0.25">
      <c r="A80" s="74" t="s">
        <v>1595</v>
      </c>
      <c r="B80" s="41"/>
      <c r="C80" s="26"/>
      <c r="D80" s="43"/>
      <c r="E80" s="43"/>
      <c r="F80" s="43"/>
      <c r="G80" s="43"/>
      <c r="H80" s="299">
        <v>700000</v>
      </c>
      <c r="I80" s="286"/>
      <c r="J80" s="15"/>
      <c r="K80" s="16"/>
      <c r="L80" s="15"/>
      <c r="M80" s="15"/>
      <c r="N80" s="15"/>
      <c r="O80" s="15"/>
      <c r="P80" s="15"/>
      <c r="Q80" s="15"/>
      <c r="R80" s="15"/>
      <c r="S80" s="15"/>
      <c r="T80" s="15"/>
      <c r="U80" s="15"/>
      <c r="V80" s="15"/>
      <c r="W80" s="15"/>
      <c r="X80" s="15"/>
      <c r="Y80" s="15"/>
      <c r="Z80" s="15"/>
    </row>
    <row r="81" spans="1:26" ht="31.5" x14ac:dyDescent="0.25">
      <c r="A81" s="90" t="s">
        <v>1596</v>
      </c>
      <c r="B81" s="41"/>
      <c r="C81" s="26"/>
      <c r="D81" s="43"/>
      <c r="E81" s="43"/>
      <c r="F81" s="43"/>
      <c r="G81" s="43"/>
      <c r="H81" s="299">
        <v>200000</v>
      </c>
      <c r="I81" s="286"/>
      <c r="J81" s="15"/>
      <c r="K81" s="16"/>
      <c r="L81" s="15"/>
      <c r="M81" s="15"/>
      <c r="N81" s="15"/>
      <c r="O81" s="15"/>
      <c r="P81" s="15"/>
      <c r="Q81" s="15"/>
      <c r="R81" s="15"/>
      <c r="S81" s="15"/>
      <c r="T81" s="15"/>
      <c r="U81" s="15"/>
      <c r="V81" s="15"/>
      <c r="W81" s="15"/>
      <c r="X81" s="15"/>
      <c r="Y81" s="15"/>
      <c r="Z81" s="15"/>
    </row>
    <row r="82" spans="1:26" ht="15.75" x14ac:dyDescent="0.25">
      <c r="A82" s="44" t="s">
        <v>1447</v>
      </c>
      <c r="B82" s="41" t="s">
        <v>197</v>
      </c>
      <c r="C82" s="43">
        <v>0</v>
      </c>
      <c r="D82" s="43">
        <v>19825</v>
      </c>
      <c r="E82" s="43">
        <f t="shared" ref="E82:E83" si="5">F82-D82</f>
        <v>175</v>
      </c>
      <c r="F82" s="43">
        <v>20000</v>
      </c>
      <c r="G82" s="43">
        <v>20000</v>
      </c>
      <c r="H82" s="74"/>
      <c r="I82" s="286"/>
      <c r="J82" s="15"/>
      <c r="K82" s="16"/>
      <c r="L82" s="15"/>
      <c r="M82" s="15"/>
      <c r="N82" s="15"/>
      <c r="O82" s="15"/>
      <c r="P82" s="15"/>
      <c r="Q82" s="15"/>
      <c r="R82" s="15"/>
      <c r="S82" s="15"/>
      <c r="T82" s="15"/>
      <c r="U82" s="15"/>
      <c r="V82" s="15"/>
      <c r="W82" s="15"/>
      <c r="X82" s="15"/>
      <c r="Y82" s="15"/>
      <c r="Z82" s="15"/>
    </row>
    <row r="83" spans="1:26" ht="15.75" x14ac:dyDescent="0.25">
      <c r="A83" s="44" t="s">
        <v>841</v>
      </c>
      <c r="B83" s="41" t="s">
        <v>207</v>
      </c>
      <c r="C83" s="43">
        <v>66015858.950000003</v>
      </c>
      <c r="D83" s="43">
        <v>32301871.02</v>
      </c>
      <c r="E83" s="43">
        <f t="shared" si="5"/>
        <v>37461537.980000004</v>
      </c>
      <c r="F83" s="43">
        <v>69763409</v>
      </c>
      <c r="G83" s="43">
        <v>88464551</v>
      </c>
      <c r="H83" s="286"/>
      <c r="I83" s="286"/>
      <c r="J83" s="15"/>
      <c r="K83" s="16"/>
      <c r="L83" s="15"/>
      <c r="M83" s="15"/>
      <c r="N83" s="15"/>
      <c r="O83" s="15"/>
      <c r="P83" s="15"/>
      <c r="Q83" s="15"/>
      <c r="R83" s="15"/>
      <c r="S83" s="15"/>
      <c r="T83" s="15"/>
      <c r="U83" s="15"/>
      <c r="V83" s="15"/>
      <c r="W83" s="15"/>
      <c r="X83" s="15"/>
      <c r="Y83" s="15"/>
      <c r="Z83" s="15"/>
    </row>
    <row r="84" spans="1:26" ht="15.75" x14ac:dyDescent="0.25">
      <c r="A84" s="74" t="s">
        <v>1597</v>
      </c>
      <c r="B84" s="41"/>
      <c r="C84" s="43"/>
      <c r="D84" s="43"/>
      <c r="E84" s="43"/>
      <c r="F84" s="43"/>
      <c r="G84" s="43"/>
      <c r="H84" s="286">
        <v>50000000</v>
      </c>
      <c r="I84" s="286"/>
      <c r="J84" s="15"/>
      <c r="K84" s="16"/>
      <c r="L84" s="15"/>
      <c r="M84" s="15"/>
      <c r="N84" s="15"/>
      <c r="O84" s="15"/>
      <c r="P84" s="15"/>
      <c r="Q84" s="15"/>
      <c r="R84" s="15"/>
      <c r="S84" s="15"/>
      <c r="T84" s="15"/>
      <c r="U84" s="15"/>
      <c r="V84" s="15"/>
      <c r="W84" s="15"/>
      <c r="X84" s="15"/>
      <c r="Y84" s="15"/>
      <c r="Z84" s="15"/>
    </row>
    <row r="85" spans="1:26" ht="31.5" x14ac:dyDescent="0.25">
      <c r="A85" s="90" t="s">
        <v>1598</v>
      </c>
      <c r="B85" s="41"/>
      <c r="C85" s="43"/>
      <c r="D85" s="43"/>
      <c r="E85" s="43"/>
      <c r="F85" s="43"/>
      <c r="G85" s="43"/>
      <c r="H85" s="286">
        <v>14563542</v>
      </c>
      <c r="I85" s="286"/>
      <c r="J85" s="15"/>
      <c r="K85" s="16"/>
      <c r="L85" s="15"/>
      <c r="M85" s="15"/>
      <c r="N85" s="15"/>
      <c r="O85" s="15"/>
      <c r="P85" s="15"/>
      <c r="Q85" s="15"/>
      <c r="R85" s="15"/>
      <c r="S85" s="15"/>
      <c r="T85" s="15"/>
      <c r="U85" s="15"/>
      <c r="V85" s="15"/>
      <c r="W85" s="15"/>
      <c r="X85" s="15"/>
      <c r="Y85" s="15"/>
      <c r="Z85" s="15"/>
    </row>
    <row r="86" spans="1:26" ht="15.75" x14ac:dyDescent="0.25">
      <c r="A86" s="74" t="s">
        <v>1599</v>
      </c>
      <c r="B86" s="41"/>
      <c r="C86" s="43"/>
      <c r="D86" s="43"/>
      <c r="E86" s="43"/>
      <c r="F86" s="43"/>
      <c r="G86" s="43"/>
      <c r="H86" s="286">
        <v>17502009</v>
      </c>
      <c r="I86" s="286"/>
      <c r="J86" s="15"/>
      <c r="K86" s="16"/>
      <c r="L86" s="15"/>
      <c r="M86" s="15"/>
      <c r="N86" s="15"/>
      <c r="O86" s="15"/>
      <c r="P86" s="15"/>
      <c r="Q86" s="15"/>
      <c r="R86" s="15"/>
      <c r="S86" s="15"/>
      <c r="T86" s="15"/>
      <c r="U86" s="15"/>
      <c r="V86" s="15"/>
      <c r="W86" s="15"/>
      <c r="X86" s="15"/>
      <c r="Y86" s="15"/>
      <c r="Z86" s="15"/>
    </row>
    <row r="87" spans="1:26" ht="31.5" x14ac:dyDescent="0.25">
      <c r="A87" s="90" t="s">
        <v>1600</v>
      </c>
      <c r="B87" s="41"/>
      <c r="C87" s="43"/>
      <c r="D87" s="43"/>
      <c r="E87" s="43"/>
      <c r="F87" s="43"/>
      <c r="G87" s="43"/>
      <c r="H87" s="286">
        <v>6399000</v>
      </c>
      <c r="I87" s="286"/>
      <c r="J87" s="15"/>
      <c r="K87" s="16"/>
      <c r="L87" s="15"/>
      <c r="M87" s="15"/>
      <c r="N87" s="15"/>
      <c r="O87" s="15"/>
      <c r="P87" s="15"/>
      <c r="Q87" s="15"/>
      <c r="R87" s="15"/>
      <c r="S87" s="15"/>
      <c r="T87" s="15"/>
      <c r="U87" s="15"/>
      <c r="V87" s="15"/>
      <c r="W87" s="15"/>
      <c r="X87" s="15"/>
      <c r="Y87" s="15"/>
      <c r="Z87" s="15"/>
    </row>
    <row r="88" spans="1:26" ht="15.75" x14ac:dyDescent="0.25">
      <c r="A88" s="44" t="s">
        <v>807</v>
      </c>
      <c r="B88" s="41" t="s">
        <v>209</v>
      </c>
      <c r="C88" s="43">
        <v>29749812.550000001</v>
      </c>
      <c r="D88" s="43">
        <v>15787585.75</v>
      </c>
      <c r="E88" s="43">
        <f>F88-D88</f>
        <v>14954964.25</v>
      </c>
      <c r="F88" s="43">
        <v>30742550</v>
      </c>
      <c r="G88" s="43">
        <f>29500807+4000000</f>
        <v>33500807</v>
      </c>
      <c r="H88" s="286"/>
      <c r="I88" s="286"/>
      <c r="J88" s="15"/>
      <c r="K88" s="16"/>
      <c r="L88" s="15"/>
      <c r="M88" s="15"/>
      <c r="N88" s="15"/>
      <c r="O88" s="15"/>
      <c r="P88" s="15"/>
      <c r="Q88" s="15"/>
      <c r="R88" s="15"/>
      <c r="S88" s="15"/>
      <c r="T88" s="15"/>
      <c r="U88" s="15"/>
      <c r="V88" s="15"/>
      <c r="W88" s="15"/>
      <c r="X88" s="15"/>
      <c r="Y88" s="15"/>
      <c r="Z88" s="15"/>
    </row>
    <row r="89" spans="1:26" ht="15.75" x14ac:dyDescent="0.25">
      <c r="A89" s="125" t="s">
        <v>1601</v>
      </c>
      <c r="B89" s="41"/>
      <c r="C89" s="43"/>
      <c r="D89" s="43"/>
      <c r="E89" s="43"/>
      <c r="F89" s="43"/>
      <c r="G89" s="43"/>
      <c r="H89" s="286">
        <v>20000000</v>
      </c>
      <c r="I89" s="286"/>
      <c r="J89" s="15"/>
      <c r="K89" s="16"/>
      <c r="L89" s="15"/>
      <c r="M89" s="15"/>
      <c r="N89" s="15"/>
      <c r="O89" s="15"/>
      <c r="P89" s="15"/>
      <c r="Q89" s="15"/>
      <c r="R89" s="15"/>
      <c r="S89" s="15"/>
      <c r="T89" s="15"/>
      <c r="U89" s="15"/>
      <c r="V89" s="15"/>
      <c r="W89" s="15"/>
      <c r="X89" s="15"/>
      <c r="Y89" s="15"/>
      <c r="Z89" s="15"/>
    </row>
    <row r="90" spans="1:26" ht="15.75" x14ac:dyDescent="0.25">
      <c r="A90" s="125" t="s">
        <v>1602</v>
      </c>
      <c r="B90" s="41"/>
      <c r="C90" s="43"/>
      <c r="D90" s="43"/>
      <c r="E90" s="43"/>
      <c r="F90" s="43"/>
      <c r="G90" s="43"/>
      <c r="H90" s="286">
        <v>9503696</v>
      </c>
      <c r="I90" s="286"/>
      <c r="J90" s="15"/>
      <c r="K90" s="16"/>
      <c r="L90" s="15"/>
      <c r="M90" s="15"/>
      <c r="N90" s="15"/>
      <c r="O90" s="15"/>
      <c r="P90" s="15"/>
      <c r="Q90" s="15"/>
      <c r="R90" s="15"/>
      <c r="S90" s="15"/>
      <c r="T90" s="15"/>
      <c r="U90" s="15"/>
      <c r="V90" s="15"/>
      <c r="W90" s="15"/>
      <c r="X90" s="15"/>
      <c r="Y90" s="15"/>
      <c r="Z90" s="15"/>
    </row>
    <row r="91" spans="1:26" ht="31.5" x14ac:dyDescent="0.25">
      <c r="A91" s="441" t="s">
        <v>1603</v>
      </c>
      <c r="B91" s="41"/>
      <c r="C91" s="43"/>
      <c r="D91" s="43"/>
      <c r="E91" s="43"/>
      <c r="F91" s="43"/>
      <c r="G91" s="43"/>
      <c r="H91" s="286">
        <v>23920</v>
      </c>
      <c r="I91" s="286"/>
      <c r="J91" s="15"/>
      <c r="K91" s="16"/>
      <c r="L91" s="15"/>
      <c r="M91" s="15"/>
      <c r="N91" s="15"/>
      <c r="O91" s="15"/>
      <c r="P91" s="15"/>
      <c r="Q91" s="15"/>
      <c r="R91" s="15"/>
      <c r="S91" s="15"/>
      <c r="T91" s="15"/>
      <c r="U91" s="15"/>
      <c r="V91" s="15"/>
      <c r="W91" s="15"/>
      <c r="X91" s="15"/>
      <c r="Y91" s="15"/>
      <c r="Z91" s="15"/>
    </row>
    <row r="92" spans="1:26" ht="31.5" x14ac:dyDescent="0.25">
      <c r="A92" s="441" t="s">
        <v>1604</v>
      </c>
      <c r="B92" s="41"/>
      <c r="C92" s="43"/>
      <c r="D92" s="43"/>
      <c r="E92" s="43"/>
      <c r="F92" s="43"/>
      <c r="G92" s="43"/>
      <c r="H92" s="286">
        <v>2242450</v>
      </c>
      <c r="I92" s="286"/>
      <c r="J92" s="15"/>
      <c r="K92" s="16"/>
      <c r="L92" s="15"/>
      <c r="M92" s="15"/>
      <c r="N92" s="15"/>
      <c r="O92" s="15"/>
      <c r="P92" s="15"/>
      <c r="Q92" s="15"/>
      <c r="R92" s="15"/>
      <c r="S92" s="15"/>
      <c r="T92" s="15"/>
      <c r="U92" s="15"/>
      <c r="V92" s="15"/>
      <c r="W92" s="15"/>
      <c r="X92" s="15"/>
      <c r="Y92" s="15"/>
      <c r="Z92" s="15"/>
    </row>
    <row r="93" spans="1:26" ht="31.5" x14ac:dyDescent="0.25">
      <c r="A93" s="90" t="s">
        <v>1605</v>
      </c>
      <c r="B93" s="41"/>
      <c r="C93" s="43"/>
      <c r="D93" s="43"/>
      <c r="E93" s="43"/>
      <c r="F93" s="43"/>
      <c r="G93" s="43"/>
      <c r="H93" s="286">
        <v>1730741</v>
      </c>
      <c r="I93" s="286"/>
      <c r="J93" s="15"/>
      <c r="K93" s="16"/>
      <c r="L93" s="15"/>
      <c r="M93" s="15"/>
      <c r="N93" s="15"/>
      <c r="O93" s="15"/>
      <c r="P93" s="15"/>
      <c r="Q93" s="15"/>
      <c r="R93" s="15"/>
      <c r="S93" s="15"/>
      <c r="T93" s="15"/>
      <c r="U93" s="15"/>
      <c r="V93" s="15"/>
      <c r="W93" s="15"/>
      <c r="X93" s="15"/>
      <c r="Y93" s="15"/>
      <c r="Z93" s="15"/>
    </row>
    <row r="94" spans="1:26" ht="15.75" x14ac:dyDescent="0.25">
      <c r="A94" s="302" t="s">
        <v>399</v>
      </c>
      <c r="B94" s="191" t="s">
        <v>211</v>
      </c>
      <c r="C94" s="66">
        <v>14801921.710000001</v>
      </c>
      <c r="D94" s="66">
        <v>5461454.2000000002</v>
      </c>
      <c r="E94" s="66">
        <f t="shared" ref="E94:E95" si="6">F94-D94</f>
        <v>13399100.800000001</v>
      </c>
      <c r="F94" s="66">
        <v>18860555</v>
      </c>
      <c r="G94" s="66">
        <v>18860555</v>
      </c>
      <c r="H94" s="286"/>
      <c r="I94" s="286"/>
      <c r="J94" s="15"/>
      <c r="K94" s="16"/>
      <c r="L94" s="15"/>
      <c r="M94" s="15"/>
      <c r="N94" s="15"/>
      <c r="O94" s="15"/>
      <c r="P94" s="15"/>
      <c r="Q94" s="15"/>
      <c r="R94" s="15"/>
      <c r="S94" s="15"/>
      <c r="T94" s="15"/>
      <c r="U94" s="15"/>
      <c r="V94" s="15"/>
      <c r="W94" s="15"/>
      <c r="X94" s="15"/>
      <c r="Y94" s="15"/>
      <c r="Z94" s="15"/>
    </row>
    <row r="95" spans="1:26" ht="15.75" x14ac:dyDescent="0.25">
      <c r="A95" s="302" t="s">
        <v>400</v>
      </c>
      <c r="B95" s="191" t="s">
        <v>221</v>
      </c>
      <c r="C95" s="66">
        <v>0</v>
      </c>
      <c r="D95" s="66">
        <v>590400</v>
      </c>
      <c r="E95" s="66">
        <f t="shared" si="6"/>
        <v>536164</v>
      </c>
      <c r="F95" s="66">
        <f>1096564+30000</f>
        <v>1126564</v>
      </c>
      <c r="G95" s="66">
        <f>8173322-100000</f>
        <v>8073322</v>
      </c>
      <c r="H95" s="286"/>
      <c r="I95" s="287"/>
      <c r="J95" s="15"/>
      <c r="K95" s="16"/>
      <c r="L95" s="15"/>
      <c r="M95" s="15"/>
      <c r="N95" s="15"/>
      <c r="O95" s="15"/>
      <c r="P95" s="15"/>
      <c r="Q95" s="15"/>
      <c r="R95" s="15"/>
      <c r="S95" s="15"/>
      <c r="T95" s="15"/>
      <c r="U95" s="15"/>
      <c r="V95" s="15"/>
      <c r="W95" s="15"/>
      <c r="X95" s="15"/>
      <c r="Y95" s="15"/>
      <c r="Z95" s="15"/>
    </row>
    <row r="96" spans="1:26" ht="15.75" customHeight="1" x14ac:dyDescent="0.25">
      <c r="A96" s="74" t="s">
        <v>1606</v>
      </c>
      <c r="B96" s="127"/>
      <c r="C96" s="46"/>
      <c r="D96" s="46"/>
      <c r="E96" s="46"/>
      <c r="F96" s="46"/>
      <c r="G96" s="46"/>
      <c r="H96" s="286">
        <f>6357972-100000</f>
        <v>6257972</v>
      </c>
      <c r="I96" s="287"/>
      <c r="J96" s="15"/>
      <c r="K96" s="16"/>
      <c r="L96" s="15"/>
      <c r="M96" s="15"/>
      <c r="N96" s="15"/>
      <c r="O96" s="15"/>
      <c r="P96" s="15"/>
      <c r="Q96" s="15"/>
      <c r="R96" s="15"/>
      <c r="S96" s="15"/>
      <c r="T96" s="15"/>
      <c r="U96" s="15"/>
      <c r="V96" s="15"/>
      <c r="W96" s="15"/>
      <c r="X96" s="15"/>
      <c r="Y96" s="15"/>
      <c r="Z96" s="15"/>
    </row>
    <row r="97" spans="1:26" ht="15.75" x14ac:dyDescent="0.25">
      <c r="A97" s="125" t="s">
        <v>1607</v>
      </c>
      <c r="B97" s="191"/>
      <c r="C97" s="66"/>
      <c r="D97" s="66"/>
      <c r="E97" s="66"/>
      <c r="F97" s="66"/>
      <c r="G97" s="46"/>
      <c r="H97" s="286">
        <v>1148520</v>
      </c>
      <c r="I97" s="287"/>
      <c r="J97" s="15"/>
      <c r="K97" s="16"/>
      <c r="L97" s="15"/>
      <c r="M97" s="15"/>
      <c r="N97" s="15"/>
      <c r="O97" s="15"/>
      <c r="P97" s="15"/>
      <c r="Q97" s="15"/>
      <c r="R97" s="15"/>
      <c r="S97" s="15"/>
      <c r="T97" s="15"/>
      <c r="U97" s="15"/>
      <c r="V97" s="15"/>
      <c r="W97" s="15"/>
      <c r="X97" s="15"/>
      <c r="Y97" s="15"/>
      <c r="Z97" s="15"/>
    </row>
    <row r="98" spans="1:26" ht="31.5" x14ac:dyDescent="0.25">
      <c r="A98" s="441" t="s">
        <v>1608</v>
      </c>
      <c r="B98" s="191"/>
      <c r="C98" s="66"/>
      <c r="D98" s="66"/>
      <c r="E98" s="66"/>
      <c r="F98" s="66"/>
      <c r="G98" s="46"/>
      <c r="H98" s="286">
        <v>68575</v>
      </c>
      <c r="I98" s="287"/>
      <c r="J98" s="15"/>
      <c r="K98" s="16"/>
      <c r="L98" s="15"/>
      <c r="M98" s="15"/>
      <c r="N98" s="15"/>
      <c r="O98" s="15"/>
      <c r="P98" s="15"/>
      <c r="Q98" s="15"/>
      <c r="R98" s="15"/>
      <c r="S98" s="15"/>
      <c r="T98" s="15"/>
      <c r="U98" s="15"/>
      <c r="V98" s="15"/>
      <c r="W98" s="15"/>
      <c r="X98" s="15"/>
      <c r="Y98" s="15"/>
      <c r="Z98" s="15"/>
    </row>
    <row r="99" spans="1:26" ht="31.5" x14ac:dyDescent="0.25">
      <c r="A99" s="626" t="s">
        <v>1609</v>
      </c>
      <c r="B99" s="668"/>
      <c r="C99" s="669"/>
      <c r="D99" s="669"/>
      <c r="E99" s="669"/>
      <c r="F99" s="669"/>
      <c r="G99" s="670"/>
      <c r="H99" s="286">
        <v>582800</v>
      </c>
      <c r="I99" s="287"/>
      <c r="J99" s="15"/>
      <c r="K99" s="16"/>
      <c r="L99" s="15"/>
      <c r="M99" s="15"/>
      <c r="N99" s="15"/>
      <c r="O99" s="15"/>
      <c r="P99" s="15"/>
      <c r="Q99" s="15"/>
      <c r="R99" s="15"/>
      <c r="S99" s="15"/>
      <c r="T99" s="15"/>
      <c r="U99" s="15"/>
      <c r="V99" s="15"/>
      <c r="W99" s="15"/>
      <c r="X99" s="15"/>
      <c r="Y99" s="15"/>
      <c r="Z99" s="15"/>
    </row>
    <row r="100" spans="1:26" ht="15.75" x14ac:dyDescent="0.25">
      <c r="A100" s="671" t="s">
        <v>1610</v>
      </c>
      <c r="B100" s="672"/>
      <c r="C100" s="673"/>
      <c r="D100" s="673"/>
      <c r="E100" s="673"/>
      <c r="F100" s="673"/>
      <c r="G100" s="674"/>
      <c r="H100" s="286">
        <v>15455</v>
      </c>
      <c r="I100" s="287"/>
      <c r="J100" s="15"/>
      <c r="K100" s="16"/>
      <c r="L100" s="15"/>
      <c r="M100" s="15"/>
      <c r="N100" s="15"/>
      <c r="O100" s="15"/>
      <c r="P100" s="15"/>
      <c r="Q100" s="15"/>
      <c r="R100" s="15"/>
      <c r="S100" s="15"/>
      <c r="T100" s="15"/>
      <c r="U100" s="15"/>
      <c r="V100" s="15"/>
      <c r="W100" s="15"/>
      <c r="X100" s="15"/>
      <c r="Y100" s="15"/>
      <c r="Z100" s="15"/>
    </row>
    <row r="101" spans="1:26" ht="15.75" x14ac:dyDescent="0.25">
      <c r="A101" s="302" t="s">
        <v>538</v>
      </c>
      <c r="B101" s="191" t="s">
        <v>223</v>
      </c>
      <c r="C101" s="66">
        <v>0</v>
      </c>
      <c r="D101" s="66">
        <v>0</v>
      </c>
      <c r="E101" s="66">
        <v>0</v>
      </c>
      <c r="F101" s="66">
        <v>0</v>
      </c>
      <c r="G101" s="66">
        <f>300000+204500+450000</f>
        <v>954500</v>
      </c>
      <c r="H101" s="286"/>
      <c r="I101" s="287"/>
      <c r="J101" s="15"/>
      <c r="K101" s="16"/>
      <c r="L101" s="15"/>
      <c r="M101" s="15"/>
      <c r="N101" s="15"/>
      <c r="O101" s="15"/>
      <c r="P101" s="15"/>
      <c r="Q101" s="15"/>
      <c r="R101" s="15"/>
      <c r="S101" s="15"/>
      <c r="T101" s="15"/>
      <c r="U101" s="15"/>
      <c r="V101" s="15"/>
      <c r="W101" s="15"/>
      <c r="X101" s="15"/>
      <c r="Y101" s="15"/>
      <c r="Z101" s="15"/>
    </row>
    <row r="102" spans="1:26" ht="15.75" x14ac:dyDescent="0.25">
      <c r="A102" s="74" t="s">
        <v>1611</v>
      </c>
      <c r="B102" s="191"/>
      <c r="C102" s="66"/>
      <c r="D102" s="66"/>
      <c r="E102" s="66"/>
      <c r="F102" s="66"/>
      <c r="G102" s="66"/>
      <c r="H102" s="286">
        <v>300000</v>
      </c>
      <c r="I102" s="287">
        <f>H102+450000</f>
        <v>750000</v>
      </c>
      <c r="J102" s="15"/>
      <c r="K102" s="16"/>
      <c r="L102" s="15"/>
      <c r="M102" s="15"/>
      <c r="N102" s="15"/>
      <c r="O102" s="15"/>
      <c r="P102" s="15"/>
      <c r="Q102" s="15"/>
      <c r="R102" s="15"/>
      <c r="S102" s="15"/>
      <c r="T102" s="15"/>
      <c r="U102" s="15"/>
      <c r="V102" s="15"/>
      <c r="W102" s="15"/>
      <c r="X102" s="15"/>
      <c r="Y102" s="15"/>
      <c r="Z102" s="15"/>
    </row>
    <row r="103" spans="1:26" ht="15.75" x14ac:dyDescent="0.25">
      <c r="A103" s="125" t="s">
        <v>1612</v>
      </c>
      <c r="B103" s="191"/>
      <c r="C103" s="66"/>
      <c r="D103" s="66"/>
      <c r="E103" s="66"/>
      <c r="F103" s="66"/>
      <c r="G103" s="66"/>
      <c r="H103" s="286">
        <v>204500</v>
      </c>
      <c r="I103" s="287">
        <f>I102+H103</f>
        <v>954500</v>
      </c>
      <c r="J103" s="15"/>
      <c r="K103" s="16"/>
      <c r="L103" s="15"/>
      <c r="M103" s="15"/>
      <c r="N103" s="15"/>
      <c r="O103" s="15"/>
      <c r="P103" s="15"/>
      <c r="Q103" s="15"/>
      <c r="R103" s="15"/>
      <c r="S103" s="15"/>
      <c r="T103" s="15"/>
      <c r="U103" s="15"/>
      <c r="V103" s="15"/>
      <c r="W103" s="15"/>
      <c r="X103" s="15"/>
      <c r="Y103" s="15"/>
      <c r="Z103" s="15"/>
    </row>
    <row r="104" spans="1:26" ht="15.75" x14ac:dyDescent="0.25">
      <c r="A104" s="302" t="s">
        <v>402</v>
      </c>
      <c r="B104" s="191" t="s">
        <v>225</v>
      </c>
      <c r="C104" s="66">
        <v>17955879.57</v>
      </c>
      <c r="D104" s="66">
        <v>3638683.21</v>
      </c>
      <c r="E104" s="66">
        <f>F104-D104</f>
        <v>5006281.79</v>
      </c>
      <c r="F104" s="66">
        <v>8644965</v>
      </c>
      <c r="G104" s="66">
        <v>8402152</v>
      </c>
      <c r="H104" s="286"/>
      <c r="I104" s="287"/>
      <c r="J104" s="15"/>
      <c r="K104" s="16"/>
      <c r="L104" s="15"/>
      <c r="M104" s="15"/>
      <c r="N104" s="15"/>
      <c r="O104" s="15"/>
      <c r="P104" s="15"/>
      <c r="Q104" s="15"/>
      <c r="R104" s="15"/>
      <c r="S104" s="15"/>
      <c r="T104" s="15"/>
      <c r="U104" s="15"/>
      <c r="V104" s="15"/>
      <c r="W104" s="15"/>
      <c r="X104" s="15"/>
      <c r="Y104" s="15"/>
      <c r="Z104" s="15"/>
    </row>
    <row r="105" spans="1:26" ht="15.75" customHeight="1" x14ac:dyDescent="0.25">
      <c r="A105" s="74" t="s">
        <v>1613</v>
      </c>
      <c r="B105" s="191"/>
      <c r="C105" s="66"/>
      <c r="D105" s="66"/>
      <c r="E105" s="66"/>
      <c r="F105" s="66"/>
      <c r="G105" s="46"/>
      <c r="H105" s="286">
        <v>5605582</v>
      </c>
      <c r="I105" s="286"/>
      <c r="J105" s="14"/>
      <c r="K105" s="16"/>
      <c r="L105" s="15"/>
      <c r="M105" s="15"/>
      <c r="N105" s="15"/>
      <c r="O105" s="15"/>
      <c r="P105" s="15"/>
      <c r="Q105" s="15"/>
      <c r="R105" s="15"/>
      <c r="S105" s="15"/>
      <c r="T105" s="15"/>
      <c r="U105" s="15"/>
      <c r="V105" s="15"/>
      <c r="W105" s="15"/>
      <c r="X105" s="15"/>
      <c r="Y105" s="15"/>
      <c r="Z105" s="15"/>
    </row>
    <row r="106" spans="1:26" ht="31.5" x14ac:dyDescent="0.25">
      <c r="A106" s="562" t="s">
        <v>1614</v>
      </c>
      <c r="B106" s="560"/>
      <c r="C106" s="561"/>
      <c r="D106" s="561"/>
      <c r="E106" s="561"/>
      <c r="F106" s="561"/>
      <c r="G106" s="563"/>
      <c r="H106" s="286">
        <v>1012500</v>
      </c>
      <c r="I106" s="286"/>
      <c r="J106" s="14"/>
      <c r="K106" s="16"/>
      <c r="L106" s="15"/>
      <c r="M106" s="15"/>
      <c r="N106" s="15"/>
      <c r="O106" s="15"/>
      <c r="P106" s="15"/>
      <c r="Q106" s="15"/>
      <c r="R106" s="15"/>
      <c r="S106" s="15"/>
      <c r="T106" s="15"/>
      <c r="U106" s="15"/>
      <c r="V106" s="15"/>
      <c r="W106" s="15"/>
      <c r="X106" s="15"/>
      <c r="Y106" s="15"/>
      <c r="Z106" s="15"/>
    </row>
    <row r="107" spans="1:26" ht="31.5" x14ac:dyDescent="0.25">
      <c r="A107" s="562" t="s">
        <v>1615</v>
      </c>
      <c r="B107" s="560"/>
      <c r="C107" s="561"/>
      <c r="D107" s="561"/>
      <c r="E107" s="561"/>
      <c r="F107" s="561"/>
      <c r="G107" s="563"/>
      <c r="H107" s="286">
        <v>17519</v>
      </c>
      <c r="I107" s="286"/>
      <c r="J107" s="14"/>
      <c r="K107" s="16"/>
      <c r="L107" s="15"/>
      <c r="M107" s="15"/>
      <c r="N107" s="15"/>
      <c r="O107" s="15"/>
      <c r="P107" s="15"/>
      <c r="Q107" s="15"/>
      <c r="R107" s="15"/>
      <c r="S107" s="15"/>
      <c r="T107" s="15"/>
      <c r="U107" s="15"/>
      <c r="V107" s="15"/>
      <c r="W107" s="15"/>
      <c r="X107" s="15"/>
      <c r="Y107" s="15"/>
      <c r="Z107" s="15"/>
    </row>
    <row r="108" spans="1:26" ht="31.5" x14ac:dyDescent="0.25">
      <c r="A108" s="465" t="s">
        <v>1616</v>
      </c>
      <c r="B108" s="560"/>
      <c r="C108" s="561"/>
      <c r="D108" s="561"/>
      <c r="E108" s="561"/>
      <c r="F108" s="561"/>
      <c r="G108" s="563"/>
      <c r="H108" s="286">
        <v>81673</v>
      </c>
      <c r="I108" s="286"/>
      <c r="J108" s="14"/>
      <c r="K108" s="16"/>
      <c r="L108" s="15"/>
      <c r="M108" s="15"/>
      <c r="N108" s="15"/>
      <c r="O108" s="15"/>
      <c r="P108" s="15"/>
      <c r="Q108" s="15"/>
      <c r="R108" s="15"/>
      <c r="S108" s="15"/>
      <c r="T108" s="15"/>
      <c r="U108" s="15"/>
      <c r="V108" s="15"/>
      <c r="W108" s="15"/>
      <c r="X108" s="15"/>
      <c r="Y108" s="15"/>
      <c r="Z108" s="15"/>
    </row>
    <row r="109" spans="1:26" ht="15.75" x14ac:dyDescent="0.25">
      <c r="A109" s="125" t="s">
        <v>1617</v>
      </c>
      <c r="B109" s="191"/>
      <c r="C109" s="66"/>
      <c r="D109" s="66"/>
      <c r="E109" s="66"/>
      <c r="F109" s="66"/>
      <c r="G109" s="46"/>
      <c r="H109" s="286">
        <v>1269000</v>
      </c>
      <c r="I109" s="286"/>
      <c r="J109" s="14"/>
      <c r="K109" s="16"/>
      <c r="L109" s="15"/>
      <c r="M109" s="15"/>
      <c r="N109" s="15"/>
      <c r="O109" s="15"/>
      <c r="P109" s="15"/>
      <c r="Q109" s="15"/>
      <c r="R109" s="15"/>
      <c r="S109" s="15"/>
      <c r="T109" s="15"/>
      <c r="U109" s="15"/>
      <c r="V109" s="15"/>
      <c r="W109" s="15"/>
      <c r="X109" s="15"/>
      <c r="Y109" s="15"/>
      <c r="Z109" s="15"/>
    </row>
    <row r="110" spans="1:26" ht="15.75" x14ac:dyDescent="0.25">
      <c r="A110" s="125" t="s">
        <v>1618</v>
      </c>
      <c r="B110" s="191"/>
      <c r="C110" s="66"/>
      <c r="D110" s="66"/>
      <c r="E110" s="66"/>
      <c r="F110" s="66"/>
      <c r="G110" s="46"/>
      <c r="H110" s="286">
        <v>115878</v>
      </c>
      <c r="I110" s="286"/>
      <c r="J110" s="14"/>
      <c r="K110" s="16"/>
      <c r="L110" s="15"/>
      <c r="M110" s="15"/>
      <c r="N110" s="15"/>
      <c r="O110" s="15"/>
      <c r="P110" s="15"/>
      <c r="Q110" s="15"/>
      <c r="R110" s="15"/>
      <c r="S110" s="15"/>
      <c r="T110" s="15"/>
      <c r="U110" s="15"/>
      <c r="V110" s="15"/>
      <c r="W110" s="15"/>
      <c r="X110" s="15"/>
      <c r="Y110" s="15"/>
      <c r="Z110" s="15"/>
    </row>
    <row r="111" spans="1:26" ht="15.75" x14ac:dyDescent="0.25">
      <c r="A111" s="125" t="s">
        <v>1619</v>
      </c>
      <c r="B111" s="191"/>
      <c r="C111" s="66"/>
      <c r="D111" s="66"/>
      <c r="E111" s="66"/>
      <c r="F111" s="66"/>
      <c r="G111" s="46"/>
      <c r="H111" s="286">
        <v>300000</v>
      </c>
      <c r="I111" s="286"/>
      <c r="J111" s="14"/>
      <c r="K111" s="16"/>
      <c r="L111" s="15"/>
      <c r="M111" s="15"/>
      <c r="N111" s="15"/>
      <c r="O111" s="15"/>
      <c r="P111" s="15"/>
      <c r="Q111" s="15"/>
      <c r="R111" s="15"/>
      <c r="S111" s="15"/>
      <c r="T111" s="15"/>
      <c r="U111" s="15"/>
      <c r="V111" s="15"/>
      <c r="W111" s="15"/>
      <c r="X111" s="15"/>
      <c r="Y111" s="15"/>
      <c r="Z111" s="15"/>
    </row>
    <row r="112" spans="1:26" ht="15.75" x14ac:dyDescent="0.25">
      <c r="A112" s="145" t="s">
        <v>503</v>
      </c>
      <c r="B112" s="191"/>
      <c r="C112" s="66"/>
      <c r="D112" s="66"/>
      <c r="E112" s="66"/>
      <c r="F112" s="66"/>
      <c r="G112" s="46"/>
      <c r="H112" s="286"/>
      <c r="I112" s="286"/>
      <c r="J112" s="14"/>
      <c r="K112" s="16"/>
      <c r="L112" s="15"/>
      <c r="M112" s="15"/>
      <c r="N112" s="15"/>
      <c r="O112" s="15"/>
      <c r="P112" s="15"/>
      <c r="Q112" s="15"/>
      <c r="R112" s="15"/>
      <c r="S112" s="15"/>
      <c r="T112" s="15"/>
      <c r="U112" s="15"/>
      <c r="V112" s="15"/>
      <c r="W112" s="15"/>
      <c r="X112" s="15"/>
      <c r="Y112" s="15"/>
      <c r="Z112" s="15"/>
    </row>
    <row r="113" spans="1:26" ht="15.75" x14ac:dyDescent="0.25">
      <c r="A113" s="302" t="s">
        <v>643</v>
      </c>
      <c r="B113" s="191" t="s">
        <v>233</v>
      </c>
      <c r="C113" s="66">
        <v>54515.76</v>
      </c>
      <c r="D113" s="66">
        <v>26338.7</v>
      </c>
      <c r="E113" s="66">
        <f t="shared" ref="E113:E114" si="7">F113-D113</f>
        <v>39661.300000000003</v>
      </c>
      <c r="F113" s="66">
        <v>66000</v>
      </c>
      <c r="G113" s="66">
        <v>66000</v>
      </c>
      <c r="H113" s="286"/>
      <c r="I113" s="286"/>
      <c r="J113" s="15"/>
      <c r="K113" s="16"/>
      <c r="L113" s="15"/>
      <c r="M113" s="15"/>
      <c r="N113" s="15"/>
      <c r="O113" s="15"/>
      <c r="P113" s="15"/>
      <c r="Q113" s="15"/>
      <c r="R113" s="15"/>
      <c r="S113" s="15"/>
      <c r="T113" s="15"/>
      <c r="U113" s="15"/>
      <c r="V113" s="15"/>
      <c r="W113" s="15"/>
      <c r="X113" s="15"/>
      <c r="Y113" s="15"/>
      <c r="Z113" s="15"/>
    </row>
    <row r="114" spans="1:26" ht="15.75" x14ac:dyDescent="0.25">
      <c r="A114" s="302" t="s">
        <v>405</v>
      </c>
      <c r="B114" s="191" t="s">
        <v>235</v>
      </c>
      <c r="C114" s="66">
        <v>60851.45</v>
      </c>
      <c r="D114" s="66">
        <f>43375.05+5940</f>
        <v>49315.05</v>
      </c>
      <c r="E114" s="66">
        <f t="shared" si="7"/>
        <v>380284.95</v>
      </c>
      <c r="F114" s="66">
        <f>417600+12000</f>
        <v>429600</v>
      </c>
      <c r="G114" s="66">
        <f>(2000+2500)*12</f>
        <v>54000</v>
      </c>
      <c r="H114" s="286"/>
      <c r="I114" s="286"/>
      <c r="J114" s="15"/>
      <c r="K114" s="16"/>
      <c r="L114" s="15"/>
      <c r="M114" s="15"/>
      <c r="N114" s="15"/>
      <c r="O114" s="15"/>
      <c r="P114" s="15"/>
      <c r="Q114" s="15"/>
      <c r="R114" s="15"/>
      <c r="S114" s="15"/>
      <c r="T114" s="15"/>
      <c r="U114" s="15"/>
      <c r="V114" s="15"/>
      <c r="W114" s="15"/>
      <c r="X114" s="15"/>
      <c r="Y114" s="15"/>
      <c r="Z114" s="15"/>
    </row>
    <row r="115" spans="1:26" ht="15.75" x14ac:dyDescent="0.25">
      <c r="A115" s="302" t="s">
        <v>1620</v>
      </c>
      <c r="B115" s="191" t="s">
        <v>237</v>
      </c>
      <c r="C115" s="66">
        <v>0</v>
      </c>
      <c r="D115" s="66">
        <v>0</v>
      </c>
      <c r="E115" s="66">
        <v>44400</v>
      </c>
      <c r="F115" s="66">
        <v>44400</v>
      </c>
      <c r="G115" s="565">
        <f>49200+364800+30400</f>
        <v>444400</v>
      </c>
      <c r="H115" s="286"/>
      <c r="I115" s="286"/>
      <c r="J115" s="15"/>
      <c r="K115" s="16"/>
      <c r="L115" s="15"/>
      <c r="M115" s="15"/>
      <c r="N115" s="15"/>
      <c r="O115" s="15"/>
      <c r="P115" s="15"/>
      <c r="Q115" s="15"/>
      <c r="R115" s="15"/>
      <c r="S115" s="15"/>
      <c r="T115" s="15"/>
      <c r="U115" s="15"/>
      <c r="V115" s="15"/>
      <c r="W115" s="15"/>
      <c r="X115" s="15"/>
      <c r="Y115" s="15"/>
      <c r="Z115" s="15"/>
    </row>
    <row r="116" spans="1:26" ht="15.75" x14ac:dyDescent="0.25">
      <c r="A116" s="125" t="s">
        <v>2780</v>
      </c>
      <c r="B116" s="191"/>
      <c r="C116" s="66"/>
      <c r="D116" s="66"/>
      <c r="E116" s="66"/>
      <c r="F116" s="66"/>
      <c r="G116" s="46"/>
      <c r="H116" s="286"/>
      <c r="I116" s="286"/>
      <c r="J116" s="15"/>
      <c r="K116" s="16"/>
      <c r="L116" s="15"/>
      <c r="M116" s="15"/>
      <c r="N116" s="15"/>
      <c r="O116" s="15"/>
      <c r="P116" s="15"/>
      <c r="Q116" s="15"/>
      <c r="R116" s="15"/>
      <c r="S116" s="15"/>
      <c r="T116" s="15"/>
      <c r="U116" s="15"/>
      <c r="V116" s="15"/>
      <c r="W116" s="15"/>
      <c r="X116" s="15"/>
      <c r="Y116" s="15"/>
      <c r="Z116" s="15"/>
    </row>
    <row r="117" spans="1:26" ht="15.75" x14ac:dyDescent="0.25">
      <c r="A117" s="125" t="s">
        <v>2779</v>
      </c>
      <c r="B117" s="566"/>
      <c r="C117" s="567"/>
      <c r="D117" s="567"/>
      <c r="E117" s="567"/>
      <c r="F117" s="567"/>
      <c r="G117" s="568"/>
      <c r="H117" s="286"/>
      <c r="I117" s="286"/>
      <c r="J117" s="15"/>
      <c r="K117" s="16"/>
      <c r="L117" s="15"/>
      <c r="M117" s="15"/>
      <c r="N117" s="15"/>
      <c r="O117" s="15"/>
      <c r="P117" s="15"/>
      <c r="Q117" s="15"/>
      <c r="R117" s="15"/>
      <c r="S117" s="15"/>
      <c r="T117" s="15"/>
      <c r="U117" s="15"/>
      <c r="V117" s="15"/>
      <c r="W117" s="15"/>
      <c r="X117" s="15"/>
      <c r="Y117" s="15"/>
      <c r="Z117" s="15"/>
    </row>
    <row r="118" spans="1:26" ht="15.75" x14ac:dyDescent="0.25">
      <c r="A118" s="125" t="s">
        <v>2778</v>
      </c>
      <c r="B118" s="566"/>
      <c r="C118" s="567"/>
      <c r="D118" s="567"/>
      <c r="E118" s="567"/>
      <c r="F118" s="567"/>
      <c r="G118" s="568"/>
      <c r="H118" s="286"/>
      <c r="I118" s="286"/>
      <c r="J118" s="15"/>
      <c r="K118" s="16"/>
      <c r="L118" s="15"/>
      <c r="M118" s="15"/>
      <c r="N118" s="15"/>
      <c r="O118" s="15"/>
      <c r="P118" s="15"/>
      <c r="Q118" s="15"/>
      <c r="R118" s="15"/>
      <c r="S118" s="15"/>
      <c r="T118" s="15"/>
      <c r="U118" s="15"/>
      <c r="V118" s="15"/>
      <c r="W118" s="15"/>
      <c r="X118" s="15"/>
      <c r="Y118" s="15"/>
      <c r="Z118" s="15"/>
    </row>
    <row r="119" spans="1:26" ht="15.75" x14ac:dyDescent="0.25">
      <c r="A119" s="145" t="s">
        <v>506</v>
      </c>
      <c r="B119" s="191"/>
      <c r="C119" s="66"/>
      <c r="D119" s="66"/>
      <c r="E119" s="66"/>
      <c r="F119" s="66"/>
      <c r="G119" s="46"/>
      <c r="H119" s="286"/>
      <c r="I119" s="286"/>
      <c r="J119" s="15"/>
      <c r="K119" s="16"/>
      <c r="L119" s="15"/>
      <c r="M119" s="15"/>
      <c r="N119" s="15"/>
      <c r="O119" s="15"/>
      <c r="P119" s="15"/>
      <c r="Q119" s="15"/>
      <c r="R119" s="15"/>
      <c r="S119" s="15"/>
      <c r="T119" s="15"/>
      <c r="U119" s="15"/>
      <c r="V119" s="15"/>
      <c r="W119" s="15"/>
      <c r="X119" s="15"/>
      <c r="Y119" s="15"/>
      <c r="Z119" s="15"/>
    </row>
    <row r="120" spans="1:26" ht="15.75" customHeight="1" x14ac:dyDescent="0.25">
      <c r="A120" s="302" t="s">
        <v>838</v>
      </c>
      <c r="B120" s="304" t="s">
        <v>285</v>
      </c>
      <c r="C120" s="305">
        <v>0</v>
      </c>
      <c r="D120" s="66">
        <v>0</v>
      </c>
      <c r="E120" s="66">
        <v>180000</v>
      </c>
      <c r="F120" s="305">
        <v>180000</v>
      </c>
      <c r="G120" s="66">
        <v>815000</v>
      </c>
      <c r="H120" s="286"/>
      <c r="I120" s="286"/>
      <c r="J120" s="15"/>
      <c r="K120" s="16"/>
      <c r="L120" s="15"/>
      <c r="M120" s="15"/>
      <c r="N120" s="15"/>
      <c r="O120" s="15"/>
      <c r="P120" s="15"/>
      <c r="Q120" s="15"/>
      <c r="R120" s="15"/>
      <c r="S120" s="15"/>
      <c r="T120" s="15"/>
      <c r="U120" s="15"/>
      <c r="V120" s="15"/>
      <c r="W120" s="15"/>
      <c r="X120" s="15"/>
      <c r="Y120" s="15"/>
      <c r="Z120" s="15"/>
    </row>
    <row r="121" spans="1:26" ht="15.75" customHeight="1" x14ac:dyDescent="0.25">
      <c r="A121" s="74" t="s">
        <v>1621</v>
      </c>
      <c r="B121" s="304"/>
      <c r="C121" s="305"/>
      <c r="D121" s="66"/>
      <c r="E121" s="66"/>
      <c r="F121" s="305"/>
      <c r="G121" s="46"/>
      <c r="H121" s="286"/>
      <c r="I121" s="286"/>
      <c r="J121" s="15"/>
      <c r="K121" s="16"/>
      <c r="L121" s="15"/>
      <c r="M121" s="15"/>
      <c r="N121" s="15"/>
      <c r="O121" s="15"/>
      <c r="P121" s="15"/>
      <c r="Q121" s="15"/>
      <c r="R121" s="15"/>
      <c r="S121" s="15"/>
      <c r="T121" s="15"/>
      <c r="U121" s="15"/>
      <c r="V121" s="15"/>
      <c r="W121" s="15"/>
      <c r="X121" s="15"/>
      <c r="Y121" s="15"/>
      <c r="Z121" s="15"/>
    </row>
    <row r="122" spans="1:26" ht="31.5" x14ac:dyDescent="0.25">
      <c r="A122" s="441" t="s">
        <v>1622</v>
      </c>
      <c r="B122" s="304"/>
      <c r="C122" s="305"/>
      <c r="D122" s="66"/>
      <c r="E122" s="66"/>
      <c r="F122" s="305"/>
      <c r="G122" s="46"/>
      <c r="H122" s="286"/>
      <c r="I122" s="286"/>
      <c r="J122" s="15"/>
      <c r="K122" s="16"/>
      <c r="L122" s="15"/>
      <c r="M122" s="15"/>
      <c r="N122" s="15"/>
      <c r="O122" s="15"/>
      <c r="P122" s="15"/>
      <c r="Q122" s="15"/>
      <c r="R122" s="15"/>
      <c r="S122" s="15"/>
      <c r="T122" s="15"/>
      <c r="U122" s="15"/>
      <c r="V122" s="15"/>
      <c r="W122" s="15"/>
      <c r="X122" s="15"/>
      <c r="Y122" s="15"/>
      <c r="Z122" s="15"/>
    </row>
    <row r="123" spans="1:26" ht="15.75" x14ac:dyDescent="0.25">
      <c r="A123" s="302" t="s">
        <v>817</v>
      </c>
      <c r="B123" s="304" t="s">
        <v>287</v>
      </c>
      <c r="C123" s="305">
        <v>2492320</v>
      </c>
      <c r="D123" s="66">
        <v>1582716</v>
      </c>
      <c r="E123" s="66">
        <f>F123-D123</f>
        <v>917284</v>
      </c>
      <c r="F123" s="305">
        <v>2500000</v>
      </c>
      <c r="G123" s="66">
        <v>3500000</v>
      </c>
      <c r="H123" s="286"/>
      <c r="I123" s="286"/>
      <c r="J123" s="15"/>
      <c r="K123" s="16"/>
      <c r="L123" s="15"/>
      <c r="M123" s="15"/>
      <c r="N123" s="15"/>
      <c r="O123" s="15"/>
      <c r="P123" s="15"/>
      <c r="Q123" s="15"/>
      <c r="R123" s="15"/>
      <c r="S123" s="15"/>
      <c r="T123" s="15"/>
      <c r="U123" s="15"/>
      <c r="V123" s="15"/>
      <c r="W123" s="15"/>
      <c r="X123" s="15"/>
      <c r="Y123" s="15"/>
      <c r="Z123" s="15"/>
    </row>
    <row r="124" spans="1:26" ht="15.75" x14ac:dyDescent="0.25">
      <c r="A124" s="145" t="s">
        <v>511</v>
      </c>
      <c r="B124" s="304"/>
      <c r="C124" s="305"/>
      <c r="D124" s="66"/>
      <c r="E124" s="66"/>
      <c r="F124" s="305"/>
      <c r="G124" s="46"/>
      <c r="H124" s="286"/>
      <c r="I124" s="286"/>
      <c r="J124" s="15"/>
      <c r="K124" s="16"/>
      <c r="L124" s="15"/>
      <c r="M124" s="15"/>
      <c r="N124" s="15"/>
      <c r="O124" s="15"/>
      <c r="P124" s="15"/>
      <c r="Q124" s="15"/>
      <c r="R124" s="15"/>
      <c r="S124" s="15"/>
      <c r="T124" s="15"/>
      <c r="U124" s="15"/>
      <c r="V124" s="15"/>
      <c r="W124" s="15"/>
      <c r="X124" s="15"/>
      <c r="Y124" s="15"/>
      <c r="Z124" s="15"/>
    </row>
    <row r="125" spans="1:26" ht="15.75" x14ac:dyDescent="0.25">
      <c r="A125" s="302" t="s">
        <v>794</v>
      </c>
      <c r="B125" s="191" t="s">
        <v>321</v>
      </c>
      <c r="C125" s="66">
        <v>459840</v>
      </c>
      <c r="D125" s="305">
        <v>339910</v>
      </c>
      <c r="E125" s="66">
        <f>F125-D125</f>
        <v>615490</v>
      </c>
      <c r="F125" s="66">
        <v>955400</v>
      </c>
      <c r="G125" s="66">
        <v>905400</v>
      </c>
      <c r="H125" s="286"/>
      <c r="I125" s="286"/>
      <c r="J125" s="15"/>
      <c r="K125" s="16"/>
      <c r="L125" s="15"/>
      <c r="M125" s="15"/>
      <c r="N125" s="15"/>
      <c r="O125" s="15"/>
      <c r="P125" s="15"/>
      <c r="Q125" s="15"/>
      <c r="R125" s="15"/>
      <c r="S125" s="15"/>
      <c r="T125" s="15"/>
      <c r="U125" s="15"/>
      <c r="V125" s="15"/>
      <c r="W125" s="15"/>
      <c r="X125" s="15"/>
      <c r="Y125" s="15"/>
      <c r="Z125" s="15"/>
    </row>
    <row r="126" spans="1:26" ht="15.75" x14ac:dyDescent="0.25">
      <c r="A126" s="74" t="s">
        <v>1623</v>
      </c>
      <c r="B126" s="304"/>
      <c r="C126" s="305"/>
      <c r="D126" s="305"/>
      <c r="E126" s="66"/>
      <c r="F126" s="305"/>
      <c r="G126" s="46"/>
      <c r="H126" s="286"/>
      <c r="I126" s="286"/>
      <c r="J126" s="14"/>
      <c r="K126" s="16"/>
      <c r="L126" s="15"/>
      <c r="M126" s="15"/>
      <c r="N126" s="15"/>
      <c r="O126" s="15"/>
      <c r="P126" s="15"/>
      <c r="Q126" s="15"/>
      <c r="R126" s="15"/>
      <c r="S126" s="15"/>
      <c r="T126" s="15"/>
      <c r="U126" s="15"/>
      <c r="V126" s="15"/>
      <c r="W126" s="15"/>
      <c r="X126" s="15"/>
      <c r="Y126" s="15"/>
      <c r="Z126" s="15"/>
    </row>
    <row r="127" spans="1:26" ht="31.5" x14ac:dyDescent="0.25">
      <c r="A127" s="441" t="s">
        <v>1624</v>
      </c>
      <c r="B127" s="304"/>
      <c r="C127" s="305"/>
      <c r="D127" s="305"/>
      <c r="E127" s="66"/>
      <c r="F127" s="305"/>
      <c r="G127" s="46"/>
      <c r="H127" s="286"/>
      <c r="I127" s="286"/>
      <c r="J127" s="14"/>
      <c r="K127" s="16"/>
      <c r="L127" s="15"/>
      <c r="M127" s="15"/>
      <c r="N127" s="15"/>
      <c r="O127" s="15"/>
      <c r="P127" s="15"/>
      <c r="Q127" s="15"/>
      <c r="R127" s="15"/>
      <c r="S127" s="15"/>
      <c r="T127" s="15"/>
      <c r="U127" s="15"/>
      <c r="V127" s="15"/>
      <c r="W127" s="15"/>
      <c r="X127" s="15"/>
      <c r="Y127" s="15"/>
      <c r="Z127" s="15"/>
    </row>
    <row r="128" spans="1:26" ht="31.5" x14ac:dyDescent="0.25">
      <c r="A128" s="441" t="s">
        <v>1625</v>
      </c>
      <c r="B128" s="304"/>
      <c r="C128" s="305"/>
      <c r="D128" s="305"/>
      <c r="E128" s="66"/>
      <c r="F128" s="305"/>
      <c r="G128" s="46"/>
      <c r="H128" s="286"/>
      <c r="I128" s="286"/>
      <c r="J128" s="14"/>
      <c r="K128" s="16"/>
      <c r="L128" s="15"/>
      <c r="M128" s="15"/>
      <c r="N128" s="15"/>
      <c r="O128" s="15"/>
      <c r="P128" s="15"/>
      <c r="Q128" s="15"/>
      <c r="R128" s="15"/>
      <c r="S128" s="15"/>
      <c r="T128" s="15"/>
      <c r="U128" s="15"/>
      <c r="V128" s="15"/>
      <c r="W128" s="15"/>
      <c r="X128" s="15"/>
      <c r="Y128" s="15"/>
      <c r="Z128" s="15"/>
    </row>
    <row r="129" spans="1:26" ht="15.75" x14ac:dyDescent="0.25">
      <c r="A129" s="302" t="s">
        <v>645</v>
      </c>
      <c r="B129" s="304" t="s">
        <v>325</v>
      </c>
      <c r="C129" s="305">
        <v>0</v>
      </c>
      <c r="D129" s="305">
        <v>220</v>
      </c>
      <c r="E129" s="66">
        <f t="shared" ref="E129:E130" si="8">F129-D129</f>
        <v>49780</v>
      </c>
      <c r="F129" s="305">
        <v>50000</v>
      </c>
      <c r="G129" s="66">
        <v>50000</v>
      </c>
      <c r="H129" s="286"/>
      <c r="I129" s="286"/>
      <c r="J129" s="14"/>
      <c r="K129" s="16"/>
      <c r="L129" s="15"/>
      <c r="M129" s="15"/>
      <c r="N129" s="15"/>
      <c r="O129" s="15"/>
      <c r="P129" s="15"/>
      <c r="Q129" s="15"/>
      <c r="R129" s="15"/>
      <c r="S129" s="15"/>
      <c r="T129" s="15"/>
      <c r="U129" s="15"/>
      <c r="V129" s="15"/>
      <c r="W129" s="15"/>
      <c r="X129" s="15"/>
      <c r="Y129" s="15"/>
      <c r="Z129" s="15"/>
    </row>
    <row r="130" spans="1:26" ht="15.75" x14ac:dyDescent="0.25">
      <c r="A130" s="44" t="s">
        <v>424</v>
      </c>
      <c r="B130" s="20" t="s">
        <v>335</v>
      </c>
      <c r="C130" s="56">
        <f>46005424.27+2551929</f>
        <v>48557353.270000003</v>
      </c>
      <c r="D130" s="56">
        <f>23174099.97+1074379</f>
        <v>24248478.969999999</v>
      </c>
      <c r="E130" s="43">
        <f t="shared" si="8"/>
        <v>41109167.030000001</v>
      </c>
      <c r="F130" s="56">
        <f>62620046+2737600</f>
        <v>65357646</v>
      </c>
      <c r="G130" s="66">
        <v>125117590</v>
      </c>
      <c r="H130" s="306">
        <v>124754734</v>
      </c>
      <c r="I130" s="287">
        <f>G130-H130</f>
        <v>362856</v>
      </c>
      <c r="J130" s="14"/>
      <c r="K130" s="16"/>
      <c r="L130" s="14"/>
      <c r="M130" s="15"/>
      <c r="N130" s="15"/>
      <c r="O130" s="15"/>
      <c r="P130" s="15"/>
      <c r="Q130" s="15"/>
      <c r="R130" s="15"/>
      <c r="S130" s="15"/>
      <c r="T130" s="15"/>
      <c r="U130" s="15"/>
      <c r="V130" s="15"/>
      <c r="W130" s="15"/>
      <c r="X130" s="15"/>
      <c r="Y130" s="15"/>
      <c r="Z130" s="15"/>
    </row>
    <row r="131" spans="1:26" ht="15.75" x14ac:dyDescent="0.25">
      <c r="A131" s="74" t="s">
        <v>1626</v>
      </c>
      <c r="B131" s="20"/>
      <c r="C131" s="56"/>
      <c r="D131" s="56"/>
      <c r="E131" s="43"/>
      <c r="F131" s="56"/>
      <c r="G131" s="43"/>
      <c r="H131" s="307">
        <v>36000000</v>
      </c>
      <c r="I131" s="286"/>
      <c r="J131" s="308">
        <f>SUM(H131:H183)</f>
        <v>48442750</v>
      </c>
      <c r="K131" s="16">
        <v>48386750</v>
      </c>
      <c r="L131" s="14">
        <f>J131-K131</f>
        <v>56000</v>
      </c>
      <c r="M131" s="15"/>
      <c r="N131" s="15"/>
      <c r="O131" s="15"/>
      <c r="P131" s="15"/>
      <c r="Q131" s="15"/>
      <c r="R131" s="15"/>
      <c r="S131" s="15"/>
      <c r="T131" s="15"/>
      <c r="U131" s="15"/>
      <c r="V131" s="15"/>
      <c r="W131" s="15"/>
      <c r="X131" s="15"/>
      <c r="Y131" s="15"/>
      <c r="Z131" s="15"/>
    </row>
    <row r="132" spans="1:26" ht="15.75" x14ac:dyDescent="0.25">
      <c r="A132" s="74" t="s">
        <v>1627</v>
      </c>
      <c r="B132" s="20"/>
      <c r="C132" s="56"/>
      <c r="D132" s="56"/>
      <c r="E132" s="43"/>
      <c r="F132" s="56"/>
      <c r="G132" s="43"/>
      <c r="H132" s="307">
        <f>66*6000*12</f>
        <v>4752000</v>
      </c>
      <c r="I132" s="286"/>
      <c r="J132" s="15"/>
      <c r="K132" s="16"/>
      <c r="L132" s="15"/>
      <c r="M132" s="15"/>
      <c r="N132" s="15"/>
      <c r="O132" s="15"/>
      <c r="P132" s="15"/>
      <c r="Q132" s="15"/>
      <c r="R132" s="15"/>
      <c r="S132" s="15"/>
      <c r="T132" s="15"/>
      <c r="U132" s="15"/>
      <c r="V132" s="15"/>
      <c r="W132" s="15"/>
      <c r="X132" s="15"/>
      <c r="Y132" s="15"/>
      <c r="Z132" s="15"/>
    </row>
    <row r="133" spans="1:26" ht="31.5" x14ac:dyDescent="0.25">
      <c r="A133" s="90" t="s">
        <v>1628</v>
      </c>
      <c r="B133" s="20"/>
      <c r="C133" s="56"/>
      <c r="D133" s="56"/>
      <c r="E133" s="43"/>
      <c r="F133" s="56"/>
      <c r="G133" s="43"/>
      <c r="H133" s="307">
        <f>20*6000*12</f>
        <v>1440000</v>
      </c>
      <c r="I133" s="286"/>
      <c r="J133" s="15"/>
      <c r="K133" s="309">
        <v>43307000</v>
      </c>
      <c r="L133" s="15"/>
      <c r="M133" s="15"/>
      <c r="N133" s="15"/>
      <c r="O133" s="15"/>
      <c r="P133" s="15"/>
      <c r="Q133" s="15"/>
      <c r="R133" s="15"/>
      <c r="S133" s="15"/>
      <c r="T133" s="15"/>
      <c r="U133" s="15"/>
      <c r="V133" s="15"/>
      <c r="W133" s="15"/>
      <c r="X133" s="15"/>
      <c r="Y133" s="15"/>
      <c r="Z133" s="15"/>
    </row>
    <row r="134" spans="1:26" ht="15.75" x14ac:dyDescent="0.25">
      <c r="A134" s="74" t="s">
        <v>1629</v>
      </c>
      <c r="B134" s="20"/>
      <c r="C134" s="56"/>
      <c r="D134" s="56"/>
      <c r="E134" s="43"/>
      <c r="F134" s="56"/>
      <c r="G134" s="43"/>
      <c r="H134" s="307">
        <v>80000</v>
      </c>
      <c r="I134" s="286"/>
      <c r="J134" s="15"/>
      <c r="K134" s="309">
        <v>4268550</v>
      </c>
      <c r="L134" s="15"/>
      <c r="M134" s="15"/>
      <c r="N134" s="15"/>
      <c r="O134" s="15"/>
      <c r="P134" s="15"/>
      <c r="Q134" s="15"/>
      <c r="R134" s="15"/>
      <c r="S134" s="15"/>
      <c r="T134" s="15"/>
      <c r="U134" s="15"/>
      <c r="V134" s="15"/>
      <c r="W134" s="15"/>
      <c r="X134" s="15"/>
      <c r="Y134" s="15"/>
      <c r="Z134" s="15"/>
    </row>
    <row r="135" spans="1:26" ht="15.75" x14ac:dyDescent="0.25">
      <c r="A135" s="74" t="s">
        <v>1630</v>
      </c>
      <c r="B135" s="20"/>
      <c r="C135" s="56"/>
      <c r="D135" s="56"/>
      <c r="E135" s="43"/>
      <c r="F135" s="56"/>
      <c r="G135" s="43"/>
      <c r="H135" s="307">
        <v>80000</v>
      </c>
      <c r="I135" s="286"/>
      <c r="J135" s="15"/>
      <c r="K135" s="309">
        <v>867200</v>
      </c>
      <c r="L135" s="15"/>
      <c r="M135" s="15"/>
      <c r="N135" s="15"/>
      <c r="O135" s="15"/>
      <c r="P135" s="15"/>
      <c r="Q135" s="15"/>
      <c r="R135" s="15"/>
      <c r="S135" s="15"/>
      <c r="T135" s="15"/>
      <c r="U135" s="15"/>
      <c r="V135" s="15"/>
      <c r="W135" s="15"/>
      <c r="X135" s="15"/>
      <c r="Y135" s="15"/>
      <c r="Z135" s="15"/>
    </row>
    <row r="136" spans="1:26" ht="15.75" customHeight="1" x14ac:dyDescent="0.25">
      <c r="A136" s="74" t="s">
        <v>1631</v>
      </c>
      <c r="B136" s="20"/>
      <c r="C136" s="56"/>
      <c r="D136" s="56"/>
      <c r="E136" s="43"/>
      <c r="F136" s="56"/>
      <c r="G136" s="43"/>
      <c r="H136" s="307">
        <f>500*500</f>
        <v>250000</v>
      </c>
      <c r="I136" s="286"/>
      <c r="J136" s="15"/>
      <c r="K136" s="16">
        <v>6769176</v>
      </c>
      <c r="L136" s="15"/>
      <c r="M136" s="15"/>
      <c r="N136" s="15"/>
      <c r="O136" s="15"/>
      <c r="P136" s="15"/>
      <c r="Q136" s="15"/>
      <c r="R136" s="15"/>
      <c r="S136" s="15"/>
      <c r="T136" s="15"/>
      <c r="U136" s="15"/>
      <c r="V136" s="15"/>
      <c r="W136" s="15"/>
      <c r="X136" s="15"/>
      <c r="Y136" s="15"/>
      <c r="Z136" s="15"/>
    </row>
    <row r="137" spans="1:26" ht="15.75" customHeight="1" x14ac:dyDescent="0.25">
      <c r="A137" s="74" t="s">
        <v>1632</v>
      </c>
      <c r="B137" s="20"/>
      <c r="C137" s="56"/>
      <c r="D137" s="56"/>
      <c r="E137" s="43"/>
      <c r="F137" s="56"/>
      <c r="G137" s="43"/>
      <c r="H137" s="307">
        <f>120000</f>
        <v>120000</v>
      </c>
      <c r="I137" s="286"/>
      <c r="J137" s="15"/>
      <c r="K137" s="16">
        <v>2825328</v>
      </c>
      <c r="L137" s="15"/>
      <c r="M137" s="15"/>
      <c r="N137" s="15"/>
      <c r="O137" s="15"/>
      <c r="P137" s="15"/>
      <c r="Q137" s="15"/>
      <c r="R137" s="15"/>
      <c r="S137" s="15"/>
      <c r="T137" s="15"/>
      <c r="U137" s="15"/>
      <c r="V137" s="15"/>
      <c r="W137" s="15"/>
      <c r="X137" s="15"/>
      <c r="Y137" s="15"/>
      <c r="Z137" s="15"/>
    </row>
    <row r="138" spans="1:26" ht="15.75" customHeight="1" x14ac:dyDescent="0.25">
      <c r="A138" s="74" t="s">
        <v>1633</v>
      </c>
      <c r="B138" s="20"/>
      <c r="C138" s="56"/>
      <c r="D138" s="56"/>
      <c r="E138" s="43"/>
      <c r="F138" s="56"/>
      <c r="G138" s="43"/>
      <c r="H138" s="307">
        <v>35000</v>
      </c>
      <c r="I138" s="286"/>
      <c r="J138" s="15"/>
      <c r="K138" s="16">
        <v>27164904</v>
      </c>
      <c r="L138" s="15"/>
      <c r="M138" s="15"/>
      <c r="N138" s="15"/>
      <c r="O138" s="15"/>
      <c r="P138" s="15"/>
      <c r="Q138" s="15"/>
      <c r="R138" s="15"/>
      <c r="S138" s="15"/>
      <c r="T138" s="15"/>
      <c r="U138" s="15"/>
      <c r="V138" s="15"/>
      <c r="W138" s="15"/>
      <c r="X138" s="15"/>
      <c r="Y138" s="15"/>
      <c r="Z138" s="15"/>
    </row>
    <row r="139" spans="1:26" ht="31.5" x14ac:dyDescent="0.25">
      <c r="A139" s="90" t="s">
        <v>1634</v>
      </c>
      <c r="B139" s="20"/>
      <c r="C139" s="56"/>
      <c r="D139" s="56"/>
      <c r="E139" s="43"/>
      <c r="F139" s="56"/>
      <c r="G139" s="43"/>
      <c r="H139" s="307">
        <v>100000</v>
      </c>
      <c r="I139" s="286"/>
      <c r="J139" s="15"/>
      <c r="K139" s="16">
        <v>2380752</v>
      </c>
      <c r="L139" s="15"/>
      <c r="M139" s="15"/>
      <c r="N139" s="15"/>
      <c r="O139" s="15"/>
      <c r="P139" s="15"/>
      <c r="Q139" s="15"/>
      <c r="R139" s="15"/>
      <c r="S139" s="15"/>
      <c r="T139" s="15"/>
      <c r="U139" s="15"/>
      <c r="V139" s="15"/>
      <c r="W139" s="15"/>
      <c r="X139" s="15"/>
      <c r="Y139" s="15"/>
      <c r="Z139" s="15"/>
    </row>
    <row r="140" spans="1:26" ht="31.5" x14ac:dyDescent="0.25">
      <c r="A140" s="90" t="s">
        <v>1635</v>
      </c>
      <c r="B140" s="20"/>
      <c r="C140" s="56"/>
      <c r="D140" s="56"/>
      <c r="E140" s="43"/>
      <c r="F140" s="56"/>
      <c r="G140" s="43"/>
      <c r="H140" s="307">
        <v>300000</v>
      </c>
      <c r="I140" s="286"/>
      <c r="J140" s="15"/>
      <c r="K140" s="16">
        <v>1030656</v>
      </c>
      <c r="L140" s="15"/>
      <c r="M140" s="15"/>
      <c r="N140" s="15"/>
      <c r="O140" s="15"/>
      <c r="P140" s="15"/>
      <c r="Q140" s="15"/>
      <c r="R140" s="15"/>
      <c r="S140" s="15"/>
      <c r="T140" s="15"/>
      <c r="U140" s="15"/>
      <c r="V140" s="15"/>
      <c r="W140" s="15"/>
      <c r="X140" s="15"/>
      <c r="Y140" s="15"/>
      <c r="Z140" s="15"/>
    </row>
    <row r="141" spans="1:26" ht="15.75" x14ac:dyDescent="0.25">
      <c r="A141" s="468" t="s">
        <v>1636</v>
      </c>
      <c r="B141" s="454"/>
      <c r="C141" s="443"/>
      <c r="D141" s="443"/>
      <c r="E141" s="443"/>
      <c r="F141" s="443"/>
      <c r="G141" s="462"/>
      <c r="H141" s="307">
        <v>150000</v>
      </c>
      <c r="I141" s="286"/>
      <c r="J141" s="15"/>
      <c r="K141" s="16">
        <v>36141168</v>
      </c>
      <c r="L141" s="15"/>
      <c r="M141" s="15"/>
      <c r="N141" s="15"/>
      <c r="O141" s="15"/>
      <c r="P141" s="15"/>
      <c r="Q141" s="15"/>
      <c r="R141" s="15"/>
      <c r="S141" s="15"/>
      <c r="T141" s="15"/>
      <c r="U141" s="15"/>
      <c r="V141" s="15"/>
      <c r="W141" s="15"/>
      <c r="X141" s="15"/>
      <c r="Y141" s="15"/>
      <c r="Z141" s="15"/>
    </row>
    <row r="142" spans="1:26" ht="31.5" x14ac:dyDescent="0.25">
      <c r="A142" s="465" t="s">
        <v>1637</v>
      </c>
      <c r="B142" s="454"/>
      <c r="C142" s="443"/>
      <c r="D142" s="443"/>
      <c r="E142" s="443"/>
      <c r="F142" s="443"/>
      <c r="G142" s="462"/>
      <c r="H142" s="307">
        <v>185000</v>
      </c>
      <c r="I142" s="286"/>
      <c r="J142" s="15"/>
      <c r="K142" s="99">
        <f>SUM(K133:K141)</f>
        <v>124754734</v>
      </c>
      <c r="L142" s="15"/>
      <c r="M142" s="15"/>
      <c r="N142" s="15"/>
      <c r="O142" s="15"/>
      <c r="P142" s="15"/>
      <c r="Q142" s="15"/>
      <c r="R142" s="15"/>
      <c r="S142" s="15"/>
      <c r="T142" s="15"/>
      <c r="U142" s="15"/>
      <c r="V142" s="15"/>
      <c r="W142" s="15"/>
      <c r="X142" s="15"/>
      <c r="Y142" s="15"/>
      <c r="Z142" s="15"/>
    </row>
    <row r="143" spans="1:26" ht="47.25" x14ac:dyDescent="0.25">
      <c r="A143" s="90" t="s">
        <v>1638</v>
      </c>
      <c r="B143" s="20"/>
      <c r="C143" s="56"/>
      <c r="D143" s="56"/>
      <c r="E143" s="43"/>
      <c r="F143" s="56"/>
      <c r="G143" s="43"/>
      <c r="H143" s="307">
        <v>74000</v>
      </c>
      <c r="I143" s="286"/>
      <c r="J143" s="15"/>
      <c r="K143" s="16">
        <f>K142-G130</f>
        <v>-362856</v>
      </c>
      <c r="L143" s="15"/>
      <c r="M143" s="15"/>
      <c r="N143" s="15"/>
      <c r="O143" s="15"/>
      <c r="P143" s="15"/>
      <c r="Q143" s="15"/>
      <c r="R143" s="15"/>
      <c r="S143" s="15"/>
      <c r="T143" s="15"/>
      <c r="U143" s="15"/>
      <c r="V143" s="15"/>
      <c r="W143" s="15"/>
      <c r="X143" s="15"/>
      <c r="Y143" s="15"/>
      <c r="Z143" s="15"/>
    </row>
    <row r="144" spans="1:26" ht="31.5" x14ac:dyDescent="0.25">
      <c r="A144" s="90" t="s">
        <v>1639</v>
      </c>
      <c r="B144" s="20"/>
      <c r="C144" s="56"/>
      <c r="D144" s="56"/>
      <c r="E144" s="43"/>
      <c r="F144" s="56"/>
      <c r="G144" s="43"/>
      <c r="H144" s="307">
        <v>75000</v>
      </c>
      <c r="I144" s="286"/>
      <c r="J144" s="15"/>
      <c r="K144" s="16"/>
      <c r="L144" s="15"/>
      <c r="M144" s="15"/>
      <c r="N144" s="15"/>
      <c r="O144" s="15"/>
      <c r="P144" s="15"/>
      <c r="Q144" s="15"/>
      <c r="R144" s="15"/>
      <c r="S144" s="15"/>
      <c r="T144" s="15"/>
      <c r="U144" s="15"/>
      <c r="V144" s="15"/>
      <c r="W144" s="15"/>
      <c r="X144" s="15"/>
      <c r="Y144" s="15"/>
      <c r="Z144" s="15"/>
    </row>
    <row r="145" spans="1:26" ht="31.5" x14ac:dyDescent="0.25">
      <c r="A145" s="626" t="s">
        <v>1640</v>
      </c>
      <c r="B145" s="603"/>
      <c r="C145" s="618"/>
      <c r="D145" s="618"/>
      <c r="E145" s="457"/>
      <c r="F145" s="618"/>
      <c r="G145" s="457"/>
      <c r="H145" s="307">
        <v>30000</v>
      </c>
      <c r="I145" s="286"/>
      <c r="J145" s="15"/>
      <c r="K145" s="16"/>
      <c r="L145" s="15"/>
      <c r="M145" s="15"/>
      <c r="N145" s="15"/>
      <c r="O145" s="15"/>
      <c r="P145" s="15"/>
      <c r="Q145" s="15"/>
      <c r="R145" s="15"/>
      <c r="S145" s="15"/>
      <c r="T145" s="15"/>
      <c r="U145" s="15"/>
      <c r="V145" s="15"/>
      <c r="W145" s="15"/>
      <c r="X145" s="15"/>
      <c r="Y145" s="15"/>
      <c r="Z145" s="15"/>
    </row>
    <row r="146" spans="1:26" ht="31.5" x14ac:dyDescent="0.25">
      <c r="A146" s="620" t="s">
        <v>1641</v>
      </c>
      <c r="B146" s="539"/>
      <c r="C146" s="513"/>
      <c r="D146" s="513"/>
      <c r="E146" s="448"/>
      <c r="F146" s="513"/>
      <c r="G146" s="448"/>
      <c r="H146" s="307">
        <v>45000</v>
      </c>
      <c r="I146" s="286"/>
      <c r="J146" s="15"/>
      <c r="K146" s="16"/>
      <c r="L146" s="15"/>
      <c r="M146" s="15"/>
      <c r="N146" s="15"/>
      <c r="O146" s="15"/>
      <c r="P146" s="15"/>
      <c r="Q146" s="15"/>
      <c r="R146" s="15"/>
      <c r="S146" s="15"/>
      <c r="T146" s="15"/>
      <c r="U146" s="15"/>
      <c r="V146" s="15"/>
      <c r="W146" s="15"/>
      <c r="X146" s="15"/>
      <c r="Y146" s="15"/>
      <c r="Z146" s="15"/>
    </row>
    <row r="147" spans="1:26" ht="47.25" x14ac:dyDescent="0.25">
      <c r="A147" s="90" t="s">
        <v>1642</v>
      </c>
      <c r="B147" s="20"/>
      <c r="C147" s="56"/>
      <c r="D147" s="56"/>
      <c r="E147" s="43"/>
      <c r="F147" s="56"/>
      <c r="G147" s="43"/>
      <c r="H147" s="307">
        <v>70300</v>
      </c>
      <c r="I147" s="286"/>
      <c r="J147" s="15"/>
      <c r="K147" s="16"/>
      <c r="L147" s="15"/>
      <c r="M147" s="15"/>
      <c r="N147" s="15"/>
      <c r="O147" s="15"/>
      <c r="P147" s="15"/>
      <c r="Q147" s="15"/>
      <c r="R147" s="15"/>
      <c r="S147" s="15"/>
      <c r="T147" s="15"/>
      <c r="U147" s="15"/>
      <c r="V147" s="15"/>
      <c r="W147" s="15"/>
      <c r="X147" s="15"/>
      <c r="Y147" s="15"/>
      <c r="Z147" s="15"/>
    </row>
    <row r="148" spans="1:26" ht="15.75" x14ac:dyDescent="0.25">
      <c r="A148" s="74" t="s">
        <v>1643</v>
      </c>
      <c r="B148" s="20"/>
      <c r="C148" s="56"/>
      <c r="D148" s="56"/>
      <c r="E148" s="43"/>
      <c r="F148" s="56"/>
      <c r="G148" s="43"/>
      <c r="H148" s="307">
        <v>29600</v>
      </c>
      <c r="I148" s="286"/>
      <c r="J148" s="15"/>
      <c r="K148" s="16"/>
      <c r="L148" s="15"/>
      <c r="M148" s="15"/>
      <c r="N148" s="15"/>
      <c r="O148" s="15"/>
      <c r="P148" s="15"/>
      <c r="Q148" s="15"/>
      <c r="R148" s="15"/>
      <c r="S148" s="15"/>
      <c r="T148" s="15"/>
      <c r="U148" s="15"/>
      <c r="V148" s="15"/>
      <c r="W148" s="15"/>
      <c r="X148" s="15"/>
      <c r="Y148" s="15"/>
      <c r="Z148" s="15"/>
    </row>
    <row r="149" spans="1:26" ht="15.75" x14ac:dyDescent="0.25">
      <c r="A149" s="74" t="s">
        <v>1644</v>
      </c>
      <c r="B149" s="20"/>
      <c r="C149" s="56"/>
      <c r="D149" s="56"/>
      <c r="E149" s="43"/>
      <c r="F149" s="56"/>
      <c r="G149" s="43"/>
      <c r="H149" s="307">
        <v>70000</v>
      </c>
      <c r="I149" s="286"/>
      <c r="J149" s="15"/>
      <c r="K149" s="16"/>
      <c r="L149" s="15"/>
      <c r="M149" s="15"/>
      <c r="N149" s="15"/>
      <c r="O149" s="15"/>
      <c r="P149" s="15"/>
      <c r="Q149" s="15"/>
      <c r="R149" s="15"/>
      <c r="S149" s="15"/>
      <c r="T149" s="15"/>
      <c r="U149" s="15"/>
      <c r="V149" s="15"/>
      <c r="W149" s="15"/>
      <c r="X149" s="15"/>
      <c r="Y149" s="15"/>
      <c r="Z149" s="15"/>
    </row>
    <row r="150" spans="1:26" ht="15.75" x14ac:dyDescent="0.25">
      <c r="A150" s="74" t="s">
        <v>1645</v>
      </c>
      <c r="B150" s="20"/>
      <c r="C150" s="56"/>
      <c r="D150" s="56"/>
      <c r="E150" s="43"/>
      <c r="F150" s="56"/>
      <c r="G150" s="43"/>
      <c r="H150" s="307">
        <v>35000</v>
      </c>
      <c r="I150" s="286"/>
      <c r="J150" s="15"/>
      <c r="K150" s="16"/>
      <c r="L150" s="15"/>
      <c r="M150" s="15"/>
      <c r="N150" s="15"/>
      <c r="O150" s="15"/>
      <c r="P150" s="15"/>
      <c r="Q150" s="15"/>
      <c r="R150" s="15"/>
      <c r="S150" s="15"/>
      <c r="T150" s="15"/>
      <c r="U150" s="15"/>
      <c r="V150" s="15"/>
      <c r="W150" s="15"/>
      <c r="X150" s="15"/>
      <c r="Y150" s="15"/>
      <c r="Z150" s="15"/>
    </row>
    <row r="151" spans="1:26" ht="15.75" x14ac:dyDescent="0.25">
      <c r="A151" s="74" t="s">
        <v>1646</v>
      </c>
      <c r="B151" s="20"/>
      <c r="C151" s="56"/>
      <c r="D151" s="56"/>
      <c r="E151" s="43"/>
      <c r="F151" s="56"/>
      <c r="G151" s="43"/>
      <c r="H151" s="307">
        <v>35000</v>
      </c>
      <c r="I151" s="286"/>
      <c r="J151" s="15"/>
      <c r="K151" s="16"/>
      <c r="L151" s="15"/>
      <c r="M151" s="15"/>
      <c r="N151" s="15"/>
      <c r="O151" s="15"/>
      <c r="P151" s="15"/>
      <c r="Q151" s="15"/>
      <c r="R151" s="15"/>
      <c r="S151" s="15"/>
      <c r="T151" s="15"/>
      <c r="U151" s="15"/>
      <c r="V151" s="15"/>
      <c r="W151" s="15"/>
      <c r="X151" s="15"/>
      <c r="Y151" s="15"/>
      <c r="Z151" s="15"/>
    </row>
    <row r="152" spans="1:26" ht="15.75" x14ac:dyDescent="0.25">
      <c r="A152" s="74" t="s">
        <v>1647</v>
      </c>
      <c r="B152" s="20"/>
      <c r="C152" s="56"/>
      <c r="D152" s="56"/>
      <c r="E152" s="43"/>
      <c r="F152" s="56"/>
      <c r="G152" s="43"/>
      <c r="H152" s="307">
        <v>11100</v>
      </c>
      <c r="I152" s="286"/>
      <c r="J152" s="15"/>
      <c r="K152" s="16"/>
      <c r="L152" s="15"/>
      <c r="M152" s="15"/>
      <c r="N152" s="15"/>
      <c r="O152" s="15"/>
      <c r="P152" s="15"/>
      <c r="Q152" s="15"/>
      <c r="R152" s="15"/>
      <c r="S152" s="15"/>
      <c r="T152" s="15"/>
      <c r="U152" s="15"/>
      <c r="V152" s="15"/>
      <c r="W152" s="15"/>
      <c r="X152" s="15"/>
      <c r="Y152" s="15"/>
      <c r="Z152" s="15"/>
    </row>
    <row r="153" spans="1:26" ht="15.75" customHeight="1" x14ac:dyDescent="0.25">
      <c r="A153" s="74" t="s">
        <v>1648</v>
      </c>
      <c r="B153" s="20"/>
      <c r="C153" s="56"/>
      <c r="D153" s="56"/>
      <c r="E153" s="43"/>
      <c r="F153" s="56"/>
      <c r="G153" s="43"/>
      <c r="H153" s="307">
        <v>92500</v>
      </c>
      <c r="I153" s="286"/>
      <c r="J153" s="15"/>
      <c r="K153" s="16"/>
      <c r="L153" s="15"/>
      <c r="M153" s="15"/>
      <c r="N153" s="15"/>
      <c r="O153" s="15"/>
      <c r="P153" s="15"/>
      <c r="Q153" s="15"/>
      <c r="R153" s="15"/>
      <c r="S153" s="15"/>
      <c r="T153" s="15"/>
      <c r="U153" s="15"/>
      <c r="V153" s="15"/>
      <c r="W153" s="15"/>
      <c r="X153" s="15"/>
      <c r="Y153" s="15"/>
      <c r="Z153" s="15"/>
    </row>
    <row r="154" spans="1:26" ht="15.75" customHeight="1" x14ac:dyDescent="0.25">
      <c r="A154" s="74" t="s">
        <v>1649</v>
      </c>
      <c r="B154" s="20"/>
      <c r="C154" s="56"/>
      <c r="D154" s="56"/>
      <c r="E154" s="43"/>
      <c r="F154" s="56"/>
      <c r="G154" s="43"/>
      <c r="H154" s="307">
        <v>11100</v>
      </c>
      <c r="I154" s="286"/>
      <c r="J154" s="15"/>
      <c r="K154" s="16"/>
      <c r="L154" s="15"/>
      <c r="M154" s="15"/>
      <c r="N154" s="15"/>
      <c r="O154" s="15"/>
      <c r="P154" s="15"/>
      <c r="Q154" s="15"/>
      <c r="R154" s="15"/>
      <c r="S154" s="15"/>
      <c r="T154" s="15"/>
      <c r="U154" s="15"/>
      <c r="V154" s="15"/>
      <c r="W154" s="15"/>
      <c r="X154" s="15"/>
      <c r="Y154" s="15"/>
      <c r="Z154" s="15"/>
    </row>
    <row r="155" spans="1:26" ht="15.75" customHeight="1" x14ac:dyDescent="0.25">
      <c r="A155" s="74" t="s">
        <v>1650</v>
      </c>
      <c r="B155" s="20"/>
      <c r="C155" s="56"/>
      <c r="D155" s="56"/>
      <c r="E155" s="43"/>
      <c r="F155" s="56"/>
      <c r="G155" s="43"/>
      <c r="H155" s="307">
        <v>45000</v>
      </c>
      <c r="I155" s="286"/>
      <c r="J155" s="15"/>
      <c r="K155" s="16"/>
      <c r="L155" s="15"/>
      <c r="M155" s="15"/>
      <c r="N155" s="15"/>
      <c r="O155" s="15"/>
      <c r="P155" s="15"/>
      <c r="Q155" s="15"/>
      <c r="R155" s="15"/>
      <c r="S155" s="15"/>
      <c r="T155" s="15"/>
      <c r="U155" s="15"/>
      <c r="V155" s="15"/>
      <c r="W155" s="15"/>
      <c r="X155" s="15"/>
      <c r="Y155" s="15"/>
      <c r="Z155" s="15"/>
    </row>
    <row r="156" spans="1:26" ht="15.75" customHeight="1" x14ac:dyDescent="0.25">
      <c r="A156" s="74" t="s">
        <v>1651</v>
      </c>
      <c r="B156" s="20"/>
      <c r="C156" s="56"/>
      <c r="D156" s="56"/>
      <c r="E156" s="43"/>
      <c r="F156" s="56"/>
      <c r="G156" s="43"/>
      <c r="H156" s="307">
        <v>45000</v>
      </c>
      <c r="I156" s="286"/>
      <c r="J156" s="15"/>
      <c r="K156" s="16"/>
      <c r="L156" s="15"/>
      <c r="M156" s="15"/>
      <c r="N156" s="15"/>
      <c r="O156" s="15"/>
      <c r="P156" s="15"/>
      <c r="Q156" s="15"/>
      <c r="R156" s="15"/>
      <c r="S156" s="15"/>
      <c r="T156" s="15"/>
      <c r="U156" s="15"/>
      <c r="V156" s="15"/>
      <c r="W156" s="15"/>
      <c r="X156" s="15"/>
      <c r="Y156" s="15"/>
      <c r="Z156" s="15"/>
    </row>
    <row r="157" spans="1:26" ht="15.75" customHeight="1" x14ac:dyDescent="0.25">
      <c r="A157" s="74" t="s">
        <v>1652</v>
      </c>
      <c r="B157" s="20"/>
      <c r="C157" s="56"/>
      <c r="D157" s="56"/>
      <c r="E157" s="43"/>
      <c r="F157" s="56"/>
      <c r="G157" s="43"/>
      <c r="H157" s="307">
        <v>74000</v>
      </c>
      <c r="I157" s="286"/>
      <c r="J157" s="15"/>
      <c r="K157" s="16"/>
      <c r="L157" s="15"/>
      <c r="M157" s="15"/>
      <c r="N157" s="15"/>
      <c r="O157" s="15"/>
      <c r="P157" s="15"/>
      <c r="Q157" s="15"/>
      <c r="R157" s="15"/>
      <c r="S157" s="15"/>
      <c r="T157" s="15"/>
      <c r="U157" s="15"/>
      <c r="V157" s="15"/>
      <c r="W157" s="15"/>
      <c r="X157" s="15"/>
      <c r="Y157" s="15"/>
      <c r="Z157" s="15"/>
    </row>
    <row r="158" spans="1:26" ht="15.75" customHeight="1" x14ac:dyDescent="0.25">
      <c r="A158" s="74" t="s">
        <v>1653</v>
      </c>
      <c r="B158" s="20"/>
      <c r="C158" s="56"/>
      <c r="D158" s="56"/>
      <c r="E158" s="43"/>
      <c r="F158" s="56"/>
      <c r="G158" s="43"/>
      <c r="H158" s="307">
        <v>70000</v>
      </c>
      <c r="I158" s="286"/>
      <c r="J158" s="15"/>
      <c r="K158" s="16"/>
      <c r="L158" s="15"/>
      <c r="M158" s="15"/>
      <c r="N158" s="15"/>
      <c r="O158" s="15"/>
      <c r="P158" s="15"/>
      <c r="Q158" s="15"/>
      <c r="R158" s="15"/>
      <c r="S158" s="15"/>
      <c r="T158" s="15"/>
      <c r="U158" s="15"/>
      <c r="V158" s="15"/>
      <c r="W158" s="15"/>
      <c r="X158" s="15"/>
      <c r="Y158" s="15"/>
      <c r="Z158" s="15"/>
    </row>
    <row r="159" spans="1:26" ht="15.75" customHeight="1" x14ac:dyDescent="0.25">
      <c r="A159" s="74" t="s">
        <v>1654</v>
      </c>
      <c r="B159" s="20"/>
      <c r="C159" s="56"/>
      <c r="D159" s="56"/>
      <c r="E159" s="43"/>
      <c r="F159" s="56"/>
      <c r="G159" s="43"/>
      <c r="H159" s="307">
        <v>45000</v>
      </c>
      <c r="I159" s="286"/>
      <c r="J159" s="15"/>
      <c r="K159" s="16"/>
      <c r="L159" s="15"/>
      <c r="M159" s="15"/>
      <c r="N159" s="15"/>
      <c r="O159" s="15"/>
      <c r="P159" s="15"/>
      <c r="Q159" s="15"/>
      <c r="R159" s="15"/>
      <c r="S159" s="15"/>
      <c r="T159" s="15"/>
      <c r="U159" s="15"/>
      <c r="V159" s="15"/>
      <c r="W159" s="15"/>
      <c r="X159" s="15"/>
      <c r="Y159" s="15"/>
      <c r="Z159" s="15"/>
    </row>
    <row r="160" spans="1:26" ht="15.75" customHeight="1" x14ac:dyDescent="0.25">
      <c r="A160" s="74" t="s">
        <v>1655</v>
      </c>
      <c r="B160" s="20"/>
      <c r="C160" s="56"/>
      <c r="D160" s="56"/>
      <c r="E160" s="43"/>
      <c r="F160" s="56"/>
      <c r="G160" s="43"/>
      <c r="H160" s="307">
        <v>45000</v>
      </c>
      <c r="I160" s="286"/>
      <c r="J160" s="15"/>
      <c r="K160" s="16"/>
      <c r="L160" s="15"/>
      <c r="M160" s="15"/>
      <c r="N160" s="15"/>
      <c r="O160" s="15"/>
      <c r="P160" s="15"/>
      <c r="Q160" s="15"/>
      <c r="R160" s="15"/>
      <c r="S160" s="15"/>
      <c r="T160" s="15"/>
      <c r="U160" s="15"/>
      <c r="V160" s="15"/>
      <c r="W160" s="15"/>
      <c r="X160" s="15"/>
      <c r="Y160" s="15"/>
      <c r="Z160" s="15"/>
    </row>
    <row r="161" spans="1:26" ht="15.75" customHeight="1" x14ac:dyDescent="0.25">
      <c r="A161" s="74" t="s">
        <v>1656</v>
      </c>
      <c r="B161" s="20"/>
      <c r="C161" s="56"/>
      <c r="D161" s="56"/>
      <c r="E161" s="43"/>
      <c r="F161" s="56"/>
      <c r="G161" s="43"/>
      <c r="H161" s="307">
        <v>45000</v>
      </c>
      <c r="I161" s="286"/>
      <c r="J161" s="15"/>
      <c r="K161" s="16"/>
      <c r="L161" s="15"/>
      <c r="M161" s="15"/>
      <c r="N161" s="15"/>
      <c r="O161" s="15"/>
      <c r="P161" s="15"/>
      <c r="Q161" s="15"/>
      <c r="R161" s="15"/>
      <c r="S161" s="15"/>
      <c r="T161" s="15"/>
      <c r="U161" s="15"/>
      <c r="V161" s="15"/>
      <c r="W161" s="15"/>
      <c r="X161" s="15"/>
      <c r="Y161" s="15"/>
      <c r="Z161" s="15"/>
    </row>
    <row r="162" spans="1:26" ht="15.75" customHeight="1" x14ac:dyDescent="0.25">
      <c r="A162" s="74" t="s">
        <v>1657</v>
      </c>
      <c r="B162" s="20"/>
      <c r="C162" s="56"/>
      <c r="D162" s="56"/>
      <c r="E162" s="43"/>
      <c r="F162" s="56"/>
      <c r="G162" s="43"/>
      <c r="H162" s="307">
        <v>75000</v>
      </c>
      <c r="I162" s="286"/>
      <c r="J162" s="15"/>
      <c r="K162" s="16"/>
      <c r="L162" s="15"/>
      <c r="M162" s="15"/>
      <c r="N162" s="15"/>
      <c r="O162" s="15"/>
      <c r="P162" s="15"/>
      <c r="Q162" s="15"/>
      <c r="R162" s="15"/>
      <c r="S162" s="15"/>
      <c r="T162" s="15"/>
      <c r="U162" s="15"/>
      <c r="V162" s="15"/>
      <c r="W162" s="15"/>
      <c r="X162" s="15"/>
      <c r="Y162" s="15"/>
      <c r="Z162" s="15"/>
    </row>
    <row r="163" spans="1:26" ht="15.75" customHeight="1" x14ac:dyDescent="0.25">
      <c r="A163" s="74" t="s">
        <v>1658</v>
      </c>
      <c r="B163" s="20"/>
      <c r="C163" s="56"/>
      <c r="D163" s="56"/>
      <c r="E163" s="43"/>
      <c r="F163" s="56"/>
      <c r="G163" s="43"/>
      <c r="H163" s="307">
        <v>29600</v>
      </c>
      <c r="I163" s="286"/>
      <c r="J163" s="15"/>
      <c r="K163" s="16"/>
      <c r="L163" s="15"/>
      <c r="M163" s="15"/>
      <c r="N163" s="15"/>
      <c r="O163" s="15"/>
      <c r="P163" s="15"/>
      <c r="Q163" s="15"/>
      <c r="R163" s="15"/>
      <c r="S163" s="15"/>
      <c r="T163" s="15"/>
      <c r="U163" s="15"/>
      <c r="V163" s="15"/>
      <c r="W163" s="15"/>
      <c r="X163" s="15"/>
      <c r="Y163" s="15"/>
      <c r="Z163" s="15"/>
    </row>
    <row r="164" spans="1:26" ht="15.75" customHeight="1" x14ac:dyDescent="0.25">
      <c r="A164" s="74" t="s">
        <v>1659</v>
      </c>
      <c r="B164" s="20"/>
      <c r="C164" s="56"/>
      <c r="D164" s="56"/>
      <c r="E164" s="43"/>
      <c r="F164" s="56"/>
      <c r="G164" s="43"/>
      <c r="H164" s="307">
        <v>325500</v>
      </c>
      <c r="I164" s="286"/>
      <c r="J164" s="15"/>
      <c r="K164" s="16"/>
      <c r="L164" s="15"/>
      <c r="M164" s="15"/>
      <c r="N164" s="15"/>
      <c r="O164" s="15"/>
      <c r="P164" s="15"/>
      <c r="Q164" s="15"/>
      <c r="R164" s="15"/>
      <c r="S164" s="15"/>
      <c r="T164" s="15"/>
      <c r="U164" s="15"/>
      <c r="V164" s="15"/>
      <c r="W164" s="15"/>
      <c r="X164" s="15"/>
      <c r="Y164" s="15"/>
      <c r="Z164" s="15"/>
    </row>
    <row r="165" spans="1:26" ht="15.75" customHeight="1" x14ac:dyDescent="0.25">
      <c r="A165" s="74" t="s">
        <v>1660</v>
      </c>
      <c r="B165" s="20"/>
      <c r="C165" s="56"/>
      <c r="D165" s="56"/>
      <c r="E165" s="43"/>
      <c r="F165" s="56"/>
      <c r="G165" s="43"/>
      <c r="H165" s="307">
        <v>1500000</v>
      </c>
      <c r="I165" s="286"/>
      <c r="J165" s="15"/>
      <c r="K165" s="16"/>
      <c r="L165" s="15"/>
      <c r="M165" s="15"/>
      <c r="N165" s="15"/>
      <c r="O165" s="15"/>
      <c r="P165" s="15"/>
      <c r="Q165" s="15"/>
      <c r="R165" s="15"/>
      <c r="S165" s="15"/>
      <c r="T165" s="15"/>
      <c r="U165" s="15"/>
      <c r="V165" s="15"/>
      <c r="W165" s="15"/>
      <c r="X165" s="15"/>
      <c r="Y165" s="15"/>
      <c r="Z165" s="15"/>
    </row>
    <row r="166" spans="1:26" ht="15.75" customHeight="1" x14ac:dyDescent="0.25">
      <c r="A166" s="74" t="s">
        <v>1661</v>
      </c>
      <c r="B166" s="20"/>
      <c r="C166" s="56"/>
      <c r="D166" s="56"/>
      <c r="E166" s="43"/>
      <c r="F166" s="56"/>
      <c r="G166" s="43"/>
      <c r="H166" s="307">
        <v>49000</v>
      </c>
      <c r="I166" s="286"/>
      <c r="J166" s="15"/>
      <c r="K166" s="16"/>
      <c r="L166" s="15"/>
      <c r="M166" s="15"/>
      <c r="N166" s="15"/>
      <c r="O166" s="15"/>
      <c r="P166" s="15"/>
      <c r="Q166" s="15"/>
      <c r="R166" s="15"/>
      <c r="S166" s="15"/>
      <c r="T166" s="15"/>
      <c r="U166" s="15"/>
      <c r="V166" s="15"/>
      <c r="W166" s="15"/>
      <c r="X166" s="15"/>
      <c r="Y166" s="15"/>
      <c r="Z166" s="15"/>
    </row>
    <row r="167" spans="1:26" ht="15.75" customHeight="1" x14ac:dyDescent="0.25">
      <c r="A167" s="74" t="s">
        <v>1662</v>
      </c>
      <c r="B167" s="20"/>
      <c r="C167" s="56"/>
      <c r="D167" s="56"/>
      <c r="E167" s="43"/>
      <c r="F167" s="56"/>
      <c r="G167" s="43"/>
      <c r="H167" s="307">
        <v>269000</v>
      </c>
      <c r="I167" s="286"/>
      <c r="J167" s="15"/>
      <c r="K167" s="16"/>
      <c r="L167" s="15"/>
      <c r="M167" s="15"/>
      <c r="N167" s="15"/>
      <c r="O167" s="15"/>
      <c r="P167" s="15"/>
      <c r="Q167" s="15"/>
      <c r="R167" s="15"/>
      <c r="S167" s="15"/>
      <c r="T167" s="15"/>
      <c r="U167" s="15"/>
      <c r="V167" s="15"/>
      <c r="W167" s="15"/>
      <c r="X167" s="15"/>
      <c r="Y167" s="15"/>
      <c r="Z167" s="15"/>
    </row>
    <row r="168" spans="1:26" ht="15.75" customHeight="1" x14ac:dyDescent="0.25">
      <c r="A168" s="74" t="s">
        <v>1663</v>
      </c>
      <c r="B168" s="20"/>
      <c r="C168" s="56"/>
      <c r="D168" s="56"/>
      <c r="E168" s="43"/>
      <c r="F168" s="56"/>
      <c r="G168" s="43"/>
      <c r="H168" s="307">
        <v>140000</v>
      </c>
      <c r="I168" s="286"/>
      <c r="J168" s="15"/>
      <c r="K168" s="16"/>
      <c r="L168" s="15"/>
      <c r="M168" s="15"/>
      <c r="N168" s="15"/>
      <c r="O168" s="15"/>
      <c r="P168" s="15"/>
      <c r="Q168" s="15"/>
      <c r="R168" s="15"/>
      <c r="S168" s="15"/>
      <c r="T168" s="15"/>
      <c r="U168" s="15"/>
      <c r="V168" s="15"/>
      <c r="W168" s="15"/>
      <c r="X168" s="15"/>
      <c r="Y168" s="15"/>
      <c r="Z168" s="15"/>
    </row>
    <row r="169" spans="1:26" ht="15.75" x14ac:dyDescent="0.25">
      <c r="A169" s="74" t="s">
        <v>1664</v>
      </c>
      <c r="B169" s="20"/>
      <c r="C169" s="56"/>
      <c r="D169" s="56"/>
      <c r="E169" s="43"/>
      <c r="F169" s="56"/>
      <c r="G169" s="43"/>
      <c r="H169" s="307">
        <v>44400</v>
      </c>
      <c r="I169" s="286"/>
      <c r="J169" s="15"/>
      <c r="K169" s="16"/>
      <c r="L169" s="15"/>
      <c r="M169" s="15"/>
      <c r="N169" s="15"/>
      <c r="O169" s="15"/>
      <c r="P169" s="15"/>
      <c r="Q169" s="15"/>
      <c r="R169" s="15"/>
      <c r="S169" s="15"/>
      <c r="T169" s="15"/>
      <c r="U169" s="15"/>
      <c r="V169" s="15"/>
      <c r="W169" s="15"/>
      <c r="X169" s="15"/>
      <c r="Y169" s="15"/>
      <c r="Z169" s="15"/>
    </row>
    <row r="170" spans="1:26" ht="31.5" x14ac:dyDescent="0.25">
      <c r="A170" s="90" t="s">
        <v>1665</v>
      </c>
      <c r="B170" s="20"/>
      <c r="C170" s="56"/>
      <c r="D170" s="56"/>
      <c r="E170" s="43"/>
      <c r="F170" s="56"/>
      <c r="G170" s="43"/>
      <c r="H170" s="307">
        <v>70200</v>
      </c>
      <c r="I170" s="286"/>
      <c r="J170" s="15"/>
      <c r="K170" s="16"/>
      <c r="L170" s="15"/>
      <c r="M170" s="15"/>
      <c r="N170" s="15"/>
      <c r="O170" s="15"/>
      <c r="P170" s="15"/>
      <c r="Q170" s="15"/>
      <c r="R170" s="15"/>
      <c r="S170" s="15"/>
      <c r="T170" s="15"/>
      <c r="U170" s="15"/>
      <c r="V170" s="15"/>
      <c r="W170" s="15"/>
      <c r="X170" s="15"/>
      <c r="Y170" s="15"/>
      <c r="Z170" s="15"/>
    </row>
    <row r="171" spans="1:26" ht="15.75" x14ac:dyDescent="0.25">
      <c r="A171" s="74" t="s">
        <v>1666</v>
      </c>
      <c r="B171" s="20"/>
      <c r="C171" s="56"/>
      <c r="D171" s="56"/>
      <c r="E171" s="43"/>
      <c r="F171" s="56"/>
      <c r="G171" s="43"/>
      <c r="H171" s="307">
        <v>175000</v>
      </c>
      <c r="I171" s="286"/>
      <c r="J171" s="15"/>
      <c r="K171" s="16"/>
      <c r="L171" s="15"/>
      <c r="M171" s="15"/>
      <c r="N171" s="15"/>
      <c r="O171" s="15"/>
      <c r="P171" s="15"/>
      <c r="Q171" s="15"/>
      <c r="R171" s="15"/>
      <c r="S171" s="15"/>
      <c r="T171" s="15"/>
      <c r="U171" s="15"/>
      <c r="V171" s="15"/>
      <c r="W171" s="15"/>
      <c r="X171" s="15"/>
      <c r="Y171" s="15"/>
      <c r="Z171" s="15"/>
    </row>
    <row r="172" spans="1:26" ht="31.5" x14ac:dyDescent="0.25">
      <c r="A172" s="90" t="s">
        <v>1667</v>
      </c>
      <c r="B172" s="20"/>
      <c r="C172" s="56"/>
      <c r="D172" s="56"/>
      <c r="E172" s="43"/>
      <c r="F172" s="56"/>
      <c r="G172" s="462"/>
      <c r="H172" s="307">
        <v>173750</v>
      </c>
      <c r="I172" s="286"/>
      <c r="J172" s="15"/>
      <c r="K172" s="16"/>
      <c r="L172" s="15"/>
      <c r="M172" s="15"/>
      <c r="N172" s="15"/>
      <c r="O172" s="15"/>
      <c r="P172" s="15"/>
      <c r="Q172" s="15"/>
      <c r="R172" s="15"/>
      <c r="S172" s="15"/>
      <c r="T172" s="15"/>
      <c r="U172" s="15"/>
      <c r="V172" s="15"/>
      <c r="W172" s="15"/>
      <c r="X172" s="15"/>
      <c r="Y172" s="15"/>
      <c r="Z172" s="15"/>
    </row>
    <row r="173" spans="1:26" ht="15.75" x14ac:dyDescent="0.25">
      <c r="A173" s="74" t="s">
        <v>1668</v>
      </c>
      <c r="B173" s="20"/>
      <c r="C173" s="56"/>
      <c r="D173" s="56"/>
      <c r="E173" s="43"/>
      <c r="F173" s="56"/>
      <c r="G173" s="462"/>
      <c r="H173" s="307">
        <v>234500</v>
      </c>
      <c r="I173" s="286"/>
      <c r="J173" s="15"/>
      <c r="K173" s="16"/>
      <c r="L173" s="15"/>
      <c r="M173" s="15"/>
      <c r="N173" s="15"/>
      <c r="O173" s="15"/>
      <c r="P173" s="15"/>
      <c r="Q173" s="15"/>
      <c r="R173" s="15"/>
      <c r="S173" s="15"/>
      <c r="T173" s="15"/>
      <c r="U173" s="15"/>
      <c r="V173" s="15"/>
      <c r="W173" s="15"/>
      <c r="X173" s="15"/>
      <c r="Y173" s="15"/>
      <c r="Z173" s="15"/>
    </row>
    <row r="174" spans="1:26" ht="15.75" x14ac:dyDescent="0.25">
      <c r="A174" s="468" t="s">
        <v>1669</v>
      </c>
      <c r="B174" s="454"/>
      <c r="C174" s="443"/>
      <c r="D174" s="443"/>
      <c r="E174" s="443"/>
      <c r="F174" s="443"/>
      <c r="G174" s="462"/>
      <c r="H174" s="307">
        <v>50000</v>
      </c>
      <c r="I174" s="286"/>
      <c r="J174" s="15"/>
      <c r="K174" s="16"/>
      <c r="L174" s="15"/>
      <c r="M174" s="15"/>
      <c r="N174" s="15"/>
      <c r="O174" s="15"/>
      <c r="P174" s="15"/>
      <c r="Q174" s="15"/>
      <c r="R174" s="15"/>
      <c r="S174" s="15"/>
      <c r="T174" s="15"/>
      <c r="U174" s="15"/>
      <c r="V174" s="15"/>
      <c r="W174" s="15"/>
      <c r="X174" s="15"/>
      <c r="Y174" s="15"/>
      <c r="Z174" s="15"/>
    </row>
    <row r="175" spans="1:26" ht="15.75" x14ac:dyDescent="0.25">
      <c r="A175" s="468" t="s">
        <v>1670</v>
      </c>
      <c r="B175" s="454"/>
      <c r="C175" s="443"/>
      <c r="D175" s="443"/>
      <c r="E175" s="443"/>
      <c r="F175" s="443"/>
      <c r="G175" s="462"/>
      <c r="H175" s="307">
        <v>50000</v>
      </c>
      <c r="I175" s="286"/>
      <c r="J175" s="15"/>
      <c r="K175" s="16"/>
      <c r="L175" s="15"/>
      <c r="M175" s="15"/>
      <c r="N175" s="15"/>
      <c r="O175" s="15"/>
      <c r="P175" s="15"/>
      <c r="Q175" s="15"/>
      <c r="R175" s="15"/>
      <c r="S175" s="15"/>
      <c r="T175" s="15"/>
      <c r="U175" s="15"/>
      <c r="V175" s="15"/>
      <c r="W175" s="15"/>
      <c r="X175" s="15"/>
      <c r="Y175" s="15"/>
      <c r="Z175" s="15"/>
    </row>
    <row r="176" spans="1:26" ht="15.75" x14ac:dyDescent="0.25">
      <c r="A176" s="468" t="s">
        <v>1671</v>
      </c>
      <c r="B176" s="454"/>
      <c r="C176" s="443"/>
      <c r="D176" s="443"/>
      <c r="E176" s="443"/>
      <c r="F176" s="443"/>
      <c r="G176" s="462"/>
      <c r="H176" s="307">
        <v>50000</v>
      </c>
      <c r="I176" s="286"/>
      <c r="J176" s="15"/>
      <c r="K176" s="16"/>
      <c r="L176" s="15"/>
      <c r="M176" s="15"/>
      <c r="N176" s="15"/>
      <c r="O176" s="15"/>
      <c r="P176" s="15"/>
      <c r="Q176" s="15"/>
      <c r="R176" s="15"/>
      <c r="S176" s="15"/>
      <c r="T176" s="15"/>
      <c r="U176" s="15"/>
      <c r="V176" s="15"/>
      <c r="W176" s="15"/>
      <c r="X176" s="15"/>
      <c r="Y176" s="15"/>
      <c r="Z176" s="15"/>
    </row>
    <row r="177" spans="1:26" ht="15.75" x14ac:dyDescent="0.25">
      <c r="A177" s="74" t="s">
        <v>1672</v>
      </c>
      <c r="B177" s="20"/>
      <c r="C177" s="56"/>
      <c r="D177" s="56"/>
      <c r="E177" s="43"/>
      <c r="F177" s="56"/>
      <c r="G177" s="462"/>
      <c r="H177" s="307">
        <v>22200</v>
      </c>
      <c r="I177" s="286"/>
      <c r="J177" s="15"/>
      <c r="K177" s="16"/>
      <c r="L177" s="15"/>
      <c r="M177" s="15"/>
      <c r="N177" s="15"/>
      <c r="O177" s="15"/>
      <c r="P177" s="15"/>
      <c r="Q177" s="15"/>
      <c r="R177" s="15"/>
      <c r="S177" s="15"/>
      <c r="T177" s="15"/>
      <c r="U177" s="15"/>
      <c r="V177" s="15"/>
      <c r="W177" s="15"/>
      <c r="X177" s="15"/>
      <c r="Y177" s="15"/>
      <c r="Z177" s="15"/>
    </row>
    <row r="178" spans="1:26" ht="15.75" x14ac:dyDescent="0.25">
      <c r="A178" s="74" t="s">
        <v>1673</v>
      </c>
      <c r="B178" s="20"/>
      <c r="C178" s="56"/>
      <c r="D178" s="56"/>
      <c r="E178" s="43"/>
      <c r="F178" s="56"/>
      <c r="G178" s="43"/>
      <c r="H178" s="307">
        <v>245000</v>
      </c>
      <c r="I178" s="286"/>
      <c r="J178" s="15"/>
      <c r="K178" s="16"/>
      <c r="L178" s="15"/>
      <c r="M178" s="15"/>
      <c r="N178" s="15"/>
      <c r="O178" s="15"/>
      <c r="P178" s="15"/>
      <c r="Q178" s="15"/>
      <c r="R178" s="15"/>
      <c r="S178" s="15"/>
      <c r="T178" s="15"/>
      <c r="U178" s="15"/>
      <c r="V178" s="15"/>
      <c r="W178" s="15"/>
      <c r="X178" s="15"/>
      <c r="Y178" s="15"/>
      <c r="Z178" s="15"/>
    </row>
    <row r="179" spans="1:26" ht="31.5" x14ac:dyDescent="0.25">
      <c r="A179" s="90" t="s">
        <v>1674</v>
      </c>
      <c r="B179" s="20"/>
      <c r="C179" s="56"/>
      <c r="D179" s="56"/>
      <c r="E179" s="43"/>
      <c r="F179" s="56"/>
      <c r="G179" s="43"/>
      <c r="H179" s="307">
        <v>192500</v>
      </c>
      <c r="I179" s="286"/>
      <c r="J179" s="15"/>
      <c r="K179" s="16"/>
      <c r="L179" s="15"/>
      <c r="M179" s="15"/>
      <c r="N179" s="15"/>
      <c r="O179" s="15"/>
      <c r="P179" s="15"/>
      <c r="Q179" s="15"/>
      <c r="R179" s="15"/>
      <c r="S179" s="15"/>
      <c r="T179" s="15"/>
      <c r="U179" s="15"/>
      <c r="V179" s="15"/>
      <c r="W179" s="15"/>
      <c r="X179" s="15"/>
      <c r="Y179" s="15"/>
      <c r="Z179" s="15"/>
    </row>
    <row r="180" spans="1:26" ht="31.5" x14ac:dyDescent="0.25">
      <c r="A180" s="90" t="s">
        <v>1675</v>
      </c>
      <c r="B180" s="20"/>
      <c r="C180" s="56"/>
      <c r="D180" s="56"/>
      <c r="E180" s="43"/>
      <c r="F180" s="56"/>
      <c r="G180" s="43"/>
      <c r="H180" s="307">
        <v>14000</v>
      </c>
      <c r="I180" s="286"/>
      <c r="J180" s="15"/>
      <c r="K180" s="16"/>
      <c r="L180" s="15"/>
      <c r="M180" s="15"/>
      <c r="N180" s="15"/>
      <c r="O180" s="15"/>
      <c r="P180" s="15"/>
      <c r="Q180" s="15"/>
      <c r="R180" s="15"/>
      <c r="S180" s="15"/>
      <c r="T180" s="15"/>
      <c r="U180" s="15"/>
      <c r="V180" s="15"/>
      <c r="W180" s="15"/>
      <c r="X180" s="15"/>
      <c r="Y180" s="15"/>
      <c r="Z180" s="15"/>
    </row>
    <row r="181" spans="1:26" ht="15.75" x14ac:dyDescent="0.25">
      <c r="A181" s="74" t="s">
        <v>1676</v>
      </c>
      <c r="B181" s="20"/>
      <c r="C181" s="56"/>
      <c r="D181" s="56"/>
      <c r="E181" s="43"/>
      <c r="F181" s="56"/>
      <c r="G181" s="43"/>
      <c r="H181" s="307">
        <v>52500</v>
      </c>
      <c r="I181" s="286"/>
      <c r="J181" s="15"/>
      <c r="K181" s="16"/>
      <c r="L181" s="15"/>
      <c r="M181" s="15"/>
      <c r="N181" s="15"/>
      <c r="O181" s="15"/>
      <c r="P181" s="15"/>
      <c r="Q181" s="15"/>
      <c r="R181" s="15"/>
      <c r="S181" s="15"/>
      <c r="T181" s="15"/>
      <c r="U181" s="15"/>
      <c r="V181" s="15"/>
      <c r="W181" s="15"/>
      <c r="X181" s="15"/>
      <c r="Y181" s="15"/>
      <c r="Z181" s="15"/>
    </row>
    <row r="182" spans="1:26" ht="31.5" x14ac:dyDescent="0.25">
      <c r="A182" s="90" t="s">
        <v>1677</v>
      </c>
      <c r="B182" s="20"/>
      <c r="C182" s="56"/>
      <c r="D182" s="56"/>
      <c r="E182" s="43"/>
      <c r="F182" s="56"/>
      <c r="G182" s="43"/>
      <c r="H182" s="307">
        <v>185000</v>
      </c>
      <c r="I182" s="286"/>
      <c r="J182" s="15"/>
      <c r="K182" s="16">
        <f>K185+J131</f>
        <v>125117590</v>
      </c>
      <c r="L182" s="15"/>
      <c r="M182" s="15"/>
      <c r="N182" s="15"/>
      <c r="O182" s="15"/>
      <c r="P182" s="15"/>
      <c r="Q182" s="15"/>
      <c r="R182" s="15"/>
      <c r="S182" s="15"/>
      <c r="T182" s="15"/>
      <c r="U182" s="15"/>
      <c r="V182" s="15"/>
      <c r="W182" s="15"/>
      <c r="X182" s="15"/>
      <c r="Y182" s="15"/>
      <c r="Z182" s="15"/>
    </row>
    <row r="183" spans="1:26" ht="15.75" x14ac:dyDescent="0.25">
      <c r="A183" s="74" t="s">
        <v>1678</v>
      </c>
      <c r="B183" s="20"/>
      <c r="C183" s="56"/>
      <c r="D183" s="56"/>
      <c r="E183" s="43"/>
      <c r="F183" s="56"/>
      <c r="G183" s="43"/>
      <c r="H183" s="156">
        <v>56000</v>
      </c>
      <c r="I183" s="286"/>
      <c r="J183" s="15"/>
      <c r="K183" s="16"/>
      <c r="L183" s="15"/>
      <c r="M183" s="15"/>
      <c r="N183" s="15"/>
      <c r="O183" s="15"/>
      <c r="P183" s="15"/>
      <c r="Q183" s="15"/>
      <c r="R183" s="15"/>
      <c r="S183" s="15"/>
      <c r="T183" s="15"/>
      <c r="U183" s="15"/>
      <c r="V183" s="15"/>
      <c r="W183" s="15"/>
      <c r="X183" s="15"/>
      <c r="Y183" s="15"/>
      <c r="Z183" s="15"/>
    </row>
    <row r="184" spans="1:26" ht="15.75" x14ac:dyDescent="0.25">
      <c r="A184" s="96" t="s">
        <v>648</v>
      </c>
      <c r="B184" s="20"/>
      <c r="C184" s="56"/>
      <c r="D184" s="56"/>
      <c r="E184" s="43"/>
      <c r="F184" s="56"/>
      <c r="G184" s="43"/>
      <c r="H184" s="156"/>
      <c r="I184" s="286"/>
      <c r="J184" s="15"/>
      <c r="K184" s="16"/>
      <c r="L184" s="15"/>
      <c r="M184" s="15"/>
      <c r="N184" s="15"/>
      <c r="O184" s="15"/>
      <c r="P184" s="15"/>
      <c r="Q184" s="15"/>
      <c r="R184" s="15"/>
      <c r="S184" s="15"/>
      <c r="T184" s="15"/>
      <c r="U184" s="15"/>
      <c r="V184" s="15"/>
      <c r="W184" s="15"/>
      <c r="X184" s="15"/>
      <c r="Y184" s="15"/>
      <c r="Z184" s="15"/>
    </row>
    <row r="185" spans="1:26" ht="15.75" x14ac:dyDescent="0.25">
      <c r="A185" s="300" t="s">
        <v>1679</v>
      </c>
      <c r="B185" s="20"/>
      <c r="C185" s="56"/>
      <c r="D185" s="56"/>
      <c r="E185" s="43"/>
      <c r="F185" s="56"/>
      <c r="G185" s="43"/>
      <c r="H185" s="156"/>
      <c r="I185" s="286"/>
      <c r="J185" s="15"/>
      <c r="K185" s="310">
        <f>SUM(K186:K238)</f>
        <v>76674840</v>
      </c>
      <c r="L185" s="15"/>
      <c r="M185" s="15"/>
      <c r="N185" s="15"/>
      <c r="O185" s="15"/>
      <c r="P185" s="15"/>
      <c r="Q185" s="15"/>
      <c r="R185" s="15"/>
      <c r="S185" s="15"/>
      <c r="T185" s="15"/>
      <c r="U185" s="15"/>
      <c r="V185" s="15"/>
      <c r="W185" s="15"/>
      <c r="X185" s="15"/>
      <c r="Y185" s="15"/>
      <c r="Z185" s="15"/>
    </row>
    <row r="186" spans="1:26" ht="15.75" x14ac:dyDescent="0.25">
      <c r="A186" s="74" t="s">
        <v>1680</v>
      </c>
      <c r="B186" s="20"/>
      <c r="C186" s="56"/>
      <c r="D186" s="56"/>
      <c r="E186" s="43"/>
      <c r="F186" s="56"/>
      <c r="G186" s="43"/>
      <c r="H186" s="156">
        <v>1</v>
      </c>
      <c r="I186" s="286">
        <v>50000</v>
      </c>
      <c r="J186" s="15">
        <v>12</v>
      </c>
      <c r="K186" s="16">
        <f t="shared" ref="K186:K197" si="9">J186*I186*H186</f>
        <v>600000</v>
      </c>
      <c r="L186" s="15"/>
      <c r="M186" s="15"/>
      <c r="N186" s="15"/>
      <c r="O186" s="15"/>
      <c r="P186" s="15"/>
      <c r="Q186" s="15"/>
      <c r="R186" s="15"/>
      <c r="S186" s="15"/>
      <c r="T186" s="15"/>
      <c r="U186" s="15"/>
      <c r="V186" s="15"/>
      <c r="W186" s="15"/>
      <c r="X186" s="15"/>
      <c r="Y186" s="15"/>
      <c r="Z186" s="15"/>
    </row>
    <row r="187" spans="1:26" ht="15.75" customHeight="1" x14ac:dyDescent="0.25">
      <c r="A187" s="74" t="s">
        <v>1681</v>
      </c>
      <c r="B187" s="20"/>
      <c r="C187" s="56"/>
      <c r="D187" s="56"/>
      <c r="E187" s="43"/>
      <c r="F187" s="56"/>
      <c r="G187" s="43"/>
      <c r="H187" s="156">
        <v>1</v>
      </c>
      <c r="I187" s="286">
        <v>40000</v>
      </c>
      <c r="J187" s="15">
        <v>12</v>
      </c>
      <c r="K187" s="16">
        <f t="shared" si="9"/>
        <v>480000</v>
      </c>
      <c r="L187" s="15"/>
      <c r="M187" s="15"/>
      <c r="N187" s="15"/>
      <c r="O187" s="15"/>
      <c r="P187" s="15"/>
      <c r="Q187" s="15"/>
      <c r="R187" s="15"/>
      <c r="S187" s="15"/>
      <c r="T187" s="15"/>
      <c r="U187" s="15"/>
      <c r="V187" s="15"/>
      <c r="W187" s="15"/>
      <c r="X187" s="15"/>
      <c r="Y187" s="15"/>
      <c r="Z187" s="15"/>
    </row>
    <row r="188" spans="1:26" ht="15.75" customHeight="1" x14ac:dyDescent="0.25">
      <c r="A188" s="90" t="s">
        <v>1682</v>
      </c>
      <c r="B188" s="20"/>
      <c r="C188" s="56"/>
      <c r="D188" s="56"/>
      <c r="E188" s="43"/>
      <c r="F188" s="56"/>
      <c r="G188" s="43"/>
      <c r="H188" s="156">
        <v>1</v>
      </c>
      <c r="I188" s="286">
        <v>40000</v>
      </c>
      <c r="J188" s="15">
        <v>12</v>
      </c>
      <c r="K188" s="16">
        <f t="shared" si="9"/>
        <v>480000</v>
      </c>
      <c r="L188" s="15"/>
      <c r="M188" s="15"/>
      <c r="N188" s="15"/>
      <c r="O188" s="15"/>
      <c r="P188" s="15"/>
      <c r="Q188" s="15"/>
      <c r="R188" s="15"/>
      <c r="S188" s="15"/>
      <c r="T188" s="15"/>
      <c r="U188" s="15"/>
      <c r="V188" s="15"/>
      <c r="W188" s="15"/>
      <c r="X188" s="15"/>
      <c r="Y188" s="15"/>
      <c r="Z188" s="15"/>
    </row>
    <row r="189" spans="1:26" ht="15.75" customHeight="1" x14ac:dyDescent="0.25">
      <c r="A189" s="74" t="s">
        <v>1683</v>
      </c>
      <c r="B189" s="20"/>
      <c r="C189" s="56"/>
      <c r="D189" s="56"/>
      <c r="E189" s="43"/>
      <c r="F189" s="56"/>
      <c r="G189" s="43"/>
      <c r="H189" s="156">
        <v>2</v>
      </c>
      <c r="I189" s="286">
        <v>40000</v>
      </c>
      <c r="J189" s="15">
        <v>12</v>
      </c>
      <c r="K189" s="16">
        <f t="shared" si="9"/>
        <v>960000</v>
      </c>
      <c r="L189" s="15"/>
      <c r="M189" s="15"/>
      <c r="N189" s="15"/>
      <c r="O189" s="15"/>
      <c r="P189" s="15"/>
      <c r="Q189" s="15"/>
      <c r="R189" s="15"/>
      <c r="S189" s="15"/>
      <c r="T189" s="15"/>
      <c r="U189" s="15"/>
      <c r="V189" s="15"/>
      <c r="W189" s="15"/>
      <c r="X189" s="15"/>
      <c r="Y189" s="15"/>
      <c r="Z189" s="15"/>
    </row>
    <row r="190" spans="1:26" ht="15.75" customHeight="1" x14ac:dyDescent="0.25">
      <c r="A190" s="74" t="s">
        <v>1684</v>
      </c>
      <c r="B190" s="20"/>
      <c r="C190" s="56"/>
      <c r="D190" s="56"/>
      <c r="E190" s="43"/>
      <c r="F190" s="56"/>
      <c r="G190" s="43"/>
      <c r="H190" s="156">
        <v>1</v>
      </c>
      <c r="I190" s="286">
        <v>974</v>
      </c>
      <c r="J190" s="15">
        <f>22*12</f>
        <v>264</v>
      </c>
      <c r="K190" s="16">
        <f t="shared" si="9"/>
        <v>257136</v>
      </c>
      <c r="L190" s="15"/>
      <c r="M190" s="15"/>
      <c r="N190" s="15"/>
      <c r="O190" s="15"/>
      <c r="P190" s="15"/>
      <c r="Q190" s="15"/>
      <c r="R190" s="15"/>
      <c r="S190" s="15"/>
      <c r="T190" s="15"/>
      <c r="U190" s="15"/>
      <c r="V190" s="15"/>
      <c r="W190" s="15"/>
      <c r="X190" s="15"/>
      <c r="Y190" s="15"/>
      <c r="Z190" s="15"/>
    </row>
    <row r="191" spans="1:26" ht="15.75" customHeight="1" x14ac:dyDescent="0.25">
      <c r="A191" s="74" t="s">
        <v>1685</v>
      </c>
      <c r="B191" s="20"/>
      <c r="C191" s="56"/>
      <c r="D191" s="56"/>
      <c r="E191" s="43"/>
      <c r="F191" s="56"/>
      <c r="G191" s="43"/>
      <c r="H191" s="156">
        <v>2</v>
      </c>
      <c r="I191" s="286">
        <v>678</v>
      </c>
      <c r="J191" s="15">
        <f>26*12</f>
        <v>312</v>
      </c>
      <c r="K191" s="16">
        <f t="shared" si="9"/>
        <v>423072</v>
      </c>
      <c r="L191" s="15"/>
      <c r="M191" s="15"/>
      <c r="N191" s="15"/>
      <c r="O191" s="15"/>
      <c r="P191" s="15"/>
      <c r="Q191" s="15"/>
      <c r="R191" s="15"/>
      <c r="S191" s="15"/>
      <c r="T191" s="15"/>
      <c r="U191" s="15"/>
      <c r="V191" s="15"/>
      <c r="W191" s="15"/>
      <c r="X191" s="15"/>
      <c r="Y191" s="15"/>
      <c r="Z191" s="15"/>
    </row>
    <row r="192" spans="1:26" ht="15.75" customHeight="1" x14ac:dyDescent="0.25">
      <c r="A192" s="90" t="s">
        <v>1686</v>
      </c>
      <c r="B192" s="20"/>
      <c r="C192" s="56"/>
      <c r="D192" s="56"/>
      <c r="E192" s="43"/>
      <c r="F192" s="56"/>
      <c r="G192" s="43"/>
      <c r="H192" s="156">
        <v>6</v>
      </c>
      <c r="I192" s="286">
        <v>639</v>
      </c>
      <c r="J192" s="15">
        <f>22*12</f>
        <v>264</v>
      </c>
      <c r="K192" s="16">
        <f t="shared" si="9"/>
        <v>1012176</v>
      </c>
      <c r="L192" s="15"/>
      <c r="M192" s="15"/>
      <c r="N192" s="15"/>
      <c r="O192" s="15"/>
      <c r="P192" s="15"/>
      <c r="Q192" s="15"/>
      <c r="R192" s="15"/>
      <c r="S192" s="15"/>
      <c r="T192" s="15"/>
      <c r="U192" s="15"/>
      <c r="V192" s="15"/>
      <c r="W192" s="15"/>
      <c r="X192" s="15"/>
      <c r="Y192" s="15"/>
      <c r="Z192" s="15"/>
    </row>
    <row r="193" spans="1:26" ht="15.75" customHeight="1" x14ac:dyDescent="0.25">
      <c r="A193" s="74" t="s">
        <v>995</v>
      </c>
      <c r="B193" s="20"/>
      <c r="C193" s="56"/>
      <c r="D193" s="56"/>
      <c r="E193" s="43"/>
      <c r="F193" s="56"/>
      <c r="G193" s="43"/>
      <c r="H193" s="156">
        <v>3</v>
      </c>
      <c r="I193" s="286">
        <v>678</v>
      </c>
      <c r="J193" s="15">
        <f>26*12</f>
        <v>312</v>
      </c>
      <c r="K193" s="16">
        <f t="shared" si="9"/>
        <v>634608</v>
      </c>
      <c r="L193" s="15"/>
      <c r="M193" s="15"/>
      <c r="N193" s="15"/>
      <c r="O193" s="15"/>
      <c r="P193" s="15"/>
      <c r="Q193" s="15"/>
      <c r="R193" s="15"/>
      <c r="S193" s="15"/>
      <c r="T193" s="15"/>
      <c r="U193" s="15"/>
      <c r="V193" s="15"/>
      <c r="W193" s="15"/>
      <c r="X193" s="15"/>
      <c r="Y193" s="15"/>
      <c r="Z193" s="15"/>
    </row>
    <row r="194" spans="1:26" ht="15.75" customHeight="1" x14ac:dyDescent="0.25">
      <c r="A194" s="74" t="s">
        <v>1687</v>
      </c>
      <c r="B194" s="20"/>
      <c r="C194" s="56"/>
      <c r="D194" s="56"/>
      <c r="E194" s="43"/>
      <c r="F194" s="56"/>
      <c r="G194" s="43"/>
      <c r="H194" s="156">
        <v>2</v>
      </c>
      <c r="I194" s="286">
        <v>1365</v>
      </c>
      <c r="J194" s="15">
        <f t="shared" ref="J194:J196" si="10">22*12</f>
        <v>264</v>
      </c>
      <c r="K194" s="16">
        <f t="shared" si="9"/>
        <v>720720</v>
      </c>
      <c r="L194" s="15"/>
      <c r="M194" s="15"/>
      <c r="N194" s="15"/>
      <c r="O194" s="15"/>
      <c r="P194" s="15"/>
      <c r="Q194" s="15"/>
      <c r="R194" s="15"/>
      <c r="S194" s="15"/>
      <c r="T194" s="15"/>
      <c r="U194" s="15"/>
      <c r="V194" s="15"/>
      <c r="W194" s="15"/>
      <c r="X194" s="15"/>
      <c r="Y194" s="15"/>
      <c r="Z194" s="15"/>
    </row>
    <row r="195" spans="1:26" ht="15.75" customHeight="1" x14ac:dyDescent="0.25">
      <c r="A195" s="74" t="s">
        <v>1688</v>
      </c>
      <c r="B195" s="20"/>
      <c r="C195" s="56"/>
      <c r="D195" s="56"/>
      <c r="E195" s="43"/>
      <c r="F195" s="56"/>
      <c r="G195" s="43"/>
      <c r="H195" s="156">
        <v>2</v>
      </c>
      <c r="I195" s="286">
        <v>678</v>
      </c>
      <c r="J195" s="15">
        <f t="shared" si="10"/>
        <v>264</v>
      </c>
      <c r="K195" s="16">
        <f t="shared" si="9"/>
        <v>357984</v>
      </c>
      <c r="L195" s="15"/>
      <c r="M195" s="15"/>
      <c r="N195" s="15"/>
      <c r="O195" s="15"/>
      <c r="P195" s="15"/>
      <c r="Q195" s="15"/>
      <c r="R195" s="15"/>
      <c r="S195" s="15"/>
      <c r="T195" s="15"/>
      <c r="U195" s="15"/>
      <c r="V195" s="15"/>
      <c r="W195" s="15"/>
      <c r="X195" s="15"/>
      <c r="Y195" s="15"/>
      <c r="Z195" s="15"/>
    </row>
    <row r="196" spans="1:26" ht="31.5" x14ac:dyDescent="0.25">
      <c r="A196" s="626" t="s">
        <v>1689</v>
      </c>
      <c r="B196" s="603"/>
      <c r="C196" s="618"/>
      <c r="D196" s="618"/>
      <c r="E196" s="457"/>
      <c r="F196" s="618"/>
      <c r="G196" s="457"/>
      <c r="H196" s="156">
        <v>5</v>
      </c>
      <c r="I196" s="286">
        <v>639</v>
      </c>
      <c r="J196" s="15">
        <f t="shared" si="10"/>
        <v>264</v>
      </c>
      <c r="K196" s="16">
        <f t="shared" si="9"/>
        <v>843480</v>
      </c>
      <c r="L196" s="15"/>
      <c r="M196" s="15"/>
      <c r="N196" s="15"/>
      <c r="O196" s="15"/>
      <c r="P196" s="15"/>
      <c r="Q196" s="15"/>
      <c r="R196" s="15"/>
      <c r="S196" s="15"/>
      <c r="T196" s="15"/>
      <c r="U196" s="15"/>
      <c r="V196" s="15"/>
      <c r="W196" s="15"/>
      <c r="X196" s="15"/>
      <c r="Y196" s="15"/>
      <c r="Z196" s="15"/>
    </row>
    <row r="197" spans="1:26" ht="31.5" x14ac:dyDescent="0.25">
      <c r="A197" s="620" t="s">
        <v>2777</v>
      </c>
      <c r="B197" s="539"/>
      <c r="C197" s="513"/>
      <c r="D197" s="513"/>
      <c r="E197" s="448"/>
      <c r="F197" s="513"/>
      <c r="G197" s="448"/>
      <c r="H197" s="156">
        <v>1</v>
      </c>
      <c r="I197" s="286">
        <v>1163</v>
      </c>
      <c r="J197" s="15">
        <f>12*26</f>
        <v>312</v>
      </c>
      <c r="K197" s="16">
        <f t="shared" si="9"/>
        <v>362856</v>
      </c>
      <c r="L197" s="15"/>
      <c r="M197" s="15"/>
      <c r="N197" s="15"/>
      <c r="O197" s="15"/>
      <c r="P197" s="15"/>
      <c r="Q197" s="15"/>
      <c r="R197" s="15"/>
      <c r="S197" s="15"/>
      <c r="T197" s="15"/>
      <c r="U197" s="15"/>
      <c r="V197" s="15"/>
      <c r="W197" s="15"/>
      <c r="X197" s="15"/>
      <c r="Y197" s="15"/>
      <c r="Z197" s="15"/>
    </row>
    <row r="198" spans="1:26" ht="15.75" x14ac:dyDescent="0.25">
      <c r="A198" s="300" t="s">
        <v>1690</v>
      </c>
      <c r="B198" s="20"/>
      <c r="C198" s="56"/>
      <c r="D198" s="56"/>
      <c r="E198" s="43"/>
      <c r="F198" s="56"/>
      <c r="G198" s="43"/>
      <c r="H198" s="156"/>
      <c r="I198" s="286"/>
      <c r="J198" s="15"/>
      <c r="K198" s="16"/>
      <c r="L198" s="15"/>
      <c r="M198" s="15"/>
      <c r="N198" s="15"/>
      <c r="O198" s="15"/>
      <c r="P198" s="15"/>
      <c r="Q198" s="15"/>
      <c r="R198" s="15"/>
      <c r="S198" s="15"/>
      <c r="T198" s="15"/>
      <c r="U198" s="15"/>
      <c r="V198" s="15"/>
      <c r="W198" s="15"/>
      <c r="X198" s="15"/>
      <c r="Y198" s="15"/>
      <c r="Z198" s="15"/>
    </row>
    <row r="199" spans="1:26" ht="31.5" x14ac:dyDescent="0.25">
      <c r="A199" s="90" t="s">
        <v>1691</v>
      </c>
      <c r="B199" s="20"/>
      <c r="C199" s="56"/>
      <c r="D199" s="56"/>
      <c r="E199" s="43"/>
      <c r="F199" s="56"/>
      <c r="G199" s="43"/>
      <c r="H199" s="156">
        <v>4</v>
      </c>
      <c r="I199" s="286">
        <v>1828</v>
      </c>
      <c r="J199" s="15">
        <f t="shared" ref="J199:J200" si="11">22*12</f>
        <v>264</v>
      </c>
      <c r="K199" s="16">
        <f t="shared" ref="K199:K200" si="12">J199*I199*H199</f>
        <v>1930368</v>
      </c>
      <c r="L199" s="15"/>
      <c r="M199" s="15"/>
      <c r="N199" s="15"/>
      <c r="O199" s="15"/>
      <c r="P199" s="15"/>
      <c r="Q199" s="15"/>
      <c r="R199" s="15"/>
      <c r="S199" s="15"/>
      <c r="T199" s="15"/>
      <c r="U199" s="15"/>
      <c r="V199" s="15"/>
      <c r="W199" s="15"/>
      <c r="X199" s="15"/>
      <c r="Y199" s="15"/>
      <c r="Z199" s="15"/>
    </row>
    <row r="200" spans="1:26" ht="15.75" x14ac:dyDescent="0.25">
      <c r="A200" s="74" t="s">
        <v>2781</v>
      </c>
      <c r="B200" s="20"/>
      <c r="C200" s="56"/>
      <c r="D200" s="56"/>
      <c r="E200" s="43"/>
      <c r="F200" s="56"/>
      <c r="G200" s="43"/>
      <c r="H200" s="156">
        <v>5</v>
      </c>
      <c r="I200" s="286">
        <v>678</v>
      </c>
      <c r="J200" s="15">
        <f t="shared" si="11"/>
        <v>264</v>
      </c>
      <c r="K200" s="16">
        <f t="shared" si="12"/>
        <v>894960</v>
      </c>
      <c r="L200" s="15"/>
      <c r="M200" s="15"/>
      <c r="N200" s="15"/>
      <c r="O200" s="15"/>
      <c r="P200" s="15"/>
      <c r="Q200" s="15"/>
      <c r="R200" s="15"/>
      <c r="S200" s="15"/>
      <c r="T200" s="15"/>
      <c r="U200" s="15"/>
      <c r="V200" s="15"/>
      <c r="W200" s="15"/>
      <c r="X200" s="15"/>
      <c r="Y200" s="15"/>
      <c r="Z200" s="15"/>
    </row>
    <row r="201" spans="1:26" ht="15.75" x14ac:dyDescent="0.25">
      <c r="A201" s="300" t="s">
        <v>1692</v>
      </c>
      <c r="B201" s="20"/>
      <c r="C201" s="56"/>
      <c r="D201" s="56"/>
      <c r="E201" s="43"/>
      <c r="F201" s="56"/>
      <c r="G201" s="43"/>
      <c r="H201" s="156"/>
      <c r="I201" s="286"/>
      <c r="J201" s="15"/>
      <c r="K201" s="16"/>
      <c r="L201" s="15"/>
      <c r="M201" s="15"/>
      <c r="N201" s="15"/>
      <c r="O201" s="15"/>
      <c r="P201" s="15"/>
      <c r="Q201" s="15"/>
      <c r="R201" s="15"/>
      <c r="S201" s="15"/>
      <c r="T201" s="15"/>
      <c r="U201" s="15"/>
      <c r="V201" s="15"/>
      <c r="W201" s="15"/>
      <c r="X201" s="15"/>
      <c r="Y201" s="15"/>
      <c r="Z201" s="15"/>
    </row>
    <row r="202" spans="1:26" ht="15.75" x14ac:dyDescent="0.25">
      <c r="A202" s="74" t="s">
        <v>1693</v>
      </c>
      <c r="B202" s="20"/>
      <c r="C202" s="56"/>
      <c r="D202" s="56"/>
      <c r="E202" s="43"/>
      <c r="F202" s="56"/>
      <c r="G202" s="43"/>
      <c r="H202" s="156">
        <v>16</v>
      </c>
      <c r="I202" s="286">
        <v>720</v>
      </c>
      <c r="J202" s="15">
        <f t="shared" ref="J202:J213" si="13">26*12</f>
        <v>312</v>
      </c>
      <c r="K202" s="16">
        <f t="shared" ref="K202:K214" si="14">J202*I202*H202</f>
        <v>3594240</v>
      </c>
      <c r="L202" s="15"/>
      <c r="M202" s="15"/>
      <c r="N202" s="15"/>
      <c r="O202" s="15"/>
      <c r="P202" s="15"/>
      <c r="Q202" s="15"/>
      <c r="R202" s="15"/>
      <c r="S202" s="15"/>
      <c r="T202" s="15"/>
      <c r="U202" s="15"/>
      <c r="V202" s="15"/>
      <c r="W202" s="15"/>
      <c r="X202" s="15"/>
      <c r="Y202" s="15"/>
      <c r="Z202" s="15"/>
    </row>
    <row r="203" spans="1:26" ht="15.75" x14ac:dyDescent="0.25">
      <c r="A203" s="74" t="s">
        <v>1694</v>
      </c>
      <c r="B203" s="20"/>
      <c r="C203" s="56"/>
      <c r="D203" s="56"/>
      <c r="E203" s="43"/>
      <c r="F203" s="56"/>
      <c r="G203" s="43"/>
      <c r="H203" s="156">
        <v>16</v>
      </c>
      <c r="I203" s="286">
        <v>720</v>
      </c>
      <c r="J203" s="15">
        <f t="shared" si="13"/>
        <v>312</v>
      </c>
      <c r="K203" s="16">
        <f t="shared" si="14"/>
        <v>3594240</v>
      </c>
      <c r="L203" s="15"/>
      <c r="M203" s="15"/>
      <c r="N203" s="15"/>
      <c r="O203" s="15"/>
      <c r="P203" s="15"/>
      <c r="Q203" s="15"/>
      <c r="R203" s="15"/>
      <c r="S203" s="15"/>
      <c r="T203" s="15"/>
      <c r="U203" s="15"/>
      <c r="V203" s="15"/>
      <c r="W203" s="15"/>
      <c r="X203" s="15"/>
      <c r="Y203" s="15"/>
      <c r="Z203" s="15"/>
    </row>
    <row r="204" spans="1:26" ht="31.5" x14ac:dyDescent="0.25">
      <c r="A204" s="90" t="s">
        <v>1695</v>
      </c>
      <c r="B204" s="20"/>
      <c r="C204" s="56"/>
      <c r="D204" s="56"/>
      <c r="E204" s="43"/>
      <c r="F204" s="56"/>
      <c r="G204" s="43"/>
      <c r="H204" s="156">
        <v>17</v>
      </c>
      <c r="I204" s="286">
        <v>639</v>
      </c>
      <c r="J204" s="15">
        <f t="shared" si="13"/>
        <v>312</v>
      </c>
      <c r="K204" s="16">
        <f t="shared" si="14"/>
        <v>3389256</v>
      </c>
      <c r="L204" s="15"/>
      <c r="M204" s="15"/>
      <c r="N204" s="15"/>
      <c r="O204" s="15"/>
      <c r="P204" s="15"/>
      <c r="Q204" s="15"/>
      <c r="R204" s="15"/>
      <c r="S204" s="15"/>
      <c r="T204" s="15"/>
      <c r="U204" s="15"/>
      <c r="V204" s="15"/>
      <c r="W204" s="15"/>
      <c r="X204" s="15"/>
      <c r="Y204" s="15"/>
      <c r="Z204" s="15"/>
    </row>
    <row r="205" spans="1:26" ht="15.75" x14ac:dyDescent="0.25">
      <c r="A205" s="74" t="s">
        <v>1696</v>
      </c>
      <c r="B205" s="20"/>
      <c r="C205" s="56"/>
      <c r="D205" s="56"/>
      <c r="E205" s="43"/>
      <c r="F205" s="56"/>
      <c r="G205" s="43"/>
      <c r="H205" s="156">
        <v>21</v>
      </c>
      <c r="I205" s="286">
        <v>678</v>
      </c>
      <c r="J205" s="15">
        <f t="shared" si="13"/>
        <v>312</v>
      </c>
      <c r="K205" s="16">
        <f t="shared" si="14"/>
        <v>4442256</v>
      </c>
      <c r="L205" s="15"/>
      <c r="M205" s="15"/>
      <c r="N205" s="15"/>
      <c r="O205" s="15"/>
      <c r="P205" s="15"/>
      <c r="Q205" s="15"/>
      <c r="R205" s="15"/>
      <c r="S205" s="15"/>
      <c r="T205" s="15"/>
      <c r="U205" s="15"/>
      <c r="V205" s="15"/>
      <c r="W205" s="15"/>
      <c r="X205" s="15"/>
      <c r="Y205" s="15"/>
      <c r="Z205" s="15"/>
    </row>
    <row r="206" spans="1:26" ht="15.75" x14ac:dyDescent="0.25">
      <c r="A206" s="74" t="s">
        <v>1697</v>
      </c>
      <c r="B206" s="20"/>
      <c r="C206" s="56"/>
      <c r="D206" s="56"/>
      <c r="E206" s="43"/>
      <c r="F206" s="56"/>
      <c r="G206" s="43"/>
      <c r="H206" s="156">
        <v>17</v>
      </c>
      <c r="I206" s="286">
        <v>678</v>
      </c>
      <c r="J206" s="15">
        <f t="shared" si="13"/>
        <v>312</v>
      </c>
      <c r="K206" s="16">
        <f t="shared" si="14"/>
        <v>3596112</v>
      </c>
      <c r="L206" s="15"/>
      <c r="M206" s="15"/>
      <c r="N206" s="15"/>
      <c r="O206" s="15"/>
      <c r="P206" s="15"/>
      <c r="Q206" s="15"/>
      <c r="R206" s="15"/>
      <c r="S206" s="15"/>
      <c r="T206" s="15"/>
      <c r="U206" s="15"/>
      <c r="V206" s="15"/>
      <c r="W206" s="15"/>
      <c r="X206" s="15"/>
      <c r="Y206" s="15"/>
      <c r="Z206" s="15"/>
    </row>
    <row r="207" spans="1:26" ht="15.75" x14ac:dyDescent="0.25">
      <c r="A207" s="74" t="s">
        <v>1698</v>
      </c>
      <c r="B207" s="20"/>
      <c r="C207" s="56"/>
      <c r="D207" s="56"/>
      <c r="E207" s="43"/>
      <c r="F207" s="56"/>
      <c r="G207" s="43"/>
      <c r="H207" s="156">
        <v>4</v>
      </c>
      <c r="I207" s="286">
        <v>1365</v>
      </c>
      <c r="J207" s="15">
        <f t="shared" si="13"/>
        <v>312</v>
      </c>
      <c r="K207" s="16">
        <f t="shared" si="14"/>
        <v>1703520</v>
      </c>
      <c r="L207" s="15"/>
      <c r="M207" s="15"/>
      <c r="N207" s="15"/>
      <c r="O207" s="15"/>
      <c r="P207" s="15"/>
      <c r="Q207" s="15"/>
      <c r="R207" s="15"/>
      <c r="S207" s="15"/>
      <c r="T207" s="15"/>
      <c r="U207" s="15"/>
      <c r="V207" s="15"/>
      <c r="W207" s="15"/>
      <c r="X207" s="15"/>
      <c r="Y207" s="15"/>
      <c r="Z207" s="15"/>
    </row>
    <row r="208" spans="1:26" ht="15.75" x14ac:dyDescent="0.25">
      <c r="A208" s="74" t="s">
        <v>1699</v>
      </c>
      <c r="B208" s="20"/>
      <c r="C208" s="56"/>
      <c r="D208" s="56"/>
      <c r="E208" s="43"/>
      <c r="F208" s="56"/>
      <c r="G208" s="43"/>
      <c r="H208" s="156">
        <v>4</v>
      </c>
      <c r="I208" s="286">
        <v>678</v>
      </c>
      <c r="J208" s="15">
        <f t="shared" si="13"/>
        <v>312</v>
      </c>
      <c r="K208" s="16">
        <f t="shared" si="14"/>
        <v>846144</v>
      </c>
      <c r="L208" s="15"/>
      <c r="M208" s="15"/>
      <c r="N208" s="15"/>
      <c r="O208" s="15"/>
      <c r="P208" s="15"/>
      <c r="Q208" s="15"/>
      <c r="R208" s="15"/>
      <c r="S208" s="15"/>
      <c r="T208" s="15"/>
      <c r="U208" s="15"/>
      <c r="V208" s="15"/>
      <c r="W208" s="15"/>
      <c r="X208" s="15"/>
      <c r="Y208" s="15"/>
      <c r="Z208" s="15"/>
    </row>
    <row r="209" spans="1:26" ht="15.75" x14ac:dyDescent="0.25">
      <c r="A209" s="74" t="s">
        <v>1700</v>
      </c>
      <c r="B209" s="20"/>
      <c r="C209" s="56"/>
      <c r="D209" s="56"/>
      <c r="E209" s="43"/>
      <c r="F209" s="56"/>
      <c r="G209" s="462"/>
      <c r="H209" s="156">
        <v>4</v>
      </c>
      <c r="I209" s="286">
        <v>1365</v>
      </c>
      <c r="J209" s="15">
        <f t="shared" si="13"/>
        <v>312</v>
      </c>
      <c r="K209" s="16">
        <f t="shared" si="14"/>
        <v>1703520</v>
      </c>
      <c r="L209" s="15"/>
      <c r="M209" s="15"/>
      <c r="N209" s="15"/>
      <c r="O209" s="15"/>
      <c r="P209" s="15"/>
      <c r="Q209" s="15"/>
      <c r="R209" s="15"/>
      <c r="S209" s="15"/>
      <c r="T209" s="15"/>
      <c r="U209" s="15"/>
      <c r="V209" s="15"/>
      <c r="W209" s="15"/>
      <c r="X209" s="15"/>
      <c r="Y209" s="15"/>
      <c r="Z209" s="15"/>
    </row>
    <row r="210" spans="1:26" ht="15.75" x14ac:dyDescent="0.25">
      <c r="A210" s="468" t="s">
        <v>1701</v>
      </c>
      <c r="B210" s="454"/>
      <c r="C210" s="443"/>
      <c r="D210" s="443"/>
      <c r="E210" s="443"/>
      <c r="F210" s="443"/>
      <c r="G210" s="462"/>
      <c r="H210" s="156">
        <v>4</v>
      </c>
      <c r="I210" s="286">
        <v>678</v>
      </c>
      <c r="J210" s="15">
        <f t="shared" si="13"/>
        <v>312</v>
      </c>
      <c r="K210" s="16">
        <f t="shared" si="14"/>
        <v>846144</v>
      </c>
      <c r="L210" s="15"/>
      <c r="M210" s="15"/>
      <c r="N210" s="15"/>
      <c r="O210" s="15"/>
      <c r="P210" s="15"/>
      <c r="Q210" s="15"/>
      <c r="R210" s="15"/>
      <c r="S210" s="15"/>
      <c r="T210" s="15"/>
      <c r="U210" s="15"/>
      <c r="V210" s="15"/>
      <c r="W210" s="15"/>
      <c r="X210" s="15"/>
      <c r="Y210" s="15"/>
      <c r="Z210" s="15"/>
    </row>
    <row r="211" spans="1:26" ht="15.75" x14ac:dyDescent="0.25">
      <c r="A211" s="468" t="s">
        <v>1702</v>
      </c>
      <c r="B211" s="454"/>
      <c r="C211" s="443"/>
      <c r="D211" s="443"/>
      <c r="E211" s="443"/>
      <c r="F211" s="443"/>
      <c r="G211" s="462"/>
      <c r="H211" s="156">
        <v>4</v>
      </c>
      <c r="I211" s="286">
        <v>1365</v>
      </c>
      <c r="J211" s="15">
        <f t="shared" si="13"/>
        <v>312</v>
      </c>
      <c r="K211" s="16">
        <f t="shared" si="14"/>
        <v>1703520</v>
      </c>
      <c r="L211" s="15"/>
      <c r="M211" s="15"/>
      <c r="N211" s="15"/>
      <c r="O211" s="15"/>
      <c r="P211" s="15"/>
      <c r="Q211" s="15"/>
      <c r="R211" s="15"/>
      <c r="S211" s="15"/>
      <c r="T211" s="15"/>
      <c r="U211" s="15"/>
      <c r="V211" s="15"/>
      <c r="W211" s="15"/>
      <c r="X211" s="15"/>
      <c r="Y211" s="15"/>
      <c r="Z211" s="15"/>
    </row>
    <row r="212" spans="1:26" ht="31.5" x14ac:dyDescent="0.25">
      <c r="A212" s="90" t="s">
        <v>1703</v>
      </c>
      <c r="B212" s="20"/>
      <c r="C212" s="56"/>
      <c r="D212" s="56"/>
      <c r="E212" s="43"/>
      <c r="F212" s="56"/>
      <c r="G212" s="43"/>
      <c r="H212" s="156">
        <v>4</v>
      </c>
      <c r="I212" s="286">
        <v>678</v>
      </c>
      <c r="J212" s="15">
        <f t="shared" si="13"/>
        <v>312</v>
      </c>
      <c r="K212" s="16">
        <f t="shared" si="14"/>
        <v>846144</v>
      </c>
      <c r="L212" s="15"/>
      <c r="M212" s="15"/>
      <c r="N212" s="15"/>
      <c r="O212" s="15"/>
      <c r="P212" s="15"/>
      <c r="Q212" s="15"/>
      <c r="R212" s="15"/>
      <c r="S212" s="15"/>
      <c r="T212" s="15"/>
      <c r="U212" s="15"/>
      <c r="V212" s="15"/>
      <c r="W212" s="15"/>
      <c r="X212" s="15"/>
      <c r="Y212" s="15"/>
      <c r="Z212" s="15"/>
    </row>
    <row r="213" spans="1:26" ht="15.75" x14ac:dyDescent="0.25">
      <c r="A213" s="74" t="s">
        <v>1704</v>
      </c>
      <c r="B213" s="20"/>
      <c r="C213" s="56"/>
      <c r="D213" s="56"/>
      <c r="E213" s="43"/>
      <c r="F213" s="56"/>
      <c r="G213" s="43"/>
      <c r="H213" s="156">
        <v>1</v>
      </c>
      <c r="I213" s="286">
        <v>1056</v>
      </c>
      <c r="J213" s="15">
        <f t="shared" si="13"/>
        <v>312</v>
      </c>
      <c r="K213" s="16">
        <f t="shared" si="14"/>
        <v>329472</v>
      </c>
      <c r="L213" s="15"/>
      <c r="M213" s="15"/>
      <c r="N213" s="15"/>
      <c r="O213" s="15"/>
      <c r="P213" s="15"/>
      <c r="Q213" s="15"/>
      <c r="R213" s="15"/>
      <c r="S213" s="15"/>
      <c r="T213" s="15"/>
      <c r="U213" s="15"/>
      <c r="V213" s="15"/>
      <c r="W213" s="15"/>
      <c r="X213" s="15"/>
      <c r="Y213" s="15"/>
      <c r="Z213" s="15"/>
    </row>
    <row r="214" spans="1:26" ht="15.75" x14ac:dyDescent="0.25">
      <c r="A214" s="74" t="s">
        <v>1705</v>
      </c>
      <c r="B214" s="20"/>
      <c r="C214" s="56"/>
      <c r="D214" s="56"/>
      <c r="E214" s="43"/>
      <c r="F214" s="56"/>
      <c r="G214" s="43"/>
      <c r="H214" s="156">
        <v>1</v>
      </c>
      <c r="I214" s="286">
        <v>1828</v>
      </c>
      <c r="J214" s="15">
        <v>312</v>
      </c>
      <c r="K214" s="16">
        <f t="shared" si="14"/>
        <v>570336</v>
      </c>
      <c r="L214" s="15"/>
      <c r="M214" s="15"/>
      <c r="N214" s="15"/>
      <c r="O214" s="15"/>
      <c r="P214" s="15"/>
      <c r="Q214" s="15"/>
      <c r="R214" s="15"/>
      <c r="S214" s="15"/>
      <c r="T214" s="15"/>
      <c r="U214" s="15"/>
      <c r="V214" s="15"/>
      <c r="W214" s="15"/>
      <c r="X214" s="15"/>
      <c r="Y214" s="15"/>
      <c r="Z214" s="15"/>
    </row>
    <row r="215" spans="1:26" ht="31.5" x14ac:dyDescent="0.25">
      <c r="A215" s="564" t="s">
        <v>1706</v>
      </c>
      <c r="B215" s="20"/>
      <c r="C215" s="56"/>
      <c r="D215" s="56"/>
      <c r="E215" s="43"/>
      <c r="F215" s="56"/>
      <c r="G215" s="43"/>
      <c r="H215" s="156"/>
      <c r="I215" s="286"/>
      <c r="J215" s="15"/>
      <c r="K215" s="16"/>
      <c r="L215" s="15"/>
      <c r="M215" s="15"/>
      <c r="N215" s="15"/>
      <c r="O215" s="15"/>
      <c r="P215" s="15"/>
      <c r="Q215" s="15"/>
      <c r="R215" s="15"/>
      <c r="S215" s="15"/>
      <c r="T215" s="15"/>
      <c r="U215" s="15"/>
      <c r="V215" s="15"/>
      <c r="W215" s="15"/>
      <c r="X215" s="15"/>
      <c r="Y215" s="15"/>
      <c r="Z215" s="15"/>
    </row>
    <row r="216" spans="1:26" ht="15.75" x14ac:dyDescent="0.25">
      <c r="A216" s="74" t="s">
        <v>1707</v>
      </c>
      <c r="B216" s="20"/>
      <c r="C216" s="56"/>
      <c r="D216" s="56"/>
      <c r="E216" s="43"/>
      <c r="F216" s="56"/>
      <c r="G216" s="43"/>
      <c r="H216" s="156">
        <v>1</v>
      </c>
      <c r="I216" s="286">
        <v>1828</v>
      </c>
      <c r="J216" s="15">
        <f t="shared" ref="J216:J223" si="15">22*12</f>
        <v>264</v>
      </c>
      <c r="K216" s="16">
        <f t="shared" ref="K216:K223" si="16">J216*I216*H216</f>
        <v>482592</v>
      </c>
      <c r="L216" s="15"/>
      <c r="M216" s="15"/>
      <c r="N216" s="15"/>
      <c r="O216" s="15"/>
      <c r="P216" s="15"/>
      <c r="Q216" s="15"/>
      <c r="R216" s="15"/>
      <c r="S216" s="15"/>
      <c r="T216" s="15"/>
      <c r="U216" s="15"/>
      <c r="V216" s="15"/>
      <c r="W216" s="15"/>
      <c r="X216" s="15"/>
      <c r="Y216" s="15"/>
      <c r="Z216" s="15"/>
    </row>
    <row r="217" spans="1:26" ht="15.75" x14ac:dyDescent="0.25">
      <c r="A217" s="74" t="s">
        <v>1708</v>
      </c>
      <c r="B217" s="20"/>
      <c r="C217" s="56"/>
      <c r="D217" s="56"/>
      <c r="E217" s="43"/>
      <c r="F217" s="56"/>
      <c r="G217" s="43"/>
      <c r="H217" s="156">
        <v>1</v>
      </c>
      <c r="I217" s="286">
        <v>1365</v>
      </c>
      <c r="J217" s="15">
        <f t="shared" si="15"/>
        <v>264</v>
      </c>
      <c r="K217" s="16">
        <f t="shared" si="16"/>
        <v>360360</v>
      </c>
      <c r="L217" s="15"/>
      <c r="M217" s="15"/>
      <c r="N217" s="15"/>
      <c r="O217" s="15"/>
      <c r="P217" s="15"/>
      <c r="Q217" s="15"/>
      <c r="R217" s="15"/>
      <c r="S217" s="15"/>
      <c r="T217" s="15"/>
      <c r="U217" s="15"/>
      <c r="V217" s="15"/>
      <c r="W217" s="15"/>
      <c r="X217" s="15"/>
      <c r="Y217" s="15"/>
      <c r="Z217" s="15"/>
    </row>
    <row r="218" spans="1:26" ht="15.75" x14ac:dyDescent="0.25">
      <c r="A218" s="74" t="s">
        <v>1709</v>
      </c>
      <c r="B218" s="20"/>
      <c r="C218" s="56"/>
      <c r="D218" s="56"/>
      <c r="E218" s="43"/>
      <c r="F218" s="56"/>
      <c r="G218" s="43"/>
      <c r="H218" s="156">
        <v>1</v>
      </c>
      <c r="I218" s="286">
        <v>1365</v>
      </c>
      <c r="J218" s="15">
        <f t="shared" si="15"/>
        <v>264</v>
      </c>
      <c r="K218" s="16">
        <f t="shared" si="16"/>
        <v>360360</v>
      </c>
      <c r="L218" s="15"/>
      <c r="M218" s="15"/>
      <c r="N218" s="15"/>
      <c r="O218" s="15"/>
      <c r="P218" s="15"/>
      <c r="Q218" s="15"/>
      <c r="R218" s="15"/>
      <c r="S218" s="15"/>
      <c r="T218" s="15"/>
      <c r="U218" s="15"/>
      <c r="V218" s="15"/>
      <c r="W218" s="15"/>
      <c r="X218" s="15"/>
      <c r="Y218" s="15"/>
      <c r="Z218" s="15"/>
    </row>
    <row r="219" spans="1:26" ht="15.75" x14ac:dyDescent="0.25">
      <c r="A219" s="74" t="s">
        <v>1710</v>
      </c>
      <c r="B219" s="20"/>
      <c r="C219" s="56"/>
      <c r="D219" s="56"/>
      <c r="E219" s="43"/>
      <c r="F219" s="56"/>
      <c r="G219" s="43"/>
      <c r="H219" s="156">
        <v>1</v>
      </c>
      <c r="I219" s="286">
        <v>678</v>
      </c>
      <c r="J219" s="15">
        <f t="shared" si="15"/>
        <v>264</v>
      </c>
      <c r="K219" s="16">
        <f t="shared" si="16"/>
        <v>178992</v>
      </c>
      <c r="L219" s="15"/>
      <c r="M219" s="15"/>
      <c r="N219" s="15"/>
      <c r="O219" s="15"/>
      <c r="P219" s="15"/>
      <c r="Q219" s="15"/>
      <c r="R219" s="15"/>
      <c r="S219" s="15"/>
      <c r="T219" s="15"/>
      <c r="U219" s="15"/>
      <c r="V219" s="15"/>
      <c r="W219" s="15"/>
      <c r="X219" s="15"/>
      <c r="Y219" s="15"/>
      <c r="Z219" s="15"/>
    </row>
    <row r="220" spans="1:26" ht="15.75" x14ac:dyDescent="0.25">
      <c r="A220" s="74" t="s">
        <v>1711</v>
      </c>
      <c r="B220" s="20"/>
      <c r="C220" s="56"/>
      <c r="D220" s="56"/>
      <c r="E220" s="43"/>
      <c r="F220" s="56"/>
      <c r="G220" s="43"/>
      <c r="H220" s="156">
        <v>1</v>
      </c>
      <c r="I220" s="286">
        <v>1365</v>
      </c>
      <c r="J220" s="15">
        <f t="shared" si="15"/>
        <v>264</v>
      </c>
      <c r="K220" s="16">
        <f t="shared" si="16"/>
        <v>360360</v>
      </c>
      <c r="L220" s="15"/>
      <c r="M220" s="15"/>
      <c r="N220" s="15"/>
      <c r="O220" s="15"/>
      <c r="P220" s="15"/>
      <c r="Q220" s="15"/>
      <c r="R220" s="15"/>
      <c r="S220" s="15"/>
      <c r="T220" s="15"/>
      <c r="U220" s="15"/>
      <c r="V220" s="15"/>
      <c r="W220" s="15"/>
      <c r="X220" s="15"/>
      <c r="Y220" s="15"/>
      <c r="Z220" s="15"/>
    </row>
    <row r="221" spans="1:26" ht="15.75" x14ac:dyDescent="0.25">
      <c r="A221" s="74" t="s">
        <v>1684</v>
      </c>
      <c r="B221" s="20"/>
      <c r="C221" s="56"/>
      <c r="D221" s="56"/>
      <c r="E221" s="43"/>
      <c r="F221" s="56"/>
      <c r="G221" s="43"/>
      <c r="H221" s="156">
        <v>1</v>
      </c>
      <c r="I221" s="286">
        <v>974</v>
      </c>
      <c r="J221" s="15">
        <f t="shared" si="15"/>
        <v>264</v>
      </c>
      <c r="K221" s="16">
        <f t="shared" si="16"/>
        <v>257136</v>
      </c>
      <c r="L221" s="15"/>
      <c r="M221" s="15"/>
      <c r="N221" s="15"/>
      <c r="O221" s="15"/>
      <c r="P221" s="15"/>
      <c r="Q221" s="15"/>
      <c r="R221" s="15"/>
      <c r="S221" s="15"/>
      <c r="T221" s="15"/>
      <c r="U221" s="15"/>
      <c r="V221" s="15"/>
      <c r="W221" s="15"/>
      <c r="X221" s="15"/>
      <c r="Y221" s="15"/>
      <c r="Z221" s="15"/>
    </row>
    <row r="222" spans="1:26" ht="15.75" x14ac:dyDescent="0.25">
      <c r="A222" s="74" t="s">
        <v>1712</v>
      </c>
      <c r="B222" s="20"/>
      <c r="C222" s="56"/>
      <c r="D222" s="56"/>
      <c r="E222" s="43"/>
      <c r="F222" s="56"/>
      <c r="G222" s="43"/>
      <c r="H222" s="156">
        <v>1</v>
      </c>
      <c r="I222" s="286">
        <v>765</v>
      </c>
      <c r="J222" s="15">
        <f t="shared" si="15"/>
        <v>264</v>
      </c>
      <c r="K222" s="16">
        <f t="shared" si="16"/>
        <v>201960</v>
      </c>
      <c r="L222" s="15"/>
      <c r="M222" s="15"/>
      <c r="N222" s="15"/>
      <c r="O222" s="15"/>
      <c r="P222" s="15"/>
      <c r="Q222" s="15"/>
      <c r="R222" s="15"/>
      <c r="S222" s="15"/>
      <c r="T222" s="15"/>
      <c r="U222" s="15"/>
      <c r="V222" s="15"/>
      <c r="W222" s="15"/>
      <c r="X222" s="15"/>
      <c r="Y222" s="15"/>
      <c r="Z222" s="15"/>
    </row>
    <row r="223" spans="1:26" ht="15.75" x14ac:dyDescent="0.25">
      <c r="A223" s="74" t="s">
        <v>1713</v>
      </c>
      <c r="B223" s="20"/>
      <c r="C223" s="56"/>
      <c r="D223" s="56"/>
      <c r="E223" s="43"/>
      <c r="F223" s="56"/>
      <c r="G223" s="43"/>
      <c r="H223" s="156">
        <v>1</v>
      </c>
      <c r="I223" s="286">
        <v>678</v>
      </c>
      <c r="J223" s="15">
        <f t="shared" si="15"/>
        <v>264</v>
      </c>
      <c r="K223" s="16">
        <f t="shared" si="16"/>
        <v>178992</v>
      </c>
      <c r="L223" s="15"/>
      <c r="M223" s="15"/>
      <c r="N223" s="15"/>
      <c r="O223" s="15"/>
      <c r="P223" s="15"/>
      <c r="Q223" s="15"/>
      <c r="R223" s="15"/>
      <c r="S223" s="15"/>
      <c r="T223" s="15"/>
      <c r="U223" s="15"/>
      <c r="V223" s="15"/>
      <c r="W223" s="15"/>
      <c r="X223" s="15"/>
      <c r="Y223" s="15"/>
      <c r="Z223" s="15"/>
    </row>
    <row r="224" spans="1:26" ht="15.75" x14ac:dyDescent="0.25">
      <c r="A224" s="311" t="s">
        <v>1714</v>
      </c>
      <c r="B224" s="20"/>
      <c r="C224" s="56"/>
      <c r="D224" s="56"/>
      <c r="E224" s="43"/>
      <c r="F224" s="56"/>
      <c r="G224" s="43"/>
      <c r="H224" s="156"/>
      <c r="I224" s="286"/>
      <c r="J224" s="15"/>
      <c r="K224" s="16"/>
      <c r="L224" s="15"/>
      <c r="M224" s="15"/>
      <c r="N224" s="15"/>
      <c r="O224" s="15"/>
      <c r="P224" s="15"/>
      <c r="Q224" s="15"/>
      <c r="R224" s="15"/>
      <c r="S224" s="15"/>
      <c r="T224" s="15"/>
      <c r="U224" s="15"/>
      <c r="V224" s="15"/>
      <c r="W224" s="15"/>
      <c r="X224" s="15"/>
      <c r="Y224" s="15"/>
      <c r="Z224" s="15"/>
    </row>
    <row r="225" spans="1:26" ht="31.5" x14ac:dyDescent="0.25">
      <c r="A225" s="90" t="s">
        <v>1715</v>
      </c>
      <c r="B225" s="20"/>
      <c r="C225" s="56"/>
      <c r="D225" s="56"/>
      <c r="E225" s="43"/>
      <c r="F225" s="56"/>
      <c r="G225" s="43"/>
      <c r="H225" s="156">
        <v>1</v>
      </c>
      <c r="I225" s="286">
        <v>1828</v>
      </c>
      <c r="J225" s="15">
        <f t="shared" ref="J225:J227" si="17">22*12</f>
        <v>264</v>
      </c>
      <c r="K225" s="16">
        <f t="shared" ref="K225:K227" si="18">J225*I225*H225</f>
        <v>482592</v>
      </c>
      <c r="L225" s="15"/>
      <c r="M225" s="15"/>
      <c r="N225" s="15"/>
      <c r="O225" s="15"/>
      <c r="P225" s="15"/>
      <c r="Q225" s="15"/>
      <c r="R225" s="15"/>
      <c r="S225" s="15"/>
      <c r="T225" s="15"/>
      <c r="U225" s="15"/>
      <c r="V225" s="15"/>
      <c r="W225" s="15"/>
      <c r="X225" s="15"/>
      <c r="Y225" s="15"/>
      <c r="Z225" s="15"/>
    </row>
    <row r="226" spans="1:26" ht="15.75" x14ac:dyDescent="0.25">
      <c r="A226" s="74" t="s">
        <v>460</v>
      </c>
      <c r="B226" s="20"/>
      <c r="C226" s="56"/>
      <c r="D226" s="56"/>
      <c r="E226" s="43"/>
      <c r="F226" s="56"/>
      <c r="G226" s="43"/>
      <c r="H226" s="156">
        <v>2</v>
      </c>
      <c r="I226" s="286">
        <v>678</v>
      </c>
      <c r="J226" s="15">
        <f t="shared" si="17"/>
        <v>264</v>
      </c>
      <c r="K226" s="16">
        <f t="shared" si="18"/>
        <v>357984</v>
      </c>
      <c r="L226" s="15"/>
      <c r="M226" s="15"/>
      <c r="N226" s="15"/>
      <c r="O226" s="15"/>
      <c r="P226" s="15"/>
      <c r="Q226" s="15"/>
      <c r="R226" s="15"/>
      <c r="S226" s="15"/>
      <c r="T226" s="15"/>
      <c r="U226" s="15"/>
      <c r="V226" s="15"/>
      <c r="W226" s="15"/>
      <c r="X226" s="15"/>
      <c r="Y226" s="15"/>
      <c r="Z226" s="15"/>
    </row>
    <row r="227" spans="1:26" ht="31.5" x14ac:dyDescent="0.25">
      <c r="A227" s="90" t="s">
        <v>1716</v>
      </c>
      <c r="B227" s="20"/>
      <c r="C227" s="56"/>
      <c r="D227" s="56"/>
      <c r="E227" s="43"/>
      <c r="F227" s="56"/>
      <c r="G227" s="43"/>
      <c r="H227" s="156">
        <v>1</v>
      </c>
      <c r="I227" s="286">
        <v>720</v>
      </c>
      <c r="J227" s="15">
        <f t="shared" si="17"/>
        <v>264</v>
      </c>
      <c r="K227" s="16">
        <f t="shared" si="18"/>
        <v>190080</v>
      </c>
      <c r="L227" s="15"/>
      <c r="M227" s="15"/>
      <c r="N227" s="15"/>
      <c r="O227" s="15"/>
      <c r="P227" s="15"/>
      <c r="Q227" s="15"/>
      <c r="R227" s="15"/>
      <c r="S227" s="15"/>
      <c r="T227" s="15"/>
      <c r="U227" s="15"/>
      <c r="V227" s="15"/>
      <c r="W227" s="15"/>
      <c r="X227" s="15"/>
      <c r="Y227" s="15"/>
      <c r="Z227" s="15"/>
    </row>
    <row r="228" spans="1:26" ht="31.5" x14ac:dyDescent="0.25">
      <c r="A228" s="564" t="s">
        <v>1717</v>
      </c>
      <c r="B228" s="20"/>
      <c r="C228" s="56"/>
      <c r="D228" s="56"/>
      <c r="E228" s="43"/>
      <c r="F228" s="56"/>
      <c r="G228" s="43"/>
      <c r="H228" s="156"/>
      <c r="I228" s="286"/>
      <c r="J228" s="15"/>
      <c r="K228" s="16"/>
      <c r="L228" s="15"/>
      <c r="M228" s="15"/>
      <c r="N228" s="15"/>
      <c r="O228" s="15"/>
      <c r="P228" s="15"/>
      <c r="Q228" s="15"/>
      <c r="R228" s="15"/>
      <c r="S228" s="15"/>
      <c r="T228" s="15"/>
      <c r="U228" s="15"/>
      <c r="V228" s="15"/>
      <c r="W228" s="15"/>
      <c r="X228" s="15"/>
      <c r="Y228" s="15"/>
      <c r="Z228" s="15"/>
    </row>
    <row r="229" spans="1:26" ht="15.75" x14ac:dyDescent="0.25">
      <c r="A229" s="74" t="s">
        <v>1718</v>
      </c>
      <c r="B229" s="20"/>
      <c r="C229" s="56"/>
      <c r="D229" s="56"/>
      <c r="E229" s="43"/>
      <c r="F229" s="56"/>
      <c r="G229" s="43"/>
      <c r="H229" s="156">
        <v>1</v>
      </c>
      <c r="I229" s="286">
        <v>50000</v>
      </c>
      <c r="J229" s="15">
        <v>12</v>
      </c>
      <c r="K229" s="16">
        <f t="shared" ref="K229:K238" si="19">J229*I229*H229</f>
        <v>600000</v>
      </c>
      <c r="L229" s="15"/>
      <c r="M229" s="15"/>
      <c r="N229" s="15"/>
      <c r="O229" s="15"/>
      <c r="P229" s="15"/>
      <c r="Q229" s="15"/>
      <c r="R229" s="15"/>
      <c r="S229" s="15"/>
      <c r="T229" s="15"/>
      <c r="U229" s="15"/>
      <c r="V229" s="15"/>
      <c r="W229" s="15"/>
      <c r="X229" s="15"/>
      <c r="Y229" s="15"/>
      <c r="Z229" s="15"/>
    </row>
    <row r="230" spans="1:26" ht="31.5" x14ac:dyDescent="0.25">
      <c r="A230" s="90" t="s">
        <v>1719</v>
      </c>
      <c r="B230" s="20"/>
      <c r="C230" s="56"/>
      <c r="D230" s="56"/>
      <c r="E230" s="43"/>
      <c r="F230" s="56"/>
      <c r="G230" s="43"/>
      <c r="H230" s="156">
        <v>20</v>
      </c>
      <c r="I230" s="286">
        <v>1828</v>
      </c>
      <c r="J230" s="15">
        <f t="shared" ref="J230:J238" si="20">26*12</f>
        <v>312</v>
      </c>
      <c r="K230" s="16">
        <f t="shared" si="19"/>
        <v>11406720</v>
      </c>
      <c r="L230" s="15"/>
      <c r="M230" s="15"/>
      <c r="N230" s="15"/>
      <c r="O230" s="15"/>
      <c r="P230" s="15"/>
      <c r="Q230" s="15"/>
      <c r="R230" s="15"/>
      <c r="S230" s="15"/>
      <c r="T230" s="15"/>
      <c r="U230" s="15"/>
      <c r="V230" s="15"/>
      <c r="W230" s="15"/>
      <c r="X230" s="15"/>
      <c r="Y230" s="15"/>
      <c r="Z230" s="15"/>
    </row>
    <row r="231" spans="1:26" ht="31.5" x14ac:dyDescent="0.25">
      <c r="A231" s="90" t="s">
        <v>1720</v>
      </c>
      <c r="B231" s="20"/>
      <c r="C231" s="56"/>
      <c r="D231" s="56"/>
      <c r="E231" s="43"/>
      <c r="F231" s="56"/>
      <c r="G231" s="43"/>
      <c r="H231" s="156">
        <v>4</v>
      </c>
      <c r="I231" s="286">
        <v>1828</v>
      </c>
      <c r="J231" s="15">
        <f t="shared" si="20"/>
        <v>312</v>
      </c>
      <c r="K231" s="16">
        <f t="shared" si="19"/>
        <v>2281344</v>
      </c>
      <c r="L231" s="15"/>
      <c r="M231" s="15"/>
      <c r="N231" s="15"/>
      <c r="O231" s="15"/>
      <c r="P231" s="15"/>
      <c r="Q231" s="15"/>
      <c r="R231" s="15"/>
      <c r="S231" s="15"/>
      <c r="T231" s="15"/>
      <c r="U231" s="15"/>
      <c r="V231" s="15"/>
      <c r="W231" s="15"/>
      <c r="X231" s="15"/>
      <c r="Y231" s="15"/>
      <c r="Z231" s="15"/>
    </row>
    <row r="232" spans="1:26" ht="31.5" x14ac:dyDescent="0.25">
      <c r="A232" s="90" t="s">
        <v>1721</v>
      </c>
      <c r="B232" s="20"/>
      <c r="C232" s="56"/>
      <c r="D232" s="56"/>
      <c r="E232" s="43"/>
      <c r="F232" s="56"/>
      <c r="G232" s="43"/>
      <c r="H232" s="156">
        <v>4</v>
      </c>
      <c r="I232" s="286">
        <v>1828</v>
      </c>
      <c r="J232" s="15">
        <f t="shared" si="20"/>
        <v>312</v>
      </c>
      <c r="K232" s="16">
        <f t="shared" si="19"/>
        <v>2281344</v>
      </c>
      <c r="L232" s="15"/>
      <c r="M232" s="15"/>
      <c r="N232" s="15"/>
      <c r="O232" s="15"/>
      <c r="P232" s="15"/>
      <c r="Q232" s="15"/>
      <c r="R232" s="15"/>
      <c r="S232" s="15"/>
      <c r="T232" s="15"/>
      <c r="U232" s="15"/>
      <c r="V232" s="15"/>
      <c r="W232" s="15"/>
      <c r="X232" s="15"/>
      <c r="Y232" s="15"/>
      <c r="Z232" s="15"/>
    </row>
    <row r="233" spans="1:26" ht="31.5" x14ac:dyDescent="0.25">
      <c r="A233" s="90" t="s">
        <v>1722</v>
      </c>
      <c r="B233" s="20"/>
      <c r="C233" s="56"/>
      <c r="D233" s="56"/>
      <c r="E233" s="43"/>
      <c r="F233" s="56"/>
      <c r="G233" s="43"/>
      <c r="H233" s="156">
        <v>20</v>
      </c>
      <c r="I233" s="286">
        <v>1365</v>
      </c>
      <c r="J233" s="15">
        <f t="shared" si="20"/>
        <v>312</v>
      </c>
      <c r="K233" s="16">
        <f t="shared" si="19"/>
        <v>8517600</v>
      </c>
      <c r="L233" s="15"/>
      <c r="M233" s="15"/>
      <c r="N233" s="15"/>
      <c r="O233" s="15"/>
      <c r="P233" s="15"/>
      <c r="Q233" s="15"/>
      <c r="R233" s="15"/>
      <c r="S233" s="15"/>
      <c r="T233" s="15"/>
      <c r="U233" s="15"/>
      <c r="V233" s="15"/>
      <c r="W233" s="15"/>
      <c r="X233" s="15"/>
      <c r="Y233" s="15"/>
      <c r="Z233" s="15"/>
    </row>
    <row r="234" spans="1:26" ht="15.75" x14ac:dyDescent="0.25">
      <c r="A234" s="74" t="s">
        <v>1723</v>
      </c>
      <c r="B234" s="20"/>
      <c r="C234" s="56"/>
      <c r="D234" s="56"/>
      <c r="E234" s="43"/>
      <c r="F234" s="56"/>
      <c r="G234" s="43"/>
      <c r="H234" s="156">
        <v>2</v>
      </c>
      <c r="I234" s="286">
        <v>720</v>
      </c>
      <c r="J234" s="15">
        <f t="shared" si="20"/>
        <v>312</v>
      </c>
      <c r="K234" s="16">
        <f t="shared" si="19"/>
        <v>449280</v>
      </c>
      <c r="L234" s="15"/>
      <c r="M234" s="15"/>
      <c r="N234" s="15"/>
      <c r="O234" s="15"/>
      <c r="P234" s="15"/>
      <c r="Q234" s="15"/>
      <c r="R234" s="15"/>
      <c r="S234" s="15"/>
      <c r="T234" s="15"/>
      <c r="U234" s="15"/>
      <c r="V234" s="15"/>
      <c r="W234" s="15"/>
      <c r="X234" s="15"/>
      <c r="Y234" s="15"/>
      <c r="Z234" s="15"/>
    </row>
    <row r="235" spans="1:26" ht="15.75" x14ac:dyDescent="0.25">
      <c r="A235" s="74" t="s">
        <v>1724</v>
      </c>
      <c r="B235" s="20"/>
      <c r="C235" s="56"/>
      <c r="D235" s="56"/>
      <c r="E235" s="43"/>
      <c r="F235" s="56"/>
      <c r="G235" s="43"/>
      <c r="H235" s="156">
        <v>2</v>
      </c>
      <c r="I235" s="286">
        <v>678</v>
      </c>
      <c r="J235" s="15">
        <f t="shared" si="20"/>
        <v>312</v>
      </c>
      <c r="K235" s="16">
        <f t="shared" si="19"/>
        <v>423072</v>
      </c>
      <c r="L235" s="15"/>
      <c r="M235" s="15"/>
      <c r="N235" s="15"/>
      <c r="O235" s="15"/>
      <c r="P235" s="15"/>
      <c r="Q235" s="15"/>
      <c r="R235" s="15"/>
      <c r="S235" s="15"/>
      <c r="T235" s="15"/>
      <c r="U235" s="15"/>
      <c r="V235" s="15"/>
      <c r="W235" s="15"/>
      <c r="X235" s="15"/>
      <c r="Y235" s="15"/>
      <c r="Z235" s="15"/>
    </row>
    <row r="236" spans="1:26" ht="15.75" x14ac:dyDescent="0.25">
      <c r="A236" s="74" t="s">
        <v>1725</v>
      </c>
      <c r="B236" s="20"/>
      <c r="C236" s="56"/>
      <c r="D236" s="56"/>
      <c r="E236" s="43"/>
      <c r="F236" s="56"/>
      <c r="G236" s="43"/>
      <c r="H236" s="156">
        <v>20</v>
      </c>
      <c r="I236" s="286">
        <v>720</v>
      </c>
      <c r="J236" s="15">
        <f t="shared" si="20"/>
        <v>312</v>
      </c>
      <c r="K236" s="16">
        <f t="shared" si="19"/>
        <v>4492800</v>
      </c>
      <c r="L236" s="15"/>
      <c r="M236" s="15"/>
      <c r="N236" s="15"/>
      <c r="O236" s="15"/>
      <c r="P236" s="15"/>
      <c r="Q236" s="15"/>
      <c r="R236" s="15"/>
      <c r="S236" s="15"/>
      <c r="T236" s="15"/>
      <c r="U236" s="15"/>
      <c r="V236" s="15"/>
      <c r="W236" s="15"/>
      <c r="X236" s="15"/>
      <c r="Y236" s="15"/>
      <c r="Z236" s="15"/>
    </row>
    <row r="237" spans="1:26" ht="15.75" x14ac:dyDescent="0.25">
      <c r="A237" s="74" t="s">
        <v>1726</v>
      </c>
      <c r="B237" s="20"/>
      <c r="C237" s="56"/>
      <c r="D237" s="56"/>
      <c r="E237" s="43"/>
      <c r="F237" s="56"/>
      <c r="G237" s="43"/>
      <c r="H237" s="156">
        <v>20</v>
      </c>
      <c r="I237" s="286">
        <v>720</v>
      </c>
      <c r="J237" s="15">
        <f t="shared" si="20"/>
        <v>312</v>
      </c>
      <c r="K237" s="16">
        <f t="shared" si="19"/>
        <v>4492800</v>
      </c>
      <c r="L237" s="15"/>
      <c r="M237" s="15"/>
      <c r="N237" s="15"/>
      <c r="O237" s="15"/>
      <c r="P237" s="15"/>
      <c r="Q237" s="15"/>
      <c r="R237" s="15"/>
      <c r="S237" s="15"/>
      <c r="T237" s="15"/>
      <c r="U237" s="15"/>
      <c r="V237" s="15"/>
      <c r="W237" s="15"/>
      <c r="X237" s="15"/>
      <c r="Y237" s="15"/>
      <c r="Z237" s="15"/>
    </row>
    <row r="238" spans="1:26" ht="31.5" x14ac:dyDescent="0.25">
      <c r="A238" s="90" t="s">
        <v>1727</v>
      </c>
      <c r="B238" s="20"/>
      <c r="C238" s="56"/>
      <c r="D238" s="56"/>
      <c r="E238" s="43"/>
      <c r="F238" s="56"/>
      <c r="G238" s="43"/>
      <c r="H238" s="156">
        <v>6</v>
      </c>
      <c r="I238" s="286">
        <v>639</v>
      </c>
      <c r="J238" s="15">
        <f t="shared" si="20"/>
        <v>312</v>
      </c>
      <c r="K238" s="16">
        <f t="shared" si="19"/>
        <v>1196208</v>
      </c>
      <c r="L238" s="15"/>
      <c r="M238" s="15"/>
      <c r="N238" s="15"/>
      <c r="O238" s="15"/>
      <c r="P238" s="15"/>
      <c r="Q238" s="15"/>
      <c r="R238" s="15"/>
      <c r="S238" s="15"/>
      <c r="T238" s="15"/>
      <c r="U238" s="15"/>
      <c r="V238" s="15"/>
      <c r="W238" s="15"/>
      <c r="X238" s="15"/>
      <c r="Y238" s="15"/>
      <c r="Z238" s="15"/>
    </row>
    <row r="239" spans="1:26" ht="15.75" customHeight="1" x14ac:dyDescent="0.25">
      <c r="A239" s="42" t="s">
        <v>466</v>
      </c>
      <c r="B239" s="41"/>
      <c r="C239" s="54">
        <f t="shared" ref="C239:E239" si="21">SUM(C48:C130)</f>
        <v>188402974.22999999</v>
      </c>
      <c r="D239" s="54">
        <f t="shared" si="21"/>
        <v>87344366.129999995</v>
      </c>
      <c r="E239" s="54">
        <f t="shared" si="21"/>
        <v>120208666.87</v>
      </c>
      <c r="F239" s="54">
        <f>SUM(F47:F130)</f>
        <v>207553033</v>
      </c>
      <c r="G239" s="54">
        <f>SUM(G46:G238)</f>
        <v>298351990</v>
      </c>
      <c r="H239" s="156"/>
      <c r="I239" s="286"/>
      <c r="J239" s="15"/>
      <c r="K239" s="16"/>
      <c r="L239" s="15"/>
      <c r="M239" s="15"/>
      <c r="N239" s="15"/>
      <c r="O239" s="15"/>
      <c r="P239" s="15"/>
      <c r="Q239" s="15"/>
      <c r="R239" s="15"/>
      <c r="S239" s="15"/>
      <c r="T239" s="15"/>
      <c r="U239" s="15"/>
      <c r="V239" s="15"/>
      <c r="W239" s="15"/>
      <c r="X239" s="15"/>
      <c r="Y239" s="15"/>
      <c r="Z239" s="15"/>
    </row>
    <row r="240" spans="1:26" ht="15.75" customHeight="1" x14ac:dyDescent="0.25">
      <c r="A240" s="42"/>
      <c r="B240" s="41"/>
      <c r="C240" s="39"/>
      <c r="D240" s="55"/>
      <c r="E240" s="39"/>
      <c r="F240" s="55"/>
      <c r="G240" s="55"/>
      <c r="H240" s="286"/>
      <c r="I240" s="286"/>
      <c r="J240" s="15"/>
      <c r="K240" s="16"/>
      <c r="L240" s="15"/>
      <c r="M240" s="15"/>
      <c r="N240" s="15"/>
      <c r="O240" s="15"/>
      <c r="P240" s="15"/>
      <c r="Q240" s="15"/>
      <c r="R240" s="15"/>
      <c r="S240" s="15"/>
      <c r="T240" s="15"/>
      <c r="U240" s="15"/>
      <c r="V240" s="15"/>
      <c r="W240" s="15"/>
      <c r="X240" s="15"/>
      <c r="Y240" s="15"/>
      <c r="Z240" s="15"/>
    </row>
    <row r="241" spans="1:26" ht="15.75" customHeight="1" x14ac:dyDescent="0.25">
      <c r="A241" s="456" t="s">
        <v>467</v>
      </c>
      <c r="B241" s="454"/>
      <c r="C241" s="443">
        <f t="shared" ref="C241:F241" si="22">C44+C239</f>
        <v>334868168.24000001</v>
      </c>
      <c r="D241" s="443">
        <f t="shared" si="22"/>
        <v>157746850.78999999</v>
      </c>
      <c r="E241" s="443">
        <f t="shared" si="22"/>
        <v>219414605.21000004</v>
      </c>
      <c r="F241" s="443">
        <f t="shared" si="22"/>
        <v>377161456</v>
      </c>
      <c r="G241" s="462">
        <f>G239+G44</f>
        <v>482811689</v>
      </c>
      <c r="H241" s="515"/>
      <c r="I241" s="15"/>
      <c r="J241" s="15"/>
      <c r="K241" s="16"/>
      <c r="L241" s="15"/>
      <c r="M241" s="15"/>
      <c r="N241" s="15"/>
      <c r="O241" s="15"/>
      <c r="P241" s="15"/>
      <c r="Q241" s="15"/>
      <c r="R241" s="15"/>
      <c r="S241" s="15"/>
      <c r="T241" s="15"/>
      <c r="U241" s="15"/>
      <c r="V241" s="15"/>
      <c r="W241" s="15"/>
      <c r="X241" s="15"/>
      <c r="Y241" s="15"/>
      <c r="Z241" s="15"/>
    </row>
    <row r="242" spans="1:26" ht="15.75" customHeight="1" x14ac:dyDescent="0.25">
      <c r="A242" s="675"/>
      <c r="B242" s="676"/>
      <c r="C242" s="677"/>
      <c r="D242" s="677"/>
      <c r="E242" s="677"/>
      <c r="F242" s="677"/>
      <c r="G242" s="678"/>
      <c r="H242" s="515"/>
      <c r="I242" s="15"/>
      <c r="J242" s="15"/>
      <c r="K242" s="16"/>
      <c r="L242" s="15"/>
      <c r="M242" s="15"/>
      <c r="N242" s="15"/>
      <c r="O242" s="15"/>
      <c r="P242" s="15"/>
      <c r="Q242" s="15"/>
      <c r="R242" s="15"/>
      <c r="S242" s="15"/>
      <c r="T242" s="15"/>
      <c r="U242" s="15"/>
      <c r="V242" s="15"/>
      <c r="W242" s="15"/>
      <c r="X242" s="15"/>
      <c r="Y242" s="15"/>
      <c r="Z242" s="15"/>
    </row>
    <row r="243" spans="1:26" ht="15.75" customHeight="1" x14ac:dyDescent="0.25">
      <c r="A243" s="679" t="s">
        <v>529</v>
      </c>
      <c r="B243" s="680"/>
      <c r="C243" s="681"/>
      <c r="D243" s="681"/>
      <c r="E243" s="681"/>
      <c r="F243" s="681"/>
      <c r="G243" s="681"/>
      <c r="H243" s="15"/>
      <c r="I243" s="15"/>
      <c r="J243" s="15"/>
      <c r="K243" s="16"/>
      <c r="L243" s="15"/>
      <c r="M243" s="15"/>
      <c r="N243" s="15"/>
      <c r="O243" s="15"/>
      <c r="P243" s="15"/>
      <c r="Q243" s="15"/>
      <c r="R243" s="15"/>
      <c r="S243" s="15"/>
      <c r="T243" s="15"/>
      <c r="U243" s="15"/>
      <c r="V243" s="15"/>
      <c r="W243" s="15"/>
      <c r="X243" s="15"/>
      <c r="Y243" s="15"/>
      <c r="Z243" s="15"/>
    </row>
    <row r="244" spans="1:26" ht="15.75" customHeight="1" x14ac:dyDescent="0.25">
      <c r="A244" s="17" t="s">
        <v>476</v>
      </c>
      <c r="B244" s="94"/>
      <c r="C244" s="43"/>
      <c r="D244" s="43"/>
      <c r="E244" s="43"/>
      <c r="F244" s="43"/>
      <c r="G244" s="43"/>
      <c r="H244" s="15"/>
      <c r="I244" s="15"/>
      <c r="J244" s="15"/>
      <c r="K244" s="16"/>
      <c r="L244" s="15"/>
      <c r="M244" s="15"/>
      <c r="N244" s="15"/>
      <c r="O244" s="15"/>
      <c r="P244" s="15"/>
      <c r="Q244" s="15"/>
      <c r="R244" s="15"/>
      <c r="S244" s="15"/>
      <c r="T244" s="15"/>
      <c r="U244" s="15"/>
      <c r="V244" s="15"/>
      <c r="W244" s="15"/>
      <c r="X244" s="15"/>
      <c r="Y244" s="15"/>
      <c r="Z244" s="15"/>
    </row>
    <row r="245" spans="1:26" ht="15.75" customHeight="1" x14ac:dyDescent="0.25">
      <c r="A245" s="44" t="s">
        <v>788</v>
      </c>
      <c r="B245" s="41" t="s">
        <v>45</v>
      </c>
      <c r="C245" s="43">
        <v>0</v>
      </c>
      <c r="D245" s="43">
        <v>0</v>
      </c>
      <c r="E245" s="43">
        <v>0</v>
      </c>
      <c r="F245" s="43">
        <v>0</v>
      </c>
      <c r="G245" s="43">
        <v>700000</v>
      </c>
      <c r="H245" s="15"/>
      <c r="I245" s="15"/>
      <c r="J245" s="15"/>
      <c r="K245" s="16"/>
      <c r="L245" s="15"/>
      <c r="M245" s="15"/>
      <c r="N245" s="15"/>
      <c r="O245" s="15"/>
      <c r="P245" s="15"/>
      <c r="Q245" s="15"/>
      <c r="R245" s="15"/>
      <c r="S245" s="15"/>
      <c r="T245" s="15"/>
      <c r="U245" s="15"/>
      <c r="V245" s="15"/>
      <c r="W245" s="15"/>
      <c r="X245" s="15"/>
      <c r="Y245" s="15"/>
      <c r="Z245" s="15"/>
    </row>
    <row r="246" spans="1:26" ht="15.75" customHeight="1" x14ac:dyDescent="0.25">
      <c r="A246" s="74" t="s">
        <v>1728</v>
      </c>
      <c r="B246" s="41"/>
      <c r="C246" s="43"/>
      <c r="D246" s="43"/>
      <c r="E246" s="43"/>
      <c r="F246" s="43"/>
      <c r="G246" s="43"/>
      <c r="H246" s="15">
        <v>140000</v>
      </c>
      <c r="I246" s="15"/>
      <c r="J246" s="15"/>
      <c r="K246" s="16"/>
      <c r="L246" s="15"/>
      <c r="M246" s="15"/>
      <c r="N246" s="15"/>
      <c r="O246" s="15"/>
      <c r="P246" s="15"/>
      <c r="Q246" s="15"/>
      <c r="R246" s="15"/>
      <c r="S246" s="15"/>
      <c r="T246" s="15"/>
      <c r="U246" s="15"/>
      <c r="V246" s="15"/>
      <c r="W246" s="15"/>
      <c r="X246" s="15"/>
      <c r="Y246" s="15"/>
      <c r="Z246" s="15"/>
    </row>
    <row r="247" spans="1:26" ht="15.75" customHeight="1" x14ac:dyDescent="0.25">
      <c r="A247" s="74" t="s">
        <v>1729</v>
      </c>
      <c r="B247" s="41"/>
      <c r="C247" s="43"/>
      <c r="D247" s="43"/>
      <c r="E247" s="43"/>
      <c r="F247" s="43"/>
      <c r="G247" s="43"/>
      <c r="H247" s="15">
        <v>110000</v>
      </c>
      <c r="I247" s="15"/>
      <c r="J247" s="15"/>
      <c r="K247" s="16"/>
      <c r="L247" s="15"/>
      <c r="M247" s="15"/>
      <c r="N247" s="15"/>
      <c r="O247" s="15"/>
      <c r="P247" s="15"/>
      <c r="Q247" s="15"/>
      <c r="R247" s="15"/>
      <c r="S247" s="15"/>
      <c r="T247" s="15"/>
      <c r="U247" s="15"/>
      <c r="V247" s="15"/>
      <c r="W247" s="15"/>
      <c r="X247" s="15"/>
      <c r="Y247" s="15"/>
      <c r="Z247" s="15"/>
    </row>
    <row r="248" spans="1:26" ht="15.75" customHeight="1" x14ac:dyDescent="0.25">
      <c r="A248" s="74" t="s">
        <v>1730</v>
      </c>
      <c r="B248" s="41"/>
      <c r="C248" s="43"/>
      <c r="D248" s="43"/>
      <c r="E248" s="43"/>
      <c r="F248" s="43"/>
      <c r="G248" s="43"/>
      <c r="H248" s="15">
        <v>60000</v>
      </c>
      <c r="I248" s="15"/>
      <c r="J248" s="15"/>
      <c r="K248" s="16"/>
      <c r="L248" s="15"/>
      <c r="M248" s="15"/>
      <c r="N248" s="15"/>
      <c r="O248" s="15"/>
      <c r="P248" s="15"/>
      <c r="Q248" s="15"/>
      <c r="R248" s="15"/>
      <c r="S248" s="15"/>
      <c r="T248" s="15"/>
      <c r="U248" s="15"/>
      <c r="V248" s="15"/>
      <c r="W248" s="15"/>
      <c r="X248" s="15"/>
      <c r="Y248" s="15"/>
      <c r="Z248" s="15"/>
    </row>
    <row r="249" spans="1:26" ht="15.75" customHeight="1" x14ac:dyDescent="0.25">
      <c r="A249" s="74" t="s">
        <v>1731</v>
      </c>
      <c r="B249" s="41"/>
      <c r="C249" s="43"/>
      <c r="D249" s="43"/>
      <c r="E249" s="43"/>
      <c r="F249" s="43"/>
      <c r="G249" s="43"/>
      <c r="H249" s="15">
        <v>390000</v>
      </c>
      <c r="I249" s="15"/>
      <c r="J249" s="15"/>
      <c r="K249" s="16"/>
      <c r="L249" s="15"/>
      <c r="M249" s="15"/>
      <c r="N249" s="15"/>
      <c r="O249" s="15"/>
      <c r="P249" s="15"/>
      <c r="Q249" s="15"/>
      <c r="R249" s="15"/>
      <c r="S249" s="15"/>
      <c r="T249" s="15"/>
      <c r="U249" s="15"/>
      <c r="V249" s="15"/>
      <c r="W249" s="15"/>
      <c r="X249" s="15"/>
      <c r="Y249" s="15"/>
      <c r="Z249" s="15"/>
    </row>
    <row r="250" spans="1:26" ht="15.75" customHeight="1" x14ac:dyDescent="0.25">
      <c r="A250" s="44" t="s">
        <v>639</v>
      </c>
      <c r="B250" s="41" t="s">
        <v>47</v>
      </c>
      <c r="C250" s="43">
        <v>229700</v>
      </c>
      <c r="D250" s="43">
        <v>0</v>
      </c>
      <c r="E250" s="43">
        <v>0</v>
      </c>
      <c r="F250" s="43">
        <v>0</v>
      </c>
      <c r="G250" s="43">
        <v>3087200</v>
      </c>
      <c r="H250" s="15"/>
      <c r="I250" s="15"/>
      <c r="J250" s="15"/>
      <c r="K250" s="16"/>
      <c r="L250" s="15"/>
      <c r="M250" s="15"/>
      <c r="N250" s="15"/>
      <c r="O250" s="15"/>
      <c r="P250" s="15"/>
      <c r="Q250" s="15"/>
      <c r="R250" s="15"/>
      <c r="S250" s="15"/>
      <c r="T250" s="15"/>
      <c r="U250" s="15"/>
      <c r="V250" s="15"/>
      <c r="W250" s="15"/>
      <c r="X250" s="15"/>
      <c r="Y250" s="15"/>
      <c r="Z250" s="15"/>
    </row>
    <row r="251" spans="1:26" ht="31.5" x14ac:dyDescent="0.25">
      <c r="A251" s="90" t="s">
        <v>1732</v>
      </c>
      <c r="B251" s="41"/>
      <c r="C251" s="43"/>
      <c r="D251" s="43"/>
      <c r="E251" s="43"/>
      <c r="F251" s="43"/>
      <c r="G251" s="43"/>
      <c r="H251" s="15">
        <f>2060400</f>
        <v>2060400</v>
      </c>
      <c r="I251" s="15"/>
      <c r="J251" s="15"/>
      <c r="K251" s="16"/>
      <c r="L251" s="15"/>
      <c r="M251" s="15"/>
      <c r="N251" s="15"/>
      <c r="O251" s="15"/>
      <c r="P251" s="15"/>
      <c r="Q251" s="15"/>
      <c r="R251" s="15"/>
      <c r="S251" s="15"/>
      <c r="T251" s="15"/>
      <c r="U251" s="15"/>
      <c r="V251" s="15"/>
      <c r="W251" s="15"/>
      <c r="X251" s="15"/>
      <c r="Y251" s="15"/>
      <c r="Z251" s="15"/>
    </row>
    <row r="252" spans="1:26" ht="15.75" x14ac:dyDescent="0.25">
      <c r="A252" s="74" t="s">
        <v>1733</v>
      </c>
      <c r="B252" s="41"/>
      <c r="C252" s="43"/>
      <c r="D252" s="43"/>
      <c r="E252" s="43"/>
      <c r="F252" s="43"/>
      <c r="G252" s="43"/>
      <c r="H252" s="15">
        <f>316800</f>
        <v>316800</v>
      </c>
      <c r="I252" s="15"/>
      <c r="J252" s="15"/>
      <c r="K252" s="16"/>
      <c r="L252" s="15"/>
      <c r="M252" s="15"/>
      <c r="N252" s="15"/>
      <c r="O252" s="15"/>
      <c r="P252" s="15"/>
      <c r="Q252" s="15"/>
      <c r="R252" s="15"/>
      <c r="S252" s="15"/>
      <c r="T252" s="15"/>
      <c r="U252" s="15"/>
      <c r="V252" s="15"/>
      <c r="W252" s="15"/>
      <c r="X252" s="15"/>
      <c r="Y252" s="15"/>
      <c r="Z252" s="15"/>
    </row>
    <row r="253" spans="1:26" ht="31.5" x14ac:dyDescent="0.25">
      <c r="A253" s="90" t="s">
        <v>1734</v>
      </c>
      <c r="B253" s="41"/>
      <c r="C253" s="43"/>
      <c r="D253" s="43"/>
      <c r="E253" s="43"/>
      <c r="F253" s="43"/>
      <c r="G253" s="43"/>
      <c r="H253" s="15">
        <f>440000</f>
        <v>440000</v>
      </c>
      <c r="I253" s="15"/>
      <c r="J253" s="15"/>
      <c r="K253" s="16"/>
      <c r="L253" s="15"/>
      <c r="M253" s="15"/>
      <c r="N253" s="15"/>
      <c r="O253" s="15"/>
      <c r="P253" s="15"/>
      <c r="Q253" s="15"/>
      <c r="R253" s="15"/>
      <c r="S253" s="15"/>
      <c r="T253" s="15"/>
      <c r="U253" s="15"/>
      <c r="V253" s="15"/>
      <c r="W253" s="15"/>
      <c r="X253" s="15"/>
      <c r="Y253" s="15"/>
      <c r="Z253" s="15"/>
    </row>
    <row r="254" spans="1:26" ht="15.75" x14ac:dyDescent="0.25">
      <c r="A254" s="74" t="s">
        <v>1735</v>
      </c>
      <c r="B254" s="41"/>
      <c r="C254" s="43"/>
      <c r="D254" s="43"/>
      <c r="E254" s="43"/>
      <c r="F254" s="43"/>
      <c r="G254" s="43"/>
      <c r="H254" s="15">
        <v>270000</v>
      </c>
      <c r="I254" s="15"/>
      <c r="J254" s="15"/>
      <c r="K254" s="16"/>
      <c r="L254" s="15"/>
      <c r="M254" s="15"/>
      <c r="N254" s="15"/>
      <c r="O254" s="15"/>
      <c r="P254" s="15"/>
      <c r="Q254" s="15"/>
      <c r="R254" s="15"/>
      <c r="S254" s="15"/>
      <c r="T254" s="15"/>
      <c r="U254" s="15"/>
      <c r="V254" s="15"/>
      <c r="W254" s="15"/>
      <c r="X254" s="15"/>
      <c r="Y254" s="15"/>
      <c r="Z254" s="15"/>
    </row>
    <row r="255" spans="1:26" ht="15.75" x14ac:dyDescent="0.25">
      <c r="A255" s="44" t="s">
        <v>546</v>
      </c>
      <c r="B255" s="41" t="s">
        <v>52</v>
      </c>
      <c r="C255" s="43">
        <v>84900</v>
      </c>
      <c r="D255" s="43">
        <v>597200</v>
      </c>
      <c r="E255" s="43">
        <f>F255-D255</f>
        <v>2800</v>
      </c>
      <c r="F255" s="43">
        <v>600000</v>
      </c>
      <c r="G255" s="43">
        <v>445000</v>
      </c>
      <c r="H255" s="15"/>
      <c r="I255" s="15"/>
      <c r="J255" s="15"/>
      <c r="K255" s="16"/>
      <c r="L255" s="15"/>
      <c r="M255" s="15"/>
      <c r="N255" s="15"/>
      <c r="O255" s="15"/>
      <c r="P255" s="15"/>
      <c r="Q255" s="15"/>
      <c r="R255" s="15"/>
      <c r="S255" s="15"/>
      <c r="T255" s="15"/>
      <c r="U255" s="15"/>
      <c r="V255" s="15"/>
      <c r="W255" s="15"/>
      <c r="X255" s="15"/>
      <c r="Y255" s="15"/>
      <c r="Z255" s="15"/>
    </row>
    <row r="256" spans="1:26" ht="15.75" x14ac:dyDescent="0.25">
      <c r="A256" s="74" t="s">
        <v>1736</v>
      </c>
      <c r="B256" s="41"/>
      <c r="C256" s="43"/>
      <c r="D256" s="43"/>
      <c r="E256" s="43"/>
      <c r="F256" s="43"/>
      <c r="G256" s="43"/>
      <c r="H256" s="15"/>
      <c r="I256" s="15"/>
      <c r="J256" s="15"/>
      <c r="K256" s="16"/>
      <c r="L256" s="15"/>
      <c r="M256" s="15"/>
      <c r="N256" s="15"/>
      <c r="O256" s="15"/>
      <c r="P256" s="15"/>
      <c r="Q256" s="15"/>
      <c r="R256" s="15"/>
      <c r="S256" s="15"/>
      <c r="T256" s="15"/>
      <c r="U256" s="15"/>
      <c r="V256" s="15"/>
      <c r="W256" s="15"/>
      <c r="X256" s="15"/>
      <c r="Y256" s="15"/>
      <c r="Z256" s="15"/>
    </row>
    <row r="257" spans="1:26" ht="15.75" x14ac:dyDescent="0.25">
      <c r="A257" s="44" t="s">
        <v>1737</v>
      </c>
      <c r="B257" s="41" t="s">
        <v>66</v>
      </c>
      <c r="C257" s="43">
        <v>43557720</v>
      </c>
      <c r="D257" s="43">
        <v>0</v>
      </c>
      <c r="E257" s="43">
        <f>F257-D257</f>
        <v>0</v>
      </c>
      <c r="F257" s="43">
        <v>0</v>
      </c>
      <c r="G257" s="43">
        <v>22565000</v>
      </c>
      <c r="H257" s="15"/>
      <c r="I257" s="15"/>
      <c r="J257" s="15"/>
      <c r="K257" s="16"/>
      <c r="L257" s="15"/>
      <c r="M257" s="15"/>
      <c r="N257" s="15"/>
      <c r="O257" s="15"/>
      <c r="P257" s="15"/>
      <c r="Q257" s="15"/>
      <c r="R257" s="15"/>
      <c r="S257" s="15"/>
      <c r="T257" s="15"/>
      <c r="U257" s="15"/>
      <c r="V257" s="15"/>
      <c r="W257" s="15"/>
      <c r="X257" s="15"/>
      <c r="Y257" s="15"/>
      <c r="Z257" s="15"/>
    </row>
    <row r="258" spans="1:26" ht="15.75" x14ac:dyDescent="0.25">
      <c r="A258" s="74" t="s">
        <v>1738</v>
      </c>
      <c r="B258" s="41"/>
      <c r="C258" s="43"/>
      <c r="D258" s="43"/>
      <c r="E258" s="43"/>
      <c r="F258" s="43"/>
      <c r="G258" s="43"/>
      <c r="H258" s="15">
        <v>1950000</v>
      </c>
      <c r="I258" s="15"/>
      <c r="J258" s="15"/>
      <c r="K258" s="16"/>
      <c r="L258" s="15"/>
      <c r="M258" s="15"/>
      <c r="N258" s="15"/>
      <c r="O258" s="15"/>
      <c r="P258" s="15"/>
      <c r="Q258" s="15"/>
      <c r="R258" s="15"/>
      <c r="S258" s="15"/>
      <c r="T258" s="15"/>
      <c r="U258" s="15"/>
      <c r="V258" s="15"/>
      <c r="W258" s="15"/>
      <c r="X258" s="15"/>
      <c r="Y258" s="15"/>
      <c r="Z258" s="15"/>
    </row>
    <row r="259" spans="1:26" ht="15.75" x14ac:dyDescent="0.25">
      <c r="A259" s="74" t="s">
        <v>1739</v>
      </c>
      <c r="B259" s="41"/>
      <c r="C259" s="43"/>
      <c r="D259" s="43"/>
      <c r="E259" s="43"/>
      <c r="F259" s="43"/>
      <c r="G259" s="43"/>
      <c r="H259" s="15">
        <v>53000</v>
      </c>
      <c r="I259" s="15"/>
      <c r="J259" s="15"/>
      <c r="K259" s="16"/>
      <c r="L259" s="15"/>
      <c r="M259" s="15"/>
      <c r="N259" s="15"/>
      <c r="O259" s="15"/>
      <c r="P259" s="15"/>
      <c r="Q259" s="15"/>
      <c r="R259" s="15"/>
      <c r="S259" s="15"/>
      <c r="T259" s="15"/>
      <c r="U259" s="15"/>
      <c r="V259" s="15"/>
      <c r="W259" s="15"/>
      <c r="X259" s="15"/>
      <c r="Y259" s="15"/>
      <c r="Z259" s="15"/>
    </row>
    <row r="260" spans="1:26" ht="15.75" customHeight="1" x14ac:dyDescent="0.25">
      <c r="A260" s="74" t="s">
        <v>1740</v>
      </c>
      <c r="B260" s="41"/>
      <c r="C260" s="43"/>
      <c r="D260" s="43"/>
      <c r="E260" s="43"/>
      <c r="F260" s="43"/>
      <c r="G260" s="43"/>
      <c r="H260" s="15">
        <v>5400000</v>
      </c>
      <c r="I260" s="15"/>
      <c r="J260" s="15"/>
      <c r="K260" s="16"/>
      <c r="L260" s="15"/>
      <c r="M260" s="15"/>
      <c r="N260" s="15"/>
      <c r="O260" s="15"/>
      <c r="P260" s="15"/>
      <c r="Q260" s="15"/>
      <c r="R260" s="15"/>
      <c r="S260" s="15"/>
      <c r="T260" s="15"/>
      <c r="U260" s="15"/>
      <c r="V260" s="15"/>
      <c r="W260" s="15"/>
      <c r="X260" s="15"/>
      <c r="Y260" s="15"/>
      <c r="Z260" s="15"/>
    </row>
    <row r="261" spans="1:26" ht="15.75" customHeight="1" x14ac:dyDescent="0.25">
      <c r="A261" s="74" t="s">
        <v>1741</v>
      </c>
      <c r="B261" s="41"/>
      <c r="C261" s="43"/>
      <c r="D261" s="43"/>
      <c r="E261" s="43"/>
      <c r="F261" s="43"/>
      <c r="G261" s="43"/>
      <c r="H261" s="15">
        <v>700000</v>
      </c>
      <c r="I261" s="15"/>
      <c r="J261" s="15"/>
      <c r="K261" s="16"/>
      <c r="L261" s="15"/>
      <c r="M261" s="15"/>
      <c r="N261" s="15"/>
      <c r="O261" s="15"/>
      <c r="P261" s="15"/>
      <c r="Q261" s="15"/>
      <c r="R261" s="15"/>
      <c r="S261" s="15"/>
      <c r="T261" s="15"/>
      <c r="U261" s="15"/>
      <c r="V261" s="15"/>
      <c r="W261" s="15"/>
      <c r="X261" s="15"/>
      <c r="Y261" s="15"/>
      <c r="Z261" s="15"/>
    </row>
    <row r="262" spans="1:26" ht="15.75" customHeight="1" x14ac:dyDescent="0.25">
      <c r="A262" s="74" t="s">
        <v>1742</v>
      </c>
      <c r="B262" s="41"/>
      <c r="C262" s="43"/>
      <c r="D262" s="43"/>
      <c r="E262" s="43"/>
      <c r="F262" s="43"/>
      <c r="G262" s="43"/>
      <c r="H262" s="15">
        <v>3200000</v>
      </c>
      <c r="I262" s="15"/>
      <c r="J262" s="15"/>
      <c r="K262" s="16"/>
      <c r="L262" s="15"/>
      <c r="M262" s="15"/>
      <c r="N262" s="15"/>
      <c r="O262" s="15"/>
      <c r="P262" s="15"/>
      <c r="Q262" s="15"/>
      <c r="R262" s="15"/>
      <c r="S262" s="15"/>
      <c r="T262" s="15"/>
      <c r="U262" s="15"/>
      <c r="V262" s="15"/>
      <c r="W262" s="15"/>
      <c r="X262" s="15"/>
      <c r="Y262" s="15"/>
      <c r="Z262" s="15"/>
    </row>
    <row r="263" spans="1:26" ht="15.75" customHeight="1" x14ac:dyDescent="0.25">
      <c r="A263" s="74" t="s">
        <v>1743</v>
      </c>
      <c r="B263" s="41"/>
      <c r="C263" s="43"/>
      <c r="D263" s="43"/>
      <c r="E263" s="43"/>
      <c r="F263" s="43"/>
      <c r="G263" s="43"/>
      <c r="H263" s="15">
        <v>10500000</v>
      </c>
      <c r="I263" s="15"/>
      <c r="J263" s="15"/>
      <c r="K263" s="16"/>
      <c r="L263" s="15"/>
      <c r="M263" s="15"/>
      <c r="N263" s="15"/>
      <c r="O263" s="15"/>
      <c r="P263" s="15"/>
      <c r="Q263" s="15"/>
      <c r="R263" s="15"/>
      <c r="S263" s="15"/>
      <c r="T263" s="15"/>
      <c r="U263" s="15"/>
      <c r="V263" s="15"/>
      <c r="W263" s="15"/>
      <c r="X263" s="15"/>
      <c r="Y263" s="15"/>
      <c r="Z263" s="15"/>
    </row>
    <row r="264" spans="1:26" ht="15.75" customHeight="1" x14ac:dyDescent="0.25">
      <c r="A264" s="74" t="s">
        <v>1744</v>
      </c>
      <c r="B264" s="41"/>
      <c r="C264" s="43"/>
      <c r="D264" s="43"/>
      <c r="E264" s="43"/>
      <c r="F264" s="43"/>
      <c r="G264" s="43"/>
      <c r="H264" s="15">
        <v>110000</v>
      </c>
      <c r="I264" s="15"/>
      <c r="J264" s="15"/>
      <c r="K264" s="16"/>
      <c r="L264" s="15"/>
      <c r="M264" s="15"/>
      <c r="N264" s="15"/>
      <c r="O264" s="15"/>
      <c r="P264" s="15"/>
      <c r="Q264" s="15"/>
      <c r="R264" s="15"/>
      <c r="S264" s="15"/>
      <c r="T264" s="15"/>
      <c r="U264" s="15"/>
      <c r="V264" s="15"/>
      <c r="W264" s="15"/>
      <c r="X264" s="15"/>
      <c r="Y264" s="15"/>
      <c r="Z264" s="15"/>
    </row>
    <row r="265" spans="1:26" ht="15.75" customHeight="1" x14ac:dyDescent="0.25">
      <c r="A265" s="74" t="s">
        <v>1745</v>
      </c>
      <c r="B265" s="41"/>
      <c r="C265" s="43"/>
      <c r="D265" s="43"/>
      <c r="E265" s="43"/>
      <c r="F265" s="43"/>
      <c r="G265" s="43"/>
      <c r="H265" s="15">
        <v>110000</v>
      </c>
      <c r="I265" s="15"/>
      <c r="J265" s="15"/>
      <c r="K265" s="16"/>
      <c r="L265" s="15"/>
      <c r="M265" s="15"/>
      <c r="N265" s="15"/>
      <c r="O265" s="15"/>
      <c r="P265" s="15"/>
      <c r="Q265" s="15"/>
      <c r="R265" s="15"/>
      <c r="S265" s="15"/>
      <c r="T265" s="15"/>
      <c r="U265" s="15"/>
      <c r="V265" s="15"/>
      <c r="W265" s="15"/>
      <c r="X265" s="15"/>
      <c r="Y265" s="15"/>
      <c r="Z265" s="15"/>
    </row>
    <row r="266" spans="1:26" ht="15.75" customHeight="1" x14ac:dyDescent="0.25">
      <c r="A266" s="74" t="s">
        <v>1746</v>
      </c>
      <c r="B266" s="41"/>
      <c r="C266" s="43"/>
      <c r="D266" s="43"/>
      <c r="E266" s="43"/>
      <c r="F266" s="43"/>
      <c r="G266" s="43"/>
      <c r="H266" s="15">
        <v>133000</v>
      </c>
      <c r="I266" s="15"/>
      <c r="J266" s="15"/>
      <c r="K266" s="16"/>
      <c r="L266" s="15"/>
      <c r="M266" s="15"/>
      <c r="N266" s="15"/>
      <c r="O266" s="15"/>
      <c r="P266" s="15"/>
      <c r="Q266" s="15"/>
      <c r="R266" s="15"/>
      <c r="S266" s="15"/>
      <c r="T266" s="15"/>
      <c r="U266" s="15"/>
      <c r="V266" s="15"/>
      <c r="W266" s="15"/>
      <c r="X266" s="15"/>
      <c r="Y266" s="15"/>
      <c r="Z266" s="15"/>
    </row>
    <row r="267" spans="1:26" ht="15.75" customHeight="1" x14ac:dyDescent="0.25">
      <c r="A267" s="74" t="s">
        <v>1747</v>
      </c>
      <c r="B267" s="41"/>
      <c r="C267" s="43"/>
      <c r="D267" s="43"/>
      <c r="E267" s="43"/>
      <c r="F267" s="43"/>
      <c r="G267" s="43"/>
      <c r="H267" s="15">
        <v>133000</v>
      </c>
      <c r="I267" s="15"/>
      <c r="J267" s="15"/>
      <c r="K267" s="16"/>
      <c r="L267" s="15"/>
      <c r="M267" s="15"/>
      <c r="N267" s="15"/>
      <c r="O267" s="15"/>
      <c r="P267" s="15"/>
      <c r="Q267" s="15"/>
      <c r="R267" s="15"/>
      <c r="S267" s="15"/>
      <c r="T267" s="15"/>
      <c r="U267" s="15"/>
      <c r="V267" s="15"/>
      <c r="W267" s="15"/>
      <c r="X267" s="15"/>
      <c r="Y267" s="15"/>
      <c r="Z267" s="15"/>
    </row>
    <row r="268" spans="1:26" ht="15.75" customHeight="1" x14ac:dyDescent="0.25">
      <c r="A268" s="74" t="s">
        <v>1748</v>
      </c>
      <c r="B268" s="41"/>
      <c r="C268" s="43"/>
      <c r="D268" s="43"/>
      <c r="E268" s="43"/>
      <c r="F268" s="43"/>
      <c r="G268" s="43"/>
      <c r="H268" s="15">
        <v>276000</v>
      </c>
      <c r="I268" s="15"/>
      <c r="J268" s="15"/>
      <c r="K268" s="16"/>
      <c r="L268" s="15"/>
      <c r="M268" s="15"/>
      <c r="N268" s="15"/>
      <c r="O268" s="15"/>
      <c r="P268" s="15"/>
      <c r="Q268" s="15"/>
      <c r="R268" s="15"/>
      <c r="S268" s="15"/>
      <c r="T268" s="15"/>
      <c r="U268" s="15"/>
      <c r="V268" s="15"/>
      <c r="W268" s="15"/>
      <c r="X268" s="15"/>
      <c r="Y268" s="15"/>
      <c r="Z268" s="15"/>
    </row>
    <row r="269" spans="1:26" ht="15.75" customHeight="1" x14ac:dyDescent="0.25">
      <c r="A269" s="44" t="s">
        <v>842</v>
      </c>
      <c r="B269" s="41" t="s">
        <v>72</v>
      </c>
      <c r="C269" s="43">
        <v>0</v>
      </c>
      <c r="D269" s="43">
        <v>0</v>
      </c>
      <c r="E269" s="43">
        <v>0</v>
      </c>
      <c r="F269" s="43">
        <v>0</v>
      </c>
      <c r="G269" s="43">
        <f>65000</f>
        <v>65000</v>
      </c>
      <c r="H269" s="15"/>
      <c r="I269" s="15"/>
      <c r="J269" s="15"/>
      <c r="K269" s="16"/>
      <c r="L269" s="15"/>
      <c r="M269" s="15"/>
      <c r="N269" s="15"/>
      <c r="O269" s="15"/>
      <c r="P269" s="15"/>
      <c r="Q269" s="15"/>
      <c r="R269" s="15"/>
      <c r="S269" s="15"/>
      <c r="T269" s="15"/>
      <c r="U269" s="15"/>
      <c r="V269" s="15"/>
      <c r="W269" s="15"/>
      <c r="X269" s="15"/>
      <c r="Y269" s="15"/>
      <c r="Z269" s="15"/>
    </row>
    <row r="270" spans="1:26" ht="15.75" customHeight="1" x14ac:dyDescent="0.25">
      <c r="A270" s="74" t="s">
        <v>1749</v>
      </c>
      <c r="B270" s="41"/>
      <c r="C270" s="43"/>
      <c r="D270" s="43"/>
      <c r="E270" s="43"/>
      <c r="F270" s="43"/>
      <c r="G270" s="43"/>
      <c r="H270" s="15"/>
      <c r="I270" s="15"/>
      <c r="J270" s="15"/>
      <c r="K270" s="16"/>
      <c r="L270" s="15"/>
      <c r="M270" s="15"/>
      <c r="N270" s="15"/>
      <c r="O270" s="15"/>
      <c r="P270" s="15"/>
      <c r="Q270" s="15"/>
      <c r="R270" s="15"/>
      <c r="S270" s="15"/>
      <c r="T270" s="15"/>
      <c r="U270" s="15"/>
      <c r="V270" s="15"/>
      <c r="W270" s="15"/>
      <c r="X270" s="15"/>
      <c r="Y270" s="15"/>
      <c r="Z270" s="15"/>
    </row>
    <row r="271" spans="1:26" ht="15.75" customHeight="1" x14ac:dyDescent="0.25">
      <c r="A271" s="44" t="s">
        <v>827</v>
      </c>
      <c r="B271" s="41" t="s">
        <v>74</v>
      </c>
      <c r="C271" s="43">
        <v>0</v>
      </c>
      <c r="D271" s="43">
        <v>0</v>
      </c>
      <c r="E271" s="43">
        <v>0</v>
      </c>
      <c r="F271" s="43">
        <v>0</v>
      </c>
      <c r="G271" s="43">
        <v>3981800</v>
      </c>
      <c r="H271" s="15"/>
      <c r="I271" s="15"/>
      <c r="J271" s="15"/>
      <c r="K271" s="16"/>
      <c r="L271" s="15"/>
      <c r="M271" s="15"/>
      <c r="N271" s="15"/>
      <c r="O271" s="15"/>
      <c r="P271" s="15"/>
      <c r="Q271" s="15"/>
      <c r="R271" s="15"/>
      <c r="S271" s="15"/>
      <c r="T271" s="15"/>
      <c r="U271" s="15"/>
      <c r="V271" s="15"/>
      <c r="W271" s="15"/>
      <c r="X271" s="15"/>
      <c r="Y271" s="15"/>
      <c r="Z271" s="15"/>
    </row>
    <row r="272" spans="1:26" ht="15.75" x14ac:dyDescent="0.25">
      <c r="A272" s="74" t="s">
        <v>1750</v>
      </c>
      <c r="B272" s="41"/>
      <c r="C272" s="43"/>
      <c r="D272" s="43"/>
      <c r="E272" s="43"/>
      <c r="F272" s="43"/>
      <c r="G272" s="43"/>
      <c r="H272" s="15">
        <v>160000</v>
      </c>
      <c r="I272" s="15"/>
      <c r="J272" s="15"/>
      <c r="K272" s="16"/>
      <c r="L272" s="15"/>
      <c r="M272" s="15"/>
      <c r="N272" s="15"/>
      <c r="O272" s="15"/>
      <c r="P272" s="15"/>
      <c r="Q272" s="15"/>
      <c r="R272" s="15"/>
      <c r="S272" s="15"/>
      <c r="T272" s="15"/>
      <c r="U272" s="15"/>
      <c r="V272" s="15"/>
      <c r="W272" s="15"/>
      <c r="X272" s="15"/>
      <c r="Y272" s="15"/>
      <c r="Z272" s="15"/>
    </row>
    <row r="273" spans="1:26" ht="47.25" x14ac:dyDescent="0.25">
      <c r="A273" s="90" t="s">
        <v>1751</v>
      </c>
      <c r="B273" s="41"/>
      <c r="C273" s="43"/>
      <c r="D273" s="43"/>
      <c r="E273" s="43"/>
      <c r="F273" s="43"/>
      <c r="G273" s="43"/>
      <c r="H273" s="15">
        <v>2600000</v>
      </c>
      <c r="I273" s="15"/>
      <c r="J273" s="15"/>
      <c r="K273" s="16"/>
      <c r="L273" s="15"/>
      <c r="M273" s="15"/>
      <c r="N273" s="15"/>
      <c r="O273" s="15"/>
      <c r="P273" s="15"/>
      <c r="Q273" s="15"/>
      <c r="R273" s="15"/>
      <c r="S273" s="15"/>
      <c r="T273" s="15"/>
      <c r="U273" s="15"/>
      <c r="V273" s="15"/>
      <c r="W273" s="15"/>
      <c r="X273" s="15"/>
      <c r="Y273" s="15"/>
      <c r="Z273" s="15"/>
    </row>
    <row r="274" spans="1:26" ht="15.75" x14ac:dyDescent="0.25">
      <c r="A274" s="74" t="s">
        <v>1752</v>
      </c>
      <c r="B274" s="41"/>
      <c r="C274" s="43"/>
      <c r="D274" s="43"/>
      <c r="E274" s="43"/>
      <c r="F274" s="43"/>
      <c r="G274" s="43"/>
      <c r="H274" s="15">
        <v>51800</v>
      </c>
      <c r="I274" s="15"/>
      <c r="J274" s="15"/>
      <c r="K274" s="16"/>
      <c r="L274" s="15"/>
      <c r="M274" s="15"/>
      <c r="N274" s="15"/>
      <c r="O274" s="15"/>
      <c r="P274" s="15"/>
      <c r="Q274" s="15"/>
      <c r="R274" s="15"/>
      <c r="S274" s="15"/>
      <c r="T274" s="15"/>
      <c r="U274" s="15"/>
      <c r="V274" s="15"/>
      <c r="W274" s="15"/>
      <c r="X274" s="15"/>
      <c r="Y274" s="15"/>
      <c r="Z274" s="15"/>
    </row>
    <row r="275" spans="1:26" ht="31.5" x14ac:dyDescent="0.25">
      <c r="A275" s="90" t="s">
        <v>1753</v>
      </c>
      <c r="B275" s="41"/>
      <c r="C275" s="43"/>
      <c r="D275" s="43"/>
      <c r="E275" s="43"/>
      <c r="F275" s="43"/>
      <c r="G275" s="43"/>
      <c r="H275" s="15">
        <v>700000</v>
      </c>
      <c r="I275" s="15"/>
      <c r="J275" s="15"/>
      <c r="K275" s="16"/>
      <c r="L275" s="15"/>
      <c r="M275" s="15"/>
      <c r="N275" s="15"/>
      <c r="O275" s="15"/>
      <c r="P275" s="15"/>
      <c r="Q275" s="15"/>
      <c r="R275" s="15"/>
      <c r="S275" s="15"/>
      <c r="T275" s="15"/>
      <c r="U275" s="15"/>
      <c r="V275" s="15"/>
      <c r="W275" s="15"/>
      <c r="X275" s="15"/>
      <c r="Y275" s="15"/>
      <c r="Z275" s="15"/>
    </row>
    <row r="276" spans="1:26" ht="31.5" x14ac:dyDescent="0.25">
      <c r="A276" s="90" t="s">
        <v>1754</v>
      </c>
      <c r="B276" s="41"/>
      <c r="C276" s="43"/>
      <c r="D276" s="43"/>
      <c r="E276" s="43"/>
      <c r="F276" s="43"/>
      <c r="G276" s="43"/>
      <c r="H276" s="15">
        <v>470000</v>
      </c>
      <c r="I276" s="15"/>
      <c r="J276" s="15"/>
      <c r="K276" s="16"/>
      <c r="L276" s="15"/>
      <c r="M276" s="15"/>
      <c r="N276" s="15"/>
      <c r="O276" s="15"/>
      <c r="P276" s="15"/>
      <c r="Q276" s="15"/>
      <c r="R276" s="15"/>
      <c r="S276" s="15"/>
      <c r="T276" s="15"/>
      <c r="U276" s="15"/>
      <c r="V276" s="15"/>
      <c r="W276" s="15"/>
      <c r="X276" s="15"/>
      <c r="Y276" s="15"/>
      <c r="Z276" s="15"/>
    </row>
    <row r="277" spans="1:26" ht="15.75" x14ac:dyDescent="0.25">
      <c r="A277" s="456" t="s">
        <v>570</v>
      </c>
      <c r="B277" s="454"/>
      <c r="C277" s="443"/>
      <c r="D277" s="443"/>
      <c r="E277" s="443"/>
      <c r="F277" s="443"/>
      <c r="G277" s="462"/>
      <c r="H277" s="15"/>
      <c r="I277" s="15"/>
      <c r="J277" s="15"/>
      <c r="K277" s="16"/>
      <c r="L277" s="15"/>
      <c r="M277" s="15"/>
      <c r="N277" s="15"/>
      <c r="O277" s="15"/>
      <c r="P277" s="15"/>
      <c r="Q277" s="15"/>
      <c r="R277" s="15"/>
      <c r="S277" s="15"/>
      <c r="T277" s="15"/>
      <c r="U277" s="15"/>
      <c r="V277" s="15"/>
      <c r="W277" s="15"/>
      <c r="X277" s="15"/>
      <c r="Y277" s="15"/>
      <c r="Z277" s="15"/>
    </row>
    <row r="278" spans="1:26" ht="15.75" customHeight="1" x14ac:dyDescent="0.25">
      <c r="A278" s="96" t="s">
        <v>630</v>
      </c>
      <c r="B278" s="41" t="s">
        <v>55</v>
      </c>
      <c r="C278" s="43">
        <v>0</v>
      </c>
      <c r="D278" s="43">
        <v>0</v>
      </c>
      <c r="E278" s="43">
        <v>0</v>
      </c>
      <c r="F278" s="43">
        <v>0</v>
      </c>
      <c r="G278" s="43">
        <v>7000000</v>
      </c>
      <c r="H278" s="15"/>
      <c r="I278" s="15"/>
      <c r="J278" s="15"/>
      <c r="K278" s="16"/>
      <c r="L278" s="15"/>
      <c r="M278" s="15"/>
      <c r="N278" s="15"/>
      <c r="O278" s="15"/>
      <c r="P278" s="15"/>
      <c r="Q278" s="15"/>
      <c r="R278" s="15"/>
      <c r="S278" s="15"/>
      <c r="T278" s="15"/>
      <c r="U278" s="15"/>
      <c r="V278" s="15"/>
      <c r="W278" s="15"/>
      <c r="X278" s="15"/>
      <c r="Y278" s="15"/>
      <c r="Z278" s="15"/>
    </row>
    <row r="279" spans="1:26" ht="15.75" customHeight="1" x14ac:dyDescent="0.25">
      <c r="A279" s="96" t="s">
        <v>1755</v>
      </c>
      <c r="B279" s="172"/>
      <c r="C279" s="43"/>
      <c r="D279" s="43"/>
      <c r="E279" s="43"/>
      <c r="F279" s="43"/>
      <c r="G279" s="43"/>
      <c r="H279" s="15"/>
      <c r="I279" s="15"/>
      <c r="J279" s="15"/>
      <c r="K279" s="16"/>
      <c r="L279" s="15"/>
      <c r="M279" s="15"/>
      <c r="N279" s="15"/>
      <c r="O279" s="15"/>
      <c r="P279" s="15"/>
      <c r="Q279" s="15"/>
      <c r="R279" s="15"/>
      <c r="S279" s="15"/>
      <c r="T279" s="15"/>
      <c r="U279" s="15"/>
      <c r="V279" s="15"/>
      <c r="W279" s="15"/>
      <c r="X279" s="15"/>
      <c r="Y279" s="15"/>
      <c r="Z279" s="15"/>
    </row>
    <row r="280" spans="1:26" ht="15.75" customHeight="1" x14ac:dyDescent="0.25">
      <c r="A280" s="17" t="s">
        <v>1756</v>
      </c>
      <c r="B280" s="41"/>
      <c r="C280" s="43"/>
      <c r="D280" s="43"/>
      <c r="E280" s="43"/>
      <c r="F280" s="43"/>
      <c r="G280" s="43"/>
      <c r="H280" s="15"/>
      <c r="I280" s="15"/>
      <c r="J280" s="15"/>
      <c r="K280" s="16"/>
      <c r="L280" s="15"/>
      <c r="M280" s="15"/>
      <c r="N280" s="15"/>
      <c r="O280" s="15"/>
      <c r="P280" s="15"/>
      <c r="Q280" s="15"/>
      <c r="R280" s="15"/>
      <c r="S280" s="15"/>
      <c r="T280" s="15"/>
      <c r="U280" s="15"/>
      <c r="V280" s="15"/>
      <c r="W280" s="15"/>
      <c r="X280" s="15"/>
      <c r="Y280" s="15"/>
      <c r="Z280" s="15"/>
    </row>
    <row r="281" spans="1:26" ht="15.75" customHeight="1" x14ac:dyDescent="0.25">
      <c r="A281" s="44" t="s">
        <v>1757</v>
      </c>
      <c r="B281" s="41" t="s">
        <v>1758</v>
      </c>
      <c r="C281" s="43">
        <v>5197000</v>
      </c>
      <c r="D281" s="43">
        <v>0</v>
      </c>
      <c r="E281" s="43">
        <v>0</v>
      </c>
      <c r="F281" s="43">
        <v>0</v>
      </c>
      <c r="G281" s="43">
        <v>11900000</v>
      </c>
      <c r="H281" s="15"/>
      <c r="I281" s="15"/>
      <c r="J281" s="15"/>
      <c r="K281" s="16"/>
      <c r="L281" s="15"/>
      <c r="M281" s="15"/>
      <c r="N281" s="15"/>
      <c r="O281" s="15"/>
      <c r="P281" s="15"/>
      <c r="Q281" s="15"/>
      <c r="R281" s="15"/>
      <c r="S281" s="15"/>
      <c r="T281" s="15"/>
      <c r="U281" s="15"/>
      <c r="V281" s="15"/>
      <c r="W281" s="15"/>
      <c r="X281" s="15"/>
      <c r="Y281" s="15"/>
      <c r="Z281" s="15"/>
    </row>
    <row r="282" spans="1:26" ht="15.75" customHeight="1" x14ac:dyDescent="0.25">
      <c r="A282" s="96" t="s">
        <v>1759</v>
      </c>
      <c r="B282" s="41"/>
      <c r="C282" s="43"/>
      <c r="D282" s="43"/>
      <c r="E282" s="43"/>
      <c r="F282" s="43"/>
      <c r="G282" s="43"/>
      <c r="H282" s="15"/>
      <c r="I282" s="15"/>
      <c r="J282" s="15"/>
      <c r="K282" s="16"/>
      <c r="L282" s="15"/>
      <c r="M282" s="15"/>
      <c r="N282" s="15"/>
      <c r="O282" s="15"/>
      <c r="P282" s="15"/>
      <c r="Q282" s="15"/>
      <c r="R282" s="15"/>
      <c r="S282" s="15"/>
      <c r="T282" s="15"/>
      <c r="U282" s="15"/>
      <c r="V282" s="15"/>
      <c r="W282" s="15"/>
      <c r="X282" s="15"/>
      <c r="Y282" s="15"/>
      <c r="Z282" s="15"/>
    </row>
    <row r="283" spans="1:26" ht="15.75" customHeight="1" x14ac:dyDescent="0.25">
      <c r="A283" s="17" t="s">
        <v>1145</v>
      </c>
      <c r="B283" s="41"/>
      <c r="C283" s="55">
        <f t="shared" ref="C283:F283" si="23">SUM(C250:C281)</f>
        <v>49069320</v>
      </c>
      <c r="D283" s="55">
        <f t="shared" si="23"/>
        <v>597200</v>
      </c>
      <c r="E283" s="55">
        <f t="shared" si="23"/>
        <v>2800</v>
      </c>
      <c r="F283" s="55">
        <f t="shared" si="23"/>
        <v>600000</v>
      </c>
      <c r="G283" s="55">
        <f>SUM(G245:G281)</f>
        <v>49744000</v>
      </c>
      <c r="H283" s="15"/>
      <c r="I283" s="15"/>
      <c r="J283" s="15"/>
      <c r="K283" s="16"/>
      <c r="L283" s="15"/>
      <c r="M283" s="15"/>
      <c r="N283" s="15"/>
      <c r="O283" s="15"/>
      <c r="P283" s="15"/>
      <c r="Q283" s="15"/>
      <c r="R283" s="15"/>
      <c r="S283" s="15"/>
      <c r="T283" s="15"/>
      <c r="U283" s="15"/>
      <c r="V283" s="15"/>
      <c r="W283" s="15"/>
      <c r="X283" s="15"/>
      <c r="Y283" s="15"/>
      <c r="Z283" s="15"/>
    </row>
    <row r="284" spans="1:26" ht="15.75" customHeight="1" x14ac:dyDescent="0.25">
      <c r="A284" s="17"/>
      <c r="B284" s="41"/>
      <c r="C284" s="55"/>
      <c r="D284" s="55"/>
      <c r="E284" s="55"/>
      <c r="F284" s="55"/>
      <c r="G284" s="55"/>
      <c r="H284" s="15"/>
      <c r="I284" s="15"/>
      <c r="J284" s="15"/>
      <c r="K284" s="16"/>
      <c r="L284" s="15"/>
      <c r="M284" s="15"/>
      <c r="N284" s="15"/>
      <c r="O284" s="15"/>
      <c r="P284" s="15"/>
      <c r="Q284" s="15"/>
      <c r="R284" s="15"/>
      <c r="S284" s="15"/>
      <c r="T284" s="15"/>
      <c r="U284" s="15"/>
      <c r="V284" s="15"/>
      <c r="W284" s="15"/>
      <c r="X284" s="15"/>
      <c r="Y284" s="15"/>
      <c r="Z284" s="15"/>
    </row>
    <row r="285" spans="1:26" ht="15.75" customHeight="1" x14ac:dyDescent="0.25">
      <c r="A285" s="50" t="s">
        <v>487</v>
      </c>
      <c r="B285" s="51" t="s">
        <v>488</v>
      </c>
      <c r="C285" s="54">
        <f t="shared" ref="C285:G285" si="24">C241+C283</f>
        <v>383937488.24000001</v>
      </c>
      <c r="D285" s="54">
        <f t="shared" si="24"/>
        <v>158344050.78999999</v>
      </c>
      <c r="E285" s="54">
        <f t="shared" si="24"/>
        <v>219417405.21000004</v>
      </c>
      <c r="F285" s="54">
        <f t="shared" si="24"/>
        <v>377761456</v>
      </c>
      <c r="G285" s="54">
        <f t="shared" si="24"/>
        <v>532555689</v>
      </c>
      <c r="K285" s="40"/>
    </row>
    <row r="286" spans="1:26" ht="15.75" customHeight="1" x14ac:dyDescent="0.25">
      <c r="A286" s="24"/>
      <c r="B286" s="25"/>
      <c r="C286" s="312"/>
      <c r="D286" s="26"/>
      <c r="E286" s="26"/>
      <c r="F286" s="26"/>
      <c r="G286" s="26"/>
      <c r="K286" s="40"/>
    </row>
    <row r="287" spans="1:26" ht="15.75" customHeight="1" x14ac:dyDescent="0.25">
      <c r="A287" s="24"/>
      <c r="B287" s="174"/>
      <c r="C287" s="24"/>
      <c r="D287" s="24"/>
      <c r="E287" s="24"/>
      <c r="F287" s="114"/>
      <c r="G287" s="114"/>
      <c r="K287" s="40"/>
    </row>
    <row r="288" spans="1:26" ht="15.75" customHeight="1" x14ac:dyDescent="0.25">
      <c r="A288" s="24"/>
      <c r="B288" s="25"/>
      <c r="C288" s="24"/>
      <c r="D288" s="24"/>
      <c r="E288" s="24"/>
      <c r="F288" s="114"/>
      <c r="G288" s="114"/>
      <c r="K288" s="40"/>
    </row>
    <row r="289" spans="1:11" ht="15.75" customHeight="1" x14ac:dyDescent="0.25">
      <c r="A289" s="24"/>
      <c r="B289" s="25"/>
      <c r="C289" s="24"/>
      <c r="D289" s="24"/>
      <c r="E289" s="24"/>
      <c r="F289" s="24"/>
      <c r="G289" s="24"/>
      <c r="K289" s="40"/>
    </row>
    <row r="290" spans="1:11" ht="15.75" customHeight="1" x14ac:dyDescent="0.25">
      <c r="A290" s="24"/>
      <c r="B290" s="25"/>
      <c r="C290" s="24"/>
      <c r="D290" s="24"/>
      <c r="E290" s="24"/>
      <c r="F290" s="114"/>
      <c r="G290" s="114"/>
      <c r="K290" s="40"/>
    </row>
    <row r="291" spans="1:11" ht="15.75" customHeight="1" x14ac:dyDescent="0.25">
      <c r="A291" s="24"/>
      <c r="B291" s="25"/>
      <c r="C291" s="24"/>
      <c r="D291" s="24"/>
      <c r="E291" s="24"/>
      <c r="F291" s="114"/>
      <c r="G291" s="114"/>
      <c r="K291" s="40"/>
    </row>
    <row r="292" spans="1:11" ht="15.75" customHeight="1" x14ac:dyDescent="0.25">
      <c r="A292" s="24"/>
      <c r="B292" s="25"/>
      <c r="C292" s="24"/>
      <c r="D292" s="24"/>
      <c r="E292" s="24"/>
      <c r="F292" s="114"/>
      <c r="G292" s="114"/>
      <c r="K292" s="40"/>
    </row>
    <row r="293" spans="1:11" ht="15.75" customHeight="1" x14ac:dyDescent="0.25">
      <c r="A293" s="24"/>
      <c r="B293" s="25"/>
      <c r="C293" s="24"/>
      <c r="D293" s="24"/>
      <c r="E293" s="24"/>
      <c r="F293" s="114"/>
      <c r="G293" s="114"/>
      <c r="K293" s="40"/>
    </row>
    <row r="294" spans="1:11" ht="15.75" customHeight="1" x14ac:dyDescent="0.25">
      <c r="A294" s="24"/>
      <c r="B294" s="25"/>
      <c r="C294" s="24"/>
      <c r="D294" s="24"/>
      <c r="E294" s="24"/>
      <c r="F294" s="114"/>
      <c r="G294" s="114"/>
      <c r="K294" s="40"/>
    </row>
    <row r="295" spans="1:11" ht="15.75" customHeight="1" x14ac:dyDescent="0.25">
      <c r="A295" s="24"/>
      <c r="B295" s="25"/>
      <c r="C295" s="24"/>
      <c r="D295" s="24"/>
      <c r="E295" s="24"/>
      <c r="F295" s="114"/>
      <c r="G295" s="114"/>
      <c r="K295" s="40"/>
    </row>
    <row r="296" spans="1:11" ht="15.75" customHeight="1" x14ac:dyDescent="0.25">
      <c r="A296" s="24"/>
      <c r="B296" s="25"/>
      <c r="C296" s="24"/>
      <c r="D296" s="24"/>
      <c r="E296" s="24"/>
      <c r="F296" s="114"/>
      <c r="G296" s="114"/>
      <c r="K296" s="40"/>
    </row>
    <row r="297" spans="1:11" ht="15.75" customHeight="1" x14ac:dyDescent="0.25">
      <c r="A297" s="24"/>
      <c r="B297" s="25"/>
      <c r="C297" s="24"/>
      <c r="D297" s="24"/>
      <c r="E297" s="24"/>
      <c r="F297" s="114"/>
      <c r="G297" s="114"/>
      <c r="K297" s="40"/>
    </row>
    <row r="298" spans="1:11" ht="15.75" customHeight="1" x14ac:dyDescent="0.25">
      <c r="A298" s="24"/>
      <c r="B298" s="25"/>
      <c r="C298" s="24"/>
      <c r="D298" s="24"/>
      <c r="E298" s="24"/>
      <c r="F298" s="114"/>
      <c r="G298" s="114"/>
      <c r="K298" s="40"/>
    </row>
    <row r="299" spans="1:11" ht="15.75" customHeight="1" x14ac:dyDescent="0.25">
      <c r="A299" s="24"/>
      <c r="B299" s="25"/>
      <c r="C299" s="24"/>
      <c r="D299" s="24"/>
      <c r="E299" s="24"/>
      <c r="F299" s="114"/>
      <c r="G299" s="114"/>
      <c r="K299" s="40"/>
    </row>
    <row r="300" spans="1:11" ht="15.75" customHeight="1" x14ac:dyDescent="0.25">
      <c r="A300" s="24"/>
      <c r="B300" s="25"/>
      <c r="C300" s="24"/>
      <c r="D300" s="24"/>
      <c r="E300" s="24"/>
      <c r="F300" s="114"/>
      <c r="G300" s="114"/>
      <c r="K300" s="40"/>
    </row>
    <row r="301" spans="1:11" ht="15.75" customHeight="1" x14ac:dyDescent="0.25">
      <c r="A301" s="24"/>
      <c r="B301" s="25"/>
      <c r="C301" s="24"/>
      <c r="D301" s="24"/>
      <c r="E301" s="24"/>
      <c r="F301" s="114"/>
      <c r="G301" s="114"/>
      <c r="K301" s="40"/>
    </row>
    <row r="302" spans="1:11" ht="15.75" customHeight="1" x14ac:dyDescent="0.25">
      <c r="A302" s="24"/>
      <c r="B302" s="25"/>
      <c r="C302" s="24"/>
      <c r="D302" s="24"/>
      <c r="E302" s="24"/>
      <c r="F302" s="114"/>
      <c r="G302" s="114"/>
      <c r="K302" s="40"/>
    </row>
    <row r="303" spans="1:11" ht="15.75" customHeight="1" x14ac:dyDescent="0.25">
      <c r="A303" s="24"/>
      <c r="B303" s="25"/>
      <c r="C303" s="24"/>
      <c r="D303" s="24"/>
      <c r="E303" s="24"/>
      <c r="F303" s="114"/>
      <c r="G303" s="114"/>
      <c r="K303" s="40"/>
    </row>
    <row r="304" spans="1:11" ht="15.75" customHeight="1" x14ac:dyDescent="0.25">
      <c r="A304" s="24"/>
      <c r="B304" s="25"/>
      <c r="C304" s="24"/>
      <c r="D304" s="24"/>
      <c r="E304" s="24"/>
      <c r="F304" s="114"/>
      <c r="G304" s="114"/>
      <c r="K304" s="40"/>
    </row>
    <row r="305" spans="1:11" ht="15.75" customHeight="1" x14ac:dyDescent="0.25">
      <c r="A305" s="24"/>
      <c r="B305" s="25"/>
      <c r="C305" s="24"/>
      <c r="D305" s="24"/>
      <c r="E305" s="24"/>
      <c r="F305" s="114"/>
      <c r="G305" s="114"/>
      <c r="K305" s="40"/>
    </row>
    <row r="306" spans="1:11" ht="15.75" customHeight="1" x14ac:dyDescent="0.25">
      <c r="A306" s="24"/>
      <c r="B306" s="25"/>
      <c r="C306" s="24"/>
      <c r="D306" s="24"/>
      <c r="E306" s="24"/>
      <c r="F306" s="114"/>
      <c r="G306" s="114"/>
      <c r="K306" s="40"/>
    </row>
    <row r="307" spans="1:11" ht="15.75" customHeight="1" x14ac:dyDescent="0.25">
      <c r="A307" s="24"/>
      <c r="B307" s="25"/>
      <c r="C307" s="24"/>
      <c r="D307" s="24"/>
      <c r="E307" s="24"/>
      <c r="F307" s="114"/>
      <c r="G307" s="114"/>
      <c r="K307" s="40"/>
    </row>
    <row r="308" spans="1:11" ht="15.75" customHeight="1" x14ac:dyDescent="0.25">
      <c r="A308" s="24"/>
      <c r="B308" s="25"/>
      <c r="C308" s="24"/>
      <c r="D308" s="24"/>
      <c r="E308" s="24"/>
      <c r="F308" s="114"/>
      <c r="G308" s="114"/>
      <c r="K308" s="40"/>
    </row>
    <row r="309" spans="1:11" ht="15.75" customHeight="1" x14ac:dyDescent="0.25">
      <c r="A309" s="24"/>
      <c r="B309" s="25"/>
      <c r="C309" s="24"/>
      <c r="D309" s="24"/>
      <c r="E309" s="24"/>
      <c r="F309" s="114"/>
      <c r="G309" s="114"/>
      <c r="K309" s="40"/>
    </row>
    <row r="310" spans="1:11" ht="15.75" customHeight="1" x14ac:dyDescent="0.25">
      <c r="A310" s="24"/>
      <c r="B310" s="25"/>
      <c r="C310" s="24"/>
      <c r="D310" s="24"/>
      <c r="E310" s="24"/>
      <c r="F310" s="114"/>
      <c r="G310" s="114"/>
      <c r="K310" s="40"/>
    </row>
    <row r="311" spans="1:11" ht="15.75" customHeight="1" x14ac:dyDescent="0.25">
      <c r="A311" s="24"/>
      <c r="B311" s="25"/>
      <c r="C311" s="24"/>
      <c r="D311" s="24"/>
      <c r="E311" s="24"/>
      <c r="F311" s="114"/>
      <c r="G311" s="114"/>
      <c r="K311" s="40"/>
    </row>
    <row r="312" spans="1:11" ht="15.75" customHeight="1" x14ac:dyDescent="0.25">
      <c r="A312" s="24"/>
      <c r="B312" s="25"/>
      <c r="C312" s="24"/>
      <c r="D312" s="24"/>
      <c r="E312" s="24"/>
      <c r="F312" s="114"/>
      <c r="G312" s="114"/>
      <c r="K312" s="40"/>
    </row>
    <row r="313" spans="1:11" ht="15.75" customHeight="1" x14ac:dyDescent="0.25">
      <c r="A313" s="24"/>
      <c r="B313" s="25"/>
      <c r="C313" s="24"/>
      <c r="D313" s="24"/>
      <c r="E313" s="24"/>
      <c r="F313" s="114"/>
      <c r="G313" s="114"/>
      <c r="K313" s="40"/>
    </row>
    <row r="314" spans="1:11" ht="15.75" customHeight="1" x14ac:dyDescent="0.25">
      <c r="A314" s="24"/>
      <c r="B314" s="25"/>
      <c r="C314" s="24"/>
      <c r="D314" s="24"/>
      <c r="E314" s="24"/>
      <c r="F314" s="114"/>
      <c r="G314" s="114"/>
      <c r="K314" s="40"/>
    </row>
    <row r="315" spans="1:11" ht="15.75" customHeight="1" x14ac:dyDescent="0.25">
      <c r="A315" s="24"/>
      <c r="B315" s="25"/>
      <c r="C315" s="24"/>
      <c r="D315" s="24"/>
      <c r="E315" s="24"/>
      <c r="F315" s="114"/>
      <c r="G315" s="114"/>
      <c r="K315" s="40"/>
    </row>
    <row r="316" spans="1:11" ht="15.75" customHeight="1" x14ac:dyDescent="0.25">
      <c r="A316" s="24"/>
      <c r="B316" s="25"/>
      <c r="C316" s="24"/>
      <c r="D316" s="24"/>
      <c r="E316" s="24"/>
      <c r="F316" s="114"/>
      <c r="G316" s="114"/>
      <c r="K316" s="40"/>
    </row>
    <row r="317" spans="1:11" ht="15.75" customHeight="1" x14ac:dyDescent="0.25">
      <c r="A317" s="24"/>
      <c r="B317" s="25"/>
      <c r="C317" s="24"/>
      <c r="D317" s="24"/>
      <c r="E317" s="24"/>
      <c r="F317" s="114"/>
      <c r="G317" s="114"/>
      <c r="K317" s="40"/>
    </row>
    <row r="318" spans="1:11" ht="15.75" customHeight="1" x14ac:dyDescent="0.25">
      <c r="A318" s="24"/>
      <c r="B318" s="25"/>
      <c r="C318" s="24"/>
      <c r="D318" s="24"/>
      <c r="E318" s="24"/>
      <c r="F318" s="114"/>
      <c r="G318" s="114"/>
      <c r="K318" s="40"/>
    </row>
    <row r="319" spans="1:11" ht="15.75" customHeight="1" x14ac:dyDescent="0.25">
      <c r="A319" s="24"/>
      <c r="B319" s="25"/>
      <c r="C319" s="24"/>
      <c r="D319" s="24"/>
      <c r="E319" s="24"/>
      <c r="F319" s="114"/>
      <c r="G319" s="114"/>
      <c r="K319" s="40"/>
    </row>
    <row r="320" spans="1:11" ht="15.75" customHeight="1" x14ac:dyDescent="0.25">
      <c r="A320" s="24"/>
      <c r="B320" s="25"/>
      <c r="C320" s="24"/>
      <c r="D320" s="24"/>
      <c r="E320" s="24"/>
      <c r="F320" s="114"/>
      <c r="G320" s="114"/>
      <c r="K320" s="40"/>
    </row>
    <row r="321" spans="1:11" ht="15.75" customHeight="1" x14ac:dyDescent="0.25">
      <c r="A321" s="24"/>
      <c r="B321" s="25"/>
      <c r="C321" s="24"/>
      <c r="D321" s="24"/>
      <c r="E321" s="24"/>
      <c r="F321" s="114"/>
      <c r="G321" s="114"/>
      <c r="K321" s="40"/>
    </row>
    <row r="322" spans="1:11" ht="15.75" customHeight="1" x14ac:dyDescent="0.25">
      <c r="A322" s="24"/>
      <c r="B322" s="25"/>
      <c r="C322" s="24"/>
      <c r="D322" s="24"/>
      <c r="E322" s="24"/>
      <c r="F322" s="114"/>
      <c r="G322" s="114"/>
      <c r="K322" s="40"/>
    </row>
    <row r="323" spans="1:11" ht="15.75" customHeight="1" x14ac:dyDescent="0.25">
      <c r="A323" s="24"/>
      <c r="B323" s="25"/>
      <c r="C323" s="24"/>
      <c r="D323" s="24"/>
      <c r="E323" s="24"/>
      <c r="F323" s="114"/>
      <c r="G323" s="114"/>
      <c r="K323" s="40"/>
    </row>
    <row r="324" spans="1:11" ht="15.75" customHeight="1" x14ac:dyDescent="0.25">
      <c r="A324" s="24"/>
      <c r="B324" s="25"/>
      <c r="C324" s="24"/>
      <c r="D324" s="24"/>
      <c r="E324" s="24"/>
      <c r="F324" s="114"/>
      <c r="G324" s="114"/>
      <c r="K324" s="40"/>
    </row>
    <row r="325" spans="1:11" ht="15.75" customHeight="1" x14ac:dyDescent="0.25">
      <c r="A325" s="24"/>
      <c r="B325" s="25"/>
      <c r="C325" s="24"/>
      <c r="D325" s="24"/>
      <c r="E325" s="24"/>
      <c r="F325" s="114"/>
      <c r="G325" s="114"/>
      <c r="K325" s="40"/>
    </row>
    <row r="326" spans="1:11" ht="15.75" customHeight="1" x14ac:dyDescent="0.25">
      <c r="A326" s="24"/>
      <c r="B326" s="25"/>
      <c r="C326" s="24"/>
      <c r="D326" s="24"/>
      <c r="E326" s="24"/>
      <c r="F326" s="114"/>
      <c r="G326" s="114"/>
      <c r="K326" s="40"/>
    </row>
    <row r="327" spans="1:11" ht="15.75" customHeight="1" x14ac:dyDescent="0.25">
      <c r="A327" s="24"/>
      <c r="B327" s="25"/>
      <c r="C327" s="24"/>
      <c r="D327" s="24"/>
      <c r="E327" s="24"/>
      <c r="F327" s="114"/>
      <c r="G327" s="114"/>
      <c r="K327" s="40"/>
    </row>
    <row r="328" spans="1:11" ht="15.75" customHeight="1" x14ac:dyDescent="0.25">
      <c r="A328" s="24"/>
      <c r="B328" s="25"/>
      <c r="C328" s="24"/>
      <c r="D328" s="24"/>
      <c r="E328" s="24"/>
      <c r="F328" s="114"/>
      <c r="G328" s="114"/>
      <c r="K328" s="40"/>
    </row>
    <row r="329" spans="1:11" ht="15.75" customHeight="1" x14ac:dyDescent="0.25">
      <c r="A329" s="24"/>
      <c r="B329" s="25"/>
      <c r="C329" s="24"/>
      <c r="D329" s="24"/>
      <c r="E329" s="24"/>
      <c r="F329" s="114"/>
      <c r="G329" s="114"/>
      <c r="K329" s="40"/>
    </row>
    <row r="330" spans="1:11" ht="15.75" customHeight="1" x14ac:dyDescent="0.25">
      <c r="A330" s="24"/>
      <c r="B330" s="25"/>
      <c r="C330" s="24"/>
      <c r="D330" s="24"/>
      <c r="E330" s="24"/>
      <c r="F330" s="114"/>
      <c r="G330" s="114"/>
      <c r="K330" s="40"/>
    </row>
    <row r="331" spans="1:11" ht="15.75" customHeight="1" x14ac:dyDescent="0.25">
      <c r="A331" s="24"/>
      <c r="B331" s="25"/>
      <c r="C331" s="24"/>
      <c r="D331" s="24"/>
      <c r="E331" s="24"/>
      <c r="F331" s="114"/>
      <c r="G331" s="114"/>
      <c r="K331" s="40"/>
    </row>
    <row r="332" spans="1:11" ht="15.75" customHeight="1" x14ac:dyDescent="0.25">
      <c r="A332" s="24"/>
      <c r="B332" s="25"/>
      <c r="C332" s="24"/>
      <c r="D332" s="24"/>
      <c r="E332" s="24"/>
      <c r="F332" s="114"/>
      <c r="G332" s="114"/>
      <c r="K332" s="40"/>
    </row>
    <row r="333" spans="1:11" ht="15.75" customHeight="1" x14ac:dyDescent="0.25">
      <c r="A333" s="24"/>
      <c r="B333" s="25"/>
      <c r="C333" s="24"/>
      <c r="D333" s="24"/>
      <c r="E333" s="24"/>
      <c r="F333" s="114"/>
      <c r="G333" s="114"/>
      <c r="K333" s="40"/>
    </row>
    <row r="334" spans="1:11" ht="15.75" customHeight="1" x14ac:dyDescent="0.25">
      <c r="A334" s="24"/>
      <c r="B334" s="25"/>
      <c r="C334" s="24"/>
      <c r="D334" s="24"/>
      <c r="E334" s="24"/>
      <c r="F334" s="114"/>
      <c r="G334" s="114"/>
      <c r="K334" s="40"/>
    </row>
    <row r="335" spans="1:11" ht="15.75" customHeight="1" x14ac:dyDescent="0.25">
      <c r="A335" s="24"/>
      <c r="B335" s="25"/>
      <c r="C335" s="24"/>
      <c r="D335" s="24"/>
      <c r="E335" s="24"/>
      <c r="F335" s="114"/>
      <c r="G335" s="114"/>
      <c r="K335" s="40"/>
    </row>
    <row r="336" spans="1:11" ht="15.75" customHeight="1" x14ac:dyDescent="0.25">
      <c r="A336" s="24"/>
      <c r="B336" s="25"/>
      <c r="C336" s="24"/>
      <c r="D336" s="24"/>
      <c r="E336" s="24"/>
      <c r="F336" s="114"/>
      <c r="G336" s="114"/>
      <c r="K336" s="40"/>
    </row>
    <row r="337" spans="1:11" ht="15.75" customHeight="1" x14ac:dyDescent="0.25">
      <c r="A337" s="24"/>
      <c r="B337" s="25"/>
      <c r="C337" s="24"/>
      <c r="D337" s="24"/>
      <c r="E337" s="24"/>
      <c r="F337" s="114"/>
      <c r="G337" s="114"/>
      <c r="K337" s="40"/>
    </row>
    <row r="338" spans="1:11" ht="15.75" customHeight="1" x14ac:dyDescent="0.25">
      <c r="A338" s="24"/>
      <c r="B338" s="25"/>
      <c r="C338" s="24"/>
      <c r="D338" s="24"/>
      <c r="E338" s="24"/>
      <c r="F338" s="114"/>
      <c r="G338" s="114"/>
      <c r="K338" s="40"/>
    </row>
    <row r="339" spans="1:11" ht="15.75" customHeight="1" x14ac:dyDescent="0.25">
      <c r="A339" s="24"/>
      <c r="B339" s="25"/>
      <c r="C339" s="24"/>
      <c r="D339" s="24"/>
      <c r="E339" s="24"/>
      <c r="F339" s="114"/>
      <c r="G339" s="114"/>
      <c r="K339" s="40"/>
    </row>
    <row r="340" spans="1:11" ht="15.75" customHeight="1" x14ac:dyDescent="0.25">
      <c r="A340" s="24"/>
      <c r="B340" s="25"/>
      <c r="C340" s="24"/>
      <c r="D340" s="24"/>
      <c r="E340" s="24"/>
      <c r="F340" s="114"/>
      <c r="G340" s="114"/>
      <c r="K340" s="40"/>
    </row>
    <row r="341" spans="1:11" ht="15.75" customHeight="1" x14ac:dyDescent="0.25">
      <c r="A341" s="24"/>
      <c r="B341" s="25"/>
      <c r="C341" s="24"/>
      <c r="D341" s="24"/>
      <c r="E341" s="24"/>
      <c r="F341" s="114"/>
      <c r="G341" s="114"/>
      <c r="K341" s="40"/>
    </row>
    <row r="342" spans="1:11" ht="15.75" customHeight="1" x14ac:dyDescent="0.25">
      <c r="A342" s="24"/>
      <c r="B342" s="25"/>
      <c r="C342" s="24"/>
      <c r="D342" s="24"/>
      <c r="E342" s="24"/>
      <c r="F342" s="114"/>
      <c r="G342" s="114"/>
      <c r="K342" s="40"/>
    </row>
    <row r="343" spans="1:11" ht="15.75" customHeight="1" x14ac:dyDescent="0.25">
      <c r="A343" s="24"/>
      <c r="B343" s="25"/>
      <c r="C343" s="24"/>
      <c r="D343" s="24"/>
      <c r="E343" s="24"/>
      <c r="F343" s="114"/>
      <c r="G343" s="114"/>
      <c r="K343" s="40"/>
    </row>
    <row r="344" spans="1:11" ht="15.75" customHeight="1" x14ac:dyDescent="0.25">
      <c r="A344" s="24"/>
      <c r="B344" s="25"/>
      <c r="C344" s="24"/>
      <c r="D344" s="24"/>
      <c r="E344" s="24"/>
      <c r="F344" s="114"/>
      <c r="G344" s="114"/>
      <c r="K344" s="40"/>
    </row>
    <row r="345" spans="1:11" ht="15.75" customHeight="1" x14ac:dyDescent="0.25">
      <c r="A345" s="24"/>
      <c r="B345" s="25"/>
      <c r="C345" s="24"/>
      <c r="D345" s="24"/>
      <c r="E345" s="24"/>
      <c r="F345" s="114"/>
      <c r="G345" s="114"/>
      <c r="K345" s="40"/>
    </row>
    <row r="346" spans="1:11" ht="15.75" customHeight="1" x14ac:dyDescent="0.25">
      <c r="A346" s="24"/>
      <c r="B346" s="25"/>
      <c r="C346" s="24"/>
      <c r="D346" s="24"/>
      <c r="E346" s="24"/>
      <c r="F346" s="114"/>
      <c r="G346" s="114"/>
      <c r="K346" s="40"/>
    </row>
    <row r="347" spans="1:11" ht="15.75" customHeight="1" x14ac:dyDescent="0.25">
      <c r="A347" s="24"/>
      <c r="B347" s="25"/>
      <c r="C347" s="24"/>
      <c r="D347" s="24"/>
      <c r="E347" s="24"/>
      <c r="F347" s="114"/>
      <c r="G347" s="114"/>
      <c r="K347" s="40"/>
    </row>
    <row r="348" spans="1:11" ht="15.75" customHeight="1" x14ac:dyDescent="0.25">
      <c r="A348" s="24"/>
      <c r="B348" s="25"/>
      <c r="C348" s="24"/>
      <c r="D348" s="24"/>
      <c r="E348" s="24"/>
      <c r="F348" s="114"/>
      <c r="G348" s="114"/>
      <c r="K348" s="40"/>
    </row>
    <row r="349" spans="1:11" ht="15.75" customHeight="1" x14ac:dyDescent="0.25">
      <c r="A349" s="24"/>
      <c r="B349" s="25"/>
      <c r="C349" s="24"/>
      <c r="D349" s="24"/>
      <c r="E349" s="24"/>
      <c r="F349" s="114"/>
      <c r="G349" s="114"/>
      <c r="K349" s="40"/>
    </row>
    <row r="350" spans="1:11" ht="15.75" customHeight="1" x14ac:dyDescent="0.25">
      <c r="A350" s="24"/>
      <c r="B350" s="25"/>
      <c r="C350" s="24"/>
      <c r="D350" s="24"/>
      <c r="E350" s="24"/>
      <c r="F350" s="114"/>
      <c r="G350" s="114"/>
      <c r="K350" s="40"/>
    </row>
    <row r="351" spans="1:11" ht="15.75" customHeight="1" x14ac:dyDescent="0.25">
      <c r="A351" s="24"/>
      <c r="B351" s="25"/>
      <c r="C351" s="24"/>
      <c r="D351" s="24"/>
      <c r="E351" s="24"/>
      <c r="F351" s="114"/>
      <c r="G351" s="114"/>
      <c r="K351" s="40"/>
    </row>
    <row r="352" spans="1:11" ht="15.75" customHeight="1" x14ac:dyDescent="0.25">
      <c r="A352" s="24"/>
      <c r="B352" s="25"/>
      <c r="C352" s="24"/>
      <c r="D352" s="24"/>
      <c r="E352" s="24"/>
      <c r="F352" s="114"/>
      <c r="G352" s="114"/>
      <c r="K352" s="40"/>
    </row>
    <row r="353" spans="1:11" ht="15.75" customHeight="1" x14ac:dyDescent="0.25">
      <c r="A353" s="24"/>
      <c r="B353" s="25"/>
      <c r="C353" s="24"/>
      <c r="D353" s="24"/>
      <c r="E353" s="24"/>
      <c r="F353" s="114"/>
      <c r="G353" s="114"/>
      <c r="K353" s="40"/>
    </row>
    <row r="354" spans="1:11" ht="15.75" customHeight="1" x14ac:dyDescent="0.25">
      <c r="A354" s="24"/>
      <c r="B354" s="25"/>
      <c r="C354" s="24"/>
      <c r="D354" s="24"/>
      <c r="E354" s="24"/>
      <c r="F354" s="114"/>
      <c r="G354" s="114"/>
      <c r="K354" s="40"/>
    </row>
    <row r="355" spans="1:11" ht="15.75" customHeight="1" x14ac:dyDescent="0.25">
      <c r="A355" s="24"/>
      <c r="B355" s="25"/>
      <c r="C355" s="24"/>
      <c r="D355" s="24"/>
      <c r="E355" s="24"/>
      <c r="F355" s="114"/>
      <c r="G355" s="114"/>
      <c r="K355" s="40"/>
    </row>
    <row r="356" spans="1:11" ht="15.75" customHeight="1" x14ac:dyDescent="0.25">
      <c r="A356" s="24"/>
      <c r="B356" s="25"/>
      <c r="C356" s="24"/>
      <c r="D356" s="24"/>
      <c r="E356" s="24"/>
      <c r="F356" s="114"/>
      <c r="G356" s="114"/>
      <c r="K356" s="40"/>
    </row>
    <row r="357" spans="1:11" ht="15.75" customHeight="1" x14ac:dyDescent="0.25">
      <c r="A357" s="24"/>
      <c r="B357" s="25"/>
      <c r="C357" s="24"/>
      <c r="D357" s="24"/>
      <c r="E357" s="24"/>
      <c r="F357" s="114"/>
      <c r="G357" s="114"/>
      <c r="K357" s="40"/>
    </row>
    <row r="358" spans="1:11" ht="15.75" customHeight="1" x14ac:dyDescent="0.25">
      <c r="A358" s="24"/>
      <c r="B358" s="25"/>
      <c r="C358" s="24"/>
      <c r="D358" s="24"/>
      <c r="E358" s="24"/>
      <c r="F358" s="114"/>
      <c r="G358" s="114"/>
      <c r="K358" s="40"/>
    </row>
    <row r="359" spans="1:11" ht="15.75" customHeight="1" x14ac:dyDescent="0.25">
      <c r="A359" s="24"/>
      <c r="B359" s="25"/>
      <c r="C359" s="24"/>
      <c r="D359" s="24"/>
      <c r="E359" s="24"/>
      <c r="F359" s="114"/>
      <c r="G359" s="114"/>
      <c r="K359" s="40"/>
    </row>
    <row r="360" spans="1:11" ht="15.75" customHeight="1" x14ac:dyDescent="0.25">
      <c r="A360" s="24"/>
      <c r="B360" s="25"/>
      <c r="C360" s="24"/>
      <c r="D360" s="24"/>
      <c r="E360" s="24"/>
      <c r="F360" s="114"/>
      <c r="G360" s="114"/>
      <c r="K360" s="40"/>
    </row>
    <row r="361" spans="1:11" ht="15.75" customHeight="1" x14ac:dyDescent="0.25">
      <c r="A361" s="24"/>
      <c r="B361" s="25"/>
      <c r="C361" s="24"/>
      <c r="D361" s="24"/>
      <c r="E361" s="24"/>
      <c r="F361" s="114"/>
      <c r="G361" s="114"/>
      <c r="K361" s="40"/>
    </row>
    <row r="362" spans="1:11" ht="15.75" customHeight="1" x14ac:dyDescent="0.25">
      <c r="A362" s="24"/>
      <c r="B362" s="25"/>
      <c r="C362" s="24"/>
      <c r="D362" s="24"/>
      <c r="E362" s="24"/>
      <c r="F362" s="114"/>
      <c r="G362" s="114"/>
      <c r="K362" s="40"/>
    </row>
    <row r="363" spans="1:11" ht="15.75" customHeight="1" x14ac:dyDescent="0.25">
      <c r="A363" s="24"/>
      <c r="B363" s="25"/>
      <c r="C363" s="24"/>
      <c r="D363" s="24"/>
      <c r="E363" s="24"/>
      <c r="F363" s="114"/>
      <c r="G363" s="114"/>
      <c r="K363" s="40"/>
    </row>
    <row r="364" spans="1:11" ht="15.75" customHeight="1" x14ac:dyDescent="0.25">
      <c r="A364" s="24"/>
      <c r="B364" s="25"/>
      <c r="C364" s="24"/>
      <c r="D364" s="24"/>
      <c r="E364" s="24"/>
      <c r="F364" s="114"/>
      <c r="G364" s="114"/>
      <c r="K364" s="40"/>
    </row>
    <row r="365" spans="1:11" ht="15.75" customHeight="1" x14ac:dyDescent="0.25">
      <c r="A365" s="24"/>
      <c r="B365" s="25"/>
      <c r="C365" s="24"/>
      <c r="D365" s="24"/>
      <c r="E365" s="24"/>
      <c r="F365" s="114"/>
      <c r="G365" s="114"/>
      <c r="K365" s="40"/>
    </row>
    <row r="366" spans="1:11" ht="15.75" customHeight="1" x14ac:dyDescent="0.25">
      <c r="A366" s="24"/>
      <c r="B366" s="25"/>
      <c r="C366" s="24"/>
      <c r="D366" s="24"/>
      <c r="E366" s="24"/>
      <c r="F366" s="114"/>
      <c r="G366" s="114"/>
      <c r="K366" s="40"/>
    </row>
    <row r="367" spans="1:11" ht="15.75" customHeight="1" x14ac:dyDescent="0.25">
      <c r="A367" s="24"/>
      <c r="B367" s="25"/>
      <c r="C367" s="24"/>
      <c r="D367" s="24"/>
      <c r="E367" s="24"/>
      <c r="F367" s="114"/>
      <c r="G367" s="114"/>
      <c r="K367" s="40"/>
    </row>
    <row r="368" spans="1:11" ht="15.75" customHeight="1" x14ac:dyDescent="0.25">
      <c r="A368" s="24"/>
      <c r="B368" s="25"/>
      <c r="C368" s="24"/>
      <c r="D368" s="24"/>
      <c r="E368" s="24"/>
      <c r="F368" s="114"/>
      <c r="G368" s="114"/>
      <c r="K368" s="40"/>
    </row>
    <row r="369" spans="1:11" ht="15.75" customHeight="1" x14ac:dyDescent="0.25">
      <c r="A369" s="24"/>
      <c r="B369" s="25"/>
      <c r="C369" s="24"/>
      <c r="D369" s="24"/>
      <c r="E369" s="24"/>
      <c r="F369" s="114"/>
      <c r="G369" s="114"/>
      <c r="K369" s="40"/>
    </row>
    <row r="370" spans="1:11" ht="15.75" customHeight="1" x14ac:dyDescent="0.25">
      <c r="A370" s="24"/>
      <c r="B370" s="25"/>
      <c r="C370" s="24"/>
      <c r="D370" s="24"/>
      <c r="E370" s="24"/>
      <c r="F370" s="114"/>
      <c r="G370" s="114"/>
      <c r="K370" s="40"/>
    </row>
    <row r="371" spans="1:11" ht="15.75" customHeight="1" x14ac:dyDescent="0.25">
      <c r="A371" s="24"/>
      <c r="B371" s="25"/>
      <c r="C371" s="24"/>
      <c r="D371" s="24"/>
      <c r="E371" s="24"/>
      <c r="F371" s="114"/>
      <c r="G371" s="114"/>
      <c r="K371" s="40"/>
    </row>
    <row r="372" spans="1:11" ht="15.75" customHeight="1" x14ac:dyDescent="0.25">
      <c r="A372" s="24"/>
      <c r="B372" s="25"/>
      <c r="C372" s="24"/>
      <c r="D372" s="24"/>
      <c r="E372" s="24"/>
      <c r="F372" s="114"/>
      <c r="G372" s="114"/>
      <c r="K372" s="40"/>
    </row>
    <row r="373" spans="1:11" ht="15.75" customHeight="1" x14ac:dyDescent="0.25">
      <c r="A373" s="24"/>
      <c r="B373" s="25"/>
      <c r="C373" s="24"/>
      <c r="D373" s="24"/>
      <c r="E373" s="24"/>
      <c r="F373" s="114"/>
      <c r="G373" s="114"/>
      <c r="K373" s="40"/>
    </row>
    <row r="374" spans="1:11" ht="15.75" customHeight="1" x14ac:dyDescent="0.25">
      <c r="A374" s="24"/>
      <c r="B374" s="25"/>
      <c r="C374" s="24"/>
      <c r="D374" s="24"/>
      <c r="E374" s="24"/>
      <c r="F374" s="114"/>
      <c r="G374" s="114"/>
      <c r="K374" s="40"/>
    </row>
    <row r="375" spans="1:11" ht="15.75" customHeight="1" x14ac:dyDescent="0.25">
      <c r="A375" s="24"/>
      <c r="B375" s="25"/>
      <c r="C375" s="24"/>
      <c r="D375" s="24"/>
      <c r="E375" s="24"/>
      <c r="F375" s="114"/>
      <c r="G375" s="114"/>
      <c r="K375" s="40"/>
    </row>
    <row r="376" spans="1:11" ht="15.75" customHeight="1" x14ac:dyDescent="0.25">
      <c r="A376" s="24"/>
      <c r="B376" s="25"/>
      <c r="C376" s="24"/>
      <c r="D376" s="24"/>
      <c r="E376" s="24"/>
      <c r="F376" s="114"/>
      <c r="G376" s="114"/>
      <c r="K376" s="40"/>
    </row>
    <row r="377" spans="1:11" ht="15.75" customHeight="1" x14ac:dyDescent="0.25">
      <c r="A377" s="24"/>
      <c r="B377" s="25"/>
      <c r="C377" s="24"/>
      <c r="D377" s="24"/>
      <c r="E377" s="24"/>
      <c r="F377" s="114"/>
      <c r="G377" s="114"/>
      <c r="K377" s="40"/>
    </row>
    <row r="378" spans="1:11" ht="15.75" customHeight="1" x14ac:dyDescent="0.25">
      <c r="A378" s="24"/>
      <c r="B378" s="25"/>
      <c r="C378" s="24"/>
      <c r="D378" s="24"/>
      <c r="E378" s="24"/>
      <c r="F378" s="114"/>
      <c r="G378" s="114"/>
      <c r="K378" s="40"/>
    </row>
    <row r="379" spans="1:11" ht="15.75" customHeight="1" x14ac:dyDescent="0.25">
      <c r="A379" s="24"/>
      <c r="B379" s="25"/>
      <c r="C379" s="24"/>
      <c r="D379" s="24"/>
      <c r="E379" s="24"/>
      <c r="F379" s="114"/>
      <c r="G379" s="114"/>
      <c r="K379" s="40"/>
    </row>
    <row r="380" spans="1:11" ht="15.75" customHeight="1" x14ac:dyDescent="0.25">
      <c r="A380" s="24"/>
      <c r="B380" s="25"/>
      <c r="C380" s="24"/>
      <c r="D380" s="24"/>
      <c r="E380" s="24"/>
      <c r="F380" s="114"/>
      <c r="G380" s="114"/>
      <c r="K380" s="40"/>
    </row>
    <row r="381" spans="1:11" ht="15.75" customHeight="1" x14ac:dyDescent="0.25">
      <c r="A381" s="24"/>
      <c r="B381" s="25"/>
      <c r="C381" s="24"/>
      <c r="D381" s="24"/>
      <c r="E381" s="24"/>
      <c r="F381" s="114"/>
      <c r="G381" s="114"/>
      <c r="K381" s="40"/>
    </row>
    <row r="382" spans="1:11" ht="15.75" customHeight="1" x14ac:dyDescent="0.25">
      <c r="A382" s="24"/>
      <c r="B382" s="25"/>
      <c r="C382" s="24"/>
      <c r="D382" s="24"/>
      <c r="E382" s="24"/>
      <c r="F382" s="114"/>
      <c r="G382" s="114"/>
      <c r="K382" s="40"/>
    </row>
    <row r="383" spans="1:11" ht="15.75" customHeight="1" x14ac:dyDescent="0.25">
      <c r="A383" s="24"/>
      <c r="B383" s="25"/>
      <c r="C383" s="24"/>
      <c r="D383" s="24"/>
      <c r="E383" s="24"/>
      <c r="F383" s="114"/>
      <c r="G383" s="114"/>
      <c r="K383" s="40"/>
    </row>
    <row r="384" spans="1:11" ht="15.75" customHeight="1" x14ac:dyDescent="0.25">
      <c r="A384" s="24"/>
      <c r="B384" s="25"/>
      <c r="C384" s="24"/>
      <c r="D384" s="24"/>
      <c r="E384" s="24"/>
      <c r="F384" s="114"/>
      <c r="G384" s="114"/>
      <c r="K384" s="40"/>
    </row>
    <row r="385" spans="1:11" ht="15.75" customHeight="1" x14ac:dyDescent="0.25">
      <c r="A385" s="24"/>
      <c r="B385" s="25"/>
      <c r="C385" s="24"/>
      <c r="D385" s="24"/>
      <c r="E385" s="24"/>
      <c r="F385" s="114"/>
      <c r="G385" s="114"/>
      <c r="K385" s="40"/>
    </row>
    <row r="386" spans="1:11" ht="15.75" customHeight="1" x14ac:dyDescent="0.25">
      <c r="A386" s="24"/>
      <c r="B386" s="25"/>
      <c r="C386" s="24"/>
      <c r="D386" s="24"/>
      <c r="E386" s="24"/>
      <c r="F386" s="114"/>
      <c r="G386" s="114"/>
      <c r="K386" s="40"/>
    </row>
    <row r="387" spans="1:11" ht="15.75" customHeight="1" x14ac:dyDescent="0.25">
      <c r="A387" s="24"/>
      <c r="B387" s="25"/>
      <c r="C387" s="24"/>
      <c r="D387" s="24"/>
      <c r="E387" s="24"/>
      <c r="F387" s="114"/>
      <c r="G387" s="114"/>
      <c r="K387" s="40"/>
    </row>
    <row r="388" spans="1:11" ht="15.75" customHeight="1" x14ac:dyDescent="0.25">
      <c r="A388" s="24"/>
      <c r="B388" s="25"/>
      <c r="C388" s="24"/>
      <c r="D388" s="24"/>
      <c r="E388" s="24"/>
      <c r="F388" s="114"/>
      <c r="G388" s="114"/>
      <c r="K388" s="40"/>
    </row>
    <row r="389" spans="1:11" ht="15.75" customHeight="1" x14ac:dyDescent="0.25">
      <c r="A389" s="24"/>
      <c r="B389" s="25"/>
      <c r="C389" s="24"/>
      <c r="D389" s="24"/>
      <c r="E389" s="24"/>
      <c r="F389" s="114"/>
      <c r="G389" s="114"/>
      <c r="K389" s="40"/>
    </row>
    <row r="390" spans="1:11" ht="15.75" customHeight="1" x14ac:dyDescent="0.25">
      <c r="A390" s="24"/>
      <c r="B390" s="25"/>
      <c r="C390" s="24"/>
      <c r="D390" s="24"/>
      <c r="E390" s="24"/>
      <c r="F390" s="114"/>
      <c r="G390" s="114"/>
      <c r="K390" s="40"/>
    </row>
    <row r="391" spans="1:11" ht="15.75" customHeight="1" x14ac:dyDescent="0.25">
      <c r="A391" s="24"/>
      <c r="B391" s="25"/>
      <c r="C391" s="24"/>
      <c r="D391" s="24"/>
      <c r="E391" s="24"/>
      <c r="F391" s="114"/>
      <c r="G391" s="114"/>
      <c r="K391" s="40"/>
    </row>
    <row r="392" spans="1:11" ht="15.75" customHeight="1" x14ac:dyDescent="0.25">
      <c r="A392" s="24"/>
      <c r="B392" s="25"/>
      <c r="C392" s="24"/>
      <c r="D392" s="24"/>
      <c r="E392" s="24"/>
      <c r="F392" s="114"/>
      <c r="G392" s="114"/>
      <c r="K392" s="40"/>
    </row>
    <row r="393" spans="1:11" ht="15.75" customHeight="1" x14ac:dyDescent="0.25">
      <c r="A393" s="24"/>
      <c r="B393" s="25"/>
      <c r="C393" s="24"/>
      <c r="D393" s="24"/>
      <c r="E393" s="24"/>
      <c r="F393" s="114"/>
      <c r="G393" s="114"/>
      <c r="K393" s="40"/>
    </row>
    <row r="394" spans="1:11" ht="15.75" customHeight="1" x14ac:dyDescent="0.25">
      <c r="A394" s="24"/>
      <c r="B394" s="25"/>
      <c r="C394" s="24"/>
      <c r="D394" s="24"/>
      <c r="E394" s="24"/>
      <c r="F394" s="114"/>
      <c r="G394" s="114"/>
      <c r="K394" s="40"/>
    </row>
    <row r="395" spans="1:11" ht="15.75" customHeight="1" x14ac:dyDescent="0.25">
      <c r="A395" s="24"/>
      <c r="B395" s="25"/>
      <c r="C395" s="24"/>
      <c r="D395" s="24"/>
      <c r="E395" s="24"/>
      <c r="F395" s="114"/>
      <c r="G395" s="114"/>
      <c r="K395" s="40"/>
    </row>
    <row r="396" spans="1:11" ht="15.75" customHeight="1" x14ac:dyDescent="0.25">
      <c r="A396" s="24"/>
      <c r="B396" s="25"/>
      <c r="C396" s="24"/>
      <c r="D396" s="24"/>
      <c r="E396" s="24"/>
      <c r="F396" s="114"/>
      <c r="G396" s="114"/>
      <c r="K396" s="40"/>
    </row>
    <row r="397" spans="1:11" ht="15.75" customHeight="1" x14ac:dyDescent="0.25">
      <c r="A397" s="24"/>
      <c r="B397" s="25"/>
      <c r="C397" s="24"/>
      <c r="D397" s="24"/>
      <c r="E397" s="24"/>
      <c r="F397" s="114"/>
      <c r="G397" s="114"/>
      <c r="K397" s="40"/>
    </row>
    <row r="398" spans="1:11" ht="15.75" customHeight="1" x14ac:dyDescent="0.25">
      <c r="A398" s="24"/>
      <c r="B398" s="25"/>
      <c r="C398" s="24"/>
      <c r="D398" s="24"/>
      <c r="E398" s="24"/>
      <c r="F398" s="114"/>
      <c r="G398" s="114"/>
      <c r="K398" s="40"/>
    </row>
    <row r="399" spans="1:11" ht="15.75" customHeight="1" x14ac:dyDescent="0.25">
      <c r="A399" s="24"/>
      <c r="B399" s="25"/>
      <c r="C399" s="24"/>
      <c r="D399" s="24"/>
      <c r="E399" s="24"/>
      <c r="F399" s="114"/>
      <c r="G399" s="114"/>
      <c r="K399" s="40"/>
    </row>
    <row r="400" spans="1:11" ht="15.75" customHeight="1" x14ac:dyDescent="0.25">
      <c r="A400" s="24"/>
      <c r="B400" s="25"/>
      <c r="C400" s="24"/>
      <c r="D400" s="24"/>
      <c r="E400" s="24"/>
      <c r="F400" s="114"/>
      <c r="G400" s="114"/>
      <c r="K400" s="40"/>
    </row>
    <row r="401" spans="1:11" ht="15.75" customHeight="1" x14ac:dyDescent="0.25">
      <c r="A401" s="24"/>
      <c r="B401" s="25"/>
      <c r="C401" s="24"/>
      <c r="D401" s="24"/>
      <c r="E401" s="24"/>
      <c r="F401" s="114"/>
      <c r="G401" s="114"/>
      <c r="K401" s="40"/>
    </row>
    <row r="402" spans="1:11" ht="15.75" customHeight="1" x14ac:dyDescent="0.25">
      <c r="A402" s="24"/>
      <c r="B402" s="25"/>
      <c r="C402" s="24"/>
      <c r="D402" s="24"/>
      <c r="E402" s="24"/>
      <c r="F402" s="114"/>
      <c r="G402" s="114"/>
      <c r="K402" s="40"/>
    </row>
    <row r="403" spans="1:11" ht="15.75" customHeight="1" x14ac:dyDescent="0.25">
      <c r="A403" s="24"/>
      <c r="B403" s="25"/>
      <c r="C403" s="24"/>
      <c r="D403" s="24"/>
      <c r="E403" s="24"/>
      <c r="F403" s="114"/>
      <c r="G403" s="114"/>
      <c r="K403" s="40"/>
    </row>
    <row r="404" spans="1:11" ht="15.75" customHeight="1" x14ac:dyDescent="0.25">
      <c r="A404" s="24"/>
      <c r="B404" s="25"/>
      <c r="C404" s="24"/>
      <c r="D404" s="24"/>
      <c r="E404" s="24"/>
      <c r="F404" s="114"/>
      <c r="G404" s="114"/>
      <c r="K404" s="40"/>
    </row>
    <row r="405" spans="1:11" ht="15.75" customHeight="1" x14ac:dyDescent="0.25">
      <c r="A405" s="24"/>
      <c r="B405" s="25"/>
      <c r="C405" s="24"/>
      <c r="D405" s="24"/>
      <c r="E405" s="24"/>
      <c r="F405" s="114"/>
      <c r="G405" s="114"/>
      <c r="K405" s="40"/>
    </row>
    <row r="406" spans="1:11" ht="15.75" customHeight="1" x14ac:dyDescent="0.25">
      <c r="A406" s="24"/>
      <c r="B406" s="25"/>
      <c r="C406" s="24"/>
      <c r="D406" s="24"/>
      <c r="E406" s="24"/>
      <c r="F406" s="114"/>
      <c r="G406" s="114"/>
      <c r="K406" s="40"/>
    </row>
    <row r="407" spans="1:11" ht="15.75" customHeight="1" x14ac:dyDescent="0.25">
      <c r="A407" s="24"/>
      <c r="B407" s="25"/>
      <c r="C407" s="24"/>
      <c r="D407" s="24"/>
      <c r="E407" s="24"/>
      <c r="F407" s="114"/>
      <c r="G407" s="114"/>
      <c r="K407" s="40"/>
    </row>
    <row r="408" spans="1:11" ht="15.75" customHeight="1" x14ac:dyDescent="0.25">
      <c r="A408" s="24"/>
      <c r="B408" s="25"/>
      <c r="C408" s="24"/>
      <c r="D408" s="24"/>
      <c r="E408" s="24"/>
      <c r="F408" s="114"/>
      <c r="G408" s="114"/>
      <c r="K408" s="40"/>
    </row>
    <row r="409" spans="1:11" ht="15.75" customHeight="1" x14ac:dyDescent="0.25">
      <c r="A409" s="24"/>
      <c r="B409" s="25"/>
      <c r="C409" s="24"/>
      <c r="D409" s="24"/>
      <c r="E409" s="24"/>
      <c r="F409" s="114"/>
      <c r="G409" s="114"/>
      <c r="K409" s="40"/>
    </row>
    <row r="410" spans="1:11" ht="15.75" customHeight="1" x14ac:dyDescent="0.25">
      <c r="A410" s="24"/>
      <c r="B410" s="25"/>
      <c r="C410" s="24"/>
      <c r="D410" s="24"/>
      <c r="E410" s="24"/>
      <c r="F410" s="114"/>
      <c r="G410" s="114"/>
      <c r="K410" s="40"/>
    </row>
    <row r="411" spans="1:11" ht="15.75" customHeight="1" x14ac:dyDescent="0.25">
      <c r="A411" s="24"/>
      <c r="B411" s="25"/>
      <c r="C411" s="24"/>
      <c r="D411" s="24"/>
      <c r="E411" s="24"/>
      <c r="F411" s="114"/>
      <c r="G411" s="114"/>
      <c r="K411" s="40"/>
    </row>
    <row r="412" spans="1:11" ht="15.75" customHeight="1" x14ac:dyDescent="0.25">
      <c r="A412" s="24"/>
      <c r="B412" s="25"/>
      <c r="C412" s="24"/>
      <c r="D412" s="24"/>
      <c r="E412" s="24"/>
      <c r="F412" s="114"/>
      <c r="G412" s="114"/>
      <c r="K412" s="40"/>
    </row>
    <row r="413" spans="1:11" ht="15.75" customHeight="1" x14ac:dyDescent="0.25">
      <c r="A413" s="24"/>
      <c r="B413" s="25"/>
      <c r="C413" s="24"/>
      <c r="D413" s="24"/>
      <c r="E413" s="24"/>
      <c r="F413" s="114"/>
      <c r="G413" s="114"/>
      <c r="K413" s="40"/>
    </row>
    <row r="414" spans="1:11" ht="15.75" customHeight="1" x14ac:dyDescent="0.25">
      <c r="A414" s="24"/>
      <c r="B414" s="25"/>
      <c r="C414" s="24"/>
      <c r="D414" s="24"/>
      <c r="E414" s="24"/>
      <c r="F414" s="114"/>
      <c r="G414" s="114"/>
      <c r="K414" s="40"/>
    </row>
    <row r="415" spans="1:11" ht="15.75" customHeight="1" x14ac:dyDescent="0.25">
      <c r="A415" s="24"/>
      <c r="B415" s="25"/>
      <c r="C415" s="24"/>
      <c r="D415" s="24"/>
      <c r="E415" s="24"/>
      <c r="F415" s="114"/>
      <c r="G415" s="114"/>
      <c r="K415" s="40"/>
    </row>
    <row r="416" spans="1:11" ht="15.75" customHeight="1" x14ac:dyDescent="0.25">
      <c r="A416" s="24"/>
      <c r="B416" s="25"/>
      <c r="C416" s="24"/>
      <c r="D416" s="24"/>
      <c r="E416" s="24"/>
      <c r="F416" s="114"/>
      <c r="G416" s="114"/>
      <c r="K416" s="40"/>
    </row>
    <row r="417" spans="1:11" ht="15.75" customHeight="1" x14ac:dyDescent="0.25">
      <c r="A417" s="24"/>
      <c r="B417" s="25"/>
      <c r="C417" s="24"/>
      <c r="D417" s="24"/>
      <c r="E417" s="24"/>
      <c r="F417" s="114"/>
      <c r="G417" s="114"/>
      <c r="K417" s="40"/>
    </row>
    <row r="418" spans="1:11" ht="15.75" customHeight="1" x14ac:dyDescent="0.25">
      <c r="A418" s="24"/>
      <c r="B418" s="25"/>
      <c r="C418" s="24"/>
      <c r="D418" s="24"/>
      <c r="E418" s="24"/>
      <c r="F418" s="114"/>
      <c r="G418" s="114"/>
      <c r="K418" s="40"/>
    </row>
    <row r="419" spans="1:11" ht="15.75" customHeight="1" x14ac:dyDescent="0.25">
      <c r="A419" s="24"/>
      <c r="B419" s="25"/>
      <c r="C419" s="24"/>
      <c r="D419" s="24"/>
      <c r="E419" s="24"/>
      <c r="F419" s="114"/>
      <c r="G419" s="114"/>
      <c r="K419" s="40"/>
    </row>
    <row r="420" spans="1:11" ht="15.75" customHeight="1" x14ac:dyDescent="0.25">
      <c r="A420" s="24"/>
      <c r="B420" s="25"/>
      <c r="C420" s="24"/>
      <c r="D420" s="24"/>
      <c r="E420" s="24"/>
      <c r="F420" s="114"/>
      <c r="G420" s="114"/>
      <c r="K420" s="40"/>
    </row>
    <row r="421" spans="1:11" ht="15.75" customHeight="1" x14ac:dyDescent="0.25">
      <c r="A421" s="24"/>
      <c r="B421" s="25"/>
      <c r="C421" s="24"/>
      <c r="D421" s="24"/>
      <c r="E421" s="24"/>
      <c r="F421" s="114"/>
      <c r="G421" s="114"/>
      <c r="K421" s="40"/>
    </row>
    <row r="422" spans="1:11" ht="15.75" customHeight="1" x14ac:dyDescent="0.25">
      <c r="A422" s="24"/>
      <c r="B422" s="25"/>
      <c r="C422" s="24"/>
      <c r="D422" s="24"/>
      <c r="E422" s="24"/>
      <c r="F422" s="114"/>
      <c r="G422" s="114"/>
      <c r="K422" s="40"/>
    </row>
    <row r="423" spans="1:11" ht="15.75" customHeight="1" x14ac:dyDescent="0.25">
      <c r="A423" s="24"/>
      <c r="B423" s="25"/>
      <c r="C423" s="24"/>
      <c r="D423" s="24"/>
      <c r="E423" s="24"/>
      <c r="F423" s="114"/>
      <c r="G423" s="114"/>
      <c r="K423" s="40"/>
    </row>
    <row r="424" spans="1:11" ht="15.75" customHeight="1" x14ac:dyDescent="0.25">
      <c r="A424" s="24"/>
      <c r="B424" s="25"/>
      <c r="C424" s="24"/>
      <c r="D424" s="24"/>
      <c r="E424" s="24"/>
      <c r="F424" s="114"/>
      <c r="G424" s="114"/>
      <c r="K424" s="40"/>
    </row>
    <row r="425" spans="1:11" ht="15.75" customHeight="1" x14ac:dyDescent="0.25">
      <c r="A425" s="24"/>
      <c r="B425" s="25"/>
      <c r="C425" s="24"/>
      <c r="D425" s="24"/>
      <c r="E425" s="24"/>
      <c r="F425" s="114"/>
      <c r="G425" s="114"/>
      <c r="K425" s="40"/>
    </row>
    <row r="426" spans="1:11" ht="15.75" customHeight="1" x14ac:dyDescent="0.25">
      <c r="A426" s="24"/>
      <c r="B426" s="25"/>
      <c r="C426" s="24"/>
      <c r="D426" s="24"/>
      <c r="E426" s="24"/>
      <c r="F426" s="114"/>
      <c r="G426" s="114"/>
      <c r="K426" s="40"/>
    </row>
    <row r="427" spans="1:11" ht="15.75" customHeight="1" x14ac:dyDescent="0.25">
      <c r="A427" s="24"/>
      <c r="B427" s="25"/>
      <c r="C427" s="24"/>
      <c r="D427" s="24"/>
      <c r="E427" s="24"/>
      <c r="F427" s="114"/>
      <c r="G427" s="114"/>
      <c r="K427" s="40"/>
    </row>
    <row r="428" spans="1:11" ht="15.75" customHeight="1" x14ac:dyDescent="0.25">
      <c r="A428" s="24"/>
      <c r="B428" s="25"/>
      <c r="C428" s="24"/>
      <c r="D428" s="24"/>
      <c r="E428" s="24"/>
      <c r="F428" s="114"/>
      <c r="G428" s="114"/>
      <c r="K428" s="40"/>
    </row>
    <row r="429" spans="1:11" ht="15.75" customHeight="1" x14ac:dyDescent="0.25">
      <c r="A429" s="24"/>
      <c r="B429" s="25"/>
      <c r="C429" s="24"/>
      <c r="D429" s="24"/>
      <c r="E429" s="24"/>
      <c r="F429" s="114"/>
      <c r="G429" s="114"/>
      <c r="K429" s="40"/>
    </row>
    <row r="430" spans="1:11" ht="15.75" customHeight="1" x14ac:dyDescent="0.25">
      <c r="A430" s="24"/>
      <c r="B430" s="25"/>
      <c r="C430" s="24"/>
      <c r="D430" s="24"/>
      <c r="E430" s="24"/>
      <c r="F430" s="114"/>
      <c r="G430" s="114"/>
      <c r="K430" s="40"/>
    </row>
    <row r="431" spans="1:11" ht="15.75" customHeight="1" x14ac:dyDescent="0.25">
      <c r="A431" s="24"/>
      <c r="B431" s="25"/>
      <c r="C431" s="24"/>
      <c r="D431" s="24"/>
      <c r="E431" s="24"/>
      <c r="F431" s="114"/>
      <c r="G431" s="114"/>
      <c r="K431" s="40"/>
    </row>
    <row r="432" spans="1:11" ht="15.75" customHeight="1" x14ac:dyDescent="0.25">
      <c r="A432" s="24"/>
      <c r="B432" s="25"/>
      <c r="C432" s="24"/>
      <c r="D432" s="24"/>
      <c r="E432" s="24"/>
      <c r="F432" s="114"/>
      <c r="G432" s="114"/>
      <c r="K432" s="40"/>
    </row>
    <row r="433" spans="1:11" ht="15.75" customHeight="1" x14ac:dyDescent="0.25">
      <c r="A433" s="24"/>
      <c r="B433" s="25"/>
      <c r="C433" s="24"/>
      <c r="D433" s="24"/>
      <c r="E433" s="24"/>
      <c r="F433" s="114"/>
      <c r="G433" s="114"/>
      <c r="K433" s="40"/>
    </row>
    <row r="434" spans="1:11" ht="15.75" customHeight="1" x14ac:dyDescent="0.25">
      <c r="A434" s="24"/>
      <c r="B434" s="25"/>
      <c r="C434" s="24"/>
      <c r="D434" s="24"/>
      <c r="E434" s="24"/>
      <c r="F434" s="114"/>
      <c r="G434" s="114"/>
      <c r="K434" s="40"/>
    </row>
    <row r="435" spans="1:11" ht="15.75" customHeight="1" x14ac:dyDescent="0.25">
      <c r="A435" s="24"/>
      <c r="B435" s="25"/>
      <c r="C435" s="24"/>
      <c r="D435" s="24"/>
      <c r="E435" s="24"/>
      <c r="F435" s="114"/>
      <c r="G435" s="114"/>
      <c r="K435" s="40"/>
    </row>
    <row r="436" spans="1:11" ht="15.75" customHeight="1" x14ac:dyDescent="0.25">
      <c r="A436" s="24"/>
      <c r="B436" s="25"/>
      <c r="C436" s="24"/>
      <c r="D436" s="24"/>
      <c r="E436" s="24"/>
      <c r="F436" s="114"/>
      <c r="G436" s="114"/>
      <c r="K436" s="40"/>
    </row>
    <row r="437" spans="1:11" ht="15.75" customHeight="1" x14ac:dyDescent="0.25">
      <c r="A437" s="24"/>
      <c r="B437" s="25"/>
      <c r="C437" s="24"/>
      <c r="D437" s="24"/>
      <c r="E437" s="24"/>
      <c r="F437" s="114"/>
      <c r="G437" s="114"/>
      <c r="K437" s="40"/>
    </row>
    <row r="438" spans="1:11" ht="15.75" customHeight="1" x14ac:dyDescent="0.25">
      <c r="A438" s="24"/>
      <c r="B438" s="25"/>
      <c r="C438" s="24"/>
      <c r="D438" s="24"/>
      <c r="E438" s="24"/>
      <c r="F438" s="114"/>
      <c r="G438" s="114"/>
      <c r="K438" s="40"/>
    </row>
    <row r="439" spans="1:11" ht="15.75" customHeight="1" x14ac:dyDescent="0.25">
      <c r="A439" s="24"/>
      <c r="B439" s="25"/>
      <c r="C439" s="24"/>
      <c r="D439" s="24"/>
      <c r="E439" s="24"/>
      <c r="F439" s="114"/>
      <c r="G439" s="114"/>
      <c r="K439" s="40"/>
    </row>
    <row r="440" spans="1:11" ht="15.75" customHeight="1" x14ac:dyDescent="0.25">
      <c r="A440" s="24"/>
      <c r="B440" s="25"/>
      <c r="C440" s="24"/>
      <c r="D440" s="24"/>
      <c r="E440" s="24"/>
      <c r="F440" s="114"/>
      <c r="G440" s="114"/>
      <c r="K440" s="40"/>
    </row>
    <row r="441" spans="1:11" ht="15.75" customHeight="1" x14ac:dyDescent="0.25">
      <c r="A441" s="24"/>
      <c r="B441" s="25"/>
      <c r="C441" s="24"/>
      <c r="D441" s="24"/>
      <c r="E441" s="24"/>
      <c r="F441" s="114"/>
      <c r="G441" s="114"/>
      <c r="K441" s="40"/>
    </row>
    <row r="442" spans="1:11" ht="15.75" customHeight="1" x14ac:dyDescent="0.25">
      <c r="A442" s="24"/>
      <c r="B442" s="25"/>
      <c r="C442" s="24"/>
      <c r="D442" s="24"/>
      <c r="E442" s="24"/>
      <c r="F442" s="114"/>
      <c r="G442" s="114"/>
      <c r="K442" s="40"/>
    </row>
    <row r="443" spans="1:11" ht="15.75" customHeight="1" x14ac:dyDescent="0.25">
      <c r="A443" s="24"/>
      <c r="B443" s="25"/>
      <c r="C443" s="24"/>
      <c r="D443" s="24"/>
      <c r="E443" s="24"/>
      <c r="F443" s="114"/>
      <c r="G443" s="114"/>
      <c r="K443" s="40"/>
    </row>
    <row r="444" spans="1:11" ht="15.75" customHeight="1" x14ac:dyDescent="0.25">
      <c r="A444" s="24"/>
      <c r="B444" s="25"/>
      <c r="C444" s="24"/>
      <c r="D444" s="24"/>
      <c r="E444" s="24"/>
      <c r="F444" s="114"/>
      <c r="G444" s="114"/>
      <c r="K444" s="40"/>
    </row>
    <row r="445" spans="1:11" ht="15.75" customHeight="1" x14ac:dyDescent="0.25">
      <c r="A445" s="24"/>
      <c r="B445" s="25"/>
      <c r="C445" s="24"/>
      <c r="D445" s="24"/>
      <c r="E445" s="24"/>
      <c r="F445" s="114"/>
      <c r="G445" s="114"/>
      <c r="K445" s="40"/>
    </row>
    <row r="446" spans="1:11" ht="15.75" customHeight="1" x14ac:dyDescent="0.25">
      <c r="A446" s="24"/>
      <c r="B446" s="25"/>
      <c r="C446" s="24"/>
      <c r="D446" s="24"/>
      <c r="E446" s="24"/>
      <c r="F446" s="114"/>
      <c r="G446" s="114"/>
      <c r="K446" s="40"/>
    </row>
    <row r="447" spans="1:11" ht="15.75" customHeight="1" x14ac:dyDescent="0.25">
      <c r="A447" s="24"/>
      <c r="B447" s="25"/>
      <c r="C447" s="24"/>
      <c r="D447" s="24"/>
      <c r="E447" s="24"/>
      <c r="F447" s="114"/>
      <c r="G447" s="114"/>
      <c r="K447" s="40"/>
    </row>
    <row r="448" spans="1:11" ht="15.75" customHeight="1" x14ac:dyDescent="0.25">
      <c r="A448" s="24"/>
      <c r="B448" s="25"/>
      <c r="C448" s="24"/>
      <c r="D448" s="24"/>
      <c r="E448" s="24"/>
      <c r="F448" s="114"/>
      <c r="G448" s="114"/>
      <c r="K448" s="40"/>
    </row>
    <row r="449" spans="1:11" ht="15.75" customHeight="1" x14ac:dyDescent="0.25">
      <c r="A449" s="24"/>
      <c r="B449" s="25"/>
      <c r="C449" s="24"/>
      <c r="D449" s="24"/>
      <c r="E449" s="24"/>
      <c r="F449" s="114"/>
      <c r="G449" s="114"/>
      <c r="K449" s="40"/>
    </row>
    <row r="450" spans="1:11" ht="15.75" customHeight="1" x14ac:dyDescent="0.25">
      <c r="A450" s="24"/>
      <c r="B450" s="25"/>
      <c r="C450" s="24"/>
      <c r="D450" s="24"/>
      <c r="E450" s="24"/>
      <c r="F450" s="114"/>
      <c r="G450" s="114"/>
      <c r="K450" s="40"/>
    </row>
    <row r="451" spans="1:11" ht="15.75" customHeight="1" x14ac:dyDescent="0.25">
      <c r="A451" s="24"/>
      <c r="B451" s="25"/>
      <c r="C451" s="24"/>
      <c r="D451" s="24"/>
      <c r="E451" s="24"/>
      <c r="F451" s="114"/>
      <c r="G451" s="114"/>
      <c r="K451" s="40"/>
    </row>
    <row r="452" spans="1:11" ht="15.75" customHeight="1" x14ac:dyDescent="0.25">
      <c r="A452" s="24"/>
      <c r="B452" s="25"/>
      <c r="C452" s="24"/>
      <c r="D452" s="24"/>
      <c r="E452" s="24"/>
      <c r="F452" s="114"/>
      <c r="G452" s="114"/>
      <c r="K452" s="40"/>
    </row>
    <row r="453" spans="1:11" ht="15.75" customHeight="1" x14ac:dyDescent="0.25">
      <c r="A453" s="24"/>
      <c r="B453" s="25"/>
      <c r="C453" s="24"/>
      <c r="D453" s="24"/>
      <c r="E453" s="24"/>
      <c r="F453" s="114"/>
      <c r="G453" s="114"/>
      <c r="K453" s="40"/>
    </row>
    <row r="454" spans="1:11" ht="15.75" customHeight="1" x14ac:dyDescent="0.25">
      <c r="A454" s="24"/>
      <c r="B454" s="25"/>
      <c r="C454" s="24"/>
      <c r="D454" s="24"/>
      <c r="E454" s="24"/>
      <c r="F454" s="114"/>
      <c r="G454" s="114"/>
      <c r="K454" s="40"/>
    </row>
    <row r="455" spans="1:11" ht="15.75" customHeight="1" x14ac:dyDescent="0.25">
      <c r="A455" s="24"/>
      <c r="B455" s="25"/>
      <c r="C455" s="24"/>
      <c r="D455" s="24"/>
      <c r="E455" s="24"/>
      <c r="F455" s="114"/>
      <c r="G455" s="114"/>
      <c r="K455" s="40"/>
    </row>
    <row r="456" spans="1:11" ht="15.75" customHeight="1" x14ac:dyDescent="0.25">
      <c r="A456" s="24"/>
      <c r="B456" s="25"/>
      <c r="C456" s="24"/>
      <c r="D456" s="24"/>
      <c r="E456" s="24"/>
      <c r="F456" s="114"/>
      <c r="G456" s="114"/>
      <c r="K456" s="40"/>
    </row>
    <row r="457" spans="1:11" ht="15.75" customHeight="1" x14ac:dyDescent="0.25">
      <c r="A457" s="24"/>
      <c r="B457" s="25"/>
      <c r="C457" s="24"/>
      <c r="D457" s="24"/>
      <c r="E457" s="24"/>
      <c r="F457" s="114"/>
      <c r="G457" s="114"/>
      <c r="K457" s="40"/>
    </row>
    <row r="458" spans="1:11" ht="15.75" customHeight="1" x14ac:dyDescent="0.25">
      <c r="A458" s="24"/>
      <c r="B458" s="25"/>
      <c r="C458" s="24"/>
      <c r="D458" s="24"/>
      <c r="E458" s="24"/>
      <c r="F458" s="114"/>
      <c r="G458" s="114"/>
      <c r="K458" s="40"/>
    </row>
    <row r="459" spans="1:11" ht="15.75" customHeight="1" x14ac:dyDescent="0.25">
      <c r="A459" s="24"/>
      <c r="B459" s="25"/>
      <c r="C459" s="24"/>
      <c r="D459" s="24"/>
      <c r="E459" s="24"/>
      <c r="F459" s="114"/>
      <c r="G459" s="114"/>
      <c r="K459" s="40"/>
    </row>
    <row r="460" spans="1:11" ht="15.75" customHeight="1" x14ac:dyDescent="0.25">
      <c r="A460" s="24"/>
      <c r="B460" s="25"/>
      <c r="C460" s="24"/>
      <c r="D460" s="24"/>
      <c r="E460" s="24"/>
      <c r="F460" s="114"/>
      <c r="G460" s="114"/>
      <c r="K460" s="40"/>
    </row>
    <row r="461" spans="1:11" ht="15.75" customHeight="1" x14ac:dyDescent="0.25">
      <c r="A461" s="24"/>
      <c r="B461" s="25"/>
      <c r="C461" s="24"/>
      <c r="D461" s="24"/>
      <c r="E461" s="24"/>
      <c r="F461" s="114"/>
      <c r="G461" s="114"/>
      <c r="K461" s="40"/>
    </row>
    <row r="462" spans="1:11" ht="15.75" customHeight="1" x14ac:dyDescent="0.25">
      <c r="A462" s="24"/>
      <c r="B462" s="25"/>
      <c r="C462" s="24"/>
      <c r="D462" s="24"/>
      <c r="E462" s="24"/>
      <c r="F462" s="114"/>
      <c r="G462" s="114"/>
      <c r="K462" s="40"/>
    </row>
    <row r="463" spans="1:11" ht="15.75" customHeight="1" x14ac:dyDescent="0.25">
      <c r="A463" s="24"/>
      <c r="B463" s="25"/>
      <c r="C463" s="24"/>
      <c r="D463" s="24"/>
      <c r="E463" s="24"/>
      <c r="F463" s="114"/>
      <c r="G463" s="114"/>
      <c r="K463" s="40"/>
    </row>
    <row r="464" spans="1:11" ht="15.75" customHeight="1" x14ac:dyDescent="0.25">
      <c r="A464" s="24"/>
      <c r="B464" s="25"/>
      <c r="C464" s="24"/>
      <c r="D464" s="24"/>
      <c r="E464" s="24"/>
      <c r="F464" s="114"/>
      <c r="G464" s="114"/>
      <c r="K464" s="40"/>
    </row>
    <row r="465" spans="1:11" ht="15.75" customHeight="1" x14ac:dyDescent="0.25">
      <c r="A465" s="24"/>
      <c r="B465" s="25"/>
      <c r="C465" s="24"/>
      <c r="D465" s="24"/>
      <c r="E465" s="24"/>
      <c r="F465" s="114"/>
      <c r="G465" s="114"/>
      <c r="K465" s="40"/>
    </row>
    <row r="466" spans="1:11" ht="15.75" customHeight="1" x14ac:dyDescent="0.25">
      <c r="A466" s="24"/>
      <c r="B466" s="25"/>
      <c r="C466" s="24"/>
      <c r="D466" s="24"/>
      <c r="E466" s="24"/>
      <c r="F466" s="114"/>
      <c r="G466" s="114"/>
      <c r="K466" s="40"/>
    </row>
    <row r="467" spans="1:11" ht="15.75" customHeight="1" x14ac:dyDescent="0.25">
      <c r="A467" s="24"/>
      <c r="B467" s="25"/>
      <c r="C467" s="24"/>
      <c r="D467" s="24"/>
      <c r="E467" s="24"/>
      <c r="F467" s="114"/>
      <c r="G467" s="114"/>
      <c r="K467" s="40"/>
    </row>
    <row r="468" spans="1:11" ht="15.75" customHeight="1" x14ac:dyDescent="0.25">
      <c r="A468" s="24"/>
      <c r="B468" s="25"/>
      <c r="C468" s="24"/>
      <c r="D468" s="24"/>
      <c r="E468" s="24"/>
      <c r="F468" s="114"/>
      <c r="G468" s="114"/>
      <c r="K468" s="40"/>
    </row>
    <row r="469" spans="1:11" ht="15.75" customHeight="1" x14ac:dyDescent="0.25">
      <c r="A469" s="24"/>
      <c r="B469" s="25"/>
      <c r="C469" s="24"/>
      <c r="D469" s="24"/>
      <c r="E469" s="24"/>
      <c r="F469" s="114"/>
      <c r="G469" s="114"/>
      <c r="K469" s="40"/>
    </row>
    <row r="470" spans="1:11" ht="15.75" customHeight="1" x14ac:dyDescent="0.25">
      <c r="A470" s="24"/>
      <c r="B470" s="25"/>
      <c r="C470" s="24"/>
      <c r="D470" s="24"/>
      <c r="E470" s="24"/>
      <c r="F470" s="114"/>
      <c r="G470" s="114"/>
      <c r="K470" s="40"/>
    </row>
    <row r="471" spans="1:11" ht="15.75" customHeight="1" x14ac:dyDescent="0.25">
      <c r="A471" s="24"/>
      <c r="B471" s="25"/>
      <c r="C471" s="24"/>
      <c r="D471" s="24"/>
      <c r="E471" s="24"/>
      <c r="F471" s="114"/>
      <c r="G471" s="114"/>
      <c r="K471" s="40"/>
    </row>
    <row r="472" spans="1:11" ht="15.75" customHeight="1" x14ac:dyDescent="0.25">
      <c r="A472" s="24"/>
      <c r="B472" s="25"/>
      <c r="C472" s="24"/>
      <c r="D472" s="24"/>
      <c r="E472" s="24"/>
      <c r="F472" s="114"/>
      <c r="G472" s="114"/>
      <c r="K472" s="40"/>
    </row>
    <row r="473" spans="1:11" ht="15.75" customHeight="1" x14ac:dyDescent="0.25">
      <c r="A473" s="24"/>
      <c r="B473" s="25"/>
      <c r="C473" s="24"/>
      <c r="D473" s="24"/>
      <c r="E473" s="24"/>
      <c r="F473" s="114"/>
      <c r="G473" s="114"/>
      <c r="K473" s="40"/>
    </row>
    <row r="474" spans="1:11" ht="15.75" customHeight="1" x14ac:dyDescent="0.25">
      <c r="A474" s="24"/>
      <c r="B474" s="25"/>
      <c r="C474" s="24"/>
      <c r="D474" s="24"/>
      <c r="E474" s="24"/>
      <c r="F474" s="114"/>
      <c r="G474" s="114"/>
      <c r="K474" s="40"/>
    </row>
    <row r="475" spans="1:11" ht="15.75" customHeight="1" x14ac:dyDescent="0.25">
      <c r="A475" s="24"/>
      <c r="B475" s="25"/>
      <c r="C475" s="24"/>
      <c r="D475" s="24"/>
      <c r="E475" s="24"/>
      <c r="F475" s="114"/>
      <c r="G475" s="114"/>
      <c r="K475" s="40"/>
    </row>
    <row r="476" spans="1:11" ht="15.75" customHeight="1" x14ac:dyDescent="0.25">
      <c r="A476" s="24"/>
      <c r="B476" s="25"/>
      <c r="C476" s="24"/>
      <c r="D476" s="24"/>
      <c r="E476" s="24"/>
      <c r="F476" s="114"/>
      <c r="G476" s="114"/>
      <c r="K476" s="40"/>
    </row>
    <row r="477" spans="1:11" ht="15.75" customHeight="1" x14ac:dyDescent="0.25">
      <c r="A477" s="24"/>
      <c r="B477" s="25"/>
      <c r="C477" s="24"/>
      <c r="D477" s="24"/>
      <c r="E477" s="24"/>
      <c r="F477" s="114"/>
      <c r="G477" s="114"/>
      <c r="K477" s="40"/>
    </row>
    <row r="478" spans="1:11" ht="15.75" customHeight="1" x14ac:dyDescent="0.25">
      <c r="A478" s="24"/>
      <c r="B478" s="25"/>
      <c r="C478" s="24"/>
      <c r="D478" s="24"/>
      <c r="E478" s="24"/>
      <c r="F478" s="114"/>
      <c r="G478" s="114"/>
      <c r="K478" s="40"/>
    </row>
    <row r="479" spans="1:11" ht="15.75" customHeight="1" x14ac:dyDescent="0.25">
      <c r="A479" s="24"/>
      <c r="B479" s="25"/>
      <c r="C479" s="24"/>
      <c r="D479" s="24"/>
      <c r="E479" s="24"/>
      <c r="F479" s="114"/>
      <c r="G479" s="114"/>
      <c r="K479" s="40"/>
    </row>
    <row r="480" spans="1:11" ht="15.75" customHeight="1" x14ac:dyDescent="0.25">
      <c r="A480" s="24"/>
      <c r="B480" s="25"/>
      <c r="C480" s="24"/>
      <c r="D480" s="24"/>
      <c r="E480" s="24"/>
      <c r="F480" s="114"/>
      <c r="G480" s="114"/>
      <c r="K480" s="40"/>
    </row>
    <row r="481" spans="1:11" ht="15.75" customHeight="1" x14ac:dyDescent="0.25">
      <c r="A481" s="24"/>
      <c r="B481" s="25"/>
      <c r="C481" s="24"/>
      <c r="D481" s="24"/>
      <c r="E481" s="24"/>
      <c r="F481" s="114"/>
      <c r="G481" s="114"/>
      <c r="K481" s="40"/>
    </row>
    <row r="482" spans="1:11" ht="15.75" customHeight="1" x14ac:dyDescent="0.25">
      <c r="A482" s="24"/>
      <c r="B482" s="25"/>
      <c r="C482" s="24"/>
      <c r="D482" s="24"/>
      <c r="E482" s="24"/>
      <c r="F482" s="114"/>
      <c r="G482" s="114"/>
      <c r="K482" s="40"/>
    </row>
    <row r="483" spans="1:11" ht="15.75" customHeight="1" x14ac:dyDescent="0.25">
      <c r="A483" s="24"/>
      <c r="B483" s="25"/>
      <c r="C483" s="24"/>
      <c r="D483" s="24"/>
      <c r="E483" s="24"/>
      <c r="F483" s="114"/>
      <c r="G483" s="114"/>
      <c r="K483" s="40"/>
    </row>
    <row r="484" spans="1:11" ht="15.75" customHeight="1" x14ac:dyDescent="0.25">
      <c r="A484" s="24"/>
      <c r="B484" s="25"/>
      <c r="C484" s="24"/>
      <c r="D484" s="24"/>
      <c r="E484" s="24"/>
      <c r="F484" s="114"/>
      <c r="G484" s="114"/>
      <c r="K484" s="40"/>
    </row>
    <row r="485" spans="1:11" ht="15.75" customHeight="1" x14ac:dyDescent="0.25">
      <c r="A485" s="24"/>
      <c r="B485" s="25"/>
      <c r="C485" s="24"/>
      <c r="D485" s="24"/>
      <c r="E485" s="24"/>
      <c r="F485" s="114"/>
      <c r="G485" s="114"/>
      <c r="K485" s="40"/>
    </row>
    <row r="486" spans="1:11" ht="15.75" customHeight="1" x14ac:dyDescent="0.25">
      <c r="A486" s="24"/>
      <c r="B486" s="25"/>
      <c r="C486" s="24"/>
      <c r="D486" s="24"/>
      <c r="E486" s="24"/>
      <c r="F486" s="114"/>
      <c r="G486" s="114"/>
      <c r="K486" s="40"/>
    </row>
    <row r="487" spans="1:11" ht="15.75" customHeight="1" x14ac:dyDescent="0.25">
      <c r="K487" s="40"/>
    </row>
    <row r="488" spans="1:11" ht="15.75" customHeight="1" x14ac:dyDescent="0.25">
      <c r="K488" s="40"/>
    </row>
    <row r="489" spans="1:11" ht="15.75" customHeight="1" x14ac:dyDescent="0.25">
      <c r="K489" s="40"/>
    </row>
    <row r="490" spans="1:11" ht="15.75" customHeight="1" x14ac:dyDescent="0.25">
      <c r="K490" s="40"/>
    </row>
    <row r="491" spans="1:11" ht="15.75" customHeight="1" x14ac:dyDescent="0.25">
      <c r="K491" s="40"/>
    </row>
    <row r="492" spans="1:11" ht="15.75" customHeight="1" x14ac:dyDescent="0.25">
      <c r="K492" s="40"/>
    </row>
    <row r="493" spans="1:11" ht="15.75" customHeight="1" x14ac:dyDescent="0.25">
      <c r="K493" s="40"/>
    </row>
    <row r="494" spans="1:11" ht="15.75" customHeight="1" x14ac:dyDescent="0.25">
      <c r="K494" s="40"/>
    </row>
    <row r="495" spans="1:11" ht="15.75" customHeight="1" x14ac:dyDescent="0.25">
      <c r="K495" s="40"/>
    </row>
    <row r="496" spans="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row r="997" spans="11:11" ht="15.75" customHeight="1" x14ac:dyDescent="0.25">
      <c r="K997" s="40"/>
    </row>
    <row r="998" spans="11:11" ht="15.75" customHeight="1" x14ac:dyDescent="0.25">
      <c r="K998" s="40"/>
    </row>
    <row r="999" spans="11:11" ht="15.75" customHeight="1" x14ac:dyDescent="0.25">
      <c r="K999" s="40"/>
    </row>
    <row r="1000" spans="11:11" ht="15.75" customHeight="1" x14ac:dyDescent="0.25">
      <c r="K1000" s="40"/>
    </row>
    <row r="1001" spans="11:11" ht="15.75" customHeight="1" x14ac:dyDescent="0.25">
      <c r="K1001" s="40"/>
    </row>
    <row r="1002" spans="11:11" ht="15.75" customHeight="1" x14ac:dyDescent="0.25">
      <c r="K1002" s="40"/>
    </row>
    <row r="1003" spans="11:11" ht="15.75" customHeight="1" x14ac:dyDescent="0.25">
      <c r="K1003" s="40"/>
    </row>
    <row r="1004" spans="11:11" ht="15.75" customHeight="1" x14ac:dyDescent="0.25">
      <c r="K1004" s="40"/>
    </row>
    <row r="1005" spans="11:11" ht="15.75" customHeight="1" x14ac:dyDescent="0.25">
      <c r="K1005" s="40"/>
    </row>
    <row r="1006" spans="11:11" ht="15.75" customHeight="1" x14ac:dyDescent="0.25">
      <c r="K1006" s="40"/>
    </row>
    <row r="1007" spans="11:11" ht="15.75" customHeight="1" x14ac:dyDescent="0.25">
      <c r="K1007" s="40"/>
    </row>
    <row r="1008" spans="11:11" ht="15.75" customHeight="1" x14ac:dyDescent="0.25">
      <c r="K1008" s="40"/>
    </row>
    <row r="1009" spans="11:11" ht="15.75" customHeight="1" x14ac:dyDescent="0.25">
      <c r="K1009" s="40"/>
    </row>
    <row r="1010" spans="11:11" ht="15.75" customHeight="1" x14ac:dyDescent="0.25">
      <c r="K1010" s="40"/>
    </row>
    <row r="1011" spans="11:11" ht="15.75" customHeight="1" x14ac:dyDescent="0.25">
      <c r="K1011" s="40"/>
    </row>
    <row r="1012" spans="11:11" ht="15.75" customHeight="1" x14ac:dyDescent="0.25">
      <c r="K1012" s="40"/>
    </row>
    <row r="1013" spans="11:11" ht="15.75" customHeight="1" x14ac:dyDescent="0.25">
      <c r="K1013" s="40"/>
    </row>
    <row r="1014" spans="11:11" ht="15.75" customHeight="1" x14ac:dyDescent="0.25">
      <c r="K1014" s="40"/>
    </row>
    <row r="1015" spans="11:11" ht="15.75" customHeight="1" x14ac:dyDescent="0.25">
      <c r="K1015" s="40"/>
    </row>
    <row r="1016" spans="11:11" ht="15.75" customHeight="1" x14ac:dyDescent="0.25">
      <c r="K1016" s="40"/>
    </row>
    <row r="1017" spans="11:11" ht="15.75" customHeight="1" x14ac:dyDescent="0.25">
      <c r="K1017" s="40"/>
    </row>
    <row r="1018" spans="11:11" ht="15.75" customHeight="1" x14ac:dyDescent="0.25">
      <c r="K1018" s="40"/>
    </row>
    <row r="1019" spans="11:11" ht="15.75" customHeight="1" x14ac:dyDescent="0.25">
      <c r="K1019" s="40"/>
    </row>
    <row r="1020" spans="11:11" ht="15.75" customHeight="1" x14ac:dyDescent="0.25">
      <c r="K1020" s="40"/>
    </row>
    <row r="1021" spans="11:11" ht="15.75" customHeight="1" x14ac:dyDescent="0.25">
      <c r="K1021" s="40"/>
    </row>
    <row r="1022" spans="11:11" ht="15.75" customHeight="1" x14ac:dyDescent="0.25">
      <c r="K1022" s="40"/>
    </row>
    <row r="1023" spans="11:11" ht="15.75" customHeight="1" x14ac:dyDescent="0.25">
      <c r="K1023" s="40"/>
    </row>
    <row r="1024" spans="11:11" ht="15.75" customHeight="1" x14ac:dyDescent="0.25">
      <c r="K1024" s="40"/>
    </row>
    <row r="1025" spans="11:11" ht="15.75" customHeight="1" x14ac:dyDescent="0.25">
      <c r="K1025" s="40"/>
    </row>
    <row r="1026" spans="11:11" ht="15.75" customHeight="1" x14ac:dyDescent="0.25">
      <c r="K1026" s="40"/>
    </row>
    <row r="1027" spans="11:11" ht="15.75" customHeight="1" x14ac:dyDescent="0.25">
      <c r="K1027" s="40"/>
    </row>
    <row r="1028" spans="11:11" ht="15.75" customHeight="1" x14ac:dyDescent="0.25">
      <c r="K1028" s="40"/>
    </row>
    <row r="1029" spans="11:11" ht="15.75" customHeight="1" x14ac:dyDescent="0.25">
      <c r="K1029" s="40"/>
    </row>
    <row r="1030" spans="11:11" ht="15.75" customHeight="1" x14ac:dyDescent="0.25">
      <c r="K1030" s="40"/>
    </row>
    <row r="1031" spans="11:11" ht="15.75" customHeight="1" x14ac:dyDescent="0.25">
      <c r="K1031" s="40"/>
    </row>
    <row r="1032" spans="11:11" ht="15.75" customHeight="1" x14ac:dyDescent="0.25">
      <c r="K1032" s="40"/>
    </row>
    <row r="1033" spans="11:11" ht="15.75" customHeight="1" x14ac:dyDescent="0.25">
      <c r="K1033" s="40"/>
    </row>
    <row r="1034" spans="11:11" ht="15.75" customHeight="1" x14ac:dyDescent="0.25">
      <c r="K1034" s="40"/>
    </row>
    <row r="1035" spans="11:11" ht="15.75" customHeight="1" x14ac:dyDescent="0.25">
      <c r="K1035" s="40"/>
    </row>
    <row r="1036" spans="11:11" ht="15.75" customHeight="1" x14ac:dyDescent="0.25">
      <c r="K1036" s="40"/>
    </row>
    <row r="1037" spans="11:11" ht="15.75" customHeight="1" x14ac:dyDescent="0.25">
      <c r="K1037" s="40"/>
    </row>
    <row r="1038" spans="11:11" ht="15.75" customHeight="1" x14ac:dyDescent="0.25">
      <c r="K1038" s="40"/>
    </row>
    <row r="1039" spans="11:11" ht="15.75" customHeight="1" x14ac:dyDescent="0.25">
      <c r="K1039" s="40"/>
    </row>
    <row r="1040" spans="11:11" ht="15.75" customHeight="1" x14ac:dyDescent="0.25">
      <c r="K1040" s="40"/>
    </row>
    <row r="1041" spans="11:11" ht="15.75" customHeight="1" x14ac:dyDescent="0.25">
      <c r="K1041" s="40"/>
    </row>
    <row r="1042" spans="11:11" ht="15.75" customHeight="1" x14ac:dyDescent="0.25">
      <c r="K1042" s="40"/>
    </row>
    <row r="1043" spans="11:11" ht="15.75" customHeight="1" x14ac:dyDescent="0.25">
      <c r="K1043" s="40"/>
    </row>
    <row r="1044" spans="11:11" ht="15.75" customHeight="1" x14ac:dyDescent="0.25">
      <c r="K1044" s="40"/>
    </row>
    <row r="1045" spans="11:11" ht="15.75" customHeight="1" x14ac:dyDescent="0.25">
      <c r="K1045" s="40"/>
    </row>
    <row r="1046" spans="11:11" ht="15.75" customHeight="1" x14ac:dyDescent="0.25">
      <c r="K1046" s="40"/>
    </row>
    <row r="1047" spans="11:11" ht="15.75" customHeight="1" x14ac:dyDescent="0.25">
      <c r="K1047" s="40"/>
    </row>
    <row r="1048" spans="11:11" ht="15.75" customHeight="1" x14ac:dyDescent="0.25">
      <c r="K1048" s="40"/>
    </row>
    <row r="1049" spans="11:11" ht="15.75" customHeight="1" x14ac:dyDescent="0.25">
      <c r="K1049" s="40"/>
    </row>
    <row r="1050" spans="11:11" ht="15.75" customHeight="1" x14ac:dyDescent="0.25">
      <c r="K1050" s="40"/>
    </row>
    <row r="1051" spans="11:11" ht="15.75" customHeight="1" x14ac:dyDescent="0.25">
      <c r="K1051" s="40"/>
    </row>
    <row r="1052" spans="11:11" ht="15.75" customHeight="1" x14ac:dyDescent="0.25">
      <c r="K1052" s="40"/>
    </row>
    <row r="1053" spans="11:11" ht="15.75" customHeight="1" x14ac:dyDescent="0.25">
      <c r="K1053" s="40"/>
    </row>
    <row r="1054" spans="11:11" ht="15.75" customHeight="1" x14ac:dyDescent="0.25">
      <c r="K1054" s="40"/>
    </row>
    <row r="1055" spans="11:11" ht="15.75" customHeight="1" x14ac:dyDescent="0.25">
      <c r="K1055" s="40"/>
    </row>
    <row r="1056" spans="11:11" ht="15.75" customHeight="1" x14ac:dyDescent="0.25">
      <c r="K1056" s="40"/>
    </row>
    <row r="1057" spans="11:11" ht="15.75" customHeight="1" x14ac:dyDescent="0.25">
      <c r="K1057" s="40"/>
    </row>
    <row r="1058" spans="11:11" ht="15.75" customHeight="1" x14ac:dyDescent="0.25">
      <c r="K1058" s="40"/>
    </row>
    <row r="1059" spans="11:11" ht="15.75" customHeight="1" x14ac:dyDescent="0.25">
      <c r="K1059" s="40"/>
    </row>
    <row r="1060" spans="11:11" ht="15.75" customHeight="1" x14ac:dyDescent="0.25">
      <c r="K1060" s="40"/>
    </row>
    <row r="1061" spans="11:11" ht="15.75" customHeight="1" x14ac:dyDescent="0.25">
      <c r="K1061" s="40"/>
    </row>
    <row r="1062" spans="11:11" ht="15.75" customHeight="1" x14ac:dyDescent="0.25">
      <c r="K1062" s="40"/>
    </row>
    <row r="1063" spans="11:11" ht="15.75" customHeight="1" x14ac:dyDescent="0.25">
      <c r="K1063" s="40"/>
    </row>
    <row r="1064" spans="11:11" ht="15.75" customHeight="1" x14ac:dyDescent="0.25">
      <c r="K1064" s="40"/>
    </row>
    <row r="1065" spans="11:11" ht="15.75" customHeight="1" x14ac:dyDescent="0.25">
      <c r="K1065" s="40"/>
    </row>
    <row r="1066" spans="11:11" ht="15.75" customHeight="1" x14ac:dyDescent="0.25">
      <c r="K1066" s="40"/>
    </row>
    <row r="1067" spans="11:11" ht="15.75" customHeight="1" x14ac:dyDescent="0.25">
      <c r="K1067" s="40"/>
    </row>
    <row r="1068" spans="11:11" ht="15.75" customHeight="1" x14ac:dyDescent="0.25">
      <c r="K1068" s="40"/>
    </row>
    <row r="1069" spans="11:11" ht="15.75" customHeight="1" x14ac:dyDescent="0.25">
      <c r="K1069" s="40"/>
    </row>
    <row r="1070" spans="11:11" ht="15.75" customHeight="1" x14ac:dyDescent="0.25">
      <c r="K1070" s="40"/>
    </row>
    <row r="1071" spans="11:11" ht="15.75" customHeight="1" x14ac:dyDescent="0.25">
      <c r="K1071" s="40"/>
    </row>
    <row r="1072" spans="11:11" ht="15.75" customHeight="1" x14ac:dyDescent="0.25">
      <c r="K1072" s="40"/>
    </row>
    <row r="1073" spans="11:11" ht="15.75" customHeight="1" x14ac:dyDescent="0.25">
      <c r="K1073" s="40"/>
    </row>
    <row r="1074" spans="11:11" ht="15.75" customHeight="1" x14ac:dyDescent="0.25">
      <c r="K1074" s="40"/>
    </row>
    <row r="1075" spans="11:11" ht="15.75" customHeight="1" x14ac:dyDescent="0.25">
      <c r="K1075" s="40"/>
    </row>
    <row r="1076" spans="11:11" ht="15.75" customHeight="1" x14ac:dyDescent="0.25">
      <c r="K1076" s="40"/>
    </row>
    <row r="1077" spans="11:11" ht="15.75" customHeight="1" x14ac:dyDescent="0.25">
      <c r="K1077" s="40"/>
    </row>
    <row r="1078" spans="11:11" ht="15.75" customHeight="1" x14ac:dyDescent="0.25">
      <c r="K1078" s="40"/>
    </row>
    <row r="1079" spans="11:11" ht="15.75" customHeight="1" x14ac:dyDescent="0.25">
      <c r="K1079" s="40"/>
    </row>
    <row r="1080" spans="11:11" ht="15.75" customHeight="1" x14ac:dyDescent="0.25">
      <c r="K1080" s="40"/>
    </row>
    <row r="1081" spans="11:11" ht="15.75" customHeight="1" x14ac:dyDescent="0.25">
      <c r="K1081" s="40"/>
    </row>
    <row r="1082" spans="11:11" ht="15.75" customHeight="1" x14ac:dyDescent="0.25">
      <c r="K1082" s="40"/>
    </row>
    <row r="1083" spans="11:11" ht="15.75" customHeight="1" x14ac:dyDescent="0.25">
      <c r="K1083" s="40"/>
    </row>
    <row r="1084" spans="11:11" ht="15.75" customHeight="1" x14ac:dyDescent="0.25">
      <c r="K1084" s="40"/>
    </row>
    <row r="1085" spans="11:11" ht="15.75" customHeight="1" x14ac:dyDescent="0.25">
      <c r="K1085" s="40"/>
    </row>
    <row r="1086" spans="11:11" ht="15.75" customHeight="1" x14ac:dyDescent="0.25">
      <c r="K1086" s="40"/>
    </row>
    <row r="1087" spans="11:11" ht="15.75" customHeight="1" x14ac:dyDescent="0.25">
      <c r="K1087" s="40"/>
    </row>
    <row r="1088" spans="11:11" ht="15.75" customHeight="1" x14ac:dyDescent="0.25">
      <c r="K1088" s="40"/>
    </row>
    <row r="1089" spans="11:11" ht="15.75" customHeight="1" x14ac:dyDescent="0.25">
      <c r="K1089" s="40"/>
    </row>
    <row r="1090" spans="11:11" ht="15.75" customHeight="1" x14ac:dyDescent="0.25">
      <c r="K1090" s="40"/>
    </row>
    <row r="1091" spans="11:11" ht="15.75" customHeight="1" x14ac:dyDescent="0.25">
      <c r="K1091" s="40"/>
    </row>
    <row r="1092" spans="11:11" ht="15.75" customHeight="1" x14ac:dyDescent="0.25">
      <c r="K1092" s="40"/>
    </row>
    <row r="1093" spans="11:11" ht="15.75" customHeight="1" x14ac:dyDescent="0.25">
      <c r="K1093" s="40"/>
    </row>
    <row r="1094" spans="11:11" ht="15.75" customHeight="1" x14ac:dyDescent="0.25">
      <c r="K1094" s="40"/>
    </row>
    <row r="1095" spans="11:11" ht="15.75" customHeight="1" x14ac:dyDescent="0.25">
      <c r="K1095" s="40"/>
    </row>
    <row r="1096" spans="11:11" ht="15.75" customHeight="1" x14ac:dyDescent="0.25">
      <c r="K1096" s="40"/>
    </row>
    <row r="1097" spans="11:11" ht="15.75" customHeight="1" x14ac:dyDescent="0.25">
      <c r="K1097" s="40"/>
    </row>
    <row r="1098" spans="11:11" ht="15.75" customHeight="1" x14ac:dyDescent="0.25">
      <c r="K1098" s="40"/>
    </row>
    <row r="1099" spans="11:11" ht="15.75" customHeight="1" x14ac:dyDescent="0.25">
      <c r="K1099" s="40"/>
    </row>
    <row r="1100" spans="11:11" ht="15.75" customHeight="1" x14ac:dyDescent="0.25">
      <c r="K1100" s="40"/>
    </row>
    <row r="1101" spans="11:11" ht="15.75" customHeight="1" x14ac:dyDescent="0.25">
      <c r="K1101" s="40"/>
    </row>
    <row r="1102" spans="11:11" ht="15.75" customHeight="1" x14ac:dyDescent="0.25">
      <c r="K1102" s="40"/>
    </row>
    <row r="1103" spans="11:11" ht="15.75" customHeight="1" x14ac:dyDescent="0.25">
      <c r="K1103" s="40"/>
    </row>
    <row r="1104" spans="11:11" ht="15.75" customHeight="1" x14ac:dyDescent="0.25">
      <c r="K1104" s="40"/>
    </row>
    <row r="1105" spans="11:11" ht="15.75" customHeight="1" x14ac:dyDescent="0.25">
      <c r="K1105" s="40"/>
    </row>
    <row r="1106" spans="11:11" ht="15.75" customHeight="1" x14ac:dyDescent="0.25">
      <c r="K1106" s="40"/>
    </row>
    <row r="1107" spans="11:11" ht="15.75" customHeight="1" x14ac:dyDescent="0.25">
      <c r="K1107" s="40"/>
    </row>
    <row r="1108" spans="11:11" ht="15.75" customHeight="1" x14ac:dyDescent="0.25">
      <c r="K1108" s="40"/>
    </row>
    <row r="1109" spans="11:11" ht="15.75" customHeight="1" x14ac:dyDescent="0.25">
      <c r="K1109" s="40"/>
    </row>
    <row r="1110" spans="11:11" ht="15.75" customHeight="1" x14ac:dyDescent="0.25">
      <c r="K1110" s="40"/>
    </row>
    <row r="1111" spans="11:11" ht="15.75" customHeight="1" x14ac:dyDescent="0.25">
      <c r="K1111" s="40"/>
    </row>
    <row r="1112" spans="11:11" ht="15.75" customHeight="1" x14ac:dyDescent="0.25">
      <c r="K1112" s="40"/>
    </row>
    <row r="1113" spans="11:11" ht="15.75" customHeight="1" x14ac:dyDescent="0.25">
      <c r="K1113" s="40"/>
    </row>
    <row r="1114" spans="11:11" ht="15.75" customHeight="1" x14ac:dyDescent="0.25">
      <c r="K1114" s="40"/>
    </row>
    <row r="1115" spans="11:11" ht="15.75" customHeight="1" x14ac:dyDescent="0.25">
      <c r="K1115" s="40"/>
    </row>
    <row r="1116" spans="11:11" ht="15.75" customHeight="1" x14ac:dyDescent="0.25">
      <c r="K1116" s="40"/>
    </row>
    <row r="1117" spans="11:11" ht="15.75" customHeight="1" x14ac:dyDescent="0.25">
      <c r="K1117" s="40"/>
    </row>
    <row r="1118" spans="11:11" ht="15.75" customHeight="1" x14ac:dyDescent="0.25">
      <c r="K1118" s="40"/>
    </row>
    <row r="1119" spans="11:11" ht="15.75" customHeight="1" x14ac:dyDescent="0.25">
      <c r="K1119" s="40"/>
    </row>
    <row r="1120" spans="11:11" ht="15.75" customHeight="1" x14ac:dyDescent="0.25">
      <c r="K1120" s="40"/>
    </row>
    <row r="1121" spans="11:11" ht="15.75" customHeight="1" x14ac:dyDescent="0.25">
      <c r="K1121" s="40"/>
    </row>
    <row r="1122" spans="11:11" ht="15.75" customHeight="1" x14ac:dyDescent="0.25">
      <c r="K1122" s="40"/>
    </row>
    <row r="1123" spans="11:11" ht="15.75" customHeight="1" x14ac:dyDescent="0.25">
      <c r="K1123" s="40"/>
    </row>
    <row r="1124" spans="11:11" ht="15.75" customHeight="1" x14ac:dyDescent="0.25">
      <c r="K1124" s="40"/>
    </row>
    <row r="1125" spans="11:11" ht="15.75" customHeight="1" x14ac:dyDescent="0.25">
      <c r="K1125" s="40"/>
    </row>
    <row r="1126" spans="11:11" ht="15.75" customHeight="1" x14ac:dyDescent="0.25">
      <c r="K1126" s="40"/>
    </row>
    <row r="1127" spans="11:11" ht="15.75" customHeight="1" x14ac:dyDescent="0.25">
      <c r="K1127" s="40"/>
    </row>
    <row r="1128" spans="11:11" ht="15.75" customHeight="1" x14ac:dyDescent="0.25">
      <c r="K1128" s="40"/>
    </row>
    <row r="1129" spans="11:11" ht="15.75" customHeight="1" x14ac:dyDescent="0.25">
      <c r="K1129" s="40"/>
    </row>
    <row r="1130" spans="11:11" ht="15.75" customHeight="1" x14ac:dyDescent="0.25">
      <c r="K1130" s="40"/>
    </row>
    <row r="1131" spans="11:11" ht="15.75" customHeight="1" x14ac:dyDescent="0.25">
      <c r="K1131" s="40"/>
    </row>
    <row r="1132" spans="11:11" ht="15.75" customHeight="1" x14ac:dyDescent="0.25">
      <c r="K1132" s="40"/>
    </row>
    <row r="1133" spans="11:11" ht="15.75" customHeight="1" x14ac:dyDescent="0.25">
      <c r="K1133" s="40"/>
    </row>
    <row r="1134" spans="11:11" ht="15.75" customHeight="1" x14ac:dyDescent="0.25">
      <c r="K1134" s="40"/>
    </row>
    <row r="1135" spans="11:11" ht="15.75" customHeight="1" x14ac:dyDescent="0.25">
      <c r="K1135" s="40"/>
    </row>
    <row r="1136" spans="11:11" ht="15.75" customHeight="1" x14ac:dyDescent="0.25">
      <c r="K1136" s="40"/>
    </row>
    <row r="1137" spans="11:11" ht="15.75" customHeight="1" x14ac:dyDescent="0.25">
      <c r="K1137" s="40"/>
    </row>
    <row r="1138" spans="11:11" ht="15.75" customHeight="1" x14ac:dyDescent="0.25">
      <c r="K1138" s="40"/>
    </row>
    <row r="1139" spans="11:11" ht="15.75" customHeight="1" x14ac:dyDescent="0.25">
      <c r="K1139" s="40"/>
    </row>
    <row r="1140" spans="11:11" ht="15.75" customHeight="1" x14ac:dyDescent="0.25">
      <c r="K1140" s="40"/>
    </row>
    <row r="1141" spans="11:11" ht="15.75" customHeight="1" x14ac:dyDescent="0.25">
      <c r="K1141" s="40"/>
    </row>
    <row r="1142" spans="11:11" ht="15.75" customHeight="1" x14ac:dyDescent="0.25">
      <c r="K1142" s="40"/>
    </row>
    <row r="1143" spans="11:11" ht="15.75" customHeight="1" x14ac:dyDescent="0.25">
      <c r="K1143" s="40"/>
    </row>
    <row r="1144" spans="11:11" ht="15.75" customHeight="1" x14ac:dyDescent="0.25">
      <c r="K1144" s="40"/>
    </row>
    <row r="1145" spans="11:11" ht="15.75" customHeight="1" x14ac:dyDescent="0.25">
      <c r="K1145" s="40"/>
    </row>
    <row r="1146" spans="11:11" ht="15.75" customHeight="1" x14ac:dyDescent="0.25">
      <c r="K1146" s="40"/>
    </row>
    <row r="1147" spans="11:11" ht="15.75" customHeight="1" x14ac:dyDescent="0.25">
      <c r="K1147" s="40"/>
    </row>
    <row r="1148" spans="11:11" ht="15.75" customHeight="1" x14ac:dyDescent="0.25">
      <c r="K1148" s="40"/>
    </row>
    <row r="1149" spans="11:11" ht="15.75" customHeight="1" x14ac:dyDescent="0.25">
      <c r="K1149" s="40"/>
    </row>
    <row r="1150" spans="11:11" ht="15.75" customHeight="1" x14ac:dyDescent="0.25">
      <c r="K1150" s="40"/>
    </row>
    <row r="1151" spans="11:11" ht="15.75" customHeight="1" x14ac:dyDescent="0.25">
      <c r="K1151" s="40"/>
    </row>
    <row r="1152" spans="11:11" ht="15.75" customHeight="1" x14ac:dyDescent="0.25">
      <c r="K1152" s="40"/>
    </row>
    <row r="1153" spans="11:11" ht="15.75" customHeight="1" x14ac:dyDescent="0.25">
      <c r="K1153" s="40"/>
    </row>
    <row r="1154" spans="11:11" ht="15.75" customHeight="1" x14ac:dyDescent="0.25">
      <c r="K1154" s="40"/>
    </row>
    <row r="1155" spans="11:11" ht="15.75" customHeight="1" x14ac:dyDescent="0.25">
      <c r="K1155" s="40"/>
    </row>
    <row r="1156" spans="11:11" ht="15.75" customHeight="1" x14ac:dyDescent="0.25">
      <c r="K1156" s="40"/>
    </row>
    <row r="1157" spans="11:11" ht="15.75" customHeight="1" x14ac:dyDescent="0.25">
      <c r="K1157" s="40"/>
    </row>
    <row r="1158" spans="11:11" ht="15.75" customHeight="1" x14ac:dyDescent="0.25">
      <c r="K1158" s="40"/>
    </row>
    <row r="1159" spans="11:11" ht="15.75" customHeight="1" x14ac:dyDescent="0.25">
      <c r="K1159" s="40"/>
    </row>
    <row r="1160" spans="11:11" ht="15.75" customHeight="1" x14ac:dyDescent="0.25">
      <c r="K1160" s="40"/>
    </row>
    <row r="1161" spans="11:11" ht="15.75" customHeight="1" x14ac:dyDescent="0.25">
      <c r="K1161" s="40"/>
    </row>
    <row r="1162" spans="11:11" ht="15.75" customHeight="1" x14ac:dyDescent="0.25">
      <c r="K1162" s="40"/>
    </row>
    <row r="1163" spans="11:11" ht="15.75" customHeight="1" x14ac:dyDescent="0.25">
      <c r="K1163" s="40"/>
    </row>
    <row r="1164" spans="11:11" ht="15.75" customHeight="1" x14ac:dyDescent="0.25">
      <c r="K1164" s="40"/>
    </row>
    <row r="1165" spans="11:11" ht="15.75" customHeight="1" x14ac:dyDescent="0.25">
      <c r="K1165" s="40"/>
    </row>
    <row r="1166" spans="11:11" ht="15.75" customHeight="1" x14ac:dyDescent="0.25">
      <c r="K1166" s="40"/>
    </row>
    <row r="1167" spans="11:11" ht="15.75" customHeight="1" x14ac:dyDescent="0.25">
      <c r="K1167" s="40"/>
    </row>
    <row r="1168" spans="11:11" ht="15.75" customHeight="1" x14ac:dyDescent="0.25">
      <c r="K1168" s="40"/>
    </row>
    <row r="1169" spans="11:11" ht="15.75" customHeight="1" x14ac:dyDescent="0.25">
      <c r="K1169" s="40"/>
    </row>
    <row r="1170" spans="11:11" ht="15.75" customHeight="1" x14ac:dyDescent="0.25">
      <c r="K1170" s="40"/>
    </row>
    <row r="1171" spans="11:11" ht="15.75" customHeight="1" x14ac:dyDescent="0.25">
      <c r="K1171" s="40"/>
    </row>
    <row r="1172" spans="11:11" ht="15.75" customHeight="1" x14ac:dyDescent="0.25">
      <c r="K1172" s="40"/>
    </row>
    <row r="1173" spans="11:11" ht="15.75" customHeight="1" x14ac:dyDescent="0.25">
      <c r="K1173" s="40"/>
    </row>
    <row r="1174" spans="11:11" ht="15.75" customHeight="1" x14ac:dyDescent="0.25">
      <c r="K1174" s="40"/>
    </row>
    <row r="1175" spans="11:11" ht="15.75" customHeight="1" x14ac:dyDescent="0.25">
      <c r="K1175" s="40"/>
    </row>
    <row r="1176" spans="11:11" ht="15.75" customHeight="1" x14ac:dyDescent="0.25">
      <c r="K1176" s="40"/>
    </row>
    <row r="1177" spans="11:11" ht="15.75" customHeight="1" x14ac:dyDescent="0.25">
      <c r="K1177" s="40"/>
    </row>
    <row r="1178" spans="11:11" ht="15.75" customHeight="1" x14ac:dyDescent="0.25">
      <c r="K1178" s="40"/>
    </row>
    <row r="1179" spans="11:11" ht="15.75" customHeight="1" x14ac:dyDescent="0.25">
      <c r="K1179" s="40"/>
    </row>
    <row r="1180" spans="11:11" ht="15.75" customHeight="1" x14ac:dyDescent="0.25">
      <c r="K1180" s="40"/>
    </row>
    <row r="1181" spans="11:11" ht="15.75" customHeight="1" x14ac:dyDescent="0.25">
      <c r="K1181" s="40"/>
    </row>
    <row r="1182" spans="11:11" ht="15.75" customHeight="1" x14ac:dyDescent="0.25">
      <c r="K1182" s="40"/>
    </row>
    <row r="1183" spans="11:11" ht="15.75" customHeight="1" x14ac:dyDescent="0.25">
      <c r="K1183" s="40"/>
    </row>
    <row r="1184" spans="11:11" ht="15.75" customHeight="1" x14ac:dyDescent="0.25">
      <c r="K1184" s="40"/>
    </row>
    <row r="1185" spans="11:11" ht="15.75" customHeight="1" x14ac:dyDescent="0.25">
      <c r="K1185" s="40"/>
    </row>
    <row r="1186" spans="11:11" ht="15.75" customHeight="1" x14ac:dyDescent="0.25">
      <c r="K1186" s="40"/>
    </row>
    <row r="1187" spans="11:11" ht="15.75" customHeight="1" x14ac:dyDescent="0.25">
      <c r="K1187" s="40"/>
    </row>
    <row r="1188" spans="11:11" ht="15.75" customHeight="1" x14ac:dyDescent="0.25">
      <c r="K1188" s="40"/>
    </row>
    <row r="1189" spans="11:11" ht="15.75" customHeight="1" x14ac:dyDescent="0.25">
      <c r="K1189" s="40"/>
    </row>
    <row r="1190" spans="11:11" ht="15.75" customHeight="1" x14ac:dyDescent="0.25">
      <c r="K1190" s="40"/>
    </row>
    <row r="1191" spans="11:11" ht="15.75" customHeight="1" x14ac:dyDescent="0.25">
      <c r="K1191" s="40"/>
    </row>
    <row r="1192" spans="11:11" ht="15.75" customHeight="1" x14ac:dyDescent="0.25">
      <c r="K1192" s="40"/>
    </row>
    <row r="1193" spans="11:11" ht="15.75" customHeight="1" x14ac:dyDescent="0.25">
      <c r="K1193" s="40"/>
    </row>
    <row r="1194" spans="11:11" ht="15.75" customHeight="1" x14ac:dyDescent="0.25">
      <c r="K1194" s="40"/>
    </row>
    <row r="1195" spans="11:11" ht="15.75" customHeight="1" x14ac:dyDescent="0.25">
      <c r="K1195" s="40"/>
    </row>
    <row r="1196" spans="11:11" ht="15.75" customHeight="1" x14ac:dyDescent="0.25">
      <c r="K1196" s="40"/>
    </row>
    <row r="1197" spans="11:11" ht="15.75" customHeight="1" x14ac:dyDescent="0.25">
      <c r="K1197" s="40"/>
    </row>
    <row r="1198" spans="11:11" ht="15.75" customHeight="1" x14ac:dyDescent="0.25">
      <c r="K1198" s="40"/>
    </row>
    <row r="1199" spans="11:11" ht="15.75" customHeight="1" x14ac:dyDescent="0.25">
      <c r="K1199" s="40"/>
    </row>
    <row r="1200" spans="11:11" ht="15.75" customHeight="1" x14ac:dyDescent="0.25">
      <c r="K1200" s="40"/>
    </row>
    <row r="1201" spans="11:11" ht="15.75" customHeight="1" x14ac:dyDescent="0.25">
      <c r="K1201" s="40"/>
    </row>
    <row r="1202" spans="11:11" ht="15.75" customHeight="1" x14ac:dyDescent="0.25">
      <c r="K1202" s="40"/>
    </row>
    <row r="1203" spans="11:11" ht="15.75" customHeight="1" x14ac:dyDescent="0.25">
      <c r="K1203" s="40"/>
    </row>
    <row r="1204" spans="11:11" ht="15.75" customHeight="1" x14ac:dyDescent="0.25">
      <c r="K1204"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2" fitToHeight="0" orientation="portrait" r:id="rId1"/>
  <rowBreaks count="1" manualBreakCount="1">
    <brk id="242"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774"/>
  <sheetViews>
    <sheetView view="pageBreakPreview" zoomScale="130" zoomScaleNormal="100" zoomScaleSheetLayoutView="130" workbookViewId="0">
      <selection activeCell="A6" sqref="A6:G6"/>
    </sheetView>
  </sheetViews>
  <sheetFormatPr defaultColWidth="14.42578125" defaultRowHeight="15" customHeight="1" x14ac:dyDescent="0.25"/>
  <cols>
    <col min="1" max="1" width="77.7109375" customWidth="1"/>
    <col min="2" max="2" width="14.42578125" customWidth="1"/>
    <col min="3" max="3" width="17.7109375" hidden="1" customWidth="1"/>
    <col min="4" max="6" width="16.85546875" hidden="1" customWidth="1"/>
    <col min="7" max="8" width="16.85546875" customWidth="1"/>
    <col min="9" max="9" width="14.5703125" customWidth="1"/>
    <col min="10" max="10" width="13.28515625" customWidth="1"/>
    <col min="11" max="11" width="13.28515625" bestFit="1" customWidth="1"/>
    <col min="12" max="26" width="10.28515625" customWidth="1"/>
  </cols>
  <sheetData>
    <row r="1" spans="1:26" ht="15.75" customHeight="1" x14ac:dyDescent="0.25">
      <c r="A1" s="9"/>
      <c r="B1" s="104"/>
      <c r="C1" s="105"/>
      <c r="D1" s="105"/>
      <c r="E1" s="105"/>
      <c r="F1" s="10"/>
      <c r="G1" s="180"/>
      <c r="H1" s="15"/>
      <c r="I1" s="15"/>
      <c r="J1" s="15"/>
      <c r="K1" s="15"/>
      <c r="L1" s="15"/>
      <c r="M1" s="15"/>
      <c r="N1" s="15"/>
      <c r="O1" s="15"/>
      <c r="P1" s="15"/>
      <c r="Q1" s="15"/>
      <c r="R1" s="15"/>
      <c r="S1" s="15"/>
      <c r="T1" s="15"/>
      <c r="U1" s="15"/>
      <c r="V1" s="15"/>
      <c r="W1" s="15"/>
      <c r="X1" s="15"/>
      <c r="Y1" s="15"/>
      <c r="Z1" s="15"/>
    </row>
    <row r="2" spans="1:26" ht="15.75" customHeight="1" x14ac:dyDescent="0.25">
      <c r="A2" s="17" t="s">
        <v>489</v>
      </c>
      <c r="B2" s="25"/>
      <c r="C2" s="24"/>
      <c r="D2" s="24"/>
      <c r="E2" s="24"/>
      <c r="F2" s="15"/>
      <c r="G2" s="181"/>
      <c r="H2" s="15"/>
      <c r="I2" s="15"/>
      <c r="J2" s="15"/>
      <c r="K2" s="15"/>
      <c r="L2" s="15"/>
      <c r="M2" s="15"/>
      <c r="N2" s="15"/>
      <c r="O2" s="15"/>
      <c r="P2" s="15"/>
      <c r="Q2" s="15"/>
      <c r="R2" s="15"/>
      <c r="S2" s="15"/>
      <c r="T2" s="15"/>
      <c r="U2" s="15"/>
      <c r="V2" s="15"/>
      <c r="W2" s="15"/>
      <c r="X2" s="15"/>
      <c r="Y2" s="15"/>
      <c r="Z2" s="15"/>
    </row>
    <row r="3" spans="1:26" ht="15.75" customHeight="1" x14ac:dyDescent="0.25">
      <c r="A3" s="17"/>
      <c r="B3" s="25"/>
      <c r="C3" s="24"/>
      <c r="D3" s="24"/>
      <c r="E3" s="24"/>
      <c r="F3" s="15"/>
      <c r="G3" s="181"/>
      <c r="H3" s="15"/>
      <c r="I3" s="15"/>
      <c r="J3" s="15"/>
      <c r="K3" s="15"/>
      <c r="L3" s="15"/>
      <c r="M3" s="15"/>
      <c r="N3" s="15"/>
      <c r="O3" s="15"/>
      <c r="P3" s="15"/>
      <c r="Q3" s="15"/>
      <c r="R3" s="15"/>
      <c r="S3" s="15"/>
      <c r="T3" s="15"/>
      <c r="U3" s="15"/>
      <c r="V3" s="15"/>
      <c r="W3" s="15"/>
      <c r="X3" s="15"/>
      <c r="Y3" s="15"/>
      <c r="Z3" s="15"/>
    </row>
    <row r="4" spans="1:26" ht="15.75" customHeight="1" x14ac:dyDescent="0.25">
      <c r="A4" s="108" t="s">
        <v>1760</v>
      </c>
      <c r="B4" s="25"/>
      <c r="C4" s="26"/>
      <c r="D4" s="26"/>
      <c r="E4" s="26"/>
      <c r="F4" s="14"/>
      <c r="G4" s="181"/>
      <c r="H4" s="15"/>
      <c r="I4" s="15"/>
      <c r="J4" s="15"/>
      <c r="K4" s="15"/>
      <c r="L4" s="15"/>
      <c r="M4" s="15"/>
      <c r="N4" s="15"/>
      <c r="O4" s="15"/>
      <c r="P4" s="15"/>
      <c r="Q4" s="15"/>
      <c r="R4" s="15"/>
      <c r="S4" s="15"/>
      <c r="T4" s="15"/>
      <c r="U4" s="15"/>
      <c r="V4" s="15"/>
      <c r="W4" s="15"/>
      <c r="X4" s="15"/>
      <c r="Y4" s="15"/>
      <c r="Z4" s="15"/>
    </row>
    <row r="5" spans="1:26" ht="15.75" customHeight="1" x14ac:dyDescent="0.25">
      <c r="A5" s="108"/>
      <c r="B5" s="25"/>
      <c r="C5" s="26"/>
      <c r="D5" s="26"/>
      <c r="E5" s="26"/>
      <c r="F5" s="14"/>
      <c r="G5" s="181"/>
      <c r="H5" s="15"/>
      <c r="I5" s="15"/>
      <c r="J5" s="15"/>
      <c r="K5" s="15"/>
      <c r="L5" s="15"/>
      <c r="M5" s="15"/>
      <c r="N5" s="15"/>
      <c r="O5" s="15"/>
      <c r="P5" s="15"/>
      <c r="Q5" s="15"/>
      <c r="R5" s="15"/>
      <c r="S5" s="15"/>
      <c r="T5" s="15"/>
      <c r="U5" s="15"/>
      <c r="V5" s="15"/>
      <c r="W5" s="15"/>
      <c r="X5" s="15"/>
      <c r="Y5" s="15"/>
      <c r="Z5" s="15"/>
    </row>
    <row r="6" spans="1:26" ht="15.75" customHeight="1" x14ac:dyDescent="0.25">
      <c r="A6" s="865" t="s">
        <v>352</v>
      </c>
      <c r="B6" s="866"/>
      <c r="C6" s="866"/>
      <c r="D6" s="866"/>
      <c r="E6" s="866"/>
      <c r="F6" s="866"/>
      <c r="G6" s="867"/>
      <c r="H6" s="15"/>
      <c r="I6" s="15"/>
      <c r="J6" s="15"/>
      <c r="K6" s="15"/>
      <c r="L6" s="15"/>
      <c r="M6" s="15"/>
      <c r="N6" s="15"/>
      <c r="O6" s="15"/>
      <c r="P6" s="15"/>
      <c r="Q6" s="15"/>
      <c r="R6" s="15"/>
      <c r="S6" s="15"/>
      <c r="T6" s="15"/>
      <c r="U6" s="15"/>
      <c r="V6" s="15"/>
      <c r="W6" s="15"/>
      <c r="X6" s="15"/>
      <c r="Y6" s="15"/>
      <c r="Z6" s="15"/>
    </row>
    <row r="7" spans="1:26" ht="15.75" customHeight="1" x14ac:dyDescent="0.25">
      <c r="A7" s="868" t="s">
        <v>1194</v>
      </c>
      <c r="B7" s="857" t="s">
        <v>354</v>
      </c>
      <c r="C7" s="870" t="s">
        <v>355</v>
      </c>
      <c r="D7" s="872" t="s">
        <v>356</v>
      </c>
      <c r="E7" s="873"/>
      <c r="F7" s="874"/>
      <c r="G7" s="857" t="s">
        <v>357</v>
      </c>
      <c r="H7" s="15"/>
      <c r="I7" s="15"/>
      <c r="J7" s="15"/>
      <c r="K7" s="15"/>
      <c r="L7" s="15"/>
      <c r="M7" s="15"/>
      <c r="N7" s="15"/>
      <c r="O7" s="15"/>
      <c r="P7" s="15"/>
      <c r="Q7" s="15"/>
      <c r="R7" s="15"/>
      <c r="S7" s="15"/>
      <c r="T7" s="15"/>
      <c r="U7" s="15"/>
      <c r="V7" s="15"/>
      <c r="W7" s="15"/>
      <c r="X7" s="15"/>
      <c r="Y7" s="15"/>
      <c r="Z7" s="15"/>
    </row>
    <row r="8" spans="1:26" ht="15.75" customHeight="1" x14ac:dyDescent="0.25">
      <c r="A8" s="858"/>
      <c r="B8" s="858"/>
      <c r="C8" s="871"/>
      <c r="D8" s="28" t="s">
        <v>358</v>
      </c>
      <c r="E8" s="29" t="s">
        <v>359</v>
      </c>
      <c r="F8" s="875" t="s">
        <v>360</v>
      </c>
      <c r="G8" s="858"/>
      <c r="H8" s="15"/>
      <c r="I8" s="15"/>
      <c r="J8" s="15"/>
      <c r="K8" s="15"/>
      <c r="L8" s="15"/>
      <c r="M8" s="15"/>
      <c r="N8" s="15"/>
      <c r="O8" s="15"/>
      <c r="P8" s="15"/>
      <c r="Q8" s="15"/>
      <c r="R8" s="15"/>
      <c r="S8" s="15"/>
      <c r="T8" s="15"/>
      <c r="U8" s="15"/>
      <c r="V8" s="15"/>
      <c r="W8" s="15"/>
      <c r="X8" s="15"/>
      <c r="Y8" s="15"/>
      <c r="Z8" s="15"/>
    </row>
    <row r="9" spans="1:26" ht="15.75" customHeight="1" x14ac:dyDescent="0.25">
      <c r="A9" s="858"/>
      <c r="B9" s="858"/>
      <c r="C9" s="30" t="s">
        <v>361</v>
      </c>
      <c r="D9" s="31" t="s">
        <v>361</v>
      </c>
      <c r="E9" s="32" t="s">
        <v>362</v>
      </c>
      <c r="F9" s="860"/>
      <c r="G9" s="442" t="s">
        <v>2669</v>
      </c>
      <c r="H9" s="15"/>
      <c r="I9" s="15"/>
      <c r="J9" s="15"/>
      <c r="K9" s="15"/>
      <c r="L9" s="15"/>
      <c r="M9" s="15"/>
      <c r="N9" s="15"/>
      <c r="O9" s="15"/>
      <c r="P9" s="15"/>
      <c r="Q9" s="15"/>
      <c r="R9" s="15"/>
      <c r="S9" s="15"/>
      <c r="T9" s="15"/>
      <c r="U9" s="15"/>
      <c r="V9" s="15"/>
      <c r="W9" s="15"/>
      <c r="X9" s="15"/>
      <c r="Y9" s="15"/>
      <c r="Z9" s="15"/>
    </row>
    <row r="10" spans="1:26" ht="15.75" customHeight="1" x14ac:dyDescent="0.25">
      <c r="A10" s="869"/>
      <c r="B10" s="869"/>
      <c r="C10" s="33">
        <v>2024</v>
      </c>
      <c r="D10" s="34">
        <v>2025</v>
      </c>
      <c r="E10" s="35">
        <v>2025</v>
      </c>
      <c r="F10" s="34">
        <v>2025</v>
      </c>
      <c r="G10" s="36" t="s">
        <v>2668</v>
      </c>
      <c r="H10" s="15"/>
      <c r="I10" s="15"/>
      <c r="J10" s="15"/>
      <c r="K10" s="15"/>
      <c r="L10" s="15"/>
      <c r="M10" s="15"/>
      <c r="N10" s="15"/>
      <c r="O10" s="15"/>
      <c r="P10" s="15"/>
      <c r="Q10" s="15"/>
      <c r="R10" s="15"/>
      <c r="S10" s="15"/>
      <c r="T10" s="15"/>
      <c r="U10" s="15"/>
      <c r="V10" s="15"/>
      <c r="W10" s="15"/>
      <c r="X10" s="15"/>
      <c r="Y10" s="15"/>
      <c r="Z10" s="15"/>
    </row>
    <row r="11" spans="1:26" ht="15" customHeight="1" x14ac:dyDescent="0.25">
      <c r="A11" s="17" t="s">
        <v>364</v>
      </c>
      <c r="B11" s="172"/>
      <c r="C11" s="42"/>
      <c r="D11" s="42"/>
      <c r="E11" s="42"/>
      <c r="F11" s="42"/>
      <c r="G11" s="42"/>
    </row>
    <row r="12" spans="1:26" ht="15" customHeight="1" x14ac:dyDescent="0.25">
      <c r="A12" s="42" t="s">
        <v>1463</v>
      </c>
      <c r="B12" s="199"/>
      <c r="C12" s="42"/>
      <c r="D12" s="42"/>
      <c r="E12" s="42"/>
      <c r="F12" s="42"/>
      <c r="G12" s="42"/>
      <c r="I12" s="262"/>
    </row>
    <row r="13" spans="1:26" ht="15" customHeight="1" x14ac:dyDescent="0.25">
      <c r="A13" s="17" t="s">
        <v>499</v>
      </c>
      <c r="B13" s="41"/>
      <c r="C13" s="43"/>
      <c r="D13" s="43"/>
      <c r="E13" s="43"/>
      <c r="F13" s="141"/>
      <c r="G13" s="197"/>
      <c r="H13" s="7"/>
    </row>
    <row r="14" spans="1:26" ht="15" customHeight="1" x14ac:dyDescent="0.25">
      <c r="A14" s="44" t="s">
        <v>398</v>
      </c>
      <c r="B14" s="41" t="s">
        <v>195</v>
      </c>
      <c r="C14" s="43">
        <v>8595.8799999999992</v>
      </c>
      <c r="D14" s="43">
        <v>20177.75</v>
      </c>
      <c r="E14" s="43">
        <f t="shared" ref="E14:E20" si="0">F14-D14</f>
        <v>3395.25</v>
      </c>
      <c r="F14" s="43">
        <v>23573</v>
      </c>
      <c r="G14" s="43">
        <v>24196</v>
      </c>
      <c r="H14" s="7"/>
    </row>
    <row r="15" spans="1:26" ht="15" customHeight="1" x14ac:dyDescent="0.25">
      <c r="A15" s="44" t="s">
        <v>819</v>
      </c>
      <c r="B15" s="41" t="s">
        <v>203</v>
      </c>
      <c r="C15" s="26">
        <v>371885.93</v>
      </c>
      <c r="D15" s="43">
        <v>397837.5</v>
      </c>
      <c r="E15" s="43">
        <f t="shared" si="0"/>
        <v>5622.5</v>
      </c>
      <c r="F15" s="43">
        <v>403460</v>
      </c>
      <c r="G15" s="43">
        <v>655133</v>
      </c>
      <c r="H15" s="7"/>
    </row>
    <row r="16" spans="1:26" ht="15" customHeight="1" x14ac:dyDescent="0.25">
      <c r="A16" s="44" t="s">
        <v>841</v>
      </c>
      <c r="B16" s="41" t="s">
        <v>207</v>
      </c>
      <c r="C16" s="43">
        <v>3112348.6</v>
      </c>
      <c r="D16" s="43">
        <v>2504625</v>
      </c>
      <c r="E16" s="43">
        <f t="shared" si="0"/>
        <v>1125</v>
      </c>
      <c r="F16" s="43">
        <v>2505750</v>
      </c>
      <c r="G16" s="43">
        <v>2010828</v>
      </c>
      <c r="H16" s="7"/>
    </row>
    <row r="17" spans="1:11" ht="15" customHeight="1" x14ac:dyDescent="0.25">
      <c r="A17" s="96" t="s">
        <v>807</v>
      </c>
      <c r="B17" s="41" t="s">
        <v>209</v>
      </c>
      <c r="C17" s="43">
        <v>0</v>
      </c>
      <c r="D17" s="43">
        <v>18484</v>
      </c>
      <c r="E17" s="43">
        <f t="shared" si="0"/>
        <v>2056</v>
      </c>
      <c r="F17" s="43">
        <v>20540</v>
      </c>
      <c r="G17" s="43">
        <v>23975</v>
      </c>
      <c r="H17" s="7"/>
    </row>
    <row r="18" spans="1:11" ht="15" customHeight="1" x14ac:dyDescent="0.25">
      <c r="A18" s="96" t="s">
        <v>400</v>
      </c>
      <c r="B18" s="41" t="s">
        <v>221</v>
      </c>
      <c r="C18" s="43">
        <v>0</v>
      </c>
      <c r="D18" s="43">
        <v>3710</v>
      </c>
      <c r="E18" s="43">
        <f t="shared" si="0"/>
        <v>10</v>
      </c>
      <c r="F18" s="43">
        <v>3720</v>
      </c>
      <c r="G18" s="43">
        <f>3105+471+405+324+1350+15000+2295+6500+7200+7500+3600</f>
        <v>47750</v>
      </c>
      <c r="H18" s="7"/>
    </row>
    <row r="19" spans="1:11" ht="15.75" customHeight="1" x14ac:dyDescent="0.25">
      <c r="A19" s="74" t="s">
        <v>538</v>
      </c>
      <c r="B19" s="41" t="s">
        <v>223</v>
      </c>
      <c r="C19" s="43">
        <v>0</v>
      </c>
      <c r="D19" s="43">
        <v>3495</v>
      </c>
      <c r="E19" s="43">
        <f t="shared" si="0"/>
        <v>5</v>
      </c>
      <c r="F19" s="43">
        <v>3500</v>
      </c>
      <c r="G19" s="66">
        <v>29300</v>
      </c>
      <c r="H19" s="7"/>
    </row>
    <row r="20" spans="1:11" ht="15" customHeight="1" x14ac:dyDescent="0.25">
      <c r="A20" s="44" t="s">
        <v>402</v>
      </c>
      <c r="B20" s="41" t="s">
        <v>225</v>
      </c>
      <c r="C20" s="43">
        <v>92291.05</v>
      </c>
      <c r="D20" s="43">
        <v>53867</v>
      </c>
      <c r="E20" s="43">
        <f t="shared" si="0"/>
        <v>1367</v>
      </c>
      <c r="F20" s="43">
        <v>55234</v>
      </c>
      <c r="G20" s="66">
        <v>190733</v>
      </c>
      <c r="H20" s="7"/>
    </row>
    <row r="21" spans="1:11" ht="15" customHeight="1" x14ac:dyDescent="0.25">
      <c r="A21" s="17" t="s">
        <v>503</v>
      </c>
      <c r="B21" s="41"/>
      <c r="C21" s="43"/>
      <c r="D21" s="43"/>
      <c r="E21" s="43"/>
      <c r="F21" s="43"/>
      <c r="G21" s="46"/>
      <c r="H21" s="7"/>
    </row>
    <row r="22" spans="1:11" ht="15" customHeight="1" x14ac:dyDescent="0.25">
      <c r="A22" s="44" t="s">
        <v>504</v>
      </c>
      <c r="B22" s="41" t="s">
        <v>237</v>
      </c>
      <c r="C22" s="43">
        <v>13616.54</v>
      </c>
      <c r="D22" s="43">
        <v>7794</v>
      </c>
      <c r="E22" s="43">
        <f>F22-D22</f>
        <v>11406</v>
      </c>
      <c r="F22" s="43">
        <v>19200</v>
      </c>
      <c r="G22" s="66">
        <v>19200</v>
      </c>
      <c r="H22" s="7"/>
    </row>
    <row r="23" spans="1:11" ht="15" customHeight="1" x14ac:dyDescent="0.25">
      <c r="A23" s="17" t="s">
        <v>424</v>
      </c>
      <c r="B23" s="41"/>
      <c r="C23" s="43"/>
      <c r="D23" s="43"/>
      <c r="E23" s="43"/>
      <c r="F23" s="43"/>
      <c r="G23" s="43"/>
      <c r="H23" s="7"/>
    </row>
    <row r="24" spans="1:11" ht="15" customHeight="1" x14ac:dyDescent="0.25">
      <c r="A24" s="44" t="s">
        <v>424</v>
      </c>
      <c r="B24" s="41" t="s">
        <v>335</v>
      </c>
      <c r="C24" s="43">
        <v>1494704.93</v>
      </c>
      <c r="D24" s="43">
        <v>693052.43</v>
      </c>
      <c r="E24" s="43">
        <f>F24-D24</f>
        <v>985627.57</v>
      </c>
      <c r="F24" s="43">
        <v>1678680</v>
      </c>
      <c r="G24" s="43">
        <v>2686392</v>
      </c>
      <c r="H24" s="7"/>
    </row>
    <row r="25" spans="1:11" ht="15" customHeight="1" x14ac:dyDescent="0.25">
      <c r="A25" s="96" t="s">
        <v>1761</v>
      </c>
      <c r="B25" s="172"/>
      <c r="C25" s="45"/>
      <c r="D25" s="43"/>
      <c r="E25" s="43"/>
      <c r="F25" s="43"/>
      <c r="G25" s="43"/>
      <c r="H25" s="7">
        <v>22200</v>
      </c>
      <c r="K25" s="570">
        <f>+SUM(K28:K31)+SUM(H25:H27)</f>
        <v>2686392</v>
      </c>
    </row>
    <row r="26" spans="1:11" ht="15" customHeight="1" x14ac:dyDescent="0.25">
      <c r="A26" s="96" t="s">
        <v>648</v>
      </c>
      <c r="B26" s="172"/>
      <c r="C26" s="45"/>
      <c r="D26" s="43"/>
      <c r="E26" s="43"/>
      <c r="F26" s="43"/>
      <c r="G26" s="43"/>
      <c r="H26" s="7"/>
    </row>
    <row r="27" spans="1:11" ht="15" customHeight="1" x14ac:dyDescent="0.25">
      <c r="A27" s="74" t="s">
        <v>1762</v>
      </c>
      <c r="B27" s="172"/>
      <c r="C27" s="45"/>
      <c r="D27" s="43"/>
      <c r="E27" s="43"/>
      <c r="F27" s="43"/>
      <c r="G27" s="43"/>
      <c r="H27" s="7">
        <f>50000*12</f>
        <v>600000</v>
      </c>
    </row>
    <row r="28" spans="1:11" ht="34.5" customHeight="1" x14ac:dyDescent="0.25">
      <c r="A28" s="90" t="s">
        <v>2782</v>
      </c>
      <c r="B28" s="172"/>
      <c r="C28" s="45"/>
      <c r="D28" s="43"/>
      <c r="E28" s="43"/>
      <c r="F28" s="43"/>
      <c r="G28" s="43"/>
      <c r="H28" s="7">
        <v>678</v>
      </c>
      <c r="I28" s="57">
        <f t="shared" ref="I28:I31" si="1">26*12</f>
        <v>312</v>
      </c>
      <c r="J28" s="57">
        <v>4</v>
      </c>
      <c r="K28" s="57">
        <f t="shared" ref="K28:K31" si="2">J28*I28*H28</f>
        <v>846144</v>
      </c>
    </row>
    <row r="29" spans="1:11" ht="15" customHeight="1" x14ac:dyDescent="0.25">
      <c r="A29" s="74" t="s">
        <v>1724</v>
      </c>
      <c r="B29" s="172"/>
      <c r="C29" s="45"/>
      <c r="D29" s="43"/>
      <c r="E29" s="43"/>
      <c r="F29" s="43"/>
      <c r="G29" s="43"/>
      <c r="H29" s="7">
        <v>678</v>
      </c>
      <c r="I29" s="57">
        <f t="shared" si="1"/>
        <v>312</v>
      </c>
      <c r="J29" s="57">
        <v>2</v>
      </c>
      <c r="K29" s="57">
        <f t="shared" si="2"/>
        <v>423072</v>
      </c>
    </row>
    <row r="30" spans="1:11" ht="15" customHeight="1" x14ac:dyDescent="0.25">
      <c r="A30" s="74" t="s">
        <v>2783</v>
      </c>
      <c r="B30" s="172"/>
      <c r="C30" s="45"/>
      <c r="D30" s="43"/>
      <c r="E30" s="43"/>
      <c r="F30" s="43"/>
      <c r="G30" s="43"/>
      <c r="H30" s="7">
        <v>720</v>
      </c>
      <c r="I30" s="57">
        <f t="shared" si="1"/>
        <v>312</v>
      </c>
      <c r="J30" s="57">
        <v>1</v>
      </c>
      <c r="K30" s="57">
        <f t="shared" si="2"/>
        <v>224640</v>
      </c>
    </row>
    <row r="31" spans="1:11" ht="15" customHeight="1" x14ac:dyDescent="0.25">
      <c r="A31" s="74" t="s">
        <v>1705</v>
      </c>
      <c r="B31" s="172"/>
      <c r="C31" s="45"/>
      <c r="D31" s="43"/>
      <c r="E31" s="43"/>
      <c r="F31" s="43"/>
      <c r="G31" s="43"/>
      <c r="H31" s="7">
        <v>1828</v>
      </c>
      <c r="I31" s="57">
        <f t="shared" si="1"/>
        <v>312</v>
      </c>
      <c r="J31" s="57">
        <v>1</v>
      </c>
      <c r="K31" s="57">
        <f t="shared" si="2"/>
        <v>570336</v>
      </c>
    </row>
    <row r="32" spans="1:11" ht="15" customHeight="1" x14ac:dyDescent="0.25">
      <c r="A32" s="17" t="s">
        <v>466</v>
      </c>
      <c r="B32" s="172"/>
      <c r="C32" s="79">
        <f>SUM(C14:C24)</f>
        <v>5093442.93</v>
      </c>
      <c r="D32" s="54">
        <f>SUM(D14:D24)</f>
        <v>3703042.68</v>
      </c>
      <c r="E32" s="54">
        <f>SUM(E14:E24)</f>
        <v>1010614.32</v>
      </c>
      <c r="F32" s="54">
        <f>SUM(F14:F24)</f>
        <v>4713657</v>
      </c>
      <c r="G32" s="54">
        <f>SUM(G14:G24)</f>
        <v>5687507</v>
      </c>
      <c r="H32" s="7"/>
    </row>
    <row r="33" spans="1:26" ht="15" customHeight="1" x14ac:dyDescent="0.25">
      <c r="A33" s="42"/>
      <c r="B33" s="172"/>
      <c r="C33" s="43"/>
      <c r="D33" s="43"/>
      <c r="E33" s="43"/>
      <c r="F33" s="43"/>
      <c r="G33" s="43"/>
      <c r="H33" s="7"/>
    </row>
    <row r="34" spans="1:26" ht="15" customHeight="1" x14ac:dyDescent="0.25">
      <c r="A34" s="17" t="s">
        <v>467</v>
      </c>
      <c r="B34" s="172"/>
      <c r="C34" s="43">
        <f t="shared" ref="C34:G34" si="3">C32</f>
        <v>5093442.93</v>
      </c>
      <c r="D34" s="43">
        <f t="shared" si="3"/>
        <v>3703042.68</v>
      </c>
      <c r="E34" s="43">
        <f t="shared" si="3"/>
        <v>1010614.32</v>
      </c>
      <c r="F34" s="43">
        <f t="shared" si="3"/>
        <v>4713657</v>
      </c>
      <c r="G34" s="43">
        <f t="shared" si="3"/>
        <v>5687507</v>
      </c>
      <c r="H34" s="7"/>
    </row>
    <row r="35" spans="1:26" ht="15" customHeight="1" x14ac:dyDescent="0.25">
      <c r="A35" s="17"/>
      <c r="B35" s="172"/>
      <c r="C35" s="43"/>
      <c r="D35" s="43"/>
      <c r="E35" s="43"/>
      <c r="F35" s="43"/>
      <c r="G35" s="43"/>
      <c r="H35" s="7"/>
    </row>
    <row r="36" spans="1:26" ht="15" customHeight="1" x14ac:dyDescent="0.25">
      <c r="A36" s="50" t="s">
        <v>487</v>
      </c>
      <c r="B36" s="133" t="s">
        <v>488</v>
      </c>
      <c r="C36" s="54">
        <f t="shared" ref="C36:G36" si="4">C34</f>
        <v>5093442.93</v>
      </c>
      <c r="D36" s="54">
        <f t="shared" si="4"/>
        <v>3703042.68</v>
      </c>
      <c r="E36" s="54">
        <f t="shared" si="4"/>
        <v>1010614.32</v>
      </c>
      <c r="F36" s="54">
        <f t="shared" si="4"/>
        <v>4713657</v>
      </c>
      <c r="G36" s="54">
        <f t="shared" si="4"/>
        <v>5687507</v>
      </c>
      <c r="H36" s="7"/>
    </row>
    <row r="37" spans="1:26" ht="15" customHeight="1" x14ac:dyDescent="0.25">
      <c r="A37" s="24"/>
      <c r="B37" s="25"/>
      <c r="C37" s="26"/>
      <c r="D37" s="26"/>
      <c r="E37" s="26"/>
      <c r="F37" s="26"/>
      <c r="G37" s="26"/>
      <c r="H37" s="7"/>
    </row>
    <row r="38" spans="1:26" ht="15.75" customHeight="1" x14ac:dyDescent="0.25">
      <c r="A38" s="24"/>
      <c r="B38" s="25"/>
      <c r="C38" s="24"/>
      <c r="D38" s="24"/>
      <c r="E38" s="24"/>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9"/>
      <c r="B39" s="104"/>
      <c r="C39" s="105"/>
      <c r="D39" s="105"/>
      <c r="E39" s="105"/>
      <c r="F39" s="10"/>
      <c r="G39" s="180"/>
      <c r="H39" s="15"/>
      <c r="I39" s="15"/>
      <c r="J39" s="15"/>
      <c r="K39" s="15"/>
      <c r="L39" s="15"/>
      <c r="M39" s="15"/>
      <c r="N39" s="15"/>
      <c r="O39" s="15"/>
      <c r="P39" s="15"/>
      <c r="Q39" s="15"/>
      <c r="R39" s="15"/>
      <c r="S39" s="15"/>
      <c r="T39" s="15"/>
      <c r="U39" s="15"/>
      <c r="V39" s="15"/>
      <c r="W39" s="15"/>
      <c r="X39" s="15"/>
      <c r="Y39" s="15"/>
      <c r="Z39" s="15"/>
    </row>
    <row r="40" spans="1:26" ht="15.75" customHeight="1" x14ac:dyDescent="0.25">
      <c r="A40" s="108" t="s">
        <v>1763</v>
      </c>
      <c r="B40" s="25"/>
      <c r="C40" s="26"/>
      <c r="D40" s="26"/>
      <c r="E40" s="26"/>
      <c r="F40" s="14"/>
      <c r="G40" s="181"/>
      <c r="H40" s="15"/>
      <c r="I40" s="15"/>
      <c r="J40" s="15"/>
      <c r="K40" s="15"/>
      <c r="L40" s="15"/>
      <c r="M40" s="15"/>
      <c r="N40" s="15"/>
      <c r="O40" s="15"/>
      <c r="P40" s="15"/>
      <c r="Q40" s="15"/>
      <c r="R40" s="15"/>
      <c r="S40" s="15"/>
      <c r="T40" s="15"/>
      <c r="U40" s="15"/>
      <c r="V40" s="15"/>
      <c r="W40" s="15"/>
      <c r="X40" s="15"/>
      <c r="Y40" s="15"/>
      <c r="Z40" s="15"/>
    </row>
    <row r="41" spans="1:26" ht="15.75" customHeight="1" x14ac:dyDescent="0.25">
      <c r="A41" s="108"/>
      <c r="B41" s="25"/>
      <c r="C41" s="26"/>
      <c r="D41" s="26"/>
      <c r="E41" s="26"/>
      <c r="F41" s="14"/>
      <c r="G41" s="181"/>
      <c r="H41" s="15"/>
      <c r="I41" s="15"/>
      <c r="J41" s="15"/>
      <c r="K41" s="15"/>
      <c r="L41" s="15"/>
      <c r="M41" s="15"/>
      <c r="N41" s="15"/>
      <c r="O41" s="15"/>
      <c r="P41" s="15"/>
      <c r="Q41" s="15"/>
      <c r="R41" s="15"/>
      <c r="S41" s="15"/>
      <c r="T41" s="15"/>
      <c r="U41" s="15"/>
      <c r="V41" s="15"/>
      <c r="W41" s="15"/>
      <c r="X41" s="15"/>
      <c r="Y41" s="15"/>
      <c r="Z41" s="15"/>
    </row>
    <row r="42" spans="1:26" ht="15.75" customHeight="1" x14ac:dyDescent="0.25">
      <c r="A42" s="865" t="s">
        <v>352</v>
      </c>
      <c r="B42" s="866"/>
      <c r="C42" s="866"/>
      <c r="D42" s="866"/>
      <c r="E42" s="866"/>
      <c r="F42" s="866"/>
      <c r="G42" s="867"/>
      <c r="H42" s="15"/>
      <c r="I42" s="15"/>
      <c r="J42" s="15"/>
      <c r="K42" s="15"/>
      <c r="L42" s="15"/>
      <c r="M42" s="15"/>
      <c r="N42" s="15"/>
      <c r="O42" s="15"/>
      <c r="P42" s="15"/>
      <c r="Q42" s="15"/>
      <c r="R42" s="15"/>
      <c r="S42" s="15"/>
      <c r="T42" s="15"/>
      <c r="U42" s="15"/>
      <c r="V42" s="15"/>
      <c r="W42" s="15"/>
      <c r="X42" s="15"/>
      <c r="Y42" s="15"/>
      <c r="Z42" s="15"/>
    </row>
    <row r="43" spans="1:26" ht="15.75" customHeight="1" x14ac:dyDescent="0.25">
      <c r="A43" s="868" t="s">
        <v>353</v>
      </c>
      <c r="B43" s="857" t="s">
        <v>354</v>
      </c>
      <c r="C43" s="870" t="s">
        <v>355</v>
      </c>
      <c r="D43" s="872" t="s">
        <v>356</v>
      </c>
      <c r="E43" s="873"/>
      <c r="F43" s="874"/>
      <c r="G43" s="857" t="s">
        <v>357</v>
      </c>
      <c r="H43" s="15"/>
      <c r="I43" s="15"/>
      <c r="J43" s="15"/>
      <c r="K43" s="15"/>
      <c r="L43" s="15"/>
      <c r="M43" s="15"/>
      <c r="N43" s="15"/>
      <c r="O43" s="15"/>
      <c r="P43" s="15"/>
      <c r="Q43" s="15"/>
      <c r="R43" s="15"/>
      <c r="S43" s="15"/>
      <c r="T43" s="15"/>
      <c r="U43" s="15"/>
      <c r="V43" s="15"/>
      <c r="W43" s="15"/>
      <c r="X43" s="15"/>
      <c r="Y43" s="15"/>
      <c r="Z43" s="15"/>
    </row>
    <row r="44" spans="1:26" ht="15.75" customHeight="1" x14ac:dyDescent="0.25">
      <c r="A44" s="858"/>
      <c r="B44" s="858"/>
      <c r="C44" s="871"/>
      <c r="D44" s="28" t="s">
        <v>358</v>
      </c>
      <c r="E44" s="29" t="s">
        <v>359</v>
      </c>
      <c r="F44" s="875" t="s">
        <v>360</v>
      </c>
      <c r="G44" s="858"/>
      <c r="H44" s="15"/>
      <c r="I44" s="15"/>
      <c r="J44" s="15"/>
      <c r="K44" s="15"/>
      <c r="L44" s="15"/>
      <c r="M44" s="15"/>
      <c r="N44" s="15"/>
      <c r="O44" s="15"/>
      <c r="P44" s="15"/>
      <c r="Q44" s="15"/>
      <c r="R44" s="15"/>
      <c r="S44" s="15"/>
      <c r="T44" s="15"/>
      <c r="U44" s="15"/>
      <c r="V44" s="15"/>
      <c r="W44" s="15"/>
      <c r="X44" s="15"/>
      <c r="Y44" s="15"/>
      <c r="Z44" s="15"/>
    </row>
    <row r="45" spans="1:26" ht="15.75" customHeight="1" x14ac:dyDescent="0.25">
      <c r="A45" s="858"/>
      <c r="B45" s="858"/>
      <c r="C45" s="30" t="s">
        <v>361</v>
      </c>
      <c r="D45" s="31" t="s">
        <v>361</v>
      </c>
      <c r="E45" s="32" t="s">
        <v>362</v>
      </c>
      <c r="F45" s="860"/>
      <c r="G45" s="442" t="s">
        <v>2669</v>
      </c>
      <c r="H45" s="15"/>
      <c r="I45" s="15"/>
      <c r="J45" s="15"/>
      <c r="K45" s="15"/>
      <c r="L45" s="15"/>
      <c r="M45" s="15"/>
      <c r="N45" s="15"/>
      <c r="O45" s="15"/>
      <c r="P45" s="15"/>
      <c r="Q45" s="15"/>
      <c r="R45" s="15"/>
      <c r="S45" s="15"/>
      <c r="T45" s="15"/>
      <c r="U45" s="15"/>
      <c r="V45" s="15"/>
      <c r="W45" s="15"/>
      <c r="X45" s="15"/>
      <c r="Y45" s="15"/>
      <c r="Z45" s="15"/>
    </row>
    <row r="46" spans="1:26" ht="15.75" customHeight="1" x14ac:dyDescent="0.25">
      <c r="A46" s="869"/>
      <c r="B46" s="869"/>
      <c r="C46" s="33">
        <v>2024</v>
      </c>
      <c r="D46" s="34">
        <v>2025</v>
      </c>
      <c r="E46" s="35">
        <v>2025</v>
      </c>
      <c r="F46" s="34">
        <v>2025</v>
      </c>
      <c r="G46" s="36" t="s">
        <v>2668</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17" t="s">
        <v>364</v>
      </c>
      <c r="B47" s="172"/>
      <c r="C47" s="42"/>
      <c r="D47" s="42"/>
      <c r="E47" s="42"/>
      <c r="F47" s="42"/>
      <c r="G47" s="42"/>
    </row>
    <row r="48" spans="1:26" ht="15.75" customHeight="1" x14ac:dyDescent="0.25">
      <c r="A48" s="42" t="s">
        <v>1463</v>
      </c>
      <c r="B48" s="199"/>
      <c r="C48" s="42"/>
      <c r="D48" s="42"/>
      <c r="E48" s="42"/>
      <c r="F48" s="42"/>
      <c r="G48" s="42"/>
    </row>
    <row r="49" spans="1:11" ht="15.75" customHeight="1" x14ac:dyDescent="0.25">
      <c r="A49" s="17" t="s">
        <v>642</v>
      </c>
      <c r="B49" s="41"/>
      <c r="C49" s="42"/>
      <c r="D49" s="42"/>
      <c r="E49" s="42"/>
      <c r="F49" s="42"/>
      <c r="G49" s="43"/>
    </row>
    <row r="50" spans="1:11" ht="15.75" customHeight="1" x14ac:dyDescent="0.25">
      <c r="A50" s="48" t="s">
        <v>393</v>
      </c>
      <c r="B50" s="41" t="s">
        <v>187</v>
      </c>
      <c r="C50" s="43">
        <v>204083.69</v>
      </c>
      <c r="D50" s="43">
        <v>0</v>
      </c>
      <c r="E50" s="43">
        <f>F50-D50</f>
        <v>250000</v>
      </c>
      <c r="F50" s="43">
        <v>250000</v>
      </c>
      <c r="G50" s="43">
        <v>50000</v>
      </c>
    </row>
    <row r="51" spans="1:11" ht="15.75" customHeight="1" x14ac:dyDescent="0.25">
      <c r="A51" s="17" t="s">
        <v>499</v>
      </c>
      <c r="B51" s="41"/>
      <c r="C51" s="43"/>
      <c r="D51" s="43"/>
      <c r="E51" s="43"/>
      <c r="F51" s="43"/>
      <c r="G51" s="43"/>
      <c r="H51" s="7"/>
    </row>
    <row r="52" spans="1:11" ht="15.75" customHeight="1" x14ac:dyDescent="0.25">
      <c r="A52" s="44" t="s">
        <v>398</v>
      </c>
      <c r="B52" s="41" t="s">
        <v>195</v>
      </c>
      <c r="C52" s="43">
        <v>198798.32</v>
      </c>
      <c r="D52" s="43">
        <v>81470.58</v>
      </c>
      <c r="E52" s="43">
        <f t="shared" ref="E52:E54" si="5">F52-D52</f>
        <v>788.41999999999825</v>
      </c>
      <c r="F52" s="43">
        <v>82259</v>
      </c>
      <c r="G52" s="43">
        <v>70070</v>
      </c>
      <c r="H52" s="7"/>
    </row>
    <row r="53" spans="1:11" ht="15.75" customHeight="1" x14ac:dyDescent="0.25">
      <c r="A53" s="44" t="s">
        <v>841</v>
      </c>
      <c r="B53" s="41" t="s">
        <v>207</v>
      </c>
      <c r="C53" s="43">
        <v>63295.5</v>
      </c>
      <c r="D53" s="43">
        <v>10502</v>
      </c>
      <c r="E53" s="43">
        <f t="shared" si="5"/>
        <v>454</v>
      </c>
      <c r="F53" s="43">
        <v>10956</v>
      </c>
      <c r="G53" s="43">
        <v>19334</v>
      </c>
      <c r="H53" s="7"/>
    </row>
    <row r="54" spans="1:11" ht="15.75" customHeight="1" x14ac:dyDescent="0.25">
      <c r="A54" s="44" t="s">
        <v>807</v>
      </c>
      <c r="B54" s="41" t="s">
        <v>209</v>
      </c>
      <c r="C54" s="43">
        <v>246112.4</v>
      </c>
      <c r="D54" s="43">
        <v>630033</v>
      </c>
      <c r="E54" s="43">
        <f t="shared" si="5"/>
        <v>607</v>
      </c>
      <c r="F54" s="43">
        <v>630640</v>
      </c>
      <c r="G54" s="43">
        <v>364069</v>
      </c>
      <c r="H54" s="7"/>
    </row>
    <row r="55" spans="1:11" ht="15.75" customHeight="1" x14ac:dyDescent="0.25">
      <c r="A55" s="96" t="s">
        <v>400</v>
      </c>
      <c r="B55" s="41" t="s">
        <v>221</v>
      </c>
      <c r="C55" s="43">
        <v>0</v>
      </c>
      <c r="D55" s="43">
        <v>0</v>
      </c>
      <c r="E55" s="43">
        <v>0</v>
      </c>
      <c r="F55" s="43">
        <v>0</v>
      </c>
      <c r="G55" s="43">
        <f>72700+471</f>
        <v>73171</v>
      </c>
      <c r="H55" s="7"/>
    </row>
    <row r="56" spans="1:11" ht="15.75" customHeight="1" x14ac:dyDescent="0.25">
      <c r="A56" s="96" t="s">
        <v>538</v>
      </c>
      <c r="B56" s="41" t="s">
        <v>223</v>
      </c>
      <c r="C56" s="43"/>
      <c r="D56" s="43">
        <v>16609</v>
      </c>
      <c r="E56" s="43">
        <f t="shared" ref="E56:E57" si="6">F56-D56</f>
        <v>66</v>
      </c>
      <c r="F56" s="43">
        <v>16675</v>
      </c>
      <c r="G56" s="43">
        <v>31000</v>
      </c>
      <c r="H56" s="7"/>
    </row>
    <row r="57" spans="1:11" ht="15.75" customHeight="1" x14ac:dyDescent="0.25">
      <c r="A57" s="44" t="s">
        <v>402</v>
      </c>
      <c r="B57" s="41" t="s">
        <v>225</v>
      </c>
      <c r="C57" s="43">
        <v>620327.6</v>
      </c>
      <c r="D57" s="43">
        <v>128321</v>
      </c>
      <c r="E57" s="43">
        <f t="shared" si="6"/>
        <v>1825</v>
      </c>
      <c r="F57" s="43">
        <v>130146</v>
      </c>
      <c r="G57" s="43">
        <f>186572+1200</f>
        <v>187772</v>
      </c>
      <c r="H57" s="7"/>
    </row>
    <row r="58" spans="1:11" ht="15.75" customHeight="1" x14ac:dyDescent="0.25">
      <c r="A58" s="17" t="s">
        <v>503</v>
      </c>
      <c r="B58" s="41"/>
      <c r="C58" s="43"/>
      <c r="D58" s="43"/>
      <c r="E58" s="43"/>
      <c r="F58" s="43"/>
      <c r="G58" s="43"/>
      <c r="H58" s="7"/>
    </row>
    <row r="59" spans="1:11" ht="15.75" customHeight="1" x14ac:dyDescent="0.25">
      <c r="A59" s="44" t="s">
        <v>504</v>
      </c>
      <c r="B59" s="41" t="s">
        <v>237</v>
      </c>
      <c r="C59" s="43">
        <v>11128.1</v>
      </c>
      <c r="D59" s="43">
        <v>7956.38</v>
      </c>
      <c r="E59" s="43">
        <f>F59-D59</f>
        <v>16043.619999999999</v>
      </c>
      <c r="F59" s="43">
        <v>24000</v>
      </c>
      <c r="G59" s="43">
        <v>24000</v>
      </c>
      <c r="H59" s="7"/>
    </row>
    <row r="60" spans="1:11" ht="15.75" customHeight="1" x14ac:dyDescent="0.25">
      <c r="A60" s="17" t="s">
        <v>511</v>
      </c>
      <c r="B60" s="172"/>
      <c r="C60" s="42"/>
      <c r="D60" s="42"/>
      <c r="E60" s="42"/>
      <c r="F60" s="43"/>
      <c r="G60" s="43"/>
      <c r="H60" s="7"/>
      <c r="K60" s="493"/>
    </row>
    <row r="61" spans="1:11" ht="15.75" customHeight="1" x14ac:dyDescent="0.25">
      <c r="A61" s="96" t="s">
        <v>794</v>
      </c>
      <c r="B61" s="41" t="s">
        <v>321</v>
      </c>
      <c r="C61" s="42"/>
      <c r="D61" s="43">
        <v>15843.75</v>
      </c>
      <c r="E61" s="43">
        <f t="shared" ref="E61:E62" si="7">F61-D61</f>
        <v>406.25</v>
      </c>
      <c r="F61" s="43">
        <v>16250</v>
      </c>
      <c r="G61" s="43">
        <v>16250</v>
      </c>
      <c r="H61" s="7"/>
      <c r="K61" s="493"/>
    </row>
    <row r="62" spans="1:11" ht="15.75" customHeight="1" x14ac:dyDescent="0.25">
      <c r="A62" s="44" t="s">
        <v>424</v>
      </c>
      <c r="B62" s="41" t="s">
        <v>335</v>
      </c>
      <c r="C62" s="43">
        <v>1910690.75</v>
      </c>
      <c r="D62" s="43">
        <v>848069</v>
      </c>
      <c r="E62" s="43">
        <f t="shared" si="7"/>
        <v>1075531</v>
      </c>
      <c r="F62" s="43">
        <v>1923600</v>
      </c>
      <c r="G62" s="43">
        <v>1839356</v>
      </c>
      <c r="H62" s="7"/>
      <c r="K62" s="493"/>
    </row>
    <row r="63" spans="1:11" ht="15.75" customHeight="1" x14ac:dyDescent="0.25">
      <c r="A63" s="96" t="s">
        <v>2784</v>
      </c>
      <c r="B63" s="172"/>
      <c r="C63" s="43"/>
      <c r="D63" s="43"/>
      <c r="E63" s="43"/>
      <c r="F63" s="43"/>
      <c r="G63" s="43"/>
      <c r="H63" s="7"/>
      <c r="K63" s="571">
        <v>50000</v>
      </c>
    </row>
    <row r="64" spans="1:11" ht="15.75" customHeight="1" x14ac:dyDescent="0.25">
      <c r="A64" s="96" t="s">
        <v>2786</v>
      </c>
      <c r="B64" s="172"/>
      <c r="C64" s="43"/>
      <c r="D64" s="43"/>
      <c r="E64" s="43"/>
      <c r="F64" s="43"/>
      <c r="G64" s="43"/>
      <c r="H64" s="7"/>
      <c r="K64" s="571">
        <v>78788</v>
      </c>
    </row>
    <row r="65" spans="1:26" ht="15.75" customHeight="1" x14ac:dyDescent="0.25">
      <c r="A65" s="96" t="s">
        <v>1764</v>
      </c>
      <c r="B65" s="172"/>
      <c r="C65" s="43"/>
      <c r="D65" s="43"/>
      <c r="E65" s="43"/>
      <c r="F65" s="43"/>
      <c r="G65" s="43"/>
      <c r="H65" s="7"/>
      <c r="K65" s="571">
        <v>37000</v>
      </c>
    </row>
    <row r="66" spans="1:26" ht="15.75" customHeight="1" x14ac:dyDescent="0.25">
      <c r="A66" s="96" t="s">
        <v>648</v>
      </c>
      <c r="B66" s="172"/>
      <c r="C66" s="43"/>
      <c r="D66" s="43"/>
      <c r="E66" s="43"/>
      <c r="F66" s="43"/>
      <c r="G66" s="43"/>
      <c r="H66" s="7"/>
      <c r="K66" s="493"/>
    </row>
    <row r="67" spans="1:26" ht="31.5" x14ac:dyDescent="0.25">
      <c r="A67" s="90" t="s">
        <v>1765</v>
      </c>
      <c r="B67" s="172"/>
      <c r="C67" s="43"/>
      <c r="D67" s="43"/>
      <c r="E67" s="43"/>
      <c r="F67" s="43"/>
      <c r="G67" s="43"/>
      <c r="H67" s="7">
        <v>1365</v>
      </c>
      <c r="I67" s="57">
        <f>26*12</f>
        <v>312</v>
      </c>
      <c r="J67" s="57">
        <v>1</v>
      </c>
      <c r="K67" s="571">
        <f t="shared" ref="K67:K71" si="8">J67*I67*H67</f>
        <v>425880</v>
      </c>
    </row>
    <row r="68" spans="1:26" ht="15.75" x14ac:dyDescent="0.25">
      <c r="A68" s="74" t="s">
        <v>1766</v>
      </c>
      <c r="B68" s="172"/>
      <c r="C68" s="43"/>
      <c r="D68" s="43"/>
      <c r="E68" s="43"/>
      <c r="F68" s="43"/>
      <c r="G68" s="43"/>
      <c r="H68" s="7">
        <v>765</v>
      </c>
      <c r="I68" s="57">
        <v>312</v>
      </c>
      <c r="J68" s="57">
        <v>1</v>
      </c>
      <c r="K68" s="571">
        <f t="shared" si="8"/>
        <v>238680</v>
      </c>
    </row>
    <row r="69" spans="1:26" ht="15.75" x14ac:dyDescent="0.25">
      <c r="A69" s="74" t="s">
        <v>1523</v>
      </c>
      <c r="B69" s="172"/>
      <c r="C69" s="43"/>
      <c r="D69" s="43"/>
      <c r="E69" s="43"/>
      <c r="F69" s="43"/>
      <c r="G69" s="43"/>
      <c r="H69" s="7">
        <v>678</v>
      </c>
      <c r="I69" s="57">
        <v>312</v>
      </c>
      <c r="J69" s="57">
        <v>1</v>
      </c>
      <c r="K69" s="571">
        <f t="shared" si="8"/>
        <v>211536</v>
      </c>
    </row>
    <row r="70" spans="1:26" ht="31.5" x14ac:dyDescent="0.25">
      <c r="A70" s="465" t="s">
        <v>2785</v>
      </c>
      <c r="B70" s="519"/>
      <c r="C70" s="443"/>
      <c r="D70" s="443"/>
      <c r="E70" s="443"/>
      <c r="F70" s="443"/>
      <c r="G70" s="462"/>
      <c r="H70" s="7">
        <f>639</f>
        <v>639</v>
      </c>
      <c r="I70" s="57">
        <v>312</v>
      </c>
      <c r="J70" s="57">
        <v>3</v>
      </c>
      <c r="K70" s="571">
        <f t="shared" si="8"/>
        <v>598104</v>
      </c>
    </row>
    <row r="71" spans="1:26" ht="31.5" x14ac:dyDescent="0.25">
      <c r="A71" s="90" t="s">
        <v>1767</v>
      </c>
      <c r="B71" s="172"/>
      <c r="C71" s="43"/>
      <c r="D71" s="43"/>
      <c r="E71" s="43"/>
      <c r="F71" s="43"/>
      <c r="G71" s="43"/>
      <c r="H71" s="7">
        <v>639</v>
      </c>
      <c r="I71" s="57">
        <f>26*12</f>
        <v>312</v>
      </c>
      <c r="J71" s="57">
        <v>1</v>
      </c>
      <c r="K71" s="571">
        <f t="shared" si="8"/>
        <v>199368</v>
      </c>
    </row>
    <row r="72" spans="1:26" ht="15.75" customHeight="1" x14ac:dyDescent="0.25">
      <c r="A72" s="42" t="s">
        <v>466</v>
      </c>
      <c r="B72" s="172"/>
      <c r="C72" s="54">
        <f>SUM(C50:C62)</f>
        <v>3254436.3600000003</v>
      </c>
      <c r="D72" s="54">
        <f>SUM(D50:D62)</f>
        <v>1738804.71</v>
      </c>
      <c r="E72" s="54">
        <f>SUM(E50:E62)</f>
        <v>1345721.29</v>
      </c>
      <c r="F72" s="54">
        <f>SUM(F50:F62)</f>
        <v>3084526</v>
      </c>
      <c r="G72" s="54">
        <f>SUM(G50:G62)</f>
        <v>2675022</v>
      </c>
      <c r="H72" s="7"/>
      <c r="K72" s="493"/>
    </row>
    <row r="73" spans="1:26" ht="15.75" customHeight="1" x14ac:dyDescent="0.25">
      <c r="A73" s="42"/>
      <c r="B73" s="172"/>
      <c r="C73" s="55"/>
      <c r="D73" s="55"/>
      <c r="E73" s="55"/>
      <c r="F73" s="43"/>
      <c r="G73" s="46"/>
      <c r="H73" s="7"/>
      <c r="K73" s="493"/>
    </row>
    <row r="74" spans="1:26" ht="15.75" customHeight="1" x14ac:dyDescent="0.25">
      <c r="A74" s="17" t="s">
        <v>467</v>
      </c>
      <c r="B74" s="172"/>
      <c r="C74" s="43">
        <f t="shared" ref="C74:G74" si="9">C72</f>
        <v>3254436.3600000003</v>
      </c>
      <c r="D74" s="43">
        <f t="shared" si="9"/>
        <v>1738804.71</v>
      </c>
      <c r="E74" s="43">
        <f t="shared" si="9"/>
        <v>1345721.29</v>
      </c>
      <c r="F74" s="43">
        <f t="shared" si="9"/>
        <v>3084526</v>
      </c>
      <c r="G74" s="43">
        <f t="shared" si="9"/>
        <v>2675022</v>
      </c>
      <c r="H74" s="7"/>
    </row>
    <row r="75" spans="1:26" ht="15.75" customHeight="1" x14ac:dyDescent="0.25">
      <c r="A75" s="17"/>
      <c r="B75" s="172"/>
      <c r="C75" s="43"/>
      <c r="D75" s="43"/>
      <c r="E75" s="43"/>
      <c r="F75" s="43"/>
      <c r="G75" s="46"/>
      <c r="H75" s="7"/>
    </row>
    <row r="76" spans="1:26" ht="15.75" customHeight="1" x14ac:dyDescent="0.25">
      <c r="A76" s="50" t="s">
        <v>487</v>
      </c>
      <c r="B76" s="133" t="s">
        <v>488</v>
      </c>
      <c r="C76" s="53" t="e">
        <f>C74+#REF!</f>
        <v>#REF!</v>
      </c>
      <c r="D76" s="53" t="e">
        <f>D74+#REF!</f>
        <v>#REF!</v>
      </c>
      <c r="E76" s="53" t="e">
        <f>E74+#REF!</f>
        <v>#REF!</v>
      </c>
      <c r="F76" s="53" t="e">
        <f>F74+#REF!</f>
        <v>#REF!</v>
      </c>
      <c r="G76" s="53">
        <f>+G74</f>
        <v>2675022</v>
      </c>
      <c r="H76" s="7"/>
    </row>
    <row r="77" spans="1:26" ht="15.75" customHeight="1" x14ac:dyDescent="0.25">
      <c r="A77" s="24"/>
      <c r="B77" s="174"/>
      <c r="C77" s="26"/>
      <c r="D77" s="26"/>
      <c r="E77" s="26"/>
      <c r="F77" s="26"/>
      <c r="G77" s="26"/>
      <c r="H77" s="7"/>
    </row>
    <row r="78" spans="1:26" ht="15.75" customHeight="1" x14ac:dyDescent="0.25">
      <c r="A78" s="24"/>
      <c r="B78" s="25"/>
      <c r="C78" s="24"/>
      <c r="D78" s="24"/>
      <c r="E78" s="24"/>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25">
      <c r="A79" s="9"/>
      <c r="B79" s="104"/>
      <c r="C79" s="105"/>
      <c r="D79" s="105"/>
      <c r="E79" s="105"/>
      <c r="F79" s="10"/>
      <c r="G79" s="180"/>
      <c r="H79" s="15"/>
      <c r="I79" s="15"/>
      <c r="J79" s="15"/>
      <c r="K79" s="15"/>
      <c r="L79" s="15"/>
      <c r="M79" s="15"/>
      <c r="N79" s="15"/>
      <c r="O79" s="15"/>
      <c r="P79" s="15"/>
      <c r="Q79" s="15"/>
      <c r="R79" s="15"/>
      <c r="S79" s="15"/>
      <c r="T79" s="15"/>
      <c r="U79" s="15"/>
      <c r="V79" s="15"/>
      <c r="W79" s="15"/>
      <c r="X79" s="15"/>
      <c r="Y79" s="15"/>
      <c r="Z79" s="15"/>
    </row>
    <row r="80" spans="1:26" ht="15.75" customHeight="1" x14ac:dyDescent="0.25">
      <c r="A80" s="108" t="s">
        <v>1771</v>
      </c>
      <c r="B80" s="25"/>
      <c r="C80" s="26"/>
      <c r="D80" s="26"/>
      <c r="E80" s="26"/>
      <c r="F80" s="14"/>
      <c r="G80" s="181"/>
      <c r="H80" s="15"/>
      <c r="I80" s="15"/>
      <c r="J80" s="15"/>
      <c r="K80" s="15"/>
      <c r="L80" s="15"/>
      <c r="M80" s="15"/>
      <c r="N80" s="15"/>
      <c r="O80" s="15"/>
      <c r="P80" s="15"/>
      <c r="Q80" s="15"/>
      <c r="R80" s="15"/>
      <c r="S80" s="15"/>
      <c r="T80" s="15"/>
      <c r="U80" s="15"/>
      <c r="V80" s="15"/>
      <c r="W80" s="15"/>
      <c r="X80" s="15"/>
      <c r="Y80" s="15"/>
      <c r="Z80" s="15"/>
    </row>
    <row r="81" spans="1:26" ht="15.75" customHeight="1" x14ac:dyDescent="0.25">
      <c r="A81" s="108"/>
      <c r="B81" s="25"/>
      <c r="C81" s="26"/>
      <c r="D81" s="26"/>
      <c r="E81" s="26"/>
      <c r="F81" s="14"/>
      <c r="G81" s="181"/>
      <c r="H81" s="15"/>
      <c r="I81" s="15"/>
      <c r="J81" s="15"/>
      <c r="K81" s="15"/>
      <c r="L81" s="15"/>
      <c r="M81" s="15"/>
      <c r="N81" s="15"/>
      <c r="O81" s="15"/>
      <c r="P81" s="15"/>
      <c r="Q81" s="15"/>
      <c r="R81" s="15"/>
      <c r="S81" s="15"/>
      <c r="T81" s="15"/>
      <c r="U81" s="15"/>
      <c r="V81" s="15"/>
      <c r="W81" s="15"/>
      <c r="X81" s="15"/>
      <c r="Y81" s="15"/>
      <c r="Z81" s="15"/>
    </row>
    <row r="82" spans="1:26" ht="15.75" customHeight="1" x14ac:dyDescent="0.25">
      <c r="A82" s="865" t="s">
        <v>352</v>
      </c>
      <c r="B82" s="866"/>
      <c r="C82" s="866"/>
      <c r="D82" s="866"/>
      <c r="E82" s="866"/>
      <c r="F82" s="866"/>
      <c r="G82" s="867"/>
      <c r="H82" s="15"/>
      <c r="I82" s="15"/>
      <c r="J82" s="15"/>
      <c r="K82" s="15"/>
      <c r="L82" s="15"/>
      <c r="M82" s="15"/>
      <c r="N82" s="15"/>
      <c r="O82" s="15"/>
      <c r="P82" s="15"/>
      <c r="Q82" s="15"/>
      <c r="R82" s="15"/>
      <c r="S82" s="15"/>
      <c r="T82" s="15"/>
      <c r="U82" s="15"/>
      <c r="V82" s="15"/>
      <c r="W82" s="15"/>
      <c r="X82" s="15"/>
      <c r="Y82" s="15"/>
      <c r="Z82" s="15"/>
    </row>
    <row r="83" spans="1:26" ht="15.75" customHeight="1" x14ac:dyDescent="0.25">
      <c r="A83" s="868" t="s">
        <v>353</v>
      </c>
      <c r="B83" s="857" t="s">
        <v>354</v>
      </c>
      <c r="C83" s="870" t="s">
        <v>355</v>
      </c>
      <c r="D83" s="872" t="s">
        <v>356</v>
      </c>
      <c r="E83" s="873"/>
      <c r="F83" s="874"/>
      <c r="G83" s="857" t="s">
        <v>357</v>
      </c>
      <c r="H83" s="15"/>
      <c r="I83" s="15"/>
      <c r="J83" s="15"/>
      <c r="K83" s="15"/>
      <c r="L83" s="15"/>
      <c r="M83" s="15"/>
      <c r="N83" s="15"/>
      <c r="O83" s="15"/>
      <c r="P83" s="15"/>
      <c r="Q83" s="15"/>
      <c r="R83" s="15"/>
      <c r="S83" s="15"/>
      <c r="T83" s="15"/>
      <c r="U83" s="15"/>
      <c r="V83" s="15"/>
      <c r="W83" s="15"/>
      <c r="X83" s="15"/>
      <c r="Y83" s="15"/>
      <c r="Z83" s="15"/>
    </row>
    <row r="84" spans="1:26" ht="15.75" customHeight="1" x14ac:dyDescent="0.25">
      <c r="A84" s="858"/>
      <c r="B84" s="858"/>
      <c r="C84" s="871"/>
      <c r="D84" s="28" t="s">
        <v>358</v>
      </c>
      <c r="E84" s="29" t="s">
        <v>359</v>
      </c>
      <c r="F84" s="875" t="s">
        <v>360</v>
      </c>
      <c r="G84" s="858"/>
      <c r="H84" s="15"/>
      <c r="I84" s="15"/>
      <c r="J84" s="15"/>
      <c r="K84" s="15"/>
      <c r="L84" s="15"/>
      <c r="M84" s="15"/>
      <c r="N84" s="15"/>
      <c r="O84" s="15"/>
      <c r="P84" s="15"/>
      <c r="Q84" s="15"/>
      <c r="R84" s="15"/>
      <c r="S84" s="15"/>
      <c r="T84" s="15"/>
      <c r="U84" s="15"/>
      <c r="V84" s="15"/>
      <c r="W84" s="15"/>
      <c r="X84" s="15"/>
      <c r="Y84" s="15"/>
      <c r="Z84" s="15"/>
    </row>
    <row r="85" spans="1:26" ht="15.75" customHeight="1" x14ac:dyDescent="0.25">
      <c r="A85" s="858"/>
      <c r="B85" s="858"/>
      <c r="C85" s="30" t="s">
        <v>361</v>
      </c>
      <c r="D85" s="31" t="s">
        <v>361</v>
      </c>
      <c r="E85" s="32" t="s">
        <v>362</v>
      </c>
      <c r="F85" s="860"/>
      <c r="G85" s="442" t="s">
        <v>2669</v>
      </c>
      <c r="H85" s="15"/>
      <c r="I85" s="15"/>
      <c r="J85" s="15"/>
      <c r="K85" s="15"/>
      <c r="L85" s="15"/>
      <c r="M85" s="15"/>
      <c r="N85" s="15"/>
      <c r="O85" s="15"/>
      <c r="P85" s="15"/>
      <c r="Q85" s="15"/>
      <c r="R85" s="15"/>
      <c r="S85" s="15"/>
      <c r="T85" s="15"/>
      <c r="U85" s="15"/>
      <c r="V85" s="15"/>
      <c r="W85" s="15"/>
      <c r="X85" s="15"/>
      <c r="Y85" s="15"/>
      <c r="Z85" s="15"/>
    </row>
    <row r="86" spans="1:26" ht="15.75" customHeight="1" x14ac:dyDescent="0.25">
      <c r="A86" s="869"/>
      <c r="B86" s="869"/>
      <c r="C86" s="33">
        <v>2024</v>
      </c>
      <c r="D86" s="34">
        <v>2025</v>
      </c>
      <c r="E86" s="35">
        <v>2025</v>
      </c>
      <c r="F86" s="34">
        <v>2025</v>
      </c>
      <c r="G86" s="36" t="s">
        <v>2668</v>
      </c>
      <c r="H86" s="15"/>
      <c r="I86" s="15"/>
      <c r="J86" s="15"/>
      <c r="K86" s="15"/>
      <c r="L86" s="15"/>
      <c r="M86" s="15"/>
      <c r="N86" s="15"/>
      <c r="O86" s="15"/>
      <c r="P86" s="15"/>
      <c r="Q86" s="15"/>
      <c r="R86" s="15"/>
      <c r="S86" s="15"/>
      <c r="T86" s="15"/>
      <c r="U86" s="15"/>
      <c r="V86" s="15"/>
      <c r="W86" s="15"/>
      <c r="X86" s="15"/>
      <c r="Y86" s="15"/>
      <c r="Z86" s="15"/>
    </row>
    <row r="87" spans="1:26" ht="15" customHeight="1" x14ac:dyDescent="0.25">
      <c r="A87" s="17" t="s">
        <v>364</v>
      </c>
      <c r="B87" s="172"/>
      <c r="C87" s="42"/>
      <c r="D87" s="42"/>
      <c r="E87" s="42"/>
      <c r="F87" s="42"/>
      <c r="G87" s="42"/>
      <c r="H87" s="7"/>
    </row>
    <row r="88" spans="1:26" ht="15" customHeight="1" x14ac:dyDescent="0.25">
      <c r="A88" s="42" t="s">
        <v>1463</v>
      </c>
      <c r="B88" s="199"/>
      <c r="C88" s="24"/>
      <c r="D88" s="42"/>
      <c r="E88" s="42"/>
      <c r="F88" s="42"/>
      <c r="G88" s="42"/>
      <c r="H88" s="7"/>
    </row>
    <row r="89" spans="1:26" ht="15" customHeight="1" x14ac:dyDescent="0.25">
      <c r="A89" s="42" t="s">
        <v>493</v>
      </c>
      <c r="B89" s="199"/>
      <c r="C89" s="43"/>
      <c r="D89" s="43"/>
      <c r="E89" s="43"/>
      <c r="F89" s="43"/>
      <c r="G89" s="197"/>
      <c r="H89" s="7"/>
    </row>
    <row r="90" spans="1:26" ht="15" customHeight="1" x14ac:dyDescent="0.25">
      <c r="A90" s="48" t="s">
        <v>396</v>
      </c>
      <c r="B90" s="49" t="s">
        <v>191</v>
      </c>
      <c r="C90" s="43">
        <v>11099.4</v>
      </c>
      <c r="D90" s="43">
        <v>0</v>
      </c>
      <c r="E90" s="43">
        <f>F90-D90</f>
        <v>11100</v>
      </c>
      <c r="F90" s="43">
        <v>11100</v>
      </c>
      <c r="G90" s="43">
        <v>11100</v>
      </c>
      <c r="H90" s="7"/>
    </row>
    <row r="91" spans="1:26" ht="31.5" x14ac:dyDescent="0.25">
      <c r="A91" s="295" t="s">
        <v>1772</v>
      </c>
      <c r="B91" s="172"/>
      <c r="C91" s="43"/>
      <c r="D91" s="43"/>
      <c r="E91" s="43"/>
      <c r="F91" s="43"/>
      <c r="G91" s="43"/>
      <c r="H91" s="15"/>
      <c r="I91" s="15"/>
      <c r="J91" s="15"/>
      <c r="K91" s="15"/>
      <c r="L91" s="15"/>
      <c r="M91" s="15"/>
      <c r="N91" s="15"/>
      <c r="O91" s="15"/>
      <c r="P91" s="15"/>
      <c r="Q91" s="15"/>
      <c r="R91" s="15"/>
      <c r="S91" s="15"/>
      <c r="T91" s="15"/>
      <c r="U91" s="15"/>
      <c r="V91" s="15"/>
      <c r="W91" s="15"/>
      <c r="X91" s="15"/>
      <c r="Y91" s="15"/>
      <c r="Z91" s="15"/>
    </row>
    <row r="92" spans="1:26" ht="15" customHeight="1" x14ac:dyDescent="0.25">
      <c r="A92" s="42" t="s">
        <v>1773</v>
      </c>
      <c r="B92" s="199"/>
      <c r="C92" s="43"/>
      <c r="D92" s="43"/>
      <c r="E92" s="43"/>
      <c r="F92" s="43"/>
      <c r="G92" s="43"/>
      <c r="H92" s="15"/>
      <c r="I92" s="15"/>
      <c r="J92" s="15"/>
      <c r="K92" s="15"/>
      <c r="L92" s="15"/>
      <c r="M92" s="15"/>
      <c r="N92" s="15"/>
      <c r="O92" s="15"/>
      <c r="P92" s="15"/>
      <c r="Q92" s="15"/>
      <c r="R92" s="15"/>
      <c r="S92" s="15"/>
      <c r="T92" s="15"/>
      <c r="U92" s="15"/>
      <c r="V92" s="15"/>
      <c r="W92" s="15"/>
      <c r="X92" s="15"/>
      <c r="Y92" s="15"/>
      <c r="Z92" s="15"/>
    </row>
    <row r="93" spans="1:26" ht="15" customHeight="1" x14ac:dyDescent="0.25">
      <c r="A93" s="48" t="s">
        <v>398</v>
      </c>
      <c r="B93" s="49" t="s">
        <v>195</v>
      </c>
      <c r="C93" s="43">
        <v>168267.32</v>
      </c>
      <c r="D93" s="43">
        <v>154923.26</v>
      </c>
      <c r="E93" s="43">
        <f t="shared" ref="E93:E94" si="10">F93-D93</f>
        <v>23580.739999999991</v>
      </c>
      <c r="F93" s="43">
        <v>178504</v>
      </c>
      <c r="G93" s="43">
        <f>101618</f>
        <v>101618</v>
      </c>
      <c r="H93" s="15"/>
      <c r="I93" s="15"/>
      <c r="J93" s="15"/>
      <c r="K93" s="15"/>
      <c r="L93" s="15"/>
      <c r="M93" s="15"/>
      <c r="N93" s="15"/>
      <c r="O93" s="15"/>
      <c r="P93" s="15"/>
      <c r="Q93" s="15"/>
      <c r="R93" s="15"/>
      <c r="S93" s="15"/>
      <c r="T93" s="15"/>
      <c r="U93" s="15"/>
      <c r="V93" s="15"/>
      <c r="W93" s="15"/>
      <c r="X93" s="15"/>
      <c r="Y93" s="15"/>
      <c r="Z93" s="15"/>
    </row>
    <row r="94" spans="1:26" ht="15" customHeight="1" x14ac:dyDescent="0.25">
      <c r="A94" s="48" t="s">
        <v>807</v>
      </c>
      <c r="B94" s="49" t="s">
        <v>209</v>
      </c>
      <c r="C94" s="43">
        <v>25269035.5</v>
      </c>
      <c r="D94" s="43">
        <v>12309658.5</v>
      </c>
      <c r="E94" s="43">
        <f t="shared" si="10"/>
        <v>13175893.5</v>
      </c>
      <c r="F94" s="43">
        <v>25485552</v>
      </c>
      <c r="G94" s="43">
        <v>23697010</v>
      </c>
      <c r="H94" s="15"/>
      <c r="I94" s="15"/>
      <c r="J94" s="15"/>
      <c r="K94" s="15"/>
      <c r="L94" s="15"/>
      <c r="M94" s="15"/>
      <c r="N94" s="15"/>
      <c r="O94" s="15"/>
      <c r="P94" s="15"/>
      <c r="Q94" s="15"/>
      <c r="R94" s="15"/>
      <c r="S94" s="15"/>
      <c r="T94" s="15"/>
      <c r="U94" s="15"/>
      <c r="V94" s="15"/>
      <c r="W94" s="15"/>
      <c r="X94" s="15"/>
      <c r="Y94" s="15"/>
      <c r="Z94" s="15"/>
    </row>
    <row r="95" spans="1:26" ht="15" customHeight="1" x14ac:dyDescent="0.25">
      <c r="A95" s="74" t="s">
        <v>400</v>
      </c>
      <c r="B95" s="49" t="s">
        <v>221</v>
      </c>
      <c r="C95" s="43">
        <v>0</v>
      </c>
      <c r="D95" s="43"/>
      <c r="E95" s="43">
        <v>244700</v>
      </c>
      <c r="F95" s="43">
        <v>244700</v>
      </c>
      <c r="G95" s="43">
        <v>22800</v>
      </c>
      <c r="H95" s="15"/>
      <c r="I95" s="15"/>
      <c r="J95" s="15"/>
      <c r="K95" s="15"/>
      <c r="L95" s="15"/>
      <c r="M95" s="15"/>
      <c r="N95" s="15"/>
      <c r="O95" s="15"/>
      <c r="P95" s="15"/>
      <c r="Q95" s="15"/>
      <c r="R95" s="15"/>
      <c r="S95" s="15"/>
      <c r="T95" s="15"/>
      <c r="U95" s="15"/>
      <c r="V95" s="15"/>
      <c r="W95" s="15"/>
      <c r="X95" s="15"/>
      <c r="Y95" s="15"/>
      <c r="Z95" s="15"/>
    </row>
    <row r="96" spans="1:26" ht="15" customHeight="1" x14ac:dyDescent="0.25">
      <c r="A96" s="48" t="s">
        <v>402</v>
      </c>
      <c r="B96" s="49" t="s">
        <v>225</v>
      </c>
      <c r="C96" s="43">
        <v>52528.87</v>
      </c>
      <c r="D96" s="43">
        <v>47072</v>
      </c>
      <c r="E96" s="43">
        <f>F96-D96</f>
        <v>8</v>
      </c>
      <c r="F96" s="43">
        <v>47080</v>
      </c>
      <c r="G96" s="43">
        <v>47659</v>
      </c>
      <c r="H96" s="15"/>
      <c r="I96" s="15"/>
      <c r="J96" s="15"/>
      <c r="K96" s="15"/>
      <c r="L96" s="15"/>
      <c r="M96" s="15"/>
      <c r="N96" s="15"/>
      <c r="O96" s="15"/>
      <c r="P96" s="15"/>
      <c r="Q96" s="15"/>
      <c r="R96" s="15"/>
      <c r="S96" s="15"/>
      <c r="T96" s="15"/>
      <c r="U96" s="15"/>
      <c r="V96" s="15"/>
      <c r="W96" s="15"/>
      <c r="X96" s="15"/>
      <c r="Y96" s="15"/>
      <c r="Z96" s="15"/>
    </row>
    <row r="97" spans="1:26" ht="15" customHeight="1" x14ac:dyDescent="0.25">
      <c r="A97" s="42" t="s">
        <v>503</v>
      </c>
      <c r="B97" s="49"/>
      <c r="C97" s="43"/>
      <c r="D97" s="43"/>
      <c r="E97" s="43"/>
      <c r="F97" s="43"/>
      <c r="G97" s="43"/>
    </row>
    <row r="98" spans="1:26" ht="15" customHeight="1" x14ac:dyDescent="0.25">
      <c r="A98" s="44" t="s">
        <v>405</v>
      </c>
      <c r="B98" s="41" t="s">
        <v>235</v>
      </c>
      <c r="C98" s="43">
        <v>0</v>
      </c>
      <c r="D98" s="43">
        <v>0</v>
      </c>
      <c r="E98" s="43">
        <v>0</v>
      </c>
      <c r="F98" s="43">
        <v>0</v>
      </c>
      <c r="G98" s="43">
        <f>300*12</f>
        <v>3600</v>
      </c>
      <c r="H98" s="7"/>
    </row>
    <row r="99" spans="1:26" ht="15" customHeight="1" x14ac:dyDescent="0.25">
      <c r="A99" s="48" t="s">
        <v>504</v>
      </c>
      <c r="B99" s="49" t="s">
        <v>237</v>
      </c>
      <c r="C99" s="43">
        <v>24000</v>
      </c>
      <c r="D99" s="43">
        <v>12875.67</v>
      </c>
      <c r="E99" s="43">
        <f>F99-D99</f>
        <v>11124.33</v>
      </c>
      <c r="F99" s="43">
        <v>24000</v>
      </c>
      <c r="G99" s="43">
        <v>25200</v>
      </c>
      <c r="H99" s="7"/>
    </row>
    <row r="100" spans="1:26" ht="15" customHeight="1" x14ac:dyDescent="0.25">
      <c r="A100" s="42" t="s">
        <v>506</v>
      </c>
      <c r="B100" s="49"/>
      <c r="C100" s="43"/>
      <c r="D100" s="43"/>
      <c r="E100" s="43"/>
      <c r="F100" s="43"/>
      <c r="G100" s="43"/>
      <c r="H100" s="7"/>
    </row>
    <row r="101" spans="1:26" ht="15" customHeight="1" x14ac:dyDescent="0.25">
      <c r="A101" s="48" t="s">
        <v>838</v>
      </c>
      <c r="B101" s="49" t="s">
        <v>285</v>
      </c>
      <c r="C101" s="43">
        <v>0</v>
      </c>
      <c r="D101" s="43">
        <v>0</v>
      </c>
      <c r="E101" s="43">
        <f>F101-D101</f>
        <v>1000000</v>
      </c>
      <c r="F101" s="43">
        <v>1000000</v>
      </c>
      <c r="G101" s="43">
        <v>1000000</v>
      </c>
      <c r="H101" s="7"/>
    </row>
    <row r="102" spans="1:26" ht="15" customHeight="1" x14ac:dyDescent="0.25">
      <c r="A102" s="42" t="s">
        <v>424</v>
      </c>
      <c r="B102" s="49"/>
      <c r="C102" s="43"/>
      <c r="D102" s="43"/>
      <c r="E102" s="43"/>
      <c r="F102" s="43"/>
      <c r="G102" s="43"/>
      <c r="H102" s="7"/>
    </row>
    <row r="103" spans="1:26" ht="15" customHeight="1" x14ac:dyDescent="0.25">
      <c r="A103" s="44" t="s">
        <v>424</v>
      </c>
      <c r="B103" s="20" t="s">
        <v>335</v>
      </c>
      <c r="C103" s="43">
        <v>20998.799999999999</v>
      </c>
      <c r="D103" s="43">
        <v>11100</v>
      </c>
      <c r="E103" s="43">
        <f>F103-D103</f>
        <v>11100</v>
      </c>
      <c r="F103" s="43">
        <v>22200</v>
      </c>
      <c r="G103" s="43">
        <f>22200+24000+24000+50000+10000</f>
        <v>130200</v>
      </c>
      <c r="H103" s="7"/>
    </row>
    <row r="104" spans="1:26" ht="31.5" x14ac:dyDescent="0.25">
      <c r="A104" s="295" t="s">
        <v>1774</v>
      </c>
      <c r="B104" s="132"/>
      <c r="C104" s="43"/>
      <c r="D104" s="43"/>
      <c r="E104" s="43"/>
      <c r="F104" s="43"/>
      <c r="G104" s="43"/>
      <c r="H104" s="7"/>
    </row>
    <row r="105" spans="1:26" ht="15" customHeight="1" x14ac:dyDescent="0.25">
      <c r="A105" s="96" t="s">
        <v>1775</v>
      </c>
      <c r="B105" s="132"/>
      <c r="C105" s="43"/>
      <c r="D105" s="43"/>
      <c r="E105" s="43"/>
      <c r="F105" s="43"/>
      <c r="G105" s="43"/>
      <c r="H105" s="7"/>
    </row>
    <row r="106" spans="1:26" ht="15" customHeight="1" x14ac:dyDescent="0.25">
      <c r="A106" s="96" t="s">
        <v>1776</v>
      </c>
      <c r="B106" s="132"/>
      <c r="C106" s="43"/>
      <c r="D106" s="43"/>
      <c r="E106" s="43"/>
      <c r="F106" s="43"/>
      <c r="G106" s="43"/>
      <c r="H106" s="7"/>
    </row>
    <row r="107" spans="1:26" ht="15" customHeight="1" x14ac:dyDescent="0.25">
      <c r="A107" s="96" t="s">
        <v>1777</v>
      </c>
      <c r="B107" s="132"/>
      <c r="C107" s="43"/>
      <c r="D107" s="43"/>
      <c r="E107" s="43"/>
      <c r="F107" s="43"/>
      <c r="G107" s="43"/>
      <c r="H107" s="7"/>
    </row>
    <row r="108" spans="1:26" ht="15" customHeight="1" x14ac:dyDescent="0.25">
      <c r="A108" s="96" t="s">
        <v>1778</v>
      </c>
      <c r="B108" s="132"/>
      <c r="C108" s="43"/>
      <c r="D108" s="43"/>
      <c r="E108" s="43"/>
      <c r="F108" s="43"/>
      <c r="G108" s="43"/>
      <c r="H108" s="7"/>
    </row>
    <row r="109" spans="1:26" ht="15" customHeight="1" x14ac:dyDescent="0.25">
      <c r="A109" s="42" t="s">
        <v>466</v>
      </c>
      <c r="B109" s="199"/>
      <c r="C109" s="54">
        <f t="shared" ref="C109:G109" si="11">SUM(C90:C103)</f>
        <v>25545929.890000001</v>
      </c>
      <c r="D109" s="54">
        <f t="shared" si="11"/>
        <v>12535629.43</v>
      </c>
      <c r="E109" s="54">
        <f t="shared" si="11"/>
        <v>14477506.57</v>
      </c>
      <c r="F109" s="54">
        <f t="shared" si="11"/>
        <v>27013136</v>
      </c>
      <c r="G109" s="54">
        <f t="shared" si="11"/>
        <v>25039187</v>
      </c>
      <c r="H109" s="7"/>
    </row>
    <row r="110" spans="1:26" ht="15" customHeight="1" x14ac:dyDescent="0.25">
      <c r="A110" s="42"/>
      <c r="B110" s="199"/>
      <c r="C110" s="55"/>
      <c r="D110" s="55"/>
      <c r="E110" s="55"/>
      <c r="F110" s="55"/>
      <c r="G110" s="55"/>
      <c r="H110" s="7"/>
    </row>
    <row r="111" spans="1:26" ht="15" customHeight="1" x14ac:dyDescent="0.25">
      <c r="A111" s="456" t="s">
        <v>467</v>
      </c>
      <c r="B111" s="519"/>
      <c r="C111" s="443">
        <f t="shared" ref="C111:G111" si="12">C109</f>
        <v>25545929.890000001</v>
      </c>
      <c r="D111" s="443">
        <f t="shared" si="12"/>
        <v>12535629.43</v>
      </c>
      <c r="E111" s="443">
        <f t="shared" si="12"/>
        <v>14477506.57</v>
      </c>
      <c r="F111" s="443">
        <f t="shared" si="12"/>
        <v>27013136</v>
      </c>
      <c r="G111" s="462">
        <f t="shared" si="12"/>
        <v>25039187</v>
      </c>
      <c r="H111" s="7"/>
    </row>
    <row r="112" spans="1:26" ht="15" customHeight="1" x14ac:dyDescent="0.25">
      <c r="A112" s="456"/>
      <c r="B112" s="519"/>
      <c r="C112" s="443"/>
      <c r="D112" s="443"/>
      <c r="E112" s="443"/>
      <c r="F112" s="515"/>
      <c r="G112" s="460"/>
      <c r="H112" s="7"/>
      <c r="K112" s="7"/>
      <c r="L112" s="7"/>
      <c r="M112" s="7"/>
      <c r="N112" s="7"/>
      <c r="O112" s="7"/>
      <c r="P112" s="7"/>
      <c r="Q112" s="7"/>
      <c r="R112" s="7"/>
      <c r="S112" s="7"/>
      <c r="T112" s="7"/>
      <c r="U112" s="7"/>
      <c r="V112" s="7"/>
      <c r="W112" s="7"/>
      <c r="X112" s="7"/>
      <c r="Y112" s="7"/>
      <c r="Z112" s="7"/>
    </row>
    <row r="113" spans="1:26" ht="15" customHeight="1" x14ac:dyDescent="0.25">
      <c r="A113" s="17" t="s">
        <v>529</v>
      </c>
      <c r="B113" s="172"/>
      <c r="C113" s="43"/>
      <c r="D113" s="43"/>
      <c r="E113" s="43"/>
      <c r="F113" s="43"/>
      <c r="G113" s="43"/>
      <c r="H113" s="7"/>
      <c r="K113" s="7"/>
      <c r="L113" s="7"/>
      <c r="M113" s="7"/>
      <c r="N113" s="7"/>
      <c r="O113" s="7"/>
      <c r="P113" s="7"/>
      <c r="Q113" s="7"/>
      <c r="R113" s="7"/>
      <c r="S113" s="7"/>
      <c r="T113" s="7"/>
      <c r="U113" s="7"/>
      <c r="V113" s="7"/>
      <c r="W113" s="7"/>
      <c r="X113" s="7"/>
      <c r="Y113" s="7"/>
      <c r="Z113" s="7"/>
    </row>
    <row r="114" spans="1:26" ht="15" customHeight="1" x14ac:dyDescent="0.25">
      <c r="A114" s="161" t="s">
        <v>476</v>
      </c>
      <c r="B114" s="172"/>
      <c r="C114" s="43"/>
      <c r="D114" s="43"/>
      <c r="E114" s="43"/>
      <c r="F114" s="43"/>
      <c r="G114" s="43"/>
      <c r="H114" s="7"/>
      <c r="K114" s="7"/>
      <c r="L114" s="7"/>
      <c r="M114" s="7"/>
      <c r="N114" s="7"/>
      <c r="O114" s="7"/>
      <c r="P114" s="7"/>
      <c r="Q114" s="7"/>
      <c r="R114" s="7"/>
      <c r="S114" s="7"/>
      <c r="T114" s="7"/>
      <c r="U114" s="7"/>
      <c r="V114" s="7"/>
      <c r="W114" s="7"/>
      <c r="X114" s="7"/>
      <c r="Y114" s="7"/>
      <c r="Z114" s="7"/>
    </row>
    <row r="115" spans="1:26" ht="15" customHeight="1" x14ac:dyDescent="0.25">
      <c r="A115" s="96" t="s">
        <v>479</v>
      </c>
      <c r="B115" s="41" t="s">
        <v>47</v>
      </c>
      <c r="C115" s="43">
        <v>0</v>
      </c>
      <c r="D115" s="43">
        <v>0</v>
      </c>
      <c r="E115" s="43">
        <v>0</v>
      </c>
      <c r="F115" s="43">
        <v>0</v>
      </c>
      <c r="G115" s="43">
        <f>60600</f>
        <v>60600</v>
      </c>
      <c r="H115" s="7"/>
      <c r="K115" s="7"/>
      <c r="L115" s="7"/>
      <c r="M115" s="7"/>
      <c r="N115" s="7"/>
      <c r="O115" s="7"/>
      <c r="P115" s="7"/>
      <c r="Q115" s="7"/>
      <c r="R115" s="7"/>
      <c r="S115" s="7"/>
      <c r="T115" s="7"/>
      <c r="U115" s="7"/>
      <c r="V115" s="7"/>
      <c r="W115" s="7"/>
      <c r="X115" s="7"/>
      <c r="Y115" s="7"/>
      <c r="Z115" s="7"/>
    </row>
    <row r="116" spans="1:26" ht="15" customHeight="1" x14ac:dyDescent="0.25">
      <c r="A116" s="96" t="s">
        <v>1779</v>
      </c>
      <c r="B116" s="41"/>
      <c r="C116" s="43"/>
      <c r="D116" s="43"/>
      <c r="E116" s="43"/>
      <c r="F116" s="43"/>
      <c r="G116" s="43"/>
      <c r="H116" s="7"/>
      <c r="K116" s="7"/>
      <c r="L116" s="7"/>
      <c r="M116" s="7"/>
      <c r="N116" s="7"/>
      <c r="O116" s="7"/>
      <c r="P116" s="7"/>
      <c r="Q116" s="7"/>
      <c r="R116" s="7"/>
      <c r="S116" s="7"/>
      <c r="T116" s="7"/>
      <c r="U116" s="7"/>
      <c r="V116" s="7"/>
      <c r="W116" s="7"/>
      <c r="X116" s="7"/>
      <c r="Y116" s="7"/>
      <c r="Z116" s="7"/>
    </row>
    <row r="117" spans="1:26" ht="15" customHeight="1" x14ac:dyDescent="0.25">
      <c r="A117" s="96" t="s">
        <v>557</v>
      </c>
      <c r="B117" s="41" t="s">
        <v>66</v>
      </c>
      <c r="C117" s="43">
        <v>7800000</v>
      </c>
      <c r="D117" s="43"/>
      <c r="E117" s="43"/>
      <c r="F117" s="43"/>
      <c r="G117" s="43">
        <f>350000</f>
        <v>350000</v>
      </c>
      <c r="H117" s="7"/>
      <c r="K117" s="7"/>
      <c r="L117" s="7"/>
      <c r="M117" s="7"/>
      <c r="N117" s="7"/>
      <c r="O117" s="7"/>
      <c r="P117" s="7"/>
      <c r="Q117" s="7"/>
      <c r="R117" s="7"/>
      <c r="S117" s="7"/>
      <c r="T117" s="7"/>
      <c r="U117" s="7"/>
      <c r="V117" s="7"/>
      <c r="W117" s="7"/>
      <c r="X117" s="7"/>
      <c r="Y117" s="7"/>
      <c r="Z117" s="7"/>
    </row>
    <row r="118" spans="1:26" ht="15" customHeight="1" x14ac:dyDescent="0.25">
      <c r="A118" s="96" t="s">
        <v>1780</v>
      </c>
      <c r="B118" s="172"/>
      <c r="C118" s="43"/>
      <c r="D118" s="43"/>
      <c r="E118" s="43"/>
      <c r="F118" s="43"/>
      <c r="G118" s="43"/>
      <c r="H118" s="7"/>
      <c r="K118" s="7"/>
      <c r="L118" s="7"/>
      <c r="M118" s="7"/>
      <c r="N118" s="7"/>
      <c r="O118" s="7"/>
      <c r="P118" s="7"/>
      <c r="Q118" s="7"/>
      <c r="R118" s="7"/>
      <c r="S118" s="7"/>
      <c r="T118" s="7"/>
      <c r="U118" s="7"/>
      <c r="V118" s="7"/>
      <c r="W118" s="7"/>
      <c r="X118" s="7"/>
      <c r="Y118" s="7"/>
      <c r="Z118" s="7"/>
    </row>
    <row r="119" spans="1:26" ht="15" customHeight="1" x14ac:dyDescent="0.25">
      <c r="A119" s="161" t="s">
        <v>536</v>
      </c>
      <c r="B119" s="172"/>
      <c r="C119" s="54">
        <f t="shared" ref="C119:G119" si="13">SUM(C115:C118)</f>
        <v>7800000</v>
      </c>
      <c r="D119" s="54">
        <f t="shared" si="13"/>
        <v>0</v>
      </c>
      <c r="E119" s="54">
        <f t="shared" si="13"/>
        <v>0</v>
      </c>
      <c r="F119" s="54">
        <f t="shared" si="13"/>
        <v>0</v>
      </c>
      <c r="G119" s="54">
        <f t="shared" si="13"/>
        <v>410600</v>
      </c>
      <c r="H119" s="7"/>
      <c r="K119" s="7"/>
      <c r="L119" s="7"/>
      <c r="M119" s="7"/>
      <c r="N119" s="7"/>
      <c r="O119" s="7"/>
      <c r="P119" s="7"/>
      <c r="Q119" s="7"/>
      <c r="R119" s="7"/>
      <c r="S119" s="7"/>
      <c r="T119" s="7"/>
      <c r="U119" s="7"/>
      <c r="V119" s="7"/>
      <c r="W119" s="7"/>
      <c r="X119" s="7"/>
      <c r="Y119" s="7"/>
      <c r="Z119" s="7"/>
    </row>
    <row r="120" spans="1:26" ht="15" customHeight="1" x14ac:dyDescent="0.25">
      <c r="A120" s="17"/>
      <c r="B120" s="172"/>
      <c r="C120" s="43"/>
      <c r="D120" s="43"/>
      <c r="E120" s="43"/>
      <c r="F120" s="43"/>
      <c r="G120" s="43"/>
      <c r="H120" s="7"/>
      <c r="K120" s="7"/>
      <c r="L120" s="7"/>
      <c r="M120" s="7"/>
      <c r="N120" s="7"/>
      <c r="O120" s="7"/>
      <c r="P120" s="7"/>
      <c r="Q120" s="7"/>
      <c r="R120" s="7"/>
      <c r="S120" s="7"/>
      <c r="T120" s="7"/>
      <c r="U120" s="7"/>
      <c r="V120" s="7"/>
      <c r="W120" s="7"/>
      <c r="X120" s="7"/>
      <c r="Y120" s="7"/>
      <c r="Z120" s="7"/>
    </row>
    <row r="121" spans="1:26" ht="15" customHeight="1" x14ac:dyDescent="0.25">
      <c r="A121" s="50" t="s">
        <v>487</v>
      </c>
      <c r="B121" s="133" t="s">
        <v>488</v>
      </c>
      <c r="C121" s="54">
        <f t="shared" ref="C121:G121" si="14">C119+C111</f>
        <v>33345929.890000001</v>
      </c>
      <c r="D121" s="54">
        <f t="shared" si="14"/>
        <v>12535629.43</v>
      </c>
      <c r="E121" s="54">
        <f t="shared" si="14"/>
        <v>14477506.57</v>
      </c>
      <c r="F121" s="54">
        <f t="shared" si="14"/>
        <v>27013136</v>
      </c>
      <c r="G121" s="54">
        <f t="shared" si="14"/>
        <v>25449787</v>
      </c>
      <c r="H121" s="7"/>
      <c r="K121" s="7"/>
      <c r="L121" s="7"/>
      <c r="M121" s="7"/>
      <c r="N121" s="7"/>
      <c r="O121" s="7"/>
      <c r="P121" s="7"/>
      <c r="Q121" s="7"/>
      <c r="R121" s="7"/>
      <c r="S121" s="7"/>
      <c r="T121" s="7"/>
      <c r="U121" s="7"/>
      <c r="V121" s="7"/>
      <c r="W121" s="7"/>
      <c r="X121" s="7"/>
      <c r="Y121" s="7"/>
      <c r="Z121" s="7"/>
    </row>
    <row r="122" spans="1:26" ht="15" customHeight="1" x14ac:dyDescent="0.25">
      <c r="A122" s="24"/>
      <c r="B122" s="174"/>
      <c r="C122" s="24"/>
      <c r="D122" s="24"/>
      <c r="E122" s="24"/>
      <c r="F122" s="114"/>
      <c r="G122" s="15"/>
      <c r="H122" s="7"/>
      <c r="K122" s="7"/>
      <c r="L122" s="7"/>
      <c r="M122" s="7"/>
      <c r="N122" s="7"/>
      <c r="O122" s="7"/>
      <c r="P122" s="7"/>
      <c r="Q122" s="7"/>
      <c r="R122" s="7"/>
      <c r="S122" s="7"/>
      <c r="T122" s="7"/>
      <c r="U122" s="7"/>
      <c r="V122" s="7"/>
      <c r="W122" s="7"/>
      <c r="X122" s="7"/>
      <c r="Y122" s="7"/>
      <c r="Z122" s="7"/>
    </row>
    <row r="123" spans="1:26" ht="15" customHeight="1" x14ac:dyDescent="0.25">
      <c r="A123" s="24"/>
      <c r="B123" s="174"/>
      <c r="C123" s="24"/>
      <c r="D123" s="24"/>
      <c r="E123" s="24"/>
      <c r="F123" s="114"/>
      <c r="G123" s="15"/>
      <c r="H123" s="7"/>
    </row>
    <row r="124" spans="1:26" ht="13.15" customHeight="1" x14ac:dyDescent="0.25">
      <c r="A124" s="9"/>
      <c r="B124" s="104"/>
      <c r="C124" s="105"/>
      <c r="D124" s="105"/>
      <c r="E124" s="105"/>
      <c r="F124" s="10"/>
      <c r="G124" s="180"/>
      <c r="H124" s="15"/>
      <c r="I124" s="15"/>
      <c r="J124" s="15"/>
      <c r="K124" s="15"/>
      <c r="L124" s="15"/>
      <c r="M124" s="15"/>
      <c r="N124" s="15"/>
      <c r="O124" s="15"/>
      <c r="P124" s="15"/>
      <c r="Q124" s="15"/>
      <c r="R124" s="15"/>
      <c r="S124" s="15"/>
      <c r="T124" s="15"/>
      <c r="U124" s="15"/>
      <c r="V124" s="15"/>
      <c r="W124" s="15"/>
      <c r="X124" s="15"/>
      <c r="Y124" s="15"/>
      <c r="Z124" s="15"/>
    </row>
    <row r="125" spans="1:26" ht="33.75" customHeight="1" x14ac:dyDescent="0.25">
      <c r="A125" s="878" t="s">
        <v>2787</v>
      </c>
      <c r="B125" s="879"/>
      <c r="C125" s="879"/>
      <c r="D125" s="879"/>
      <c r="E125" s="879"/>
      <c r="F125" s="879"/>
      <c r="G125" s="880"/>
      <c r="H125" s="15"/>
      <c r="I125" s="15"/>
      <c r="J125" s="15"/>
      <c r="K125" s="15"/>
      <c r="L125" s="15"/>
      <c r="M125" s="15"/>
      <c r="N125" s="15"/>
      <c r="O125" s="15"/>
      <c r="P125" s="15"/>
      <c r="Q125" s="15"/>
      <c r="R125" s="15"/>
      <c r="S125" s="15"/>
      <c r="T125" s="15"/>
      <c r="U125" s="15"/>
      <c r="V125" s="15"/>
      <c r="W125" s="15"/>
      <c r="X125" s="15"/>
      <c r="Y125" s="15"/>
      <c r="Z125" s="15"/>
    </row>
    <row r="126" spans="1:26" ht="11.45" customHeight="1" x14ac:dyDescent="0.25">
      <c r="A126" s="108"/>
      <c r="B126" s="25"/>
      <c r="C126" s="26"/>
      <c r="D126" s="26"/>
      <c r="E126" s="26"/>
      <c r="F126" s="14"/>
      <c r="G126" s="181"/>
      <c r="H126" s="15"/>
      <c r="I126" s="15"/>
      <c r="J126" s="15"/>
      <c r="K126" s="15"/>
      <c r="L126" s="15"/>
      <c r="M126" s="15"/>
      <c r="N126" s="15"/>
      <c r="O126" s="15"/>
      <c r="P126" s="15"/>
      <c r="Q126" s="15"/>
      <c r="R126" s="15"/>
      <c r="S126" s="15"/>
      <c r="T126" s="15"/>
      <c r="U126" s="15"/>
      <c r="V126" s="15"/>
      <c r="W126" s="15"/>
      <c r="X126" s="15"/>
      <c r="Y126" s="15"/>
      <c r="Z126" s="15"/>
    </row>
    <row r="127" spans="1:26" ht="12.6" customHeight="1" x14ac:dyDescent="0.25">
      <c r="A127" s="865" t="s">
        <v>352</v>
      </c>
      <c r="B127" s="866"/>
      <c r="C127" s="866"/>
      <c r="D127" s="866"/>
      <c r="E127" s="866"/>
      <c r="F127" s="866"/>
      <c r="G127" s="867"/>
      <c r="H127" s="15"/>
      <c r="I127" s="15"/>
      <c r="J127" s="15"/>
      <c r="K127" s="15"/>
      <c r="L127" s="15"/>
      <c r="M127" s="15"/>
      <c r="N127" s="15"/>
      <c r="O127" s="15"/>
      <c r="P127" s="15"/>
      <c r="Q127" s="15"/>
      <c r="R127" s="15"/>
      <c r="S127" s="15"/>
      <c r="T127" s="15"/>
      <c r="U127" s="15"/>
      <c r="V127" s="15"/>
      <c r="W127" s="15"/>
      <c r="X127" s="15"/>
      <c r="Y127" s="15"/>
      <c r="Z127" s="15"/>
    </row>
    <row r="128" spans="1:26" ht="15" customHeight="1" x14ac:dyDescent="0.25">
      <c r="A128" s="868" t="s">
        <v>353</v>
      </c>
      <c r="B128" s="857" t="s">
        <v>354</v>
      </c>
      <c r="C128" s="870" t="s">
        <v>355</v>
      </c>
      <c r="D128" s="872" t="s">
        <v>356</v>
      </c>
      <c r="E128" s="873"/>
      <c r="F128" s="874"/>
      <c r="G128" s="857" t="s">
        <v>357</v>
      </c>
      <c r="H128" s="15"/>
      <c r="I128" s="15"/>
      <c r="J128" s="15"/>
      <c r="K128" s="15"/>
      <c r="L128" s="15"/>
      <c r="M128" s="15"/>
      <c r="N128" s="15"/>
      <c r="O128" s="15"/>
      <c r="P128" s="15"/>
      <c r="Q128" s="15"/>
      <c r="R128" s="15"/>
      <c r="S128" s="15"/>
      <c r="T128" s="15"/>
      <c r="U128" s="15"/>
      <c r="V128" s="15"/>
      <c r="W128" s="15"/>
      <c r="X128" s="15"/>
      <c r="Y128" s="15"/>
      <c r="Z128" s="15"/>
    </row>
    <row r="129" spans="1:26" ht="15" customHeight="1" x14ac:dyDescent="0.25">
      <c r="A129" s="858"/>
      <c r="B129" s="858"/>
      <c r="C129" s="871"/>
      <c r="D129" s="28" t="s">
        <v>358</v>
      </c>
      <c r="E129" s="29" t="s">
        <v>359</v>
      </c>
      <c r="F129" s="875" t="s">
        <v>360</v>
      </c>
      <c r="G129" s="858"/>
      <c r="H129" s="15"/>
      <c r="I129" s="15"/>
      <c r="J129" s="15"/>
      <c r="K129" s="15"/>
      <c r="L129" s="15"/>
      <c r="M129" s="15"/>
      <c r="N129" s="15"/>
      <c r="O129" s="15"/>
      <c r="P129" s="15"/>
      <c r="Q129" s="15"/>
      <c r="R129" s="15"/>
      <c r="S129" s="15"/>
      <c r="T129" s="15"/>
      <c r="U129" s="15"/>
      <c r="V129" s="15"/>
      <c r="W129" s="15"/>
      <c r="X129" s="15"/>
      <c r="Y129" s="15"/>
      <c r="Z129" s="15"/>
    </row>
    <row r="130" spans="1:26" ht="15" customHeight="1" x14ac:dyDescent="0.25">
      <c r="A130" s="858"/>
      <c r="B130" s="858"/>
      <c r="C130" s="30" t="s">
        <v>361</v>
      </c>
      <c r="D130" s="31" t="s">
        <v>361</v>
      </c>
      <c r="E130" s="32" t="s">
        <v>362</v>
      </c>
      <c r="F130" s="860"/>
      <c r="G130" s="442" t="s">
        <v>2669</v>
      </c>
      <c r="H130" s="15"/>
      <c r="I130" s="15"/>
      <c r="J130" s="15"/>
      <c r="K130" s="15"/>
      <c r="L130" s="15"/>
      <c r="M130" s="15"/>
      <c r="N130" s="15"/>
      <c r="O130" s="15"/>
      <c r="P130" s="15"/>
      <c r="Q130" s="15"/>
      <c r="R130" s="15"/>
      <c r="S130" s="15"/>
      <c r="T130" s="15"/>
      <c r="U130" s="15"/>
      <c r="V130" s="15"/>
      <c r="W130" s="15"/>
      <c r="X130" s="15"/>
      <c r="Y130" s="15"/>
      <c r="Z130" s="15"/>
    </row>
    <row r="131" spans="1:26" ht="15" customHeight="1" x14ac:dyDescent="0.25">
      <c r="A131" s="869"/>
      <c r="B131" s="869"/>
      <c r="C131" s="33">
        <v>2024</v>
      </c>
      <c r="D131" s="34">
        <v>2025</v>
      </c>
      <c r="E131" s="35">
        <v>2025</v>
      </c>
      <c r="F131" s="34">
        <v>2025</v>
      </c>
      <c r="G131" s="36" t="s">
        <v>2668</v>
      </c>
      <c r="H131" s="15"/>
      <c r="I131" s="15"/>
      <c r="J131" s="15"/>
      <c r="K131" s="15"/>
      <c r="L131" s="15"/>
      <c r="M131" s="15"/>
      <c r="N131" s="15"/>
      <c r="O131" s="15"/>
      <c r="P131" s="15"/>
      <c r="Q131" s="15"/>
      <c r="R131" s="15"/>
      <c r="S131" s="15"/>
      <c r="T131" s="15"/>
      <c r="U131" s="15"/>
      <c r="V131" s="15"/>
      <c r="W131" s="15"/>
      <c r="X131" s="15"/>
      <c r="Y131" s="15"/>
      <c r="Z131" s="15"/>
    </row>
    <row r="132" spans="1:26" ht="15" customHeight="1" x14ac:dyDescent="0.25">
      <c r="A132" s="17" t="s">
        <v>364</v>
      </c>
      <c r="B132" s="288"/>
      <c r="C132" s="152"/>
      <c r="D132" s="152"/>
      <c r="E132" s="152"/>
      <c r="F132" s="152"/>
      <c r="G132" s="152"/>
      <c r="H132" s="7"/>
    </row>
    <row r="133" spans="1:26" ht="15" customHeight="1" x14ac:dyDescent="0.25">
      <c r="A133" s="42" t="s">
        <v>391</v>
      </c>
      <c r="B133" s="313"/>
      <c r="C133" s="152"/>
      <c r="D133" s="152"/>
      <c r="E133" s="152"/>
      <c r="F133" s="152"/>
      <c r="G133" s="152"/>
      <c r="H133" s="7"/>
    </row>
    <row r="134" spans="1:26" ht="15" customHeight="1" x14ac:dyDescent="0.25">
      <c r="A134" s="42" t="s">
        <v>493</v>
      </c>
      <c r="B134" s="41"/>
      <c r="C134" s="43"/>
      <c r="D134" s="43"/>
      <c r="E134" s="43"/>
      <c r="F134" s="43"/>
      <c r="G134" s="43"/>
      <c r="H134" s="7"/>
      <c r="I134" s="114"/>
      <c r="J134" s="114"/>
      <c r="K134" s="114"/>
      <c r="L134" s="114"/>
      <c r="M134" s="114"/>
      <c r="N134" s="114"/>
      <c r="O134" s="114"/>
      <c r="P134" s="114"/>
      <c r="Q134" s="114"/>
      <c r="R134" s="114"/>
      <c r="S134" s="114"/>
      <c r="T134" s="114"/>
      <c r="U134" s="114"/>
      <c r="V134" s="114"/>
      <c r="W134" s="114"/>
      <c r="X134" s="114"/>
      <c r="Y134" s="114"/>
      <c r="Z134" s="114"/>
    </row>
    <row r="135" spans="1:26" ht="15" customHeight="1" x14ac:dyDescent="0.25">
      <c r="A135" s="48" t="s">
        <v>396</v>
      </c>
      <c r="B135" s="41" t="s">
        <v>191</v>
      </c>
      <c r="C135" s="175">
        <v>891775</v>
      </c>
      <c r="D135" s="43">
        <v>5470781</v>
      </c>
      <c r="E135" s="43">
        <f>F135-D135</f>
        <v>581519</v>
      </c>
      <c r="F135" s="43">
        <v>6052300</v>
      </c>
      <c r="G135" s="43">
        <v>3394500</v>
      </c>
      <c r="H135" s="7"/>
      <c r="I135" s="114"/>
      <c r="J135" s="114"/>
      <c r="K135" s="114"/>
      <c r="L135" s="114"/>
      <c r="M135" s="114"/>
      <c r="N135" s="114"/>
      <c r="O135" s="114"/>
      <c r="P135" s="114"/>
      <c r="Q135" s="114"/>
      <c r="R135" s="114"/>
      <c r="S135" s="114"/>
      <c r="T135" s="114"/>
      <c r="U135" s="114"/>
      <c r="V135" s="114"/>
      <c r="W135" s="114"/>
      <c r="X135" s="114"/>
      <c r="Y135" s="114"/>
      <c r="Z135" s="114"/>
    </row>
    <row r="136" spans="1:26" ht="15" customHeight="1" x14ac:dyDescent="0.25">
      <c r="A136" s="96" t="s">
        <v>1781</v>
      </c>
      <c r="B136" s="288"/>
      <c r="C136" s="156"/>
      <c r="D136" s="46"/>
      <c r="E136" s="46"/>
      <c r="F136" s="46"/>
      <c r="G136" s="46"/>
      <c r="H136" s="7">
        <v>370000</v>
      </c>
    </row>
    <row r="137" spans="1:26" ht="15" customHeight="1" x14ac:dyDescent="0.25">
      <c r="A137" s="96" t="s">
        <v>1782</v>
      </c>
      <c r="B137" s="288"/>
      <c r="C137" s="156"/>
      <c r="D137" s="46"/>
      <c r="E137" s="46"/>
      <c r="F137" s="46"/>
      <c r="G137" s="46"/>
      <c r="H137" s="7">
        <v>370000</v>
      </c>
    </row>
    <row r="138" spans="1:26" ht="15" customHeight="1" x14ac:dyDescent="0.25">
      <c r="A138" s="96" t="s">
        <v>1783</v>
      </c>
      <c r="B138" s="288"/>
      <c r="C138" s="156"/>
      <c r="D138" s="46"/>
      <c r="E138" s="46"/>
      <c r="F138" s="46"/>
      <c r="G138" s="46"/>
      <c r="H138" s="7">
        <v>370000</v>
      </c>
    </row>
    <row r="139" spans="1:26" ht="15" customHeight="1" x14ac:dyDescent="0.25">
      <c r="A139" s="96" t="s">
        <v>1784</v>
      </c>
      <c r="B139" s="288"/>
      <c r="C139" s="156"/>
      <c r="D139" s="46"/>
      <c r="E139" s="46"/>
      <c r="F139" s="46"/>
      <c r="G139" s="46"/>
      <c r="H139" s="7">
        <v>111000</v>
      </c>
    </row>
    <row r="140" spans="1:26" ht="15" customHeight="1" x14ac:dyDescent="0.25">
      <c r="A140" s="96" t="s">
        <v>1785</v>
      </c>
      <c r="B140" s="288"/>
      <c r="C140" s="156"/>
      <c r="D140" s="46"/>
      <c r="E140" s="46"/>
      <c r="F140" s="46"/>
      <c r="G140" s="46"/>
      <c r="H140" s="7">
        <v>148000</v>
      </c>
    </row>
    <row r="141" spans="1:26" ht="15" customHeight="1" x14ac:dyDescent="0.25">
      <c r="A141" s="96" t="s">
        <v>1786</v>
      </c>
      <c r="B141" s="288"/>
      <c r="C141" s="156"/>
      <c r="D141" s="46"/>
      <c r="E141" s="46"/>
      <c r="F141" s="46"/>
      <c r="G141" s="46"/>
      <c r="H141" s="7">
        <v>296000</v>
      </c>
    </row>
    <row r="142" spans="1:26" ht="15" customHeight="1" x14ac:dyDescent="0.25">
      <c r="A142" s="96" t="s">
        <v>1787</v>
      </c>
      <c r="B142" s="288"/>
      <c r="C142" s="156"/>
      <c r="D142" s="46"/>
      <c r="E142" s="46"/>
      <c r="F142" s="46"/>
      <c r="G142" s="46"/>
      <c r="H142" s="7">
        <v>296000</v>
      </c>
    </row>
    <row r="143" spans="1:26" ht="15" customHeight="1" x14ac:dyDescent="0.25">
      <c r="A143" s="96" t="s">
        <v>1788</v>
      </c>
      <c r="B143" s="288"/>
      <c r="C143" s="156"/>
      <c r="D143" s="46"/>
      <c r="E143" s="46"/>
      <c r="F143" s="46"/>
      <c r="G143" s="46"/>
      <c r="H143" s="7">
        <f>296000</f>
        <v>296000</v>
      </c>
    </row>
    <row r="144" spans="1:26" ht="15" customHeight="1" x14ac:dyDescent="0.25">
      <c r="A144" s="96" t="s">
        <v>1789</v>
      </c>
      <c r="B144" s="288"/>
      <c r="C144" s="156"/>
      <c r="D144" s="46"/>
      <c r="E144" s="46"/>
      <c r="F144" s="46"/>
      <c r="G144" s="46"/>
      <c r="H144" s="7">
        <v>296000</v>
      </c>
    </row>
    <row r="145" spans="1:9" ht="15" customHeight="1" x14ac:dyDescent="0.25">
      <c r="A145" s="96" t="s">
        <v>1790</v>
      </c>
      <c r="B145" s="288"/>
      <c r="C145" s="156"/>
      <c r="D145" s="46"/>
      <c r="E145" s="46"/>
      <c r="F145" s="46"/>
      <c r="G145" s="46"/>
      <c r="H145" s="7">
        <v>148000</v>
      </c>
    </row>
    <row r="146" spans="1:9" ht="15" customHeight="1" x14ac:dyDescent="0.25">
      <c r="A146" s="295" t="s">
        <v>1791</v>
      </c>
      <c r="B146" s="288"/>
      <c r="C146" s="156"/>
      <c r="D146" s="46"/>
      <c r="E146" s="46"/>
      <c r="F146" s="46"/>
      <c r="G146" s="46"/>
      <c r="H146" s="7">
        <v>92500</v>
      </c>
    </row>
    <row r="147" spans="1:9" ht="15" customHeight="1" x14ac:dyDescent="0.25">
      <c r="A147" s="295" t="s">
        <v>1792</v>
      </c>
      <c r="B147" s="288"/>
      <c r="C147" s="156"/>
      <c r="D147" s="46"/>
      <c r="E147" s="46"/>
      <c r="F147" s="46"/>
      <c r="G147" s="46"/>
      <c r="H147" s="7">
        <v>370000</v>
      </c>
    </row>
    <row r="148" spans="1:9" ht="15" customHeight="1" x14ac:dyDescent="0.25">
      <c r="A148" s="295" t="s">
        <v>1793</v>
      </c>
      <c r="B148" s="288"/>
      <c r="C148" s="156"/>
      <c r="D148" s="46"/>
      <c r="E148" s="46"/>
      <c r="F148" s="46"/>
      <c r="G148" s="46"/>
      <c r="H148" s="7">
        <v>231000</v>
      </c>
    </row>
    <row r="149" spans="1:9" ht="15" customHeight="1" x14ac:dyDescent="0.25">
      <c r="A149" s="17" t="s">
        <v>499</v>
      </c>
      <c r="B149" s="288"/>
      <c r="C149" s="46"/>
      <c r="D149" s="46"/>
      <c r="E149" s="46"/>
      <c r="F149" s="46"/>
      <c r="G149" s="46"/>
      <c r="H149" s="7"/>
    </row>
    <row r="150" spans="1:9" ht="15" customHeight="1" x14ac:dyDescent="0.25">
      <c r="A150" s="48" t="s">
        <v>841</v>
      </c>
      <c r="B150" s="41" t="s">
        <v>207</v>
      </c>
      <c r="C150" s="43">
        <v>2025302</v>
      </c>
      <c r="D150" s="43">
        <v>836685</v>
      </c>
      <c r="E150" s="43">
        <f t="shared" ref="E150:E158" si="15">F150-D150</f>
        <v>837461</v>
      </c>
      <c r="F150" s="43">
        <v>1674146</v>
      </c>
      <c r="G150" s="43">
        <v>1763992</v>
      </c>
      <c r="H150" s="7"/>
    </row>
    <row r="151" spans="1:9" ht="15" customHeight="1" x14ac:dyDescent="0.25">
      <c r="A151" s="48" t="s">
        <v>807</v>
      </c>
      <c r="B151" s="41" t="s">
        <v>209</v>
      </c>
      <c r="C151" s="43">
        <v>1780074</v>
      </c>
      <c r="D151" s="43">
        <v>3422160</v>
      </c>
      <c r="E151" s="43">
        <f t="shared" si="15"/>
        <v>3060</v>
      </c>
      <c r="F151" s="43">
        <v>3425220</v>
      </c>
      <c r="G151" s="43">
        <v>2903566</v>
      </c>
      <c r="H151" s="7"/>
    </row>
    <row r="152" spans="1:9" ht="15" customHeight="1" x14ac:dyDescent="0.25">
      <c r="A152" s="74" t="s">
        <v>400</v>
      </c>
      <c r="B152" s="41" t="s">
        <v>221</v>
      </c>
      <c r="C152" s="43"/>
      <c r="D152" s="43">
        <v>316800</v>
      </c>
      <c r="E152" s="43">
        <f t="shared" si="15"/>
        <v>378</v>
      </c>
      <c r="F152" s="43">
        <v>317178</v>
      </c>
      <c r="G152" s="43">
        <v>726000</v>
      </c>
      <c r="H152" s="7"/>
    </row>
    <row r="153" spans="1:9" ht="15" customHeight="1" x14ac:dyDescent="0.25">
      <c r="A153" s="460" t="s">
        <v>402</v>
      </c>
      <c r="B153" s="454" t="s">
        <v>225</v>
      </c>
      <c r="C153" s="443">
        <v>511373</v>
      </c>
      <c r="D153" s="443">
        <v>488405</v>
      </c>
      <c r="E153" s="443">
        <f t="shared" si="15"/>
        <v>2105</v>
      </c>
      <c r="F153" s="443">
        <v>490510</v>
      </c>
      <c r="G153" s="462">
        <f>409960+50743.9</f>
        <v>460703.9</v>
      </c>
      <c r="H153" s="7">
        <f>G153+50743.9</f>
        <v>511447.80000000005</v>
      </c>
      <c r="I153" s="57">
        <v>409960</v>
      </c>
    </row>
    <row r="154" spans="1:9" ht="15" customHeight="1" x14ac:dyDescent="0.25">
      <c r="A154" s="480" t="s">
        <v>503</v>
      </c>
      <c r="B154" s="519"/>
      <c r="C154" s="443"/>
      <c r="D154" s="443"/>
      <c r="E154" s="443">
        <f t="shared" si="15"/>
        <v>0</v>
      </c>
      <c r="F154" s="443"/>
      <c r="G154" s="563"/>
      <c r="H154" s="7"/>
    </row>
    <row r="155" spans="1:9" ht="15" customHeight="1" x14ac:dyDescent="0.25">
      <c r="A155" s="96" t="s">
        <v>1769</v>
      </c>
      <c r="B155" s="41" t="s">
        <v>235</v>
      </c>
      <c r="C155" s="43"/>
      <c r="D155" s="43">
        <v>14268</v>
      </c>
      <c r="E155" s="43">
        <f t="shared" si="15"/>
        <v>132</v>
      </c>
      <c r="F155" s="43">
        <v>14400</v>
      </c>
      <c r="G155" s="76">
        <v>14400</v>
      </c>
      <c r="H155" s="7"/>
    </row>
    <row r="156" spans="1:9" ht="15" customHeight="1" x14ac:dyDescent="0.25">
      <c r="A156" s="44" t="s">
        <v>504</v>
      </c>
      <c r="B156" s="41" t="s">
        <v>237</v>
      </c>
      <c r="C156" s="43">
        <v>14246.58</v>
      </c>
      <c r="D156" s="43">
        <v>13136.36</v>
      </c>
      <c r="E156" s="43">
        <f t="shared" si="15"/>
        <v>28863.64</v>
      </c>
      <c r="F156" s="43">
        <v>42000</v>
      </c>
      <c r="G156" s="45">
        <v>45600</v>
      </c>
      <c r="H156" s="7"/>
    </row>
    <row r="157" spans="1:9" ht="15" customHeight="1" x14ac:dyDescent="0.25">
      <c r="A157" s="17" t="s">
        <v>424</v>
      </c>
      <c r="B157" s="41"/>
      <c r="C157" s="45"/>
      <c r="D157" s="43"/>
      <c r="E157" s="43">
        <f t="shared" si="15"/>
        <v>0</v>
      </c>
      <c r="F157" s="43"/>
      <c r="G157" s="154"/>
      <c r="H157" s="7"/>
    </row>
    <row r="158" spans="1:9" ht="15" customHeight="1" x14ac:dyDescent="0.25">
      <c r="A158" s="48" t="s">
        <v>424</v>
      </c>
      <c r="B158" s="41" t="s">
        <v>335</v>
      </c>
      <c r="C158" s="45">
        <v>15231920.779999999</v>
      </c>
      <c r="D158" s="43">
        <v>10276221.92</v>
      </c>
      <c r="E158" s="43">
        <f t="shared" si="15"/>
        <v>14815538.08</v>
      </c>
      <c r="F158" s="43">
        <v>25091760</v>
      </c>
      <c r="G158" s="43">
        <v>140000</v>
      </c>
      <c r="H158" s="7"/>
    </row>
    <row r="159" spans="1:9" ht="47.25" x14ac:dyDescent="0.25">
      <c r="A159" s="295" t="s">
        <v>1794</v>
      </c>
      <c r="B159" s="288"/>
      <c r="C159" s="45"/>
      <c r="D159" s="43"/>
      <c r="E159" s="43"/>
      <c r="F159" s="43"/>
      <c r="G159" s="43"/>
      <c r="H159" s="7"/>
    </row>
    <row r="160" spans="1:9" ht="15.75" customHeight="1" x14ac:dyDescent="0.25">
      <c r="A160" s="42" t="s">
        <v>466</v>
      </c>
      <c r="B160" s="288"/>
      <c r="C160" s="79">
        <f>SUM(C134:C158)</f>
        <v>20454691.359999999</v>
      </c>
      <c r="D160" s="79">
        <f>SUM(D134:D158)</f>
        <v>20838457.280000001</v>
      </c>
      <c r="E160" s="79">
        <f>SUM(E134:E158)</f>
        <v>16269056.720000001</v>
      </c>
      <c r="F160" s="54">
        <f>SUM(F135:F158)</f>
        <v>37107514</v>
      </c>
      <c r="G160" s="54">
        <f>SUM(G135:G159)</f>
        <v>9448761.9000000004</v>
      </c>
      <c r="H160" s="7"/>
    </row>
    <row r="161" spans="1:26" ht="15.75" customHeight="1" x14ac:dyDescent="0.25">
      <c r="A161" s="42"/>
      <c r="B161" s="288"/>
      <c r="C161" s="314"/>
      <c r="D161" s="153"/>
      <c r="E161" s="153"/>
      <c r="F161" s="153"/>
      <c r="G161" s="153"/>
      <c r="H161" s="7"/>
    </row>
    <row r="162" spans="1:26" ht="15.75" customHeight="1" x14ac:dyDescent="0.25">
      <c r="A162" s="42" t="s">
        <v>467</v>
      </c>
      <c r="B162" s="288"/>
      <c r="C162" s="45">
        <f t="shared" ref="C162:G162" si="16">C160</f>
        <v>20454691.359999999</v>
      </c>
      <c r="D162" s="43">
        <f t="shared" si="16"/>
        <v>20838457.280000001</v>
      </c>
      <c r="E162" s="43">
        <f t="shared" si="16"/>
        <v>16269056.720000001</v>
      </c>
      <c r="F162" s="43">
        <f t="shared" si="16"/>
        <v>37107514</v>
      </c>
      <c r="G162" s="43">
        <f t="shared" si="16"/>
        <v>9448761.9000000004</v>
      </c>
      <c r="H162" s="7"/>
    </row>
    <row r="163" spans="1:26" ht="15.75" customHeight="1" x14ac:dyDescent="0.25">
      <c r="A163" s="17" t="s">
        <v>1770</v>
      </c>
      <c r="B163" s="288"/>
      <c r="C163" s="46"/>
      <c r="D163" s="46"/>
      <c r="E163" s="46"/>
      <c r="F163" s="46"/>
      <c r="G163" s="46"/>
      <c r="H163" s="7"/>
    </row>
    <row r="164" spans="1:26" ht="15.75" customHeight="1" x14ac:dyDescent="0.25">
      <c r="A164" s="17" t="s">
        <v>529</v>
      </c>
      <c r="B164" s="172"/>
      <c r="C164" s="43"/>
      <c r="D164" s="43"/>
      <c r="E164" s="43"/>
      <c r="F164" s="48"/>
      <c r="G164" s="48"/>
      <c r="H164" s="7"/>
    </row>
    <row r="165" spans="1:26" ht="15.75" customHeight="1" x14ac:dyDescent="0.25">
      <c r="A165" s="161" t="s">
        <v>476</v>
      </c>
      <c r="B165" s="172"/>
      <c r="C165" s="43"/>
      <c r="D165" s="43"/>
      <c r="E165" s="43"/>
      <c r="F165" s="48"/>
      <c r="G165" s="48"/>
      <c r="H165" s="7"/>
    </row>
    <row r="166" spans="1:26" ht="15.75" customHeight="1" x14ac:dyDescent="0.25">
      <c r="A166" s="96" t="s">
        <v>557</v>
      </c>
      <c r="B166" s="41" t="s">
        <v>66</v>
      </c>
      <c r="C166" s="43">
        <v>0</v>
      </c>
      <c r="D166" s="43">
        <v>0</v>
      </c>
      <c r="E166" s="43">
        <v>0</v>
      </c>
      <c r="F166" s="43">
        <v>0</v>
      </c>
      <c r="G166" s="43">
        <v>2400000</v>
      </c>
      <c r="H166" s="7"/>
    </row>
    <row r="167" spans="1:26" ht="15.75" customHeight="1" x14ac:dyDescent="0.25">
      <c r="A167" s="96" t="s">
        <v>1795</v>
      </c>
      <c r="B167" s="172"/>
      <c r="C167" s="43"/>
      <c r="D167" s="43"/>
      <c r="E167" s="43"/>
      <c r="F167" s="48"/>
      <c r="G167" s="48"/>
      <c r="H167" s="7"/>
    </row>
    <row r="168" spans="1:26" ht="15.75" customHeight="1" x14ac:dyDescent="0.25">
      <c r="A168" s="161" t="s">
        <v>570</v>
      </c>
      <c r="B168" s="172"/>
      <c r="C168" s="43"/>
      <c r="D168" s="43"/>
      <c r="E168" s="43"/>
      <c r="F168" s="48"/>
      <c r="G168" s="48"/>
      <c r="H168" s="7"/>
    </row>
    <row r="169" spans="1:26" ht="15.75" customHeight="1" x14ac:dyDescent="0.25">
      <c r="A169" s="96" t="s">
        <v>630</v>
      </c>
      <c r="B169" s="41" t="s">
        <v>55</v>
      </c>
      <c r="C169" s="45">
        <v>8793888</v>
      </c>
      <c r="D169" s="45">
        <v>3498998</v>
      </c>
      <c r="E169" s="43">
        <f>F169-D169</f>
        <v>1002</v>
      </c>
      <c r="F169" s="45">
        <v>3500000</v>
      </c>
      <c r="G169" s="43">
        <f>3500000*4</f>
        <v>14000000</v>
      </c>
      <c r="H169" s="7"/>
    </row>
    <row r="170" spans="1:26" ht="15.75" customHeight="1" x14ac:dyDescent="0.25">
      <c r="A170" s="96" t="s">
        <v>1796</v>
      </c>
      <c r="B170" s="172"/>
      <c r="C170" s="45"/>
      <c r="D170" s="45"/>
      <c r="E170" s="43"/>
      <c r="F170" s="181"/>
      <c r="G170" s="48"/>
      <c r="H170" s="7"/>
    </row>
    <row r="171" spans="1:26" ht="15.75" customHeight="1" x14ac:dyDescent="0.25">
      <c r="A171" s="161" t="s">
        <v>1462</v>
      </c>
      <c r="B171" s="172"/>
      <c r="C171" s="43"/>
      <c r="D171" s="43"/>
      <c r="E171" s="43"/>
      <c r="F171" s="48"/>
      <c r="G171" s="48"/>
      <c r="H171" s="7"/>
    </row>
    <row r="172" spans="1:26" ht="15.75" customHeight="1" x14ac:dyDescent="0.25">
      <c r="A172" s="96" t="s">
        <v>1462</v>
      </c>
      <c r="B172" s="41" t="s">
        <v>107</v>
      </c>
      <c r="C172" s="43">
        <v>0</v>
      </c>
      <c r="D172" s="43">
        <v>199500</v>
      </c>
      <c r="E172" s="56">
        <f>F172-D172</f>
        <v>500</v>
      </c>
      <c r="F172" s="43">
        <v>200000</v>
      </c>
      <c r="G172" s="43">
        <v>200000</v>
      </c>
      <c r="H172" s="7"/>
    </row>
    <row r="173" spans="1:26" ht="15.75" customHeight="1" x14ac:dyDescent="0.25">
      <c r="A173" s="96" t="s">
        <v>1797</v>
      </c>
      <c r="B173" s="172"/>
      <c r="C173" s="45"/>
      <c r="D173" s="45"/>
      <c r="E173" s="45"/>
      <c r="F173" s="45"/>
      <c r="G173" s="45"/>
      <c r="H173" s="7"/>
    </row>
    <row r="174" spans="1:26" ht="15.75" customHeight="1" x14ac:dyDescent="0.25">
      <c r="A174" s="42" t="s">
        <v>536</v>
      </c>
      <c r="B174" s="172"/>
      <c r="C174" s="79">
        <f t="shared" ref="C174:F174" si="17">SUM(C169:C172)</f>
        <v>8793888</v>
      </c>
      <c r="D174" s="79">
        <f t="shared" si="17"/>
        <v>3698498</v>
      </c>
      <c r="E174" s="79">
        <f t="shared" si="17"/>
        <v>1502</v>
      </c>
      <c r="F174" s="79">
        <f t="shared" si="17"/>
        <v>3700000</v>
      </c>
      <c r="G174" s="79">
        <f>SUM(G166:G172)</f>
        <v>16600000</v>
      </c>
      <c r="H174" s="7"/>
    </row>
    <row r="175" spans="1:26" ht="15.75" customHeight="1" x14ac:dyDescent="0.25">
      <c r="A175" s="17"/>
      <c r="B175" s="288"/>
      <c r="C175" s="46"/>
      <c r="D175" s="46"/>
      <c r="E175" s="46"/>
      <c r="F175" s="46"/>
      <c r="G175" s="46"/>
      <c r="H175" s="7"/>
    </row>
    <row r="176" spans="1:26" ht="15.75" customHeight="1" x14ac:dyDescent="0.25">
      <c r="A176" s="50" t="s">
        <v>487</v>
      </c>
      <c r="B176" s="133" t="s">
        <v>488</v>
      </c>
      <c r="C176" s="54">
        <f t="shared" ref="C176:G176" si="18">C174+C162</f>
        <v>29248579.359999999</v>
      </c>
      <c r="D176" s="54">
        <f t="shared" si="18"/>
        <v>24536955.280000001</v>
      </c>
      <c r="E176" s="54">
        <f t="shared" si="18"/>
        <v>16270558.720000001</v>
      </c>
      <c r="F176" s="54">
        <f t="shared" si="18"/>
        <v>40807514</v>
      </c>
      <c r="G176" s="54">
        <f t="shared" si="18"/>
        <v>26048761.899999999</v>
      </c>
      <c r="H176" s="7"/>
      <c r="I176" s="114"/>
      <c r="J176" s="114"/>
      <c r="K176" s="114"/>
      <c r="L176" s="114"/>
      <c r="M176" s="114"/>
      <c r="N176" s="114"/>
      <c r="O176" s="114"/>
      <c r="P176" s="114"/>
      <c r="Q176" s="114"/>
      <c r="R176" s="114"/>
      <c r="S176" s="114"/>
      <c r="T176" s="114"/>
      <c r="U176" s="114"/>
      <c r="V176" s="114"/>
      <c r="W176" s="114"/>
      <c r="X176" s="114"/>
      <c r="Y176" s="114"/>
      <c r="Z176" s="114"/>
    </row>
    <row r="177" spans="1:8" ht="12" customHeight="1" x14ac:dyDescent="0.25">
      <c r="A177" s="24"/>
      <c r="B177" s="174"/>
      <c r="C177" s="24"/>
      <c r="D177" s="24"/>
      <c r="E177" s="24"/>
      <c r="F177" s="114"/>
      <c r="G177" s="15"/>
      <c r="H177" s="7"/>
    </row>
    <row r="178" spans="1:8" ht="15.75" customHeight="1" x14ac:dyDescent="0.25">
      <c r="A178" s="24"/>
      <c r="B178" s="174"/>
      <c r="C178" s="24"/>
      <c r="D178" s="24"/>
      <c r="E178" s="24"/>
      <c r="F178" s="114"/>
      <c r="G178" s="15"/>
      <c r="H178" s="7"/>
    </row>
    <row r="179" spans="1:8" ht="15.75" customHeight="1" x14ac:dyDescent="0.25">
      <c r="A179" s="24"/>
      <c r="B179" s="174"/>
      <c r="C179" s="24"/>
      <c r="D179" s="24"/>
      <c r="E179" s="24"/>
      <c r="F179" s="114"/>
      <c r="G179" s="15"/>
      <c r="H179" s="7"/>
    </row>
    <row r="180" spans="1:8" ht="15.75" customHeight="1" x14ac:dyDescent="0.25">
      <c r="A180" s="24"/>
      <c r="B180" s="174"/>
      <c r="C180" s="24"/>
      <c r="D180" s="24"/>
      <c r="E180" s="24"/>
      <c r="F180" s="114"/>
      <c r="G180" s="15"/>
      <c r="H180" s="7"/>
    </row>
    <row r="181" spans="1:8" ht="15.75" customHeight="1" x14ac:dyDescent="0.25">
      <c r="A181" s="24"/>
      <c r="B181" s="174"/>
      <c r="C181" s="24"/>
      <c r="D181" s="24"/>
      <c r="E181" s="24"/>
      <c r="F181" s="114"/>
      <c r="G181" s="15"/>
      <c r="H181" s="7"/>
    </row>
    <row r="182" spans="1:8" ht="15.75" customHeight="1" x14ac:dyDescent="0.25">
      <c r="A182" s="24"/>
      <c r="B182" s="174"/>
      <c r="C182" s="24"/>
      <c r="D182" s="24"/>
      <c r="E182" s="24"/>
      <c r="F182" s="114"/>
      <c r="G182" s="15"/>
      <c r="H182" s="7"/>
    </row>
    <row r="183" spans="1:8" ht="15.75" customHeight="1" x14ac:dyDescent="0.25">
      <c r="A183" s="24"/>
      <c r="B183" s="174"/>
      <c r="C183" s="24"/>
      <c r="D183" s="24"/>
      <c r="E183" s="24"/>
      <c r="F183" s="114"/>
      <c r="G183" s="15"/>
      <c r="H183" s="7"/>
    </row>
    <row r="184" spans="1:8" ht="15.75" customHeight="1" x14ac:dyDescent="0.25">
      <c r="A184" s="24"/>
      <c r="B184" s="174"/>
      <c r="C184" s="24"/>
      <c r="D184" s="24"/>
      <c r="E184" s="24"/>
      <c r="F184" s="114"/>
      <c r="G184" s="15"/>
      <c r="H184" s="7"/>
    </row>
    <row r="185" spans="1:8" ht="15.75" customHeight="1" x14ac:dyDescent="0.25">
      <c r="A185" s="24"/>
      <c r="B185" s="174"/>
      <c r="C185" s="24"/>
      <c r="D185" s="24"/>
      <c r="E185" s="24"/>
      <c r="F185" s="114"/>
      <c r="G185" s="15"/>
      <c r="H185" s="7"/>
    </row>
    <row r="186" spans="1:8" ht="15.75" customHeight="1" x14ac:dyDescent="0.25">
      <c r="A186" s="24"/>
      <c r="B186" s="174"/>
      <c r="C186" s="24"/>
      <c r="D186" s="24"/>
      <c r="E186" s="24"/>
      <c r="F186" s="114"/>
      <c r="G186" s="15"/>
      <c r="H186" s="7"/>
    </row>
    <row r="187" spans="1:8" ht="15.75" customHeight="1" x14ac:dyDescent="0.25">
      <c r="A187" s="24"/>
      <c r="B187" s="174"/>
      <c r="C187" s="24"/>
      <c r="D187" s="24"/>
      <c r="E187" s="24"/>
      <c r="F187" s="114"/>
      <c r="G187" s="15"/>
      <c r="H187" s="7"/>
    </row>
    <row r="188" spans="1:8" ht="15.75" customHeight="1" x14ac:dyDescent="0.25">
      <c r="A188" s="24"/>
      <c r="B188" s="174"/>
      <c r="C188" s="24"/>
      <c r="D188" s="24"/>
      <c r="E188" s="24"/>
      <c r="F188" s="114"/>
      <c r="G188" s="15"/>
      <c r="H188" s="7"/>
    </row>
    <row r="189" spans="1:8" ht="15.75" customHeight="1" x14ac:dyDescent="0.25">
      <c r="A189" s="24"/>
      <c r="B189" s="174"/>
      <c r="C189" s="24"/>
      <c r="D189" s="24"/>
      <c r="E189" s="24"/>
      <c r="F189" s="114"/>
      <c r="G189" s="15"/>
      <c r="H189" s="7"/>
    </row>
    <row r="190" spans="1:8" ht="15.75" customHeight="1" x14ac:dyDescent="0.25">
      <c r="A190" s="24"/>
      <c r="B190" s="174"/>
      <c r="C190" s="24"/>
      <c r="D190" s="24"/>
      <c r="E190" s="24"/>
      <c r="F190" s="114"/>
      <c r="G190" s="15"/>
      <c r="H190" s="7"/>
    </row>
    <row r="191" spans="1:8" ht="15.75" customHeight="1" x14ac:dyDescent="0.25">
      <c r="A191" s="24"/>
      <c r="B191" s="174"/>
      <c r="C191" s="24"/>
      <c r="D191" s="24"/>
      <c r="E191" s="24"/>
      <c r="F191" s="114"/>
      <c r="G191" s="15"/>
      <c r="H191" s="7"/>
    </row>
    <row r="192" spans="1:8" ht="15.75" customHeight="1" x14ac:dyDescent="0.25">
      <c r="A192" s="24"/>
      <c r="B192" s="174"/>
      <c r="C192" s="24"/>
      <c r="D192" s="24"/>
      <c r="E192" s="24"/>
      <c r="F192" s="114"/>
      <c r="G192" s="15"/>
      <c r="H192" s="7"/>
    </row>
    <row r="193" spans="1:8" ht="15.75" customHeight="1" x14ac:dyDescent="0.25">
      <c r="A193" s="24"/>
      <c r="B193" s="174"/>
      <c r="C193" s="24"/>
      <c r="D193" s="24"/>
      <c r="E193" s="24"/>
      <c r="F193" s="114"/>
      <c r="G193" s="15"/>
      <c r="H193" s="7"/>
    </row>
    <row r="194" spans="1:8" ht="15.75" customHeight="1" x14ac:dyDescent="0.25">
      <c r="A194" s="24"/>
      <c r="B194" s="174"/>
      <c r="C194" s="24"/>
      <c r="D194" s="24"/>
      <c r="E194" s="24"/>
      <c r="F194" s="114"/>
      <c r="G194" s="15"/>
      <c r="H194" s="7"/>
    </row>
    <row r="195" spans="1:8" ht="15.75" customHeight="1" x14ac:dyDescent="0.25">
      <c r="A195" s="24"/>
      <c r="B195" s="174"/>
      <c r="C195" s="24"/>
      <c r="D195" s="24"/>
      <c r="E195" s="24"/>
      <c r="F195" s="114"/>
      <c r="G195" s="15"/>
      <c r="H195" s="7"/>
    </row>
    <row r="196" spans="1:8" ht="15.75" customHeight="1" x14ac:dyDescent="0.25">
      <c r="A196" s="24"/>
      <c r="B196" s="174"/>
      <c r="C196" s="24"/>
      <c r="D196" s="24"/>
      <c r="E196" s="24"/>
      <c r="F196" s="114"/>
      <c r="G196" s="15"/>
      <c r="H196" s="7"/>
    </row>
    <row r="197" spans="1:8" ht="15.75" customHeight="1" x14ac:dyDescent="0.25">
      <c r="A197" s="24"/>
      <c r="B197" s="174"/>
      <c r="C197" s="24"/>
      <c r="D197" s="24"/>
      <c r="E197" s="24"/>
      <c r="F197" s="114"/>
      <c r="G197" s="15"/>
      <c r="H197" s="7"/>
    </row>
    <row r="198" spans="1:8" ht="15.75" customHeight="1" x14ac:dyDescent="0.25">
      <c r="A198" s="24"/>
      <c r="B198" s="174"/>
      <c r="C198" s="24"/>
      <c r="D198" s="24"/>
      <c r="E198" s="24"/>
      <c r="F198" s="114"/>
      <c r="G198" s="15"/>
      <c r="H198" s="7"/>
    </row>
    <row r="199" spans="1:8" ht="15.75" customHeight="1" x14ac:dyDescent="0.25">
      <c r="A199" s="24"/>
      <c r="B199" s="174"/>
      <c r="C199" s="24"/>
      <c r="D199" s="24"/>
      <c r="E199" s="24"/>
      <c r="F199" s="114"/>
      <c r="G199" s="15"/>
      <c r="H199" s="7"/>
    </row>
    <row r="200" spans="1:8" ht="15.75" customHeight="1" x14ac:dyDescent="0.25">
      <c r="A200" s="24"/>
      <c r="B200" s="174"/>
      <c r="C200" s="24"/>
      <c r="D200" s="24"/>
      <c r="E200" s="24"/>
      <c r="F200" s="114"/>
      <c r="G200" s="15"/>
      <c r="H200" s="7"/>
    </row>
    <row r="201" spans="1:8" ht="15.75" customHeight="1" x14ac:dyDescent="0.25">
      <c r="A201" s="24"/>
      <c r="B201" s="174"/>
      <c r="C201" s="24"/>
      <c r="D201" s="24"/>
      <c r="E201" s="24"/>
      <c r="F201" s="114"/>
      <c r="G201" s="15"/>
      <c r="H201" s="7"/>
    </row>
    <row r="202" spans="1:8" ht="15.75" customHeight="1" x14ac:dyDescent="0.25">
      <c r="A202" s="24"/>
      <c r="B202" s="174"/>
      <c r="C202" s="24"/>
      <c r="D202" s="24"/>
      <c r="E202" s="24"/>
      <c r="F202" s="114"/>
      <c r="G202" s="15"/>
      <c r="H202" s="7"/>
    </row>
    <row r="203" spans="1:8" ht="15.75" customHeight="1" x14ac:dyDescent="0.25">
      <c r="A203" s="24"/>
      <c r="B203" s="174"/>
      <c r="C203" s="24"/>
      <c r="D203" s="24"/>
      <c r="E203" s="24"/>
      <c r="F203" s="114"/>
      <c r="G203" s="15"/>
      <c r="H203" s="7"/>
    </row>
    <row r="204" spans="1:8" ht="15.75" customHeight="1" x14ac:dyDescent="0.25">
      <c r="A204" s="24"/>
      <c r="B204" s="174"/>
      <c r="C204" s="24"/>
      <c r="D204" s="24"/>
      <c r="E204" s="24"/>
      <c r="F204" s="114"/>
      <c r="G204" s="15"/>
      <c r="H204" s="7"/>
    </row>
    <row r="205" spans="1:8" ht="15.75" customHeight="1" x14ac:dyDescent="0.25">
      <c r="A205" s="24"/>
      <c r="B205" s="174"/>
      <c r="C205" s="24"/>
      <c r="D205" s="24"/>
      <c r="E205" s="24"/>
      <c r="F205" s="114"/>
      <c r="G205" s="15"/>
      <c r="H205" s="7"/>
    </row>
    <row r="206" spans="1:8" ht="15.75" customHeight="1" x14ac:dyDescent="0.25">
      <c r="A206" s="24"/>
      <c r="B206" s="174"/>
      <c r="C206" s="24"/>
      <c r="D206" s="24"/>
      <c r="E206" s="24"/>
      <c r="F206" s="114"/>
      <c r="G206" s="15"/>
      <c r="H206" s="7"/>
    </row>
    <row r="207" spans="1:8" ht="15.75" customHeight="1" x14ac:dyDescent="0.25">
      <c r="A207" s="24"/>
      <c r="B207" s="174"/>
      <c r="C207" s="24"/>
      <c r="D207" s="24"/>
      <c r="E207" s="24"/>
      <c r="F207" s="114"/>
      <c r="G207" s="15"/>
      <c r="H207" s="7"/>
    </row>
    <row r="208" spans="1:8" ht="15.75" customHeight="1" x14ac:dyDescent="0.25">
      <c r="A208" s="24"/>
      <c r="B208" s="174"/>
      <c r="C208" s="24"/>
      <c r="D208" s="24"/>
      <c r="E208" s="24"/>
      <c r="F208" s="114"/>
      <c r="G208" s="15"/>
      <c r="H208" s="7"/>
    </row>
    <row r="209" spans="1:8" ht="15.75" customHeight="1" x14ac:dyDescent="0.25">
      <c r="A209" s="24"/>
      <c r="B209" s="174"/>
      <c r="C209" s="24"/>
      <c r="D209" s="24"/>
      <c r="E209" s="24"/>
      <c r="F209" s="114"/>
      <c r="G209" s="15"/>
      <c r="H209" s="7"/>
    </row>
    <row r="210" spans="1:8" ht="15.75" customHeight="1" x14ac:dyDescent="0.25">
      <c r="A210" s="24"/>
      <c r="B210" s="174"/>
      <c r="C210" s="24"/>
      <c r="D210" s="24"/>
      <c r="E210" s="24"/>
      <c r="F210" s="114"/>
      <c r="G210" s="15"/>
      <c r="H210" s="7"/>
    </row>
    <row r="211" spans="1:8" ht="15.75" customHeight="1" x14ac:dyDescent="0.25">
      <c r="A211" s="24"/>
      <c r="B211" s="174"/>
      <c r="C211" s="24"/>
      <c r="D211" s="24"/>
      <c r="E211" s="24"/>
      <c r="F211" s="114"/>
      <c r="G211" s="15"/>
      <c r="H211" s="7"/>
    </row>
    <row r="212" spans="1:8" ht="15.75" customHeight="1" x14ac:dyDescent="0.25">
      <c r="A212" s="24"/>
      <c r="B212" s="174"/>
      <c r="C212" s="24"/>
      <c r="D212" s="24"/>
      <c r="E212" s="24"/>
      <c r="F212" s="114"/>
      <c r="G212" s="15"/>
      <c r="H212" s="7"/>
    </row>
    <row r="213" spans="1:8" ht="15.75" customHeight="1" x14ac:dyDescent="0.25">
      <c r="A213" s="24"/>
      <c r="B213" s="174"/>
      <c r="C213" s="24"/>
      <c r="D213" s="24"/>
      <c r="E213" s="24"/>
      <c r="F213" s="114"/>
      <c r="G213" s="15"/>
      <c r="H213" s="7"/>
    </row>
    <row r="214" spans="1:8" ht="15.75" customHeight="1" x14ac:dyDescent="0.25">
      <c r="A214" s="24"/>
      <c r="B214" s="174"/>
      <c r="C214" s="24"/>
      <c r="D214" s="24"/>
      <c r="E214" s="24"/>
      <c r="F214" s="114"/>
      <c r="G214" s="15"/>
      <c r="H214" s="7"/>
    </row>
    <row r="215" spans="1:8" ht="15.75" customHeight="1" x14ac:dyDescent="0.25">
      <c r="A215" s="24"/>
      <c r="B215" s="174"/>
      <c r="C215" s="24"/>
      <c r="D215" s="24"/>
      <c r="E215" s="24"/>
      <c r="F215" s="114"/>
      <c r="G215" s="15"/>
      <c r="H215" s="7"/>
    </row>
    <row r="216" spans="1:8" ht="15.75" customHeight="1" x14ac:dyDescent="0.25">
      <c r="A216" s="24"/>
      <c r="B216" s="174"/>
      <c r="C216" s="24"/>
      <c r="D216" s="24"/>
      <c r="E216" s="24"/>
      <c r="F216" s="114"/>
      <c r="G216" s="15"/>
      <c r="H216" s="7"/>
    </row>
    <row r="217" spans="1:8" ht="15.75" customHeight="1" x14ac:dyDescent="0.25">
      <c r="A217" s="24"/>
      <c r="B217" s="174"/>
      <c r="C217" s="24"/>
      <c r="D217" s="24"/>
      <c r="E217" s="24"/>
      <c r="F217" s="114"/>
      <c r="G217" s="15"/>
      <c r="H217" s="7"/>
    </row>
    <row r="218" spans="1:8" ht="15.75" customHeight="1" x14ac:dyDescent="0.25">
      <c r="A218" s="24"/>
      <c r="B218" s="174"/>
      <c r="C218" s="24"/>
      <c r="D218" s="24"/>
      <c r="E218" s="24"/>
      <c r="F218" s="114"/>
      <c r="G218" s="15"/>
      <c r="H218" s="7"/>
    </row>
    <row r="219" spans="1:8" ht="15.75" customHeight="1" x14ac:dyDescent="0.25">
      <c r="A219" s="24"/>
      <c r="B219" s="174"/>
      <c r="C219" s="24"/>
      <c r="D219" s="24"/>
      <c r="E219" s="24"/>
      <c r="F219" s="114"/>
      <c r="G219" s="15"/>
      <c r="H219" s="7"/>
    </row>
    <row r="220" spans="1:8" ht="15.75" customHeight="1" x14ac:dyDescent="0.25">
      <c r="A220" s="24"/>
      <c r="B220" s="174"/>
      <c r="C220" s="24"/>
      <c r="D220" s="24"/>
      <c r="E220" s="24"/>
      <c r="F220" s="114"/>
      <c r="G220" s="15"/>
      <c r="H220" s="7"/>
    </row>
    <row r="221" spans="1:8" ht="15.75" customHeight="1" x14ac:dyDescent="0.25">
      <c r="A221" s="24"/>
      <c r="B221" s="174"/>
      <c r="C221" s="24"/>
      <c r="D221" s="24"/>
      <c r="E221" s="24"/>
      <c r="F221" s="114"/>
      <c r="G221" s="15"/>
      <c r="H221" s="7"/>
    </row>
    <row r="222" spans="1:8" ht="15.75" customHeight="1" x14ac:dyDescent="0.25">
      <c r="A222" s="24"/>
      <c r="B222" s="174"/>
      <c r="C222" s="24"/>
      <c r="D222" s="24"/>
      <c r="E222" s="24"/>
      <c r="F222" s="114"/>
      <c r="G222" s="15"/>
      <c r="H222" s="7"/>
    </row>
    <row r="223" spans="1:8" ht="15.75" customHeight="1" x14ac:dyDescent="0.25">
      <c r="A223" s="24"/>
      <c r="B223" s="174"/>
      <c r="C223" s="24"/>
      <c r="D223" s="24"/>
      <c r="E223" s="24"/>
      <c r="F223" s="114"/>
      <c r="G223" s="15"/>
      <c r="H223" s="7"/>
    </row>
    <row r="224" spans="1:8" ht="15.75" customHeight="1" x14ac:dyDescent="0.25">
      <c r="A224" s="24"/>
      <c r="B224" s="174"/>
      <c r="C224" s="24"/>
      <c r="D224" s="24"/>
      <c r="E224" s="24"/>
      <c r="F224" s="114"/>
      <c r="G224" s="15"/>
      <c r="H224" s="7"/>
    </row>
    <row r="225" spans="1:8" ht="15.75" customHeight="1" x14ac:dyDescent="0.25">
      <c r="A225" s="24"/>
      <c r="B225" s="174"/>
      <c r="C225" s="24"/>
      <c r="D225" s="24"/>
      <c r="E225" s="24"/>
      <c r="F225" s="114"/>
      <c r="G225" s="15"/>
      <c r="H225" s="7"/>
    </row>
    <row r="226" spans="1:8" ht="15.75" customHeight="1" x14ac:dyDescent="0.25">
      <c r="A226" s="24"/>
      <c r="B226" s="174"/>
      <c r="C226" s="24"/>
      <c r="D226" s="24"/>
      <c r="E226" s="24"/>
      <c r="F226" s="114"/>
      <c r="G226" s="15"/>
      <c r="H226" s="7"/>
    </row>
    <row r="227" spans="1:8" ht="15.75" customHeight="1" x14ac:dyDescent="0.25">
      <c r="A227" s="24"/>
      <c r="B227" s="174"/>
      <c r="C227" s="24"/>
      <c r="D227" s="24"/>
      <c r="E227" s="24"/>
      <c r="F227" s="114"/>
      <c r="G227" s="15"/>
      <c r="H227" s="7"/>
    </row>
    <row r="228" spans="1:8" ht="15.75" customHeight="1" x14ac:dyDescent="0.25">
      <c r="A228" s="24"/>
      <c r="B228" s="174"/>
      <c r="C228" s="24"/>
      <c r="D228" s="24"/>
      <c r="E228" s="24"/>
      <c r="F228" s="114"/>
      <c r="G228" s="15"/>
      <c r="H228" s="7"/>
    </row>
    <row r="229" spans="1:8" ht="15.75" customHeight="1" x14ac:dyDescent="0.25">
      <c r="A229" s="24"/>
      <c r="B229" s="174"/>
      <c r="C229" s="24"/>
      <c r="D229" s="24"/>
      <c r="E229" s="24"/>
      <c r="F229" s="114"/>
      <c r="G229" s="15"/>
      <c r="H229" s="7"/>
    </row>
    <row r="230" spans="1:8" ht="15.75" customHeight="1" x14ac:dyDescent="0.25">
      <c r="A230" s="24"/>
      <c r="B230" s="174"/>
      <c r="C230" s="24"/>
      <c r="D230" s="24"/>
      <c r="E230" s="24"/>
      <c r="F230" s="114"/>
      <c r="G230" s="15"/>
      <c r="H230" s="7"/>
    </row>
    <row r="231" spans="1:8" ht="15.75" customHeight="1" x14ac:dyDescent="0.25">
      <c r="A231" s="24"/>
      <c r="B231" s="174"/>
      <c r="C231" s="24"/>
      <c r="D231" s="24"/>
      <c r="E231" s="24"/>
      <c r="F231" s="114"/>
      <c r="G231" s="15"/>
      <c r="H231" s="7"/>
    </row>
    <row r="232" spans="1:8" ht="15.75" customHeight="1" x14ac:dyDescent="0.25">
      <c r="A232" s="24"/>
      <c r="B232" s="174"/>
      <c r="C232" s="24"/>
      <c r="D232" s="24"/>
      <c r="E232" s="24"/>
      <c r="F232" s="114"/>
      <c r="G232" s="15"/>
      <c r="H232" s="7"/>
    </row>
    <row r="233" spans="1:8" ht="15.75" customHeight="1" x14ac:dyDescent="0.25">
      <c r="A233" s="24"/>
      <c r="B233" s="174"/>
      <c r="C233" s="24"/>
      <c r="D233" s="24"/>
      <c r="E233" s="24"/>
      <c r="F233" s="114"/>
      <c r="G233" s="15"/>
      <c r="H233" s="7"/>
    </row>
    <row r="234" spans="1:8" ht="15.75" customHeight="1" x14ac:dyDescent="0.25">
      <c r="A234" s="24"/>
      <c r="B234" s="174"/>
      <c r="C234" s="24"/>
      <c r="D234" s="24"/>
      <c r="E234" s="24"/>
      <c r="F234" s="114"/>
      <c r="G234" s="15"/>
      <c r="H234" s="7"/>
    </row>
    <row r="235" spans="1:8" ht="15.75" customHeight="1" x14ac:dyDescent="0.25">
      <c r="A235" s="24"/>
      <c r="B235" s="174"/>
      <c r="C235" s="24"/>
      <c r="D235" s="24"/>
      <c r="E235" s="24"/>
      <c r="F235" s="114"/>
      <c r="G235" s="15"/>
      <c r="H235" s="7"/>
    </row>
    <row r="236" spans="1:8" ht="15.75" customHeight="1" x14ac:dyDescent="0.25">
      <c r="A236" s="24"/>
      <c r="B236" s="174"/>
      <c r="C236" s="24"/>
      <c r="D236" s="24"/>
      <c r="E236" s="24"/>
      <c r="F236" s="114"/>
      <c r="G236" s="15"/>
      <c r="H236" s="7"/>
    </row>
    <row r="237" spans="1:8" ht="15.75" customHeight="1" x14ac:dyDescent="0.25">
      <c r="A237" s="24"/>
      <c r="B237" s="174"/>
      <c r="C237" s="24"/>
      <c r="D237" s="24"/>
      <c r="E237" s="24"/>
      <c r="F237" s="114"/>
      <c r="G237" s="15"/>
      <c r="H237" s="7"/>
    </row>
    <row r="238" spans="1:8" ht="15.75" customHeight="1" x14ac:dyDescent="0.25">
      <c r="A238" s="24"/>
      <c r="B238" s="174"/>
      <c r="C238" s="24"/>
      <c r="D238" s="24"/>
      <c r="E238" s="24"/>
      <c r="F238" s="114"/>
      <c r="G238" s="15"/>
      <c r="H238" s="7"/>
    </row>
    <row r="239" spans="1:8" ht="15.75" customHeight="1" x14ac:dyDescent="0.25">
      <c r="A239" s="24"/>
      <c r="B239" s="174"/>
      <c r="C239" s="24"/>
      <c r="D239" s="24"/>
      <c r="E239" s="24"/>
      <c r="F239" s="114"/>
      <c r="G239" s="15"/>
      <c r="H239" s="7"/>
    </row>
    <row r="240" spans="1:8" ht="15.75" customHeight="1" x14ac:dyDescent="0.25">
      <c r="A240" s="24"/>
      <c r="B240" s="174"/>
      <c r="C240" s="24"/>
      <c r="D240" s="24"/>
      <c r="E240" s="24"/>
      <c r="F240" s="114"/>
      <c r="G240" s="15"/>
      <c r="H240" s="7"/>
    </row>
    <row r="241" spans="1:8" ht="15.75" customHeight="1" x14ac:dyDescent="0.25">
      <c r="A241" s="24"/>
      <c r="B241" s="174"/>
      <c r="C241" s="24"/>
      <c r="D241" s="24"/>
      <c r="E241" s="24"/>
      <c r="F241" s="114"/>
      <c r="G241" s="15"/>
      <c r="H241" s="7"/>
    </row>
    <row r="242" spans="1:8" ht="15.75" customHeight="1" x14ac:dyDescent="0.25">
      <c r="A242" s="24"/>
      <c r="B242" s="174"/>
      <c r="C242" s="24"/>
      <c r="D242" s="24"/>
      <c r="E242" s="24"/>
      <c r="F242" s="114"/>
      <c r="G242" s="15"/>
      <c r="H242" s="7"/>
    </row>
    <row r="243" spans="1:8" ht="15.75" customHeight="1" x14ac:dyDescent="0.25">
      <c r="A243" s="24"/>
      <c r="B243" s="174"/>
      <c r="C243" s="24"/>
      <c r="D243" s="24"/>
      <c r="E243" s="24"/>
      <c r="F243" s="114"/>
      <c r="G243" s="15"/>
      <c r="H243" s="7"/>
    </row>
    <row r="244" spans="1:8" ht="15.75" customHeight="1" x14ac:dyDescent="0.25">
      <c r="A244" s="24"/>
      <c r="B244" s="174"/>
      <c r="C244" s="24"/>
      <c r="D244" s="24"/>
      <c r="E244" s="24"/>
      <c r="F244" s="114"/>
      <c r="G244" s="15"/>
      <c r="H244" s="7"/>
    </row>
    <row r="245" spans="1:8" ht="15.75" customHeight="1" x14ac:dyDescent="0.25">
      <c r="A245" s="24"/>
      <c r="B245" s="174"/>
      <c r="C245" s="24"/>
      <c r="D245" s="24"/>
      <c r="E245" s="24"/>
      <c r="F245" s="114"/>
      <c r="G245" s="15"/>
      <c r="H245" s="7"/>
    </row>
    <row r="246" spans="1:8" ht="15.75" customHeight="1" x14ac:dyDescent="0.25">
      <c r="A246" s="24"/>
      <c r="B246" s="174"/>
      <c r="C246" s="24"/>
      <c r="D246" s="24"/>
      <c r="E246" s="24"/>
      <c r="F246" s="114"/>
      <c r="G246" s="15"/>
      <c r="H246" s="7"/>
    </row>
    <row r="247" spans="1:8" ht="15.75" customHeight="1" x14ac:dyDescent="0.25">
      <c r="A247" s="24"/>
      <c r="B247" s="174"/>
      <c r="C247" s="24"/>
      <c r="D247" s="24"/>
      <c r="E247" s="24"/>
      <c r="F247" s="114"/>
      <c r="G247" s="15"/>
      <c r="H247" s="7"/>
    </row>
    <row r="248" spans="1:8" ht="15.75" customHeight="1" x14ac:dyDescent="0.25">
      <c r="A248" s="24"/>
      <c r="B248" s="174"/>
      <c r="C248" s="24"/>
      <c r="D248" s="24"/>
      <c r="E248" s="24"/>
      <c r="F248" s="114"/>
      <c r="G248" s="15"/>
      <c r="H248" s="7"/>
    </row>
    <row r="249" spans="1:8" ht="15.75" customHeight="1" x14ac:dyDescent="0.25">
      <c r="A249" s="24"/>
      <c r="B249" s="174"/>
      <c r="C249" s="24"/>
      <c r="D249" s="24"/>
      <c r="E249" s="24"/>
      <c r="F249" s="114"/>
      <c r="G249" s="15"/>
      <c r="H249" s="7"/>
    </row>
    <row r="250" spans="1:8" ht="15.75" customHeight="1" x14ac:dyDescent="0.25">
      <c r="A250" s="24"/>
      <c r="B250" s="174"/>
      <c r="C250" s="24"/>
      <c r="D250" s="24"/>
      <c r="E250" s="24"/>
      <c r="F250" s="114"/>
      <c r="G250" s="15"/>
      <c r="H250" s="7"/>
    </row>
    <row r="251" spans="1:8" ht="15.75" customHeight="1" x14ac:dyDescent="0.25">
      <c r="A251" s="24"/>
      <c r="B251" s="174"/>
      <c r="C251" s="24"/>
      <c r="D251" s="24"/>
      <c r="E251" s="24"/>
      <c r="F251" s="114"/>
      <c r="G251" s="15"/>
      <c r="H251" s="7"/>
    </row>
    <row r="252" spans="1:8" ht="15.75" customHeight="1" x14ac:dyDescent="0.25">
      <c r="A252" s="24"/>
      <c r="B252" s="174"/>
      <c r="C252" s="24"/>
      <c r="D252" s="24"/>
      <c r="E252" s="24"/>
      <c r="F252" s="114"/>
      <c r="G252" s="15"/>
      <c r="H252" s="7"/>
    </row>
    <row r="253" spans="1:8" ht="15.75" customHeight="1" x14ac:dyDescent="0.25">
      <c r="A253" s="24"/>
      <c r="B253" s="174"/>
      <c r="C253" s="24"/>
      <c r="D253" s="24"/>
      <c r="E253" s="24"/>
      <c r="F253" s="114"/>
      <c r="G253" s="15"/>
      <c r="H253" s="7"/>
    </row>
    <row r="254" spans="1:8" ht="15.75" customHeight="1" x14ac:dyDescent="0.25">
      <c r="A254" s="24"/>
      <c r="B254" s="174"/>
      <c r="C254" s="24"/>
      <c r="D254" s="24"/>
      <c r="E254" s="24"/>
      <c r="F254" s="114"/>
      <c r="G254" s="15"/>
      <c r="H254" s="7"/>
    </row>
    <row r="255" spans="1:8" ht="15.75" customHeight="1" x14ac:dyDescent="0.25">
      <c r="A255" s="24"/>
      <c r="B255" s="174"/>
      <c r="C255" s="24"/>
      <c r="D255" s="24"/>
      <c r="E255" s="24"/>
      <c r="F255" s="114"/>
      <c r="G255" s="15"/>
      <c r="H255" s="7"/>
    </row>
    <row r="256" spans="1:8" ht="15.75" customHeight="1" x14ac:dyDescent="0.25">
      <c r="A256" s="24"/>
      <c r="B256" s="174"/>
      <c r="C256" s="24"/>
      <c r="D256" s="24"/>
      <c r="E256" s="24"/>
      <c r="F256" s="114"/>
      <c r="G256" s="15"/>
      <c r="H256" s="7"/>
    </row>
    <row r="257" spans="1:8" ht="15.75" customHeight="1" x14ac:dyDescent="0.25">
      <c r="A257" s="24"/>
      <c r="B257" s="174"/>
      <c r="C257" s="24"/>
      <c r="D257" s="24"/>
      <c r="E257" s="24"/>
      <c r="F257" s="114"/>
      <c r="G257" s="15"/>
      <c r="H257" s="7"/>
    </row>
    <row r="258" spans="1:8" ht="15.75" customHeight="1" x14ac:dyDescent="0.25">
      <c r="A258" s="24"/>
      <c r="B258" s="174"/>
      <c r="C258" s="24"/>
      <c r="D258" s="24"/>
      <c r="E258" s="24"/>
      <c r="F258" s="114"/>
      <c r="G258" s="15"/>
      <c r="H258" s="7"/>
    </row>
    <row r="259" spans="1:8" ht="15.75" customHeight="1" x14ac:dyDescent="0.25">
      <c r="A259" s="24"/>
      <c r="B259" s="174"/>
      <c r="C259" s="24"/>
      <c r="D259" s="24"/>
      <c r="E259" s="24"/>
      <c r="F259" s="114"/>
      <c r="G259" s="15"/>
      <c r="H259" s="7"/>
    </row>
    <row r="260" spans="1:8" ht="15.75" customHeight="1" x14ac:dyDescent="0.25">
      <c r="A260" s="24"/>
      <c r="B260" s="174"/>
      <c r="C260" s="24"/>
      <c r="D260" s="24"/>
      <c r="E260" s="24"/>
      <c r="F260" s="114"/>
      <c r="G260" s="15"/>
      <c r="H260" s="7"/>
    </row>
    <row r="261" spans="1:8" ht="15.75" customHeight="1" x14ac:dyDescent="0.25">
      <c r="A261" s="24"/>
      <c r="B261" s="174"/>
      <c r="C261" s="24"/>
      <c r="D261" s="24"/>
      <c r="E261" s="24"/>
      <c r="F261" s="114"/>
      <c r="G261" s="15"/>
      <c r="H261" s="7"/>
    </row>
    <row r="262" spans="1:8" ht="15.75" customHeight="1" x14ac:dyDescent="0.25">
      <c r="A262" s="24"/>
      <c r="B262" s="174"/>
      <c r="C262" s="24"/>
      <c r="D262" s="24"/>
      <c r="E262" s="24"/>
      <c r="F262" s="114"/>
      <c r="G262" s="15"/>
      <c r="H262" s="7"/>
    </row>
    <row r="263" spans="1:8" ht="15.75" customHeight="1" x14ac:dyDescent="0.25">
      <c r="A263" s="24"/>
      <c r="B263" s="174"/>
      <c r="C263" s="24"/>
      <c r="D263" s="24"/>
      <c r="E263" s="24"/>
      <c r="F263" s="114"/>
      <c r="G263" s="15"/>
      <c r="H263" s="7"/>
    </row>
    <row r="264" spans="1:8" ht="15.75" customHeight="1" x14ac:dyDescent="0.25">
      <c r="A264" s="24"/>
      <c r="B264" s="174"/>
      <c r="C264" s="24"/>
      <c r="D264" s="24"/>
      <c r="E264" s="24"/>
      <c r="F264" s="114"/>
      <c r="G264" s="15"/>
      <c r="H264" s="7"/>
    </row>
    <row r="265" spans="1:8" ht="15.75" customHeight="1" x14ac:dyDescent="0.25">
      <c r="A265" s="24"/>
      <c r="B265" s="174"/>
      <c r="C265" s="24"/>
      <c r="D265" s="24"/>
      <c r="E265" s="24"/>
      <c r="F265" s="114"/>
      <c r="G265" s="15"/>
      <c r="H265" s="7"/>
    </row>
    <row r="266" spans="1:8" ht="15.75" customHeight="1" x14ac:dyDescent="0.25">
      <c r="A266" s="24"/>
      <c r="B266" s="174"/>
      <c r="C266" s="24"/>
      <c r="D266" s="24"/>
      <c r="E266" s="24"/>
      <c r="F266" s="114"/>
      <c r="G266" s="15"/>
      <c r="H266" s="7"/>
    </row>
    <row r="267" spans="1:8" ht="15.75" customHeight="1" x14ac:dyDescent="0.25">
      <c r="A267" s="24"/>
      <c r="B267" s="174"/>
      <c r="C267" s="24"/>
      <c r="D267" s="24"/>
      <c r="E267" s="24"/>
      <c r="F267" s="114"/>
      <c r="G267" s="15"/>
      <c r="H267" s="7"/>
    </row>
    <row r="268" spans="1:8" ht="15.75" customHeight="1" x14ac:dyDescent="0.25">
      <c r="A268" s="24"/>
      <c r="B268" s="174"/>
      <c r="C268" s="24"/>
      <c r="D268" s="24"/>
      <c r="E268" s="24"/>
      <c r="F268" s="114"/>
      <c r="G268" s="15"/>
      <c r="H268" s="7"/>
    </row>
    <row r="269" spans="1:8" ht="15.75" customHeight="1" x14ac:dyDescent="0.25">
      <c r="A269" s="24"/>
      <c r="B269" s="174"/>
      <c r="C269" s="24"/>
      <c r="D269" s="24"/>
      <c r="E269" s="24"/>
      <c r="F269" s="114"/>
      <c r="G269" s="15"/>
      <c r="H269" s="7"/>
    </row>
    <row r="270" spans="1:8" ht="15.75" customHeight="1" x14ac:dyDescent="0.25">
      <c r="A270" s="24"/>
      <c r="B270" s="174"/>
      <c r="C270" s="24"/>
      <c r="D270" s="24"/>
      <c r="E270" s="24"/>
      <c r="F270" s="114"/>
      <c r="G270" s="15"/>
      <c r="H270" s="7"/>
    </row>
    <row r="271" spans="1:8" ht="15.75" customHeight="1" x14ac:dyDescent="0.25">
      <c r="A271" s="24"/>
      <c r="B271" s="174"/>
      <c r="C271" s="24"/>
      <c r="D271" s="24"/>
      <c r="E271" s="24"/>
      <c r="F271" s="114"/>
      <c r="G271" s="15"/>
      <c r="H271" s="7"/>
    </row>
    <row r="272" spans="1:8" ht="15.75" customHeight="1" x14ac:dyDescent="0.25">
      <c r="A272" s="24"/>
      <c r="B272" s="174"/>
      <c r="C272" s="24"/>
      <c r="D272" s="24"/>
      <c r="E272" s="24"/>
      <c r="F272" s="114"/>
      <c r="G272" s="15"/>
      <c r="H272" s="7"/>
    </row>
    <row r="273" spans="1:8" ht="15.75" customHeight="1" x14ac:dyDescent="0.25">
      <c r="A273" s="24"/>
      <c r="B273" s="174"/>
      <c r="C273" s="24"/>
      <c r="D273" s="24"/>
      <c r="E273" s="24"/>
      <c r="F273" s="114"/>
      <c r="G273" s="15"/>
      <c r="H273" s="7"/>
    </row>
    <row r="274" spans="1:8" ht="15.75" customHeight="1" x14ac:dyDescent="0.25">
      <c r="A274" s="24"/>
      <c r="B274" s="174"/>
      <c r="C274" s="24"/>
      <c r="D274" s="24"/>
      <c r="E274" s="24"/>
      <c r="F274" s="114"/>
      <c r="G274" s="15"/>
      <c r="H274" s="7"/>
    </row>
    <row r="275" spans="1:8" ht="15.75" customHeight="1" x14ac:dyDescent="0.25">
      <c r="A275" s="24"/>
      <c r="B275" s="174"/>
      <c r="C275" s="24"/>
      <c r="D275" s="24"/>
      <c r="E275" s="24"/>
      <c r="F275" s="114"/>
      <c r="G275" s="15"/>
      <c r="H275" s="7"/>
    </row>
    <row r="276" spans="1:8" ht="15.75" customHeight="1" x14ac:dyDescent="0.25">
      <c r="A276" s="24"/>
      <c r="B276" s="174"/>
      <c r="C276" s="24"/>
      <c r="D276" s="24"/>
      <c r="E276" s="24"/>
      <c r="F276" s="114"/>
      <c r="G276" s="15"/>
      <c r="H276" s="7"/>
    </row>
    <row r="277" spans="1:8" ht="15.75" customHeight="1" x14ac:dyDescent="0.25">
      <c r="A277" s="24"/>
      <c r="B277" s="174"/>
      <c r="C277" s="24"/>
      <c r="D277" s="24"/>
      <c r="E277" s="24"/>
      <c r="F277" s="114"/>
      <c r="G277" s="15"/>
      <c r="H277" s="7"/>
    </row>
    <row r="278" spans="1:8" ht="15.75" customHeight="1" x14ac:dyDescent="0.25">
      <c r="A278" s="24"/>
      <c r="B278" s="174"/>
      <c r="C278" s="24"/>
      <c r="D278" s="24"/>
      <c r="E278" s="24"/>
      <c r="F278" s="114"/>
      <c r="G278" s="15"/>
      <c r="H278" s="7"/>
    </row>
    <row r="279" spans="1:8" ht="15.75" customHeight="1" x14ac:dyDescent="0.25">
      <c r="A279" s="24"/>
      <c r="B279" s="174"/>
      <c r="C279" s="24"/>
      <c r="D279" s="24"/>
      <c r="E279" s="24"/>
      <c r="F279" s="114"/>
      <c r="G279" s="15"/>
      <c r="H279" s="7"/>
    </row>
    <row r="280" spans="1:8" ht="15.75" customHeight="1" x14ac:dyDescent="0.25">
      <c r="A280" s="24"/>
      <c r="B280" s="174"/>
      <c r="C280" s="24"/>
      <c r="D280" s="24"/>
      <c r="E280" s="24"/>
      <c r="F280" s="114"/>
      <c r="G280" s="15"/>
      <c r="H280" s="7"/>
    </row>
    <row r="281" spans="1:8" ht="15.75" customHeight="1" x14ac:dyDescent="0.25">
      <c r="A281" s="24"/>
      <c r="B281" s="174"/>
      <c r="C281" s="24"/>
      <c r="D281" s="24"/>
      <c r="E281" s="24"/>
      <c r="F281" s="114"/>
      <c r="G281" s="15"/>
      <c r="H281" s="7"/>
    </row>
    <row r="282" spans="1:8" ht="15.75" customHeight="1" x14ac:dyDescent="0.25">
      <c r="A282" s="24"/>
      <c r="B282" s="174"/>
      <c r="C282" s="24"/>
      <c r="D282" s="24"/>
      <c r="E282" s="24"/>
      <c r="F282" s="114"/>
      <c r="G282" s="15"/>
      <c r="H282" s="7"/>
    </row>
    <row r="283" spans="1:8" ht="15.75" customHeight="1" x14ac:dyDescent="0.25">
      <c r="A283" s="24"/>
      <c r="B283" s="174"/>
      <c r="C283" s="24"/>
      <c r="D283" s="24"/>
      <c r="E283" s="24"/>
      <c r="F283" s="114"/>
      <c r="G283" s="15"/>
      <c r="H283" s="7"/>
    </row>
    <row r="284" spans="1:8" ht="15.75" customHeight="1" x14ac:dyDescent="0.25">
      <c r="A284" s="24"/>
      <c r="B284" s="174"/>
      <c r="C284" s="24"/>
      <c r="D284" s="24"/>
      <c r="E284" s="24"/>
      <c r="F284" s="114"/>
      <c r="G284" s="15"/>
      <c r="H284" s="7"/>
    </row>
    <row r="285" spans="1:8" ht="15.75" customHeight="1" x14ac:dyDescent="0.25">
      <c r="A285" s="24"/>
      <c r="B285" s="174"/>
      <c r="C285" s="24"/>
      <c r="D285" s="24"/>
      <c r="E285" s="24"/>
      <c r="F285" s="114"/>
      <c r="G285" s="15"/>
      <c r="H285" s="7"/>
    </row>
    <row r="286" spans="1:8" ht="15.75" customHeight="1" x14ac:dyDescent="0.25">
      <c r="A286" s="24"/>
      <c r="B286" s="174"/>
      <c r="C286" s="24"/>
      <c r="D286" s="24"/>
      <c r="E286" s="24"/>
      <c r="F286" s="114"/>
      <c r="G286" s="15"/>
      <c r="H286" s="7"/>
    </row>
    <row r="287" spans="1:8" ht="15.75" customHeight="1" x14ac:dyDescent="0.25">
      <c r="A287" s="24"/>
      <c r="B287" s="174"/>
      <c r="C287" s="24"/>
      <c r="D287" s="24"/>
      <c r="E287" s="24"/>
      <c r="F287" s="114"/>
      <c r="G287" s="15"/>
      <c r="H287" s="7"/>
    </row>
    <row r="288" spans="1:8" ht="15.75" customHeight="1" x14ac:dyDescent="0.25">
      <c r="A288" s="24"/>
      <c r="B288" s="174"/>
      <c r="C288" s="24"/>
      <c r="D288" s="24"/>
      <c r="E288" s="24"/>
      <c r="F288" s="114"/>
      <c r="G288" s="15"/>
      <c r="H288" s="7"/>
    </row>
    <row r="289" spans="1:8" ht="15.75" customHeight="1" x14ac:dyDescent="0.25">
      <c r="A289" s="24"/>
      <c r="B289" s="174"/>
      <c r="C289" s="24"/>
      <c r="D289" s="24"/>
      <c r="E289" s="24"/>
      <c r="F289" s="114"/>
      <c r="G289" s="15"/>
      <c r="H289" s="7"/>
    </row>
    <row r="290" spans="1:8" ht="15.75" customHeight="1" x14ac:dyDescent="0.25">
      <c r="A290" s="24"/>
      <c r="B290" s="174"/>
      <c r="C290" s="24"/>
      <c r="D290" s="24"/>
      <c r="E290" s="24"/>
      <c r="F290" s="114"/>
      <c r="G290" s="15"/>
      <c r="H290" s="7"/>
    </row>
    <row r="291" spans="1:8" ht="15.75" customHeight="1" x14ac:dyDescent="0.25">
      <c r="A291" s="24"/>
      <c r="B291" s="174"/>
      <c r="C291" s="24"/>
      <c r="D291" s="24"/>
      <c r="E291" s="24"/>
      <c r="F291" s="114"/>
      <c r="G291" s="15"/>
      <c r="H291" s="7"/>
    </row>
    <row r="292" spans="1:8" ht="15.75" customHeight="1" x14ac:dyDescent="0.25">
      <c r="A292" s="24"/>
      <c r="B292" s="174"/>
      <c r="C292" s="24"/>
      <c r="D292" s="24"/>
      <c r="E292" s="24"/>
      <c r="F292" s="114"/>
      <c r="G292" s="15"/>
      <c r="H292" s="7"/>
    </row>
    <row r="293" spans="1:8" ht="15.75" customHeight="1" x14ac:dyDescent="0.25">
      <c r="A293" s="24"/>
      <c r="B293" s="174"/>
      <c r="C293" s="24"/>
      <c r="D293" s="24"/>
      <c r="E293" s="24"/>
      <c r="F293" s="114"/>
      <c r="G293" s="15"/>
      <c r="H293" s="7"/>
    </row>
    <row r="294" spans="1:8" ht="15.75" customHeight="1" x14ac:dyDescent="0.25">
      <c r="A294" s="24"/>
      <c r="B294" s="174"/>
      <c r="C294" s="24"/>
      <c r="D294" s="24"/>
      <c r="E294" s="24"/>
      <c r="F294" s="114"/>
      <c r="G294" s="15"/>
      <c r="H294" s="7"/>
    </row>
    <row r="295" spans="1:8" ht="15.75" customHeight="1" x14ac:dyDescent="0.25">
      <c r="A295" s="24"/>
      <c r="B295" s="174"/>
      <c r="C295" s="24"/>
      <c r="D295" s="24"/>
      <c r="E295" s="24"/>
      <c r="F295" s="114"/>
      <c r="G295" s="15"/>
      <c r="H295" s="7"/>
    </row>
    <row r="296" spans="1:8" ht="15.75" customHeight="1" x14ac:dyDescent="0.25">
      <c r="A296" s="24"/>
      <c r="B296" s="174"/>
      <c r="C296" s="24"/>
      <c r="D296" s="24"/>
      <c r="E296" s="24"/>
      <c r="F296" s="114"/>
      <c r="G296" s="15"/>
      <c r="H296" s="7"/>
    </row>
    <row r="297" spans="1:8" ht="15.75" customHeight="1" x14ac:dyDescent="0.25">
      <c r="A297" s="24"/>
      <c r="B297" s="174"/>
      <c r="C297" s="24"/>
      <c r="D297" s="24"/>
      <c r="E297" s="24"/>
      <c r="F297" s="114"/>
      <c r="G297" s="15"/>
      <c r="H297" s="7"/>
    </row>
    <row r="298" spans="1:8" ht="15.75" customHeight="1" x14ac:dyDescent="0.25">
      <c r="A298" s="24"/>
      <c r="B298" s="174"/>
      <c r="C298" s="24"/>
      <c r="D298" s="24"/>
      <c r="E298" s="24"/>
      <c r="F298" s="114"/>
      <c r="G298" s="15"/>
      <c r="H298" s="7"/>
    </row>
    <row r="299" spans="1:8" ht="15.75" customHeight="1" x14ac:dyDescent="0.25">
      <c r="A299" s="24"/>
      <c r="B299" s="174"/>
      <c r="C299" s="24"/>
      <c r="D299" s="24"/>
      <c r="E299" s="24"/>
      <c r="F299" s="114"/>
      <c r="G299" s="15"/>
      <c r="H299" s="7"/>
    </row>
    <row r="300" spans="1:8" ht="15.75" customHeight="1" x14ac:dyDescent="0.25">
      <c r="A300" s="24"/>
      <c r="B300" s="174"/>
      <c r="C300" s="24"/>
      <c r="D300" s="24"/>
      <c r="E300" s="24"/>
      <c r="F300" s="114"/>
      <c r="G300" s="15"/>
      <c r="H300" s="7"/>
    </row>
    <row r="301" spans="1:8" ht="15.75" customHeight="1" x14ac:dyDescent="0.25">
      <c r="A301" s="24"/>
      <c r="B301" s="174"/>
      <c r="C301" s="24"/>
      <c r="D301" s="24"/>
      <c r="E301" s="24"/>
      <c r="F301" s="114"/>
      <c r="G301" s="15"/>
      <c r="H301" s="7"/>
    </row>
    <row r="302" spans="1:8" ht="15.75" customHeight="1" x14ac:dyDescent="0.25">
      <c r="A302" s="24"/>
      <c r="B302" s="174"/>
      <c r="C302" s="24"/>
      <c r="D302" s="24"/>
      <c r="E302" s="24"/>
      <c r="F302" s="114"/>
      <c r="G302" s="15"/>
      <c r="H302" s="7"/>
    </row>
    <row r="303" spans="1:8" ht="15.75" customHeight="1" x14ac:dyDescent="0.25">
      <c r="A303" s="24"/>
      <c r="B303" s="174"/>
      <c r="C303" s="24"/>
      <c r="D303" s="24"/>
      <c r="E303" s="24"/>
      <c r="F303" s="114"/>
      <c r="G303" s="15"/>
      <c r="H303" s="7"/>
    </row>
    <row r="304" spans="1:8" ht="15.75" customHeight="1" x14ac:dyDescent="0.25">
      <c r="A304" s="24"/>
      <c r="B304" s="174"/>
      <c r="C304" s="24"/>
      <c r="D304" s="24"/>
      <c r="E304" s="24"/>
      <c r="F304" s="114"/>
      <c r="G304" s="15"/>
      <c r="H304" s="7"/>
    </row>
    <row r="305" spans="1:8" ht="15.75" customHeight="1" x14ac:dyDescent="0.25">
      <c r="A305" s="24"/>
      <c r="B305" s="174"/>
      <c r="C305" s="24"/>
      <c r="D305" s="24"/>
      <c r="E305" s="24"/>
      <c r="F305" s="114"/>
      <c r="G305" s="15"/>
      <c r="H305" s="7"/>
    </row>
    <row r="306" spans="1:8" ht="15.75" customHeight="1" x14ac:dyDescent="0.25">
      <c r="A306" s="24"/>
      <c r="B306" s="174"/>
      <c r="C306" s="24"/>
      <c r="D306" s="24"/>
      <c r="E306" s="24"/>
      <c r="F306" s="114"/>
      <c r="G306" s="15"/>
      <c r="H306" s="7"/>
    </row>
    <row r="307" spans="1:8" ht="15.75" customHeight="1" x14ac:dyDescent="0.25">
      <c r="A307" s="24"/>
      <c r="B307" s="174"/>
      <c r="C307" s="24"/>
      <c r="D307" s="24"/>
      <c r="E307" s="24"/>
      <c r="F307" s="114"/>
      <c r="G307" s="15"/>
      <c r="H307" s="7"/>
    </row>
    <row r="308" spans="1:8" ht="15.75" customHeight="1" x14ac:dyDescent="0.25">
      <c r="A308" s="24"/>
      <c r="B308" s="174"/>
      <c r="C308" s="24"/>
      <c r="D308" s="24"/>
      <c r="E308" s="24"/>
      <c r="F308" s="114"/>
      <c r="G308" s="15"/>
      <c r="H308" s="7"/>
    </row>
    <row r="309" spans="1:8" ht="15.75" customHeight="1" x14ac:dyDescent="0.25">
      <c r="A309" s="24"/>
      <c r="B309" s="174"/>
      <c r="C309" s="24"/>
      <c r="D309" s="24"/>
      <c r="E309" s="24"/>
      <c r="F309" s="114"/>
      <c r="G309" s="15"/>
      <c r="H309" s="7"/>
    </row>
    <row r="310" spans="1:8" ht="15.75" customHeight="1" x14ac:dyDescent="0.25">
      <c r="A310" s="24"/>
      <c r="B310" s="174"/>
      <c r="C310" s="24"/>
      <c r="D310" s="24"/>
      <c r="E310" s="24"/>
      <c r="F310" s="114"/>
      <c r="G310" s="15"/>
      <c r="H310" s="7"/>
    </row>
    <row r="311" spans="1:8" ht="15.75" customHeight="1" x14ac:dyDescent="0.25">
      <c r="A311" s="24"/>
      <c r="B311" s="174"/>
      <c r="C311" s="24"/>
      <c r="D311" s="24"/>
      <c r="E311" s="24"/>
      <c r="F311" s="114"/>
      <c r="G311" s="15"/>
      <c r="H311" s="7"/>
    </row>
    <row r="312" spans="1:8" ht="15.75" customHeight="1" x14ac:dyDescent="0.25">
      <c r="A312" s="24"/>
      <c r="B312" s="174"/>
      <c r="C312" s="24"/>
      <c r="D312" s="24"/>
      <c r="E312" s="24"/>
      <c r="F312" s="114"/>
      <c r="G312" s="15"/>
      <c r="H312" s="7"/>
    </row>
    <row r="313" spans="1:8" ht="15.75" customHeight="1" x14ac:dyDescent="0.25">
      <c r="A313" s="24"/>
      <c r="B313" s="174"/>
      <c r="C313" s="24"/>
      <c r="D313" s="24"/>
      <c r="E313" s="24"/>
      <c r="F313" s="114"/>
      <c r="G313" s="15"/>
      <c r="H313" s="7"/>
    </row>
    <row r="314" spans="1:8" ht="15.75" customHeight="1" x14ac:dyDescent="0.25">
      <c r="A314" s="24"/>
      <c r="B314" s="174"/>
      <c r="C314" s="24"/>
      <c r="D314" s="24"/>
      <c r="E314" s="24"/>
      <c r="F314" s="114"/>
      <c r="G314" s="15"/>
      <c r="H314" s="7"/>
    </row>
    <row r="315" spans="1:8" ht="15.75" customHeight="1" x14ac:dyDescent="0.25">
      <c r="A315" s="24"/>
      <c r="B315" s="174"/>
      <c r="C315" s="24"/>
      <c r="D315" s="24"/>
      <c r="E315" s="24"/>
      <c r="F315" s="114"/>
      <c r="G315" s="15"/>
      <c r="H315" s="7"/>
    </row>
    <row r="316" spans="1:8" ht="15.75" customHeight="1" x14ac:dyDescent="0.25">
      <c r="A316" s="24"/>
      <c r="B316" s="174"/>
      <c r="C316" s="24"/>
      <c r="D316" s="24"/>
      <c r="E316" s="24"/>
      <c r="F316" s="114"/>
      <c r="G316" s="15"/>
      <c r="H316" s="7"/>
    </row>
    <row r="317" spans="1:8" ht="15.75" customHeight="1" x14ac:dyDescent="0.25">
      <c r="A317" s="24"/>
      <c r="B317" s="174"/>
      <c r="C317" s="24"/>
      <c r="D317" s="24"/>
      <c r="E317" s="24"/>
      <c r="F317" s="114"/>
      <c r="G317" s="15"/>
      <c r="H317" s="7"/>
    </row>
    <row r="318" spans="1:8" ht="15.75" customHeight="1" x14ac:dyDescent="0.25">
      <c r="A318" s="24"/>
      <c r="B318" s="174"/>
      <c r="C318" s="24"/>
      <c r="D318" s="24"/>
      <c r="E318" s="24"/>
      <c r="F318" s="114"/>
      <c r="G318" s="15"/>
      <c r="H318" s="7"/>
    </row>
    <row r="319" spans="1:8" ht="15.75" customHeight="1" x14ac:dyDescent="0.25">
      <c r="A319" s="24"/>
      <c r="B319" s="174"/>
      <c r="C319" s="24"/>
      <c r="D319" s="24"/>
      <c r="E319" s="24"/>
      <c r="F319" s="114"/>
      <c r="G319" s="15"/>
      <c r="H319" s="7"/>
    </row>
    <row r="320" spans="1:8" ht="15.75" customHeight="1" x14ac:dyDescent="0.25">
      <c r="A320" s="24"/>
      <c r="B320" s="174"/>
      <c r="C320" s="24"/>
      <c r="D320" s="24"/>
      <c r="E320" s="24"/>
      <c r="F320" s="114"/>
      <c r="G320" s="15"/>
      <c r="H320" s="7"/>
    </row>
    <row r="321" spans="1:8" ht="15.75" customHeight="1" x14ac:dyDescent="0.25">
      <c r="A321" s="24"/>
      <c r="B321" s="174"/>
      <c r="C321" s="24"/>
      <c r="D321" s="24"/>
      <c r="E321" s="24"/>
      <c r="F321" s="114"/>
      <c r="G321" s="15"/>
      <c r="H321" s="7"/>
    </row>
    <row r="322" spans="1:8" ht="15.75" customHeight="1" x14ac:dyDescent="0.25">
      <c r="A322" s="24"/>
      <c r="B322" s="174"/>
      <c r="C322" s="24"/>
      <c r="D322" s="24"/>
      <c r="E322" s="24"/>
      <c r="F322" s="114"/>
      <c r="G322" s="15"/>
      <c r="H322" s="7"/>
    </row>
    <row r="323" spans="1:8" ht="15.75" customHeight="1" x14ac:dyDescent="0.25">
      <c r="A323" s="24"/>
      <c r="B323" s="174"/>
      <c r="C323" s="24"/>
      <c r="D323" s="24"/>
      <c r="E323" s="24"/>
      <c r="F323" s="114"/>
      <c r="G323" s="15"/>
      <c r="H323" s="7"/>
    </row>
    <row r="324" spans="1:8" ht="15.75" customHeight="1" x14ac:dyDescent="0.25">
      <c r="A324" s="24"/>
      <c r="B324" s="174"/>
      <c r="C324" s="24"/>
      <c r="D324" s="24"/>
      <c r="E324" s="24"/>
      <c r="F324" s="114"/>
      <c r="G324" s="15"/>
      <c r="H324" s="7"/>
    </row>
    <row r="325" spans="1:8" ht="15.75" customHeight="1" x14ac:dyDescent="0.25">
      <c r="A325" s="24"/>
      <c r="B325" s="174"/>
      <c r="C325" s="24"/>
      <c r="D325" s="24"/>
      <c r="E325" s="24"/>
      <c r="F325" s="114"/>
      <c r="G325" s="15"/>
      <c r="H325" s="7"/>
    </row>
    <row r="326" spans="1:8" ht="15.75" customHeight="1" x14ac:dyDescent="0.25">
      <c r="A326" s="24"/>
      <c r="B326" s="174"/>
      <c r="C326" s="24"/>
      <c r="D326" s="24"/>
      <c r="E326" s="24"/>
      <c r="F326" s="114"/>
      <c r="G326" s="15"/>
      <c r="H326" s="7"/>
    </row>
    <row r="327" spans="1:8" ht="15.75" customHeight="1" x14ac:dyDescent="0.25">
      <c r="A327" s="24"/>
      <c r="B327" s="174"/>
      <c r="C327" s="24"/>
      <c r="D327" s="24"/>
      <c r="E327" s="24"/>
      <c r="F327" s="114"/>
      <c r="G327" s="15"/>
      <c r="H327" s="7"/>
    </row>
    <row r="328" spans="1:8" ht="15.75" customHeight="1" x14ac:dyDescent="0.25">
      <c r="A328" s="24"/>
      <c r="B328" s="174"/>
      <c r="C328" s="24"/>
      <c r="D328" s="24"/>
      <c r="E328" s="24"/>
      <c r="F328" s="114"/>
      <c r="G328" s="15"/>
      <c r="H328" s="7"/>
    </row>
    <row r="329" spans="1:8" ht="15.75" customHeight="1" x14ac:dyDescent="0.25">
      <c r="A329" s="24"/>
      <c r="B329" s="174"/>
      <c r="C329" s="24"/>
      <c r="D329" s="24"/>
      <c r="E329" s="24"/>
      <c r="F329" s="114"/>
      <c r="G329" s="15"/>
      <c r="H329" s="7"/>
    </row>
    <row r="330" spans="1:8" ht="15.75" customHeight="1" x14ac:dyDescent="0.25">
      <c r="A330" s="24"/>
      <c r="B330" s="174"/>
      <c r="C330" s="24"/>
      <c r="D330" s="24"/>
      <c r="E330" s="24"/>
      <c r="F330" s="114"/>
      <c r="G330" s="15"/>
      <c r="H330" s="7"/>
    </row>
    <row r="331" spans="1:8" ht="15.75" customHeight="1" x14ac:dyDescent="0.25">
      <c r="A331" s="24"/>
      <c r="B331" s="174"/>
      <c r="C331" s="24"/>
      <c r="D331" s="24"/>
      <c r="E331" s="24"/>
      <c r="F331" s="114"/>
      <c r="G331" s="15"/>
      <c r="H331" s="7"/>
    </row>
    <row r="332" spans="1:8" ht="15.75" customHeight="1" x14ac:dyDescent="0.25">
      <c r="A332" s="24"/>
      <c r="B332" s="174"/>
      <c r="C332" s="24"/>
      <c r="D332" s="24"/>
      <c r="E332" s="24"/>
      <c r="F332" s="114"/>
      <c r="G332" s="15"/>
      <c r="H332" s="7"/>
    </row>
    <row r="333" spans="1:8" ht="15.75" customHeight="1" x14ac:dyDescent="0.25">
      <c r="A333" s="24"/>
      <c r="B333" s="174"/>
      <c r="C333" s="24"/>
      <c r="D333" s="24"/>
      <c r="E333" s="24"/>
      <c r="F333" s="114"/>
      <c r="G333" s="15"/>
      <c r="H333" s="7"/>
    </row>
    <row r="334" spans="1:8" ht="15.75" customHeight="1" x14ac:dyDescent="0.25">
      <c r="A334" s="24"/>
      <c r="B334" s="174"/>
      <c r="C334" s="24"/>
      <c r="D334" s="24"/>
      <c r="E334" s="24"/>
      <c r="F334" s="114"/>
      <c r="G334" s="15"/>
      <c r="H334" s="7"/>
    </row>
    <row r="335" spans="1:8" ht="15.75" customHeight="1" x14ac:dyDescent="0.25">
      <c r="A335" s="24"/>
      <c r="B335" s="174"/>
      <c r="C335" s="24"/>
      <c r="D335" s="24"/>
      <c r="E335" s="24"/>
      <c r="F335" s="114"/>
      <c r="G335" s="15"/>
      <c r="H335" s="7"/>
    </row>
    <row r="336" spans="1:8" ht="15.75" customHeight="1" x14ac:dyDescent="0.25">
      <c r="A336" s="24"/>
      <c r="B336" s="174"/>
      <c r="C336" s="24"/>
      <c r="D336" s="24"/>
      <c r="E336" s="24"/>
      <c r="F336" s="114"/>
      <c r="G336" s="15"/>
      <c r="H336" s="7"/>
    </row>
    <row r="337" spans="1:8" ht="15.75" customHeight="1" x14ac:dyDescent="0.25">
      <c r="A337" s="24"/>
      <c r="B337" s="174"/>
      <c r="C337" s="24"/>
      <c r="D337" s="24"/>
      <c r="E337" s="24"/>
      <c r="F337" s="114"/>
      <c r="G337" s="15"/>
      <c r="H337" s="7"/>
    </row>
    <row r="338" spans="1:8" ht="15.75" customHeight="1" x14ac:dyDescent="0.25">
      <c r="A338" s="24"/>
      <c r="B338" s="174"/>
      <c r="C338" s="24"/>
      <c r="D338" s="24"/>
      <c r="E338" s="24"/>
      <c r="F338" s="114"/>
      <c r="G338" s="15"/>
      <c r="H338" s="7"/>
    </row>
    <row r="339" spans="1:8" ht="15.75" customHeight="1" x14ac:dyDescent="0.25">
      <c r="A339" s="24"/>
      <c r="B339" s="174"/>
      <c r="C339" s="24"/>
      <c r="D339" s="24"/>
      <c r="E339" s="24"/>
      <c r="F339" s="114"/>
      <c r="G339" s="15"/>
      <c r="H339" s="7"/>
    </row>
    <row r="340" spans="1:8" ht="15.75" customHeight="1" x14ac:dyDescent="0.25">
      <c r="A340" s="24"/>
      <c r="B340" s="174"/>
      <c r="C340" s="24"/>
      <c r="D340" s="24"/>
      <c r="E340" s="24"/>
      <c r="F340" s="114"/>
      <c r="G340" s="15"/>
      <c r="H340" s="7"/>
    </row>
    <row r="341" spans="1:8" ht="15.75" customHeight="1" x14ac:dyDescent="0.25">
      <c r="A341" s="24"/>
      <c r="B341" s="174"/>
      <c r="C341" s="24"/>
      <c r="D341" s="24"/>
      <c r="E341" s="24"/>
      <c r="F341" s="114"/>
      <c r="G341" s="15"/>
      <c r="H341" s="7"/>
    </row>
    <row r="342" spans="1:8" ht="15.75" customHeight="1" x14ac:dyDescent="0.25">
      <c r="A342" s="24"/>
      <c r="B342" s="174"/>
      <c r="C342" s="24"/>
      <c r="D342" s="24"/>
      <c r="E342" s="24"/>
      <c r="F342" s="114"/>
      <c r="G342" s="15"/>
      <c r="H342" s="7"/>
    </row>
    <row r="343" spans="1:8" ht="15.75" customHeight="1" x14ac:dyDescent="0.25">
      <c r="A343" s="24"/>
      <c r="B343" s="174"/>
      <c r="C343" s="24"/>
      <c r="D343" s="24"/>
      <c r="E343" s="24"/>
      <c r="F343" s="114"/>
      <c r="G343" s="15"/>
      <c r="H343" s="7"/>
    </row>
    <row r="344" spans="1:8" ht="15.75" customHeight="1" x14ac:dyDescent="0.25">
      <c r="A344" s="24"/>
      <c r="B344" s="174"/>
      <c r="C344" s="24"/>
      <c r="D344" s="24"/>
      <c r="E344" s="24"/>
      <c r="F344" s="114"/>
      <c r="G344" s="15"/>
      <c r="H344" s="7"/>
    </row>
    <row r="345" spans="1:8" ht="15.75" customHeight="1" x14ac:dyDescent="0.25">
      <c r="A345" s="24"/>
      <c r="B345" s="174"/>
      <c r="C345" s="24"/>
      <c r="D345" s="24"/>
      <c r="E345" s="24"/>
      <c r="F345" s="114"/>
      <c r="G345" s="15"/>
      <c r="H345" s="7"/>
    </row>
    <row r="346" spans="1:8" ht="15.75" customHeight="1" x14ac:dyDescent="0.25">
      <c r="A346" s="24"/>
      <c r="B346" s="174"/>
      <c r="C346" s="24"/>
      <c r="D346" s="24"/>
      <c r="E346" s="24"/>
      <c r="F346" s="114"/>
      <c r="G346" s="15"/>
      <c r="H346" s="7"/>
    </row>
    <row r="347" spans="1:8" ht="15.75" customHeight="1" x14ac:dyDescent="0.25">
      <c r="A347" s="24"/>
      <c r="B347" s="174"/>
      <c r="C347" s="24"/>
      <c r="D347" s="24"/>
      <c r="E347" s="24"/>
      <c r="F347" s="114"/>
      <c r="G347" s="15"/>
      <c r="H347" s="7"/>
    </row>
    <row r="348" spans="1:8" ht="15.75" customHeight="1" x14ac:dyDescent="0.25">
      <c r="A348" s="24"/>
      <c r="B348" s="174"/>
      <c r="C348" s="24"/>
      <c r="D348" s="24"/>
      <c r="E348" s="24"/>
      <c r="F348" s="114"/>
      <c r="G348" s="15"/>
      <c r="H348" s="7"/>
    </row>
    <row r="349" spans="1:8" ht="15.75" customHeight="1" x14ac:dyDescent="0.25">
      <c r="A349" s="24"/>
      <c r="B349" s="174"/>
      <c r="C349" s="24"/>
      <c r="D349" s="24"/>
      <c r="E349" s="24"/>
      <c r="F349" s="114"/>
      <c r="G349" s="15"/>
      <c r="H349" s="7"/>
    </row>
    <row r="350" spans="1:8" ht="15.75" customHeight="1" x14ac:dyDescent="0.25">
      <c r="A350" s="24"/>
      <c r="B350" s="174"/>
      <c r="C350" s="24"/>
      <c r="D350" s="24"/>
      <c r="E350" s="24"/>
      <c r="F350" s="114"/>
      <c r="G350" s="15"/>
      <c r="H350" s="7"/>
    </row>
    <row r="351" spans="1:8" ht="15.75" customHeight="1" x14ac:dyDescent="0.25">
      <c r="A351" s="24"/>
      <c r="B351" s="174"/>
      <c r="C351" s="24"/>
      <c r="D351" s="24"/>
      <c r="E351" s="24"/>
      <c r="F351" s="114"/>
      <c r="G351" s="15"/>
      <c r="H351" s="7"/>
    </row>
    <row r="352" spans="1:8" ht="15.75" customHeight="1" x14ac:dyDescent="0.25">
      <c r="A352" s="24"/>
      <c r="B352" s="174"/>
      <c r="C352" s="24"/>
      <c r="D352" s="24"/>
      <c r="E352" s="24"/>
      <c r="F352" s="114"/>
      <c r="G352" s="15"/>
      <c r="H352" s="7"/>
    </row>
    <row r="353" spans="1:8" ht="15.75" customHeight="1" x14ac:dyDescent="0.25">
      <c r="A353" s="24"/>
      <c r="B353" s="174"/>
      <c r="C353" s="24"/>
      <c r="D353" s="24"/>
      <c r="E353" s="24"/>
      <c r="F353" s="114"/>
      <c r="G353" s="15"/>
      <c r="H353" s="7"/>
    </row>
    <row r="354" spans="1:8" ht="15.75" customHeight="1" x14ac:dyDescent="0.25">
      <c r="A354" s="24"/>
      <c r="B354" s="174"/>
      <c r="C354" s="24"/>
      <c r="D354" s="24"/>
      <c r="E354" s="24"/>
      <c r="F354" s="114"/>
      <c r="G354" s="15"/>
      <c r="H354" s="7"/>
    </row>
    <row r="355" spans="1:8" ht="15.75" customHeight="1" x14ac:dyDescent="0.25">
      <c r="A355" s="24"/>
      <c r="B355" s="174"/>
      <c r="C355" s="24"/>
      <c r="D355" s="24"/>
      <c r="E355" s="24"/>
      <c r="F355" s="114"/>
      <c r="G355" s="15"/>
      <c r="H355" s="7"/>
    </row>
    <row r="356" spans="1:8" ht="15.75" customHeight="1" x14ac:dyDescent="0.25">
      <c r="A356" s="24"/>
      <c r="B356" s="174"/>
      <c r="C356" s="24"/>
      <c r="D356" s="24"/>
      <c r="E356" s="24"/>
      <c r="F356" s="114"/>
      <c r="G356" s="15"/>
      <c r="H356" s="7"/>
    </row>
    <row r="357" spans="1:8" ht="15.75" customHeight="1" x14ac:dyDescent="0.25">
      <c r="A357" s="24"/>
      <c r="B357" s="174"/>
      <c r="C357" s="24"/>
      <c r="D357" s="24"/>
      <c r="E357" s="24"/>
      <c r="F357" s="114"/>
      <c r="G357" s="15"/>
      <c r="H357" s="7"/>
    </row>
    <row r="358" spans="1:8" ht="15.75" customHeight="1" x14ac:dyDescent="0.25">
      <c r="A358" s="24"/>
      <c r="B358" s="174"/>
      <c r="C358" s="24"/>
      <c r="D358" s="24"/>
      <c r="E358" s="24"/>
      <c r="F358" s="114"/>
      <c r="G358" s="15"/>
      <c r="H358" s="7"/>
    </row>
    <row r="359" spans="1:8" ht="15.75" customHeight="1" x14ac:dyDescent="0.25">
      <c r="A359" s="24"/>
      <c r="B359" s="174"/>
      <c r="C359" s="24"/>
      <c r="D359" s="24"/>
      <c r="E359" s="24"/>
      <c r="F359" s="114"/>
      <c r="G359" s="15"/>
      <c r="H359" s="7"/>
    </row>
    <row r="360" spans="1:8" ht="15.75" customHeight="1" x14ac:dyDescent="0.25">
      <c r="A360" s="24"/>
      <c r="B360" s="174"/>
      <c r="C360" s="24"/>
      <c r="D360" s="24"/>
      <c r="E360" s="24"/>
      <c r="F360" s="114"/>
      <c r="G360" s="15"/>
      <c r="H360" s="7"/>
    </row>
    <row r="361" spans="1:8" ht="15.75" customHeight="1" x14ac:dyDescent="0.25">
      <c r="A361" s="24"/>
      <c r="B361" s="174"/>
      <c r="C361" s="24"/>
      <c r="D361" s="24"/>
      <c r="E361" s="24"/>
      <c r="F361" s="114"/>
      <c r="G361" s="15"/>
      <c r="H361" s="7"/>
    </row>
    <row r="362" spans="1:8" ht="15.75" customHeight="1" x14ac:dyDescent="0.25">
      <c r="A362" s="24"/>
      <c r="B362" s="174"/>
      <c r="C362" s="24"/>
      <c r="D362" s="24"/>
      <c r="E362" s="24"/>
      <c r="F362" s="114"/>
      <c r="G362" s="15"/>
      <c r="H362" s="7"/>
    </row>
    <row r="363" spans="1:8" ht="15.75" customHeight="1" x14ac:dyDescent="0.25">
      <c r="A363" s="24"/>
      <c r="B363" s="174"/>
      <c r="C363" s="24"/>
      <c r="D363" s="24"/>
      <c r="E363" s="24"/>
      <c r="F363" s="114"/>
      <c r="G363" s="15"/>
      <c r="H363" s="7"/>
    </row>
    <row r="364" spans="1:8" ht="15.75" customHeight="1" x14ac:dyDescent="0.25">
      <c r="A364" s="24"/>
      <c r="B364" s="174"/>
      <c r="C364" s="24"/>
      <c r="D364" s="24"/>
      <c r="E364" s="24"/>
      <c r="F364" s="114"/>
      <c r="G364" s="15"/>
      <c r="H364" s="7"/>
    </row>
    <row r="365" spans="1:8" ht="15.75" customHeight="1" x14ac:dyDescent="0.25">
      <c r="A365" s="24"/>
      <c r="B365" s="174"/>
      <c r="C365" s="24"/>
      <c r="D365" s="24"/>
      <c r="E365" s="24"/>
      <c r="F365" s="114"/>
      <c r="G365" s="15"/>
      <c r="H365" s="7"/>
    </row>
    <row r="366" spans="1:8" ht="15.75" customHeight="1" x14ac:dyDescent="0.25">
      <c r="A366" s="24"/>
      <c r="B366" s="174"/>
      <c r="C366" s="24"/>
      <c r="D366" s="24"/>
      <c r="E366" s="24"/>
      <c r="F366" s="114"/>
      <c r="G366" s="15"/>
      <c r="H366" s="7"/>
    </row>
    <row r="367" spans="1:8" ht="15.75" customHeight="1" x14ac:dyDescent="0.25">
      <c r="A367" s="24"/>
      <c r="B367" s="174"/>
      <c r="C367" s="24"/>
      <c r="D367" s="24"/>
      <c r="E367" s="24"/>
      <c r="F367" s="114"/>
      <c r="G367" s="15"/>
      <c r="H367" s="7"/>
    </row>
    <row r="368" spans="1:8" ht="15.75" customHeight="1" x14ac:dyDescent="0.25">
      <c r="A368" s="24"/>
      <c r="B368" s="174"/>
      <c r="C368" s="24"/>
      <c r="D368" s="24"/>
      <c r="E368" s="24"/>
      <c r="F368" s="114"/>
      <c r="G368" s="15"/>
      <c r="H368" s="7"/>
    </row>
    <row r="369" spans="1:8" ht="15.75" customHeight="1" x14ac:dyDescent="0.25">
      <c r="A369" s="24"/>
      <c r="B369" s="174"/>
      <c r="C369" s="24"/>
      <c r="D369" s="24"/>
      <c r="E369" s="24"/>
      <c r="F369" s="114"/>
      <c r="G369" s="15"/>
      <c r="H369" s="7"/>
    </row>
    <row r="370" spans="1:8" ht="15.75" customHeight="1" x14ac:dyDescent="0.25">
      <c r="A370" s="24"/>
      <c r="B370" s="174"/>
      <c r="C370" s="24"/>
      <c r="D370" s="24"/>
      <c r="E370" s="24"/>
      <c r="F370" s="114"/>
      <c r="G370" s="15"/>
      <c r="H370" s="7"/>
    </row>
    <row r="371" spans="1:8" ht="15.75" customHeight="1" x14ac:dyDescent="0.25">
      <c r="A371" s="24"/>
      <c r="B371" s="174"/>
      <c r="C371" s="24"/>
      <c r="D371" s="24"/>
      <c r="E371" s="24"/>
      <c r="F371" s="114"/>
      <c r="G371" s="15"/>
      <c r="H371" s="7"/>
    </row>
    <row r="372" spans="1:8" ht="15.75" customHeight="1" x14ac:dyDescent="0.25">
      <c r="A372" s="24"/>
      <c r="B372" s="174"/>
      <c r="C372" s="24"/>
      <c r="D372" s="24"/>
      <c r="E372" s="24"/>
      <c r="F372" s="114"/>
      <c r="G372" s="15"/>
      <c r="H372" s="7"/>
    </row>
    <row r="373" spans="1:8" ht="15.75" customHeight="1" x14ac:dyDescent="0.25">
      <c r="A373" s="24"/>
      <c r="B373" s="174"/>
      <c r="C373" s="24"/>
      <c r="D373" s="24"/>
      <c r="E373" s="24"/>
      <c r="F373" s="114"/>
      <c r="G373" s="15"/>
      <c r="H373" s="7"/>
    </row>
    <row r="374" spans="1:8" ht="15.75" customHeight="1" x14ac:dyDescent="0.25"/>
    <row r="375" spans="1:8" ht="15.75" customHeight="1" x14ac:dyDescent="0.25"/>
    <row r="376" spans="1:8" ht="15.75" customHeight="1" x14ac:dyDescent="0.25"/>
    <row r="377" spans="1:8" ht="15.75" customHeight="1" x14ac:dyDescent="0.25"/>
    <row r="378" spans="1:8" ht="15.75" customHeight="1" x14ac:dyDescent="0.25"/>
    <row r="379" spans="1:8" ht="15.75" customHeight="1" x14ac:dyDescent="0.25"/>
    <row r="380" spans="1:8" ht="15.75" customHeight="1" x14ac:dyDescent="0.25"/>
    <row r="381" spans="1:8" ht="15.75" customHeight="1" x14ac:dyDescent="0.25"/>
    <row r="382" spans="1:8" ht="15.75" customHeight="1" x14ac:dyDescent="0.25"/>
    <row r="383" spans="1:8" ht="15.75" customHeight="1" x14ac:dyDescent="0.25"/>
    <row r="384" spans="1:8"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sheetData>
  <mergeCells count="29">
    <mergeCell ref="A82:G82"/>
    <mergeCell ref="A83:A86"/>
    <mergeCell ref="B83:B86"/>
    <mergeCell ref="C83:C84"/>
    <mergeCell ref="D83:F83"/>
    <mergeCell ref="G83:G84"/>
    <mergeCell ref="F84:F85"/>
    <mergeCell ref="A42:G42"/>
    <mergeCell ref="A43:A46"/>
    <mergeCell ref="B43:B46"/>
    <mergeCell ref="C43:C44"/>
    <mergeCell ref="D43:F43"/>
    <mergeCell ref="G43:G44"/>
    <mergeCell ref="F44:F45"/>
    <mergeCell ref="A6:G6"/>
    <mergeCell ref="A7:A10"/>
    <mergeCell ref="B7:B10"/>
    <mergeCell ref="C7:C8"/>
    <mergeCell ref="D7:F7"/>
    <mergeCell ref="G7:G8"/>
    <mergeCell ref="F8:F9"/>
    <mergeCell ref="A125:G125"/>
    <mergeCell ref="A127:G127"/>
    <mergeCell ref="A128:A131"/>
    <mergeCell ref="B128:B131"/>
    <mergeCell ref="C128:C129"/>
    <mergeCell ref="D128:F128"/>
    <mergeCell ref="G128:G129"/>
    <mergeCell ref="F129:F130"/>
  </mergeCells>
  <pageMargins left="0.39370078740157483" right="0.39370078740157483" top="0.39370078740157483" bottom="0.39370078740157483" header="0" footer="0"/>
  <pageSetup paperSize="9" scale="87" fitToHeight="0" orientation="portrait" r:id="rId1"/>
  <rowBreaks count="3" manualBreakCount="3">
    <brk id="37" max="6" man="1"/>
    <brk id="77" max="6" man="1"/>
    <brk id="122"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5"/>
  <sheetViews>
    <sheetView view="pageBreakPreview" topLeftCell="A43" zoomScale="130" zoomScaleNormal="100" zoomScaleSheetLayoutView="130" workbookViewId="0">
      <selection activeCell="A50" sqref="A50"/>
    </sheetView>
  </sheetViews>
  <sheetFormatPr defaultColWidth="14.42578125" defaultRowHeight="15" customHeight="1" x14ac:dyDescent="0.25"/>
  <cols>
    <col min="1" max="1" width="74" customWidth="1"/>
    <col min="2" max="2" width="15" customWidth="1"/>
    <col min="3" max="6" width="16.42578125" hidden="1" customWidth="1"/>
    <col min="7" max="7" width="16.42578125" customWidth="1"/>
    <col min="8" max="8" width="8.7109375" customWidth="1"/>
    <col min="9" max="10" width="10.7109375" customWidth="1"/>
    <col min="11" max="11" width="12" customWidth="1"/>
    <col min="12" max="12" width="11.5703125" customWidth="1"/>
    <col min="13" max="13" width="13.140625" customWidth="1"/>
    <col min="14" max="14" width="13.28515625" customWidth="1"/>
    <col min="15" max="26" width="8.7109375" customWidth="1"/>
  </cols>
  <sheetData>
    <row r="1" spans="1:26" ht="15.75" customHeight="1" x14ac:dyDescent="0.25">
      <c r="A1" s="9"/>
      <c r="B1" s="10"/>
      <c r="C1" s="11"/>
      <c r="D1" s="11"/>
      <c r="E1" s="11"/>
      <c r="F1" s="10"/>
      <c r="G1" s="13"/>
      <c r="H1" s="14"/>
      <c r="I1" s="16"/>
      <c r="J1" s="15"/>
      <c r="K1" s="15"/>
      <c r="L1" s="15"/>
      <c r="M1" s="16"/>
      <c r="N1" s="15"/>
      <c r="O1" s="15"/>
      <c r="P1" s="15"/>
      <c r="Q1" s="15"/>
      <c r="R1" s="15"/>
      <c r="S1" s="15"/>
      <c r="T1" s="15"/>
      <c r="U1" s="15"/>
      <c r="V1" s="15"/>
      <c r="W1" s="15"/>
      <c r="X1" s="15"/>
      <c r="Y1" s="15"/>
      <c r="Z1" s="15"/>
    </row>
    <row r="2" spans="1:26" ht="15.75" customHeight="1" x14ac:dyDescent="0.25">
      <c r="A2" s="17"/>
      <c r="B2" s="15"/>
      <c r="C2" s="18"/>
      <c r="D2" s="18"/>
      <c r="E2" s="18"/>
      <c r="F2" s="15"/>
      <c r="G2" s="19"/>
      <c r="H2" s="14"/>
      <c r="I2" s="16"/>
      <c r="J2" s="15"/>
      <c r="K2" s="15"/>
      <c r="L2" s="15"/>
      <c r="M2" s="16"/>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6"/>
      <c r="J3" s="15"/>
      <c r="K3" s="15"/>
      <c r="L3" s="15"/>
      <c r="M3" s="16"/>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6"/>
      <c r="J4" s="15"/>
      <c r="K4" s="15"/>
      <c r="L4" s="15"/>
      <c r="M4" s="16"/>
      <c r="N4" s="15"/>
      <c r="O4" s="15"/>
      <c r="P4" s="15"/>
      <c r="Q4" s="15"/>
      <c r="R4" s="15"/>
      <c r="S4" s="15"/>
      <c r="T4" s="15"/>
      <c r="U4" s="15"/>
      <c r="V4" s="15"/>
      <c r="W4" s="15"/>
      <c r="X4" s="15"/>
      <c r="Y4" s="15"/>
      <c r="Z4" s="15"/>
    </row>
    <row r="5" spans="1:26" ht="15.75" customHeight="1" x14ac:dyDescent="0.25">
      <c r="A5" s="21"/>
      <c r="B5" s="18"/>
      <c r="C5" s="18"/>
      <c r="D5" s="18"/>
      <c r="E5" s="18"/>
      <c r="F5" s="18"/>
      <c r="G5" s="23"/>
      <c r="H5" s="14"/>
      <c r="I5" s="16"/>
      <c r="J5" s="15"/>
      <c r="K5" s="15"/>
      <c r="L5" s="15"/>
      <c r="M5" s="16"/>
      <c r="N5" s="15"/>
      <c r="O5" s="15"/>
      <c r="P5" s="15"/>
      <c r="Q5" s="15"/>
      <c r="R5" s="15"/>
      <c r="S5" s="15"/>
      <c r="T5" s="15"/>
      <c r="U5" s="15"/>
      <c r="V5" s="15"/>
      <c r="W5" s="15"/>
      <c r="X5" s="15"/>
      <c r="Y5" s="15"/>
      <c r="Z5" s="15"/>
    </row>
    <row r="6" spans="1:26" ht="15.75" customHeight="1" x14ac:dyDescent="0.25">
      <c r="A6" s="17" t="s">
        <v>1798</v>
      </c>
      <c r="B6" s="24"/>
      <c r="C6" s="25"/>
      <c r="D6" s="25"/>
      <c r="E6" s="25"/>
      <c r="F6" s="24"/>
      <c r="G6" s="19"/>
      <c r="H6" s="14"/>
      <c r="I6" s="16"/>
      <c r="J6" s="15"/>
      <c r="K6" s="15"/>
      <c r="L6" s="15"/>
      <c r="M6" s="16"/>
      <c r="N6" s="15"/>
      <c r="O6" s="15"/>
      <c r="P6" s="15"/>
      <c r="Q6" s="15"/>
      <c r="R6" s="15"/>
      <c r="S6" s="15"/>
      <c r="T6" s="15"/>
      <c r="U6" s="15"/>
      <c r="V6" s="15"/>
      <c r="W6" s="15"/>
      <c r="X6" s="15"/>
      <c r="Y6" s="15"/>
      <c r="Z6" s="15"/>
    </row>
    <row r="7" spans="1:26" ht="15.75" customHeight="1" x14ac:dyDescent="0.25">
      <c r="A7" s="17"/>
      <c r="B7" s="24"/>
      <c r="C7" s="25"/>
      <c r="D7" s="25"/>
      <c r="E7" s="25"/>
      <c r="F7" s="24"/>
      <c r="G7" s="19"/>
      <c r="H7" s="14"/>
      <c r="I7" s="16"/>
      <c r="J7" s="15"/>
      <c r="K7" s="15"/>
      <c r="L7" s="15"/>
      <c r="M7" s="16"/>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6"/>
      <c r="J8" s="15"/>
      <c r="K8" s="15"/>
      <c r="L8" s="15"/>
      <c r="M8" s="16"/>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6"/>
      <c r="J9" s="15"/>
      <c r="K9" s="15"/>
      <c r="L9" s="15"/>
      <c r="M9" s="16"/>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6"/>
      <c r="J10" s="15"/>
      <c r="K10" s="15"/>
      <c r="L10" s="15"/>
      <c r="M10" s="16"/>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6"/>
      <c r="J11" s="15"/>
      <c r="K11" s="15"/>
      <c r="L11" s="15"/>
      <c r="M11" s="16"/>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6"/>
      <c r="J12" s="15"/>
      <c r="K12" s="15"/>
      <c r="L12" s="15"/>
      <c r="M12" s="16"/>
      <c r="N12" s="15"/>
      <c r="O12" s="15"/>
      <c r="P12" s="15"/>
      <c r="Q12" s="15"/>
      <c r="R12" s="15"/>
      <c r="S12" s="15"/>
      <c r="T12" s="15"/>
      <c r="U12" s="15"/>
      <c r="V12" s="15"/>
      <c r="W12" s="15"/>
      <c r="X12" s="15"/>
      <c r="Y12" s="15"/>
      <c r="Z12" s="15"/>
    </row>
    <row r="13" spans="1:26" ht="15.75" customHeight="1" x14ac:dyDescent="0.25">
      <c r="A13" s="17" t="s">
        <v>364</v>
      </c>
      <c r="B13" s="41"/>
      <c r="C13" s="42"/>
      <c r="D13" s="42"/>
      <c r="E13" s="42"/>
      <c r="F13" s="42"/>
      <c r="G13" s="42"/>
      <c r="I13" s="40"/>
      <c r="M13" s="40"/>
    </row>
    <row r="14" spans="1:26" ht="15.75" customHeight="1" x14ac:dyDescent="0.25">
      <c r="A14" s="17" t="s">
        <v>365</v>
      </c>
      <c r="B14" s="41"/>
      <c r="C14" s="42"/>
      <c r="D14" s="42"/>
      <c r="E14" s="42"/>
      <c r="F14" s="42"/>
      <c r="G14" s="42"/>
      <c r="I14" s="40"/>
      <c r="M14" s="40"/>
    </row>
    <row r="15" spans="1:26" ht="15.75" customHeight="1" x14ac:dyDescent="0.25">
      <c r="A15" s="17" t="s">
        <v>366</v>
      </c>
      <c r="B15" s="41"/>
      <c r="C15" s="42"/>
      <c r="D15" s="42"/>
      <c r="E15" s="42"/>
      <c r="F15" s="42"/>
      <c r="G15" s="42"/>
      <c r="I15" s="40"/>
      <c r="M15" s="40"/>
    </row>
    <row r="16" spans="1:26" ht="15.75" customHeight="1" x14ac:dyDescent="0.25">
      <c r="A16" s="44" t="s">
        <v>367</v>
      </c>
      <c r="B16" s="41" t="s">
        <v>121</v>
      </c>
      <c r="C16" s="43">
        <v>2904142.77</v>
      </c>
      <c r="D16" s="43">
        <v>1490976</v>
      </c>
      <c r="E16" s="43">
        <f>F16-D16</f>
        <v>1490976</v>
      </c>
      <c r="F16" s="43">
        <v>2981952</v>
      </c>
      <c r="G16" s="43">
        <v>3110688</v>
      </c>
      <c r="I16" s="40"/>
      <c r="M16" s="40"/>
    </row>
    <row r="17" spans="1:13" ht="15.75" customHeight="1" x14ac:dyDescent="0.25">
      <c r="A17" s="17" t="s">
        <v>368</v>
      </c>
      <c r="B17" s="41"/>
      <c r="C17" s="43"/>
      <c r="D17" s="43"/>
      <c r="E17" s="43"/>
      <c r="F17" s="43"/>
      <c r="G17" s="43"/>
      <c r="I17" s="40"/>
      <c r="M17" s="40"/>
    </row>
    <row r="18" spans="1:13" ht="15.75" customHeight="1" x14ac:dyDescent="0.25">
      <c r="A18" s="44" t="s">
        <v>369</v>
      </c>
      <c r="B18" s="41" t="s">
        <v>125</v>
      </c>
      <c r="C18" s="43">
        <v>215818.18</v>
      </c>
      <c r="D18" s="43">
        <v>108000</v>
      </c>
      <c r="E18" s="43">
        <f t="shared" ref="E18:E25" si="0">F18-D18</f>
        <v>108000</v>
      </c>
      <c r="F18" s="43">
        <v>216000</v>
      </c>
      <c r="G18" s="43">
        <v>216000</v>
      </c>
      <c r="I18" s="40"/>
      <c r="M18" s="40"/>
    </row>
    <row r="19" spans="1:13" ht="15.75" customHeight="1" x14ac:dyDescent="0.25">
      <c r="A19" s="44" t="s">
        <v>373</v>
      </c>
      <c r="B19" s="41" t="s">
        <v>131</v>
      </c>
      <c r="C19" s="43">
        <v>49000</v>
      </c>
      <c r="D19" s="43">
        <v>63000</v>
      </c>
      <c r="E19" s="43">
        <f t="shared" si="0"/>
        <v>0</v>
      </c>
      <c r="F19" s="43">
        <v>63000</v>
      </c>
      <c r="G19" s="43">
        <v>63000</v>
      </c>
      <c r="I19" s="40"/>
      <c r="M19" s="40"/>
    </row>
    <row r="20" spans="1:13" ht="15.75" customHeight="1" x14ac:dyDescent="0.25">
      <c r="A20" s="44" t="s">
        <v>1564</v>
      </c>
      <c r="B20" s="41" t="s">
        <v>133</v>
      </c>
      <c r="C20" s="43">
        <v>96700</v>
      </c>
      <c r="D20" s="43">
        <v>37900</v>
      </c>
      <c r="E20" s="43">
        <f t="shared" si="0"/>
        <v>124100</v>
      </c>
      <c r="F20" s="43">
        <v>162000</v>
      </c>
      <c r="G20" s="43">
        <v>162000</v>
      </c>
      <c r="I20" s="40"/>
      <c r="M20" s="40"/>
    </row>
    <row r="21" spans="1:13" ht="15.75" customHeight="1" x14ac:dyDescent="0.25">
      <c r="A21" s="44" t="s">
        <v>1565</v>
      </c>
      <c r="B21" s="41" t="s">
        <v>135</v>
      </c>
      <c r="C21" s="43">
        <v>14103.44</v>
      </c>
      <c r="D21" s="43">
        <v>5740.91</v>
      </c>
      <c r="E21" s="43">
        <f t="shared" si="0"/>
        <v>10459.09</v>
      </c>
      <c r="F21" s="43">
        <v>16200</v>
      </c>
      <c r="G21" s="43">
        <v>16200</v>
      </c>
      <c r="I21" s="40"/>
      <c r="M21" s="40"/>
    </row>
    <row r="22" spans="1:13" ht="15.75" customHeight="1" x14ac:dyDescent="0.25">
      <c r="A22" s="44" t="s">
        <v>1567</v>
      </c>
      <c r="B22" s="41" t="s">
        <v>145</v>
      </c>
      <c r="C22" s="43">
        <v>612997.34</v>
      </c>
      <c r="D22" s="43">
        <v>261976.6</v>
      </c>
      <c r="E22" s="43">
        <f t="shared" si="0"/>
        <v>366767.4</v>
      </c>
      <c r="F22" s="43">
        <v>628744</v>
      </c>
      <c r="G22" s="43">
        <v>655740</v>
      </c>
      <c r="I22" s="40"/>
      <c r="M22" s="40"/>
    </row>
    <row r="23" spans="1:13" ht="15.75" customHeight="1" x14ac:dyDescent="0.25">
      <c r="A23" s="44" t="s">
        <v>1568</v>
      </c>
      <c r="B23" s="41" t="s">
        <v>147</v>
      </c>
      <c r="C23" s="56">
        <v>129168.19</v>
      </c>
      <c r="D23" s="43">
        <v>0</v>
      </c>
      <c r="E23" s="43">
        <f t="shared" si="0"/>
        <v>140060</v>
      </c>
      <c r="F23" s="43">
        <v>140060</v>
      </c>
      <c r="G23" s="43">
        <v>203660</v>
      </c>
      <c r="I23" s="40"/>
      <c r="M23" s="40"/>
    </row>
    <row r="24" spans="1:13" ht="15.75" customHeight="1" x14ac:dyDescent="0.25">
      <c r="A24" s="44" t="s">
        <v>374</v>
      </c>
      <c r="B24" s="41" t="s">
        <v>151</v>
      </c>
      <c r="C24" s="56">
        <v>248496</v>
      </c>
      <c r="D24" s="43">
        <v>0</v>
      </c>
      <c r="E24" s="43">
        <f t="shared" si="0"/>
        <v>248496</v>
      </c>
      <c r="F24" s="43">
        <v>248496</v>
      </c>
      <c r="G24" s="43">
        <v>259224</v>
      </c>
      <c r="I24" s="40"/>
      <c r="M24" s="40"/>
    </row>
    <row r="25" spans="1:13" ht="15.75" customHeight="1" x14ac:dyDescent="0.25">
      <c r="A25" s="44" t="s">
        <v>375</v>
      </c>
      <c r="B25" s="41" t="s">
        <v>153</v>
      </c>
      <c r="C25" s="56">
        <v>45000</v>
      </c>
      <c r="D25" s="43">
        <v>0</v>
      </c>
      <c r="E25" s="43">
        <f t="shared" si="0"/>
        <v>45000</v>
      </c>
      <c r="F25" s="43">
        <v>45000</v>
      </c>
      <c r="G25" s="43">
        <v>45000</v>
      </c>
      <c r="I25" s="40"/>
      <c r="M25" s="40"/>
    </row>
    <row r="26" spans="1:13" ht="15.75" customHeight="1" x14ac:dyDescent="0.25">
      <c r="A26" s="44" t="s">
        <v>376</v>
      </c>
      <c r="B26" s="41" t="s">
        <v>155</v>
      </c>
      <c r="C26" s="56"/>
      <c r="D26" s="43"/>
      <c r="E26" s="43"/>
      <c r="F26" s="43"/>
      <c r="G26" s="43"/>
      <c r="I26" s="40"/>
      <c r="M26" s="40"/>
    </row>
    <row r="27" spans="1:13" ht="15.75" customHeight="1" x14ac:dyDescent="0.25">
      <c r="A27" s="44" t="s">
        <v>377</v>
      </c>
      <c r="B27" s="41" t="s">
        <v>157</v>
      </c>
      <c r="C27" s="26"/>
      <c r="D27" s="43">
        <v>0</v>
      </c>
      <c r="E27" s="43"/>
      <c r="F27" s="315"/>
      <c r="G27" s="45">
        <v>10000</v>
      </c>
      <c r="I27" s="40"/>
      <c r="M27" s="40"/>
    </row>
    <row r="28" spans="1:13" ht="15.75" customHeight="1" x14ac:dyDescent="0.25">
      <c r="A28" s="44" t="s">
        <v>1227</v>
      </c>
      <c r="B28" s="41" t="s">
        <v>159</v>
      </c>
      <c r="C28" s="26">
        <v>0</v>
      </c>
      <c r="D28" s="43">
        <v>27000</v>
      </c>
      <c r="E28" s="43"/>
      <c r="F28" s="45">
        <v>27000</v>
      </c>
      <c r="G28" s="45"/>
      <c r="I28" s="40"/>
      <c r="M28" s="40"/>
    </row>
    <row r="29" spans="1:13" ht="15.75" customHeight="1" x14ac:dyDescent="0.25">
      <c r="A29" s="44" t="s">
        <v>379</v>
      </c>
      <c r="B29" s="41" t="s">
        <v>161</v>
      </c>
      <c r="C29" s="26">
        <v>237769</v>
      </c>
      <c r="D29" s="43">
        <v>248496</v>
      </c>
      <c r="E29" s="43">
        <f>F29-D29</f>
        <v>0</v>
      </c>
      <c r="F29" s="45">
        <v>248496</v>
      </c>
      <c r="G29" s="45">
        <v>259224</v>
      </c>
      <c r="I29" s="40"/>
      <c r="M29" s="40"/>
    </row>
    <row r="30" spans="1:13" ht="15.75" customHeight="1" x14ac:dyDescent="0.25">
      <c r="A30" s="17" t="s">
        <v>380</v>
      </c>
      <c r="B30" s="41"/>
      <c r="C30" s="56"/>
      <c r="D30" s="43"/>
      <c r="E30" s="43"/>
      <c r="F30" s="43"/>
      <c r="G30" s="43"/>
      <c r="I30" s="40"/>
      <c r="M30" s="40"/>
    </row>
    <row r="31" spans="1:13" ht="15.75" customHeight="1" x14ac:dyDescent="0.25">
      <c r="A31" s="44" t="s">
        <v>381</v>
      </c>
      <c r="B31" s="41" t="s">
        <v>165</v>
      </c>
      <c r="C31" s="56">
        <v>348782.05</v>
      </c>
      <c r="D31" s="43">
        <v>178917.12</v>
      </c>
      <c r="E31" s="43">
        <f t="shared" ref="E31:E34" si="1">F31-D31</f>
        <v>178917.88</v>
      </c>
      <c r="F31" s="43">
        <v>357835</v>
      </c>
      <c r="G31" s="43">
        <v>373283</v>
      </c>
      <c r="I31" s="40"/>
      <c r="M31" s="40"/>
    </row>
    <row r="32" spans="1:13" ht="15.75" customHeight="1" x14ac:dyDescent="0.25">
      <c r="A32" s="44" t="s">
        <v>382</v>
      </c>
      <c r="B32" s="41" t="s">
        <v>167</v>
      </c>
      <c r="C32" s="43">
        <v>58130.31</v>
      </c>
      <c r="D32" s="43">
        <v>29819.52</v>
      </c>
      <c r="E32" s="43">
        <f t="shared" si="1"/>
        <v>29820.48</v>
      </c>
      <c r="F32" s="45">
        <v>59640</v>
      </c>
      <c r="G32" s="45">
        <v>62214</v>
      </c>
      <c r="I32" s="40"/>
      <c r="M32" s="40"/>
    </row>
    <row r="33" spans="1:26" ht="15.75" customHeight="1" x14ac:dyDescent="0.25">
      <c r="A33" s="44" t="s">
        <v>383</v>
      </c>
      <c r="B33" s="41" t="s">
        <v>169</v>
      </c>
      <c r="C33" s="43">
        <v>72663.350000000006</v>
      </c>
      <c r="D33" s="43">
        <v>37274.46</v>
      </c>
      <c r="E33" s="43">
        <f t="shared" si="1"/>
        <v>37277.54</v>
      </c>
      <c r="F33" s="43">
        <v>74552</v>
      </c>
      <c r="G33" s="43">
        <v>77772</v>
      </c>
      <c r="I33" s="40"/>
      <c r="M33" s="40"/>
    </row>
    <row r="34" spans="1:26" ht="15.75" customHeight="1" x14ac:dyDescent="0.25">
      <c r="A34" s="44" t="s">
        <v>384</v>
      </c>
      <c r="B34" s="41" t="s">
        <v>171</v>
      </c>
      <c r="C34" s="43">
        <v>10800</v>
      </c>
      <c r="D34" s="43">
        <v>5400</v>
      </c>
      <c r="E34" s="43">
        <f t="shared" si="1"/>
        <v>5400</v>
      </c>
      <c r="F34" s="43">
        <v>10800</v>
      </c>
      <c r="G34" s="43">
        <v>10800</v>
      </c>
      <c r="I34" s="40"/>
      <c r="M34" s="40"/>
    </row>
    <row r="35" spans="1:26" ht="15.75" customHeight="1" x14ac:dyDescent="0.25">
      <c r="A35" s="42" t="s">
        <v>385</v>
      </c>
      <c r="B35" s="41"/>
      <c r="C35" s="43"/>
      <c r="D35" s="43"/>
      <c r="E35" s="43"/>
      <c r="F35" s="43"/>
      <c r="G35" s="43"/>
      <c r="I35" s="40"/>
      <c r="M35" s="40"/>
    </row>
    <row r="36" spans="1:26" ht="15.75" customHeight="1" x14ac:dyDescent="0.25">
      <c r="A36" s="460" t="s">
        <v>387</v>
      </c>
      <c r="B36" s="454" t="s">
        <v>181</v>
      </c>
      <c r="C36" s="443">
        <v>90546.37</v>
      </c>
      <c r="D36" s="443">
        <v>44400.4</v>
      </c>
      <c r="E36" s="443">
        <f t="shared" ref="E36:E37" si="2">F36-D36</f>
        <v>75356.600000000006</v>
      </c>
      <c r="F36" s="443">
        <v>119757</v>
      </c>
      <c r="G36" s="462">
        <v>124928</v>
      </c>
      <c r="I36" s="40"/>
      <c r="M36" s="40"/>
    </row>
    <row r="37" spans="1:26" ht="15.75" customHeight="1" x14ac:dyDescent="0.25">
      <c r="A37" s="460" t="s">
        <v>388</v>
      </c>
      <c r="B37" s="454" t="s">
        <v>183</v>
      </c>
      <c r="C37" s="443">
        <v>45000</v>
      </c>
      <c r="D37" s="443">
        <v>0</v>
      </c>
      <c r="E37" s="443">
        <f t="shared" si="2"/>
        <v>45000</v>
      </c>
      <c r="F37" s="443">
        <v>45000</v>
      </c>
      <c r="G37" s="462">
        <v>45000</v>
      </c>
      <c r="I37" s="40"/>
      <c r="M37" s="40"/>
    </row>
    <row r="38" spans="1:26" ht="31.5" x14ac:dyDescent="0.25">
      <c r="A38" s="117" t="s">
        <v>625</v>
      </c>
      <c r="B38" s="41"/>
      <c r="C38" s="26">
        <v>0</v>
      </c>
      <c r="D38" s="43">
        <v>0</v>
      </c>
      <c r="E38" s="43">
        <v>0</v>
      </c>
      <c r="F38" s="43">
        <v>0</v>
      </c>
      <c r="G38" s="43">
        <v>97756</v>
      </c>
      <c r="H38" s="114"/>
      <c r="I38" s="60"/>
      <c r="J38" s="114"/>
      <c r="K38" s="114"/>
      <c r="L38" s="114"/>
      <c r="M38" s="60"/>
      <c r="N38" s="114"/>
      <c r="O38" s="114"/>
      <c r="P38" s="114"/>
      <c r="Q38" s="114"/>
      <c r="R38" s="114"/>
      <c r="S38" s="114"/>
      <c r="T38" s="114"/>
      <c r="U38" s="114"/>
      <c r="V38" s="114"/>
      <c r="W38" s="114"/>
      <c r="X38" s="114"/>
      <c r="Y38" s="114"/>
      <c r="Z38" s="114"/>
    </row>
    <row r="39" spans="1:26" ht="15.75" customHeight="1" x14ac:dyDescent="0.25">
      <c r="A39" s="42" t="s">
        <v>632</v>
      </c>
      <c r="B39" s="20"/>
      <c r="C39" s="54">
        <f t="shared" ref="C39:G39" si="3">SUM(C16:C38)</f>
        <v>5179116.9999999991</v>
      </c>
      <c r="D39" s="54">
        <f t="shared" si="3"/>
        <v>2538901.0099999998</v>
      </c>
      <c r="E39" s="54">
        <f t="shared" si="3"/>
        <v>2905630.99</v>
      </c>
      <c r="F39" s="54">
        <f t="shared" si="3"/>
        <v>5444532</v>
      </c>
      <c r="G39" s="54">
        <f t="shared" si="3"/>
        <v>5792489</v>
      </c>
      <c r="H39" s="176"/>
      <c r="I39" s="177"/>
      <c r="J39" s="176"/>
      <c r="K39" s="176"/>
      <c r="L39" s="176"/>
      <c r="M39" s="177"/>
      <c r="N39" s="176"/>
      <c r="O39" s="176"/>
      <c r="P39" s="176"/>
      <c r="Q39" s="176"/>
      <c r="R39" s="176"/>
      <c r="S39" s="176"/>
      <c r="T39" s="176"/>
      <c r="U39" s="176"/>
      <c r="V39" s="176"/>
      <c r="W39" s="176"/>
      <c r="X39" s="176"/>
      <c r="Y39" s="176"/>
      <c r="Z39" s="176"/>
    </row>
    <row r="40" spans="1:26" ht="15.75" customHeight="1" x14ac:dyDescent="0.25">
      <c r="A40" s="17"/>
      <c r="B40" s="20"/>
      <c r="C40" s="9"/>
      <c r="D40" s="37"/>
      <c r="E40" s="37"/>
      <c r="F40" s="37"/>
      <c r="G40" s="37"/>
      <c r="H40" s="178"/>
      <c r="I40" s="179"/>
      <c r="J40" s="178"/>
      <c r="K40" s="178"/>
      <c r="L40" s="178"/>
      <c r="M40" s="179"/>
      <c r="N40" s="178"/>
      <c r="O40" s="178"/>
      <c r="P40" s="178"/>
      <c r="Q40" s="178"/>
      <c r="R40" s="178"/>
      <c r="S40" s="178"/>
      <c r="T40" s="178"/>
      <c r="U40" s="178"/>
      <c r="V40" s="178"/>
      <c r="W40" s="178"/>
      <c r="X40" s="178"/>
      <c r="Y40" s="178"/>
      <c r="Z40" s="178"/>
    </row>
    <row r="41" spans="1:26" ht="15.75" customHeight="1" x14ac:dyDescent="0.25">
      <c r="A41" s="17" t="s">
        <v>391</v>
      </c>
      <c r="B41" s="41"/>
      <c r="C41" s="24"/>
      <c r="D41" s="42"/>
      <c r="E41" s="42"/>
      <c r="F41" s="42"/>
      <c r="G41" s="42"/>
      <c r="I41" s="40"/>
      <c r="M41" s="40"/>
    </row>
    <row r="42" spans="1:26" ht="15.75" customHeight="1" x14ac:dyDescent="0.25">
      <c r="A42" s="17" t="s">
        <v>642</v>
      </c>
      <c r="B42" s="41"/>
      <c r="C42" s="43"/>
      <c r="D42" s="43"/>
      <c r="E42" s="43"/>
      <c r="F42" s="43"/>
      <c r="G42" s="43"/>
      <c r="I42" s="40"/>
      <c r="M42" s="40"/>
    </row>
    <row r="43" spans="1:26" ht="15.75" customHeight="1" x14ac:dyDescent="0.25">
      <c r="A43" s="44" t="s">
        <v>393</v>
      </c>
      <c r="B43" s="41" t="s">
        <v>187</v>
      </c>
      <c r="C43" s="43">
        <v>91108.4</v>
      </c>
      <c r="D43" s="43">
        <v>26700</v>
      </c>
      <c r="E43" s="45">
        <f>F43-D43</f>
        <v>243300</v>
      </c>
      <c r="F43" s="43">
        <v>270000</v>
      </c>
      <c r="G43" s="43">
        <v>270000</v>
      </c>
      <c r="I43" s="40"/>
      <c r="M43" s="40"/>
    </row>
    <row r="44" spans="1:26" ht="15.75" customHeight="1" x14ac:dyDescent="0.25">
      <c r="A44" s="17" t="s">
        <v>493</v>
      </c>
      <c r="B44" s="41"/>
      <c r="C44" s="43"/>
      <c r="D44" s="43"/>
      <c r="E44" s="43"/>
      <c r="F44" s="43"/>
      <c r="G44" s="43"/>
      <c r="I44" s="40"/>
      <c r="M44" s="40"/>
    </row>
    <row r="45" spans="1:26" ht="15.75" customHeight="1" x14ac:dyDescent="0.25">
      <c r="A45" s="48" t="s">
        <v>396</v>
      </c>
      <c r="B45" s="41" t="s">
        <v>191</v>
      </c>
      <c r="C45" s="43">
        <v>479343.6</v>
      </c>
      <c r="D45" s="43">
        <v>507380.71</v>
      </c>
      <c r="E45" s="43">
        <f>F45-D45</f>
        <v>520419.29</v>
      </c>
      <c r="F45" s="43">
        <v>1027800</v>
      </c>
      <c r="G45" s="43">
        <v>988200</v>
      </c>
      <c r="I45" s="40"/>
      <c r="M45" s="40"/>
    </row>
    <row r="46" spans="1:26" ht="15.75" customHeight="1" x14ac:dyDescent="0.25">
      <c r="A46" s="48" t="s">
        <v>1799</v>
      </c>
      <c r="B46" s="41"/>
      <c r="C46" s="43"/>
      <c r="D46" s="43"/>
      <c r="E46" s="43"/>
      <c r="F46" s="43"/>
      <c r="G46" s="43"/>
      <c r="I46" s="40">
        <v>33000</v>
      </c>
      <c r="M46" s="40"/>
    </row>
    <row r="47" spans="1:26" ht="31.5" x14ac:dyDescent="0.25">
      <c r="A47" s="68" t="s">
        <v>1800</v>
      </c>
      <c r="B47" s="41"/>
      <c r="C47" s="43"/>
      <c r="D47" s="43"/>
      <c r="E47" s="43"/>
      <c r="F47" s="43"/>
      <c r="G47" s="43"/>
      <c r="I47" s="40">
        <v>165000</v>
      </c>
      <c r="M47" s="40"/>
    </row>
    <row r="48" spans="1:26" ht="15.75" customHeight="1" x14ac:dyDescent="0.25">
      <c r="A48" s="48" t="s">
        <v>1801</v>
      </c>
      <c r="B48" s="41"/>
      <c r="C48" s="43"/>
      <c r="D48" s="43"/>
      <c r="E48" s="43"/>
      <c r="F48" s="43"/>
      <c r="G48" s="43"/>
      <c r="I48" s="40">
        <v>165000</v>
      </c>
      <c r="M48" s="40"/>
    </row>
    <row r="49" spans="1:13" ht="15.75" customHeight="1" x14ac:dyDescent="0.25">
      <c r="A49" s="48" t="s">
        <v>1802</v>
      </c>
      <c r="B49" s="41"/>
      <c r="C49" s="43"/>
      <c r="D49" s="43"/>
      <c r="E49" s="43"/>
      <c r="F49" s="43"/>
      <c r="G49" s="43"/>
      <c r="I49" s="40">
        <v>237600</v>
      </c>
      <c r="M49" s="40"/>
    </row>
    <row r="50" spans="1:13" ht="15.75" customHeight="1" x14ac:dyDescent="0.25">
      <c r="A50" s="48" t="s">
        <v>1803</v>
      </c>
      <c r="B50" s="41"/>
      <c r="C50" s="43"/>
      <c r="D50" s="43"/>
      <c r="E50" s="43"/>
      <c r="F50" s="43"/>
      <c r="G50" s="43"/>
      <c r="I50" s="40">
        <v>237600</v>
      </c>
      <c r="M50" s="40"/>
    </row>
    <row r="51" spans="1:13" ht="15.75" customHeight="1" x14ac:dyDescent="0.25">
      <c r="A51" s="597" t="s">
        <v>1804</v>
      </c>
      <c r="B51" s="483"/>
      <c r="C51" s="457"/>
      <c r="D51" s="457"/>
      <c r="E51" s="457"/>
      <c r="F51" s="457"/>
      <c r="G51" s="457"/>
      <c r="I51" s="40">
        <v>150000</v>
      </c>
      <c r="J51" s="40">
        <f>SUM(I46:I51)</f>
        <v>988200</v>
      </c>
      <c r="M51" s="40"/>
    </row>
    <row r="52" spans="1:13" ht="15.75" customHeight="1" x14ac:dyDescent="0.25">
      <c r="A52" s="625" t="s">
        <v>499</v>
      </c>
      <c r="B52" s="601"/>
      <c r="C52" s="448"/>
      <c r="D52" s="448"/>
      <c r="E52" s="448"/>
      <c r="F52" s="448"/>
      <c r="G52" s="448"/>
      <c r="I52" s="40"/>
      <c r="M52" s="40"/>
    </row>
    <row r="53" spans="1:13" ht="15.75" customHeight="1" x14ac:dyDescent="0.25">
      <c r="A53" s="48" t="s">
        <v>398</v>
      </c>
      <c r="B53" s="41" t="s">
        <v>195</v>
      </c>
      <c r="C53" s="43">
        <v>0</v>
      </c>
      <c r="D53" s="43">
        <v>0</v>
      </c>
      <c r="E53" s="43">
        <f t="shared" ref="E53:E55" si="4">F53-D53</f>
        <v>341840</v>
      </c>
      <c r="F53" s="43">
        <v>341840</v>
      </c>
      <c r="G53" s="43">
        <v>262276</v>
      </c>
      <c r="I53" s="40"/>
      <c r="M53" s="40"/>
    </row>
    <row r="54" spans="1:13" ht="15.75" customHeight="1" x14ac:dyDescent="0.25">
      <c r="A54" s="44" t="s">
        <v>819</v>
      </c>
      <c r="B54" s="41" t="s">
        <v>203</v>
      </c>
      <c r="C54" s="43">
        <v>2899857.75</v>
      </c>
      <c r="D54" s="43">
        <v>2339042</v>
      </c>
      <c r="E54" s="43">
        <f t="shared" si="4"/>
        <v>2339088</v>
      </c>
      <c r="F54" s="43">
        <v>4678130</v>
      </c>
      <c r="G54" s="43">
        <v>4684296</v>
      </c>
      <c r="I54" s="40"/>
      <c r="M54" s="40"/>
    </row>
    <row r="55" spans="1:13" ht="15.75" customHeight="1" x14ac:dyDescent="0.25">
      <c r="A55" s="44" t="s">
        <v>841</v>
      </c>
      <c r="B55" s="41" t="s">
        <v>207</v>
      </c>
      <c r="C55" s="43">
        <v>0</v>
      </c>
      <c r="D55" s="43">
        <v>1158000</v>
      </c>
      <c r="E55" s="43">
        <f t="shared" si="4"/>
        <v>6000</v>
      </c>
      <c r="F55" s="43">
        <v>1164000</v>
      </c>
      <c r="G55" s="43">
        <v>1178100</v>
      </c>
      <c r="I55" s="40"/>
      <c r="M55" s="40"/>
    </row>
    <row r="56" spans="1:13" ht="15.75" customHeight="1" x14ac:dyDescent="0.25">
      <c r="A56" s="44" t="s">
        <v>402</v>
      </c>
      <c r="B56" s="41" t="s">
        <v>225</v>
      </c>
      <c r="C56" s="43">
        <v>595395</v>
      </c>
      <c r="D56" s="43">
        <v>0</v>
      </c>
      <c r="E56" s="43">
        <f>F56-D56</f>
        <v>223648</v>
      </c>
      <c r="F56" s="43">
        <v>223648</v>
      </c>
      <c r="G56" s="43">
        <v>58519</v>
      </c>
      <c r="I56" s="40"/>
      <c r="M56" s="40"/>
    </row>
    <row r="57" spans="1:13" ht="15.75" customHeight="1" x14ac:dyDescent="0.25">
      <c r="A57" s="17" t="s">
        <v>1805</v>
      </c>
      <c r="B57" s="41"/>
      <c r="C57" s="43"/>
      <c r="D57" s="43"/>
      <c r="E57" s="43"/>
      <c r="F57" s="43"/>
      <c r="G57" s="43"/>
      <c r="I57" s="40"/>
      <c r="M57" s="40"/>
    </row>
    <row r="58" spans="1:13" ht="15.75" customHeight="1" x14ac:dyDescent="0.25">
      <c r="A58" s="44" t="s">
        <v>1806</v>
      </c>
      <c r="B58" s="41" t="s">
        <v>243</v>
      </c>
      <c r="C58" s="43">
        <v>24000</v>
      </c>
      <c r="D58" s="43">
        <v>0</v>
      </c>
      <c r="E58" s="43">
        <f>F58-D58</f>
        <v>180000</v>
      </c>
      <c r="F58" s="43">
        <v>180000</v>
      </c>
      <c r="G58" s="43">
        <v>180000</v>
      </c>
      <c r="I58" s="40"/>
      <c r="M58" s="40"/>
    </row>
    <row r="59" spans="1:13" ht="15.75" customHeight="1" x14ac:dyDescent="0.25">
      <c r="A59" s="42" t="s">
        <v>511</v>
      </c>
      <c r="B59" s="41"/>
      <c r="C59" s="42"/>
      <c r="D59" s="42"/>
      <c r="E59" s="42"/>
      <c r="F59" s="43"/>
      <c r="G59" s="43"/>
      <c r="I59" s="40"/>
      <c r="M59" s="40"/>
    </row>
    <row r="60" spans="1:13" ht="15.75" customHeight="1" x14ac:dyDescent="0.25">
      <c r="A60" s="44" t="s">
        <v>424</v>
      </c>
      <c r="B60" s="41" t="s">
        <v>335</v>
      </c>
      <c r="C60" s="43">
        <v>20703947</v>
      </c>
      <c r="D60" s="43">
        <v>10342966</v>
      </c>
      <c r="E60" s="43">
        <v>14754254</v>
      </c>
      <c r="F60" s="316">
        <v>25097220</v>
      </c>
      <c r="G60" s="45">
        <v>25688892</v>
      </c>
      <c r="I60" s="40"/>
      <c r="M60" s="40"/>
    </row>
    <row r="61" spans="1:13" ht="15.75" customHeight="1" x14ac:dyDescent="0.25">
      <c r="A61" s="44" t="s">
        <v>1807</v>
      </c>
      <c r="B61" s="41"/>
      <c r="C61" s="45"/>
      <c r="D61" s="45"/>
      <c r="E61" s="45"/>
      <c r="F61" s="316"/>
      <c r="G61" s="45"/>
      <c r="I61" s="40"/>
      <c r="M61" s="40">
        <v>166500</v>
      </c>
    </row>
    <row r="62" spans="1:13" ht="31.5" x14ac:dyDescent="0.25">
      <c r="A62" s="118" t="s">
        <v>1808</v>
      </c>
      <c r="B62" s="41"/>
      <c r="C62" s="45"/>
      <c r="D62" s="45"/>
      <c r="E62" s="45"/>
      <c r="F62" s="316"/>
      <c r="G62" s="45"/>
      <c r="I62" s="40"/>
      <c r="M62" s="40">
        <v>244200</v>
      </c>
    </row>
    <row r="63" spans="1:13" ht="15.75" customHeight="1" x14ac:dyDescent="0.25">
      <c r="A63" s="44" t="s">
        <v>1809</v>
      </c>
      <c r="B63" s="41"/>
      <c r="C63" s="45"/>
      <c r="D63" s="45"/>
      <c r="E63" s="45"/>
      <c r="F63" s="316"/>
      <c r="G63" s="45"/>
      <c r="I63" s="40"/>
      <c r="M63" s="40">
        <v>37000</v>
      </c>
    </row>
    <row r="64" spans="1:13" ht="15.75" customHeight="1" x14ac:dyDescent="0.25">
      <c r="A64" s="44" t="s">
        <v>1810</v>
      </c>
      <c r="B64" s="41"/>
      <c r="C64" s="45"/>
      <c r="D64" s="45"/>
      <c r="E64" s="45"/>
      <c r="F64" s="316"/>
      <c r="G64" s="45"/>
      <c r="I64" s="40"/>
      <c r="M64" s="40">
        <v>66600</v>
      </c>
    </row>
    <row r="65" spans="1:14" ht="15.75" customHeight="1" x14ac:dyDescent="0.25">
      <c r="A65" s="44" t="s">
        <v>1811</v>
      </c>
      <c r="B65" s="41"/>
      <c r="C65" s="45"/>
      <c r="D65" s="45"/>
      <c r="E65" s="45"/>
      <c r="F65" s="316"/>
      <c r="G65" s="45"/>
      <c r="I65" s="40"/>
      <c r="M65" s="40">
        <v>12000</v>
      </c>
    </row>
    <row r="66" spans="1:14" ht="31.5" x14ac:dyDescent="0.25">
      <c r="A66" s="479" t="s">
        <v>1812</v>
      </c>
      <c r="B66" s="454"/>
      <c r="C66" s="443"/>
      <c r="D66" s="443"/>
      <c r="E66" s="443"/>
      <c r="F66" s="573"/>
      <c r="G66" s="462"/>
      <c r="I66" s="40"/>
      <c r="M66" s="40">
        <v>150000</v>
      </c>
    </row>
    <row r="67" spans="1:14" ht="15.75" customHeight="1" x14ac:dyDescent="0.25">
      <c r="A67" s="460" t="s">
        <v>1813</v>
      </c>
      <c r="B67" s="454"/>
      <c r="C67" s="443"/>
      <c r="D67" s="443"/>
      <c r="E67" s="443"/>
      <c r="F67" s="573"/>
      <c r="G67" s="462"/>
      <c r="I67" s="40"/>
      <c r="M67" s="40">
        <v>50000</v>
      </c>
    </row>
    <row r="68" spans="1:14" ht="15.75" customHeight="1" x14ac:dyDescent="0.25">
      <c r="A68" s="48" t="s">
        <v>1814</v>
      </c>
      <c r="B68" s="41"/>
      <c r="C68" s="43"/>
      <c r="D68" s="43"/>
      <c r="E68" s="43"/>
      <c r="F68" s="192"/>
      <c r="G68" s="43"/>
      <c r="I68" s="40"/>
      <c r="M68" s="40">
        <v>24480000</v>
      </c>
    </row>
    <row r="69" spans="1:14" ht="15.75" customHeight="1" x14ac:dyDescent="0.25">
      <c r="A69" s="44" t="s">
        <v>925</v>
      </c>
      <c r="B69" s="41"/>
      <c r="C69" s="45"/>
      <c r="D69" s="45"/>
      <c r="E69" s="45"/>
      <c r="F69" s="316"/>
      <c r="G69" s="45"/>
      <c r="I69" s="210" t="s">
        <v>877</v>
      </c>
      <c r="J69" s="211" t="s">
        <v>878</v>
      </c>
      <c r="K69" s="210" t="s">
        <v>879</v>
      </c>
      <c r="L69" s="8" t="s">
        <v>880</v>
      </c>
      <c r="M69" s="210" t="s">
        <v>881</v>
      </c>
    </row>
    <row r="70" spans="1:14" ht="31.5" x14ac:dyDescent="0.25">
      <c r="A70" s="118" t="s">
        <v>1815</v>
      </c>
      <c r="B70" s="41"/>
      <c r="C70" s="45"/>
      <c r="D70" s="45"/>
      <c r="E70" s="45"/>
      <c r="F70" s="316"/>
      <c r="G70" s="45"/>
      <c r="I70" s="60">
        <v>914</v>
      </c>
      <c r="J70" s="211">
        <v>2</v>
      </c>
      <c r="K70" s="8">
        <v>22</v>
      </c>
      <c r="L70" s="8">
        <v>12</v>
      </c>
      <c r="M70" s="60">
        <f>I70*J70*K70*L70</f>
        <v>482592</v>
      </c>
      <c r="N70" s="40">
        <f>M61+M62+M63+M64+M66+M65+M67+M68+M70</f>
        <v>25688892</v>
      </c>
    </row>
    <row r="71" spans="1:14" ht="15.75" customHeight="1" x14ac:dyDescent="0.25">
      <c r="A71" s="17" t="s">
        <v>466</v>
      </c>
      <c r="B71" s="94"/>
      <c r="C71" s="79">
        <f>+SUM(C43:C60)</f>
        <v>24793651.75</v>
      </c>
      <c r="D71" s="79">
        <f>+SUM(D43:D60)</f>
        <v>14374088.710000001</v>
      </c>
      <c r="E71" s="79">
        <f>+SUM(E43:E60)</f>
        <v>18608549.289999999</v>
      </c>
      <c r="F71" s="79">
        <f>+SUM(F43:F60)</f>
        <v>32982638</v>
      </c>
      <c r="G71" s="54">
        <f>SUM(G43:G60)</f>
        <v>33310283</v>
      </c>
      <c r="I71" s="40"/>
      <c r="M71" s="40"/>
    </row>
    <row r="72" spans="1:14" ht="15.75" customHeight="1" x14ac:dyDescent="0.25">
      <c r="A72" s="42"/>
      <c r="B72" s="49"/>
      <c r="C72" s="39"/>
      <c r="D72" s="55"/>
      <c r="E72" s="55"/>
      <c r="F72" s="200"/>
      <c r="G72" s="200"/>
      <c r="I72" s="40"/>
      <c r="M72" s="40"/>
    </row>
    <row r="73" spans="1:14" ht="15.75" customHeight="1" x14ac:dyDescent="0.25">
      <c r="A73" s="17" t="s">
        <v>467</v>
      </c>
      <c r="B73" s="41"/>
      <c r="C73" s="56">
        <f>C39+C71</f>
        <v>29972768.75</v>
      </c>
      <c r="D73" s="56">
        <f>D39+D71</f>
        <v>16912989.719999999</v>
      </c>
      <c r="E73" s="56">
        <f>E39+E71</f>
        <v>21514180.280000001</v>
      </c>
      <c r="F73" s="56">
        <f>F39+F71</f>
        <v>38427170</v>
      </c>
      <c r="G73" s="43">
        <f>G39+G71</f>
        <v>39102772</v>
      </c>
      <c r="I73" s="40"/>
      <c r="M73" s="40"/>
    </row>
    <row r="74" spans="1:14" ht="15.75" customHeight="1" x14ac:dyDescent="0.25">
      <c r="A74" s="17"/>
      <c r="B74" s="20"/>
      <c r="C74" s="43"/>
      <c r="D74" s="43"/>
      <c r="E74" s="43"/>
      <c r="F74" s="197"/>
      <c r="G74" s="48"/>
      <c r="I74" s="40"/>
      <c r="M74" s="40"/>
    </row>
    <row r="75" spans="1:14" ht="15.75" customHeight="1" x14ac:dyDescent="0.25">
      <c r="A75" s="50" t="s">
        <v>487</v>
      </c>
      <c r="B75" s="51" t="s">
        <v>488</v>
      </c>
      <c r="C75" s="54">
        <f t="shared" ref="C75:G75" si="5">+C73</f>
        <v>29972768.75</v>
      </c>
      <c r="D75" s="54">
        <f t="shared" si="5"/>
        <v>16912989.719999999</v>
      </c>
      <c r="E75" s="54">
        <f t="shared" si="5"/>
        <v>21514180.280000001</v>
      </c>
      <c r="F75" s="54">
        <f t="shared" si="5"/>
        <v>38427170</v>
      </c>
      <c r="G75" s="54">
        <f t="shared" si="5"/>
        <v>39102772</v>
      </c>
      <c r="I75" s="40"/>
      <c r="M75" s="40"/>
    </row>
    <row r="76" spans="1:14" ht="15.75" customHeight="1" x14ac:dyDescent="0.25">
      <c r="A76" s="24"/>
      <c r="B76" s="25"/>
      <c r="C76" s="26"/>
      <c r="D76" s="26"/>
      <c r="E76" s="26"/>
      <c r="F76" s="26"/>
      <c r="G76" s="26"/>
      <c r="I76" s="40"/>
      <c r="M76" s="40"/>
    </row>
    <row r="77" spans="1:14" ht="15.75" customHeight="1" x14ac:dyDescent="0.25">
      <c r="B77" s="15"/>
      <c r="I77" s="40"/>
      <c r="M77" s="40"/>
    </row>
    <row r="78" spans="1:14" ht="15.75" customHeight="1" x14ac:dyDescent="0.25">
      <c r="B78" s="15"/>
      <c r="I78" s="40"/>
      <c r="M78" s="40"/>
    </row>
    <row r="79" spans="1:14" ht="15.75" customHeight="1" x14ac:dyDescent="0.25">
      <c r="B79" s="15"/>
      <c r="I79" s="40"/>
      <c r="M79" s="40"/>
    </row>
    <row r="80" spans="1:14" ht="15.75" customHeight="1" x14ac:dyDescent="0.25">
      <c r="B80" s="15"/>
      <c r="I80" s="40"/>
      <c r="M80" s="40"/>
    </row>
    <row r="81" spans="2:13" ht="15.75" customHeight="1" x14ac:dyDescent="0.25">
      <c r="B81" s="15"/>
      <c r="I81" s="40"/>
      <c r="M81" s="40"/>
    </row>
    <row r="82" spans="2:13" ht="15.75" customHeight="1" x14ac:dyDescent="0.25">
      <c r="B82" s="15"/>
      <c r="I82" s="40"/>
      <c r="M82" s="40"/>
    </row>
    <row r="83" spans="2:13" ht="15.75" customHeight="1" x14ac:dyDescent="0.25">
      <c r="B83" s="15"/>
      <c r="I83" s="40"/>
      <c r="M83" s="40"/>
    </row>
    <row r="84" spans="2:13" ht="15.75" customHeight="1" x14ac:dyDescent="0.25">
      <c r="B84" s="15"/>
      <c r="I84" s="40"/>
      <c r="M84" s="40"/>
    </row>
    <row r="85" spans="2:13" ht="15.75" customHeight="1" x14ac:dyDescent="0.25">
      <c r="B85" s="15"/>
      <c r="I85" s="40"/>
      <c r="M85" s="40"/>
    </row>
    <row r="86" spans="2:13" ht="15.75" customHeight="1" x14ac:dyDescent="0.25">
      <c r="B86" s="15"/>
      <c r="I86" s="40"/>
      <c r="M86" s="40"/>
    </row>
    <row r="87" spans="2:13" ht="15.75" customHeight="1" x14ac:dyDescent="0.25">
      <c r="B87" s="15"/>
      <c r="I87" s="40"/>
      <c r="M87" s="40"/>
    </row>
    <row r="88" spans="2:13" ht="15.75" customHeight="1" x14ac:dyDescent="0.25">
      <c r="B88" s="15"/>
      <c r="I88" s="40"/>
      <c r="M88" s="40"/>
    </row>
    <row r="89" spans="2:13" ht="15.75" customHeight="1" x14ac:dyDescent="0.25">
      <c r="B89" s="15"/>
      <c r="I89" s="40"/>
      <c r="M89" s="40"/>
    </row>
    <row r="90" spans="2:13" ht="15.75" customHeight="1" x14ac:dyDescent="0.25">
      <c r="B90" s="15"/>
      <c r="I90" s="40"/>
      <c r="M90" s="40"/>
    </row>
    <row r="91" spans="2:13" ht="15.75" customHeight="1" x14ac:dyDescent="0.25">
      <c r="B91" s="15"/>
      <c r="I91" s="40"/>
      <c r="M91" s="40"/>
    </row>
    <row r="92" spans="2:13" ht="15.75" customHeight="1" x14ac:dyDescent="0.25">
      <c r="B92" s="15"/>
      <c r="I92" s="40"/>
      <c r="M92" s="40"/>
    </row>
    <row r="93" spans="2:13" ht="15.75" customHeight="1" x14ac:dyDescent="0.25">
      <c r="B93" s="15"/>
      <c r="I93" s="40"/>
      <c r="M93" s="40"/>
    </row>
    <row r="94" spans="2:13" ht="15.75" customHeight="1" x14ac:dyDescent="0.25">
      <c r="B94" s="15"/>
      <c r="I94" s="40"/>
      <c r="M94" s="40"/>
    </row>
    <row r="95" spans="2:13" ht="15.75" customHeight="1" x14ac:dyDescent="0.25">
      <c r="B95" s="15"/>
      <c r="I95" s="40"/>
      <c r="M95" s="40"/>
    </row>
    <row r="96" spans="2:13" ht="15.75" customHeight="1" x14ac:dyDescent="0.25">
      <c r="B96" s="15"/>
      <c r="I96" s="40"/>
      <c r="M96" s="40"/>
    </row>
    <row r="97" spans="2:13" ht="15.75" customHeight="1" x14ac:dyDescent="0.25">
      <c r="B97" s="15"/>
      <c r="I97" s="40"/>
      <c r="M97" s="40"/>
    </row>
    <row r="98" spans="2:13" ht="15.75" customHeight="1" x14ac:dyDescent="0.25">
      <c r="B98" s="15"/>
      <c r="I98" s="40"/>
      <c r="M98" s="40"/>
    </row>
    <row r="99" spans="2:13" ht="15.75" customHeight="1" x14ac:dyDescent="0.25">
      <c r="B99" s="15"/>
      <c r="I99" s="40"/>
      <c r="M99" s="40"/>
    </row>
    <row r="100" spans="2:13" ht="15.75" customHeight="1" x14ac:dyDescent="0.25">
      <c r="B100" s="15"/>
      <c r="I100" s="40"/>
      <c r="M100" s="40"/>
    </row>
    <row r="101" spans="2:13" ht="15.75" customHeight="1" x14ac:dyDescent="0.25">
      <c r="B101" s="15"/>
      <c r="I101" s="40"/>
      <c r="M101" s="40"/>
    </row>
    <row r="102" spans="2:13" ht="15.75" customHeight="1" x14ac:dyDescent="0.25">
      <c r="B102" s="15"/>
      <c r="I102" s="40"/>
      <c r="M102" s="40"/>
    </row>
    <row r="103" spans="2:13" ht="15.75" customHeight="1" x14ac:dyDescent="0.25">
      <c r="B103" s="15"/>
      <c r="I103" s="40"/>
      <c r="M103" s="40"/>
    </row>
    <row r="104" spans="2:13" ht="15.75" customHeight="1" x14ac:dyDescent="0.25">
      <c r="B104" s="15"/>
      <c r="I104" s="40"/>
      <c r="M104" s="40"/>
    </row>
    <row r="105" spans="2:13" ht="15.75" customHeight="1" x14ac:dyDescent="0.25">
      <c r="B105" s="15"/>
      <c r="I105" s="40"/>
      <c r="M105" s="40"/>
    </row>
    <row r="106" spans="2:13" ht="15.75" customHeight="1" x14ac:dyDescent="0.25">
      <c r="B106" s="15"/>
      <c r="I106" s="40"/>
      <c r="M106" s="40"/>
    </row>
    <row r="107" spans="2:13" ht="15.75" customHeight="1" x14ac:dyDescent="0.25">
      <c r="B107" s="15"/>
      <c r="I107" s="40"/>
      <c r="M107" s="40"/>
    </row>
    <row r="108" spans="2:13" ht="15.75" customHeight="1" x14ac:dyDescent="0.25">
      <c r="B108" s="15"/>
      <c r="I108" s="40"/>
      <c r="M108" s="40"/>
    </row>
    <row r="109" spans="2:13" ht="15.75" customHeight="1" x14ac:dyDescent="0.25">
      <c r="B109" s="15"/>
      <c r="I109" s="40"/>
      <c r="M109" s="40"/>
    </row>
    <row r="110" spans="2:13" ht="15.75" customHeight="1" x14ac:dyDescent="0.25">
      <c r="B110" s="15"/>
      <c r="I110" s="40"/>
      <c r="M110" s="40"/>
    </row>
    <row r="111" spans="2:13" ht="15.75" customHeight="1" x14ac:dyDescent="0.25">
      <c r="B111" s="15"/>
      <c r="I111" s="40"/>
      <c r="M111" s="40"/>
    </row>
    <row r="112" spans="2:13" ht="15.75" customHeight="1" x14ac:dyDescent="0.25">
      <c r="B112" s="15"/>
      <c r="I112" s="40"/>
      <c r="M112" s="40"/>
    </row>
    <row r="113" spans="2:13" ht="15.75" customHeight="1" x14ac:dyDescent="0.25">
      <c r="B113" s="15"/>
      <c r="I113" s="40"/>
      <c r="M113" s="40"/>
    </row>
    <row r="114" spans="2:13" ht="15.75" customHeight="1" x14ac:dyDescent="0.25">
      <c r="B114" s="15"/>
      <c r="I114" s="40"/>
      <c r="M114" s="40"/>
    </row>
    <row r="115" spans="2:13" ht="15.75" customHeight="1" x14ac:dyDescent="0.25">
      <c r="B115" s="15"/>
      <c r="I115" s="40"/>
      <c r="M115" s="40"/>
    </row>
    <row r="116" spans="2:13" ht="15.75" customHeight="1" x14ac:dyDescent="0.25">
      <c r="B116" s="15"/>
      <c r="I116" s="40"/>
      <c r="M116" s="40"/>
    </row>
    <row r="117" spans="2:13" ht="15.75" customHeight="1" x14ac:dyDescent="0.25">
      <c r="B117" s="15"/>
      <c r="I117" s="40"/>
      <c r="M117" s="40"/>
    </row>
    <row r="118" spans="2:13" ht="15.75" customHeight="1" x14ac:dyDescent="0.25">
      <c r="B118" s="15"/>
      <c r="I118" s="40"/>
      <c r="M118" s="40"/>
    </row>
    <row r="119" spans="2:13" ht="15.75" customHeight="1" x14ac:dyDescent="0.25">
      <c r="B119" s="15"/>
      <c r="I119" s="40"/>
      <c r="M119" s="40"/>
    </row>
    <row r="120" spans="2:13" ht="15.75" customHeight="1" x14ac:dyDescent="0.25">
      <c r="B120" s="15"/>
      <c r="I120" s="40"/>
      <c r="M120" s="40"/>
    </row>
    <row r="121" spans="2:13" ht="15.75" customHeight="1" x14ac:dyDescent="0.25">
      <c r="B121" s="15"/>
      <c r="I121" s="40"/>
      <c r="M121" s="40"/>
    </row>
    <row r="122" spans="2:13" ht="15.75" customHeight="1" x14ac:dyDescent="0.25">
      <c r="B122" s="15"/>
      <c r="I122" s="40"/>
      <c r="M122" s="40"/>
    </row>
    <row r="123" spans="2:13" ht="15.75" customHeight="1" x14ac:dyDescent="0.25">
      <c r="B123" s="15"/>
      <c r="I123" s="40"/>
      <c r="M123" s="40"/>
    </row>
    <row r="124" spans="2:13" ht="15.75" customHeight="1" x14ac:dyDescent="0.25">
      <c r="B124" s="15"/>
      <c r="I124" s="40"/>
      <c r="M124" s="40"/>
    </row>
    <row r="125" spans="2:13" ht="15.75" customHeight="1" x14ac:dyDescent="0.25">
      <c r="B125" s="15"/>
      <c r="I125" s="40"/>
      <c r="M125" s="40"/>
    </row>
    <row r="126" spans="2:13" ht="15.75" customHeight="1" x14ac:dyDescent="0.25">
      <c r="B126" s="15"/>
      <c r="I126" s="40"/>
      <c r="M126" s="40"/>
    </row>
    <row r="127" spans="2:13" ht="15.75" customHeight="1" x14ac:dyDescent="0.25">
      <c r="B127" s="15"/>
      <c r="I127" s="40"/>
      <c r="M127" s="40"/>
    </row>
    <row r="128" spans="2:13" ht="15.75" customHeight="1" x14ac:dyDescent="0.25">
      <c r="B128" s="15"/>
      <c r="I128" s="40"/>
      <c r="M128" s="40"/>
    </row>
    <row r="129" spans="2:13" ht="15.75" customHeight="1" x14ac:dyDescent="0.25">
      <c r="B129" s="15"/>
      <c r="I129" s="40"/>
      <c r="M129" s="40"/>
    </row>
    <row r="130" spans="2:13" ht="15.75" customHeight="1" x14ac:dyDescent="0.25">
      <c r="B130" s="15"/>
      <c r="I130" s="40"/>
      <c r="M130" s="40"/>
    </row>
    <row r="131" spans="2:13" ht="15.75" customHeight="1" x14ac:dyDescent="0.25">
      <c r="B131" s="15"/>
      <c r="I131" s="40"/>
      <c r="M131" s="40"/>
    </row>
    <row r="132" spans="2:13" ht="15.75" customHeight="1" x14ac:dyDescent="0.25">
      <c r="B132" s="15"/>
      <c r="I132" s="40"/>
      <c r="M132" s="40"/>
    </row>
    <row r="133" spans="2:13" ht="15.75" customHeight="1" x14ac:dyDescent="0.25">
      <c r="B133" s="15"/>
      <c r="I133" s="40"/>
      <c r="M133" s="40"/>
    </row>
    <row r="134" spans="2:13" ht="15.75" customHeight="1" x14ac:dyDescent="0.25">
      <c r="B134" s="15"/>
      <c r="I134" s="40"/>
      <c r="M134" s="40"/>
    </row>
    <row r="135" spans="2:13" ht="15.75" customHeight="1" x14ac:dyDescent="0.25">
      <c r="B135" s="15"/>
      <c r="I135" s="40"/>
      <c r="M135" s="40"/>
    </row>
    <row r="136" spans="2:13" ht="15.75" customHeight="1" x14ac:dyDescent="0.25">
      <c r="B136" s="15"/>
      <c r="I136" s="40"/>
      <c r="M136" s="40"/>
    </row>
    <row r="137" spans="2:13" ht="15.75" customHeight="1" x14ac:dyDescent="0.25">
      <c r="B137" s="15"/>
      <c r="I137" s="40"/>
      <c r="M137" s="40"/>
    </row>
    <row r="138" spans="2:13" ht="15.75" customHeight="1" x14ac:dyDescent="0.25">
      <c r="B138" s="15"/>
      <c r="I138" s="40"/>
      <c r="M138" s="40"/>
    </row>
    <row r="139" spans="2:13" ht="15.75" customHeight="1" x14ac:dyDescent="0.25">
      <c r="B139" s="15"/>
      <c r="I139" s="40"/>
      <c r="M139" s="40"/>
    </row>
    <row r="140" spans="2:13" ht="15.75" customHeight="1" x14ac:dyDescent="0.25">
      <c r="B140" s="15"/>
      <c r="I140" s="40"/>
      <c r="M140" s="40"/>
    </row>
    <row r="141" spans="2:13" ht="15.75" customHeight="1" x14ac:dyDescent="0.25">
      <c r="B141" s="15"/>
      <c r="I141" s="40"/>
      <c r="M141" s="40"/>
    </row>
    <row r="142" spans="2:13" ht="15.75" customHeight="1" x14ac:dyDescent="0.25">
      <c r="B142" s="15"/>
      <c r="I142" s="40"/>
      <c r="M142" s="40"/>
    </row>
    <row r="143" spans="2:13" ht="15.75" customHeight="1" x14ac:dyDescent="0.25">
      <c r="B143" s="15"/>
      <c r="I143" s="40"/>
      <c r="M143" s="40"/>
    </row>
    <row r="144" spans="2:13" ht="15.75" customHeight="1" x14ac:dyDescent="0.25">
      <c r="B144" s="15"/>
      <c r="I144" s="40"/>
      <c r="M144" s="40"/>
    </row>
    <row r="145" spans="2:13" ht="15.75" customHeight="1" x14ac:dyDescent="0.25">
      <c r="B145" s="15"/>
      <c r="I145" s="40"/>
      <c r="M145" s="40"/>
    </row>
    <row r="146" spans="2:13" ht="15.75" customHeight="1" x14ac:dyDescent="0.25">
      <c r="B146" s="15"/>
      <c r="I146" s="40"/>
      <c r="M146" s="40"/>
    </row>
    <row r="147" spans="2:13" ht="15.75" customHeight="1" x14ac:dyDescent="0.25">
      <c r="B147" s="15"/>
      <c r="I147" s="40"/>
      <c r="M147" s="40"/>
    </row>
    <row r="148" spans="2:13" ht="15.75" customHeight="1" x14ac:dyDescent="0.25">
      <c r="B148" s="15"/>
      <c r="I148" s="40"/>
      <c r="M148" s="40"/>
    </row>
    <row r="149" spans="2:13" ht="15.75" customHeight="1" x14ac:dyDescent="0.25">
      <c r="B149" s="15"/>
      <c r="I149" s="40"/>
      <c r="M149" s="40"/>
    </row>
    <row r="150" spans="2:13" ht="15.75" customHeight="1" x14ac:dyDescent="0.25">
      <c r="B150" s="15"/>
      <c r="I150" s="40"/>
      <c r="M150" s="40"/>
    </row>
    <row r="151" spans="2:13" ht="15.75" customHeight="1" x14ac:dyDescent="0.25">
      <c r="B151" s="15"/>
      <c r="I151" s="40"/>
      <c r="M151" s="40"/>
    </row>
    <row r="152" spans="2:13" ht="15.75" customHeight="1" x14ac:dyDescent="0.25">
      <c r="B152" s="15"/>
      <c r="I152" s="40"/>
      <c r="M152" s="40"/>
    </row>
    <row r="153" spans="2:13" ht="15.75" customHeight="1" x14ac:dyDescent="0.25">
      <c r="B153" s="15"/>
      <c r="I153" s="40"/>
      <c r="M153" s="40"/>
    </row>
    <row r="154" spans="2:13" ht="15.75" customHeight="1" x14ac:dyDescent="0.25">
      <c r="B154" s="15"/>
      <c r="I154" s="40"/>
      <c r="M154" s="40"/>
    </row>
    <row r="155" spans="2:13" ht="15.75" customHeight="1" x14ac:dyDescent="0.25">
      <c r="B155" s="15"/>
      <c r="I155" s="40"/>
      <c r="M155" s="40"/>
    </row>
    <row r="156" spans="2:13" ht="15.75" customHeight="1" x14ac:dyDescent="0.25">
      <c r="B156" s="15"/>
      <c r="I156" s="40"/>
      <c r="M156" s="40"/>
    </row>
    <row r="157" spans="2:13" ht="15.75" customHeight="1" x14ac:dyDescent="0.25">
      <c r="B157" s="15"/>
      <c r="I157" s="40"/>
      <c r="M157" s="40"/>
    </row>
    <row r="158" spans="2:13" ht="15.75" customHeight="1" x14ac:dyDescent="0.25">
      <c r="B158" s="15"/>
      <c r="I158" s="40"/>
      <c r="M158" s="40"/>
    </row>
    <row r="159" spans="2:13" ht="15.75" customHeight="1" x14ac:dyDescent="0.25">
      <c r="B159" s="15"/>
      <c r="I159" s="40"/>
      <c r="M159" s="40"/>
    </row>
    <row r="160" spans="2:13" ht="15.75" customHeight="1" x14ac:dyDescent="0.25">
      <c r="B160" s="15"/>
      <c r="I160" s="40"/>
      <c r="M160" s="40"/>
    </row>
    <row r="161" spans="2:13" ht="15.75" customHeight="1" x14ac:dyDescent="0.25">
      <c r="B161" s="15"/>
      <c r="I161" s="40"/>
      <c r="M161" s="40"/>
    </row>
    <row r="162" spans="2:13" ht="15.75" customHeight="1" x14ac:dyDescent="0.25">
      <c r="B162" s="15"/>
      <c r="I162" s="40"/>
      <c r="M162" s="40"/>
    </row>
    <row r="163" spans="2:13" ht="15.75" customHeight="1" x14ac:dyDescent="0.25">
      <c r="B163" s="15"/>
      <c r="I163" s="40"/>
      <c r="M163" s="40"/>
    </row>
    <row r="164" spans="2:13" ht="15.75" customHeight="1" x14ac:dyDescent="0.25">
      <c r="B164" s="15"/>
      <c r="I164" s="40"/>
      <c r="M164" s="40"/>
    </row>
    <row r="165" spans="2:13" ht="15.75" customHeight="1" x14ac:dyDescent="0.25">
      <c r="B165" s="15"/>
      <c r="I165" s="40"/>
      <c r="M165" s="40"/>
    </row>
    <row r="166" spans="2:13" ht="15.75" customHeight="1" x14ac:dyDescent="0.25">
      <c r="B166" s="15"/>
      <c r="I166" s="40"/>
      <c r="M166" s="40"/>
    </row>
    <row r="167" spans="2:13" ht="15.75" customHeight="1" x14ac:dyDescent="0.25">
      <c r="B167" s="15"/>
      <c r="I167" s="40"/>
      <c r="M167" s="40"/>
    </row>
    <row r="168" spans="2:13" ht="15.75" customHeight="1" x14ac:dyDescent="0.25">
      <c r="B168" s="15"/>
      <c r="I168" s="40"/>
      <c r="M168" s="40"/>
    </row>
    <row r="169" spans="2:13" ht="15.75" customHeight="1" x14ac:dyDescent="0.25">
      <c r="B169" s="15"/>
      <c r="I169" s="40"/>
      <c r="M169" s="40"/>
    </row>
    <row r="170" spans="2:13" ht="15.75" customHeight="1" x14ac:dyDescent="0.25">
      <c r="B170" s="15"/>
      <c r="I170" s="40"/>
      <c r="M170" s="40"/>
    </row>
    <row r="171" spans="2:13" ht="15.75" customHeight="1" x14ac:dyDescent="0.25">
      <c r="B171" s="15"/>
      <c r="I171" s="40"/>
      <c r="M171" s="40"/>
    </row>
    <row r="172" spans="2:13" ht="15.75" customHeight="1" x14ac:dyDescent="0.25">
      <c r="B172" s="15"/>
      <c r="I172" s="40"/>
      <c r="M172" s="40"/>
    </row>
    <row r="173" spans="2:13" ht="15.75" customHeight="1" x14ac:dyDescent="0.25">
      <c r="B173" s="15"/>
      <c r="I173" s="40"/>
      <c r="M173" s="40"/>
    </row>
    <row r="174" spans="2:13" ht="15.75" customHeight="1" x14ac:dyDescent="0.25">
      <c r="B174" s="15"/>
      <c r="I174" s="40"/>
      <c r="M174" s="40"/>
    </row>
    <row r="175" spans="2:13" ht="15.75" customHeight="1" x14ac:dyDescent="0.25">
      <c r="B175" s="15"/>
      <c r="I175" s="40"/>
      <c r="M175" s="40"/>
    </row>
    <row r="176" spans="2:13" ht="15.75" customHeight="1" x14ac:dyDescent="0.25">
      <c r="B176" s="15"/>
      <c r="I176" s="40"/>
      <c r="M176" s="40"/>
    </row>
    <row r="177" spans="2:13" ht="15.75" customHeight="1" x14ac:dyDescent="0.25">
      <c r="B177" s="15"/>
      <c r="I177" s="40"/>
      <c r="M177" s="40"/>
    </row>
    <row r="178" spans="2:13" ht="15.75" customHeight="1" x14ac:dyDescent="0.25">
      <c r="B178" s="15"/>
      <c r="I178" s="40"/>
      <c r="M178" s="40"/>
    </row>
    <row r="179" spans="2:13" ht="15.75" customHeight="1" x14ac:dyDescent="0.25">
      <c r="B179" s="15"/>
      <c r="I179" s="40"/>
      <c r="M179" s="40"/>
    </row>
    <row r="180" spans="2:13" ht="15.75" customHeight="1" x14ac:dyDescent="0.25">
      <c r="B180" s="15"/>
      <c r="I180" s="40"/>
      <c r="M180" s="40"/>
    </row>
    <row r="181" spans="2:13" ht="15.75" customHeight="1" x14ac:dyDescent="0.25">
      <c r="B181" s="15"/>
      <c r="I181" s="40"/>
      <c r="M181" s="40"/>
    </row>
    <row r="182" spans="2:13" ht="15.75" customHeight="1" x14ac:dyDescent="0.25">
      <c r="B182" s="15"/>
      <c r="I182" s="40"/>
      <c r="M182" s="40"/>
    </row>
    <row r="183" spans="2:13" ht="15.75" customHeight="1" x14ac:dyDescent="0.25">
      <c r="B183" s="15"/>
      <c r="I183" s="40"/>
      <c r="M183" s="40"/>
    </row>
    <row r="184" spans="2:13" ht="15.75" customHeight="1" x14ac:dyDescent="0.25">
      <c r="B184" s="15"/>
      <c r="I184" s="40"/>
      <c r="M184" s="40"/>
    </row>
    <row r="185" spans="2:13" ht="15.75" customHeight="1" x14ac:dyDescent="0.25">
      <c r="B185" s="15"/>
      <c r="I185" s="40"/>
      <c r="M185" s="40"/>
    </row>
    <row r="186" spans="2:13" ht="15.75" customHeight="1" x14ac:dyDescent="0.25">
      <c r="B186" s="15"/>
      <c r="I186" s="40"/>
      <c r="M186" s="40"/>
    </row>
    <row r="187" spans="2:13" ht="15.75" customHeight="1" x14ac:dyDescent="0.25">
      <c r="B187" s="15"/>
      <c r="I187" s="40"/>
      <c r="M187" s="40"/>
    </row>
    <row r="188" spans="2:13" ht="15.75" customHeight="1" x14ac:dyDescent="0.25">
      <c r="B188" s="15"/>
      <c r="I188" s="40"/>
      <c r="M188" s="40"/>
    </row>
    <row r="189" spans="2:13" ht="15.75" customHeight="1" x14ac:dyDescent="0.25">
      <c r="B189" s="15"/>
      <c r="I189" s="40"/>
      <c r="M189" s="40"/>
    </row>
    <row r="190" spans="2:13" ht="15.75" customHeight="1" x14ac:dyDescent="0.25">
      <c r="B190" s="15"/>
      <c r="I190" s="40"/>
      <c r="M190" s="40"/>
    </row>
    <row r="191" spans="2:13" ht="15.75" customHeight="1" x14ac:dyDescent="0.25">
      <c r="B191" s="15"/>
      <c r="I191" s="40"/>
      <c r="M191" s="40"/>
    </row>
    <row r="192" spans="2:13" ht="15.75" customHeight="1" x14ac:dyDescent="0.25">
      <c r="B192" s="15"/>
      <c r="I192" s="40"/>
      <c r="M192" s="40"/>
    </row>
    <row r="193" spans="2:13" ht="15.75" customHeight="1" x14ac:dyDescent="0.25">
      <c r="B193" s="15"/>
      <c r="I193" s="40"/>
      <c r="M193" s="40"/>
    </row>
    <row r="194" spans="2:13" ht="15.75" customHeight="1" x14ac:dyDescent="0.25">
      <c r="B194" s="15"/>
      <c r="I194" s="40"/>
      <c r="M194" s="40"/>
    </row>
    <row r="195" spans="2:13" ht="15.75" customHeight="1" x14ac:dyDescent="0.25">
      <c r="B195" s="15"/>
      <c r="I195" s="40"/>
      <c r="M195" s="40"/>
    </row>
    <row r="196" spans="2:13" ht="15.75" customHeight="1" x14ac:dyDescent="0.25">
      <c r="B196" s="15"/>
      <c r="I196" s="40"/>
      <c r="M196" s="40"/>
    </row>
    <row r="197" spans="2:13" ht="15.75" customHeight="1" x14ac:dyDescent="0.25">
      <c r="B197" s="15"/>
      <c r="I197" s="40"/>
      <c r="M197" s="40"/>
    </row>
    <row r="198" spans="2:13" ht="15.75" customHeight="1" x14ac:dyDescent="0.25">
      <c r="B198" s="15"/>
      <c r="I198" s="40"/>
      <c r="M198" s="40"/>
    </row>
    <row r="199" spans="2:13" ht="15.75" customHeight="1" x14ac:dyDescent="0.25">
      <c r="B199" s="15"/>
      <c r="I199" s="40"/>
      <c r="M199" s="40"/>
    </row>
    <row r="200" spans="2:13" ht="15.75" customHeight="1" x14ac:dyDescent="0.25">
      <c r="B200" s="15"/>
      <c r="I200" s="40"/>
      <c r="M200" s="40"/>
    </row>
    <row r="201" spans="2:13" ht="15.75" customHeight="1" x14ac:dyDescent="0.25">
      <c r="B201" s="15"/>
      <c r="I201" s="40"/>
      <c r="M201" s="40"/>
    </row>
    <row r="202" spans="2:13" ht="15.75" customHeight="1" x14ac:dyDescent="0.25">
      <c r="B202" s="15"/>
      <c r="I202" s="40"/>
      <c r="M202" s="40"/>
    </row>
    <row r="203" spans="2:13" ht="15.75" customHeight="1" x14ac:dyDescent="0.25">
      <c r="B203" s="15"/>
      <c r="I203" s="40"/>
      <c r="M203" s="40"/>
    </row>
    <row r="204" spans="2:13" ht="15.75" customHeight="1" x14ac:dyDescent="0.25">
      <c r="B204" s="15"/>
      <c r="I204" s="40"/>
      <c r="M204" s="40"/>
    </row>
    <row r="205" spans="2:13" ht="15.75" customHeight="1" x14ac:dyDescent="0.25">
      <c r="B205" s="15"/>
      <c r="I205" s="40"/>
      <c r="M205" s="40"/>
    </row>
    <row r="206" spans="2:13" ht="15.75" customHeight="1" x14ac:dyDescent="0.25">
      <c r="B206" s="15"/>
      <c r="I206" s="40"/>
      <c r="M206" s="40"/>
    </row>
    <row r="207" spans="2:13" ht="15.75" customHeight="1" x14ac:dyDescent="0.25">
      <c r="B207" s="15"/>
      <c r="I207" s="40"/>
      <c r="M207" s="40"/>
    </row>
    <row r="208" spans="2:13" ht="15.75" customHeight="1" x14ac:dyDescent="0.25">
      <c r="B208" s="15"/>
      <c r="I208" s="40"/>
      <c r="M208" s="40"/>
    </row>
    <row r="209" spans="2:13" ht="15.75" customHeight="1" x14ac:dyDescent="0.25">
      <c r="B209" s="15"/>
      <c r="I209" s="40"/>
      <c r="M209" s="40"/>
    </row>
    <row r="210" spans="2:13" ht="15.75" customHeight="1" x14ac:dyDescent="0.25">
      <c r="B210" s="15"/>
      <c r="I210" s="40"/>
      <c r="M210" s="40"/>
    </row>
    <row r="211" spans="2:13" ht="15.75" customHeight="1" x14ac:dyDescent="0.25">
      <c r="B211" s="15"/>
      <c r="I211" s="40"/>
      <c r="M211" s="40"/>
    </row>
    <row r="212" spans="2:13" ht="15.75" customHeight="1" x14ac:dyDescent="0.25">
      <c r="B212" s="15"/>
      <c r="I212" s="40"/>
      <c r="M212" s="40"/>
    </row>
    <row r="213" spans="2:13" ht="15.75" customHeight="1" x14ac:dyDescent="0.25">
      <c r="B213" s="15"/>
      <c r="I213" s="40"/>
      <c r="M213" s="40"/>
    </row>
    <row r="214" spans="2:13" ht="15.75" customHeight="1" x14ac:dyDescent="0.25">
      <c r="B214" s="15"/>
      <c r="I214" s="40"/>
      <c r="M214" s="40"/>
    </row>
    <row r="215" spans="2:13" ht="15.75" customHeight="1" x14ac:dyDescent="0.25">
      <c r="B215" s="15"/>
      <c r="I215" s="40"/>
      <c r="M215" s="40"/>
    </row>
    <row r="216" spans="2:13" ht="15.75" customHeight="1" x14ac:dyDescent="0.25">
      <c r="B216" s="15"/>
      <c r="I216" s="40"/>
      <c r="M216" s="40"/>
    </row>
    <row r="217" spans="2:13" ht="15.75" customHeight="1" x14ac:dyDescent="0.25">
      <c r="B217" s="15"/>
      <c r="I217" s="40"/>
      <c r="M217" s="40"/>
    </row>
    <row r="218" spans="2:13" ht="15.75" customHeight="1" x14ac:dyDescent="0.25">
      <c r="B218" s="15"/>
      <c r="I218" s="40"/>
      <c r="M218" s="40"/>
    </row>
    <row r="219" spans="2:13" ht="15.75" customHeight="1" x14ac:dyDescent="0.25">
      <c r="B219" s="15"/>
      <c r="I219" s="40"/>
      <c r="M219" s="40"/>
    </row>
    <row r="220" spans="2:13" ht="15.75" customHeight="1" x14ac:dyDescent="0.25">
      <c r="B220" s="15"/>
      <c r="I220" s="40"/>
      <c r="M220" s="40"/>
    </row>
    <row r="221" spans="2:13" ht="15.75" customHeight="1" x14ac:dyDescent="0.25">
      <c r="B221" s="15"/>
      <c r="I221" s="40"/>
      <c r="M221" s="40"/>
    </row>
    <row r="222" spans="2:13" ht="15.75" customHeight="1" x14ac:dyDescent="0.25">
      <c r="B222" s="15"/>
      <c r="I222" s="40"/>
      <c r="M222" s="40"/>
    </row>
    <row r="223" spans="2:13" ht="15.75" customHeight="1" x14ac:dyDescent="0.25">
      <c r="B223" s="15"/>
      <c r="I223" s="40"/>
      <c r="M223" s="40"/>
    </row>
    <row r="224" spans="2:13" ht="15.75" customHeight="1" x14ac:dyDescent="0.25">
      <c r="B224" s="15"/>
      <c r="I224" s="40"/>
      <c r="M224" s="40"/>
    </row>
    <row r="225" spans="2:13" ht="15.75" customHeight="1" x14ac:dyDescent="0.25">
      <c r="B225" s="15"/>
      <c r="I225" s="40"/>
      <c r="M225" s="40"/>
    </row>
    <row r="226" spans="2:13" ht="15.75" customHeight="1" x14ac:dyDescent="0.25">
      <c r="B226" s="15"/>
      <c r="I226" s="40"/>
      <c r="M226" s="40"/>
    </row>
    <row r="227" spans="2:13" ht="15.75" customHeight="1" x14ac:dyDescent="0.25">
      <c r="B227" s="15"/>
      <c r="I227" s="40"/>
      <c r="M227" s="40"/>
    </row>
    <row r="228" spans="2:13" ht="15.75" customHeight="1" x14ac:dyDescent="0.25">
      <c r="B228" s="15"/>
      <c r="I228" s="40"/>
      <c r="M228" s="40"/>
    </row>
    <row r="229" spans="2:13" ht="15.75" customHeight="1" x14ac:dyDescent="0.25">
      <c r="B229" s="15"/>
      <c r="I229" s="40"/>
      <c r="M229" s="40"/>
    </row>
    <row r="230" spans="2:13" ht="15.75" customHeight="1" x14ac:dyDescent="0.25">
      <c r="B230" s="15"/>
      <c r="I230" s="40"/>
      <c r="M230" s="40"/>
    </row>
    <row r="231" spans="2:13" ht="15.75" customHeight="1" x14ac:dyDescent="0.25">
      <c r="B231" s="15"/>
      <c r="I231" s="40"/>
      <c r="M231" s="40"/>
    </row>
    <row r="232" spans="2:13" ht="15.75" customHeight="1" x14ac:dyDescent="0.25">
      <c r="B232" s="15"/>
      <c r="I232" s="40"/>
      <c r="M232" s="40"/>
    </row>
    <row r="233" spans="2:13" ht="15.75" customHeight="1" x14ac:dyDescent="0.25">
      <c r="B233" s="15"/>
      <c r="I233" s="40"/>
      <c r="M233" s="40"/>
    </row>
    <row r="234" spans="2:13" ht="15.75" customHeight="1" x14ac:dyDescent="0.25">
      <c r="B234" s="15"/>
      <c r="I234" s="40"/>
      <c r="M234" s="40"/>
    </row>
    <row r="235" spans="2:13" ht="15.75" customHeight="1" x14ac:dyDescent="0.25">
      <c r="B235" s="15"/>
      <c r="I235" s="40"/>
      <c r="M235" s="40"/>
    </row>
    <row r="236" spans="2:13" ht="15.75" customHeight="1" x14ac:dyDescent="0.25">
      <c r="B236" s="15"/>
      <c r="I236" s="40"/>
      <c r="M236" s="40"/>
    </row>
    <row r="237" spans="2:13" ht="15.75" customHeight="1" x14ac:dyDescent="0.25">
      <c r="B237" s="15"/>
      <c r="I237" s="40"/>
      <c r="M237" s="40"/>
    </row>
    <row r="238" spans="2:13" ht="15.75" customHeight="1" x14ac:dyDescent="0.25">
      <c r="B238" s="15"/>
      <c r="I238" s="40"/>
      <c r="M238" s="40"/>
    </row>
    <row r="239" spans="2:13" ht="15.75" customHeight="1" x14ac:dyDescent="0.25">
      <c r="B239" s="15"/>
      <c r="I239" s="40"/>
      <c r="M239" s="40"/>
    </row>
    <row r="240" spans="2:13" ht="15.75" customHeight="1" x14ac:dyDescent="0.25">
      <c r="B240" s="15"/>
      <c r="I240" s="40"/>
      <c r="M240" s="40"/>
    </row>
    <row r="241" spans="2:13" ht="15.75" customHeight="1" x14ac:dyDescent="0.25">
      <c r="B241" s="15"/>
      <c r="I241" s="40"/>
      <c r="M241" s="40"/>
    </row>
    <row r="242" spans="2:13" ht="15.75" customHeight="1" x14ac:dyDescent="0.25">
      <c r="B242" s="15"/>
      <c r="I242" s="40"/>
      <c r="M242" s="40"/>
    </row>
    <row r="243" spans="2:13" ht="15.75" customHeight="1" x14ac:dyDescent="0.25">
      <c r="B243" s="15"/>
      <c r="I243" s="40"/>
      <c r="M243" s="40"/>
    </row>
    <row r="244" spans="2:13" ht="15.75" customHeight="1" x14ac:dyDescent="0.25">
      <c r="B244" s="15"/>
      <c r="I244" s="40"/>
      <c r="M244" s="40"/>
    </row>
    <row r="245" spans="2:13" ht="15.75" customHeight="1" x14ac:dyDescent="0.25">
      <c r="B245" s="15"/>
      <c r="I245" s="40"/>
      <c r="M245" s="40"/>
    </row>
    <row r="246" spans="2:13" ht="15.75" customHeight="1" x14ac:dyDescent="0.25">
      <c r="B246" s="15"/>
      <c r="I246" s="40"/>
      <c r="M246" s="40"/>
    </row>
    <row r="247" spans="2:13" ht="15.75" customHeight="1" x14ac:dyDescent="0.25">
      <c r="B247" s="15"/>
      <c r="I247" s="40"/>
      <c r="M247" s="40"/>
    </row>
    <row r="248" spans="2:13" ht="15.75" customHeight="1" x14ac:dyDescent="0.25">
      <c r="B248" s="15"/>
      <c r="I248" s="40"/>
      <c r="M248" s="40"/>
    </row>
    <row r="249" spans="2:13" ht="15.75" customHeight="1" x14ac:dyDescent="0.25">
      <c r="B249" s="15"/>
      <c r="I249" s="40"/>
      <c r="M249" s="40"/>
    </row>
    <row r="250" spans="2:13" ht="15.75" customHeight="1" x14ac:dyDescent="0.25">
      <c r="B250" s="15"/>
      <c r="I250" s="40"/>
      <c r="M250" s="40"/>
    </row>
    <row r="251" spans="2:13" ht="15.75" customHeight="1" x14ac:dyDescent="0.25">
      <c r="B251" s="15"/>
      <c r="I251" s="40"/>
      <c r="M251" s="40"/>
    </row>
    <row r="252" spans="2:13" ht="15.75" customHeight="1" x14ac:dyDescent="0.25">
      <c r="B252" s="15"/>
      <c r="I252" s="40"/>
      <c r="M252" s="40"/>
    </row>
    <row r="253" spans="2:13" ht="15.75" customHeight="1" x14ac:dyDescent="0.25">
      <c r="B253" s="15"/>
      <c r="I253" s="40"/>
      <c r="M253" s="40"/>
    </row>
    <row r="254" spans="2:13" ht="15.75" customHeight="1" x14ac:dyDescent="0.25">
      <c r="B254" s="15"/>
      <c r="I254" s="40"/>
      <c r="M254" s="40"/>
    </row>
    <row r="255" spans="2:13" ht="15.75" customHeight="1" x14ac:dyDescent="0.25">
      <c r="B255" s="15"/>
      <c r="I255" s="40"/>
      <c r="M255" s="40"/>
    </row>
    <row r="256" spans="2:13" ht="15.75" customHeight="1" x14ac:dyDescent="0.25">
      <c r="B256" s="15"/>
      <c r="I256" s="40"/>
      <c r="M256" s="40"/>
    </row>
    <row r="257" spans="2:13" ht="15.75" customHeight="1" x14ac:dyDescent="0.25">
      <c r="B257" s="15"/>
      <c r="I257" s="40"/>
      <c r="M257" s="40"/>
    </row>
    <row r="258" spans="2:13" ht="15.75" customHeight="1" x14ac:dyDescent="0.25">
      <c r="B258" s="15"/>
      <c r="I258" s="40"/>
      <c r="M258" s="40"/>
    </row>
    <row r="259" spans="2:13" ht="15.75" customHeight="1" x14ac:dyDescent="0.25">
      <c r="B259" s="15"/>
      <c r="I259" s="40"/>
      <c r="M259" s="40"/>
    </row>
    <row r="260" spans="2:13" ht="15.75" customHeight="1" x14ac:dyDescent="0.25">
      <c r="B260" s="15"/>
      <c r="I260" s="40"/>
      <c r="M260" s="40"/>
    </row>
    <row r="261" spans="2:13" ht="15.75" customHeight="1" x14ac:dyDescent="0.25">
      <c r="B261" s="15"/>
      <c r="I261" s="40"/>
      <c r="M261" s="40"/>
    </row>
    <row r="262" spans="2:13" ht="15.75" customHeight="1" x14ac:dyDescent="0.25">
      <c r="B262" s="15"/>
      <c r="I262" s="40"/>
      <c r="M262" s="40"/>
    </row>
    <row r="263" spans="2:13" ht="15.75" customHeight="1" x14ac:dyDescent="0.25">
      <c r="B263" s="15"/>
      <c r="I263" s="40"/>
      <c r="M263" s="40"/>
    </row>
    <row r="264" spans="2:13" ht="15.75" customHeight="1" x14ac:dyDescent="0.25">
      <c r="B264" s="15"/>
      <c r="I264" s="40"/>
      <c r="M264" s="40"/>
    </row>
    <row r="265" spans="2:13" ht="15.75" customHeight="1" x14ac:dyDescent="0.25">
      <c r="B265" s="15"/>
      <c r="I265" s="40"/>
      <c r="M265" s="40"/>
    </row>
    <row r="266" spans="2:13" ht="15.75" customHeight="1" x14ac:dyDescent="0.25">
      <c r="B266" s="15"/>
      <c r="I266" s="40"/>
      <c r="M266" s="40"/>
    </row>
    <row r="267" spans="2:13" ht="15.75" customHeight="1" x14ac:dyDescent="0.25">
      <c r="B267" s="15"/>
      <c r="I267" s="40"/>
      <c r="M267" s="40"/>
    </row>
    <row r="268" spans="2:13" ht="15.75" customHeight="1" x14ac:dyDescent="0.25">
      <c r="B268" s="15"/>
      <c r="I268" s="40"/>
      <c r="M268" s="40"/>
    </row>
    <row r="269" spans="2:13" ht="15.75" customHeight="1" x14ac:dyDescent="0.25">
      <c r="B269" s="15"/>
      <c r="I269" s="40"/>
      <c r="M269" s="40"/>
    </row>
    <row r="270" spans="2:13" ht="15.75" customHeight="1" x14ac:dyDescent="0.25">
      <c r="B270" s="15"/>
      <c r="I270" s="40"/>
      <c r="M270" s="40"/>
    </row>
    <row r="271" spans="2:13" ht="15.75" customHeight="1" x14ac:dyDescent="0.25">
      <c r="B271" s="15"/>
      <c r="I271" s="40"/>
      <c r="M271" s="40"/>
    </row>
    <row r="272" spans="2:13" ht="15.75" customHeight="1" x14ac:dyDescent="0.25">
      <c r="I272" s="40"/>
      <c r="M272" s="40"/>
    </row>
    <row r="273" spans="9:13" ht="15.75" customHeight="1" x14ac:dyDescent="0.25">
      <c r="I273" s="40"/>
      <c r="M273" s="40"/>
    </row>
    <row r="274" spans="9:13" ht="15.75" customHeight="1" x14ac:dyDescent="0.25">
      <c r="I274" s="40"/>
      <c r="M274" s="40"/>
    </row>
    <row r="275" spans="9:13" ht="15.75" customHeight="1" x14ac:dyDescent="0.25">
      <c r="I275" s="40"/>
      <c r="M275" s="40"/>
    </row>
    <row r="276" spans="9:13" ht="15.75" customHeight="1" x14ac:dyDescent="0.25">
      <c r="I276" s="40"/>
      <c r="M276" s="40"/>
    </row>
    <row r="277" spans="9:13" ht="15.75" customHeight="1" x14ac:dyDescent="0.25">
      <c r="I277" s="40"/>
      <c r="M277" s="40"/>
    </row>
    <row r="278" spans="9:13" ht="15.75" customHeight="1" x14ac:dyDescent="0.25">
      <c r="I278" s="40"/>
      <c r="M278" s="40"/>
    </row>
    <row r="279" spans="9:13" ht="15.75" customHeight="1" x14ac:dyDescent="0.25">
      <c r="I279" s="40"/>
      <c r="M279" s="40"/>
    </row>
    <row r="280" spans="9:13" ht="15.75" customHeight="1" x14ac:dyDescent="0.25">
      <c r="I280" s="40"/>
      <c r="M280" s="40"/>
    </row>
    <row r="281" spans="9:13" ht="15.75" customHeight="1" x14ac:dyDescent="0.25">
      <c r="I281" s="40"/>
      <c r="M281" s="40"/>
    </row>
    <row r="282" spans="9:13" ht="15.75" customHeight="1" x14ac:dyDescent="0.25">
      <c r="I282" s="40"/>
      <c r="M282" s="40"/>
    </row>
    <row r="283" spans="9:13" ht="15.75" customHeight="1" x14ac:dyDescent="0.25">
      <c r="I283" s="40"/>
      <c r="M283" s="40"/>
    </row>
    <row r="284" spans="9:13" ht="15.75" customHeight="1" x14ac:dyDescent="0.25">
      <c r="I284" s="40"/>
      <c r="M284" s="40"/>
    </row>
    <row r="285" spans="9:13" ht="15.75" customHeight="1" x14ac:dyDescent="0.25">
      <c r="I285" s="40"/>
      <c r="M285" s="40"/>
    </row>
    <row r="286" spans="9:13" ht="15.75" customHeight="1" x14ac:dyDescent="0.25">
      <c r="I286" s="40"/>
      <c r="M286" s="40"/>
    </row>
    <row r="287" spans="9:13" ht="15.75" customHeight="1" x14ac:dyDescent="0.25">
      <c r="I287" s="40"/>
      <c r="M287" s="40"/>
    </row>
    <row r="288" spans="9:13" ht="15.75" customHeight="1" x14ac:dyDescent="0.25">
      <c r="I288" s="40"/>
      <c r="M288" s="40"/>
    </row>
    <row r="289" spans="9:13" ht="15.75" customHeight="1" x14ac:dyDescent="0.25">
      <c r="I289" s="40"/>
      <c r="M289" s="40"/>
    </row>
    <row r="290" spans="9:13" ht="15.75" customHeight="1" x14ac:dyDescent="0.25">
      <c r="I290" s="40"/>
      <c r="M290" s="40"/>
    </row>
    <row r="291" spans="9:13" ht="15.75" customHeight="1" x14ac:dyDescent="0.25">
      <c r="I291" s="40"/>
      <c r="M291" s="40"/>
    </row>
    <row r="292" spans="9:13" ht="15.75" customHeight="1" x14ac:dyDescent="0.25">
      <c r="I292" s="40"/>
      <c r="M292" s="40"/>
    </row>
    <row r="293" spans="9:13" ht="15.75" customHeight="1" x14ac:dyDescent="0.25">
      <c r="I293" s="40"/>
      <c r="M293" s="40"/>
    </row>
    <row r="294" spans="9:13" ht="15.75" customHeight="1" x14ac:dyDescent="0.25">
      <c r="I294" s="40"/>
      <c r="M294" s="40"/>
    </row>
    <row r="295" spans="9:13" ht="15.75" customHeight="1" x14ac:dyDescent="0.25">
      <c r="I295" s="40"/>
      <c r="M295" s="40"/>
    </row>
    <row r="296" spans="9:13" ht="15.75" customHeight="1" x14ac:dyDescent="0.25">
      <c r="I296" s="40"/>
      <c r="M296" s="40"/>
    </row>
    <row r="297" spans="9:13" ht="15.75" customHeight="1" x14ac:dyDescent="0.25">
      <c r="I297" s="40"/>
      <c r="M297" s="40"/>
    </row>
    <row r="298" spans="9:13" ht="15.75" customHeight="1" x14ac:dyDescent="0.25">
      <c r="I298" s="40"/>
      <c r="M298" s="40"/>
    </row>
    <row r="299" spans="9:13" ht="15.75" customHeight="1" x14ac:dyDescent="0.25">
      <c r="I299" s="40"/>
      <c r="M299" s="40"/>
    </row>
    <row r="300" spans="9:13" ht="15.75" customHeight="1" x14ac:dyDescent="0.25">
      <c r="I300" s="40"/>
      <c r="M300" s="40"/>
    </row>
    <row r="301" spans="9:13" ht="15.75" customHeight="1" x14ac:dyDescent="0.25">
      <c r="I301" s="40"/>
      <c r="M301" s="40"/>
    </row>
    <row r="302" spans="9:13" ht="15.75" customHeight="1" x14ac:dyDescent="0.25">
      <c r="I302" s="40"/>
      <c r="M302" s="40"/>
    </row>
    <row r="303" spans="9:13" ht="15.75" customHeight="1" x14ac:dyDescent="0.25">
      <c r="I303" s="40"/>
      <c r="M303" s="40"/>
    </row>
    <row r="304" spans="9:13" ht="15.75" customHeight="1" x14ac:dyDescent="0.25">
      <c r="I304" s="40"/>
      <c r="M304" s="40"/>
    </row>
    <row r="305" spans="9:13" ht="15.75" customHeight="1" x14ac:dyDescent="0.25">
      <c r="I305" s="40"/>
      <c r="M305" s="40"/>
    </row>
    <row r="306" spans="9:13" ht="15.75" customHeight="1" x14ac:dyDescent="0.25">
      <c r="I306" s="40"/>
      <c r="M306" s="40"/>
    </row>
    <row r="307" spans="9:13" ht="15.75" customHeight="1" x14ac:dyDescent="0.25">
      <c r="I307" s="40"/>
      <c r="M307" s="40"/>
    </row>
    <row r="308" spans="9:13" ht="15.75" customHeight="1" x14ac:dyDescent="0.25">
      <c r="I308" s="40"/>
      <c r="M308" s="40"/>
    </row>
    <row r="309" spans="9:13" ht="15.75" customHeight="1" x14ac:dyDescent="0.25">
      <c r="I309" s="40"/>
      <c r="M309" s="40"/>
    </row>
    <row r="310" spans="9:13" ht="15.75" customHeight="1" x14ac:dyDescent="0.25">
      <c r="I310" s="40"/>
      <c r="M310" s="40"/>
    </row>
    <row r="311" spans="9:13" ht="15.75" customHeight="1" x14ac:dyDescent="0.25">
      <c r="I311" s="40"/>
      <c r="M311" s="40"/>
    </row>
    <row r="312" spans="9:13" ht="15.75" customHeight="1" x14ac:dyDescent="0.25">
      <c r="I312" s="40"/>
      <c r="M312" s="40"/>
    </row>
    <row r="313" spans="9:13" ht="15.75" customHeight="1" x14ac:dyDescent="0.25">
      <c r="I313" s="40"/>
      <c r="M313" s="40"/>
    </row>
    <row r="314" spans="9:13" ht="15.75" customHeight="1" x14ac:dyDescent="0.25">
      <c r="I314" s="40"/>
      <c r="M314" s="40"/>
    </row>
    <row r="315" spans="9:13" ht="15.75" customHeight="1" x14ac:dyDescent="0.25">
      <c r="I315" s="40"/>
      <c r="M315" s="40"/>
    </row>
    <row r="316" spans="9:13" ht="15.75" customHeight="1" x14ac:dyDescent="0.25">
      <c r="I316" s="40"/>
      <c r="M316" s="40"/>
    </row>
    <row r="317" spans="9:13" ht="15.75" customHeight="1" x14ac:dyDescent="0.25">
      <c r="I317" s="40"/>
      <c r="M317" s="40"/>
    </row>
    <row r="318" spans="9:13" ht="15.75" customHeight="1" x14ac:dyDescent="0.25">
      <c r="I318" s="40"/>
      <c r="M318" s="40"/>
    </row>
    <row r="319" spans="9:13" ht="15.75" customHeight="1" x14ac:dyDescent="0.25">
      <c r="I319" s="40"/>
      <c r="M319" s="40"/>
    </row>
    <row r="320" spans="9:13" ht="15.75" customHeight="1" x14ac:dyDescent="0.25">
      <c r="I320" s="40"/>
      <c r="M320" s="40"/>
    </row>
    <row r="321" spans="9:13" ht="15.75" customHeight="1" x14ac:dyDescent="0.25">
      <c r="I321" s="40"/>
      <c r="M321" s="40"/>
    </row>
    <row r="322" spans="9:13" ht="15.75" customHeight="1" x14ac:dyDescent="0.25">
      <c r="I322" s="40"/>
      <c r="M322" s="40"/>
    </row>
    <row r="323" spans="9:13" ht="15.75" customHeight="1" x14ac:dyDescent="0.25">
      <c r="I323" s="40"/>
      <c r="M323" s="40"/>
    </row>
    <row r="324" spans="9:13" ht="15.75" customHeight="1" x14ac:dyDescent="0.25">
      <c r="I324" s="40"/>
      <c r="M324" s="40"/>
    </row>
    <row r="325" spans="9:13" ht="15.75" customHeight="1" x14ac:dyDescent="0.25">
      <c r="I325" s="40"/>
      <c r="M325" s="40"/>
    </row>
    <row r="326" spans="9:13" ht="15.75" customHeight="1" x14ac:dyDescent="0.25">
      <c r="I326" s="40"/>
      <c r="M326" s="40"/>
    </row>
    <row r="327" spans="9:13" ht="15.75" customHeight="1" x14ac:dyDescent="0.25">
      <c r="I327" s="40"/>
      <c r="M327" s="40"/>
    </row>
    <row r="328" spans="9:13" ht="15.75" customHeight="1" x14ac:dyDescent="0.25">
      <c r="I328" s="40"/>
      <c r="M328" s="40"/>
    </row>
    <row r="329" spans="9:13" ht="15.75" customHeight="1" x14ac:dyDescent="0.25">
      <c r="I329" s="40"/>
      <c r="M329" s="40"/>
    </row>
    <row r="330" spans="9:13" ht="15.75" customHeight="1" x14ac:dyDescent="0.25">
      <c r="I330" s="40"/>
      <c r="M330" s="40"/>
    </row>
    <row r="331" spans="9:13" ht="15.75" customHeight="1" x14ac:dyDescent="0.25">
      <c r="I331" s="40"/>
      <c r="M331" s="40"/>
    </row>
    <row r="332" spans="9:13" ht="15.75" customHeight="1" x14ac:dyDescent="0.25">
      <c r="I332" s="40"/>
      <c r="M332" s="40"/>
    </row>
    <row r="333" spans="9:13" ht="15.75" customHeight="1" x14ac:dyDescent="0.25">
      <c r="I333" s="40"/>
      <c r="M333" s="40"/>
    </row>
    <row r="334" spans="9:13" ht="15.75" customHeight="1" x14ac:dyDescent="0.25">
      <c r="I334" s="40"/>
      <c r="M334" s="40"/>
    </row>
    <row r="335" spans="9:13" ht="15.75" customHeight="1" x14ac:dyDescent="0.25">
      <c r="I335" s="40"/>
      <c r="M335" s="40"/>
    </row>
    <row r="336" spans="9:13" ht="15.75" customHeight="1" x14ac:dyDescent="0.25">
      <c r="I336" s="40"/>
      <c r="M336" s="40"/>
    </row>
    <row r="337" spans="9:13" ht="15.75" customHeight="1" x14ac:dyDescent="0.25">
      <c r="I337" s="40"/>
      <c r="M337" s="40"/>
    </row>
    <row r="338" spans="9:13" ht="15.75" customHeight="1" x14ac:dyDescent="0.25">
      <c r="I338" s="40"/>
      <c r="M338" s="40"/>
    </row>
    <row r="339" spans="9:13" ht="15.75" customHeight="1" x14ac:dyDescent="0.25">
      <c r="I339" s="40"/>
      <c r="M339" s="40"/>
    </row>
    <row r="340" spans="9:13" ht="15.75" customHeight="1" x14ac:dyDescent="0.25">
      <c r="I340" s="40"/>
      <c r="M340" s="40"/>
    </row>
    <row r="341" spans="9:13" ht="15.75" customHeight="1" x14ac:dyDescent="0.25">
      <c r="I341" s="40"/>
      <c r="M341" s="40"/>
    </row>
    <row r="342" spans="9:13" ht="15.75" customHeight="1" x14ac:dyDescent="0.25">
      <c r="I342" s="40"/>
      <c r="M342" s="40"/>
    </row>
    <row r="343" spans="9:13" ht="15.75" customHeight="1" x14ac:dyDescent="0.25">
      <c r="I343" s="40"/>
      <c r="M343" s="40"/>
    </row>
    <row r="344" spans="9:13" ht="15.75" customHeight="1" x14ac:dyDescent="0.25">
      <c r="I344" s="40"/>
      <c r="M344" s="40"/>
    </row>
    <row r="345" spans="9:13" ht="15.75" customHeight="1" x14ac:dyDescent="0.25">
      <c r="I345" s="40"/>
      <c r="M345" s="40"/>
    </row>
    <row r="346" spans="9:13" ht="15.75" customHeight="1" x14ac:dyDescent="0.25">
      <c r="I346" s="40"/>
      <c r="M346" s="40"/>
    </row>
    <row r="347" spans="9:13" ht="15.75" customHeight="1" x14ac:dyDescent="0.25">
      <c r="I347" s="40"/>
      <c r="M347" s="40"/>
    </row>
    <row r="348" spans="9:13" ht="15.75" customHeight="1" x14ac:dyDescent="0.25">
      <c r="I348" s="40"/>
      <c r="M348" s="40"/>
    </row>
    <row r="349" spans="9:13" ht="15.75" customHeight="1" x14ac:dyDescent="0.25">
      <c r="I349" s="40"/>
      <c r="M349" s="40"/>
    </row>
    <row r="350" spans="9:13" ht="15.75" customHeight="1" x14ac:dyDescent="0.25">
      <c r="I350" s="40"/>
      <c r="M350" s="40"/>
    </row>
    <row r="351" spans="9:13" ht="15.75" customHeight="1" x14ac:dyDescent="0.25">
      <c r="I351" s="40"/>
      <c r="M351" s="40"/>
    </row>
    <row r="352" spans="9:13" ht="15.75" customHeight="1" x14ac:dyDescent="0.25">
      <c r="I352" s="40"/>
      <c r="M352" s="40"/>
    </row>
    <row r="353" spans="9:13" ht="15.75" customHeight="1" x14ac:dyDescent="0.25">
      <c r="I353" s="40"/>
      <c r="M353" s="40"/>
    </row>
    <row r="354" spans="9:13" ht="15.75" customHeight="1" x14ac:dyDescent="0.25">
      <c r="I354" s="40"/>
      <c r="M354" s="40"/>
    </row>
    <row r="355" spans="9:13" ht="15.75" customHeight="1" x14ac:dyDescent="0.25">
      <c r="I355" s="40"/>
      <c r="M355" s="40"/>
    </row>
    <row r="356" spans="9:13" ht="15.75" customHeight="1" x14ac:dyDescent="0.25">
      <c r="I356" s="40"/>
      <c r="M356" s="40"/>
    </row>
    <row r="357" spans="9:13" ht="15.75" customHeight="1" x14ac:dyDescent="0.25">
      <c r="I357" s="40"/>
      <c r="M357" s="40"/>
    </row>
    <row r="358" spans="9:13" ht="15.75" customHeight="1" x14ac:dyDescent="0.25">
      <c r="I358" s="40"/>
      <c r="M358" s="40"/>
    </row>
    <row r="359" spans="9:13" ht="15.75" customHeight="1" x14ac:dyDescent="0.25">
      <c r="I359" s="40"/>
      <c r="M359" s="40"/>
    </row>
    <row r="360" spans="9:13" ht="15.75" customHeight="1" x14ac:dyDescent="0.25">
      <c r="I360" s="40"/>
      <c r="M360" s="40"/>
    </row>
    <row r="361" spans="9:13" ht="15.75" customHeight="1" x14ac:dyDescent="0.25">
      <c r="I361" s="40"/>
      <c r="M361" s="40"/>
    </row>
    <row r="362" spans="9:13" ht="15.75" customHeight="1" x14ac:dyDescent="0.25">
      <c r="I362" s="40"/>
      <c r="M362" s="40"/>
    </row>
    <row r="363" spans="9:13" ht="15.75" customHeight="1" x14ac:dyDescent="0.25">
      <c r="I363" s="40"/>
      <c r="M363" s="40"/>
    </row>
    <row r="364" spans="9:13" ht="15.75" customHeight="1" x14ac:dyDescent="0.25">
      <c r="I364" s="40"/>
      <c r="M364" s="40"/>
    </row>
    <row r="365" spans="9:13" ht="15.75" customHeight="1" x14ac:dyDescent="0.25">
      <c r="I365" s="40"/>
      <c r="M365" s="40"/>
    </row>
    <row r="366" spans="9:13" ht="15.75" customHeight="1" x14ac:dyDescent="0.25">
      <c r="I366" s="40"/>
      <c r="M366" s="40"/>
    </row>
    <row r="367" spans="9:13" ht="15.75" customHeight="1" x14ac:dyDescent="0.25">
      <c r="I367" s="40"/>
      <c r="M367" s="40"/>
    </row>
    <row r="368" spans="9:13" ht="15.75" customHeight="1" x14ac:dyDescent="0.25">
      <c r="I368" s="40"/>
      <c r="M368" s="40"/>
    </row>
    <row r="369" spans="9:13" ht="15.75" customHeight="1" x14ac:dyDescent="0.25">
      <c r="I369" s="40"/>
      <c r="M369" s="40"/>
    </row>
    <row r="370" spans="9:13" ht="15.75" customHeight="1" x14ac:dyDescent="0.25">
      <c r="I370" s="40"/>
      <c r="M370" s="40"/>
    </row>
    <row r="371" spans="9:13" ht="15.75" customHeight="1" x14ac:dyDescent="0.25">
      <c r="I371" s="40"/>
      <c r="M371" s="40"/>
    </row>
    <row r="372" spans="9:13" ht="15.75" customHeight="1" x14ac:dyDescent="0.25">
      <c r="I372" s="40"/>
      <c r="M372" s="40"/>
    </row>
    <row r="373" spans="9:13" ht="15.75" customHeight="1" x14ac:dyDescent="0.25">
      <c r="I373" s="40"/>
      <c r="M373" s="40"/>
    </row>
    <row r="374" spans="9:13" ht="15.75" customHeight="1" x14ac:dyDescent="0.25">
      <c r="I374" s="40"/>
      <c r="M374" s="40"/>
    </row>
    <row r="375" spans="9:13" ht="15.75" customHeight="1" x14ac:dyDescent="0.25">
      <c r="I375" s="40"/>
      <c r="M375" s="40"/>
    </row>
    <row r="376" spans="9:13" ht="15.75" customHeight="1" x14ac:dyDescent="0.25">
      <c r="I376" s="40"/>
      <c r="M376" s="40"/>
    </row>
    <row r="377" spans="9:13" ht="15.75" customHeight="1" x14ac:dyDescent="0.25">
      <c r="I377" s="40"/>
      <c r="M377" s="40"/>
    </row>
    <row r="378" spans="9:13" ht="15.75" customHeight="1" x14ac:dyDescent="0.25">
      <c r="I378" s="40"/>
      <c r="M378" s="40"/>
    </row>
    <row r="379" spans="9:13" ht="15.75" customHeight="1" x14ac:dyDescent="0.25">
      <c r="I379" s="40"/>
      <c r="M379" s="40"/>
    </row>
    <row r="380" spans="9:13" ht="15.75" customHeight="1" x14ac:dyDescent="0.25">
      <c r="I380" s="40"/>
      <c r="M380" s="40"/>
    </row>
    <row r="381" spans="9:13" ht="15.75" customHeight="1" x14ac:dyDescent="0.25">
      <c r="I381" s="40"/>
      <c r="M381" s="40"/>
    </row>
    <row r="382" spans="9:13" ht="15.75" customHeight="1" x14ac:dyDescent="0.25">
      <c r="I382" s="40"/>
      <c r="M382" s="40"/>
    </row>
    <row r="383" spans="9:13" ht="15.75" customHeight="1" x14ac:dyDescent="0.25">
      <c r="I383" s="40"/>
      <c r="M383" s="40"/>
    </row>
    <row r="384" spans="9:13" ht="15.75" customHeight="1" x14ac:dyDescent="0.25">
      <c r="I384" s="40"/>
      <c r="M384" s="40"/>
    </row>
    <row r="385" spans="9:13" ht="15.75" customHeight="1" x14ac:dyDescent="0.25">
      <c r="I385" s="40"/>
      <c r="M385" s="40"/>
    </row>
    <row r="386" spans="9:13" ht="15.75" customHeight="1" x14ac:dyDescent="0.25">
      <c r="I386" s="40"/>
      <c r="M386" s="40"/>
    </row>
    <row r="387" spans="9:13" ht="15.75" customHeight="1" x14ac:dyDescent="0.25">
      <c r="I387" s="40"/>
      <c r="M387" s="40"/>
    </row>
    <row r="388" spans="9:13" ht="15.75" customHeight="1" x14ac:dyDescent="0.25">
      <c r="I388" s="40"/>
      <c r="M388" s="40"/>
    </row>
    <row r="389" spans="9:13" ht="15.75" customHeight="1" x14ac:dyDescent="0.25">
      <c r="I389" s="40"/>
      <c r="M389" s="40"/>
    </row>
    <row r="390" spans="9:13" ht="15.75" customHeight="1" x14ac:dyDescent="0.25">
      <c r="I390" s="40"/>
      <c r="M390" s="40"/>
    </row>
    <row r="391" spans="9:13" ht="15.75" customHeight="1" x14ac:dyDescent="0.25">
      <c r="I391" s="40"/>
      <c r="M391" s="40"/>
    </row>
    <row r="392" spans="9:13" ht="15.75" customHeight="1" x14ac:dyDescent="0.25">
      <c r="I392" s="40"/>
      <c r="M392" s="40"/>
    </row>
    <row r="393" spans="9:13" ht="15.75" customHeight="1" x14ac:dyDescent="0.25">
      <c r="I393" s="40"/>
      <c r="M393" s="40"/>
    </row>
    <row r="394" spans="9:13" ht="15.75" customHeight="1" x14ac:dyDescent="0.25">
      <c r="I394" s="40"/>
      <c r="M394" s="40"/>
    </row>
    <row r="395" spans="9:13" ht="15.75" customHeight="1" x14ac:dyDescent="0.25">
      <c r="I395" s="40"/>
      <c r="M395" s="40"/>
    </row>
    <row r="396" spans="9:13" ht="15.75" customHeight="1" x14ac:dyDescent="0.25">
      <c r="I396" s="40"/>
      <c r="M396" s="40"/>
    </row>
    <row r="397" spans="9:13" ht="15.75" customHeight="1" x14ac:dyDescent="0.25">
      <c r="I397" s="40"/>
      <c r="M397" s="40"/>
    </row>
    <row r="398" spans="9:13" ht="15.75" customHeight="1" x14ac:dyDescent="0.25">
      <c r="I398" s="40"/>
      <c r="M398" s="40"/>
    </row>
    <row r="399" spans="9:13" ht="15.75" customHeight="1" x14ac:dyDescent="0.25">
      <c r="I399" s="40"/>
      <c r="M399" s="40"/>
    </row>
    <row r="400" spans="9:13" ht="15.75" customHeight="1" x14ac:dyDescent="0.25">
      <c r="I400" s="40"/>
      <c r="M400" s="40"/>
    </row>
    <row r="401" spans="9:13" ht="15.75" customHeight="1" x14ac:dyDescent="0.25">
      <c r="I401" s="40"/>
      <c r="M401" s="40"/>
    </row>
    <row r="402" spans="9:13" ht="15.75" customHeight="1" x14ac:dyDescent="0.25">
      <c r="I402" s="40"/>
      <c r="M402" s="40"/>
    </row>
    <row r="403" spans="9:13" ht="15.75" customHeight="1" x14ac:dyDescent="0.25">
      <c r="I403" s="40"/>
      <c r="M403" s="40"/>
    </row>
    <row r="404" spans="9:13" ht="15.75" customHeight="1" x14ac:dyDescent="0.25">
      <c r="I404" s="40"/>
      <c r="M404" s="40"/>
    </row>
    <row r="405" spans="9:13" ht="15.75" customHeight="1" x14ac:dyDescent="0.25">
      <c r="I405" s="40"/>
      <c r="M405" s="40"/>
    </row>
    <row r="406" spans="9:13" ht="15.75" customHeight="1" x14ac:dyDescent="0.25">
      <c r="I406" s="40"/>
      <c r="M406" s="40"/>
    </row>
    <row r="407" spans="9:13" ht="15.75" customHeight="1" x14ac:dyDescent="0.25">
      <c r="I407" s="40"/>
      <c r="M407" s="40"/>
    </row>
    <row r="408" spans="9:13" ht="15.75" customHeight="1" x14ac:dyDescent="0.25">
      <c r="I408" s="40"/>
      <c r="M408" s="40"/>
    </row>
    <row r="409" spans="9:13" ht="15.75" customHeight="1" x14ac:dyDescent="0.25">
      <c r="I409" s="40"/>
      <c r="M409" s="40"/>
    </row>
    <row r="410" spans="9:13" ht="15.75" customHeight="1" x14ac:dyDescent="0.25">
      <c r="I410" s="40"/>
      <c r="M410" s="40"/>
    </row>
    <row r="411" spans="9:13" ht="15.75" customHeight="1" x14ac:dyDescent="0.25">
      <c r="I411" s="40"/>
      <c r="M411" s="40"/>
    </row>
    <row r="412" spans="9:13" ht="15.75" customHeight="1" x14ac:dyDescent="0.25">
      <c r="I412" s="40"/>
      <c r="M412" s="40"/>
    </row>
    <row r="413" spans="9:13" ht="15.75" customHeight="1" x14ac:dyDescent="0.25">
      <c r="I413" s="40"/>
      <c r="M413" s="40"/>
    </row>
    <row r="414" spans="9:13" ht="15.75" customHeight="1" x14ac:dyDescent="0.25">
      <c r="I414" s="40"/>
      <c r="M414" s="40"/>
    </row>
    <row r="415" spans="9:13" ht="15.75" customHeight="1" x14ac:dyDescent="0.25">
      <c r="I415" s="40"/>
      <c r="M415" s="40"/>
    </row>
    <row r="416" spans="9:13" ht="15.75" customHeight="1" x14ac:dyDescent="0.25">
      <c r="I416" s="40"/>
      <c r="M416" s="40"/>
    </row>
    <row r="417" spans="9:13" ht="15.75" customHeight="1" x14ac:dyDescent="0.25">
      <c r="I417" s="40"/>
      <c r="M417" s="40"/>
    </row>
    <row r="418" spans="9:13" ht="15.75" customHeight="1" x14ac:dyDescent="0.25">
      <c r="I418" s="40"/>
      <c r="M418" s="40"/>
    </row>
    <row r="419" spans="9:13" ht="15.75" customHeight="1" x14ac:dyDescent="0.25">
      <c r="I419" s="40"/>
      <c r="M419" s="40"/>
    </row>
    <row r="420" spans="9:13" ht="15.75" customHeight="1" x14ac:dyDescent="0.25">
      <c r="I420" s="40"/>
      <c r="M420" s="40"/>
    </row>
    <row r="421" spans="9:13" ht="15.75" customHeight="1" x14ac:dyDescent="0.25">
      <c r="I421" s="40"/>
      <c r="M421" s="40"/>
    </row>
    <row r="422" spans="9:13" ht="15.75" customHeight="1" x14ac:dyDescent="0.25">
      <c r="I422" s="40"/>
      <c r="M422" s="40"/>
    </row>
    <row r="423" spans="9:13" ht="15.75" customHeight="1" x14ac:dyDescent="0.25">
      <c r="I423" s="40"/>
      <c r="M423" s="40"/>
    </row>
    <row r="424" spans="9:13" ht="15.75" customHeight="1" x14ac:dyDescent="0.25">
      <c r="I424" s="40"/>
      <c r="M424" s="40"/>
    </row>
    <row r="425" spans="9:13" ht="15.75" customHeight="1" x14ac:dyDescent="0.25">
      <c r="I425" s="40"/>
      <c r="M425" s="40"/>
    </row>
    <row r="426" spans="9:13" ht="15.75" customHeight="1" x14ac:dyDescent="0.25">
      <c r="I426" s="40"/>
      <c r="M426" s="40"/>
    </row>
    <row r="427" spans="9:13" ht="15.75" customHeight="1" x14ac:dyDescent="0.25">
      <c r="I427" s="40"/>
      <c r="M427" s="40"/>
    </row>
    <row r="428" spans="9:13" ht="15.75" customHeight="1" x14ac:dyDescent="0.25">
      <c r="I428" s="40"/>
      <c r="M428" s="40"/>
    </row>
    <row r="429" spans="9:13" ht="15.75" customHeight="1" x14ac:dyDescent="0.25">
      <c r="I429" s="40"/>
      <c r="M429" s="40"/>
    </row>
    <row r="430" spans="9:13" ht="15.75" customHeight="1" x14ac:dyDescent="0.25">
      <c r="I430" s="40"/>
      <c r="M430" s="40"/>
    </row>
    <row r="431" spans="9:13" ht="15.75" customHeight="1" x14ac:dyDescent="0.25">
      <c r="I431" s="40"/>
      <c r="M431" s="40"/>
    </row>
    <row r="432" spans="9:13" ht="15.75" customHeight="1" x14ac:dyDescent="0.25">
      <c r="I432" s="40"/>
      <c r="M432" s="40"/>
    </row>
    <row r="433" spans="9:13" ht="15.75" customHeight="1" x14ac:dyDescent="0.25">
      <c r="I433" s="40"/>
      <c r="M433" s="40"/>
    </row>
    <row r="434" spans="9:13" ht="15.75" customHeight="1" x14ac:dyDescent="0.25">
      <c r="I434" s="40"/>
      <c r="M434" s="40"/>
    </row>
    <row r="435" spans="9:13" ht="15.75" customHeight="1" x14ac:dyDescent="0.25">
      <c r="I435" s="40"/>
      <c r="M435" s="40"/>
    </row>
    <row r="436" spans="9:13" ht="15.75" customHeight="1" x14ac:dyDescent="0.25">
      <c r="I436" s="40"/>
      <c r="M436" s="40"/>
    </row>
    <row r="437" spans="9:13" ht="15.75" customHeight="1" x14ac:dyDescent="0.25">
      <c r="I437" s="40"/>
      <c r="M437" s="40"/>
    </row>
    <row r="438" spans="9:13" ht="15.75" customHeight="1" x14ac:dyDescent="0.25">
      <c r="I438" s="40"/>
      <c r="M438" s="40"/>
    </row>
    <row r="439" spans="9:13" ht="15.75" customHeight="1" x14ac:dyDescent="0.25">
      <c r="I439" s="40"/>
      <c r="M439" s="40"/>
    </row>
    <row r="440" spans="9:13" ht="15.75" customHeight="1" x14ac:dyDescent="0.25">
      <c r="I440" s="40"/>
      <c r="M440" s="40"/>
    </row>
    <row r="441" spans="9:13" ht="15.75" customHeight="1" x14ac:dyDescent="0.25">
      <c r="I441" s="40"/>
      <c r="M441" s="40"/>
    </row>
    <row r="442" spans="9:13" ht="15.75" customHeight="1" x14ac:dyDescent="0.25">
      <c r="I442" s="40"/>
      <c r="M442" s="40"/>
    </row>
    <row r="443" spans="9:13" ht="15.75" customHeight="1" x14ac:dyDescent="0.25">
      <c r="I443" s="40"/>
      <c r="M443" s="40"/>
    </row>
    <row r="444" spans="9:13" ht="15.75" customHeight="1" x14ac:dyDescent="0.25">
      <c r="I444" s="40"/>
      <c r="M444" s="40"/>
    </row>
    <row r="445" spans="9:13" ht="15.75" customHeight="1" x14ac:dyDescent="0.25">
      <c r="I445" s="40"/>
      <c r="M445" s="40"/>
    </row>
    <row r="446" spans="9:13" ht="15.75" customHeight="1" x14ac:dyDescent="0.25">
      <c r="I446" s="40"/>
      <c r="M446" s="40"/>
    </row>
    <row r="447" spans="9:13" ht="15.75" customHeight="1" x14ac:dyDescent="0.25">
      <c r="I447" s="40"/>
      <c r="M447" s="40"/>
    </row>
    <row r="448" spans="9:13" ht="15.75" customHeight="1" x14ac:dyDescent="0.25">
      <c r="I448" s="40"/>
      <c r="M448" s="40"/>
    </row>
    <row r="449" spans="9:13" ht="15.75" customHeight="1" x14ac:dyDescent="0.25">
      <c r="I449" s="40"/>
      <c r="M449" s="40"/>
    </row>
    <row r="450" spans="9:13" ht="15.75" customHeight="1" x14ac:dyDescent="0.25">
      <c r="I450" s="40"/>
      <c r="M450" s="40"/>
    </row>
    <row r="451" spans="9:13" ht="15.75" customHeight="1" x14ac:dyDescent="0.25">
      <c r="I451" s="40"/>
      <c r="M451" s="40"/>
    </row>
    <row r="452" spans="9:13" ht="15.75" customHeight="1" x14ac:dyDescent="0.25">
      <c r="I452" s="40"/>
      <c r="M452" s="40"/>
    </row>
    <row r="453" spans="9:13" ht="15.75" customHeight="1" x14ac:dyDescent="0.25">
      <c r="I453" s="40"/>
      <c r="M453" s="40"/>
    </row>
    <row r="454" spans="9:13" ht="15.75" customHeight="1" x14ac:dyDescent="0.25">
      <c r="I454" s="40"/>
      <c r="M454" s="40"/>
    </row>
    <row r="455" spans="9:13" ht="15.75" customHeight="1" x14ac:dyDescent="0.25">
      <c r="I455" s="40"/>
      <c r="M455" s="40"/>
    </row>
    <row r="456" spans="9:13" ht="15.75" customHeight="1" x14ac:dyDescent="0.25">
      <c r="I456" s="40"/>
      <c r="M456" s="40"/>
    </row>
    <row r="457" spans="9:13" ht="15.75" customHeight="1" x14ac:dyDescent="0.25">
      <c r="I457" s="40"/>
      <c r="M457" s="40"/>
    </row>
    <row r="458" spans="9:13" ht="15.75" customHeight="1" x14ac:dyDescent="0.25">
      <c r="I458" s="40"/>
      <c r="M458" s="40"/>
    </row>
    <row r="459" spans="9:13" ht="15.75" customHeight="1" x14ac:dyDescent="0.25">
      <c r="I459" s="40"/>
      <c r="M459" s="40"/>
    </row>
    <row r="460" spans="9:13" ht="15.75" customHeight="1" x14ac:dyDescent="0.25">
      <c r="I460" s="40"/>
      <c r="M460" s="40"/>
    </row>
    <row r="461" spans="9:13" ht="15.75" customHeight="1" x14ac:dyDescent="0.25">
      <c r="I461" s="40"/>
      <c r="M461" s="40"/>
    </row>
    <row r="462" spans="9:13" ht="15.75" customHeight="1" x14ac:dyDescent="0.25">
      <c r="I462" s="40"/>
      <c r="M462" s="40"/>
    </row>
    <row r="463" spans="9:13" ht="15.75" customHeight="1" x14ac:dyDescent="0.25">
      <c r="I463" s="40"/>
      <c r="M463" s="40"/>
    </row>
    <row r="464" spans="9:13" ht="15.75" customHeight="1" x14ac:dyDescent="0.25">
      <c r="I464" s="40"/>
      <c r="M464" s="40"/>
    </row>
    <row r="465" spans="9:13" ht="15.75" customHeight="1" x14ac:dyDescent="0.25">
      <c r="I465" s="40"/>
      <c r="M465" s="40"/>
    </row>
    <row r="466" spans="9:13" ht="15.75" customHeight="1" x14ac:dyDescent="0.25">
      <c r="I466" s="40"/>
      <c r="M466" s="40"/>
    </row>
    <row r="467" spans="9:13" ht="15.75" customHeight="1" x14ac:dyDescent="0.25">
      <c r="I467" s="40"/>
      <c r="M467" s="40"/>
    </row>
    <row r="468" spans="9:13" ht="15.75" customHeight="1" x14ac:dyDescent="0.25">
      <c r="I468" s="40"/>
      <c r="M468" s="40"/>
    </row>
    <row r="469" spans="9:13" ht="15.75" customHeight="1" x14ac:dyDescent="0.25">
      <c r="I469" s="40"/>
      <c r="M469" s="40"/>
    </row>
    <row r="470" spans="9:13" ht="15.75" customHeight="1" x14ac:dyDescent="0.25">
      <c r="I470" s="40"/>
      <c r="M470" s="40"/>
    </row>
    <row r="471" spans="9:13" ht="15.75" customHeight="1" x14ac:dyDescent="0.25">
      <c r="I471" s="40"/>
      <c r="M471" s="40"/>
    </row>
    <row r="472" spans="9:13" ht="15.75" customHeight="1" x14ac:dyDescent="0.25">
      <c r="I472" s="40"/>
      <c r="M472" s="40"/>
    </row>
    <row r="473" spans="9:13" ht="15.75" customHeight="1" x14ac:dyDescent="0.25">
      <c r="I473" s="40"/>
      <c r="M473" s="40"/>
    </row>
    <row r="474" spans="9:13" ht="15.75" customHeight="1" x14ac:dyDescent="0.25">
      <c r="I474" s="40"/>
      <c r="M474" s="40"/>
    </row>
    <row r="475" spans="9:13" ht="15.75" customHeight="1" x14ac:dyDescent="0.25">
      <c r="I475" s="40"/>
      <c r="M475" s="40"/>
    </row>
    <row r="476" spans="9:13" ht="15.75" customHeight="1" x14ac:dyDescent="0.25">
      <c r="I476" s="40"/>
      <c r="M476" s="40"/>
    </row>
    <row r="477" spans="9:13" ht="15.75" customHeight="1" x14ac:dyDescent="0.25">
      <c r="I477" s="40"/>
      <c r="M477" s="40"/>
    </row>
    <row r="478" spans="9:13" ht="15.75" customHeight="1" x14ac:dyDescent="0.25">
      <c r="I478" s="40"/>
      <c r="M478" s="40"/>
    </row>
    <row r="479" spans="9:13" ht="15.75" customHeight="1" x14ac:dyDescent="0.25">
      <c r="I479" s="40"/>
      <c r="M479" s="40"/>
    </row>
    <row r="480" spans="9:13" ht="15.75" customHeight="1" x14ac:dyDescent="0.25">
      <c r="I480" s="40"/>
      <c r="M480" s="40"/>
    </row>
    <row r="481" spans="9:13" ht="15.75" customHeight="1" x14ac:dyDescent="0.25">
      <c r="I481" s="40"/>
      <c r="M481" s="40"/>
    </row>
    <row r="482" spans="9:13" ht="15.75" customHeight="1" x14ac:dyDescent="0.25">
      <c r="I482" s="40"/>
      <c r="M482" s="40"/>
    </row>
    <row r="483" spans="9:13" ht="15.75" customHeight="1" x14ac:dyDescent="0.25">
      <c r="I483" s="40"/>
      <c r="M483" s="40"/>
    </row>
    <row r="484" spans="9:13" ht="15.75" customHeight="1" x14ac:dyDescent="0.25">
      <c r="I484" s="40"/>
      <c r="M484" s="40"/>
    </row>
    <row r="485" spans="9:13" ht="15.75" customHeight="1" x14ac:dyDescent="0.25">
      <c r="I485" s="40"/>
      <c r="M485" s="40"/>
    </row>
    <row r="486" spans="9:13" ht="15.75" customHeight="1" x14ac:dyDescent="0.25">
      <c r="I486" s="40"/>
      <c r="M486" s="40"/>
    </row>
    <row r="487" spans="9:13" ht="15.75" customHeight="1" x14ac:dyDescent="0.25">
      <c r="I487" s="40"/>
      <c r="M487" s="40"/>
    </row>
    <row r="488" spans="9:13" ht="15.75" customHeight="1" x14ac:dyDescent="0.25">
      <c r="I488" s="40"/>
      <c r="M488" s="40"/>
    </row>
    <row r="489" spans="9:13" ht="15.75" customHeight="1" x14ac:dyDescent="0.25">
      <c r="I489" s="40"/>
      <c r="M489" s="40"/>
    </row>
    <row r="490" spans="9:13" ht="15.75" customHeight="1" x14ac:dyDescent="0.25">
      <c r="I490" s="40"/>
      <c r="M490" s="40"/>
    </row>
    <row r="491" spans="9:13" ht="15.75" customHeight="1" x14ac:dyDescent="0.25">
      <c r="I491" s="40"/>
      <c r="M491" s="40"/>
    </row>
    <row r="492" spans="9:13" ht="15.75" customHeight="1" x14ac:dyDescent="0.25">
      <c r="I492" s="40"/>
      <c r="M492" s="40"/>
    </row>
    <row r="493" spans="9:13" ht="15.75" customHeight="1" x14ac:dyDescent="0.25">
      <c r="I493" s="40"/>
      <c r="M493" s="40"/>
    </row>
    <row r="494" spans="9:13" ht="15.75" customHeight="1" x14ac:dyDescent="0.25">
      <c r="I494" s="40"/>
      <c r="M494" s="40"/>
    </row>
    <row r="495" spans="9:13" ht="15.75" customHeight="1" x14ac:dyDescent="0.25">
      <c r="I495" s="40"/>
      <c r="M495" s="40"/>
    </row>
    <row r="496" spans="9:13" ht="15.75" customHeight="1" x14ac:dyDescent="0.25">
      <c r="I496" s="40"/>
      <c r="M496" s="40"/>
    </row>
    <row r="497" spans="9:13" ht="15.75" customHeight="1" x14ac:dyDescent="0.25">
      <c r="I497" s="40"/>
      <c r="M497" s="40"/>
    </row>
    <row r="498" spans="9:13" ht="15.75" customHeight="1" x14ac:dyDescent="0.25">
      <c r="I498" s="40"/>
      <c r="M498" s="40"/>
    </row>
    <row r="499" spans="9:13" ht="15.75" customHeight="1" x14ac:dyDescent="0.25">
      <c r="I499" s="40"/>
      <c r="M499" s="40"/>
    </row>
    <row r="500" spans="9:13" ht="15.75" customHeight="1" x14ac:dyDescent="0.25">
      <c r="I500" s="40"/>
      <c r="M500" s="40"/>
    </row>
    <row r="501" spans="9:13" ht="15.75" customHeight="1" x14ac:dyDescent="0.25">
      <c r="I501" s="40"/>
      <c r="M501" s="40"/>
    </row>
    <row r="502" spans="9:13" ht="15.75" customHeight="1" x14ac:dyDescent="0.25">
      <c r="I502" s="40"/>
      <c r="M502" s="40"/>
    </row>
    <row r="503" spans="9:13" ht="15.75" customHeight="1" x14ac:dyDescent="0.25">
      <c r="I503" s="40"/>
      <c r="M503" s="40"/>
    </row>
    <row r="504" spans="9:13" ht="15.75" customHeight="1" x14ac:dyDescent="0.25">
      <c r="I504" s="40"/>
      <c r="M504" s="40"/>
    </row>
    <row r="505" spans="9:13" ht="15.75" customHeight="1" x14ac:dyDescent="0.25">
      <c r="I505" s="40"/>
      <c r="M505" s="40"/>
    </row>
    <row r="506" spans="9:13" ht="15.75" customHeight="1" x14ac:dyDescent="0.25">
      <c r="I506" s="40"/>
      <c r="M506" s="40"/>
    </row>
    <row r="507" spans="9:13" ht="15.75" customHeight="1" x14ac:dyDescent="0.25">
      <c r="I507" s="40"/>
      <c r="M507" s="40"/>
    </row>
    <row r="508" spans="9:13" ht="15.75" customHeight="1" x14ac:dyDescent="0.25">
      <c r="I508" s="40"/>
      <c r="M508" s="40"/>
    </row>
    <row r="509" spans="9:13" ht="15.75" customHeight="1" x14ac:dyDescent="0.25">
      <c r="I509" s="40"/>
      <c r="M509" s="40"/>
    </row>
    <row r="510" spans="9:13" ht="15.75" customHeight="1" x14ac:dyDescent="0.25">
      <c r="I510" s="40"/>
      <c r="M510" s="40"/>
    </row>
    <row r="511" spans="9:13" ht="15.75" customHeight="1" x14ac:dyDescent="0.25">
      <c r="I511" s="40"/>
      <c r="M511" s="40"/>
    </row>
    <row r="512" spans="9:13" ht="15.75" customHeight="1" x14ac:dyDescent="0.25">
      <c r="I512" s="40"/>
      <c r="M512" s="40"/>
    </row>
    <row r="513" spans="9:13" ht="15.75" customHeight="1" x14ac:dyDescent="0.25">
      <c r="I513" s="40"/>
      <c r="M513" s="40"/>
    </row>
    <row r="514" spans="9:13" ht="15.75" customHeight="1" x14ac:dyDescent="0.25">
      <c r="I514" s="40"/>
      <c r="M514" s="40"/>
    </row>
    <row r="515" spans="9:13" ht="15.75" customHeight="1" x14ac:dyDescent="0.25">
      <c r="I515" s="40"/>
      <c r="M515" s="40"/>
    </row>
    <row r="516" spans="9:13" ht="15.75" customHeight="1" x14ac:dyDescent="0.25">
      <c r="I516" s="40"/>
      <c r="M516" s="40"/>
    </row>
    <row r="517" spans="9:13" ht="15.75" customHeight="1" x14ac:dyDescent="0.25">
      <c r="I517" s="40"/>
      <c r="M517" s="40"/>
    </row>
    <row r="518" spans="9:13" ht="15.75" customHeight="1" x14ac:dyDescent="0.25">
      <c r="I518" s="40"/>
      <c r="M518" s="40"/>
    </row>
    <row r="519" spans="9:13" ht="15.75" customHeight="1" x14ac:dyDescent="0.25">
      <c r="I519" s="40"/>
      <c r="M519" s="40"/>
    </row>
    <row r="520" spans="9:13" ht="15.75" customHeight="1" x14ac:dyDescent="0.25">
      <c r="I520" s="40"/>
      <c r="M520" s="40"/>
    </row>
    <row r="521" spans="9:13" ht="15.75" customHeight="1" x14ac:dyDescent="0.25">
      <c r="I521" s="40"/>
      <c r="M521" s="40"/>
    </row>
    <row r="522" spans="9:13" ht="15.75" customHeight="1" x14ac:dyDescent="0.25">
      <c r="I522" s="40"/>
      <c r="M522" s="40"/>
    </row>
    <row r="523" spans="9:13" ht="15.75" customHeight="1" x14ac:dyDescent="0.25">
      <c r="I523" s="40"/>
      <c r="M523" s="40"/>
    </row>
    <row r="524" spans="9:13" ht="15.75" customHeight="1" x14ac:dyDescent="0.25">
      <c r="I524" s="40"/>
      <c r="M524" s="40"/>
    </row>
    <row r="525" spans="9:13" ht="15.75" customHeight="1" x14ac:dyDescent="0.25">
      <c r="I525" s="40"/>
      <c r="M525" s="40"/>
    </row>
    <row r="526" spans="9:13" ht="15.75" customHeight="1" x14ac:dyDescent="0.25">
      <c r="I526" s="40"/>
      <c r="M526" s="40"/>
    </row>
    <row r="527" spans="9:13" ht="15.75" customHeight="1" x14ac:dyDescent="0.25">
      <c r="I527" s="40"/>
      <c r="M527" s="40"/>
    </row>
    <row r="528" spans="9:13" ht="15.75" customHeight="1" x14ac:dyDescent="0.25">
      <c r="I528" s="40"/>
      <c r="M528" s="40"/>
    </row>
    <row r="529" spans="9:13" ht="15.75" customHeight="1" x14ac:dyDescent="0.25">
      <c r="I529" s="40"/>
      <c r="M529" s="40"/>
    </row>
    <row r="530" spans="9:13" ht="15.75" customHeight="1" x14ac:dyDescent="0.25">
      <c r="I530" s="40"/>
      <c r="M530" s="40"/>
    </row>
    <row r="531" spans="9:13" ht="15.75" customHeight="1" x14ac:dyDescent="0.25">
      <c r="I531" s="40"/>
      <c r="M531" s="40"/>
    </row>
    <row r="532" spans="9:13" ht="15.75" customHeight="1" x14ac:dyDescent="0.25">
      <c r="I532" s="40"/>
      <c r="M532" s="40"/>
    </row>
    <row r="533" spans="9:13" ht="15.75" customHeight="1" x14ac:dyDescent="0.25">
      <c r="I533" s="40"/>
      <c r="M533" s="40"/>
    </row>
    <row r="534" spans="9:13" ht="15.75" customHeight="1" x14ac:dyDescent="0.25">
      <c r="I534" s="40"/>
      <c r="M534" s="40"/>
    </row>
    <row r="535" spans="9:13" ht="15.75" customHeight="1" x14ac:dyDescent="0.25">
      <c r="I535" s="40"/>
      <c r="M535" s="40"/>
    </row>
    <row r="536" spans="9:13" ht="15.75" customHeight="1" x14ac:dyDescent="0.25">
      <c r="I536" s="40"/>
      <c r="M536" s="40"/>
    </row>
    <row r="537" spans="9:13" ht="15.75" customHeight="1" x14ac:dyDescent="0.25">
      <c r="I537" s="40"/>
      <c r="M537" s="40"/>
    </row>
    <row r="538" spans="9:13" ht="15.75" customHeight="1" x14ac:dyDescent="0.25">
      <c r="I538" s="40"/>
      <c r="M538" s="40"/>
    </row>
    <row r="539" spans="9:13" ht="15.75" customHeight="1" x14ac:dyDescent="0.25">
      <c r="I539" s="40"/>
      <c r="M539" s="40"/>
    </row>
    <row r="540" spans="9:13" ht="15.75" customHeight="1" x14ac:dyDescent="0.25">
      <c r="I540" s="40"/>
      <c r="M540" s="40"/>
    </row>
    <row r="541" spans="9:13" ht="15.75" customHeight="1" x14ac:dyDescent="0.25">
      <c r="I541" s="40"/>
      <c r="M541" s="40"/>
    </row>
    <row r="542" spans="9:13" ht="15.75" customHeight="1" x14ac:dyDescent="0.25">
      <c r="I542" s="40"/>
      <c r="M542" s="40"/>
    </row>
    <row r="543" spans="9:13" ht="15.75" customHeight="1" x14ac:dyDescent="0.25">
      <c r="I543" s="40"/>
      <c r="M543" s="40"/>
    </row>
    <row r="544" spans="9:13" ht="15.75" customHeight="1" x14ac:dyDescent="0.25">
      <c r="I544" s="40"/>
      <c r="M544" s="40"/>
    </row>
    <row r="545" spans="9:13" ht="15.75" customHeight="1" x14ac:dyDescent="0.25">
      <c r="I545" s="40"/>
      <c r="M545" s="40"/>
    </row>
    <row r="546" spans="9:13" ht="15.75" customHeight="1" x14ac:dyDescent="0.25">
      <c r="I546" s="40"/>
      <c r="M546" s="40"/>
    </row>
    <row r="547" spans="9:13" ht="15.75" customHeight="1" x14ac:dyDescent="0.25">
      <c r="I547" s="40"/>
      <c r="M547" s="40"/>
    </row>
    <row r="548" spans="9:13" ht="15.75" customHeight="1" x14ac:dyDescent="0.25">
      <c r="I548" s="40"/>
      <c r="M548" s="40"/>
    </row>
    <row r="549" spans="9:13" ht="15.75" customHeight="1" x14ac:dyDescent="0.25">
      <c r="I549" s="40"/>
      <c r="M549" s="40"/>
    </row>
    <row r="550" spans="9:13" ht="15.75" customHeight="1" x14ac:dyDescent="0.25">
      <c r="I550" s="40"/>
      <c r="M550" s="40"/>
    </row>
    <row r="551" spans="9:13" ht="15.75" customHeight="1" x14ac:dyDescent="0.25">
      <c r="I551" s="40"/>
      <c r="M551" s="40"/>
    </row>
    <row r="552" spans="9:13" ht="15.75" customHeight="1" x14ac:dyDescent="0.25">
      <c r="I552" s="40"/>
      <c r="M552" s="40"/>
    </row>
    <row r="553" spans="9:13" ht="15.75" customHeight="1" x14ac:dyDescent="0.25">
      <c r="I553" s="40"/>
      <c r="M553" s="40"/>
    </row>
    <row r="554" spans="9:13" ht="15.75" customHeight="1" x14ac:dyDescent="0.25">
      <c r="I554" s="40"/>
      <c r="M554" s="40"/>
    </row>
    <row r="555" spans="9:13" ht="15.75" customHeight="1" x14ac:dyDescent="0.25">
      <c r="I555" s="40"/>
      <c r="M555" s="40"/>
    </row>
    <row r="556" spans="9:13" ht="15.75" customHeight="1" x14ac:dyDescent="0.25">
      <c r="I556" s="40"/>
      <c r="M556" s="40"/>
    </row>
    <row r="557" spans="9:13" ht="15.75" customHeight="1" x14ac:dyDescent="0.25">
      <c r="I557" s="40"/>
      <c r="M557" s="40"/>
    </row>
    <row r="558" spans="9:13" ht="15.75" customHeight="1" x14ac:dyDescent="0.25">
      <c r="I558" s="40"/>
      <c r="M558" s="40"/>
    </row>
    <row r="559" spans="9:13" ht="15.75" customHeight="1" x14ac:dyDescent="0.25">
      <c r="I559" s="40"/>
      <c r="M559" s="40"/>
    </row>
    <row r="560" spans="9:13" ht="15.75" customHeight="1" x14ac:dyDescent="0.25">
      <c r="I560" s="40"/>
      <c r="M560" s="40"/>
    </row>
    <row r="561" spans="9:13" ht="15.75" customHeight="1" x14ac:dyDescent="0.25">
      <c r="I561" s="40"/>
      <c r="M561" s="40"/>
    </row>
    <row r="562" spans="9:13" ht="15.75" customHeight="1" x14ac:dyDescent="0.25">
      <c r="I562" s="40"/>
      <c r="M562" s="40"/>
    </row>
    <row r="563" spans="9:13" ht="15.75" customHeight="1" x14ac:dyDescent="0.25">
      <c r="I563" s="40"/>
      <c r="M563" s="40"/>
    </row>
    <row r="564" spans="9:13" ht="15.75" customHeight="1" x14ac:dyDescent="0.25">
      <c r="I564" s="40"/>
      <c r="M564" s="40"/>
    </row>
    <row r="565" spans="9:13" ht="15.75" customHeight="1" x14ac:dyDescent="0.25">
      <c r="I565" s="40"/>
      <c r="M565" s="40"/>
    </row>
    <row r="566" spans="9:13" ht="15.75" customHeight="1" x14ac:dyDescent="0.25">
      <c r="I566" s="40"/>
      <c r="M566" s="40"/>
    </row>
    <row r="567" spans="9:13" ht="15.75" customHeight="1" x14ac:dyDescent="0.25">
      <c r="I567" s="40"/>
      <c r="M567" s="40"/>
    </row>
    <row r="568" spans="9:13" ht="15.75" customHeight="1" x14ac:dyDescent="0.25">
      <c r="I568" s="40"/>
      <c r="M568" s="40"/>
    </row>
    <row r="569" spans="9:13" ht="15.75" customHeight="1" x14ac:dyDescent="0.25">
      <c r="I569" s="40"/>
      <c r="M569" s="40"/>
    </row>
    <row r="570" spans="9:13" ht="15.75" customHeight="1" x14ac:dyDescent="0.25">
      <c r="I570" s="40"/>
      <c r="M570" s="40"/>
    </row>
    <row r="571" spans="9:13" ht="15.75" customHeight="1" x14ac:dyDescent="0.25">
      <c r="I571" s="40"/>
      <c r="M571" s="40"/>
    </row>
    <row r="572" spans="9:13" ht="15.75" customHeight="1" x14ac:dyDescent="0.25">
      <c r="I572" s="40"/>
      <c r="M572" s="40"/>
    </row>
    <row r="573" spans="9:13" ht="15.75" customHeight="1" x14ac:dyDescent="0.25">
      <c r="I573" s="40"/>
      <c r="M573" s="40"/>
    </row>
    <row r="574" spans="9:13" ht="15.75" customHeight="1" x14ac:dyDescent="0.25">
      <c r="I574" s="40"/>
      <c r="M574" s="40"/>
    </row>
    <row r="575" spans="9:13" ht="15.75" customHeight="1" x14ac:dyDescent="0.25">
      <c r="I575" s="40"/>
      <c r="M575" s="40"/>
    </row>
    <row r="576" spans="9:13" ht="15.75" customHeight="1" x14ac:dyDescent="0.25">
      <c r="I576" s="40"/>
      <c r="M576" s="40"/>
    </row>
    <row r="577" spans="9:13" ht="15.75" customHeight="1" x14ac:dyDescent="0.25">
      <c r="I577" s="40"/>
      <c r="M577" s="40"/>
    </row>
    <row r="578" spans="9:13" ht="15.75" customHeight="1" x14ac:dyDescent="0.25">
      <c r="I578" s="40"/>
      <c r="M578" s="40"/>
    </row>
    <row r="579" spans="9:13" ht="15.75" customHeight="1" x14ac:dyDescent="0.25">
      <c r="I579" s="40"/>
      <c r="M579" s="40"/>
    </row>
    <row r="580" spans="9:13" ht="15.75" customHeight="1" x14ac:dyDescent="0.25">
      <c r="I580" s="40"/>
      <c r="M580" s="40"/>
    </row>
    <row r="581" spans="9:13" ht="15.75" customHeight="1" x14ac:dyDescent="0.25">
      <c r="I581" s="40"/>
      <c r="M581" s="40"/>
    </row>
    <row r="582" spans="9:13" ht="15.75" customHeight="1" x14ac:dyDescent="0.25">
      <c r="I582" s="40"/>
      <c r="M582" s="40"/>
    </row>
    <row r="583" spans="9:13" ht="15.75" customHeight="1" x14ac:dyDescent="0.25">
      <c r="I583" s="40"/>
      <c r="M583" s="40"/>
    </row>
    <row r="584" spans="9:13" ht="15.75" customHeight="1" x14ac:dyDescent="0.25">
      <c r="I584" s="40"/>
      <c r="M584" s="40"/>
    </row>
    <row r="585" spans="9:13" ht="15.75" customHeight="1" x14ac:dyDescent="0.25">
      <c r="I585" s="40"/>
      <c r="M585" s="40"/>
    </row>
    <row r="586" spans="9:13" ht="15.75" customHeight="1" x14ac:dyDescent="0.25">
      <c r="I586" s="40"/>
      <c r="M586" s="40"/>
    </row>
    <row r="587" spans="9:13" ht="15.75" customHeight="1" x14ac:dyDescent="0.25">
      <c r="I587" s="40"/>
      <c r="M587" s="40"/>
    </row>
    <row r="588" spans="9:13" ht="15.75" customHeight="1" x14ac:dyDescent="0.25">
      <c r="I588" s="40"/>
      <c r="M588" s="40"/>
    </row>
    <row r="589" spans="9:13" ht="15.75" customHeight="1" x14ac:dyDescent="0.25">
      <c r="I589" s="40"/>
      <c r="M589" s="40"/>
    </row>
    <row r="590" spans="9:13" ht="15.75" customHeight="1" x14ac:dyDescent="0.25">
      <c r="I590" s="40"/>
      <c r="M590" s="40"/>
    </row>
    <row r="591" spans="9:13" ht="15.75" customHeight="1" x14ac:dyDescent="0.25">
      <c r="I591" s="40"/>
      <c r="M591" s="40"/>
    </row>
    <row r="592" spans="9:13" ht="15.75" customHeight="1" x14ac:dyDescent="0.25">
      <c r="I592" s="40"/>
      <c r="M592" s="40"/>
    </row>
    <row r="593" spans="9:13" ht="15.75" customHeight="1" x14ac:dyDescent="0.25">
      <c r="I593" s="40"/>
      <c r="M593" s="40"/>
    </row>
    <row r="594" spans="9:13" ht="15.75" customHeight="1" x14ac:dyDescent="0.25">
      <c r="I594" s="40"/>
      <c r="M594" s="40"/>
    </row>
    <row r="595" spans="9:13" ht="15.75" customHeight="1" x14ac:dyDescent="0.25">
      <c r="I595" s="40"/>
      <c r="M595" s="40"/>
    </row>
    <row r="596" spans="9:13" ht="15.75" customHeight="1" x14ac:dyDescent="0.25">
      <c r="I596" s="40"/>
      <c r="M596" s="40"/>
    </row>
    <row r="597" spans="9:13" ht="15.75" customHeight="1" x14ac:dyDescent="0.25">
      <c r="I597" s="40"/>
      <c r="M597" s="40"/>
    </row>
    <row r="598" spans="9:13" ht="15.75" customHeight="1" x14ac:dyDescent="0.25">
      <c r="I598" s="40"/>
      <c r="M598" s="40"/>
    </row>
    <row r="599" spans="9:13" ht="15.75" customHeight="1" x14ac:dyDescent="0.25">
      <c r="I599" s="40"/>
      <c r="M599" s="40"/>
    </row>
    <row r="600" spans="9:13" ht="15.75" customHeight="1" x14ac:dyDescent="0.25">
      <c r="I600" s="40"/>
      <c r="M600" s="40"/>
    </row>
    <row r="601" spans="9:13" ht="15.75" customHeight="1" x14ac:dyDescent="0.25">
      <c r="I601" s="40"/>
      <c r="M601" s="40"/>
    </row>
    <row r="602" spans="9:13" ht="15.75" customHeight="1" x14ac:dyDescent="0.25">
      <c r="I602" s="40"/>
      <c r="M602" s="40"/>
    </row>
    <row r="603" spans="9:13" ht="15.75" customHeight="1" x14ac:dyDescent="0.25">
      <c r="I603" s="40"/>
      <c r="M603" s="40"/>
    </row>
    <row r="604" spans="9:13" ht="15.75" customHeight="1" x14ac:dyDescent="0.25">
      <c r="I604" s="40"/>
      <c r="M604" s="40"/>
    </row>
    <row r="605" spans="9:13" ht="15.75" customHeight="1" x14ac:dyDescent="0.25">
      <c r="I605" s="40"/>
      <c r="M605" s="40"/>
    </row>
    <row r="606" spans="9:13" ht="15.75" customHeight="1" x14ac:dyDescent="0.25">
      <c r="I606" s="40"/>
      <c r="M606" s="40"/>
    </row>
    <row r="607" spans="9:13" ht="15.75" customHeight="1" x14ac:dyDescent="0.25">
      <c r="I607" s="40"/>
      <c r="M607" s="40"/>
    </row>
    <row r="608" spans="9:13" ht="15.75" customHeight="1" x14ac:dyDescent="0.25">
      <c r="I608" s="40"/>
      <c r="M608" s="40"/>
    </row>
    <row r="609" spans="9:13" ht="15.75" customHeight="1" x14ac:dyDescent="0.25">
      <c r="I609" s="40"/>
      <c r="M609" s="40"/>
    </row>
    <row r="610" spans="9:13" ht="15.75" customHeight="1" x14ac:dyDescent="0.25">
      <c r="I610" s="40"/>
      <c r="M610" s="40"/>
    </row>
    <row r="611" spans="9:13" ht="15.75" customHeight="1" x14ac:dyDescent="0.25">
      <c r="I611" s="40"/>
      <c r="M611" s="40"/>
    </row>
    <row r="612" spans="9:13" ht="15.75" customHeight="1" x14ac:dyDescent="0.25">
      <c r="I612" s="40"/>
      <c r="M612" s="40"/>
    </row>
    <row r="613" spans="9:13" ht="15.75" customHeight="1" x14ac:dyDescent="0.25">
      <c r="I613" s="40"/>
      <c r="M613" s="40"/>
    </row>
    <row r="614" spans="9:13" ht="15.75" customHeight="1" x14ac:dyDescent="0.25">
      <c r="I614" s="40"/>
      <c r="M614" s="40"/>
    </row>
    <row r="615" spans="9:13" ht="15.75" customHeight="1" x14ac:dyDescent="0.25">
      <c r="I615" s="40"/>
      <c r="M615" s="40"/>
    </row>
    <row r="616" spans="9:13" ht="15.75" customHeight="1" x14ac:dyDescent="0.25">
      <c r="I616" s="40"/>
      <c r="M616" s="40"/>
    </row>
    <row r="617" spans="9:13" ht="15.75" customHeight="1" x14ac:dyDescent="0.25">
      <c r="I617" s="40"/>
      <c r="M617" s="40"/>
    </row>
    <row r="618" spans="9:13" ht="15.75" customHeight="1" x14ac:dyDescent="0.25">
      <c r="I618" s="40"/>
      <c r="M618" s="40"/>
    </row>
    <row r="619" spans="9:13" ht="15.75" customHeight="1" x14ac:dyDescent="0.25">
      <c r="I619" s="40"/>
      <c r="M619" s="40"/>
    </row>
    <row r="620" spans="9:13" ht="15.75" customHeight="1" x14ac:dyDescent="0.25">
      <c r="I620" s="40"/>
      <c r="M620" s="40"/>
    </row>
    <row r="621" spans="9:13" ht="15.75" customHeight="1" x14ac:dyDescent="0.25">
      <c r="I621" s="40"/>
      <c r="M621" s="40"/>
    </row>
    <row r="622" spans="9:13" ht="15.75" customHeight="1" x14ac:dyDescent="0.25">
      <c r="I622" s="40"/>
      <c r="M622" s="40"/>
    </row>
    <row r="623" spans="9:13" ht="15.75" customHeight="1" x14ac:dyDescent="0.25">
      <c r="I623" s="40"/>
      <c r="M623" s="40"/>
    </row>
    <row r="624" spans="9:13" ht="15.75" customHeight="1" x14ac:dyDescent="0.25">
      <c r="I624" s="40"/>
      <c r="M624" s="40"/>
    </row>
    <row r="625" spans="9:13" ht="15.75" customHeight="1" x14ac:dyDescent="0.25">
      <c r="I625" s="40"/>
      <c r="M625" s="40"/>
    </row>
    <row r="626" spans="9:13" ht="15.75" customHeight="1" x14ac:dyDescent="0.25">
      <c r="I626" s="40"/>
      <c r="M626" s="40"/>
    </row>
    <row r="627" spans="9:13" ht="15.75" customHeight="1" x14ac:dyDescent="0.25">
      <c r="I627" s="40"/>
      <c r="M627" s="40"/>
    </row>
    <row r="628" spans="9:13" ht="15.75" customHeight="1" x14ac:dyDescent="0.25">
      <c r="I628" s="40"/>
      <c r="M628" s="40"/>
    </row>
    <row r="629" spans="9:13" ht="15.75" customHeight="1" x14ac:dyDescent="0.25">
      <c r="I629" s="40"/>
      <c r="M629" s="40"/>
    </row>
    <row r="630" spans="9:13" ht="15.75" customHeight="1" x14ac:dyDescent="0.25">
      <c r="I630" s="40"/>
      <c r="M630" s="40"/>
    </row>
    <row r="631" spans="9:13" ht="15.75" customHeight="1" x14ac:dyDescent="0.25">
      <c r="I631" s="40"/>
      <c r="M631" s="40"/>
    </row>
    <row r="632" spans="9:13" ht="15.75" customHeight="1" x14ac:dyDescent="0.25">
      <c r="I632" s="40"/>
      <c r="M632" s="40"/>
    </row>
    <row r="633" spans="9:13" ht="15.75" customHeight="1" x14ac:dyDescent="0.25">
      <c r="I633" s="40"/>
      <c r="M633" s="40"/>
    </row>
    <row r="634" spans="9:13" ht="15.75" customHeight="1" x14ac:dyDescent="0.25">
      <c r="I634" s="40"/>
      <c r="M634" s="40"/>
    </row>
    <row r="635" spans="9:13" ht="15.75" customHeight="1" x14ac:dyDescent="0.25">
      <c r="I635" s="40"/>
      <c r="M635" s="40"/>
    </row>
    <row r="636" spans="9:13" ht="15.75" customHeight="1" x14ac:dyDescent="0.25">
      <c r="I636" s="40"/>
      <c r="M636" s="40"/>
    </row>
    <row r="637" spans="9:13" ht="15.75" customHeight="1" x14ac:dyDescent="0.25">
      <c r="I637" s="40"/>
      <c r="M637" s="40"/>
    </row>
    <row r="638" spans="9:13" ht="15.75" customHeight="1" x14ac:dyDescent="0.25">
      <c r="I638" s="40"/>
      <c r="M638" s="40"/>
    </row>
    <row r="639" spans="9:13" ht="15.75" customHeight="1" x14ac:dyDescent="0.25">
      <c r="I639" s="40"/>
      <c r="M639" s="40"/>
    </row>
    <row r="640" spans="9:13" ht="15.75" customHeight="1" x14ac:dyDescent="0.25">
      <c r="I640" s="40"/>
      <c r="M640" s="40"/>
    </row>
    <row r="641" spans="9:13" ht="15.75" customHeight="1" x14ac:dyDescent="0.25">
      <c r="I641" s="40"/>
      <c r="M641" s="40"/>
    </row>
    <row r="642" spans="9:13" ht="15.75" customHeight="1" x14ac:dyDescent="0.25">
      <c r="I642" s="40"/>
      <c r="M642" s="40"/>
    </row>
    <row r="643" spans="9:13" ht="15.75" customHeight="1" x14ac:dyDescent="0.25">
      <c r="I643" s="40"/>
      <c r="M643" s="40"/>
    </row>
    <row r="644" spans="9:13" ht="15.75" customHeight="1" x14ac:dyDescent="0.25">
      <c r="I644" s="40"/>
      <c r="M644" s="40"/>
    </row>
    <row r="645" spans="9:13" ht="15.75" customHeight="1" x14ac:dyDescent="0.25">
      <c r="I645" s="40"/>
      <c r="M645" s="40"/>
    </row>
    <row r="646" spans="9:13" ht="15.75" customHeight="1" x14ac:dyDescent="0.25">
      <c r="I646" s="40"/>
      <c r="M646" s="40"/>
    </row>
    <row r="647" spans="9:13" ht="15.75" customHeight="1" x14ac:dyDescent="0.25">
      <c r="I647" s="40"/>
      <c r="M647" s="40"/>
    </row>
    <row r="648" spans="9:13" ht="15.75" customHeight="1" x14ac:dyDescent="0.25">
      <c r="I648" s="40"/>
      <c r="M648" s="40"/>
    </row>
    <row r="649" spans="9:13" ht="15.75" customHeight="1" x14ac:dyDescent="0.25">
      <c r="I649" s="40"/>
      <c r="M649" s="40"/>
    </row>
    <row r="650" spans="9:13" ht="15.75" customHeight="1" x14ac:dyDescent="0.25">
      <c r="I650" s="40"/>
      <c r="M650" s="40"/>
    </row>
    <row r="651" spans="9:13" ht="15.75" customHeight="1" x14ac:dyDescent="0.25">
      <c r="I651" s="40"/>
      <c r="M651" s="40"/>
    </row>
    <row r="652" spans="9:13" ht="15.75" customHeight="1" x14ac:dyDescent="0.25">
      <c r="I652" s="40"/>
      <c r="M652" s="40"/>
    </row>
    <row r="653" spans="9:13" ht="15.75" customHeight="1" x14ac:dyDescent="0.25">
      <c r="I653" s="40"/>
      <c r="M653" s="40"/>
    </row>
    <row r="654" spans="9:13" ht="15.75" customHeight="1" x14ac:dyDescent="0.25">
      <c r="I654" s="40"/>
      <c r="M654" s="40"/>
    </row>
    <row r="655" spans="9:13" ht="15.75" customHeight="1" x14ac:dyDescent="0.25">
      <c r="I655" s="40"/>
      <c r="M655" s="40"/>
    </row>
    <row r="656" spans="9:13" ht="15.75" customHeight="1" x14ac:dyDescent="0.25">
      <c r="I656" s="40"/>
      <c r="M656" s="40"/>
    </row>
    <row r="657" spans="9:13" ht="15.75" customHeight="1" x14ac:dyDescent="0.25">
      <c r="I657" s="40"/>
      <c r="M657" s="40"/>
    </row>
    <row r="658" spans="9:13" ht="15.75" customHeight="1" x14ac:dyDescent="0.25">
      <c r="I658" s="40"/>
      <c r="M658" s="40"/>
    </row>
    <row r="659" spans="9:13" ht="15.75" customHeight="1" x14ac:dyDescent="0.25">
      <c r="I659" s="40"/>
      <c r="M659" s="40"/>
    </row>
    <row r="660" spans="9:13" ht="15.75" customHeight="1" x14ac:dyDescent="0.25">
      <c r="I660" s="40"/>
      <c r="M660" s="40"/>
    </row>
    <row r="661" spans="9:13" ht="15.75" customHeight="1" x14ac:dyDescent="0.25">
      <c r="I661" s="40"/>
      <c r="M661" s="40"/>
    </row>
    <row r="662" spans="9:13" ht="15.75" customHeight="1" x14ac:dyDescent="0.25">
      <c r="I662" s="40"/>
      <c r="M662" s="40"/>
    </row>
    <row r="663" spans="9:13" ht="15.75" customHeight="1" x14ac:dyDescent="0.25">
      <c r="I663" s="40"/>
      <c r="M663" s="40"/>
    </row>
    <row r="664" spans="9:13" ht="15.75" customHeight="1" x14ac:dyDescent="0.25">
      <c r="I664" s="40"/>
      <c r="M664" s="40"/>
    </row>
    <row r="665" spans="9:13" ht="15.75" customHeight="1" x14ac:dyDescent="0.25">
      <c r="I665" s="40"/>
      <c r="M665" s="40"/>
    </row>
    <row r="666" spans="9:13" ht="15.75" customHeight="1" x14ac:dyDescent="0.25">
      <c r="I666" s="40"/>
      <c r="M666" s="40"/>
    </row>
    <row r="667" spans="9:13" ht="15.75" customHeight="1" x14ac:dyDescent="0.25">
      <c r="I667" s="40"/>
      <c r="M667" s="40"/>
    </row>
    <row r="668" spans="9:13" ht="15.75" customHeight="1" x14ac:dyDescent="0.25">
      <c r="I668" s="40"/>
      <c r="M668" s="40"/>
    </row>
    <row r="669" spans="9:13" ht="15.75" customHeight="1" x14ac:dyDescent="0.25">
      <c r="I669" s="40"/>
      <c r="M669" s="40"/>
    </row>
    <row r="670" spans="9:13" ht="15.75" customHeight="1" x14ac:dyDescent="0.25">
      <c r="I670" s="40"/>
      <c r="M670" s="40"/>
    </row>
    <row r="671" spans="9:13" ht="15.75" customHeight="1" x14ac:dyDescent="0.25">
      <c r="I671" s="40"/>
      <c r="M671" s="40"/>
    </row>
    <row r="672" spans="9:13" ht="15.75" customHeight="1" x14ac:dyDescent="0.25">
      <c r="I672" s="40"/>
      <c r="M672" s="40"/>
    </row>
    <row r="673" spans="9:13" ht="15.75" customHeight="1" x14ac:dyDescent="0.25">
      <c r="I673" s="40"/>
      <c r="M673" s="40"/>
    </row>
    <row r="674" spans="9:13" ht="15.75" customHeight="1" x14ac:dyDescent="0.25">
      <c r="I674" s="40"/>
      <c r="M674" s="40"/>
    </row>
    <row r="675" spans="9:13" ht="15.75" customHeight="1" x14ac:dyDescent="0.25">
      <c r="I675" s="40"/>
      <c r="M675" s="40"/>
    </row>
    <row r="676" spans="9:13" ht="15.75" customHeight="1" x14ac:dyDescent="0.25">
      <c r="I676" s="40"/>
      <c r="M676" s="40"/>
    </row>
    <row r="677" spans="9:13" ht="15.75" customHeight="1" x14ac:dyDescent="0.25">
      <c r="I677" s="40"/>
      <c r="M677" s="40"/>
    </row>
    <row r="678" spans="9:13" ht="15.75" customHeight="1" x14ac:dyDescent="0.25">
      <c r="I678" s="40"/>
      <c r="M678" s="40"/>
    </row>
    <row r="679" spans="9:13" ht="15.75" customHeight="1" x14ac:dyDescent="0.25">
      <c r="I679" s="40"/>
      <c r="M679" s="40"/>
    </row>
    <row r="680" spans="9:13" ht="15.75" customHeight="1" x14ac:dyDescent="0.25">
      <c r="I680" s="40"/>
      <c r="M680" s="40"/>
    </row>
    <row r="681" spans="9:13" ht="15.75" customHeight="1" x14ac:dyDescent="0.25">
      <c r="I681" s="40"/>
      <c r="M681" s="40"/>
    </row>
    <row r="682" spans="9:13" ht="15.75" customHeight="1" x14ac:dyDescent="0.25">
      <c r="I682" s="40"/>
      <c r="M682" s="40"/>
    </row>
    <row r="683" spans="9:13" ht="15.75" customHeight="1" x14ac:dyDescent="0.25">
      <c r="I683" s="40"/>
      <c r="M683" s="40"/>
    </row>
    <row r="684" spans="9:13" ht="15.75" customHeight="1" x14ac:dyDescent="0.25">
      <c r="I684" s="40"/>
      <c r="M684" s="40"/>
    </row>
    <row r="685" spans="9:13" ht="15.75" customHeight="1" x14ac:dyDescent="0.25">
      <c r="I685" s="40"/>
      <c r="M685" s="40"/>
    </row>
    <row r="686" spans="9:13" ht="15.75" customHeight="1" x14ac:dyDescent="0.25">
      <c r="I686" s="40"/>
      <c r="M686" s="40"/>
    </row>
    <row r="687" spans="9:13" ht="15.75" customHeight="1" x14ac:dyDescent="0.25">
      <c r="I687" s="40"/>
      <c r="M687" s="40"/>
    </row>
    <row r="688" spans="9:13" ht="15.75" customHeight="1" x14ac:dyDescent="0.25">
      <c r="I688" s="40"/>
      <c r="M688" s="40"/>
    </row>
    <row r="689" spans="9:13" ht="15.75" customHeight="1" x14ac:dyDescent="0.25">
      <c r="I689" s="40"/>
      <c r="M689" s="40"/>
    </row>
    <row r="690" spans="9:13" ht="15.75" customHeight="1" x14ac:dyDescent="0.25">
      <c r="I690" s="40"/>
      <c r="M690" s="40"/>
    </row>
    <row r="691" spans="9:13" ht="15.75" customHeight="1" x14ac:dyDescent="0.25">
      <c r="I691" s="40"/>
      <c r="M691" s="40"/>
    </row>
    <row r="692" spans="9:13" ht="15.75" customHeight="1" x14ac:dyDescent="0.25">
      <c r="I692" s="40"/>
      <c r="M692" s="40"/>
    </row>
    <row r="693" spans="9:13" ht="15.75" customHeight="1" x14ac:dyDescent="0.25">
      <c r="I693" s="40"/>
      <c r="M693" s="40"/>
    </row>
    <row r="694" spans="9:13" ht="15.75" customHeight="1" x14ac:dyDescent="0.25">
      <c r="I694" s="40"/>
      <c r="M694" s="40"/>
    </row>
    <row r="695" spans="9:13" ht="15.75" customHeight="1" x14ac:dyDescent="0.25">
      <c r="I695" s="40"/>
      <c r="M695" s="40"/>
    </row>
    <row r="696" spans="9:13" ht="15.75" customHeight="1" x14ac:dyDescent="0.25">
      <c r="I696" s="40"/>
      <c r="M696" s="40"/>
    </row>
    <row r="697" spans="9:13" ht="15.75" customHeight="1" x14ac:dyDescent="0.25">
      <c r="I697" s="40"/>
      <c r="M697" s="40"/>
    </row>
    <row r="698" spans="9:13" ht="15.75" customHeight="1" x14ac:dyDescent="0.25">
      <c r="I698" s="40"/>
      <c r="M698" s="40"/>
    </row>
    <row r="699" spans="9:13" ht="15.75" customHeight="1" x14ac:dyDescent="0.25">
      <c r="I699" s="40"/>
      <c r="M699" s="40"/>
    </row>
    <row r="700" spans="9:13" ht="15.75" customHeight="1" x14ac:dyDescent="0.25">
      <c r="I700" s="40"/>
      <c r="M700" s="40"/>
    </row>
    <row r="701" spans="9:13" ht="15.75" customHeight="1" x14ac:dyDescent="0.25">
      <c r="I701" s="40"/>
      <c r="M701" s="40"/>
    </row>
    <row r="702" spans="9:13" ht="15.75" customHeight="1" x14ac:dyDescent="0.25">
      <c r="I702" s="40"/>
      <c r="M702" s="40"/>
    </row>
    <row r="703" spans="9:13" ht="15.75" customHeight="1" x14ac:dyDescent="0.25">
      <c r="I703" s="40"/>
      <c r="M703" s="40"/>
    </row>
    <row r="704" spans="9:13" ht="15.75" customHeight="1" x14ac:dyDescent="0.25">
      <c r="I704" s="40"/>
      <c r="M704" s="40"/>
    </row>
    <row r="705" spans="9:13" ht="15.75" customHeight="1" x14ac:dyDescent="0.25">
      <c r="I705" s="40"/>
      <c r="M705" s="40"/>
    </row>
    <row r="706" spans="9:13" ht="15.75" customHeight="1" x14ac:dyDescent="0.25">
      <c r="I706" s="40"/>
      <c r="M706" s="40"/>
    </row>
    <row r="707" spans="9:13" ht="15.75" customHeight="1" x14ac:dyDescent="0.25">
      <c r="I707" s="40"/>
      <c r="M707" s="40"/>
    </row>
    <row r="708" spans="9:13" ht="15.75" customHeight="1" x14ac:dyDescent="0.25">
      <c r="I708" s="40"/>
      <c r="M708" s="40"/>
    </row>
    <row r="709" spans="9:13" ht="15.75" customHeight="1" x14ac:dyDescent="0.25">
      <c r="I709" s="40"/>
      <c r="M709" s="40"/>
    </row>
    <row r="710" spans="9:13" ht="15.75" customHeight="1" x14ac:dyDescent="0.25">
      <c r="I710" s="40"/>
      <c r="M710" s="40"/>
    </row>
    <row r="711" spans="9:13" ht="15.75" customHeight="1" x14ac:dyDescent="0.25">
      <c r="I711" s="40"/>
      <c r="M711" s="40"/>
    </row>
    <row r="712" spans="9:13" ht="15.75" customHeight="1" x14ac:dyDescent="0.25">
      <c r="I712" s="40"/>
      <c r="M712" s="40"/>
    </row>
    <row r="713" spans="9:13" ht="15.75" customHeight="1" x14ac:dyDescent="0.25">
      <c r="I713" s="40"/>
      <c r="M713" s="40"/>
    </row>
    <row r="714" spans="9:13" ht="15.75" customHeight="1" x14ac:dyDescent="0.25">
      <c r="I714" s="40"/>
      <c r="M714" s="40"/>
    </row>
    <row r="715" spans="9:13" ht="15.75" customHeight="1" x14ac:dyDescent="0.25">
      <c r="I715" s="40"/>
      <c r="M715" s="40"/>
    </row>
    <row r="716" spans="9:13" ht="15.75" customHeight="1" x14ac:dyDescent="0.25">
      <c r="I716" s="40"/>
      <c r="M716" s="40"/>
    </row>
    <row r="717" spans="9:13" ht="15.75" customHeight="1" x14ac:dyDescent="0.25">
      <c r="I717" s="40"/>
      <c r="M717" s="40"/>
    </row>
    <row r="718" spans="9:13" ht="15.75" customHeight="1" x14ac:dyDescent="0.25">
      <c r="I718" s="40"/>
      <c r="M718" s="40"/>
    </row>
    <row r="719" spans="9:13" ht="15.75" customHeight="1" x14ac:dyDescent="0.25">
      <c r="I719" s="40"/>
      <c r="M719" s="40"/>
    </row>
    <row r="720" spans="9:13" ht="15.75" customHeight="1" x14ac:dyDescent="0.25">
      <c r="I720" s="40"/>
      <c r="M720" s="40"/>
    </row>
    <row r="721" spans="9:13" ht="15.75" customHeight="1" x14ac:dyDescent="0.25">
      <c r="I721" s="40"/>
      <c r="M721" s="40"/>
    </row>
    <row r="722" spans="9:13" ht="15.75" customHeight="1" x14ac:dyDescent="0.25">
      <c r="I722" s="40"/>
      <c r="M722" s="40"/>
    </row>
    <row r="723" spans="9:13" ht="15.75" customHeight="1" x14ac:dyDescent="0.25">
      <c r="I723" s="40"/>
      <c r="M723" s="40"/>
    </row>
    <row r="724" spans="9:13" ht="15.75" customHeight="1" x14ac:dyDescent="0.25">
      <c r="I724" s="40"/>
      <c r="M724" s="40"/>
    </row>
    <row r="725" spans="9:13" ht="15.75" customHeight="1" x14ac:dyDescent="0.25">
      <c r="I725" s="40"/>
      <c r="M725" s="40"/>
    </row>
    <row r="726" spans="9:13" ht="15.75" customHeight="1" x14ac:dyDescent="0.25">
      <c r="I726" s="40"/>
      <c r="M726" s="40"/>
    </row>
    <row r="727" spans="9:13" ht="15.75" customHeight="1" x14ac:dyDescent="0.25">
      <c r="I727" s="40"/>
      <c r="M727" s="40"/>
    </row>
    <row r="728" spans="9:13" ht="15.75" customHeight="1" x14ac:dyDescent="0.25">
      <c r="I728" s="40"/>
      <c r="M728" s="40"/>
    </row>
    <row r="729" spans="9:13" ht="15.75" customHeight="1" x14ac:dyDescent="0.25">
      <c r="I729" s="40"/>
      <c r="M729" s="40"/>
    </row>
    <row r="730" spans="9:13" ht="15.75" customHeight="1" x14ac:dyDescent="0.25">
      <c r="I730" s="40"/>
      <c r="M730" s="40"/>
    </row>
    <row r="731" spans="9:13" ht="15.75" customHeight="1" x14ac:dyDescent="0.25">
      <c r="I731" s="40"/>
      <c r="M731" s="40"/>
    </row>
    <row r="732" spans="9:13" ht="15.75" customHeight="1" x14ac:dyDescent="0.25">
      <c r="I732" s="40"/>
      <c r="M732" s="40"/>
    </row>
    <row r="733" spans="9:13" ht="15.75" customHeight="1" x14ac:dyDescent="0.25">
      <c r="I733" s="40"/>
      <c r="M733" s="40"/>
    </row>
    <row r="734" spans="9:13" ht="15.75" customHeight="1" x14ac:dyDescent="0.25">
      <c r="I734" s="40"/>
      <c r="M734" s="40"/>
    </row>
    <row r="735" spans="9:13" ht="15.75" customHeight="1" x14ac:dyDescent="0.25">
      <c r="I735" s="40"/>
      <c r="M735" s="40"/>
    </row>
    <row r="736" spans="9:13" ht="15.75" customHeight="1" x14ac:dyDescent="0.25">
      <c r="I736" s="40"/>
      <c r="M736" s="40"/>
    </row>
    <row r="737" spans="9:13" ht="15.75" customHeight="1" x14ac:dyDescent="0.25">
      <c r="I737" s="40"/>
      <c r="M737" s="40"/>
    </row>
    <row r="738" spans="9:13" ht="15.75" customHeight="1" x14ac:dyDescent="0.25">
      <c r="I738" s="40"/>
      <c r="M738" s="40"/>
    </row>
    <row r="739" spans="9:13" ht="15.75" customHeight="1" x14ac:dyDescent="0.25">
      <c r="I739" s="40"/>
      <c r="M739" s="40"/>
    </row>
    <row r="740" spans="9:13" ht="15.75" customHeight="1" x14ac:dyDescent="0.25">
      <c r="I740" s="40"/>
      <c r="M740" s="40"/>
    </row>
    <row r="741" spans="9:13" ht="15.75" customHeight="1" x14ac:dyDescent="0.25">
      <c r="I741" s="40"/>
      <c r="M741" s="40"/>
    </row>
    <row r="742" spans="9:13" ht="15.75" customHeight="1" x14ac:dyDescent="0.25">
      <c r="I742" s="40"/>
      <c r="M742" s="40"/>
    </row>
    <row r="743" spans="9:13" ht="15.75" customHeight="1" x14ac:dyDescent="0.25">
      <c r="I743" s="40"/>
      <c r="M743" s="40"/>
    </row>
    <row r="744" spans="9:13" ht="15.75" customHeight="1" x14ac:dyDescent="0.25">
      <c r="I744" s="40"/>
      <c r="M744" s="40"/>
    </row>
    <row r="745" spans="9:13" ht="15.75" customHeight="1" x14ac:dyDescent="0.25">
      <c r="I745" s="40"/>
      <c r="M745" s="40"/>
    </row>
    <row r="746" spans="9:13" ht="15.75" customHeight="1" x14ac:dyDescent="0.25">
      <c r="I746" s="40"/>
      <c r="M746" s="40"/>
    </row>
    <row r="747" spans="9:13" ht="15.75" customHeight="1" x14ac:dyDescent="0.25">
      <c r="I747" s="40"/>
      <c r="M747" s="40"/>
    </row>
    <row r="748" spans="9:13" ht="15.75" customHeight="1" x14ac:dyDescent="0.25">
      <c r="I748" s="40"/>
      <c r="M748" s="40"/>
    </row>
    <row r="749" spans="9:13" ht="15.75" customHeight="1" x14ac:dyDescent="0.25">
      <c r="I749" s="40"/>
      <c r="M749" s="40"/>
    </row>
    <row r="750" spans="9:13" ht="15.75" customHeight="1" x14ac:dyDescent="0.25">
      <c r="I750" s="40"/>
      <c r="M750" s="40"/>
    </row>
    <row r="751" spans="9:13" ht="15.75" customHeight="1" x14ac:dyDescent="0.25">
      <c r="I751" s="40"/>
      <c r="M751" s="40"/>
    </row>
    <row r="752" spans="9:13" ht="15.75" customHeight="1" x14ac:dyDescent="0.25">
      <c r="I752" s="40"/>
      <c r="M752" s="40"/>
    </row>
    <row r="753" spans="9:13" ht="15.75" customHeight="1" x14ac:dyDescent="0.25">
      <c r="I753" s="40"/>
      <c r="M753" s="40"/>
    </row>
    <row r="754" spans="9:13" ht="15.75" customHeight="1" x14ac:dyDescent="0.25">
      <c r="I754" s="40"/>
      <c r="M754" s="40"/>
    </row>
    <row r="755" spans="9:13" ht="15.75" customHeight="1" x14ac:dyDescent="0.25">
      <c r="I755" s="40"/>
      <c r="M755" s="40"/>
    </row>
    <row r="756" spans="9:13" ht="15.75" customHeight="1" x14ac:dyDescent="0.25">
      <c r="I756" s="40"/>
      <c r="M756" s="40"/>
    </row>
    <row r="757" spans="9:13" ht="15.75" customHeight="1" x14ac:dyDescent="0.25">
      <c r="I757" s="40"/>
      <c r="M757" s="40"/>
    </row>
    <row r="758" spans="9:13" ht="15.75" customHeight="1" x14ac:dyDescent="0.25">
      <c r="I758" s="40"/>
      <c r="M758" s="40"/>
    </row>
    <row r="759" spans="9:13" ht="15.75" customHeight="1" x14ac:dyDescent="0.25">
      <c r="I759" s="40"/>
      <c r="M759" s="40"/>
    </row>
    <row r="760" spans="9:13" ht="15.75" customHeight="1" x14ac:dyDescent="0.25">
      <c r="I760" s="40"/>
      <c r="M760" s="40"/>
    </row>
    <row r="761" spans="9:13" ht="15.75" customHeight="1" x14ac:dyDescent="0.25">
      <c r="I761" s="40"/>
      <c r="M761" s="40"/>
    </row>
    <row r="762" spans="9:13" ht="15.75" customHeight="1" x14ac:dyDescent="0.25">
      <c r="I762" s="40"/>
      <c r="M762" s="40"/>
    </row>
    <row r="763" spans="9:13" ht="15.75" customHeight="1" x14ac:dyDescent="0.25">
      <c r="I763" s="40"/>
      <c r="M763" s="40"/>
    </row>
    <row r="764" spans="9:13" ht="15.75" customHeight="1" x14ac:dyDescent="0.25">
      <c r="I764" s="40"/>
      <c r="M764" s="40"/>
    </row>
    <row r="765" spans="9:13" ht="15.75" customHeight="1" x14ac:dyDescent="0.25">
      <c r="I765" s="40"/>
      <c r="M765" s="40"/>
    </row>
    <row r="766" spans="9:13" ht="15.75" customHeight="1" x14ac:dyDescent="0.25">
      <c r="I766" s="40"/>
      <c r="M766" s="40"/>
    </row>
    <row r="767" spans="9:13" ht="15.75" customHeight="1" x14ac:dyDescent="0.25">
      <c r="I767" s="40"/>
      <c r="M767" s="40"/>
    </row>
    <row r="768" spans="9:13" ht="15.75" customHeight="1" x14ac:dyDescent="0.25">
      <c r="I768" s="40"/>
      <c r="M768" s="40"/>
    </row>
    <row r="769" spans="9:13" ht="15.75" customHeight="1" x14ac:dyDescent="0.25">
      <c r="I769" s="40"/>
      <c r="M769" s="40"/>
    </row>
    <row r="770" spans="9:13" ht="15.75" customHeight="1" x14ac:dyDescent="0.25">
      <c r="I770" s="40"/>
      <c r="M770" s="40"/>
    </row>
    <row r="771" spans="9:13" ht="15.75" customHeight="1" x14ac:dyDescent="0.25">
      <c r="I771" s="40"/>
      <c r="M771" s="40"/>
    </row>
    <row r="772" spans="9:13" ht="15.75" customHeight="1" x14ac:dyDescent="0.25">
      <c r="I772" s="40"/>
      <c r="M772" s="40"/>
    </row>
    <row r="773" spans="9:13" ht="15.75" customHeight="1" x14ac:dyDescent="0.25">
      <c r="I773" s="40"/>
      <c r="M773" s="40"/>
    </row>
    <row r="774" spans="9:13" ht="15.75" customHeight="1" x14ac:dyDescent="0.25">
      <c r="I774" s="40"/>
      <c r="M774" s="40"/>
    </row>
    <row r="775" spans="9:13" ht="15.75" customHeight="1" x14ac:dyDescent="0.25">
      <c r="I775" s="40"/>
      <c r="M775" s="40"/>
    </row>
    <row r="776" spans="9:13" ht="15.75" customHeight="1" x14ac:dyDescent="0.25">
      <c r="I776" s="40"/>
      <c r="M776" s="40"/>
    </row>
    <row r="777" spans="9:13" ht="15.75" customHeight="1" x14ac:dyDescent="0.25">
      <c r="I777" s="40"/>
      <c r="M777" s="40"/>
    </row>
    <row r="778" spans="9:13" ht="15.75" customHeight="1" x14ac:dyDescent="0.25">
      <c r="I778" s="40"/>
      <c r="M778" s="40"/>
    </row>
    <row r="779" spans="9:13" ht="15.75" customHeight="1" x14ac:dyDescent="0.25">
      <c r="I779" s="40"/>
      <c r="M779" s="40"/>
    </row>
    <row r="780" spans="9:13" ht="15.75" customHeight="1" x14ac:dyDescent="0.25">
      <c r="I780" s="40"/>
      <c r="M780" s="40"/>
    </row>
    <row r="781" spans="9:13" ht="15.75" customHeight="1" x14ac:dyDescent="0.25">
      <c r="I781" s="40"/>
      <c r="M781" s="40"/>
    </row>
    <row r="782" spans="9:13" ht="15.75" customHeight="1" x14ac:dyDescent="0.25">
      <c r="I782" s="40"/>
      <c r="M782" s="40"/>
    </row>
    <row r="783" spans="9:13" ht="15.75" customHeight="1" x14ac:dyDescent="0.25">
      <c r="I783" s="40"/>
      <c r="M783" s="40"/>
    </row>
    <row r="784" spans="9:13" ht="15.75" customHeight="1" x14ac:dyDescent="0.25">
      <c r="I784" s="40"/>
      <c r="M784" s="40"/>
    </row>
    <row r="785" spans="9:13" ht="15.75" customHeight="1" x14ac:dyDescent="0.25">
      <c r="I785" s="40"/>
      <c r="M785" s="40"/>
    </row>
    <row r="786" spans="9:13" ht="15.75" customHeight="1" x14ac:dyDescent="0.25">
      <c r="I786" s="40"/>
      <c r="M786" s="40"/>
    </row>
    <row r="787" spans="9:13" ht="15.75" customHeight="1" x14ac:dyDescent="0.25">
      <c r="I787" s="40"/>
      <c r="M787" s="40"/>
    </row>
    <row r="788" spans="9:13" ht="15.75" customHeight="1" x14ac:dyDescent="0.25">
      <c r="I788" s="40"/>
      <c r="M788" s="40"/>
    </row>
    <row r="789" spans="9:13" ht="15.75" customHeight="1" x14ac:dyDescent="0.25">
      <c r="I789" s="40"/>
      <c r="M789" s="40"/>
    </row>
    <row r="790" spans="9:13" ht="15.75" customHeight="1" x14ac:dyDescent="0.25">
      <c r="I790" s="40"/>
      <c r="M790" s="40"/>
    </row>
    <row r="791" spans="9:13" ht="15.75" customHeight="1" x14ac:dyDescent="0.25">
      <c r="I791" s="40"/>
      <c r="M791" s="40"/>
    </row>
    <row r="792" spans="9:13" ht="15.75" customHeight="1" x14ac:dyDescent="0.25">
      <c r="I792" s="40"/>
      <c r="M792" s="40"/>
    </row>
    <row r="793" spans="9:13" ht="15.75" customHeight="1" x14ac:dyDescent="0.25">
      <c r="I793" s="40"/>
      <c r="M793" s="40"/>
    </row>
    <row r="794" spans="9:13" ht="15.75" customHeight="1" x14ac:dyDescent="0.25">
      <c r="I794" s="40"/>
      <c r="M794" s="40"/>
    </row>
    <row r="795" spans="9:13" ht="15.75" customHeight="1" x14ac:dyDescent="0.25">
      <c r="I795" s="40"/>
      <c r="M795" s="40"/>
    </row>
    <row r="796" spans="9:13" ht="15.75" customHeight="1" x14ac:dyDescent="0.25">
      <c r="I796" s="40"/>
      <c r="M796" s="40"/>
    </row>
    <row r="797" spans="9:13" ht="15.75" customHeight="1" x14ac:dyDescent="0.25">
      <c r="I797" s="40"/>
      <c r="M797" s="40"/>
    </row>
    <row r="798" spans="9:13" ht="15.75" customHeight="1" x14ac:dyDescent="0.25">
      <c r="I798" s="40"/>
      <c r="M798" s="40"/>
    </row>
    <row r="799" spans="9:13" ht="15.75" customHeight="1" x14ac:dyDescent="0.25">
      <c r="I799" s="40"/>
      <c r="M799" s="40"/>
    </row>
    <row r="800" spans="9:13" ht="15.75" customHeight="1" x14ac:dyDescent="0.25">
      <c r="I800" s="40"/>
      <c r="M800" s="40"/>
    </row>
    <row r="801" spans="9:13" ht="15.75" customHeight="1" x14ac:dyDescent="0.25">
      <c r="I801" s="40"/>
      <c r="M801" s="40"/>
    </row>
    <row r="802" spans="9:13" ht="15.75" customHeight="1" x14ac:dyDescent="0.25">
      <c r="I802" s="40"/>
      <c r="M802" s="40"/>
    </row>
    <row r="803" spans="9:13" ht="15.75" customHeight="1" x14ac:dyDescent="0.25">
      <c r="I803" s="40"/>
      <c r="M803" s="40"/>
    </row>
    <row r="804" spans="9:13" ht="15.75" customHeight="1" x14ac:dyDescent="0.25">
      <c r="I804" s="40"/>
      <c r="M804" s="40"/>
    </row>
    <row r="805" spans="9:13" ht="15.75" customHeight="1" x14ac:dyDescent="0.25">
      <c r="I805" s="40"/>
      <c r="M805" s="40"/>
    </row>
    <row r="806" spans="9:13" ht="15.75" customHeight="1" x14ac:dyDescent="0.25">
      <c r="I806" s="40"/>
      <c r="M806" s="40"/>
    </row>
    <row r="807" spans="9:13" ht="15.75" customHeight="1" x14ac:dyDescent="0.25">
      <c r="I807" s="40"/>
      <c r="M807" s="40"/>
    </row>
    <row r="808" spans="9:13" ht="15.75" customHeight="1" x14ac:dyDescent="0.25">
      <c r="I808" s="40"/>
      <c r="M808" s="40"/>
    </row>
    <row r="809" spans="9:13" ht="15.75" customHeight="1" x14ac:dyDescent="0.25">
      <c r="I809" s="40"/>
      <c r="M809" s="40"/>
    </row>
    <row r="810" spans="9:13" ht="15.75" customHeight="1" x14ac:dyDescent="0.25">
      <c r="I810" s="40"/>
      <c r="M810" s="40"/>
    </row>
    <row r="811" spans="9:13" ht="15.75" customHeight="1" x14ac:dyDescent="0.25">
      <c r="I811" s="40"/>
      <c r="M811" s="40"/>
    </row>
    <row r="812" spans="9:13" ht="15.75" customHeight="1" x14ac:dyDescent="0.25">
      <c r="I812" s="40"/>
      <c r="M812" s="40"/>
    </row>
    <row r="813" spans="9:13" ht="15.75" customHeight="1" x14ac:dyDescent="0.25">
      <c r="I813" s="40"/>
      <c r="M813" s="40"/>
    </row>
    <row r="814" spans="9:13" ht="15.75" customHeight="1" x14ac:dyDescent="0.25">
      <c r="I814" s="40"/>
      <c r="M814" s="40"/>
    </row>
    <row r="815" spans="9:13" ht="15.75" customHeight="1" x14ac:dyDescent="0.25">
      <c r="I815" s="40"/>
      <c r="M815" s="40"/>
    </row>
    <row r="816" spans="9:13" ht="15.75" customHeight="1" x14ac:dyDescent="0.25">
      <c r="I816" s="40"/>
      <c r="M816" s="40"/>
    </row>
    <row r="817" spans="9:13" ht="15.75" customHeight="1" x14ac:dyDescent="0.25">
      <c r="I817" s="40"/>
      <c r="M817" s="40"/>
    </row>
    <row r="818" spans="9:13" ht="15.75" customHeight="1" x14ac:dyDescent="0.25">
      <c r="I818" s="40"/>
      <c r="M818" s="40"/>
    </row>
    <row r="819" spans="9:13" ht="15.75" customHeight="1" x14ac:dyDescent="0.25">
      <c r="I819" s="40"/>
      <c r="M819" s="40"/>
    </row>
    <row r="820" spans="9:13" ht="15.75" customHeight="1" x14ac:dyDescent="0.25">
      <c r="I820" s="40"/>
      <c r="M820" s="40"/>
    </row>
    <row r="821" spans="9:13" ht="15.75" customHeight="1" x14ac:dyDescent="0.25">
      <c r="I821" s="40"/>
      <c r="M821" s="40"/>
    </row>
    <row r="822" spans="9:13" ht="15.75" customHeight="1" x14ac:dyDescent="0.25">
      <c r="I822" s="40"/>
      <c r="M822" s="40"/>
    </row>
    <row r="823" spans="9:13" ht="15.75" customHeight="1" x14ac:dyDescent="0.25">
      <c r="I823" s="40"/>
      <c r="M823" s="40"/>
    </row>
    <row r="824" spans="9:13" ht="15.75" customHeight="1" x14ac:dyDescent="0.25">
      <c r="I824" s="40"/>
      <c r="M824" s="40"/>
    </row>
    <row r="825" spans="9:13" ht="15.75" customHeight="1" x14ac:dyDescent="0.25">
      <c r="I825" s="40"/>
      <c r="M825" s="40"/>
    </row>
    <row r="826" spans="9:13" ht="15.75" customHeight="1" x14ac:dyDescent="0.25">
      <c r="I826" s="40"/>
      <c r="M826" s="40"/>
    </row>
    <row r="827" spans="9:13" ht="15.75" customHeight="1" x14ac:dyDescent="0.25">
      <c r="I827" s="40"/>
      <c r="M827" s="40"/>
    </row>
    <row r="828" spans="9:13" ht="15.75" customHeight="1" x14ac:dyDescent="0.25">
      <c r="I828" s="40"/>
      <c r="M828" s="40"/>
    </row>
    <row r="829" spans="9:13" ht="15.75" customHeight="1" x14ac:dyDescent="0.25">
      <c r="I829" s="40"/>
      <c r="M829" s="40"/>
    </row>
    <row r="830" spans="9:13" ht="15.75" customHeight="1" x14ac:dyDescent="0.25">
      <c r="I830" s="40"/>
      <c r="M830" s="40"/>
    </row>
    <row r="831" spans="9:13" ht="15.75" customHeight="1" x14ac:dyDescent="0.25">
      <c r="I831" s="40"/>
      <c r="M831" s="40"/>
    </row>
    <row r="832" spans="9:13" ht="15.75" customHeight="1" x14ac:dyDescent="0.25">
      <c r="I832" s="40"/>
      <c r="M832" s="40"/>
    </row>
    <row r="833" spans="9:13" ht="15.75" customHeight="1" x14ac:dyDescent="0.25">
      <c r="I833" s="40"/>
      <c r="M833" s="40"/>
    </row>
    <row r="834" spans="9:13" ht="15.75" customHeight="1" x14ac:dyDescent="0.25">
      <c r="I834" s="40"/>
      <c r="M834" s="40"/>
    </row>
    <row r="835" spans="9:13" ht="15.75" customHeight="1" x14ac:dyDescent="0.25">
      <c r="I835" s="40"/>
      <c r="M835" s="40"/>
    </row>
    <row r="836" spans="9:13" ht="15.75" customHeight="1" x14ac:dyDescent="0.25">
      <c r="I836" s="40"/>
      <c r="M836" s="40"/>
    </row>
    <row r="837" spans="9:13" ht="15.75" customHeight="1" x14ac:dyDescent="0.25">
      <c r="I837" s="40"/>
      <c r="M837" s="40"/>
    </row>
    <row r="838" spans="9:13" ht="15.75" customHeight="1" x14ac:dyDescent="0.25">
      <c r="I838" s="40"/>
      <c r="M838" s="40"/>
    </row>
    <row r="839" spans="9:13" ht="15.75" customHeight="1" x14ac:dyDescent="0.25">
      <c r="I839" s="40"/>
      <c r="M839" s="40"/>
    </row>
    <row r="840" spans="9:13" ht="15.75" customHeight="1" x14ac:dyDescent="0.25">
      <c r="I840" s="40"/>
      <c r="M840" s="40"/>
    </row>
    <row r="841" spans="9:13" ht="15.75" customHeight="1" x14ac:dyDescent="0.25">
      <c r="I841" s="40"/>
      <c r="M841" s="40"/>
    </row>
    <row r="842" spans="9:13" ht="15.75" customHeight="1" x14ac:dyDescent="0.25">
      <c r="I842" s="40"/>
      <c r="M842" s="40"/>
    </row>
    <row r="843" spans="9:13" ht="15.75" customHeight="1" x14ac:dyDescent="0.25">
      <c r="I843" s="40"/>
      <c r="M843" s="40"/>
    </row>
    <row r="844" spans="9:13" ht="15.75" customHeight="1" x14ac:dyDescent="0.25">
      <c r="I844" s="40"/>
      <c r="M844" s="40"/>
    </row>
    <row r="845" spans="9:13" ht="15.75" customHeight="1" x14ac:dyDescent="0.25">
      <c r="I845" s="40"/>
      <c r="M845" s="40"/>
    </row>
    <row r="846" spans="9:13" ht="15.75" customHeight="1" x14ac:dyDescent="0.25">
      <c r="I846" s="40"/>
      <c r="M846" s="40"/>
    </row>
    <row r="847" spans="9:13" ht="15.75" customHeight="1" x14ac:dyDescent="0.25">
      <c r="I847" s="40"/>
      <c r="M847" s="40"/>
    </row>
    <row r="848" spans="9:13" ht="15.75" customHeight="1" x14ac:dyDescent="0.25">
      <c r="I848" s="40"/>
      <c r="M848" s="40"/>
    </row>
    <row r="849" spans="9:13" ht="15.75" customHeight="1" x14ac:dyDescent="0.25">
      <c r="I849" s="40"/>
      <c r="M849" s="40"/>
    </row>
    <row r="850" spans="9:13" ht="15.75" customHeight="1" x14ac:dyDescent="0.25">
      <c r="I850" s="40"/>
      <c r="M850" s="40"/>
    </row>
    <row r="851" spans="9:13" ht="15.75" customHeight="1" x14ac:dyDescent="0.25">
      <c r="I851" s="40"/>
      <c r="M851" s="40"/>
    </row>
    <row r="852" spans="9:13" ht="15.75" customHeight="1" x14ac:dyDescent="0.25">
      <c r="I852" s="40"/>
      <c r="M852" s="40"/>
    </row>
    <row r="853" spans="9:13" ht="15.75" customHeight="1" x14ac:dyDescent="0.25">
      <c r="I853" s="40"/>
      <c r="M853" s="40"/>
    </row>
    <row r="854" spans="9:13" ht="15.75" customHeight="1" x14ac:dyDescent="0.25">
      <c r="I854" s="40"/>
      <c r="M854" s="40"/>
    </row>
    <row r="855" spans="9:13" ht="15.75" customHeight="1" x14ac:dyDescent="0.25">
      <c r="I855" s="40"/>
      <c r="M855" s="40"/>
    </row>
    <row r="856" spans="9:13" ht="15.75" customHeight="1" x14ac:dyDescent="0.25">
      <c r="I856" s="40"/>
      <c r="M856" s="40"/>
    </row>
    <row r="857" spans="9:13" ht="15.75" customHeight="1" x14ac:dyDescent="0.25">
      <c r="I857" s="40"/>
      <c r="M857" s="40"/>
    </row>
    <row r="858" spans="9:13" ht="15.75" customHeight="1" x14ac:dyDescent="0.25">
      <c r="I858" s="40"/>
      <c r="M858" s="40"/>
    </row>
    <row r="859" spans="9:13" ht="15.75" customHeight="1" x14ac:dyDescent="0.25">
      <c r="I859" s="40"/>
      <c r="M859" s="40"/>
    </row>
    <row r="860" spans="9:13" ht="15.75" customHeight="1" x14ac:dyDescent="0.25">
      <c r="I860" s="40"/>
      <c r="M860" s="40"/>
    </row>
    <row r="861" spans="9:13" ht="15.75" customHeight="1" x14ac:dyDescent="0.25">
      <c r="I861" s="40"/>
      <c r="M861" s="40"/>
    </row>
    <row r="862" spans="9:13" ht="15.75" customHeight="1" x14ac:dyDescent="0.25">
      <c r="I862" s="40"/>
      <c r="M862" s="40"/>
    </row>
    <row r="863" spans="9:13" ht="15.75" customHeight="1" x14ac:dyDescent="0.25">
      <c r="I863" s="40"/>
      <c r="M863" s="40"/>
    </row>
    <row r="864" spans="9:13" ht="15.75" customHeight="1" x14ac:dyDescent="0.25">
      <c r="I864" s="40"/>
      <c r="M864" s="40"/>
    </row>
    <row r="865" spans="9:13" ht="15.75" customHeight="1" x14ac:dyDescent="0.25">
      <c r="I865" s="40"/>
      <c r="M865" s="40"/>
    </row>
    <row r="866" spans="9:13" ht="15.75" customHeight="1" x14ac:dyDescent="0.25">
      <c r="I866" s="40"/>
      <c r="M866" s="40"/>
    </row>
    <row r="867" spans="9:13" ht="15.75" customHeight="1" x14ac:dyDescent="0.25">
      <c r="I867" s="40"/>
      <c r="M867" s="40"/>
    </row>
    <row r="868" spans="9:13" ht="15.75" customHeight="1" x14ac:dyDescent="0.25">
      <c r="I868" s="40"/>
      <c r="M868" s="40"/>
    </row>
    <row r="869" spans="9:13" ht="15.75" customHeight="1" x14ac:dyDescent="0.25">
      <c r="I869" s="40"/>
      <c r="M869" s="40"/>
    </row>
    <row r="870" spans="9:13" ht="15.75" customHeight="1" x14ac:dyDescent="0.25">
      <c r="I870" s="40"/>
      <c r="M870" s="40"/>
    </row>
    <row r="871" spans="9:13" ht="15.75" customHeight="1" x14ac:dyDescent="0.25">
      <c r="I871" s="40"/>
      <c r="M871" s="40"/>
    </row>
    <row r="872" spans="9:13" ht="15.75" customHeight="1" x14ac:dyDescent="0.25">
      <c r="I872" s="40"/>
      <c r="M872" s="40"/>
    </row>
    <row r="873" spans="9:13" ht="15.75" customHeight="1" x14ac:dyDescent="0.25">
      <c r="I873" s="40"/>
      <c r="M873" s="40"/>
    </row>
    <row r="874" spans="9:13" ht="15.75" customHeight="1" x14ac:dyDescent="0.25">
      <c r="I874" s="40"/>
      <c r="M874" s="40"/>
    </row>
    <row r="875" spans="9:13" ht="15.75" customHeight="1" x14ac:dyDescent="0.25">
      <c r="I875" s="40"/>
      <c r="M875" s="40"/>
    </row>
    <row r="876" spans="9:13" ht="15.75" customHeight="1" x14ac:dyDescent="0.25">
      <c r="I876" s="40"/>
      <c r="M876" s="40"/>
    </row>
    <row r="877" spans="9:13" ht="15.75" customHeight="1" x14ac:dyDescent="0.25">
      <c r="I877" s="40"/>
      <c r="M877" s="40"/>
    </row>
    <row r="878" spans="9:13" ht="15.75" customHeight="1" x14ac:dyDescent="0.25">
      <c r="I878" s="40"/>
      <c r="M878" s="40"/>
    </row>
    <row r="879" spans="9:13" ht="15.75" customHeight="1" x14ac:dyDescent="0.25">
      <c r="I879" s="40"/>
      <c r="M879" s="40"/>
    </row>
    <row r="880" spans="9:13" ht="15.75" customHeight="1" x14ac:dyDescent="0.25">
      <c r="I880" s="40"/>
      <c r="M880" s="40"/>
    </row>
    <row r="881" spans="9:13" ht="15.75" customHeight="1" x14ac:dyDescent="0.25">
      <c r="I881" s="40"/>
      <c r="M881" s="40"/>
    </row>
    <row r="882" spans="9:13" ht="15.75" customHeight="1" x14ac:dyDescent="0.25">
      <c r="I882" s="40"/>
      <c r="M882" s="40"/>
    </row>
    <row r="883" spans="9:13" ht="15.75" customHeight="1" x14ac:dyDescent="0.25">
      <c r="I883" s="40"/>
      <c r="M883" s="40"/>
    </row>
    <row r="884" spans="9:13" ht="15.75" customHeight="1" x14ac:dyDescent="0.25">
      <c r="I884" s="40"/>
      <c r="M884" s="40"/>
    </row>
    <row r="885" spans="9:13" ht="15.75" customHeight="1" x14ac:dyDescent="0.25">
      <c r="I885" s="40"/>
      <c r="M885" s="40"/>
    </row>
    <row r="886" spans="9:13" ht="15.75" customHeight="1" x14ac:dyDescent="0.25">
      <c r="I886" s="40"/>
      <c r="M886" s="40"/>
    </row>
    <row r="887" spans="9:13" ht="15.75" customHeight="1" x14ac:dyDescent="0.25">
      <c r="I887" s="40"/>
      <c r="M887" s="40"/>
    </row>
    <row r="888" spans="9:13" ht="15.75" customHeight="1" x14ac:dyDescent="0.25">
      <c r="I888" s="40"/>
      <c r="M888" s="40"/>
    </row>
    <row r="889" spans="9:13" ht="15.75" customHeight="1" x14ac:dyDescent="0.25">
      <c r="I889" s="40"/>
      <c r="M889" s="40"/>
    </row>
    <row r="890" spans="9:13" ht="15.75" customHeight="1" x14ac:dyDescent="0.25">
      <c r="I890" s="40"/>
      <c r="M890" s="40"/>
    </row>
    <row r="891" spans="9:13" ht="15.75" customHeight="1" x14ac:dyDescent="0.25">
      <c r="I891" s="40"/>
      <c r="M891" s="40"/>
    </row>
    <row r="892" spans="9:13" ht="15.75" customHeight="1" x14ac:dyDescent="0.25">
      <c r="I892" s="40"/>
      <c r="M892" s="40"/>
    </row>
    <row r="893" spans="9:13" ht="15.75" customHeight="1" x14ac:dyDescent="0.25">
      <c r="I893" s="40"/>
      <c r="M893" s="40"/>
    </row>
    <row r="894" spans="9:13" ht="15.75" customHeight="1" x14ac:dyDescent="0.25">
      <c r="I894" s="40"/>
      <c r="M894" s="40"/>
    </row>
    <row r="895" spans="9:13" ht="15.75" customHeight="1" x14ac:dyDescent="0.25">
      <c r="I895" s="40"/>
      <c r="M895" s="40"/>
    </row>
    <row r="896" spans="9:13" ht="15.75" customHeight="1" x14ac:dyDescent="0.25">
      <c r="I896" s="40"/>
      <c r="M896" s="40"/>
    </row>
    <row r="897" spans="9:13" ht="15.75" customHeight="1" x14ac:dyDescent="0.25">
      <c r="I897" s="40"/>
      <c r="M897" s="40"/>
    </row>
    <row r="898" spans="9:13" ht="15.75" customHeight="1" x14ac:dyDescent="0.25">
      <c r="I898" s="40"/>
      <c r="M898" s="40"/>
    </row>
    <row r="899" spans="9:13" ht="15.75" customHeight="1" x14ac:dyDescent="0.25">
      <c r="I899" s="40"/>
      <c r="M899" s="40"/>
    </row>
    <row r="900" spans="9:13" ht="15.75" customHeight="1" x14ac:dyDescent="0.25">
      <c r="I900" s="40"/>
      <c r="M900" s="40"/>
    </row>
    <row r="901" spans="9:13" ht="15.75" customHeight="1" x14ac:dyDescent="0.25">
      <c r="I901" s="40"/>
      <c r="M901" s="40"/>
    </row>
    <row r="902" spans="9:13" ht="15.75" customHeight="1" x14ac:dyDescent="0.25">
      <c r="I902" s="40"/>
      <c r="M902" s="40"/>
    </row>
    <row r="903" spans="9:13" ht="15.75" customHeight="1" x14ac:dyDescent="0.25">
      <c r="I903" s="40"/>
      <c r="M903" s="40"/>
    </row>
    <row r="904" spans="9:13" ht="15.75" customHeight="1" x14ac:dyDescent="0.25">
      <c r="I904" s="40"/>
      <c r="M904" s="40"/>
    </row>
    <row r="905" spans="9:13" ht="15.75" customHeight="1" x14ac:dyDescent="0.25">
      <c r="I905" s="40"/>
      <c r="M905" s="40"/>
    </row>
    <row r="906" spans="9:13" ht="15.75" customHeight="1" x14ac:dyDescent="0.25">
      <c r="I906" s="40"/>
      <c r="M906" s="40"/>
    </row>
    <row r="907" spans="9:13" ht="15.75" customHeight="1" x14ac:dyDescent="0.25">
      <c r="I907" s="40"/>
      <c r="M907" s="40"/>
    </row>
    <row r="908" spans="9:13" ht="15.75" customHeight="1" x14ac:dyDescent="0.25">
      <c r="I908" s="40"/>
      <c r="M908" s="40"/>
    </row>
    <row r="909" spans="9:13" ht="15.75" customHeight="1" x14ac:dyDescent="0.25">
      <c r="I909" s="40"/>
      <c r="M909" s="40"/>
    </row>
    <row r="910" spans="9:13" ht="15.75" customHeight="1" x14ac:dyDescent="0.25">
      <c r="I910" s="40"/>
      <c r="M910" s="40"/>
    </row>
    <row r="911" spans="9:13" ht="15.75" customHeight="1" x14ac:dyDescent="0.25">
      <c r="I911" s="40"/>
      <c r="M911" s="40"/>
    </row>
    <row r="912" spans="9:13" ht="15.75" customHeight="1" x14ac:dyDescent="0.25">
      <c r="I912" s="40"/>
      <c r="M912" s="40"/>
    </row>
    <row r="913" spans="9:13" ht="15.75" customHeight="1" x14ac:dyDescent="0.25">
      <c r="I913" s="40"/>
      <c r="M913" s="40"/>
    </row>
    <row r="914" spans="9:13" ht="15.75" customHeight="1" x14ac:dyDescent="0.25">
      <c r="I914" s="40"/>
      <c r="M914" s="40"/>
    </row>
    <row r="915" spans="9:13" ht="15.75" customHeight="1" x14ac:dyDescent="0.25">
      <c r="I915" s="40"/>
      <c r="M915" s="40"/>
    </row>
    <row r="916" spans="9:13" ht="15.75" customHeight="1" x14ac:dyDescent="0.25">
      <c r="I916" s="40"/>
      <c r="M916" s="40"/>
    </row>
    <row r="917" spans="9:13" ht="15.75" customHeight="1" x14ac:dyDescent="0.25">
      <c r="I917" s="40"/>
      <c r="M917" s="40"/>
    </row>
    <row r="918" spans="9:13" ht="15.75" customHeight="1" x14ac:dyDescent="0.25">
      <c r="I918" s="40"/>
      <c r="M918" s="40"/>
    </row>
    <row r="919" spans="9:13" ht="15.75" customHeight="1" x14ac:dyDescent="0.25">
      <c r="I919" s="40"/>
      <c r="M919" s="40"/>
    </row>
    <row r="920" spans="9:13" ht="15.75" customHeight="1" x14ac:dyDescent="0.25">
      <c r="I920" s="40"/>
      <c r="M920" s="40"/>
    </row>
    <row r="921" spans="9:13" ht="15.75" customHeight="1" x14ac:dyDescent="0.25">
      <c r="I921" s="40"/>
      <c r="M921" s="40"/>
    </row>
    <row r="922" spans="9:13" ht="15.75" customHeight="1" x14ac:dyDescent="0.25">
      <c r="I922" s="40"/>
      <c r="M922" s="40"/>
    </row>
    <row r="923" spans="9:13" ht="15.75" customHeight="1" x14ac:dyDescent="0.25">
      <c r="I923" s="40"/>
      <c r="M923" s="40"/>
    </row>
    <row r="924" spans="9:13" ht="15.75" customHeight="1" x14ac:dyDescent="0.25">
      <c r="I924" s="40"/>
      <c r="M924" s="40"/>
    </row>
    <row r="925" spans="9:13" ht="15.75" customHeight="1" x14ac:dyDescent="0.25">
      <c r="I925" s="40"/>
      <c r="M925" s="40"/>
    </row>
    <row r="926" spans="9:13" ht="15.75" customHeight="1" x14ac:dyDescent="0.25">
      <c r="I926" s="40"/>
      <c r="M926" s="40"/>
    </row>
    <row r="927" spans="9:13" ht="15.75" customHeight="1" x14ac:dyDescent="0.25">
      <c r="I927" s="40"/>
      <c r="M927" s="40"/>
    </row>
    <row r="928" spans="9:13" ht="15.75" customHeight="1" x14ac:dyDescent="0.25">
      <c r="I928" s="40"/>
      <c r="M928" s="40"/>
    </row>
    <row r="929" spans="9:13" ht="15.75" customHeight="1" x14ac:dyDescent="0.25">
      <c r="I929" s="40"/>
      <c r="M929" s="40"/>
    </row>
    <row r="930" spans="9:13" ht="15.75" customHeight="1" x14ac:dyDescent="0.25">
      <c r="I930" s="40"/>
      <c r="M930" s="40"/>
    </row>
    <row r="931" spans="9:13" ht="15.75" customHeight="1" x14ac:dyDescent="0.25">
      <c r="I931" s="40"/>
      <c r="M931" s="40"/>
    </row>
    <row r="932" spans="9:13" ht="15.75" customHeight="1" x14ac:dyDescent="0.25">
      <c r="I932" s="40"/>
      <c r="M932" s="40"/>
    </row>
    <row r="933" spans="9:13" ht="15.75" customHeight="1" x14ac:dyDescent="0.25">
      <c r="I933" s="40"/>
      <c r="M933" s="40"/>
    </row>
    <row r="934" spans="9:13" ht="15.75" customHeight="1" x14ac:dyDescent="0.25">
      <c r="I934" s="40"/>
      <c r="M934" s="40"/>
    </row>
    <row r="935" spans="9:13" ht="15.75" customHeight="1" x14ac:dyDescent="0.25">
      <c r="I935" s="40"/>
      <c r="M935" s="40"/>
    </row>
    <row r="936" spans="9:13" ht="15.75" customHeight="1" x14ac:dyDescent="0.25">
      <c r="I936" s="40"/>
      <c r="M936" s="40"/>
    </row>
    <row r="937" spans="9:13" ht="15.75" customHeight="1" x14ac:dyDescent="0.25">
      <c r="I937" s="40"/>
      <c r="M937" s="40"/>
    </row>
    <row r="938" spans="9:13" ht="15.75" customHeight="1" x14ac:dyDescent="0.25">
      <c r="I938" s="40"/>
      <c r="M938" s="40"/>
    </row>
    <row r="939" spans="9:13" ht="15.75" customHeight="1" x14ac:dyDescent="0.25">
      <c r="I939" s="40"/>
      <c r="M939" s="40"/>
    </row>
    <row r="940" spans="9:13" ht="15.75" customHeight="1" x14ac:dyDescent="0.25">
      <c r="I940" s="40"/>
      <c r="M940" s="40"/>
    </row>
    <row r="941" spans="9:13" ht="15.75" customHeight="1" x14ac:dyDescent="0.25">
      <c r="I941" s="40"/>
      <c r="M941" s="40"/>
    </row>
    <row r="942" spans="9:13" ht="15.75" customHeight="1" x14ac:dyDescent="0.25">
      <c r="I942" s="40"/>
      <c r="M942" s="40"/>
    </row>
    <row r="943" spans="9:13" ht="15.75" customHeight="1" x14ac:dyDescent="0.25">
      <c r="I943" s="40"/>
      <c r="M943" s="40"/>
    </row>
    <row r="944" spans="9:13" ht="15.75" customHeight="1" x14ac:dyDescent="0.25">
      <c r="I944" s="40"/>
      <c r="M944" s="40"/>
    </row>
    <row r="945" spans="9:13" ht="15.75" customHeight="1" x14ac:dyDescent="0.25">
      <c r="I945" s="40"/>
      <c r="M945" s="40"/>
    </row>
    <row r="946" spans="9:13" ht="15.75" customHeight="1" x14ac:dyDescent="0.25">
      <c r="I946" s="40"/>
      <c r="M946" s="40"/>
    </row>
    <row r="947" spans="9:13" ht="15.75" customHeight="1" x14ac:dyDescent="0.25">
      <c r="I947" s="40"/>
      <c r="M947" s="40"/>
    </row>
    <row r="948" spans="9:13" ht="15.75" customHeight="1" x14ac:dyDescent="0.25">
      <c r="I948" s="40"/>
      <c r="M948" s="40"/>
    </row>
    <row r="949" spans="9:13" ht="15.75" customHeight="1" x14ac:dyDescent="0.25">
      <c r="I949" s="40"/>
      <c r="M949" s="40"/>
    </row>
    <row r="950" spans="9:13" ht="15.75" customHeight="1" x14ac:dyDescent="0.25">
      <c r="I950" s="40"/>
      <c r="M950" s="40"/>
    </row>
    <row r="951" spans="9:13" ht="15.75" customHeight="1" x14ac:dyDescent="0.25">
      <c r="I951" s="40"/>
      <c r="M951" s="40"/>
    </row>
    <row r="952" spans="9:13" ht="15.75" customHeight="1" x14ac:dyDescent="0.25">
      <c r="I952" s="40"/>
      <c r="M952" s="40"/>
    </row>
    <row r="953" spans="9:13" ht="15.75" customHeight="1" x14ac:dyDescent="0.25">
      <c r="I953" s="40"/>
      <c r="M953" s="40"/>
    </row>
    <row r="954" spans="9:13" ht="15.75" customHeight="1" x14ac:dyDescent="0.25">
      <c r="I954" s="40"/>
      <c r="M954" s="40"/>
    </row>
    <row r="955" spans="9:13" ht="15.75" customHeight="1" x14ac:dyDescent="0.25">
      <c r="I955" s="40"/>
      <c r="M955" s="40"/>
    </row>
    <row r="956" spans="9:13" ht="15.75" customHeight="1" x14ac:dyDescent="0.25">
      <c r="I956" s="40"/>
      <c r="M956" s="40"/>
    </row>
    <row r="957" spans="9:13" ht="15.75" customHeight="1" x14ac:dyDescent="0.25">
      <c r="I957" s="40"/>
      <c r="M957" s="40"/>
    </row>
    <row r="958" spans="9:13" ht="15.75" customHeight="1" x14ac:dyDescent="0.25">
      <c r="I958" s="40"/>
      <c r="M958" s="40"/>
    </row>
    <row r="959" spans="9:13" ht="15.75" customHeight="1" x14ac:dyDescent="0.25">
      <c r="I959" s="40"/>
      <c r="M959" s="40"/>
    </row>
    <row r="960" spans="9:13" ht="15.75" customHeight="1" x14ac:dyDescent="0.25">
      <c r="I960" s="40"/>
      <c r="M960" s="40"/>
    </row>
    <row r="961" spans="9:13" ht="15.75" customHeight="1" x14ac:dyDescent="0.25">
      <c r="I961" s="40"/>
      <c r="M961" s="40"/>
    </row>
    <row r="962" spans="9:13" ht="15.75" customHeight="1" x14ac:dyDescent="0.25">
      <c r="I962" s="40"/>
      <c r="M962" s="40"/>
    </row>
    <row r="963" spans="9:13" ht="15.75" customHeight="1" x14ac:dyDescent="0.25">
      <c r="I963" s="40"/>
      <c r="M963" s="40"/>
    </row>
    <row r="964" spans="9:13" ht="15.75" customHeight="1" x14ac:dyDescent="0.25">
      <c r="I964" s="40"/>
      <c r="M964" s="40"/>
    </row>
    <row r="965" spans="9:13" ht="15.75" customHeight="1" x14ac:dyDescent="0.25">
      <c r="I965" s="40"/>
      <c r="M965" s="40"/>
    </row>
    <row r="966" spans="9:13" ht="15.75" customHeight="1" x14ac:dyDescent="0.25">
      <c r="I966" s="40"/>
      <c r="M966" s="40"/>
    </row>
    <row r="967" spans="9:13" ht="15.75" customHeight="1" x14ac:dyDescent="0.25">
      <c r="I967" s="40"/>
      <c r="M967" s="40"/>
    </row>
    <row r="968" spans="9:13" ht="15.75" customHeight="1" x14ac:dyDescent="0.25">
      <c r="I968" s="40"/>
      <c r="M968" s="40"/>
    </row>
    <row r="969" spans="9:13" ht="15.75" customHeight="1" x14ac:dyDescent="0.25">
      <c r="I969" s="40"/>
      <c r="M969" s="40"/>
    </row>
    <row r="970" spans="9:13" ht="15.75" customHeight="1" x14ac:dyDescent="0.25">
      <c r="I970" s="40"/>
      <c r="M970" s="40"/>
    </row>
    <row r="971" spans="9:13" ht="15.75" customHeight="1" x14ac:dyDescent="0.25">
      <c r="I971" s="40"/>
      <c r="M971" s="40"/>
    </row>
    <row r="972" spans="9:13" ht="15.75" customHeight="1" x14ac:dyDescent="0.25">
      <c r="I972" s="40"/>
      <c r="M972" s="40"/>
    </row>
    <row r="973" spans="9:13" ht="15.75" customHeight="1" x14ac:dyDescent="0.25">
      <c r="I973" s="40"/>
      <c r="M973" s="40"/>
    </row>
    <row r="974" spans="9:13" ht="15.75" customHeight="1" x14ac:dyDescent="0.25">
      <c r="I974" s="40"/>
      <c r="M974" s="40"/>
    </row>
    <row r="975" spans="9:13" ht="15.75" customHeight="1" x14ac:dyDescent="0.25">
      <c r="I975" s="40"/>
      <c r="M975" s="40"/>
    </row>
    <row r="976" spans="9:13" ht="15.75" customHeight="1" x14ac:dyDescent="0.25">
      <c r="I976" s="40"/>
      <c r="M976" s="40"/>
    </row>
    <row r="977" spans="9:13" ht="15.75" customHeight="1" x14ac:dyDescent="0.25">
      <c r="I977" s="40"/>
      <c r="M977" s="40"/>
    </row>
    <row r="978" spans="9:13" ht="15.75" customHeight="1" x14ac:dyDescent="0.25">
      <c r="I978" s="40"/>
      <c r="M978" s="40"/>
    </row>
    <row r="979" spans="9:13" ht="15.75" customHeight="1" x14ac:dyDescent="0.25">
      <c r="I979" s="40"/>
      <c r="M979" s="40"/>
    </row>
    <row r="980" spans="9:13" ht="15.75" customHeight="1" x14ac:dyDescent="0.25">
      <c r="I980" s="40"/>
      <c r="M980" s="40"/>
    </row>
    <row r="981" spans="9:13" ht="15.75" customHeight="1" x14ac:dyDescent="0.25">
      <c r="I981" s="40"/>
      <c r="M981" s="40"/>
    </row>
    <row r="982" spans="9:13" ht="15.75" customHeight="1" x14ac:dyDescent="0.25">
      <c r="I982" s="40"/>
      <c r="M982" s="40"/>
    </row>
    <row r="983" spans="9:13" ht="15.75" customHeight="1" x14ac:dyDescent="0.25">
      <c r="I983" s="40"/>
      <c r="M983" s="40"/>
    </row>
    <row r="984" spans="9:13" ht="15.75" customHeight="1" x14ac:dyDescent="0.25">
      <c r="I984" s="40"/>
      <c r="M984" s="40"/>
    </row>
    <row r="985" spans="9:13" ht="15.75" customHeight="1" x14ac:dyDescent="0.25">
      <c r="I985" s="40"/>
      <c r="M985" s="40"/>
    </row>
    <row r="986" spans="9:13" ht="15.75" customHeight="1" x14ac:dyDescent="0.25">
      <c r="I986" s="40"/>
      <c r="M986" s="40"/>
    </row>
    <row r="987" spans="9:13" ht="15.75" customHeight="1" x14ac:dyDescent="0.25">
      <c r="I987" s="40"/>
      <c r="M987" s="40"/>
    </row>
    <row r="988" spans="9:13" ht="15.75" customHeight="1" x14ac:dyDescent="0.25">
      <c r="I988" s="40"/>
      <c r="M988" s="40"/>
    </row>
    <row r="989" spans="9:13" ht="15.75" customHeight="1" x14ac:dyDescent="0.25">
      <c r="I989" s="40"/>
      <c r="M989" s="40"/>
    </row>
    <row r="990" spans="9:13" ht="15.75" customHeight="1" x14ac:dyDescent="0.25">
      <c r="I990" s="40"/>
      <c r="M990" s="40"/>
    </row>
    <row r="991" spans="9:13" ht="15.75" customHeight="1" x14ac:dyDescent="0.25">
      <c r="I991" s="40"/>
      <c r="M991" s="40"/>
    </row>
    <row r="992" spans="9:13" ht="15.75" customHeight="1" x14ac:dyDescent="0.25">
      <c r="I992" s="40"/>
      <c r="M992" s="40"/>
    </row>
    <row r="993" spans="9:13" ht="15.75" customHeight="1" x14ac:dyDescent="0.25">
      <c r="I993" s="40"/>
      <c r="M993" s="40"/>
    </row>
    <row r="994" spans="9:13" ht="15.75" customHeight="1" x14ac:dyDescent="0.25">
      <c r="I994" s="40"/>
      <c r="M994" s="40"/>
    </row>
    <row r="995" spans="9:13" ht="15.75" customHeight="1" x14ac:dyDescent="0.25">
      <c r="I995" s="40"/>
      <c r="M995" s="40"/>
    </row>
    <row r="996" spans="9:13" ht="15.75" customHeight="1" x14ac:dyDescent="0.25">
      <c r="I996" s="40"/>
      <c r="M996" s="40"/>
    </row>
    <row r="997" spans="9:13" ht="15.75" customHeight="1" x14ac:dyDescent="0.25">
      <c r="I997" s="40"/>
      <c r="M997" s="40"/>
    </row>
    <row r="998" spans="9:13" ht="15.75" customHeight="1" x14ac:dyDescent="0.25">
      <c r="I998" s="40"/>
      <c r="M998" s="40"/>
    </row>
    <row r="999" spans="9:13" ht="15.75" customHeight="1" x14ac:dyDescent="0.25">
      <c r="I999" s="40"/>
      <c r="M999" s="40"/>
    </row>
    <row r="1000" spans="9:13" ht="15.75" customHeight="1" x14ac:dyDescent="0.25">
      <c r="I1000" s="40"/>
      <c r="M1000" s="40"/>
    </row>
    <row r="1001" spans="9:13" ht="15.75" customHeight="1" x14ac:dyDescent="0.25">
      <c r="I1001" s="40"/>
      <c r="M1001" s="40"/>
    </row>
    <row r="1002" spans="9:13" ht="15.75" customHeight="1" x14ac:dyDescent="0.25">
      <c r="I1002" s="40"/>
      <c r="M1002" s="40"/>
    </row>
    <row r="1003" spans="9:13" ht="15.75" customHeight="1" x14ac:dyDescent="0.25">
      <c r="I1003" s="40"/>
      <c r="M1003" s="40"/>
    </row>
    <row r="1004" spans="9:13" ht="15.75" customHeight="1" x14ac:dyDescent="0.25">
      <c r="I1004" s="40"/>
      <c r="M1004" s="40"/>
    </row>
    <row r="1005" spans="9:13" ht="15.75" customHeight="1" x14ac:dyDescent="0.25">
      <c r="I1005" s="40"/>
      <c r="M1005"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0" fitToHeight="0" orientation="portrait" r:id="rId1"/>
  <rowBreaks count="1" manualBreakCount="1">
    <brk id="51"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08"/>
  <sheetViews>
    <sheetView view="pageBreakPreview" zoomScale="115" zoomScaleNormal="100" zoomScaleSheetLayoutView="115" workbookViewId="0">
      <selection activeCell="A14" sqref="A14"/>
    </sheetView>
  </sheetViews>
  <sheetFormatPr defaultColWidth="14.42578125" defaultRowHeight="15" customHeight="1" x14ac:dyDescent="0.25"/>
  <cols>
    <col min="1" max="1" width="74.28515625" customWidth="1"/>
    <col min="2" max="2" width="16.28515625" customWidth="1"/>
    <col min="3" max="6" width="16.140625" hidden="1" customWidth="1"/>
    <col min="7" max="7" width="16.140625" customWidth="1"/>
    <col min="8" max="8" width="11.85546875" customWidth="1"/>
    <col min="9" max="9" width="21" customWidth="1"/>
    <col min="10" max="10" width="14.7109375" customWidth="1"/>
    <col min="11" max="26" width="10.28515625" customWidth="1"/>
  </cols>
  <sheetData>
    <row r="1" spans="1:26" ht="15.75" customHeight="1" x14ac:dyDescent="0.25">
      <c r="A1" s="9"/>
      <c r="B1" s="10"/>
      <c r="C1" s="11"/>
      <c r="D1" s="11"/>
      <c r="E1" s="11"/>
      <c r="F1" s="10"/>
      <c r="G1" s="13"/>
      <c r="H1" s="14"/>
      <c r="I1" s="16"/>
      <c r="J1" s="16"/>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6"/>
      <c r="J2" s="16"/>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6"/>
      <c r="J3" s="16"/>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6"/>
      <c r="J4" s="16"/>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6"/>
      <c r="J5" s="16"/>
      <c r="K5" s="15"/>
      <c r="L5" s="15"/>
      <c r="M5" s="15"/>
      <c r="N5" s="15"/>
      <c r="O5" s="15"/>
      <c r="P5" s="15"/>
      <c r="Q5" s="15"/>
      <c r="R5" s="15"/>
      <c r="S5" s="15"/>
      <c r="T5" s="15"/>
      <c r="U5" s="15"/>
      <c r="V5" s="15"/>
      <c r="W5" s="15"/>
      <c r="X5" s="15"/>
      <c r="Y5" s="15"/>
      <c r="Z5" s="15"/>
    </row>
    <row r="6" spans="1:26" ht="15.75" customHeight="1" x14ac:dyDescent="0.25">
      <c r="A6" s="17" t="s">
        <v>1816</v>
      </c>
      <c r="B6" s="24"/>
      <c r="C6" s="25"/>
      <c r="D6" s="25"/>
      <c r="E6" s="25"/>
      <c r="F6" s="24"/>
      <c r="G6" s="19"/>
      <c r="H6" s="14"/>
      <c r="I6" s="16"/>
      <c r="J6" s="16"/>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6"/>
      <c r="J7" s="16"/>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6"/>
      <c r="J8" s="16"/>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6"/>
      <c r="J9" s="16"/>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6"/>
      <c r="J10" s="16"/>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6"/>
      <c r="J11" s="16"/>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6"/>
      <c r="J12" s="16"/>
      <c r="K12" s="15"/>
      <c r="L12" s="15"/>
      <c r="M12" s="15"/>
      <c r="N12" s="15"/>
      <c r="O12" s="15"/>
      <c r="P12" s="15"/>
      <c r="Q12" s="15"/>
      <c r="R12" s="15"/>
      <c r="S12" s="15"/>
      <c r="T12" s="15"/>
      <c r="U12" s="15"/>
      <c r="V12" s="15"/>
      <c r="W12" s="15"/>
      <c r="X12" s="15"/>
      <c r="Y12" s="15"/>
      <c r="Z12" s="15"/>
    </row>
    <row r="13" spans="1:26" ht="15.75" customHeight="1" x14ac:dyDescent="0.25">
      <c r="A13" s="17" t="s">
        <v>364</v>
      </c>
      <c r="B13" s="41"/>
      <c r="C13" s="42"/>
      <c r="D13" s="42"/>
      <c r="E13" s="42"/>
      <c r="F13" s="42"/>
      <c r="G13" s="42"/>
      <c r="I13" s="40"/>
      <c r="J13" s="40"/>
    </row>
    <row r="14" spans="1:26" ht="15.75" customHeight="1" x14ac:dyDescent="0.25">
      <c r="A14" s="17" t="s">
        <v>365</v>
      </c>
      <c r="B14" s="172"/>
      <c r="C14" s="42"/>
      <c r="D14" s="42"/>
      <c r="E14" s="42"/>
      <c r="F14" s="42"/>
      <c r="G14" s="42"/>
      <c r="I14" s="40"/>
      <c r="J14" s="40"/>
    </row>
    <row r="15" spans="1:26" ht="15.75" customHeight="1" x14ac:dyDescent="0.25">
      <c r="A15" s="17" t="s">
        <v>366</v>
      </c>
      <c r="B15" s="172"/>
      <c r="C15" s="42"/>
      <c r="D15" s="42"/>
      <c r="E15" s="42"/>
      <c r="F15" s="42"/>
      <c r="G15" s="42"/>
      <c r="I15" s="40"/>
      <c r="J15" s="40"/>
    </row>
    <row r="16" spans="1:26" ht="15.75" customHeight="1" x14ac:dyDescent="0.25">
      <c r="A16" s="44" t="s">
        <v>367</v>
      </c>
      <c r="B16" s="41" t="s">
        <v>121</v>
      </c>
      <c r="C16" s="43">
        <v>3729410.28</v>
      </c>
      <c r="D16" s="43">
        <v>1926198</v>
      </c>
      <c r="E16" s="43">
        <f>F16-D16</f>
        <v>2120706</v>
      </c>
      <c r="F16" s="43">
        <v>4046904</v>
      </c>
      <c r="G16" s="43">
        <v>4241520</v>
      </c>
      <c r="I16" s="40"/>
      <c r="J16" s="40"/>
    </row>
    <row r="17" spans="1:26" ht="15.75" customHeight="1" x14ac:dyDescent="0.25">
      <c r="A17" s="17" t="s">
        <v>368</v>
      </c>
      <c r="B17" s="172"/>
      <c r="C17" s="43"/>
      <c r="D17" s="43"/>
      <c r="E17" s="43"/>
      <c r="F17" s="43"/>
      <c r="G17" s="43"/>
      <c r="I17" s="40"/>
      <c r="J17" s="40"/>
    </row>
    <row r="18" spans="1:26" ht="15.75" customHeight="1" x14ac:dyDescent="0.25">
      <c r="A18" s="44" t="s">
        <v>369</v>
      </c>
      <c r="B18" s="41" t="s">
        <v>125</v>
      </c>
      <c r="C18" s="43">
        <v>217548.39</v>
      </c>
      <c r="D18" s="43">
        <v>108000</v>
      </c>
      <c r="E18" s="43">
        <f t="shared" ref="E18:E25" si="0">F18-D18</f>
        <v>132000</v>
      </c>
      <c r="F18" s="43">
        <v>240000</v>
      </c>
      <c r="G18" s="43">
        <v>240000</v>
      </c>
      <c r="H18" s="15"/>
      <c r="I18" s="16"/>
      <c r="J18" s="16"/>
      <c r="K18" s="15"/>
      <c r="L18" s="15"/>
      <c r="M18" s="15"/>
      <c r="N18" s="15"/>
      <c r="O18" s="15"/>
      <c r="P18" s="15"/>
      <c r="Q18" s="15"/>
      <c r="R18" s="15"/>
      <c r="S18" s="15"/>
      <c r="T18" s="15"/>
      <c r="U18" s="15"/>
      <c r="V18" s="15"/>
      <c r="W18" s="15"/>
      <c r="X18" s="15"/>
      <c r="Y18" s="15"/>
      <c r="Z18" s="15"/>
    </row>
    <row r="19" spans="1:26" ht="15.75" customHeight="1" x14ac:dyDescent="0.25">
      <c r="A19" s="44" t="s">
        <v>373</v>
      </c>
      <c r="B19" s="41" t="s">
        <v>131</v>
      </c>
      <c r="C19" s="43">
        <v>56000</v>
      </c>
      <c r="D19" s="43">
        <v>63000</v>
      </c>
      <c r="E19" s="43">
        <f t="shared" si="0"/>
        <v>7000</v>
      </c>
      <c r="F19" s="43">
        <v>70000</v>
      </c>
      <c r="G19" s="43">
        <v>70000</v>
      </c>
      <c r="H19" s="15"/>
      <c r="I19" s="16"/>
      <c r="J19" s="16"/>
      <c r="K19" s="15"/>
      <c r="L19" s="15"/>
      <c r="M19" s="15"/>
      <c r="N19" s="15"/>
      <c r="O19" s="15"/>
      <c r="P19" s="15"/>
      <c r="Q19" s="15"/>
      <c r="R19" s="15"/>
      <c r="S19" s="15"/>
      <c r="T19" s="15"/>
      <c r="U19" s="15"/>
      <c r="V19" s="15"/>
      <c r="W19" s="15"/>
      <c r="X19" s="15"/>
      <c r="Y19" s="15"/>
      <c r="Z19" s="15"/>
    </row>
    <row r="20" spans="1:26" ht="15.75" customHeight="1" x14ac:dyDescent="0.25">
      <c r="A20" s="44" t="s">
        <v>1564</v>
      </c>
      <c r="B20" s="41" t="s">
        <v>133</v>
      </c>
      <c r="C20" s="43">
        <v>89975</v>
      </c>
      <c r="D20" s="43">
        <v>34025</v>
      </c>
      <c r="E20" s="43">
        <f t="shared" si="0"/>
        <v>145975</v>
      </c>
      <c r="F20" s="43">
        <v>180000</v>
      </c>
      <c r="G20" s="43">
        <v>180000</v>
      </c>
      <c r="H20" s="15"/>
      <c r="I20" s="16"/>
      <c r="J20" s="16"/>
      <c r="K20" s="15"/>
      <c r="L20" s="15"/>
      <c r="M20" s="15"/>
      <c r="N20" s="15"/>
      <c r="O20" s="15"/>
      <c r="P20" s="15"/>
      <c r="Q20" s="15"/>
      <c r="R20" s="15"/>
      <c r="S20" s="15"/>
      <c r="T20" s="15"/>
      <c r="U20" s="15"/>
      <c r="V20" s="15"/>
      <c r="W20" s="15"/>
      <c r="X20" s="15"/>
      <c r="Y20" s="15"/>
      <c r="Z20" s="15"/>
    </row>
    <row r="21" spans="1:26" ht="15.75" customHeight="1" x14ac:dyDescent="0.25">
      <c r="A21" s="44" t="s">
        <v>1565</v>
      </c>
      <c r="B21" s="41" t="s">
        <v>135</v>
      </c>
      <c r="C21" s="43">
        <v>14263.65</v>
      </c>
      <c r="D21" s="43">
        <v>5839.79</v>
      </c>
      <c r="E21" s="43">
        <f t="shared" si="0"/>
        <v>12160.21</v>
      </c>
      <c r="F21" s="43">
        <v>18000</v>
      </c>
      <c r="G21" s="43">
        <v>18000</v>
      </c>
      <c r="H21" s="15"/>
      <c r="I21" s="16"/>
      <c r="J21" s="16"/>
      <c r="K21" s="15"/>
      <c r="L21" s="15"/>
      <c r="M21" s="15"/>
      <c r="N21" s="15"/>
      <c r="O21" s="15"/>
      <c r="P21" s="15"/>
      <c r="Q21" s="15"/>
      <c r="R21" s="15"/>
      <c r="S21" s="15"/>
      <c r="T21" s="15"/>
      <c r="U21" s="15"/>
      <c r="V21" s="15"/>
      <c r="W21" s="15"/>
      <c r="X21" s="15"/>
      <c r="Y21" s="15"/>
      <c r="Z21" s="15"/>
    </row>
    <row r="22" spans="1:26" ht="15.75" customHeight="1" x14ac:dyDescent="0.25">
      <c r="A22" s="44" t="s">
        <v>1567</v>
      </c>
      <c r="B22" s="41" t="s">
        <v>145</v>
      </c>
      <c r="C22" s="43">
        <v>816387.59</v>
      </c>
      <c r="D22" s="43">
        <v>352647.85</v>
      </c>
      <c r="E22" s="43">
        <f t="shared" si="0"/>
        <v>542334.15</v>
      </c>
      <c r="F22" s="43">
        <v>894982</v>
      </c>
      <c r="G22" s="43">
        <v>938448</v>
      </c>
      <c r="H22" s="15"/>
      <c r="I22" s="16"/>
      <c r="J22" s="16"/>
      <c r="K22" s="15"/>
      <c r="L22" s="15"/>
      <c r="M22" s="15"/>
      <c r="N22" s="15"/>
      <c r="O22" s="15"/>
      <c r="P22" s="15"/>
      <c r="Q22" s="15"/>
      <c r="R22" s="15"/>
      <c r="S22" s="15"/>
      <c r="T22" s="15"/>
      <c r="U22" s="15"/>
      <c r="V22" s="15"/>
      <c r="W22" s="15"/>
      <c r="X22" s="15"/>
      <c r="Y22" s="15"/>
      <c r="Z22" s="15"/>
    </row>
    <row r="23" spans="1:26" ht="15.75" customHeight="1" x14ac:dyDescent="0.25">
      <c r="A23" s="44" t="s">
        <v>1568</v>
      </c>
      <c r="B23" s="41" t="s">
        <v>147</v>
      </c>
      <c r="C23" s="43">
        <v>246567.29</v>
      </c>
      <c r="D23" s="43">
        <v>66286.649999999994</v>
      </c>
      <c r="E23" s="43">
        <f t="shared" si="0"/>
        <v>202225.35</v>
      </c>
      <c r="F23" s="43">
        <v>268512</v>
      </c>
      <c r="G23" s="43">
        <v>317982</v>
      </c>
      <c r="H23" s="15"/>
      <c r="I23" s="16"/>
      <c r="J23" s="16"/>
      <c r="K23" s="15"/>
      <c r="L23" s="15"/>
      <c r="M23" s="15"/>
      <c r="N23" s="15"/>
      <c r="O23" s="15"/>
      <c r="P23" s="15"/>
      <c r="Q23" s="15"/>
      <c r="R23" s="15"/>
      <c r="S23" s="15"/>
      <c r="T23" s="15"/>
      <c r="U23" s="15"/>
      <c r="V23" s="15"/>
      <c r="W23" s="15"/>
      <c r="X23" s="15"/>
      <c r="Y23" s="15"/>
      <c r="Z23" s="15"/>
    </row>
    <row r="24" spans="1:26" ht="15.75" customHeight="1" x14ac:dyDescent="0.25">
      <c r="A24" s="44" t="s">
        <v>374</v>
      </c>
      <c r="B24" s="41" t="s">
        <v>151</v>
      </c>
      <c r="C24" s="43">
        <v>321033</v>
      </c>
      <c r="D24" s="43">
        <v>0</v>
      </c>
      <c r="E24" s="43">
        <f t="shared" si="0"/>
        <v>337242</v>
      </c>
      <c r="F24" s="43">
        <v>337242</v>
      </c>
      <c r="G24" s="43">
        <v>353460</v>
      </c>
      <c r="H24" s="15"/>
      <c r="I24" s="16"/>
      <c r="J24" s="16"/>
      <c r="K24" s="15"/>
      <c r="L24" s="15"/>
      <c r="M24" s="15"/>
      <c r="N24" s="15"/>
      <c r="O24" s="15"/>
      <c r="P24" s="15"/>
      <c r="Q24" s="15"/>
      <c r="R24" s="15"/>
      <c r="S24" s="15"/>
      <c r="T24" s="15"/>
      <c r="U24" s="15"/>
      <c r="V24" s="15"/>
      <c r="W24" s="15"/>
      <c r="X24" s="15"/>
      <c r="Y24" s="15"/>
      <c r="Z24" s="15"/>
    </row>
    <row r="25" spans="1:26" ht="15.75" customHeight="1" x14ac:dyDescent="0.25">
      <c r="A25" s="44" t="s">
        <v>375</v>
      </c>
      <c r="B25" s="41" t="s">
        <v>153</v>
      </c>
      <c r="C25" s="43">
        <v>45000</v>
      </c>
      <c r="D25" s="43">
        <v>0</v>
      </c>
      <c r="E25" s="43">
        <f t="shared" si="0"/>
        <v>50000</v>
      </c>
      <c r="F25" s="43">
        <v>50000</v>
      </c>
      <c r="G25" s="43">
        <v>50000</v>
      </c>
      <c r="H25" s="15"/>
      <c r="I25" s="16"/>
      <c r="J25" s="16"/>
      <c r="K25" s="15"/>
      <c r="L25" s="15"/>
      <c r="M25" s="15"/>
      <c r="N25" s="15"/>
      <c r="O25" s="15"/>
      <c r="P25" s="15"/>
      <c r="Q25" s="15"/>
      <c r="R25" s="15"/>
      <c r="S25" s="15"/>
      <c r="T25" s="15"/>
      <c r="U25" s="15"/>
      <c r="V25" s="15"/>
      <c r="W25" s="15"/>
      <c r="X25" s="15"/>
      <c r="Y25" s="15"/>
      <c r="Z25" s="15"/>
    </row>
    <row r="26" spans="1:26" ht="15.75" customHeight="1" x14ac:dyDescent="0.25">
      <c r="A26" s="44" t="s">
        <v>376</v>
      </c>
      <c r="B26" s="41" t="s">
        <v>155</v>
      </c>
      <c r="C26" s="43"/>
      <c r="D26" s="43"/>
      <c r="E26" s="43"/>
      <c r="F26" s="43"/>
      <c r="G26" s="43"/>
      <c r="H26" s="15"/>
      <c r="I26" s="16"/>
      <c r="J26" s="16"/>
      <c r="K26" s="15"/>
      <c r="L26" s="15"/>
      <c r="M26" s="15"/>
      <c r="N26" s="15"/>
      <c r="O26" s="15"/>
      <c r="P26" s="15"/>
      <c r="Q26" s="15"/>
      <c r="R26" s="15"/>
      <c r="S26" s="15"/>
      <c r="T26" s="15"/>
      <c r="U26" s="15"/>
      <c r="V26" s="15"/>
      <c r="W26" s="15"/>
      <c r="X26" s="15"/>
      <c r="Y26" s="15"/>
      <c r="Z26" s="15"/>
    </row>
    <row r="27" spans="1:26" ht="15.75" customHeight="1" x14ac:dyDescent="0.25">
      <c r="A27" s="44" t="s">
        <v>377</v>
      </c>
      <c r="B27" s="41" t="s">
        <v>157</v>
      </c>
      <c r="C27" s="43">
        <v>20000</v>
      </c>
      <c r="D27" s="43">
        <v>0</v>
      </c>
      <c r="E27" s="43">
        <f>F27-D27</f>
        <v>0</v>
      </c>
      <c r="F27" s="43"/>
      <c r="G27" s="43">
        <v>5000</v>
      </c>
      <c r="H27" s="15"/>
      <c r="I27" s="16"/>
      <c r="J27" s="16"/>
      <c r="K27" s="15"/>
      <c r="L27" s="15"/>
      <c r="M27" s="15"/>
      <c r="N27" s="15"/>
      <c r="O27" s="15"/>
      <c r="P27" s="15"/>
      <c r="Q27" s="15"/>
      <c r="R27" s="15"/>
      <c r="S27" s="15"/>
      <c r="T27" s="15"/>
      <c r="U27" s="15"/>
      <c r="V27" s="15"/>
      <c r="W27" s="15"/>
      <c r="X27" s="15"/>
      <c r="Y27" s="15"/>
      <c r="Z27" s="15"/>
    </row>
    <row r="28" spans="1:26" ht="15.75" customHeight="1" x14ac:dyDescent="0.25">
      <c r="A28" s="44" t="s">
        <v>1227</v>
      </c>
      <c r="B28" s="41" t="s">
        <v>159</v>
      </c>
      <c r="C28" s="43"/>
      <c r="D28" s="43">
        <v>24000</v>
      </c>
      <c r="E28" s="43">
        <v>6000</v>
      </c>
      <c r="F28" s="43">
        <v>30000</v>
      </c>
      <c r="G28" s="43">
        <v>0</v>
      </c>
      <c r="H28" s="15"/>
      <c r="I28" s="16"/>
      <c r="J28" s="16"/>
      <c r="K28" s="15"/>
      <c r="L28" s="15"/>
      <c r="M28" s="15"/>
      <c r="N28" s="15"/>
      <c r="O28" s="15"/>
      <c r="P28" s="15"/>
      <c r="Q28" s="15"/>
      <c r="R28" s="15"/>
      <c r="S28" s="15"/>
      <c r="T28" s="15"/>
      <c r="U28" s="15"/>
      <c r="V28" s="15"/>
      <c r="W28" s="15"/>
      <c r="X28" s="15"/>
      <c r="Y28" s="15"/>
      <c r="Z28" s="15"/>
    </row>
    <row r="29" spans="1:26" ht="15.75" customHeight="1" x14ac:dyDescent="0.25">
      <c r="A29" s="44" t="s">
        <v>379</v>
      </c>
      <c r="B29" s="41" t="s">
        <v>161</v>
      </c>
      <c r="C29" s="43">
        <v>278441</v>
      </c>
      <c r="D29" s="43">
        <v>321033</v>
      </c>
      <c r="E29" s="43">
        <f>F29-D29</f>
        <v>16209</v>
      </c>
      <c r="F29" s="43">
        <v>337242</v>
      </c>
      <c r="G29" s="43">
        <v>353460</v>
      </c>
      <c r="H29" s="15"/>
      <c r="I29" s="16"/>
      <c r="J29" s="16"/>
      <c r="K29" s="15"/>
      <c r="L29" s="15"/>
      <c r="M29" s="15"/>
      <c r="N29" s="15"/>
      <c r="O29" s="15"/>
      <c r="P29" s="15"/>
      <c r="Q29" s="15"/>
      <c r="R29" s="15"/>
      <c r="S29" s="15"/>
      <c r="T29" s="15"/>
      <c r="U29" s="15"/>
      <c r="V29" s="15"/>
      <c r="W29" s="15"/>
      <c r="X29" s="15"/>
      <c r="Y29" s="15"/>
      <c r="Z29" s="15"/>
    </row>
    <row r="30" spans="1:26" ht="15.75" customHeight="1" x14ac:dyDescent="0.25">
      <c r="A30" s="17" t="s">
        <v>380</v>
      </c>
      <c r="B30" s="41"/>
      <c r="C30" s="43"/>
      <c r="D30" s="43"/>
      <c r="E30" s="43"/>
      <c r="F30" s="43"/>
      <c r="G30" s="43"/>
      <c r="H30" s="15"/>
      <c r="I30" s="16"/>
      <c r="J30" s="16"/>
      <c r="K30" s="15"/>
      <c r="L30" s="15"/>
      <c r="M30" s="15"/>
      <c r="N30" s="15"/>
      <c r="O30" s="15"/>
      <c r="P30" s="15"/>
      <c r="Q30" s="15"/>
      <c r="R30" s="15"/>
      <c r="S30" s="15"/>
      <c r="T30" s="15"/>
      <c r="U30" s="15"/>
      <c r="V30" s="15"/>
      <c r="W30" s="15"/>
      <c r="X30" s="15"/>
      <c r="Y30" s="15"/>
      <c r="Z30" s="15"/>
    </row>
    <row r="31" spans="1:26" ht="15.75" customHeight="1" x14ac:dyDescent="0.25">
      <c r="A31" s="44" t="s">
        <v>381</v>
      </c>
      <c r="B31" s="41" t="s">
        <v>165</v>
      </c>
      <c r="C31" s="43">
        <v>447529.26</v>
      </c>
      <c r="D31" s="43">
        <v>231143.76</v>
      </c>
      <c r="E31" s="43">
        <f t="shared" ref="E31:E34" si="1">F31-D31</f>
        <v>254485.24</v>
      </c>
      <c r="F31" s="43">
        <v>485629</v>
      </c>
      <c r="G31" s="43">
        <v>508983</v>
      </c>
      <c r="H31" s="15"/>
      <c r="I31" s="16"/>
      <c r="J31" s="16"/>
      <c r="K31" s="15"/>
      <c r="L31" s="15"/>
      <c r="M31" s="15"/>
      <c r="N31" s="15"/>
      <c r="O31" s="15"/>
      <c r="P31" s="15"/>
      <c r="Q31" s="15"/>
      <c r="R31" s="15"/>
      <c r="S31" s="15"/>
      <c r="T31" s="15"/>
      <c r="U31" s="15"/>
      <c r="V31" s="15"/>
      <c r="W31" s="15"/>
      <c r="X31" s="15"/>
      <c r="Y31" s="15"/>
      <c r="Z31" s="15"/>
    </row>
    <row r="32" spans="1:26" ht="15.75" customHeight="1" x14ac:dyDescent="0.25">
      <c r="A32" s="44" t="s">
        <v>382</v>
      </c>
      <c r="B32" s="41" t="s">
        <v>167</v>
      </c>
      <c r="C32" s="43">
        <v>74588.17</v>
      </c>
      <c r="D32" s="43">
        <v>38523.96</v>
      </c>
      <c r="E32" s="43">
        <f t="shared" si="1"/>
        <v>42415.040000000001</v>
      </c>
      <c r="F32" s="43">
        <v>80939</v>
      </c>
      <c r="G32" s="43">
        <v>84831</v>
      </c>
      <c r="H32" s="15"/>
      <c r="I32" s="16"/>
      <c r="J32" s="16"/>
      <c r="K32" s="15"/>
      <c r="L32" s="15"/>
      <c r="M32" s="15"/>
      <c r="N32" s="15"/>
      <c r="O32" s="15"/>
      <c r="P32" s="15"/>
      <c r="Q32" s="15"/>
      <c r="R32" s="15"/>
      <c r="S32" s="15"/>
      <c r="T32" s="15"/>
      <c r="U32" s="15"/>
      <c r="V32" s="15"/>
      <c r="W32" s="15"/>
      <c r="X32" s="15"/>
      <c r="Y32" s="15"/>
      <c r="Z32" s="15"/>
    </row>
    <row r="33" spans="1:26" ht="15.75" customHeight="1" x14ac:dyDescent="0.25">
      <c r="A33" s="44" t="s">
        <v>383</v>
      </c>
      <c r="B33" s="41" t="s">
        <v>169</v>
      </c>
      <c r="C33" s="43">
        <v>93235.46</v>
      </c>
      <c r="D33" s="56">
        <v>48155.040000000001</v>
      </c>
      <c r="E33" s="43">
        <f t="shared" si="1"/>
        <v>53020.959999999999</v>
      </c>
      <c r="F33" s="43">
        <v>101176</v>
      </c>
      <c r="G33" s="43">
        <v>106044</v>
      </c>
      <c r="H33" s="15"/>
      <c r="I33" s="16"/>
      <c r="J33" s="16"/>
      <c r="K33" s="15"/>
      <c r="L33" s="15"/>
      <c r="M33" s="15"/>
      <c r="N33" s="15"/>
      <c r="O33" s="15"/>
      <c r="P33" s="15"/>
      <c r="Q33" s="15"/>
      <c r="R33" s="15"/>
      <c r="S33" s="15"/>
      <c r="T33" s="15"/>
      <c r="U33" s="15"/>
      <c r="V33" s="15"/>
      <c r="W33" s="15"/>
      <c r="X33" s="15"/>
      <c r="Y33" s="15"/>
      <c r="Z33" s="15"/>
    </row>
    <row r="34" spans="1:26" ht="15.75" customHeight="1" x14ac:dyDescent="0.25">
      <c r="A34" s="48" t="s">
        <v>384</v>
      </c>
      <c r="B34" s="41" t="s">
        <v>171</v>
      </c>
      <c r="C34" s="43">
        <v>10900</v>
      </c>
      <c r="D34" s="43">
        <v>5400</v>
      </c>
      <c r="E34" s="43">
        <f t="shared" si="1"/>
        <v>6600</v>
      </c>
      <c r="F34" s="43">
        <v>12000</v>
      </c>
      <c r="G34" s="43">
        <v>12000</v>
      </c>
      <c r="H34" s="15"/>
      <c r="I34" s="16"/>
      <c r="J34" s="16"/>
      <c r="K34" s="15"/>
      <c r="L34" s="15"/>
      <c r="M34" s="15"/>
      <c r="N34" s="15"/>
      <c r="O34" s="15"/>
      <c r="P34" s="15"/>
      <c r="Q34" s="15"/>
      <c r="R34" s="15"/>
      <c r="S34" s="15"/>
      <c r="T34" s="15"/>
      <c r="U34" s="15"/>
      <c r="V34" s="15"/>
      <c r="W34" s="15"/>
      <c r="X34" s="15"/>
      <c r="Y34" s="15"/>
      <c r="Z34" s="15"/>
    </row>
    <row r="35" spans="1:26" ht="15.75" customHeight="1" x14ac:dyDescent="0.25">
      <c r="A35" s="456" t="s">
        <v>624</v>
      </c>
      <c r="B35" s="454"/>
      <c r="C35" s="443"/>
      <c r="D35" s="443"/>
      <c r="E35" s="443"/>
      <c r="F35" s="443"/>
      <c r="G35" s="462"/>
      <c r="H35" s="15"/>
      <c r="I35" s="16"/>
      <c r="J35" s="16"/>
      <c r="K35" s="15"/>
      <c r="L35" s="15"/>
      <c r="M35" s="15"/>
      <c r="N35" s="15"/>
      <c r="O35" s="15"/>
      <c r="P35" s="15"/>
      <c r="Q35" s="15"/>
      <c r="R35" s="15"/>
      <c r="S35" s="15"/>
      <c r="T35" s="15"/>
      <c r="U35" s="15"/>
      <c r="V35" s="15"/>
      <c r="W35" s="15"/>
      <c r="X35" s="15"/>
      <c r="Y35" s="15"/>
      <c r="Z35" s="15"/>
    </row>
    <row r="36" spans="1:26" ht="15.75" customHeight="1" x14ac:dyDescent="0.25">
      <c r="A36" s="460" t="s">
        <v>387</v>
      </c>
      <c r="B36" s="454" t="s">
        <v>181</v>
      </c>
      <c r="C36" s="443">
        <v>38171.019999999997</v>
      </c>
      <c r="D36" s="443">
        <v>13740.7</v>
      </c>
      <c r="E36" s="443">
        <f t="shared" ref="E36:E37" si="2">F36-D36</f>
        <v>148786.29999999999</v>
      </c>
      <c r="F36" s="443">
        <v>162527</v>
      </c>
      <c r="G36" s="462">
        <v>170342</v>
      </c>
      <c r="H36" s="232"/>
      <c r="I36" s="203"/>
      <c r="J36" s="203"/>
      <c r="K36" s="232"/>
      <c r="L36" s="232"/>
      <c r="M36" s="232"/>
      <c r="N36" s="232"/>
      <c r="O36" s="232"/>
      <c r="P36" s="232"/>
      <c r="Q36" s="232"/>
      <c r="R36" s="232"/>
      <c r="S36" s="232"/>
      <c r="T36" s="232"/>
      <c r="U36" s="232"/>
      <c r="V36" s="232"/>
      <c r="W36" s="232"/>
      <c r="X36" s="232"/>
      <c r="Y36" s="232"/>
      <c r="Z36" s="232"/>
    </row>
    <row r="37" spans="1:26" ht="15.75" customHeight="1" x14ac:dyDescent="0.25">
      <c r="A37" s="48" t="s">
        <v>388</v>
      </c>
      <c r="B37" s="41" t="s">
        <v>183</v>
      </c>
      <c r="C37" s="43">
        <v>45000</v>
      </c>
      <c r="D37" s="43">
        <v>0</v>
      </c>
      <c r="E37" s="43">
        <f t="shared" si="2"/>
        <v>50000</v>
      </c>
      <c r="F37" s="43">
        <v>50000</v>
      </c>
      <c r="G37" s="43">
        <v>50000</v>
      </c>
      <c r="H37" s="283"/>
      <c r="I37" s="284"/>
      <c r="J37" s="284"/>
      <c r="K37" s="283"/>
      <c r="L37" s="283"/>
      <c r="M37" s="283"/>
      <c r="N37" s="283"/>
      <c r="O37" s="283"/>
      <c r="P37" s="283"/>
      <c r="Q37" s="283"/>
      <c r="R37" s="283"/>
      <c r="S37" s="283"/>
      <c r="T37" s="283"/>
      <c r="U37" s="283"/>
      <c r="V37" s="283"/>
      <c r="W37" s="283"/>
      <c r="X37" s="283"/>
      <c r="Y37" s="283"/>
      <c r="Z37" s="283"/>
    </row>
    <row r="38" spans="1:26" ht="31.5" x14ac:dyDescent="0.25">
      <c r="A38" s="88" t="s">
        <v>625</v>
      </c>
      <c r="B38" s="41"/>
      <c r="C38" s="45"/>
      <c r="D38" s="43"/>
      <c r="E38" s="43"/>
      <c r="F38" s="43"/>
      <c r="G38" s="43">
        <v>150543</v>
      </c>
      <c r="H38" s="15"/>
      <c r="I38" s="16"/>
      <c r="J38" s="16"/>
      <c r="K38" s="15"/>
      <c r="L38" s="15"/>
      <c r="M38" s="15"/>
      <c r="N38" s="15"/>
      <c r="O38" s="15"/>
      <c r="P38" s="15"/>
      <c r="Q38" s="15"/>
      <c r="R38" s="15"/>
      <c r="S38" s="15"/>
      <c r="T38" s="15"/>
      <c r="U38" s="15"/>
      <c r="V38" s="15"/>
      <c r="W38" s="15"/>
      <c r="X38" s="15"/>
      <c r="Y38" s="15"/>
      <c r="Z38" s="15"/>
    </row>
    <row r="39" spans="1:26" ht="15.75" customHeight="1" x14ac:dyDescent="0.25">
      <c r="A39" s="42" t="s">
        <v>632</v>
      </c>
      <c r="B39" s="25"/>
      <c r="C39" s="54">
        <f t="shared" ref="C39:G39" si="3">+SUM(C16:C38)</f>
        <v>6544050.1099999994</v>
      </c>
      <c r="D39" s="54">
        <f t="shared" si="3"/>
        <v>3237993.75</v>
      </c>
      <c r="E39" s="54">
        <f t="shared" si="3"/>
        <v>4127159.25</v>
      </c>
      <c r="F39" s="54">
        <f t="shared" si="3"/>
        <v>7365153</v>
      </c>
      <c r="G39" s="54">
        <f t="shared" si="3"/>
        <v>7850613</v>
      </c>
      <c r="H39" s="15"/>
      <c r="I39" s="16"/>
      <c r="J39" s="16"/>
      <c r="K39" s="15"/>
      <c r="L39" s="15"/>
      <c r="M39" s="15"/>
      <c r="N39" s="15"/>
      <c r="O39" s="15"/>
      <c r="P39" s="15"/>
      <c r="Q39" s="15"/>
      <c r="R39" s="15"/>
      <c r="S39" s="15"/>
      <c r="T39" s="15"/>
      <c r="U39" s="15"/>
      <c r="V39" s="15"/>
      <c r="W39" s="15"/>
      <c r="X39" s="15"/>
      <c r="Y39" s="15"/>
      <c r="Z39" s="15"/>
    </row>
    <row r="40" spans="1:26" ht="15.75" customHeight="1" x14ac:dyDescent="0.25">
      <c r="A40" s="42"/>
      <c r="B40" s="25"/>
      <c r="C40" s="55"/>
      <c r="D40" s="55"/>
      <c r="E40" s="39"/>
      <c r="F40" s="163"/>
      <c r="G40" s="55"/>
      <c r="H40" s="15"/>
      <c r="I40" s="16"/>
      <c r="J40" s="16"/>
      <c r="K40" s="15"/>
      <c r="L40" s="15"/>
      <c r="M40" s="15"/>
      <c r="N40" s="15"/>
      <c r="O40" s="15"/>
      <c r="P40" s="15"/>
      <c r="Q40" s="15"/>
      <c r="R40" s="15"/>
      <c r="S40" s="15"/>
      <c r="T40" s="15"/>
      <c r="U40" s="15"/>
      <c r="V40" s="15"/>
      <c r="W40" s="15"/>
      <c r="X40" s="15"/>
      <c r="Y40" s="15"/>
      <c r="Z40" s="15"/>
    </row>
    <row r="41" spans="1:26" ht="15.75" customHeight="1" x14ac:dyDescent="0.25">
      <c r="A41" s="42" t="s">
        <v>391</v>
      </c>
      <c r="B41" s="41"/>
      <c r="C41" s="41"/>
      <c r="D41" s="43"/>
      <c r="E41" s="26"/>
      <c r="F41" s="41"/>
      <c r="G41" s="41"/>
      <c r="H41" s="15"/>
      <c r="I41" s="16"/>
      <c r="J41" s="16"/>
      <c r="K41" s="15"/>
      <c r="L41" s="15"/>
      <c r="M41" s="15"/>
      <c r="N41" s="15"/>
      <c r="O41" s="15"/>
      <c r="P41" s="15"/>
      <c r="Q41" s="15"/>
      <c r="R41" s="15"/>
      <c r="S41" s="15"/>
      <c r="T41" s="15"/>
      <c r="U41" s="15"/>
      <c r="V41" s="15"/>
      <c r="W41" s="15"/>
      <c r="X41" s="15"/>
      <c r="Y41" s="15"/>
      <c r="Z41" s="15"/>
    </row>
    <row r="42" spans="1:26" ht="15.75" customHeight="1" x14ac:dyDescent="0.25">
      <c r="A42" s="17" t="s">
        <v>392</v>
      </c>
      <c r="B42" s="41"/>
      <c r="C42" s="43"/>
      <c r="D42" s="43"/>
      <c r="E42" s="43"/>
      <c r="F42" s="43"/>
      <c r="G42" s="43"/>
      <c r="H42" s="15"/>
      <c r="I42" s="16"/>
      <c r="J42" s="16"/>
      <c r="K42" s="15"/>
      <c r="L42" s="15"/>
      <c r="M42" s="15"/>
      <c r="N42" s="15"/>
      <c r="O42" s="15"/>
      <c r="P42" s="15"/>
      <c r="Q42" s="15"/>
      <c r="R42" s="15"/>
      <c r="S42" s="15"/>
      <c r="T42" s="15"/>
      <c r="U42" s="15"/>
      <c r="V42" s="15"/>
      <c r="W42" s="15"/>
      <c r="X42" s="15"/>
      <c r="Y42" s="15"/>
      <c r="Z42" s="15"/>
    </row>
    <row r="43" spans="1:26" ht="15.75" customHeight="1" x14ac:dyDescent="0.25">
      <c r="A43" s="44" t="s">
        <v>1356</v>
      </c>
      <c r="B43" s="41" t="s">
        <v>187</v>
      </c>
      <c r="C43" s="43">
        <v>113773.56</v>
      </c>
      <c r="D43" s="43">
        <v>31172.83</v>
      </c>
      <c r="E43" s="43">
        <f>F43-D43</f>
        <v>168827.16999999998</v>
      </c>
      <c r="F43" s="43">
        <v>200000</v>
      </c>
      <c r="G43" s="43">
        <v>400000</v>
      </c>
      <c r="H43" s="15"/>
      <c r="I43" s="16"/>
      <c r="J43" s="16"/>
      <c r="K43" s="15"/>
      <c r="L43" s="15"/>
      <c r="M43" s="15"/>
      <c r="N43" s="15"/>
      <c r="O43" s="15"/>
      <c r="P43" s="15"/>
      <c r="Q43" s="15"/>
      <c r="R43" s="15"/>
      <c r="S43" s="15"/>
      <c r="T43" s="15"/>
      <c r="U43" s="15"/>
      <c r="V43" s="15"/>
      <c r="W43" s="15"/>
      <c r="X43" s="15"/>
      <c r="Y43" s="15"/>
      <c r="Z43" s="15"/>
    </row>
    <row r="44" spans="1:26" ht="15.75" customHeight="1" x14ac:dyDescent="0.25">
      <c r="A44" s="17" t="s">
        <v>395</v>
      </c>
      <c r="B44" s="41"/>
      <c r="C44" s="43"/>
      <c r="D44" s="43"/>
      <c r="E44" s="43"/>
      <c r="F44" s="43"/>
      <c r="G44" s="43"/>
      <c r="H44" s="15"/>
      <c r="I44" s="16"/>
      <c r="J44" s="16"/>
      <c r="K44" s="15"/>
      <c r="L44" s="15"/>
      <c r="M44" s="15"/>
      <c r="N44" s="15"/>
      <c r="O44" s="15"/>
      <c r="P44" s="15"/>
      <c r="Q44" s="15"/>
      <c r="R44" s="15"/>
      <c r="S44" s="15"/>
      <c r="T44" s="15"/>
      <c r="U44" s="15"/>
      <c r="V44" s="15"/>
      <c r="W44" s="15"/>
      <c r="X44" s="15"/>
      <c r="Y44" s="15"/>
      <c r="Z44" s="15"/>
    </row>
    <row r="45" spans="1:26" ht="15.75" customHeight="1" x14ac:dyDescent="0.25">
      <c r="A45" s="44" t="s">
        <v>1357</v>
      </c>
      <c r="B45" s="20" t="s">
        <v>191</v>
      </c>
      <c r="C45" s="43">
        <v>1185950</v>
      </c>
      <c r="D45" s="43">
        <v>958904.33</v>
      </c>
      <c r="E45" s="43">
        <f>F45-D45</f>
        <v>60095.670000000042</v>
      </c>
      <c r="F45" s="43">
        <v>1019000</v>
      </c>
      <c r="G45" s="43">
        <v>2036260</v>
      </c>
      <c r="H45" s="15"/>
      <c r="I45" s="16"/>
      <c r="J45" s="16"/>
      <c r="K45" s="15"/>
      <c r="L45" s="15"/>
      <c r="M45" s="15"/>
      <c r="N45" s="15"/>
      <c r="O45" s="15"/>
      <c r="P45" s="15"/>
      <c r="Q45" s="15"/>
      <c r="R45" s="15"/>
      <c r="S45" s="15"/>
      <c r="T45" s="15"/>
      <c r="U45" s="15"/>
      <c r="V45" s="15"/>
      <c r="W45" s="15"/>
      <c r="X45" s="15"/>
      <c r="Y45" s="15"/>
      <c r="Z45" s="15"/>
    </row>
    <row r="46" spans="1:26" ht="31.5" x14ac:dyDescent="0.25">
      <c r="A46" s="118" t="s">
        <v>1817</v>
      </c>
      <c r="B46" s="20"/>
      <c r="C46" s="43"/>
      <c r="D46" s="43"/>
      <c r="E46" s="43"/>
      <c r="F46" s="43"/>
      <c r="G46" s="43"/>
      <c r="H46" s="15"/>
      <c r="I46" s="16">
        <v>86700</v>
      </c>
      <c r="J46" s="16"/>
      <c r="K46" s="15"/>
      <c r="L46" s="15"/>
      <c r="M46" s="15"/>
      <c r="N46" s="15"/>
      <c r="O46" s="15"/>
      <c r="P46" s="15"/>
      <c r="Q46" s="15"/>
      <c r="R46" s="15"/>
      <c r="S46" s="15"/>
      <c r="T46" s="15"/>
      <c r="U46" s="15"/>
      <c r="V46" s="15"/>
      <c r="W46" s="15"/>
      <c r="X46" s="15"/>
      <c r="Y46" s="15"/>
      <c r="Z46" s="15"/>
    </row>
    <row r="47" spans="1:26" ht="47.25" x14ac:dyDescent="0.25">
      <c r="A47" s="118" t="s">
        <v>1818</v>
      </c>
      <c r="B47" s="20"/>
      <c r="C47" s="43"/>
      <c r="D47" s="43"/>
      <c r="E47" s="43"/>
      <c r="F47" s="43"/>
      <c r="G47" s="43"/>
      <c r="H47" s="15"/>
      <c r="I47" s="16">
        <v>68500</v>
      </c>
      <c r="J47" s="16"/>
      <c r="K47" s="15"/>
      <c r="L47" s="15"/>
      <c r="M47" s="15"/>
      <c r="N47" s="15"/>
      <c r="O47" s="15"/>
      <c r="P47" s="15"/>
      <c r="Q47" s="15"/>
      <c r="R47" s="15"/>
      <c r="S47" s="15"/>
      <c r="T47" s="15"/>
      <c r="U47" s="15"/>
      <c r="V47" s="15"/>
      <c r="W47" s="15"/>
      <c r="X47" s="15"/>
      <c r="Y47" s="15"/>
      <c r="Z47" s="15"/>
    </row>
    <row r="48" spans="1:26" ht="47.25" x14ac:dyDescent="0.25">
      <c r="A48" s="612" t="s">
        <v>1819</v>
      </c>
      <c r="B48" s="603"/>
      <c r="C48" s="457"/>
      <c r="D48" s="457"/>
      <c r="E48" s="457"/>
      <c r="F48" s="457"/>
      <c r="G48" s="457"/>
      <c r="H48" s="15"/>
      <c r="I48" s="16">
        <v>24420</v>
      </c>
      <c r="J48" s="16"/>
      <c r="K48" s="15"/>
      <c r="L48" s="15"/>
      <c r="M48" s="15"/>
      <c r="N48" s="15"/>
      <c r="O48" s="15"/>
      <c r="P48" s="15"/>
      <c r="Q48" s="15"/>
      <c r="R48" s="15"/>
      <c r="S48" s="15"/>
      <c r="T48" s="15"/>
      <c r="U48" s="15"/>
      <c r="V48" s="15"/>
      <c r="W48" s="15"/>
      <c r="X48" s="15"/>
      <c r="Y48" s="15"/>
      <c r="Z48" s="15"/>
    </row>
    <row r="49" spans="1:26" ht="47.25" x14ac:dyDescent="0.25">
      <c r="A49" s="614" t="s">
        <v>1820</v>
      </c>
      <c r="B49" s="539"/>
      <c r="C49" s="448"/>
      <c r="D49" s="448"/>
      <c r="E49" s="448"/>
      <c r="F49" s="448"/>
      <c r="G49" s="448"/>
      <c r="H49" s="15"/>
      <c r="I49" s="16">
        <v>199800</v>
      </c>
      <c r="J49" s="16"/>
      <c r="K49" s="15"/>
      <c r="L49" s="15"/>
      <c r="M49" s="15"/>
      <c r="N49" s="15"/>
      <c r="O49" s="15"/>
      <c r="P49" s="15"/>
      <c r="Q49" s="15"/>
      <c r="R49" s="15"/>
      <c r="S49" s="15"/>
      <c r="T49" s="15"/>
      <c r="U49" s="15"/>
      <c r="V49" s="15"/>
      <c r="W49" s="15"/>
      <c r="X49" s="15"/>
      <c r="Y49" s="15"/>
      <c r="Z49" s="15"/>
    </row>
    <row r="50" spans="1:26" ht="31.5" x14ac:dyDescent="0.25">
      <c r="A50" s="118" t="s">
        <v>1821</v>
      </c>
      <c r="B50" s="20"/>
      <c r="C50" s="43"/>
      <c r="D50" s="43"/>
      <c r="E50" s="43"/>
      <c r="F50" s="43"/>
      <c r="G50" s="43"/>
      <c r="H50" s="15"/>
      <c r="I50" s="16">
        <v>295000</v>
      </c>
      <c r="J50" s="16"/>
      <c r="K50" s="15"/>
      <c r="L50" s="15"/>
      <c r="M50" s="15"/>
      <c r="N50" s="15"/>
      <c r="O50" s="15"/>
      <c r="P50" s="15"/>
      <c r="Q50" s="15"/>
      <c r="R50" s="15"/>
      <c r="S50" s="15"/>
      <c r="T50" s="15"/>
      <c r="U50" s="15"/>
      <c r="V50" s="15"/>
      <c r="W50" s="15"/>
      <c r="X50" s="15"/>
      <c r="Y50" s="15"/>
      <c r="Z50" s="15"/>
    </row>
    <row r="51" spans="1:26" ht="31.5" x14ac:dyDescent="0.25">
      <c r="A51" s="118" t="s">
        <v>1822</v>
      </c>
      <c r="B51" s="20"/>
      <c r="C51" s="43"/>
      <c r="D51" s="43"/>
      <c r="E51" s="43"/>
      <c r="F51" s="43"/>
      <c r="G51" s="43"/>
      <c r="H51" s="15"/>
      <c r="I51" s="16">
        <v>295000</v>
      </c>
      <c r="J51" s="16"/>
      <c r="K51" s="15"/>
      <c r="L51" s="15"/>
      <c r="M51" s="15"/>
      <c r="N51" s="15"/>
      <c r="O51" s="15"/>
      <c r="P51" s="15"/>
      <c r="Q51" s="15"/>
      <c r="R51" s="15"/>
      <c r="S51" s="15"/>
      <c r="T51" s="15"/>
      <c r="U51" s="15"/>
      <c r="V51" s="15"/>
      <c r="W51" s="15"/>
      <c r="X51" s="15"/>
      <c r="Y51" s="15"/>
      <c r="Z51" s="15"/>
    </row>
    <row r="52" spans="1:26" ht="15.75" customHeight="1" x14ac:dyDescent="0.25">
      <c r="A52" s="44" t="s">
        <v>1823</v>
      </c>
      <c r="B52" s="20"/>
      <c r="C52" s="43"/>
      <c r="D52" s="43"/>
      <c r="E52" s="43"/>
      <c r="F52" s="43"/>
      <c r="G52" s="43"/>
      <c r="H52" s="15"/>
      <c r="I52" s="16">
        <v>185000</v>
      </c>
      <c r="J52" s="16"/>
      <c r="K52" s="15"/>
      <c r="L52" s="15"/>
      <c r="M52" s="15"/>
      <c r="N52" s="15"/>
      <c r="O52" s="15"/>
      <c r="P52" s="15"/>
      <c r="Q52" s="15"/>
      <c r="R52" s="15"/>
      <c r="S52" s="15"/>
      <c r="T52" s="15"/>
      <c r="U52" s="15"/>
      <c r="V52" s="15"/>
      <c r="W52" s="15"/>
      <c r="X52" s="15"/>
      <c r="Y52" s="15"/>
      <c r="Z52" s="15"/>
    </row>
    <row r="53" spans="1:26" ht="47.25" x14ac:dyDescent="0.25">
      <c r="A53" s="118" t="s">
        <v>1824</v>
      </c>
      <c r="B53" s="20"/>
      <c r="C53" s="43"/>
      <c r="D53" s="43"/>
      <c r="E53" s="43"/>
      <c r="F53" s="43"/>
      <c r="G53" s="43"/>
      <c r="H53" s="15"/>
      <c r="I53" s="16">
        <v>85140</v>
      </c>
      <c r="J53" s="16"/>
      <c r="K53" s="15"/>
      <c r="L53" s="15"/>
      <c r="M53" s="15"/>
      <c r="N53" s="15"/>
      <c r="O53" s="15"/>
      <c r="P53" s="15"/>
      <c r="Q53" s="15"/>
      <c r="R53" s="15"/>
      <c r="S53" s="15"/>
      <c r="T53" s="15"/>
      <c r="U53" s="15"/>
      <c r="V53" s="15"/>
      <c r="W53" s="15"/>
      <c r="X53" s="15"/>
      <c r="Y53" s="15"/>
      <c r="Z53" s="15"/>
    </row>
    <row r="54" spans="1:26" ht="31.5" x14ac:dyDescent="0.25">
      <c r="A54" s="118" t="s">
        <v>1825</v>
      </c>
      <c r="B54" s="20"/>
      <c r="C54" s="43"/>
      <c r="D54" s="43"/>
      <c r="E54" s="43"/>
      <c r="F54" s="43"/>
      <c r="G54" s="43"/>
      <c r="H54" s="15"/>
      <c r="I54" s="16">
        <v>284900</v>
      </c>
      <c r="J54" s="16"/>
      <c r="K54" s="15"/>
      <c r="L54" s="15"/>
      <c r="M54" s="15"/>
      <c r="N54" s="15"/>
      <c r="O54" s="15"/>
      <c r="P54" s="15"/>
      <c r="Q54" s="15"/>
      <c r="R54" s="15"/>
      <c r="S54" s="15"/>
      <c r="T54" s="15"/>
      <c r="U54" s="15"/>
      <c r="V54" s="15"/>
      <c r="W54" s="15"/>
      <c r="X54" s="15"/>
      <c r="Y54" s="15"/>
      <c r="Z54" s="15"/>
    </row>
    <row r="55" spans="1:26" ht="15.75" customHeight="1" x14ac:dyDescent="0.25">
      <c r="A55" s="44" t="s">
        <v>1826</v>
      </c>
      <c r="B55" s="41"/>
      <c r="C55" s="45"/>
      <c r="D55" s="45"/>
      <c r="E55" s="45"/>
      <c r="F55" s="45"/>
      <c r="G55" s="45"/>
      <c r="H55" s="15"/>
      <c r="I55" s="16">
        <v>144000</v>
      </c>
      <c r="J55" s="16"/>
      <c r="K55" s="15"/>
      <c r="L55" s="15"/>
      <c r="M55" s="15"/>
      <c r="N55" s="15"/>
      <c r="O55" s="15"/>
      <c r="P55" s="15"/>
      <c r="Q55" s="15"/>
      <c r="R55" s="15"/>
      <c r="S55" s="15"/>
      <c r="T55" s="15"/>
      <c r="U55" s="15"/>
      <c r="V55" s="15"/>
      <c r="W55" s="15"/>
      <c r="X55" s="15"/>
      <c r="Y55" s="15"/>
      <c r="Z55" s="15"/>
    </row>
    <row r="56" spans="1:26" ht="15.75" customHeight="1" x14ac:dyDescent="0.25">
      <c r="A56" s="44" t="s">
        <v>1827</v>
      </c>
      <c r="B56" s="20"/>
      <c r="C56" s="43"/>
      <c r="D56" s="43"/>
      <c r="E56" s="43"/>
      <c r="F56" s="43"/>
      <c r="G56" s="43"/>
      <c r="H56" s="15"/>
      <c r="I56" s="16">
        <v>217800</v>
      </c>
      <c r="J56" s="16"/>
      <c r="K56" s="15"/>
      <c r="L56" s="15"/>
      <c r="M56" s="15"/>
      <c r="N56" s="15"/>
      <c r="O56" s="15"/>
      <c r="P56" s="15"/>
      <c r="Q56" s="15"/>
      <c r="R56" s="15"/>
      <c r="S56" s="15"/>
      <c r="T56" s="15"/>
      <c r="U56" s="15"/>
      <c r="V56" s="15"/>
      <c r="W56" s="15"/>
      <c r="X56" s="15"/>
      <c r="Y56" s="15"/>
      <c r="Z56" s="15"/>
    </row>
    <row r="57" spans="1:26" ht="15.75" customHeight="1" x14ac:dyDescent="0.25">
      <c r="A57" s="44" t="s">
        <v>1804</v>
      </c>
      <c r="B57" s="20"/>
      <c r="C57" s="43"/>
      <c r="D57" s="43"/>
      <c r="E57" s="43"/>
      <c r="F57" s="43"/>
      <c r="G57" s="43"/>
      <c r="H57" s="15"/>
      <c r="I57" s="16">
        <v>150000</v>
      </c>
      <c r="J57" s="16">
        <f>SUM(I46:I57)</f>
        <v>2036260</v>
      </c>
      <c r="K57" s="15"/>
      <c r="L57" s="15"/>
      <c r="M57" s="15"/>
      <c r="N57" s="15"/>
      <c r="O57" s="15"/>
      <c r="P57" s="15"/>
      <c r="Q57" s="15"/>
      <c r="R57" s="15"/>
      <c r="S57" s="15"/>
      <c r="T57" s="15"/>
      <c r="U57" s="15"/>
      <c r="V57" s="15"/>
      <c r="W57" s="15"/>
      <c r="X57" s="15"/>
      <c r="Y57" s="15"/>
      <c r="Z57" s="15"/>
    </row>
    <row r="58" spans="1:26" ht="15.75" customHeight="1" x14ac:dyDescent="0.25">
      <c r="A58" s="456" t="s">
        <v>397</v>
      </c>
      <c r="B58" s="454"/>
      <c r="C58" s="443"/>
      <c r="D58" s="443"/>
      <c r="E58" s="443"/>
      <c r="F58" s="443"/>
      <c r="G58" s="462"/>
      <c r="H58" s="15"/>
      <c r="I58" s="16"/>
      <c r="J58" s="16"/>
      <c r="K58" s="15"/>
      <c r="L58" s="15"/>
      <c r="M58" s="15"/>
      <c r="N58" s="15"/>
      <c r="O58" s="15"/>
      <c r="P58" s="15"/>
      <c r="Q58" s="15"/>
      <c r="R58" s="15"/>
      <c r="S58" s="15"/>
      <c r="T58" s="15"/>
      <c r="U58" s="15"/>
      <c r="V58" s="15"/>
      <c r="W58" s="15"/>
      <c r="X58" s="15"/>
      <c r="Y58" s="15"/>
      <c r="Z58" s="15"/>
    </row>
    <row r="59" spans="1:26" ht="15.75" customHeight="1" x14ac:dyDescent="0.25">
      <c r="A59" s="460" t="s">
        <v>1358</v>
      </c>
      <c r="B59" s="454" t="s">
        <v>195</v>
      </c>
      <c r="C59" s="443">
        <v>402739.06</v>
      </c>
      <c r="D59" s="443">
        <v>236534.25</v>
      </c>
      <c r="E59" s="443">
        <f t="shared" ref="E59:E60" si="4">F59-D59</f>
        <v>277886.75</v>
      </c>
      <c r="F59" s="443">
        <v>514421</v>
      </c>
      <c r="G59" s="462">
        <v>465985</v>
      </c>
      <c r="H59" s="15"/>
      <c r="I59" s="16"/>
      <c r="J59" s="16"/>
      <c r="K59" s="15"/>
      <c r="L59" s="15"/>
      <c r="M59" s="15"/>
      <c r="N59" s="15"/>
      <c r="O59" s="15"/>
      <c r="P59" s="15"/>
      <c r="Q59" s="15"/>
      <c r="R59" s="15"/>
      <c r="S59" s="15"/>
      <c r="T59" s="15"/>
      <c r="U59" s="15"/>
      <c r="V59" s="15"/>
      <c r="W59" s="15"/>
      <c r="X59" s="15"/>
      <c r="Y59" s="15"/>
      <c r="Z59" s="15"/>
    </row>
    <row r="60" spans="1:26" ht="15.75" customHeight="1" x14ac:dyDescent="0.25">
      <c r="A60" s="44" t="s">
        <v>1828</v>
      </c>
      <c r="B60" s="20" t="s">
        <v>207</v>
      </c>
      <c r="C60" s="56">
        <v>1998800</v>
      </c>
      <c r="D60" s="56">
        <v>500981</v>
      </c>
      <c r="E60" s="43">
        <f t="shared" si="4"/>
        <v>501847</v>
      </c>
      <c r="F60" s="43">
        <v>1002828</v>
      </c>
      <c r="G60" s="43">
        <v>4149404</v>
      </c>
      <c r="H60" s="15"/>
      <c r="I60" s="16"/>
      <c r="J60" s="16"/>
      <c r="K60" s="15"/>
      <c r="L60" s="15"/>
      <c r="M60" s="15"/>
      <c r="N60" s="15"/>
      <c r="O60" s="15"/>
      <c r="P60" s="15"/>
      <c r="Q60" s="15"/>
      <c r="R60" s="15"/>
      <c r="S60" s="15"/>
      <c r="T60" s="15"/>
      <c r="U60" s="15"/>
      <c r="V60" s="15"/>
      <c r="W60" s="15"/>
      <c r="X60" s="15"/>
      <c r="Y60" s="15"/>
      <c r="Z60" s="15"/>
    </row>
    <row r="61" spans="1:26" ht="15.75" customHeight="1" x14ac:dyDescent="0.25">
      <c r="A61" s="44" t="s">
        <v>1829</v>
      </c>
      <c r="B61" s="20" t="s">
        <v>209</v>
      </c>
      <c r="C61" s="43">
        <v>314440</v>
      </c>
      <c r="D61" s="56">
        <v>132459</v>
      </c>
      <c r="E61" s="43">
        <v>134054</v>
      </c>
      <c r="F61" s="26">
        <v>266513</v>
      </c>
      <c r="G61" s="43">
        <v>380851</v>
      </c>
      <c r="H61" s="14"/>
      <c r="I61" s="16"/>
      <c r="J61" s="16"/>
      <c r="K61" s="15"/>
      <c r="L61" s="15"/>
      <c r="M61" s="15"/>
      <c r="N61" s="15"/>
      <c r="O61" s="15"/>
      <c r="P61" s="15"/>
      <c r="Q61" s="15"/>
      <c r="R61" s="15"/>
      <c r="S61" s="15"/>
      <c r="T61" s="15"/>
      <c r="U61" s="15"/>
      <c r="V61" s="15"/>
      <c r="W61" s="15"/>
      <c r="X61" s="15"/>
      <c r="Y61" s="15"/>
      <c r="Z61" s="15"/>
    </row>
    <row r="62" spans="1:26" ht="15.75" customHeight="1" x14ac:dyDescent="0.25">
      <c r="A62" s="48" t="s">
        <v>1359</v>
      </c>
      <c r="B62" s="41"/>
      <c r="C62" s="43">
        <v>0</v>
      </c>
      <c r="D62" s="43"/>
      <c r="E62" s="43">
        <v>379960</v>
      </c>
      <c r="F62" s="43">
        <v>379960</v>
      </c>
      <c r="G62" s="43">
        <v>118932</v>
      </c>
      <c r="H62" s="14"/>
      <c r="I62" s="16"/>
      <c r="J62" s="16"/>
      <c r="K62" s="15"/>
      <c r="L62" s="15"/>
      <c r="M62" s="15"/>
      <c r="N62" s="15"/>
      <c r="O62" s="15"/>
      <c r="P62" s="15"/>
      <c r="Q62" s="15"/>
      <c r="R62" s="15"/>
      <c r="S62" s="15"/>
      <c r="T62" s="15"/>
      <c r="U62" s="15"/>
      <c r="V62" s="15"/>
      <c r="W62" s="15"/>
      <c r="X62" s="15"/>
      <c r="Y62" s="15"/>
      <c r="Z62" s="15"/>
    </row>
    <row r="63" spans="1:26" ht="15.75" customHeight="1" x14ac:dyDescent="0.25">
      <c r="A63" s="44" t="s">
        <v>1362</v>
      </c>
      <c r="B63" s="20" t="s">
        <v>225</v>
      </c>
      <c r="C63" s="43">
        <v>377617.05</v>
      </c>
      <c r="D63" s="56">
        <v>1871.3</v>
      </c>
      <c r="E63" s="56">
        <v>80808.7</v>
      </c>
      <c r="F63" s="43">
        <v>82680</v>
      </c>
      <c r="G63" s="43">
        <v>92362</v>
      </c>
      <c r="H63" s="14" t="s">
        <v>488</v>
      </c>
      <c r="I63" s="16"/>
      <c r="J63" s="16"/>
      <c r="K63" s="15"/>
      <c r="L63" s="15"/>
      <c r="M63" s="15"/>
      <c r="N63" s="15"/>
      <c r="O63" s="15"/>
      <c r="P63" s="15"/>
      <c r="Q63" s="15"/>
      <c r="R63" s="15"/>
      <c r="S63" s="15"/>
      <c r="T63" s="15"/>
      <c r="U63" s="15"/>
      <c r="V63" s="15"/>
      <c r="W63" s="15"/>
      <c r="X63" s="15"/>
      <c r="Y63" s="15"/>
      <c r="Z63" s="15"/>
    </row>
    <row r="64" spans="1:26" ht="15.75" customHeight="1" x14ac:dyDescent="0.25">
      <c r="A64" s="17" t="s">
        <v>403</v>
      </c>
      <c r="B64" s="41"/>
      <c r="C64" s="43"/>
      <c r="D64" s="56"/>
      <c r="E64" s="56"/>
      <c r="F64" s="43"/>
      <c r="G64" s="43"/>
      <c r="I64" s="16"/>
      <c r="J64" s="16"/>
      <c r="K64" s="15"/>
      <c r="L64" s="15"/>
      <c r="M64" s="15"/>
      <c r="N64" s="15"/>
      <c r="O64" s="15"/>
      <c r="P64" s="15"/>
      <c r="Q64" s="15"/>
      <c r="R64" s="15"/>
      <c r="S64" s="15"/>
      <c r="T64" s="15"/>
      <c r="U64" s="15"/>
      <c r="V64" s="15"/>
      <c r="W64" s="15"/>
      <c r="X64" s="15"/>
      <c r="Y64" s="15"/>
      <c r="Z64" s="15"/>
    </row>
    <row r="65" spans="1:26" ht="15.75" customHeight="1" x14ac:dyDescent="0.25">
      <c r="A65" s="44" t="s">
        <v>1830</v>
      </c>
      <c r="B65" s="41" t="s">
        <v>237</v>
      </c>
      <c r="C65" s="43">
        <v>29376.06</v>
      </c>
      <c r="D65" s="56">
        <v>14994</v>
      </c>
      <c r="E65" s="43">
        <f>F65-D65</f>
        <v>16206</v>
      </c>
      <c r="F65" s="43">
        <v>31200</v>
      </c>
      <c r="G65" s="43">
        <v>31200</v>
      </c>
      <c r="H65" s="15"/>
      <c r="I65" s="16"/>
      <c r="J65" s="16"/>
      <c r="K65" s="15"/>
      <c r="L65" s="15"/>
      <c r="M65" s="15"/>
      <c r="N65" s="15"/>
      <c r="O65" s="15"/>
      <c r="P65" s="15"/>
      <c r="Q65" s="15"/>
      <c r="R65" s="15"/>
      <c r="S65" s="15"/>
      <c r="T65" s="15"/>
      <c r="U65" s="15"/>
      <c r="V65" s="15"/>
      <c r="W65" s="15"/>
      <c r="X65" s="15"/>
      <c r="Y65" s="15"/>
      <c r="Z65" s="15"/>
    </row>
    <row r="66" spans="1:26" ht="15.75" customHeight="1" x14ac:dyDescent="0.25">
      <c r="A66" s="17" t="s">
        <v>662</v>
      </c>
      <c r="B66" s="41"/>
      <c r="C66" s="43"/>
      <c r="D66" s="56"/>
      <c r="E66" s="56"/>
      <c r="F66" s="43"/>
      <c r="G66" s="43"/>
      <c r="H66" s="15"/>
      <c r="I66" s="16"/>
      <c r="J66" s="16"/>
      <c r="K66" s="15"/>
      <c r="L66" s="15"/>
      <c r="M66" s="15"/>
      <c r="N66" s="15"/>
      <c r="O66" s="15"/>
      <c r="P66" s="15"/>
      <c r="Q66" s="15"/>
      <c r="R66" s="15"/>
      <c r="S66" s="15"/>
      <c r="T66" s="15"/>
      <c r="U66" s="15"/>
      <c r="V66" s="15"/>
      <c r="W66" s="15"/>
      <c r="X66" s="15"/>
      <c r="Y66" s="15"/>
      <c r="Z66" s="15"/>
    </row>
    <row r="67" spans="1:26" ht="15.75" customHeight="1" x14ac:dyDescent="0.25">
      <c r="A67" s="44" t="s">
        <v>414</v>
      </c>
      <c r="B67" s="41" t="s">
        <v>335</v>
      </c>
      <c r="C67" s="43">
        <v>8621648.6400000006</v>
      </c>
      <c r="D67" s="56">
        <v>5160886.16</v>
      </c>
      <c r="E67" s="43">
        <f>F67-D67</f>
        <v>6435793.8399999999</v>
      </c>
      <c r="F67" s="43">
        <v>11596680</v>
      </c>
      <c r="G67" s="43">
        <v>12056880</v>
      </c>
      <c r="H67" s="15"/>
      <c r="I67" s="16"/>
      <c r="J67" s="16"/>
      <c r="K67" s="15"/>
      <c r="L67" s="15"/>
      <c r="M67" s="15"/>
      <c r="N67" s="15"/>
      <c r="O67" s="15"/>
      <c r="P67" s="15"/>
      <c r="Q67" s="15"/>
      <c r="R67" s="15"/>
      <c r="S67" s="15"/>
      <c r="T67" s="15"/>
      <c r="U67" s="15"/>
      <c r="V67" s="15"/>
      <c r="W67" s="15"/>
      <c r="X67" s="15"/>
      <c r="Y67" s="15"/>
      <c r="Z67" s="15"/>
    </row>
    <row r="68" spans="1:26" ht="31.5" x14ac:dyDescent="0.25">
      <c r="A68" s="118" t="s">
        <v>1831</v>
      </c>
      <c r="B68" s="41"/>
      <c r="C68" s="45"/>
      <c r="D68" s="45"/>
      <c r="E68" s="45"/>
      <c r="F68" s="45"/>
      <c r="G68" s="45"/>
      <c r="H68" s="15"/>
      <c r="I68" s="16">
        <v>11520000</v>
      </c>
      <c r="J68" s="16"/>
      <c r="K68" s="15"/>
      <c r="L68" s="15"/>
      <c r="M68" s="15"/>
      <c r="N68" s="15"/>
      <c r="O68" s="15"/>
      <c r="P68" s="15"/>
      <c r="Q68" s="15"/>
      <c r="R68" s="15"/>
      <c r="S68" s="15"/>
      <c r="T68" s="15"/>
      <c r="U68" s="15"/>
      <c r="V68" s="15"/>
      <c r="W68" s="15"/>
      <c r="X68" s="15"/>
      <c r="Y68" s="15"/>
      <c r="Z68" s="15"/>
    </row>
    <row r="69" spans="1:26" ht="31.5" x14ac:dyDescent="0.25">
      <c r="A69" s="118" t="s">
        <v>1832</v>
      </c>
      <c r="B69" s="41"/>
      <c r="C69" s="45"/>
      <c r="D69" s="45"/>
      <c r="E69" s="45"/>
      <c r="F69" s="45"/>
      <c r="G69" s="45"/>
      <c r="H69" s="15"/>
      <c r="I69" s="16">
        <v>75000</v>
      </c>
      <c r="J69" s="16"/>
      <c r="K69" s="15"/>
      <c r="L69" s="15"/>
      <c r="M69" s="15"/>
      <c r="N69" s="15"/>
      <c r="O69" s="15"/>
      <c r="P69" s="15"/>
      <c r="Q69" s="15"/>
      <c r="R69" s="15"/>
      <c r="S69" s="15"/>
      <c r="T69" s="15"/>
      <c r="U69" s="15"/>
      <c r="V69" s="15"/>
      <c r="W69" s="15"/>
      <c r="X69" s="15"/>
      <c r="Y69" s="15"/>
      <c r="Z69" s="15"/>
    </row>
    <row r="70" spans="1:26" ht="15.75" customHeight="1" x14ac:dyDescent="0.25">
      <c r="A70" s="44" t="s">
        <v>1833</v>
      </c>
      <c r="B70" s="41"/>
      <c r="C70" s="45"/>
      <c r="D70" s="45"/>
      <c r="E70" s="45"/>
      <c r="F70" s="45"/>
      <c r="G70" s="45"/>
      <c r="H70" s="15"/>
      <c r="I70" s="16">
        <v>105600</v>
      </c>
      <c r="J70" s="16"/>
      <c r="K70" s="15"/>
      <c r="L70" s="15"/>
      <c r="M70" s="15"/>
      <c r="N70" s="15"/>
      <c r="O70" s="15"/>
      <c r="P70" s="15"/>
      <c r="Q70" s="15"/>
      <c r="R70" s="15"/>
      <c r="S70" s="15"/>
      <c r="T70" s="15"/>
      <c r="U70" s="15"/>
      <c r="V70" s="15"/>
      <c r="W70" s="15"/>
      <c r="X70" s="15"/>
      <c r="Y70" s="15"/>
      <c r="Z70" s="15"/>
    </row>
    <row r="71" spans="1:26" ht="15.75" customHeight="1" x14ac:dyDescent="0.25">
      <c r="A71" s="44" t="s">
        <v>1834</v>
      </c>
      <c r="B71" s="41"/>
      <c r="C71" s="45"/>
      <c r="D71" s="45"/>
      <c r="E71" s="45"/>
      <c r="F71" s="45"/>
      <c r="G71" s="45"/>
      <c r="H71" s="15"/>
      <c r="I71" s="16">
        <v>132000</v>
      </c>
      <c r="J71" s="16"/>
      <c r="K71" s="15"/>
      <c r="L71" s="15"/>
      <c r="M71" s="15"/>
      <c r="N71" s="15"/>
      <c r="O71" s="15"/>
      <c r="P71" s="15"/>
      <c r="Q71" s="15"/>
      <c r="R71" s="15"/>
      <c r="S71" s="15"/>
      <c r="T71" s="15"/>
      <c r="U71" s="15"/>
      <c r="V71" s="15"/>
      <c r="W71" s="15"/>
      <c r="X71" s="15"/>
      <c r="Y71" s="15"/>
      <c r="Z71" s="15"/>
    </row>
    <row r="72" spans="1:26" ht="31.5" x14ac:dyDescent="0.25">
      <c r="A72" s="118" t="s">
        <v>1835</v>
      </c>
      <c r="B72" s="41"/>
      <c r="C72" s="45"/>
      <c r="D72" s="45"/>
      <c r="E72" s="45"/>
      <c r="F72" s="45"/>
      <c r="G72" s="45"/>
      <c r="H72" s="15"/>
      <c r="I72" s="16">
        <v>113280</v>
      </c>
      <c r="J72" s="16"/>
      <c r="K72" s="15"/>
      <c r="L72" s="15"/>
      <c r="M72" s="15"/>
      <c r="N72" s="15"/>
      <c r="O72" s="15"/>
      <c r="P72" s="15"/>
      <c r="Q72" s="15"/>
      <c r="R72" s="15"/>
      <c r="S72" s="15"/>
      <c r="T72" s="15"/>
      <c r="U72" s="15"/>
      <c r="V72" s="15"/>
      <c r="W72" s="15"/>
      <c r="X72" s="15"/>
      <c r="Y72" s="15"/>
      <c r="Z72" s="15"/>
    </row>
    <row r="73" spans="1:26" ht="31.5" x14ac:dyDescent="0.25">
      <c r="A73" s="118" t="s">
        <v>1836</v>
      </c>
      <c r="B73" s="20"/>
      <c r="C73" s="43"/>
      <c r="D73" s="43"/>
      <c r="E73" s="43"/>
      <c r="F73" s="43"/>
      <c r="G73" s="43"/>
      <c r="H73" s="15"/>
      <c r="I73" s="16">
        <v>22500</v>
      </c>
      <c r="J73" s="16"/>
      <c r="K73" s="15"/>
      <c r="L73" s="15"/>
      <c r="M73" s="15"/>
      <c r="N73" s="15"/>
      <c r="O73" s="15"/>
      <c r="P73" s="15"/>
      <c r="Q73" s="15"/>
      <c r="R73" s="15"/>
      <c r="S73" s="15"/>
      <c r="T73" s="15"/>
      <c r="U73" s="15"/>
      <c r="V73" s="15"/>
      <c r="W73" s="15"/>
      <c r="X73" s="15"/>
      <c r="Y73" s="15"/>
      <c r="Z73" s="15"/>
    </row>
    <row r="74" spans="1:26" ht="15.75" customHeight="1" x14ac:dyDescent="0.25">
      <c r="A74" s="44" t="s">
        <v>1837</v>
      </c>
      <c r="B74" s="41"/>
      <c r="C74" s="45"/>
      <c r="D74" s="45"/>
      <c r="E74" s="45"/>
      <c r="F74" s="45"/>
      <c r="G74" s="45"/>
      <c r="H74" s="15"/>
      <c r="I74" s="16">
        <v>55500</v>
      </c>
      <c r="J74" s="16"/>
      <c r="K74" s="15"/>
      <c r="L74" s="15"/>
      <c r="M74" s="15"/>
      <c r="N74" s="15"/>
      <c r="O74" s="15"/>
      <c r="P74" s="15"/>
      <c r="Q74" s="15"/>
      <c r="R74" s="15"/>
      <c r="S74" s="15"/>
      <c r="T74" s="15"/>
      <c r="U74" s="15"/>
      <c r="V74" s="15"/>
      <c r="W74" s="15"/>
      <c r="X74" s="15"/>
      <c r="Y74" s="15"/>
      <c r="Z74" s="15"/>
    </row>
    <row r="75" spans="1:26" ht="15.75" customHeight="1" x14ac:dyDescent="0.25">
      <c r="A75" s="44" t="s">
        <v>1838</v>
      </c>
      <c r="B75" s="41"/>
      <c r="C75" s="45"/>
      <c r="D75" s="45"/>
      <c r="E75" s="45"/>
      <c r="F75" s="45"/>
      <c r="G75" s="45"/>
      <c r="H75" s="15"/>
      <c r="I75" s="16">
        <v>33000</v>
      </c>
      <c r="J75" s="16">
        <f>SUM(I68:I75)</f>
        <v>12056880</v>
      </c>
      <c r="K75" s="15"/>
      <c r="L75" s="15"/>
      <c r="M75" s="15"/>
      <c r="N75" s="15"/>
      <c r="O75" s="15"/>
      <c r="P75" s="15"/>
      <c r="Q75" s="15"/>
      <c r="R75" s="15"/>
      <c r="S75" s="15"/>
      <c r="T75" s="15"/>
      <c r="U75" s="15"/>
      <c r="V75" s="15"/>
      <c r="W75" s="15"/>
      <c r="X75" s="15"/>
      <c r="Y75" s="15"/>
      <c r="Z75" s="15"/>
    </row>
    <row r="76" spans="1:26" ht="15.75" customHeight="1" x14ac:dyDescent="0.25">
      <c r="A76" s="42" t="s">
        <v>672</v>
      </c>
      <c r="B76" s="41"/>
      <c r="C76" s="79">
        <f t="shared" ref="C76:F76" si="5">+SUM(C43:C67)</f>
        <v>13044344.370000001</v>
      </c>
      <c r="D76" s="79">
        <f t="shared" si="5"/>
        <v>7037802.8700000001</v>
      </c>
      <c r="E76" s="79">
        <f t="shared" si="5"/>
        <v>8055479.1299999999</v>
      </c>
      <c r="F76" s="79">
        <f t="shared" si="5"/>
        <v>15093282</v>
      </c>
      <c r="G76" s="79">
        <f>SUM(G43:G75)</f>
        <v>19731874</v>
      </c>
      <c r="H76" s="15"/>
      <c r="I76" s="16"/>
      <c r="J76" s="16"/>
      <c r="K76" s="15"/>
      <c r="L76" s="15"/>
      <c r="M76" s="15"/>
      <c r="N76" s="15"/>
      <c r="O76" s="15"/>
      <c r="P76" s="15"/>
      <c r="Q76" s="15"/>
      <c r="R76" s="15"/>
      <c r="S76" s="15"/>
      <c r="T76" s="15"/>
      <c r="U76" s="15"/>
      <c r="V76" s="15"/>
      <c r="W76" s="15"/>
      <c r="X76" s="15"/>
      <c r="Y76" s="15"/>
      <c r="Z76" s="15"/>
    </row>
    <row r="77" spans="1:26" ht="15.75" customHeight="1" x14ac:dyDescent="0.25">
      <c r="A77" s="42"/>
      <c r="B77" s="41"/>
      <c r="C77" s="39"/>
      <c r="D77" s="55"/>
      <c r="E77" s="55"/>
      <c r="F77" s="55"/>
      <c r="G77" s="55"/>
      <c r="H77" s="15"/>
      <c r="I77" s="16"/>
      <c r="J77" s="16"/>
      <c r="K77" s="15"/>
      <c r="L77" s="15"/>
      <c r="M77" s="15"/>
      <c r="N77" s="15"/>
      <c r="O77" s="15"/>
      <c r="P77" s="15"/>
      <c r="Q77" s="15"/>
      <c r="R77" s="15"/>
      <c r="S77" s="15"/>
      <c r="T77" s="15"/>
      <c r="U77" s="15"/>
      <c r="V77" s="15"/>
      <c r="W77" s="15"/>
      <c r="X77" s="15"/>
      <c r="Y77" s="15"/>
      <c r="Z77" s="15"/>
    </row>
    <row r="78" spans="1:26" ht="15.75" customHeight="1" x14ac:dyDescent="0.25">
      <c r="A78" s="42" t="s">
        <v>467</v>
      </c>
      <c r="B78" s="41"/>
      <c r="C78" s="45">
        <f t="shared" ref="C78:G78" si="6">+C76+C39</f>
        <v>19588394.48</v>
      </c>
      <c r="D78" s="45">
        <f t="shared" si="6"/>
        <v>10275796.620000001</v>
      </c>
      <c r="E78" s="45">
        <f t="shared" si="6"/>
        <v>12182638.379999999</v>
      </c>
      <c r="F78" s="45">
        <f t="shared" si="6"/>
        <v>22458435</v>
      </c>
      <c r="G78" s="45">
        <f t="shared" si="6"/>
        <v>27582487</v>
      </c>
      <c r="H78" s="15"/>
      <c r="I78" s="16"/>
      <c r="J78" s="16"/>
      <c r="K78" s="15"/>
      <c r="L78" s="15"/>
      <c r="M78" s="15"/>
      <c r="N78" s="15"/>
      <c r="O78" s="15"/>
      <c r="P78" s="15"/>
      <c r="Q78" s="15"/>
      <c r="R78" s="15"/>
      <c r="S78" s="15"/>
      <c r="T78" s="15"/>
      <c r="U78" s="15"/>
      <c r="V78" s="15"/>
      <c r="W78" s="15"/>
      <c r="X78" s="15"/>
      <c r="Y78" s="15"/>
      <c r="Z78" s="15"/>
    </row>
    <row r="79" spans="1:26" ht="15.75" customHeight="1" x14ac:dyDescent="0.25">
      <c r="A79" s="17"/>
      <c r="B79" s="41"/>
      <c r="C79" s="45"/>
      <c r="D79" s="43"/>
      <c r="E79" s="43"/>
      <c r="F79" s="43"/>
      <c r="G79" s="43"/>
      <c r="H79" s="15"/>
      <c r="I79" s="16"/>
      <c r="J79" s="16"/>
      <c r="K79" s="15"/>
      <c r="L79" s="15"/>
      <c r="M79" s="15"/>
      <c r="N79" s="15"/>
      <c r="O79" s="15"/>
      <c r="P79" s="15"/>
      <c r="Q79" s="15"/>
      <c r="R79" s="15"/>
      <c r="S79" s="15"/>
      <c r="T79" s="15"/>
      <c r="U79" s="15"/>
      <c r="V79" s="15"/>
      <c r="W79" s="15"/>
      <c r="X79" s="15"/>
      <c r="Y79" s="15"/>
      <c r="Z79" s="15"/>
    </row>
    <row r="80" spans="1:26" ht="15.75" customHeight="1" x14ac:dyDescent="0.25">
      <c r="A80" s="50" t="s">
        <v>487</v>
      </c>
      <c r="B80" s="133" t="s">
        <v>488</v>
      </c>
      <c r="C80" s="53" t="e">
        <f>+#REF!+C78</f>
        <v>#REF!</v>
      </c>
      <c r="D80" s="53" t="e">
        <f>+#REF!+D78</f>
        <v>#REF!</v>
      </c>
      <c r="E80" s="53" t="e">
        <f>+#REF!+E78</f>
        <v>#REF!</v>
      </c>
      <c r="F80" s="53" t="e">
        <f>+#REF!+F78</f>
        <v>#REF!</v>
      </c>
      <c r="G80" s="53">
        <f>+G78</f>
        <v>27582487</v>
      </c>
      <c r="I80" s="40"/>
      <c r="J80" s="40"/>
    </row>
    <row r="81" spans="1:10" ht="15.75" customHeight="1" x14ac:dyDescent="0.25">
      <c r="A81" s="24"/>
      <c r="B81" s="174"/>
      <c r="C81" s="26"/>
      <c r="D81" s="26"/>
      <c r="E81" s="26"/>
      <c r="F81" s="26"/>
      <c r="G81" s="26"/>
      <c r="I81" s="40"/>
      <c r="J81" s="40"/>
    </row>
    <row r="82" spans="1:10" ht="15.75" customHeight="1" x14ac:dyDescent="0.25">
      <c r="A82" s="24"/>
      <c r="B82" s="98"/>
      <c r="C82" s="24"/>
      <c r="D82" s="24"/>
      <c r="E82" s="24"/>
      <c r="F82" s="15"/>
      <c r="G82" s="24"/>
      <c r="H82" s="7"/>
      <c r="I82" s="40"/>
      <c r="J82" s="40"/>
    </row>
    <row r="83" spans="1:10" ht="15.75" customHeight="1" x14ac:dyDescent="0.25">
      <c r="A83" s="24"/>
      <c r="B83" s="174"/>
      <c r="C83" s="24"/>
      <c r="D83" s="24"/>
      <c r="E83" s="24"/>
      <c r="F83" s="114"/>
      <c r="G83" s="114"/>
      <c r="I83" s="40"/>
      <c r="J83" s="40"/>
    </row>
    <row r="84" spans="1:10" ht="15.75" customHeight="1" x14ac:dyDescent="0.25">
      <c r="A84" s="24"/>
      <c r="B84" s="174"/>
      <c r="C84" s="24"/>
      <c r="D84" s="24"/>
      <c r="E84" s="24"/>
      <c r="F84" s="114"/>
      <c r="G84" s="114"/>
      <c r="I84" s="40"/>
      <c r="J84" s="40"/>
    </row>
    <row r="85" spans="1:10" ht="15.75" customHeight="1" x14ac:dyDescent="0.25">
      <c r="A85" s="24"/>
      <c r="B85" s="174"/>
      <c r="C85" s="24"/>
      <c r="D85" s="24"/>
      <c r="E85" s="24"/>
      <c r="F85" s="114"/>
      <c r="G85" s="114"/>
      <c r="I85" s="40"/>
      <c r="J85" s="40"/>
    </row>
    <row r="86" spans="1:10" ht="15.75" customHeight="1" x14ac:dyDescent="0.25">
      <c r="A86" s="24"/>
      <c r="B86" s="174"/>
      <c r="C86" s="24"/>
      <c r="D86" s="24"/>
      <c r="E86" s="24"/>
      <c r="F86" s="114"/>
      <c r="G86" s="114"/>
      <c r="I86" s="40"/>
      <c r="J86" s="40"/>
    </row>
    <row r="87" spans="1:10" ht="15.75" customHeight="1" x14ac:dyDescent="0.25">
      <c r="A87" s="24"/>
      <c r="B87" s="174"/>
      <c r="C87" s="24"/>
      <c r="D87" s="24"/>
      <c r="E87" s="24"/>
      <c r="F87" s="114"/>
      <c r="G87" s="114"/>
      <c r="I87" s="40"/>
      <c r="J87" s="40"/>
    </row>
    <row r="88" spans="1:10" ht="15.75" customHeight="1" x14ac:dyDescent="0.25">
      <c r="A88" s="24"/>
      <c r="B88" s="174"/>
      <c r="C88" s="24"/>
      <c r="D88" s="24"/>
      <c r="E88" s="24"/>
      <c r="F88" s="114"/>
      <c r="G88" s="114"/>
      <c r="I88" s="40"/>
      <c r="J88" s="40"/>
    </row>
    <row r="89" spans="1:10" ht="15.75" customHeight="1" x14ac:dyDescent="0.25">
      <c r="A89" s="24"/>
      <c r="B89" s="174"/>
      <c r="C89" s="24"/>
      <c r="D89" s="24"/>
      <c r="E89" s="24"/>
      <c r="F89" s="114"/>
      <c r="G89" s="114"/>
      <c r="I89" s="40"/>
      <c r="J89" s="40"/>
    </row>
    <row r="90" spans="1:10" ht="15.75" customHeight="1" x14ac:dyDescent="0.25">
      <c r="A90" s="24"/>
      <c r="B90" s="174"/>
      <c r="C90" s="24"/>
      <c r="D90" s="24"/>
      <c r="E90" s="24"/>
      <c r="F90" s="114"/>
      <c r="G90" s="114"/>
      <c r="I90" s="40"/>
      <c r="J90" s="40"/>
    </row>
    <row r="91" spans="1:10" ht="15.75" customHeight="1" x14ac:dyDescent="0.25">
      <c r="A91" s="24"/>
      <c r="B91" s="174"/>
      <c r="C91" s="24"/>
      <c r="D91" s="24"/>
      <c r="E91" s="24"/>
      <c r="F91" s="114"/>
      <c r="G91" s="114"/>
      <c r="I91" s="40"/>
      <c r="J91" s="40"/>
    </row>
    <row r="92" spans="1:10" ht="15.75" customHeight="1" x14ac:dyDescent="0.25">
      <c r="A92" s="24"/>
      <c r="B92" s="174"/>
      <c r="C92" s="24"/>
      <c r="D92" s="24"/>
      <c r="E92" s="24"/>
      <c r="F92" s="114"/>
      <c r="G92" s="114"/>
      <c r="I92" s="40"/>
      <c r="J92" s="40"/>
    </row>
    <row r="93" spans="1:10" ht="15.75" customHeight="1" x14ac:dyDescent="0.25">
      <c r="A93" s="24"/>
      <c r="B93" s="174"/>
      <c r="C93" s="24"/>
      <c r="D93" s="24"/>
      <c r="E93" s="24"/>
      <c r="F93" s="114"/>
      <c r="G93" s="114"/>
      <c r="I93" s="40"/>
      <c r="J93" s="40"/>
    </row>
    <row r="94" spans="1:10" ht="15.75" customHeight="1" x14ac:dyDescent="0.25">
      <c r="A94" s="24"/>
      <c r="B94" s="174"/>
      <c r="C94" s="24"/>
      <c r="D94" s="24"/>
      <c r="E94" s="24"/>
      <c r="F94" s="114"/>
      <c r="G94" s="114"/>
      <c r="I94" s="40"/>
      <c r="J94" s="40"/>
    </row>
    <row r="95" spans="1:10" ht="15.75" customHeight="1" x14ac:dyDescent="0.25">
      <c r="A95" s="24"/>
      <c r="B95" s="174"/>
      <c r="C95" s="24"/>
      <c r="D95" s="24"/>
      <c r="E95" s="24"/>
      <c r="F95" s="114"/>
      <c r="G95" s="114"/>
      <c r="I95" s="40"/>
      <c r="J95" s="40"/>
    </row>
    <row r="96" spans="1:10" ht="15.75" customHeight="1" x14ac:dyDescent="0.25">
      <c r="A96" s="24"/>
      <c r="B96" s="174"/>
      <c r="C96" s="24"/>
      <c r="D96" s="24"/>
      <c r="E96" s="24"/>
      <c r="F96" s="114"/>
      <c r="G96" s="114"/>
      <c r="I96" s="40"/>
      <c r="J96" s="40"/>
    </row>
    <row r="97" spans="1:10" ht="15.75" customHeight="1" x14ac:dyDescent="0.25">
      <c r="A97" s="24"/>
      <c r="B97" s="174"/>
      <c r="C97" s="24"/>
      <c r="D97" s="24"/>
      <c r="E97" s="24"/>
      <c r="F97" s="114"/>
      <c r="G97" s="114"/>
      <c r="I97" s="40"/>
      <c r="J97" s="40"/>
    </row>
    <row r="98" spans="1:10" ht="15.75" customHeight="1" x14ac:dyDescent="0.25">
      <c r="A98" s="24"/>
      <c r="B98" s="174"/>
      <c r="C98" s="24"/>
      <c r="D98" s="24"/>
      <c r="E98" s="24"/>
      <c r="F98" s="114"/>
      <c r="G98" s="114"/>
      <c r="I98" s="40"/>
      <c r="J98" s="40"/>
    </row>
    <row r="99" spans="1:10" ht="15.75" customHeight="1" x14ac:dyDescent="0.25">
      <c r="A99" s="24"/>
      <c r="B99" s="174"/>
      <c r="C99" s="24"/>
      <c r="D99" s="24"/>
      <c r="E99" s="24"/>
      <c r="F99" s="114"/>
      <c r="G99" s="114"/>
      <c r="I99" s="40"/>
      <c r="J99" s="40"/>
    </row>
    <row r="100" spans="1:10" ht="15.75" customHeight="1" x14ac:dyDescent="0.25">
      <c r="A100" s="24"/>
      <c r="B100" s="174"/>
      <c r="C100" s="24"/>
      <c r="D100" s="24"/>
      <c r="E100" s="24"/>
      <c r="F100" s="114"/>
      <c r="G100" s="114"/>
      <c r="I100" s="40"/>
      <c r="J100" s="40"/>
    </row>
    <row r="101" spans="1:10" ht="15.75" customHeight="1" x14ac:dyDescent="0.25">
      <c r="A101" s="24"/>
      <c r="B101" s="174"/>
      <c r="C101" s="24"/>
      <c r="D101" s="24"/>
      <c r="E101" s="24"/>
      <c r="F101" s="114"/>
      <c r="G101" s="114"/>
      <c r="I101" s="40"/>
      <c r="J101" s="40"/>
    </row>
    <row r="102" spans="1:10" ht="15.75" customHeight="1" x14ac:dyDescent="0.25">
      <c r="A102" s="24"/>
      <c r="B102" s="174"/>
      <c r="C102" s="24"/>
      <c r="D102" s="24"/>
      <c r="E102" s="24"/>
      <c r="F102" s="114"/>
      <c r="G102" s="114"/>
      <c r="I102" s="40"/>
      <c r="J102" s="40"/>
    </row>
    <row r="103" spans="1:10" ht="15.75" customHeight="1" x14ac:dyDescent="0.25">
      <c r="A103" s="24"/>
      <c r="B103" s="174"/>
      <c r="C103" s="24"/>
      <c r="D103" s="24"/>
      <c r="E103" s="24"/>
      <c r="F103" s="114"/>
      <c r="G103" s="114"/>
      <c r="I103" s="40"/>
      <c r="J103" s="40"/>
    </row>
    <row r="104" spans="1:10" ht="15.75" customHeight="1" x14ac:dyDescent="0.25">
      <c r="A104" s="24"/>
      <c r="B104" s="174"/>
      <c r="C104" s="24"/>
      <c r="D104" s="24"/>
      <c r="E104" s="24"/>
      <c r="F104" s="114"/>
      <c r="G104" s="114"/>
      <c r="I104" s="40"/>
      <c r="J104" s="40"/>
    </row>
    <row r="105" spans="1:10" ht="15.75" customHeight="1" x14ac:dyDescent="0.25">
      <c r="A105" s="24"/>
      <c r="B105" s="174"/>
      <c r="C105" s="24"/>
      <c r="D105" s="24"/>
      <c r="E105" s="24"/>
      <c r="F105" s="114"/>
      <c r="G105" s="114"/>
      <c r="I105" s="40"/>
      <c r="J105" s="40"/>
    </row>
    <row r="106" spans="1:10" ht="15.75" customHeight="1" x14ac:dyDescent="0.25">
      <c r="A106" s="24"/>
      <c r="B106" s="174"/>
      <c r="C106" s="24"/>
      <c r="D106" s="24"/>
      <c r="E106" s="24"/>
      <c r="F106" s="114"/>
      <c r="G106" s="114"/>
      <c r="I106" s="40"/>
      <c r="J106" s="40"/>
    </row>
    <row r="107" spans="1:10" ht="15.75" customHeight="1" x14ac:dyDescent="0.25">
      <c r="A107" s="24"/>
      <c r="B107" s="174"/>
      <c r="C107" s="24"/>
      <c r="D107" s="24"/>
      <c r="E107" s="24"/>
      <c r="F107" s="114"/>
      <c r="G107" s="114"/>
      <c r="I107" s="40"/>
      <c r="J107" s="40"/>
    </row>
    <row r="108" spans="1:10" ht="15.75" customHeight="1" x14ac:dyDescent="0.25">
      <c r="A108" s="24"/>
      <c r="B108" s="174"/>
      <c r="C108" s="24"/>
      <c r="D108" s="24"/>
      <c r="E108" s="24"/>
      <c r="F108" s="114"/>
      <c r="G108" s="114"/>
      <c r="I108" s="40"/>
      <c r="J108" s="40"/>
    </row>
    <row r="109" spans="1:10" ht="15.75" customHeight="1" x14ac:dyDescent="0.25">
      <c r="A109" s="24"/>
      <c r="B109" s="174"/>
      <c r="C109" s="24"/>
      <c r="D109" s="24"/>
      <c r="E109" s="24"/>
      <c r="F109" s="114"/>
      <c r="G109" s="114"/>
      <c r="I109" s="40"/>
      <c r="J109" s="40"/>
    </row>
    <row r="110" spans="1:10" ht="15.75" customHeight="1" x14ac:dyDescent="0.25">
      <c r="A110" s="24"/>
      <c r="B110" s="174"/>
      <c r="C110" s="24"/>
      <c r="D110" s="24"/>
      <c r="E110" s="24"/>
      <c r="F110" s="114"/>
      <c r="G110" s="114"/>
      <c r="I110" s="40"/>
      <c r="J110" s="40"/>
    </row>
    <row r="111" spans="1:10" ht="15.75" customHeight="1" x14ac:dyDescent="0.25">
      <c r="A111" s="24"/>
      <c r="B111" s="174"/>
      <c r="C111" s="24"/>
      <c r="D111" s="24"/>
      <c r="E111" s="24"/>
      <c r="F111" s="114"/>
      <c r="G111" s="114"/>
      <c r="I111" s="40"/>
      <c r="J111" s="40"/>
    </row>
    <row r="112" spans="1:10" ht="15.75" customHeight="1" x14ac:dyDescent="0.25">
      <c r="A112" s="24"/>
      <c r="B112" s="174"/>
      <c r="C112" s="24"/>
      <c r="D112" s="24"/>
      <c r="E112" s="24"/>
      <c r="F112" s="114"/>
      <c r="G112" s="114"/>
      <c r="I112" s="40"/>
      <c r="J112" s="40"/>
    </row>
    <row r="113" spans="1:10" ht="15.75" customHeight="1" x14ac:dyDescent="0.25">
      <c r="A113" s="24"/>
      <c r="B113" s="174"/>
      <c r="C113" s="24"/>
      <c r="D113" s="24"/>
      <c r="E113" s="24"/>
      <c r="F113" s="114"/>
      <c r="G113" s="114"/>
      <c r="I113" s="40"/>
      <c r="J113" s="40"/>
    </row>
    <row r="114" spans="1:10" ht="15.75" customHeight="1" x14ac:dyDescent="0.25">
      <c r="A114" s="24"/>
      <c r="B114" s="174"/>
      <c r="C114" s="24"/>
      <c r="D114" s="24"/>
      <c r="E114" s="24"/>
      <c r="F114" s="114"/>
      <c r="G114" s="114"/>
      <c r="I114" s="40"/>
      <c r="J114" s="40"/>
    </row>
    <row r="115" spans="1:10" ht="15.75" customHeight="1" x14ac:dyDescent="0.25">
      <c r="A115" s="24"/>
      <c r="B115" s="174"/>
      <c r="C115" s="24"/>
      <c r="D115" s="24"/>
      <c r="E115" s="24"/>
      <c r="F115" s="114"/>
      <c r="G115" s="114"/>
      <c r="I115" s="40"/>
      <c r="J115" s="40"/>
    </row>
    <row r="116" spans="1:10" ht="15.75" customHeight="1" x14ac:dyDescent="0.25">
      <c r="A116" s="24"/>
      <c r="B116" s="174"/>
      <c r="C116" s="24"/>
      <c r="D116" s="24"/>
      <c r="E116" s="24"/>
      <c r="F116" s="114"/>
      <c r="G116" s="114"/>
      <c r="I116" s="40"/>
      <c r="J116" s="40"/>
    </row>
    <row r="117" spans="1:10" ht="15.75" customHeight="1" x14ac:dyDescent="0.25">
      <c r="A117" s="24"/>
      <c r="B117" s="174"/>
      <c r="C117" s="24"/>
      <c r="D117" s="24"/>
      <c r="E117" s="24"/>
      <c r="F117" s="114"/>
      <c r="G117" s="114"/>
      <c r="I117" s="40"/>
      <c r="J117" s="40"/>
    </row>
    <row r="118" spans="1:10" ht="15.75" customHeight="1" x14ac:dyDescent="0.25">
      <c r="A118" s="24"/>
      <c r="B118" s="174"/>
      <c r="C118" s="24"/>
      <c r="D118" s="24"/>
      <c r="E118" s="24"/>
      <c r="F118" s="114"/>
      <c r="G118" s="114"/>
      <c r="I118" s="40"/>
      <c r="J118" s="40"/>
    </row>
    <row r="119" spans="1:10" ht="15.75" customHeight="1" x14ac:dyDescent="0.25">
      <c r="A119" s="24"/>
      <c r="B119" s="174"/>
      <c r="C119" s="24"/>
      <c r="D119" s="24"/>
      <c r="E119" s="24"/>
      <c r="F119" s="114"/>
      <c r="G119" s="114"/>
      <c r="I119" s="40"/>
      <c r="J119" s="40"/>
    </row>
    <row r="120" spans="1:10" ht="15.75" customHeight="1" x14ac:dyDescent="0.25">
      <c r="A120" s="24"/>
      <c r="B120" s="174"/>
      <c r="C120" s="24"/>
      <c r="D120" s="24"/>
      <c r="E120" s="24"/>
      <c r="F120" s="114"/>
      <c r="G120" s="114"/>
      <c r="I120" s="40"/>
      <c r="J120" s="40"/>
    </row>
    <row r="121" spans="1:10" ht="15.75" customHeight="1" x14ac:dyDescent="0.25">
      <c r="A121" s="24"/>
      <c r="B121" s="174"/>
      <c r="C121" s="24"/>
      <c r="D121" s="24"/>
      <c r="E121" s="24"/>
      <c r="F121" s="114"/>
      <c r="G121" s="114"/>
      <c r="I121" s="40"/>
      <c r="J121" s="40"/>
    </row>
    <row r="122" spans="1:10" ht="15.75" customHeight="1" x14ac:dyDescent="0.25">
      <c r="A122" s="24"/>
      <c r="B122" s="174"/>
      <c r="C122" s="24"/>
      <c r="D122" s="24"/>
      <c r="E122" s="24"/>
      <c r="F122" s="114"/>
      <c r="G122" s="114"/>
      <c r="I122" s="40"/>
      <c r="J122" s="40"/>
    </row>
    <row r="123" spans="1:10" ht="15.75" customHeight="1" x14ac:dyDescent="0.25">
      <c r="A123" s="24"/>
      <c r="B123" s="174"/>
      <c r="C123" s="24"/>
      <c r="D123" s="24"/>
      <c r="E123" s="24"/>
      <c r="F123" s="114"/>
      <c r="G123" s="114"/>
      <c r="I123" s="40"/>
      <c r="J123" s="40"/>
    </row>
    <row r="124" spans="1:10" ht="15.75" customHeight="1" x14ac:dyDescent="0.25">
      <c r="A124" s="24"/>
      <c r="B124" s="174"/>
      <c r="C124" s="24"/>
      <c r="D124" s="24"/>
      <c r="E124" s="24"/>
      <c r="F124" s="114"/>
      <c r="G124" s="114"/>
      <c r="I124" s="40"/>
      <c r="J124" s="40"/>
    </row>
    <row r="125" spans="1:10" ht="15.75" customHeight="1" x14ac:dyDescent="0.25">
      <c r="A125" s="24"/>
      <c r="B125" s="174"/>
      <c r="C125" s="24"/>
      <c r="D125" s="24"/>
      <c r="E125" s="24"/>
      <c r="F125" s="114"/>
      <c r="G125" s="114"/>
      <c r="I125" s="40"/>
      <c r="J125" s="40"/>
    </row>
    <row r="126" spans="1:10" ht="15.75" customHeight="1" x14ac:dyDescent="0.25">
      <c r="A126" s="24"/>
      <c r="B126" s="174"/>
      <c r="C126" s="24"/>
      <c r="D126" s="24"/>
      <c r="E126" s="24"/>
      <c r="F126" s="114"/>
      <c r="G126" s="114"/>
      <c r="I126" s="40"/>
      <c r="J126" s="40"/>
    </row>
    <row r="127" spans="1:10" ht="15.75" customHeight="1" x14ac:dyDescent="0.25">
      <c r="A127" s="24"/>
      <c r="B127" s="174"/>
      <c r="C127" s="24"/>
      <c r="D127" s="24"/>
      <c r="E127" s="24"/>
      <c r="F127" s="114"/>
      <c r="G127" s="114"/>
      <c r="I127" s="40"/>
      <c r="J127" s="40"/>
    </row>
    <row r="128" spans="1:10" ht="15.75" customHeight="1" x14ac:dyDescent="0.25">
      <c r="A128" s="24"/>
      <c r="B128" s="174"/>
      <c r="C128" s="24"/>
      <c r="D128" s="24"/>
      <c r="E128" s="24"/>
      <c r="F128" s="114"/>
      <c r="G128" s="114"/>
      <c r="I128" s="40"/>
      <c r="J128" s="40"/>
    </row>
    <row r="129" spans="1:10" ht="15.75" customHeight="1" x14ac:dyDescent="0.25">
      <c r="A129" s="24"/>
      <c r="B129" s="174"/>
      <c r="C129" s="24"/>
      <c r="D129" s="24"/>
      <c r="E129" s="24"/>
      <c r="F129" s="114"/>
      <c r="G129" s="114"/>
      <c r="I129" s="40"/>
      <c r="J129" s="40"/>
    </row>
    <row r="130" spans="1:10" ht="15.75" customHeight="1" x14ac:dyDescent="0.25">
      <c r="A130" s="24"/>
      <c r="B130" s="174"/>
      <c r="C130" s="24"/>
      <c r="D130" s="24"/>
      <c r="E130" s="24"/>
      <c r="F130" s="114"/>
      <c r="G130" s="114"/>
      <c r="I130" s="40"/>
      <c r="J130" s="40"/>
    </row>
    <row r="131" spans="1:10" ht="15.75" customHeight="1" x14ac:dyDescent="0.25">
      <c r="A131" s="24"/>
      <c r="B131" s="174"/>
      <c r="C131" s="24"/>
      <c r="D131" s="24"/>
      <c r="E131" s="24"/>
      <c r="F131" s="114"/>
      <c r="G131" s="114"/>
      <c r="I131" s="40"/>
      <c r="J131" s="40"/>
    </row>
    <row r="132" spans="1:10" ht="15.75" customHeight="1" x14ac:dyDescent="0.25">
      <c r="A132" s="24"/>
      <c r="B132" s="174"/>
      <c r="C132" s="24"/>
      <c r="D132" s="24"/>
      <c r="E132" s="24"/>
      <c r="F132" s="114"/>
      <c r="G132" s="114"/>
      <c r="I132" s="40"/>
      <c r="J132" s="40"/>
    </row>
    <row r="133" spans="1:10" ht="15.75" customHeight="1" x14ac:dyDescent="0.25">
      <c r="A133" s="24"/>
      <c r="B133" s="174"/>
      <c r="C133" s="24"/>
      <c r="D133" s="24"/>
      <c r="E133" s="24"/>
      <c r="F133" s="114"/>
      <c r="G133" s="114"/>
      <c r="I133" s="40"/>
      <c r="J133" s="40"/>
    </row>
    <row r="134" spans="1:10" ht="15.75" customHeight="1" x14ac:dyDescent="0.25">
      <c r="A134" s="24"/>
      <c r="B134" s="174"/>
      <c r="C134" s="24"/>
      <c r="D134" s="24"/>
      <c r="E134" s="24"/>
      <c r="F134" s="114"/>
      <c r="G134" s="114"/>
      <c r="I134" s="40"/>
      <c r="J134" s="40"/>
    </row>
    <row r="135" spans="1:10" ht="15.75" customHeight="1" x14ac:dyDescent="0.25">
      <c r="A135" s="24"/>
      <c r="B135" s="174"/>
      <c r="C135" s="24"/>
      <c r="D135" s="24"/>
      <c r="E135" s="24"/>
      <c r="F135" s="114"/>
      <c r="G135" s="114"/>
      <c r="I135" s="40"/>
      <c r="J135" s="40"/>
    </row>
    <row r="136" spans="1:10" ht="15.75" customHeight="1" x14ac:dyDescent="0.25">
      <c r="A136" s="24"/>
      <c r="B136" s="174"/>
      <c r="C136" s="24"/>
      <c r="D136" s="24"/>
      <c r="E136" s="24"/>
      <c r="F136" s="114"/>
      <c r="G136" s="114"/>
      <c r="I136" s="40"/>
      <c r="J136" s="40"/>
    </row>
    <row r="137" spans="1:10" ht="15.75" customHeight="1" x14ac:dyDescent="0.25">
      <c r="A137" s="24"/>
      <c r="B137" s="174"/>
      <c r="C137" s="24"/>
      <c r="D137" s="24"/>
      <c r="E137" s="24"/>
      <c r="F137" s="114"/>
      <c r="G137" s="114"/>
      <c r="I137" s="40"/>
      <c r="J137" s="40"/>
    </row>
    <row r="138" spans="1:10" ht="15.75" customHeight="1" x14ac:dyDescent="0.25">
      <c r="A138" s="24"/>
      <c r="B138" s="174"/>
      <c r="C138" s="24"/>
      <c r="D138" s="24"/>
      <c r="E138" s="24"/>
      <c r="F138" s="114"/>
      <c r="G138" s="114"/>
      <c r="I138" s="40"/>
      <c r="J138" s="40"/>
    </row>
    <row r="139" spans="1:10" ht="15.75" customHeight="1" x14ac:dyDescent="0.25">
      <c r="A139" s="24"/>
      <c r="B139" s="174"/>
      <c r="C139" s="24"/>
      <c r="D139" s="24"/>
      <c r="E139" s="24"/>
      <c r="F139" s="114"/>
      <c r="G139" s="114"/>
      <c r="I139" s="40"/>
      <c r="J139" s="40"/>
    </row>
    <row r="140" spans="1:10" ht="15.75" customHeight="1" x14ac:dyDescent="0.25">
      <c r="A140" s="24"/>
      <c r="B140" s="174"/>
      <c r="C140" s="24"/>
      <c r="D140" s="24"/>
      <c r="E140" s="24"/>
      <c r="F140" s="114"/>
      <c r="G140" s="114"/>
      <c r="I140" s="40"/>
      <c r="J140" s="40"/>
    </row>
    <row r="141" spans="1:10" ht="15.75" customHeight="1" x14ac:dyDescent="0.25">
      <c r="A141" s="24"/>
      <c r="B141" s="174"/>
      <c r="C141" s="24"/>
      <c r="D141" s="24"/>
      <c r="E141" s="24"/>
      <c r="F141" s="114"/>
      <c r="G141" s="114"/>
      <c r="I141" s="40"/>
      <c r="J141" s="40"/>
    </row>
    <row r="142" spans="1:10" ht="15.75" customHeight="1" x14ac:dyDescent="0.25">
      <c r="A142" s="24"/>
      <c r="B142" s="174"/>
      <c r="C142" s="24"/>
      <c r="D142" s="24"/>
      <c r="E142" s="24"/>
      <c r="F142" s="114"/>
      <c r="G142" s="114"/>
      <c r="I142" s="40"/>
      <c r="J142" s="40"/>
    </row>
    <row r="143" spans="1:10" ht="15.75" customHeight="1" x14ac:dyDescent="0.25">
      <c r="A143" s="24"/>
      <c r="B143" s="174"/>
      <c r="C143" s="24"/>
      <c r="D143" s="24"/>
      <c r="E143" s="24"/>
      <c r="F143" s="114"/>
      <c r="G143" s="114"/>
      <c r="I143" s="40"/>
      <c r="J143" s="40"/>
    </row>
    <row r="144" spans="1:10" ht="15.75" customHeight="1" x14ac:dyDescent="0.25">
      <c r="A144" s="24"/>
      <c r="B144" s="174"/>
      <c r="C144" s="24"/>
      <c r="D144" s="24"/>
      <c r="E144" s="24"/>
      <c r="F144" s="114"/>
      <c r="G144" s="114"/>
      <c r="I144" s="40"/>
      <c r="J144" s="40"/>
    </row>
    <row r="145" spans="1:10" ht="15.75" customHeight="1" x14ac:dyDescent="0.25">
      <c r="A145" s="24"/>
      <c r="B145" s="174"/>
      <c r="C145" s="24"/>
      <c r="D145" s="24"/>
      <c r="E145" s="24"/>
      <c r="F145" s="114"/>
      <c r="G145" s="114"/>
      <c r="I145" s="40"/>
      <c r="J145" s="40"/>
    </row>
    <row r="146" spans="1:10" ht="15.75" customHeight="1" x14ac:dyDescent="0.25">
      <c r="A146" s="24"/>
      <c r="B146" s="174"/>
      <c r="C146" s="24"/>
      <c r="D146" s="24"/>
      <c r="E146" s="24"/>
      <c r="F146" s="114"/>
      <c r="G146" s="114"/>
      <c r="I146" s="40"/>
      <c r="J146" s="40"/>
    </row>
    <row r="147" spans="1:10" ht="15.75" customHeight="1" x14ac:dyDescent="0.25">
      <c r="A147" s="24"/>
      <c r="B147" s="174"/>
      <c r="C147" s="24"/>
      <c r="D147" s="24"/>
      <c r="E147" s="24"/>
      <c r="F147" s="114"/>
      <c r="G147" s="114"/>
      <c r="I147" s="40"/>
      <c r="J147" s="40"/>
    </row>
    <row r="148" spans="1:10" ht="15.75" customHeight="1" x14ac:dyDescent="0.25">
      <c r="A148" s="24"/>
      <c r="B148" s="174"/>
      <c r="C148" s="24"/>
      <c r="D148" s="24"/>
      <c r="E148" s="24"/>
      <c r="F148" s="114"/>
      <c r="G148" s="114"/>
      <c r="I148" s="40"/>
      <c r="J148" s="40"/>
    </row>
    <row r="149" spans="1:10" ht="15.75" customHeight="1" x14ac:dyDescent="0.25">
      <c r="A149" s="24"/>
      <c r="B149" s="174"/>
      <c r="C149" s="24"/>
      <c r="D149" s="24"/>
      <c r="E149" s="24"/>
      <c r="F149" s="114"/>
      <c r="G149" s="114"/>
      <c r="I149" s="40"/>
      <c r="J149" s="40"/>
    </row>
    <row r="150" spans="1:10" ht="15.75" customHeight="1" x14ac:dyDescent="0.25">
      <c r="A150" s="24"/>
      <c r="B150" s="174"/>
      <c r="C150" s="24"/>
      <c r="D150" s="24"/>
      <c r="E150" s="24"/>
      <c r="F150" s="114"/>
      <c r="G150" s="114"/>
      <c r="I150" s="40"/>
      <c r="J150" s="40"/>
    </row>
    <row r="151" spans="1:10" ht="15.75" customHeight="1" x14ac:dyDescent="0.25">
      <c r="A151" s="24"/>
      <c r="B151" s="174"/>
      <c r="C151" s="24"/>
      <c r="D151" s="24"/>
      <c r="E151" s="24"/>
      <c r="F151" s="114"/>
      <c r="G151" s="114"/>
      <c r="I151" s="40"/>
      <c r="J151" s="40"/>
    </row>
    <row r="152" spans="1:10" ht="15.75" customHeight="1" x14ac:dyDescent="0.25">
      <c r="A152" s="24"/>
      <c r="B152" s="174"/>
      <c r="C152" s="24"/>
      <c r="D152" s="24"/>
      <c r="E152" s="24"/>
      <c r="F152" s="114"/>
      <c r="G152" s="114"/>
      <c r="I152" s="40"/>
      <c r="J152" s="40"/>
    </row>
    <row r="153" spans="1:10" ht="15.75" customHeight="1" x14ac:dyDescent="0.25">
      <c r="A153" s="24"/>
      <c r="B153" s="174"/>
      <c r="C153" s="24"/>
      <c r="D153" s="24"/>
      <c r="E153" s="24"/>
      <c r="F153" s="114"/>
      <c r="G153" s="114"/>
      <c r="I153" s="40"/>
      <c r="J153" s="40"/>
    </row>
    <row r="154" spans="1:10" ht="15.75" customHeight="1" x14ac:dyDescent="0.25">
      <c r="A154" s="24"/>
      <c r="B154" s="174"/>
      <c r="C154" s="24"/>
      <c r="D154" s="24"/>
      <c r="E154" s="24"/>
      <c r="F154" s="114"/>
      <c r="G154" s="114"/>
      <c r="I154" s="40"/>
      <c r="J154" s="40"/>
    </row>
    <row r="155" spans="1:10" ht="15.75" customHeight="1" x14ac:dyDescent="0.25">
      <c r="A155" s="24"/>
      <c r="B155" s="174"/>
      <c r="C155" s="24"/>
      <c r="D155" s="24"/>
      <c r="E155" s="24"/>
      <c r="F155" s="114"/>
      <c r="G155" s="114"/>
      <c r="I155" s="40"/>
      <c r="J155" s="40"/>
    </row>
    <row r="156" spans="1:10" ht="15.75" customHeight="1" x14ac:dyDescent="0.25">
      <c r="A156" s="24"/>
      <c r="B156" s="174"/>
      <c r="C156" s="24"/>
      <c r="D156" s="24"/>
      <c r="E156" s="24"/>
      <c r="F156" s="114"/>
      <c r="G156" s="114"/>
      <c r="I156" s="40"/>
      <c r="J156" s="40"/>
    </row>
    <row r="157" spans="1:10" ht="15.75" customHeight="1" x14ac:dyDescent="0.25">
      <c r="A157" s="24"/>
      <c r="B157" s="174"/>
      <c r="C157" s="24"/>
      <c r="D157" s="24"/>
      <c r="E157" s="24"/>
      <c r="F157" s="114"/>
      <c r="G157" s="114"/>
      <c r="I157" s="40"/>
      <c r="J157" s="40"/>
    </row>
    <row r="158" spans="1:10" ht="15.75" customHeight="1" x14ac:dyDescent="0.25">
      <c r="A158" s="24"/>
      <c r="B158" s="174"/>
      <c r="C158" s="24"/>
      <c r="D158" s="24"/>
      <c r="E158" s="24"/>
      <c r="F158" s="114"/>
      <c r="G158" s="114"/>
      <c r="I158" s="40"/>
      <c r="J158" s="40"/>
    </row>
    <row r="159" spans="1:10" ht="15.75" customHeight="1" x14ac:dyDescent="0.25">
      <c r="A159" s="24"/>
      <c r="B159" s="174"/>
      <c r="C159" s="24"/>
      <c r="D159" s="24"/>
      <c r="E159" s="24"/>
      <c r="F159" s="114"/>
      <c r="G159" s="114"/>
      <c r="I159" s="40"/>
      <c r="J159" s="40"/>
    </row>
    <row r="160" spans="1:10" ht="15.75" customHeight="1" x14ac:dyDescent="0.25">
      <c r="A160" s="24"/>
      <c r="B160" s="174"/>
      <c r="C160" s="24"/>
      <c r="D160" s="24"/>
      <c r="E160" s="24"/>
      <c r="F160" s="114"/>
      <c r="G160" s="114"/>
      <c r="I160" s="40"/>
      <c r="J160" s="40"/>
    </row>
    <row r="161" spans="1:10" ht="15.75" customHeight="1" x14ac:dyDescent="0.25">
      <c r="A161" s="24"/>
      <c r="B161" s="174"/>
      <c r="C161" s="24"/>
      <c r="D161" s="24"/>
      <c r="E161" s="24"/>
      <c r="F161" s="114"/>
      <c r="G161" s="114"/>
      <c r="I161" s="40"/>
      <c r="J161" s="40"/>
    </row>
    <row r="162" spans="1:10" ht="15.75" customHeight="1" x14ac:dyDescent="0.25">
      <c r="A162" s="24"/>
      <c r="B162" s="174"/>
      <c r="C162" s="24"/>
      <c r="D162" s="24"/>
      <c r="E162" s="24"/>
      <c r="F162" s="114"/>
      <c r="G162" s="114"/>
      <c r="I162" s="40"/>
      <c r="J162" s="40"/>
    </row>
    <row r="163" spans="1:10" ht="15.75" customHeight="1" x14ac:dyDescent="0.25">
      <c r="A163" s="24"/>
      <c r="B163" s="174"/>
      <c r="C163" s="24"/>
      <c r="D163" s="24"/>
      <c r="E163" s="24"/>
      <c r="F163" s="114"/>
      <c r="G163" s="114"/>
      <c r="I163" s="40"/>
      <c r="J163" s="40"/>
    </row>
    <row r="164" spans="1:10" ht="15.75" customHeight="1" x14ac:dyDescent="0.25">
      <c r="A164" s="24"/>
      <c r="B164" s="174"/>
      <c r="C164" s="24"/>
      <c r="D164" s="24"/>
      <c r="E164" s="24"/>
      <c r="F164" s="114"/>
      <c r="G164" s="114"/>
      <c r="I164" s="40"/>
      <c r="J164" s="40"/>
    </row>
    <row r="165" spans="1:10" ht="15.75" customHeight="1" x14ac:dyDescent="0.25">
      <c r="A165" s="24"/>
      <c r="B165" s="174"/>
      <c r="C165" s="24"/>
      <c r="D165" s="24"/>
      <c r="E165" s="24"/>
      <c r="F165" s="114"/>
      <c r="G165" s="114"/>
      <c r="I165" s="40"/>
      <c r="J165" s="40"/>
    </row>
    <row r="166" spans="1:10" ht="15.75" customHeight="1" x14ac:dyDescent="0.25">
      <c r="A166" s="24"/>
      <c r="B166" s="174"/>
      <c r="C166" s="24"/>
      <c r="D166" s="24"/>
      <c r="E166" s="24"/>
      <c r="F166" s="114"/>
      <c r="G166" s="114"/>
      <c r="I166" s="40"/>
      <c r="J166" s="40"/>
    </row>
    <row r="167" spans="1:10" ht="15.75" customHeight="1" x14ac:dyDescent="0.25">
      <c r="A167" s="24"/>
      <c r="B167" s="174"/>
      <c r="C167" s="24"/>
      <c r="D167" s="24"/>
      <c r="E167" s="24"/>
      <c r="F167" s="114"/>
      <c r="G167" s="114"/>
      <c r="I167" s="40"/>
      <c r="J167" s="40"/>
    </row>
    <row r="168" spans="1:10" ht="15.75" customHeight="1" x14ac:dyDescent="0.25">
      <c r="A168" s="24"/>
      <c r="B168" s="174"/>
      <c r="C168" s="24"/>
      <c r="D168" s="24"/>
      <c r="E168" s="24"/>
      <c r="F168" s="114"/>
      <c r="G168" s="114"/>
      <c r="I168" s="40"/>
      <c r="J168" s="40"/>
    </row>
    <row r="169" spans="1:10" ht="15.75" customHeight="1" x14ac:dyDescent="0.25">
      <c r="A169" s="24"/>
      <c r="B169" s="174"/>
      <c r="C169" s="24"/>
      <c r="D169" s="24"/>
      <c r="E169" s="24"/>
      <c r="F169" s="114"/>
      <c r="G169" s="114"/>
      <c r="I169" s="40"/>
      <c r="J169" s="40"/>
    </row>
    <row r="170" spans="1:10" ht="15.75" customHeight="1" x14ac:dyDescent="0.25">
      <c r="A170" s="24"/>
      <c r="B170" s="174"/>
      <c r="C170" s="24"/>
      <c r="D170" s="24"/>
      <c r="E170" s="24"/>
      <c r="F170" s="114"/>
      <c r="G170" s="114"/>
      <c r="I170" s="40"/>
      <c r="J170" s="40"/>
    </row>
    <row r="171" spans="1:10" ht="15.75" customHeight="1" x14ac:dyDescent="0.25">
      <c r="A171" s="24"/>
      <c r="B171" s="174"/>
      <c r="C171" s="24"/>
      <c r="D171" s="24"/>
      <c r="E171" s="24"/>
      <c r="F171" s="114"/>
      <c r="G171" s="114"/>
      <c r="I171" s="40"/>
      <c r="J171" s="40"/>
    </row>
    <row r="172" spans="1:10" ht="15.75" customHeight="1" x14ac:dyDescent="0.25">
      <c r="A172" s="24"/>
      <c r="B172" s="174"/>
      <c r="C172" s="24"/>
      <c r="D172" s="24"/>
      <c r="E172" s="24"/>
      <c r="F172" s="114"/>
      <c r="G172" s="114"/>
      <c r="I172" s="40"/>
      <c r="J172" s="40"/>
    </row>
    <row r="173" spans="1:10" ht="15.75" customHeight="1" x14ac:dyDescent="0.25">
      <c r="A173" s="24"/>
      <c r="B173" s="174"/>
      <c r="C173" s="24"/>
      <c r="D173" s="24"/>
      <c r="E173" s="24"/>
      <c r="F173" s="114"/>
      <c r="G173" s="114"/>
      <c r="I173" s="40"/>
      <c r="J173" s="40"/>
    </row>
    <row r="174" spans="1:10" ht="15.75" customHeight="1" x14ac:dyDescent="0.25">
      <c r="A174" s="24"/>
      <c r="B174" s="174"/>
      <c r="C174" s="24"/>
      <c r="D174" s="24"/>
      <c r="E174" s="24"/>
      <c r="F174" s="114"/>
      <c r="G174" s="114"/>
      <c r="I174" s="40"/>
      <c r="J174" s="40"/>
    </row>
    <row r="175" spans="1:10" ht="15.75" customHeight="1" x14ac:dyDescent="0.25">
      <c r="A175" s="24"/>
      <c r="B175" s="174"/>
      <c r="C175" s="24"/>
      <c r="D175" s="24"/>
      <c r="E175" s="24"/>
      <c r="F175" s="114"/>
      <c r="G175" s="114"/>
      <c r="I175" s="40"/>
      <c r="J175" s="40"/>
    </row>
    <row r="176" spans="1:10" ht="15.75" customHeight="1" x14ac:dyDescent="0.25">
      <c r="A176" s="24"/>
      <c r="B176" s="174"/>
      <c r="C176" s="24"/>
      <c r="D176" s="24"/>
      <c r="E176" s="24"/>
      <c r="F176" s="114"/>
      <c r="G176" s="114"/>
      <c r="I176" s="40"/>
      <c r="J176" s="40"/>
    </row>
    <row r="177" spans="1:10" ht="15.75" customHeight="1" x14ac:dyDescent="0.25">
      <c r="A177" s="24"/>
      <c r="B177" s="174"/>
      <c r="C177" s="24"/>
      <c r="D177" s="24"/>
      <c r="E177" s="24"/>
      <c r="F177" s="114"/>
      <c r="G177" s="114"/>
      <c r="I177" s="40"/>
      <c r="J177" s="40"/>
    </row>
    <row r="178" spans="1:10" ht="15.75" customHeight="1" x14ac:dyDescent="0.25">
      <c r="A178" s="24"/>
      <c r="B178" s="174"/>
      <c r="C178" s="24"/>
      <c r="D178" s="24"/>
      <c r="E178" s="24"/>
      <c r="F178" s="114"/>
      <c r="G178" s="114"/>
      <c r="I178" s="40"/>
      <c r="J178" s="40"/>
    </row>
    <row r="179" spans="1:10" ht="15.75" customHeight="1" x14ac:dyDescent="0.25">
      <c r="A179" s="24"/>
      <c r="B179" s="174"/>
      <c r="C179" s="24"/>
      <c r="D179" s="24"/>
      <c r="E179" s="24"/>
      <c r="F179" s="114"/>
      <c r="G179" s="114"/>
      <c r="I179" s="40"/>
      <c r="J179" s="40"/>
    </row>
    <row r="180" spans="1:10" ht="15.75" customHeight="1" x14ac:dyDescent="0.25">
      <c r="A180" s="24"/>
      <c r="B180" s="174"/>
      <c r="C180" s="24"/>
      <c r="D180" s="24"/>
      <c r="E180" s="24"/>
      <c r="F180" s="114"/>
      <c r="G180" s="114"/>
      <c r="I180" s="40"/>
      <c r="J180" s="40"/>
    </row>
    <row r="181" spans="1:10" ht="15.75" customHeight="1" x14ac:dyDescent="0.25">
      <c r="A181" s="24"/>
      <c r="B181" s="174"/>
      <c r="C181" s="24"/>
      <c r="D181" s="24"/>
      <c r="E181" s="24"/>
      <c r="F181" s="114"/>
      <c r="G181" s="114"/>
      <c r="I181" s="40"/>
      <c r="J181" s="40"/>
    </row>
    <row r="182" spans="1:10" ht="15.75" customHeight="1" x14ac:dyDescent="0.25">
      <c r="A182" s="24"/>
      <c r="B182" s="174"/>
      <c r="C182" s="24"/>
      <c r="D182" s="24"/>
      <c r="E182" s="24"/>
      <c r="F182" s="114"/>
      <c r="G182" s="114"/>
      <c r="I182" s="40"/>
      <c r="J182" s="40"/>
    </row>
    <row r="183" spans="1:10" ht="15.75" customHeight="1" x14ac:dyDescent="0.25">
      <c r="A183" s="24"/>
      <c r="B183" s="174"/>
      <c r="C183" s="24"/>
      <c r="D183" s="24"/>
      <c r="E183" s="24"/>
      <c r="F183" s="114"/>
      <c r="G183" s="114"/>
      <c r="I183" s="40"/>
      <c r="J183" s="40"/>
    </row>
    <row r="184" spans="1:10" ht="15.75" customHeight="1" x14ac:dyDescent="0.25">
      <c r="A184" s="24"/>
      <c r="B184" s="174"/>
      <c r="C184" s="24"/>
      <c r="D184" s="24"/>
      <c r="E184" s="24"/>
      <c r="F184" s="114"/>
      <c r="G184" s="114"/>
      <c r="I184" s="40"/>
      <c r="J184" s="40"/>
    </row>
    <row r="185" spans="1:10" ht="15.75" customHeight="1" x14ac:dyDescent="0.25">
      <c r="A185" s="24"/>
      <c r="B185" s="174"/>
      <c r="C185" s="24"/>
      <c r="D185" s="24"/>
      <c r="E185" s="24"/>
      <c r="F185" s="114"/>
      <c r="G185" s="114"/>
      <c r="I185" s="40"/>
      <c r="J185" s="40"/>
    </row>
    <row r="186" spans="1:10" ht="15.75" customHeight="1" x14ac:dyDescent="0.25">
      <c r="A186" s="24"/>
      <c r="B186" s="174"/>
      <c r="C186" s="24"/>
      <c r="D186" s="24"/>
      <c r="E186" s="24"/>
      <c r="F186" s="114"/>
      <c r="G186" s="114"/>
      <c r="I186" s="40"/>
      <c r="J186" s="40"/>
    </row>
    <row r="187" spans="1:10" ht="15.75" customHeight="1" x14ac:dyDescent="0.25">
      <c r="A187" s="24"/>
      <c r="B187" s="174"/>
      <c r="C187" s="24"/>
      <c r="D187" s="24"/>
      <c r="E187" s="24"/>
      <c r="F187" s="114"/>
      <c r="G187" s="114"/>
      <c r="I187" s="40"/>
      <c r="J187" s="40"/>
    </row>
    <row r="188" spans="1:10" ht="15.75" customHeight="1" x14ac:dyDescent="0.25">
      <c r="A188" s="24"/>
      <c r="B188" s="174"/>
      <c r="C188" s="24"/>
      <c r="D188" s="24"/>
      <c r="E188" s="24"/>
      <c r="F188" s="114"/>
      <c r="G188" s="114"/>
      <c r="I188" s="40"/>
      <c r="J188" s="40"/>
    </row>
    <row r="189" spans="1:10" ht="15.75" customHeight="1" x14ac:dyDescent="0.25">
      <c r="A189" s="24"/>
      <c r="B189" s="174"/>
      <c r="C189" s="24"/>
      <c r="D189" s="24"/>
      <c r="E189" s="24"/>
      <c r="F189" s="114"/>
      <c r="G189" s="114"/>
      <c r="I189" s="40"/>
      <c r="J189" s="40"/>
    </row>
    <row r="190" spans="1:10" ht="15.75" customHeight="1" x14ac:dyDescent="0.25">
      <c r="A190" s="24"/>
      <c r="B190" s="174"/>
      <c r="C190" s="24"/>
      <c r="D190" s="24"/>
      <c r="E190" s="24"/>
      <c r="F190" s="114"/>
      <c r="G190" s="114"/>
      <c r="I190" s="40"/>
      <c r="J190" s="40"/>
    </row>
    <row r="191" spans="1:10" ht="15.75" customHeight="1" x14ac:dyDescent="0.25">
      <c r="A191" s="24"/>
      <c r="B191" s="174"/>
      <c r="C191" s="24"/>
      <c r="D191" s="24"/>
      <c r="E191" s="24"/>
      <c r="F191" s="114"/>
      <c r="G191" s="114"/>
      <c r="I191" s="40"/>
      <c r="J191" s="40"/>
    </row>
    <row r="192" spans="1:10" ht="15.75" customHeight="1" x14ac:dyDescent="0.25">
      <c r="A192" s="24"/>
      <c r="B192" s="174"/>
      <c r="C192" s="24"/>
      <c r="D192" s="24"/>
      <c r="E192" s="24"/>
      <c r="F192" s="114"/>
      <c r="G192" s="114"/>
      <c r="I192" s="40"/>
      <c r="J192" s="40"/>
    </row>
    <row r="193" spans="1:10" ht="15.75" customHeight="1" x14ac:dyDescent="0.25">
      <c r="A193" s="24"/>
      <c r="B193" s="174"/>
      <c r="C193" s="24"/>
      <c r="D193" s="24"/>
      <c r="E193" s="24"/>
      <c r="F193" s="114"/>
      <c r="G193" s="114"/>
      <c r="I193" s="40"/>
      <c r="J193" s="40"/>
    </row>
    <row r="194" spans="1:10" ht="15.75" customHeight="1" x14ac:dyDescent="0.25">
      <c r="A194" s="24"/>
      <c r="B194" s="174"/>
      <c r="C194" s="24"/>
      <c r="D194" s="24"/>
      <c r="E194" s="24"/>
      <c r="F194" s="114"/>
      <c r="G194" s="114"/>
      <c r="I194" s="40"/>
      <c r="J194" s="40"/>
    </row>
    <row r="195" spans="1:10" ht="15.75" customHeight="1" x14ac:dyDescent="0.25">
      <c r="A195" s="24"/>
      <c r="B195" s="174"/>
      <c r="C195" s="24"/>
      <c r="D195" s="24"/>
      <c r="E195" s="24"/>
      <c r="F195" s="114"/>
      <c r="G195" s="114"/>
      <c r="I195" s="40"/>
      <c r="J195" s="40"/>
    </row>
    <row r="196" spans="1:10" ht="15.75" customHeight="1" x14ac:dyDescent="0.25">
      <c r="A196" s="24"/>
      <c r="B196" s="174"/>
      <c r="C196" s="24"/>
      <c r="D196" s="24"/>
      <c r="E196" s="24"/>
      <c r="F196" s="114"/>
      <c r="G196" s="114"/>
      <c r="I196" s="40"/>
      <c r="J196" s="40"/>
    </row>
    <row r="197" spans="1:10" ht="15.75" customHeight="1" x14ac:dyDescent="0.25">
      <c r="A197" s="24"/>
      <c r="B197" s="174"/>
      <c r="C197" s="24"/>
      <c r="D197" s="24"/>
      <c r="E197" s="24"/>
      <c r="F197" s="114"/>
      <c r="G197" s="114"/>
      <c r="I197" s="40"/>
      <c r="J197" s="40"/>
    </row>
    <row r="198" spans="1:10" ht="15.75" customHeight="1" x14ac:dyDescent="0.25">
      <c r="A198" s="24"/>
      <c r="B198" s="174"/>
      <c r="C198" s="24"/>
      <c r="D198" s="24"/>
      <c r="E198" s="24"/>
      <c r="F198" s="114"/>
      <c r="G198" s="114"/>
      <c r="I198" s="40"/>
      <c r="J198" s="40"/>
    </row>
    <row r="199" spans="1:10" ht="15.75" customHeight="1" x14ac:dyDescent="0.25">
      <c r="A199" s="24"/>
      <c r="B199" s="174"/>
      <c r="C199" s="24"/>
      <c r="D199" s="24"/>
      <c r="E199" s="24"/>
      <c r="F199" s="114"/>
      <c r="G199" s="114"/>
      <c r="I199" s="40"/>
      <c r="J199" s="40"/>
    </row>
    <row r="200" spans="1:10" ht="15.75" customHeight="1" x14ac:dyDescent="0.25">
      <c r="A200" s="24"/>
      <c r="B200" s="174"/>
      <c r="C200" s="24"/>
      <c r="D200" s="24"/>
      <c r="E200" s="24"/>
      <c r="F200" s="114"/>
      <c r="G200" s="114"/>
      <c r="I200" s="40"/>
      <c r="J200" s="40"/>
    </row>
    <row r="201" spans="1:10" ht="15.75" customHeight="1" x14ac:dyDescent="0.25">
      <c r="A201" s="24"/>
      <c r="B201" s="174"/>
      <c r="C201" s="24"/>
      <c r="D201" s="24"/>
      <c r="E201" s="24"/>
      <c r="F201" s="114"/>
      <c r="G201" s="114"/>
      <c r="I201" s="40"/>
      <c r="J201" s="40"/>
    </row>
    <row r="202" spans="1:10" ht="15.75" customHeight="1" x14ac:dyDescent="0.25">
      <c r="A202" s="24"/>
      <c r="B202" s="174"/>
      <c r="C202" s="24"/>
      <c r="D202" s="24"/>
      <c r="E202" s="24"/>
      <c r="F202" s="114"/>
      <c r="G202" s="114"/>
      <c r="I202" s="40"/>
      <c r="J202" s="40"/>
    </row>
    <row r="203" spans="1:10" ht="15.75" customHeight="1" x14ac:dyDescent="0.25">
      <c r="A203" s="24"/>
      <c r="B203" s="174"/>
      <c r="C203" s="24"/>
      <c r="D203" s="24"/>
      <c r="E203" s="24"/>
      <c r="F203" s="114"/>
      <c r="G203" s="114"/>
      <c r="I203" s="40"/>
      <c r="J203" s="40"/>
    </row>
    <row r="204" spans="1:10" ht="15.75" customHeight="1" x14ac:dyDescent="0.25">
      <c r="A204" s="24"/>
      <c r="B204" s="174"/>
      <c r="C204" s="24"/>
      <c r="D204" s="24"/>
      <c r="E204" s="24"/>
      <c r="F204" s="114"/>
      <c r="G204" s="114"/>
      <c r="I204" s="40"/>
      <c r="J204" s="40"/>
    </row>
    <row r="205" spans="1:10" ht="15.75" customHeight="1" x14ac:dyDescent="0.25">
      <c r="A205" s="24"/>
      <c r="B205" s="174"/>
      <c r="C205" s="24"/>
      <c r="D205" s="24"/>
      <c r="E205" s="24"/>
      <c r="F205" s="114"/>
      <c r="G205" s="114"/>
      <c r="I205" s="40"/>
      <c r="J205" s="40"/>
    </row>
    <row r="206" spans="1:10" ht="15.75" customHeight="1" x14ac:dyDescent="0.25">
      <c r="A206" s="24"/>
      <c r="B206" s="174"/>
      <c r="C206" s="24"/>
      <c r="D206" s="24"/>
      <c r="E206" s="24"/>
      <c r="F206" s="114"/>
      <c r="G206" s="114"/>
      <c r="I206" s="40"/>
      <c r="J206" s="40"/>
    </row>
    <row r="207" spans="1:10" ht="15.75" customHeight="1" x14ac:dyDescent="0.25">
      <c r="A207" s="24"/>
      <c r="B207" s="174"/>
      <c r="C207" s="24"/>
      <c r="D207" s="24"/>
      <c r="E207" s="24"/>
      <c r="F207" s="114"/>
      <c r="G207" s="114"/>
      <c r="I207" s="40"/>
      <c r="J207" s="40"/>
    </row>
    <row r="208" spans="1:10" ht="15.75" customHeight="1" x14ac:dyDescent="0.25">
      <c r="A208" s="24"/>
      <c r="B208" s="174"/>
      <c r="C208" s="24"/>
      <c r="D208" s="24"/>
      <c r="E208" s="24"/>
      <c r="F208" s="114"/>
      <c r="G208" s="114"/>
      <c r="I208" s="40"/>
      <c r="J208" s="40"/>
    </row>
    <row r="209" spans="1:10" ht="15.75" customHeight="1" x14ac:dyDescent="0.25">
      <c r="A209" s="24"/>
      <c r="B209" s="174"/>
      <c r="C209" s="24"/>
      <c r="D209" s="24"/>
      <c r="E209" s="24"/>
      <c r="F209" s="114"/>
      <c r="G209" s="114"/>
      <c r="I209" s="40"/>
      <c r="J209" s="40"/>
    </row>
    <row r="210" spans="1:10" ht="15.75" customHeight="1" x14ac:dyDescent="0.25">
      <c r="A210" s="24"/>
      <c r="B210" s="174"/>
      <c r="C210" s="24"/>
      <c r="D210" s="24"/>
      <c r="E210" s="24"/>
      <c r="F210" s="114"/>
      <c r="G210" s="114"/>
      <c r="I210" s="40"/>
      <c r="J210" s="40"/>
    </row>
    <row r="211" spans="1:10" ht="15.75" customHeight="1" x14ac:dyDescent="0.25">
      <c r="A211" s="24"/>
      <c r="B211" s="174"/>
      <c r="C211" s="24"/>
      <c r="D211" s="24"/>
      <c r="E211" s="24"/>
      <c r="F211" s="114"/>
      <c r="G211" s="114"/>
      <c r="I211" s="40"/>
      <c r="J211" s="40"/>
    </row>
    <row r="212" spans="1:10" ht="15.75" customHeight="1" x14ac:dyDescent="0.25">
      <c r="A212" s="24"/>
      <c r="B212" s="174"/>
      <c r="C212" s="24"/>
      <c r="D212" s="24"/>
      <c r="E212" s="24"/>
      <c r="F212" s="114"/>
      <c r="G212" s="114"/>
      <c r="I212" s="40"/>
      <c r="J212" s="40"/>
    </row>
    <row r="213" spans="1:10" ht="15.75" customHeight="1" x14ac:dyDescent="0.25">
      <c r="A213" s="24"/>
      <c r="B213" s="174"/>
      <c r="C213" s="24"/>
      <c r="D213" s="24"/>
      <c r="E213" s="24"/>
      <c r="F213" s="114"/>
      <c r="G213" s="114"/>
      <c r="I213" s="40"/>
      <c r="J213" s="40"/>
    </row>
    <row r="214" spans="1:10" ht="15.75" customHeight="1" x14ac:dyDescent="0.25">
      <c r="A214" s="24"/>
      <c r="B214" s="174"/>
      <c r="C214" s="24"/>
      <c r="D214" s="24"/>
      <c r="E214" s="24"/>
      <c r="F214" s="114"/>
      <c r="G214" s="114"/>
      <c r="I214" s="40"/>
      <c r="J214" s="40"/>
    </row>
    <row r="215" spans="1:10" ht="15.75" customHeight="1" x14ac:dyDescent="0.25">
      <c r="A215" s="24"/>
      <c r="B215" s="174"/>
      <c r="C215" s="24"/>
      <c r="D215" s="24"/>
      <c r="E215" s="24"/>
      <c r="F215" s="114"/>
      <c r="G215" s="114"/>
      <c r="I215" s="40"/>
      <c r="J215" s="40"/>
    </row>
    <row r="216" spans="1:10" ht="15.75" customHeight="1" x14ac:dyDescent="0.25">
      <c r="A216" s="24"/>
      <c r="B216" s="174"/>
      <c r="C216" s="24"/>
      <c r="D216" s="24"/>
      <c r="E216" s="24"/>
      <c r="F216" s="114"/>
      <c r="G216" s="114"/>
      <c r="I216" s="40"/>
      <c r="J216" s="40"/>
    </row>
    <row r="217" spans="1:10" ht="15.75" customHeight="1" x14ac:dyDescent="0.25">
      <c r="A217" s="24"/>
      <c r="B217" s="174"/>
      <c r="C217" s="24"/>
      <c r="D217" s="24"/>
      <c r="E217" s="24"/>
      <c r="F217" s="114"/>
      <c r="G217" s="114"/>
      <c r="I217" s="40"/>
      <c r="J217" s="40"/>
    </row>
    <row r="218" spans="1:10" ht="15.75" customHeight="1" x14ac:dyDescent="0.25">
      <c r="A218" s="24"/>
      <c r="B218" s="174"/>
      <c r="C218" s="24"/>
      <c r="D218" s="24"/>
      <c r="E218" s="24"/>
      <c r="F218" s="114"/>
      <c r="G218" s="114"/>
      <c r="I218" s="40"/>
      <c r="J218" s="40"/>
    </row>
    <row r="219" spans="1:10" ht="15.75" customHeight="1" x14ac:dyDescent="0.25">
      <c r="A219" s="24"/>
      <c r="B219" s="174"/>
      <c r="C219" s="24"/>
      <c r="D219" s="24"/>
      <c r="E219" s="24"/>
      <c r="F219" s="114"/>
      <c r="G219" s="114"/>
      <c r="I219" s="40"/>
      <c r="J219" s="40"/>
    </row>
    <row r="220" spans="1:10" ht="15.75" customHeight="1" x14ac:dyDescent="0.25">
      <c r="A220" s="24"/>
      <c r="B220" s="174"/>
      <c r="C220" s="24"/>
      <c r="D220" s="24"/>
      <c r="E220" s="24"/>
      <c r="F220" s="114"/>
      <c r="G220" s="114"/>
      <c r="I220" s="40"/>
      <c r="J220" s="40"/>
    </row>
    <row r="221" spans="1:10" ht="15.75" customHeight="1" x14ac:dyDescent="0.25">
      <c r="A221" s="24"/>
      <c r="B221" s="174"/>
      <c r="C221" s="24"/>
      <c r="D221" s="24"/>
      <c r="E221" s="24"/>
      <c r="F221" s="114"/>
      <c r="G221" s="114"/>
      <c r="I221" s="40"/>
      <c r="J221" s="40"/>
    </row>
    <row r="222" spans="1:10" ht="15.75" customHeight="1" x14ac:dyDescent="0.25">
      <c r="A222" s="24"/>
      <c r="B222" s="174"/>
      <c r="C222" s="24"/>
      <c r="D222" s="24"/>
      <c r="E222" s="24"/>
      <c r="F222" s="114"/>
      <c r="G222" s="114"/>
      <c r="I222" s="40"/>
      <c r="J222" s="40"/>
    </row>
    <row r="223" spans="1:10" ht="15.75" customHeight="1" x14ac:dyDescent="0.25">
      <c r="A223" s="24"/>
      <c r="B223" s="174"/>
      <c r="C223" s="24"/>
      <c r="D223" s="24"/>
      <c r="E223" s="24"/>
      <c r="F223" s="114"/>
      <c r="G223" s="114"/>
      <c r="I223" s="40"/>
      <c r="J223" s="40"/>
    </row>
    <row r="224" spans="1:10" ht="15.75" customHeight="1" x14ac:dyDescent="0.25">
      <c r="A224" s="24"/>
      <c r="B224" s="174"/>
      <c r="C224" s="24"/>
      <c r="D224" s="24"/>
      <c r="E224" s="24"/>
      <c r="F224" s="114"/>
      <c r="G224" s="114"/>
      <c r="I224" s="40"/>
      <c r="J224" s="40"/>
    </row>
    <row r="225" spans="1:10" ht="15.75" customHeight="1" x14ac:dyDescent="0.25">
      <c r="A225" s="24"/>
      <c r="B225" s="174"/>
      <c r="C225" s="24"/>
      <c r="D225" s="24"/>
      <c r="E225" s="24"/>
      <c r="F225" s="114"/>
      <c r="G225" s="114"/>
      <c r="I225" s="40"/>
      <c r="J225" s="40"/>
    </row>
    <row r="226" spans="1:10" ht="15.75" customHeight="1" x14ac:dyDescent="0.25">
      <c r="A226" s="24"/>
      <c r="B226" s="174"/>
      <c r="C226" s="24"/>
      <c r="D226" s="24"/>
      <c r="E226" s="24"/>
      <c r="F226" s="114"/>
      <c r="G226" s="114"/>
      <c r="I226" s="40"/>
      <c r="J226" s="40"/>
    </row>
    <row r="227" spans="1:10" ht="15.75" customHeight="1" x14ac:dyDescent="0.25">
      <c r="A227" s="24"/>
      <c r="B227" s="174"/>
      <c r="C227" s="24"/>
      <c r="D227" s="24"/>
      <c r="E227" s="24"/>
      <c r="F227" s="114"/>
      <c r="G227" s="114"/>
      <c r="I227" s="40"/>
      <c r="J227" s="40"/>
    </row>
    <row r="228" spans="1:10" ht="15.75" customHeight="1" x14ac:dyDescent="0.25">
      <c r="A228" s="24"/>
      <c r="B228" s="174"/>
      <c r="C228" s="24"/>
      <c r="D228" s="24"/>
      <c r="E228" s="24"/>
      <c r="F228" s="114"/>
      <c r="G228" s="114"/>
      <c r="I228" s="40"/>
      <c r="J228" s="40"/>
    </row>
    <row r="229" spans="1:10" ht="15.75" customHeight="1" x14ac:dyDescent="0.25">
      <c r="A229" s="24"/>
      <c r="B229" s="174"/>
      <c r="C229" s="24"/>
      <c r="D229" s="24"/>
      <c r="E229" s="24"/>
      <c r="F229" s="114"/>
      <c r="G229" s="114"/>
      <c r="I229" s="40"/>
      <c r="J229" s="40"/>
    </row>
    <row r="230" spans="1:10" ht="15.75" customHeight="1" x14ac:dyDescent="0.25">
      <c r="A230" s="24"/>
      <c r="B230" s="174"/>
      <c r="C230" s="24"/>
      <c r="D230" s="24"/>
      <c r="E230" s="24"/>
      <c r="F230" s="114"/>
      <c r="G230" s="114"/>
      <c r="I230" s="40"/>
      <c r="J230" s="40"/>
    </row>
    <row r="231" spans="1:10" ht="15.75" customHeight="1" x14ac:dyDescent="0.25">
      <c r="A231" s="24"/>
      <c r="B231" s="174"/>
      <c r="C231" s="24"/>
      <c r="D231" s="24"/>
      <c r="E231" s="24"/>
      <c r="F231" s="114"/>
      <c r="G231" s="114"/>
      <c r="I231" s="40"/>
      <c r="J231" s="40"/>
    </row>
    <row r="232" spans="1:10" ht="15.75" customHeight="1" x14ac:dyDescent="0.25">
      <c r="A232" s="24"/>
      <c r="B232" s="174"/>
      <c r="C232" s="24"/>
      <c r="D232" s="24"/>
      <c r="E232" s="24"/>
      <c r="F232" s="114"/>
      <c r="G232" s="114"/>
      <c r="I232" s="40"/>
      <c r="J232" s="40"/>
    </row>
    <row r="233" spans="1:10" ht="15.75" customHeight="1" x14ac:dyDescent="0.25">
      <c r="A233" s="24"/>
      <c r="B233" s="174"/>
      <c r="C233" s="24"/>
      <c r="D233" s="24"/>
      <c r="E233" s="24"/>
      <c r="F233" s="114"/>
      <c r="G233" s="114"/>
      <c r="I233" s="40"/>
      <c r="J233" s="40"/>
    </row>
    <row r="234" spans="1:10" ht="15.75" customHeight="1" x14ac:dyDescent="0.25">
      <c r="A234" s="24"/>
      <c r="B234" s="174"/>
      <c r="C234" s="24"/>
      <c r="D234" s="24"/>
      <c r="E234" s="24"/>
      <c r="F234" s="114"/>
      <c r="G234" s="114"/>
      <c r="I234" s="40"/>
      <c r="J234" s="40"/>
    </row>
    <row r="235" spans="1:10" ht="15.75" customHeight="1" x14ac:dyDescent="0.25">
      <c r="A235" s="24"/>
      <c r="B235" s="174"/>
      <c r="C235" s="24"/>
      <c r="D235" s="24"/>
      <c r="E235" s="24"/>
      <c r="F235" s="114"/>
      <c r="G235" s="114"/>
      <c r="I235" s="40"/>
      <c r="J235" s="40"/>
    </row>
    <row r="236" spans="1:10" ht="15.75" customHeight="1" x14ac:dyDescent="0.25">
      <c r="A236" s="24"/>
      <c r="B236" s="174"/>
      <c r="C236" s="24"/>
      <c r="D236" s="24"/>
      <c r="E236" s="24"/>
      <c r="F236" s="114"/>
      <c r="G236" s="114"/>
      <c r="I236" s="40"/>
      <c r="J236" s="40"/>
    </row>
    <row r="237" spans="1:10" ht="15.75" customHeight="1" x14ac:dyDescent="0.25">
      <c r="A237" s="24"/>
      <c r="B237" s="174"/>
      <c r="C237" s="24"/>
      <c r="D237" s="24"/>
      <c r="E237" s="24"/>
      <c r="F237" s="114"/>
      <c r="G237" s="114"/>
      <c r="I237" s="40"/>
      <c r="J237" s="40"/>
    </row>
    <row r="238" spans="1:10" ht="15.75" customHeight="1" x14ac:dyDescent="0.25">
      <c r="A238" s="24"/>
      <c r="B238" s="174"/>
      <c r="C238" s="24"/>
      <c r="D238" s="24"/>
      <c r="E238" s="24"/>
      <c r="F238" s="114"/>
      <c r="G238" s="114"/>
      <c r="I238" s="40"/>
      <c r="J238" s="40"/>
    </row>
    <row r="239" spans="1:10" ht="15.75" customHeight="1" x14ac:dyDescent="0.25">
      <c r="A239" s="24"/>
      <c r="B239" s="174"/>
      <c r="C239" s="24"/>
      <c r="D239" s="24"/>
      <c r="E239" s="24"/>
      <c r="F239" s="114"/>
      <c r="G239" s="114"/>
      <c r="I239" s="40"/>
      <c r="J239" s="40"/>
    </row>
    <row r="240" spans="1:10" ht="15.75" customHeight="1" x14ac:dyDescent="0.25">
      <c r="A240" s="24"/>
      <c r="B240" s="174"/>
      <c r="C240" s="24"/>
      <c r="D240" s="24"/>
      <c r="E240" s="24"/>
      <c r="F240" s="114"/>
      <c r="G240" s="114"/>
      <c r="I240" s="40"/>
      <c r="J240" s="40"/>
    </row>
    <row r="241" spans="1:10" ht="15.75" customHeight="1" x14ac:dyDescent="0.25">
      <c r="A241" s="24"/>
      <c r="B241" s="174"/>
      <c r="C241" s="24"/>
      <c r="D241" s="24"/>
      <c r="E241" s="24"/>
      <c r="F241" s="114"/>
      <c r="G241" s="114"/>
      <c r="I241" s="40"/>
      <c r="J241" s="40"/>
    </row>
    <row r="242" spans="1:10" ht="15.75" customHeight="1" x14ac:dyDescent="0.25">
      <c r="A242" s="24"/>
      <c r="B242" s="174"/>
      <c r="C242" s="24"/>
      <c r="D242" s="24"/>
      <c r="E242" s="24"/>
      <c r="F242" s="114"/>
      <c r="G242" s="114"/>
      <c r="I242" s="40"/>
      <c r="J242" s="40"/>
    </row>
    <row r="243" spans="1:10" ht="15.75" customHeight="1" x14ac:dyDescent="0.25">
      <c r="A243" s="24"/>
      <c r="B243" s="174"/>
      <c r="C243" s="24"/>
      <c r="D243" s="24"/>
      <c r="E243" s="24"/>
      <c r="F243" s="114"/>
      <c r="G243" s="114"/>
      <c r="I243" s="40"/>
      <c r="J243" s="40"/>
    </row>
    <row r="244" spans="1:10" ht="15.75" customHeight="1" x14ac:dyDescent="0.25">
      <c r="A244" s="24"/>
      <c r="B244" s="174"/>
      <c r="C244" s="24"/>
      <c r="D244" s="24"/>
      <c r="E244" s="24"/>
      <c r="F244" s="114"/>
      <c r="G244" s="114"/>
      <c r="I244" s="40"/>
      <c r="J244" s="40"/>
    </row>
    <row r="245" spans="1:10" ht="15.75" customHeight="1" x14ac:dyDescent="0.25">
      <c r="A245" s="24"/>
      <c r="B245" s="174"/>
      <c r="C245" s="24"/>
      <c r="D245" s="24"/>
      <c r="E245" s="24"/>
      <c r="F245" s="114"/>
      <c r="G245" s="114"/>
      <c r="I245" s="40"/>
      <c r="J245" s="40"/>
    </row>
    <row r="246" spans="1:10" ht="15.75" customHeight="1" x14ac:dyDescent="0.25">
      <c r="A246" s="24"/>
      <c r="B246" s="174"/>
      <c r="C246" s="24"/>
      <c r="D246" s="24"/>
      <c r="E246" s="24"/>
      <c r="F246" s="114"/>
      <c r="G246" s="114"/>
      <c r="I246" s="40"/>
      <c r="J246" s="40"/>
    </row>
    <row r="247" spans="1:10" ht="15.75" customHeight="1" x14ac:dyDescent="0.25">
      <c r="A247" s="24"/>
      <c r="B247" s="174"/>
      <c r="C247" s="24"/>
      <c r="D247" s="24"/>
      <c r="E247" s="24"/>
      <c r="F247" s="114"/>
      <c r="G247" s="114"/>
      <c r="I247" s="40"/>
      <c r="J247" s="40"/>
    </row>
    <row r="248" spans="1:10" ht="15.75" customHeight="1" x14ac:dyDescent="0.25">
      <c r="A248" s="24"/>
      <c r="B248" s="174"/>
      <c r="C248" s="24"/>
      <c r="D248" s="24"/>
      <c r="E248" s="24"/>
      <c r="F248" s="114"/>
      <c r="G248" s="114"/>
      <c r="I248" s="40"/>
      <c r="J248" s="40"/>
    </row>
    <row r="249" spans="1:10" ht="15.75" customHeight="1" x14ac:dyDescent="0.25">
      <c r="A249" s="24"/>
      <c r="B249" s="174"/>
      <c r="C249" s="24"/>
      <c r="D249" s="24"/>
      <c r="E249" s="24"/>
      <c r="F249" s="114"/>
      <c r="G249" s="114"/>
      <c r="I249" s="40"/>
      <c r="J249" s="40"/>
    </row>
    <row r="250" spans="1:10" ht="15.75" customHeight="1" x14ac:dyDescent="0.25">
      <c r="A250" s="24"/>
      <c r="B250" s="174"/>
      <c r="C250" s="24"/>
      <c r="D250" s="24"/>
      <c r="E250" s="24"/>
      <c r="F250" s="114"/>
      <c r="G250" s="114"/>
      <c r="I250" s="40"/>
      <c r="J250" s="40"/>
    </row>
    <row r="251" spans="1:10" ht="15.75" customHeight="1" x14ac:dyDescent="0.25">
      <c r="A251" s="24"/>
      <c r="B251" s="174"/>
      <c r="C251" s="24"/>
      <c r="D251" s="24"/>
      <c r="E251" s="24"/>
      <c r="F251" s="114"/>
      <c r="G251" s="114"/>
      <c r="I251" s="40"/>
      <c r="J251" s="40"/>
    </row>
    <row r="252" spans="1:10" ht="15.75" customHeight="1" x14ac:dyDescent="0.25">
      <c r="A252" s="24"/>
      <c r="B252" s="174"/>
      <c r="C252" s="24"/>
      <c r="D252" s="24"/>
      <c r="E252" s="24"/>
      <c r="F252" s="114"/>
      <c r="G252" s="114"/>
      <c r="I252" s="40"/>
      <c r="J252" s="40"/>
    </row>
    <row r="253" spans="1:10" ht="15.75" customHeight="1" x14ac:dyDescent="0.25">
      <c r="A253" s="24"/>
      <c r="B253" s="174"/>
      <c r="C253" s="24"/>
      <c r="D253" s="24"/>
      <c r="E253" s="24"/>
      <c r="F253" s="114"/>
      <c r="G253" s="114"/>
      <c r="I253" s="40"/>
      <c r="J253" s="40"/>
    </row>
    <row r="254" spans="1:10" ht="15.75" customHeight="1" x14ac:dyDescent="0.25">
      <c r="A254" s="24"/>
      <c r="B254" s="174"/>
      <c r="C254" s="24"/>
      <c r="D254" s="24"/>
      <c r="E254" s="24"/>
      <c r="F254" s="114"/>
      <c r="G254" s="114"/>
      <c r="I254" s="40"/>
      <c r="J254" s="40"/>
    </row>
    <row r="255" spans="1:10" ht="15.75" customHeight="1" x14ac:dyDescent="0.25">
      <c r="A255" s="24"/>
      <c r="B255" s="174"/>
      <c r="C255" s="24"/>
      <c r="D255" s="24"/>
      <c r="E255" s="24"/>
      <c r="F255" s="114"/>
      <c r="G255" s="114"/>
      <c r="I255" s="40"/>
      <c r="J255" s="40"/>
    </row>
    <row r="256" spans="1:10" ht="15.75" customHeight="1" x14ac:dyDescent="0.25">
      <c r="A256" s="24"/>
      <c r="B256" s="174"/>
      <c r="C256" s="24"/>
      <c r="D256" s="24"/>
      <c r="E256" s="24"/>
      <c r="F256" s="114"/>
      <c r="G256" s="114"/>
      <c r="I256" s="40"/>
      <c r="J256" s="40"/>
    </row>
    <row r="257" spans="1:10" ht="15.75" customHeight="1" x14ac:dyDescent="0.25">
      <c r="A257" s="24"/>
      <c r="B257" s="174"/>
      <c r="C257" s="24"/>
      <c r="D257" s="24"/>
      <c r="E257" s="24"/>
      <c r="F257" s="114"/>
      <c r="G257" s="114"/>
      <c r="I257" s="40"/>
      <c r="J257" s="40"/>
    </row>
    <row r="258" spans="1:10" ht="15.75" customHeight="1" x14ac:dyDescent="0.25">
      <c r="A258" s="24"/>
      <c r="B258" s="174"/>
      <c r="C258" s="24"/>
      <c r="D258" s="24"/>
      <c r="E258" s="24"/>
      <c r="F258" s="114"/>
      <c r="G258" s="114"/>
      <c r="I258" s="40"/>
      <c r="J258" s="40"/>
    </row>
    <row r="259" spans="1:10" ht="15.75" customHeight="1" x14ac:dyDescent="0.25">
      <c r="A259" s="24"/>
      <c r="B259" s="174"/>
      <c r="C259" s="24"/>
      <c r="D259" s="24"/>
      <c r="E259" s="24"/>
      <c r="F259" s="114"/>
      <c r="G259" s="114"/>
      <c r="I259" s="40"/>
      <c r="J259" s="40"/>
    </row>
    <row r="260" spans="1:10" ht="15.75" customHeight="1" x14ac:dyDescent="0.25">
      <c r="A260" s="24"/>
      <c r="B260" s="174"/>
      <c r="C260" s="24"/>
      <c r="D260" s="24"/>
      <c r="E260" s="24"/>
      <c r="F260" s="114"/>
      <c r="G260" s="114"/>
      <c r="I260" s="40"/>
      <c r="J260" s="40"/>
    </row>
    <row r="261" spans="1:10" ht="15.75" customHeight="1" x14ac:dyDescent="0.25">
      <c r="A261" s="24"/>
      <c r="B261" s="174"/>
      <c r="C261" s="24"/>
      <c r="D261" s="24"/>
      <c r="E261" s="24"/>
      <c r="F261" s="114"/>
      <c r="G261" s="114"/>
      <c r="I261" s="40"/>
      <c r="J261" s="40"/>
    </row>
    <row r="262" spans="1:10" ht="15.75" customHeight="1" x14ac:dyDescent="0.25">
      <c r="A262" s="24"/>
      <c r="B262" s="174"/>
      <c r="C262" s="24"/>
      <c r="D262" s="24"/>
      <c r="E262" s="24"/>
      <c r="F262" s="114"/>
      <c r="G262" s="114"/>
      <c r="I262" s="40"/>
      <c r="J262" s="40"/>
    </row>
    <row r="263" spans="1:10" ht="15.75" customHeight="1" x14ac:dyDescent="0.25">
      <c r="A263" s="24"/>
      <c r="B263" s="174"/>
      <c r="C263" s="24"/>
      <c r="D263" s="24"/>
      <c r="E263" s="24"/>
      <c r="F263" s="114"/>
      <c r="G263" s="114"/>
      <c r="I263" s="40"/>
      <c r="J263" s="40"/>
    </row>
    <row r="264" spans="1:10" ht="15.75" customHeight="1" x14ac:dyDescent="0.25">
      <c r="A264" s="24"/>
      <c r="B264" s="174"/>
      <c r="C264" s="24"/>
      <c r="D264" s="24"/>
      <c r="E264" s="24"/>
      <c r="F264" s="114"/>
      <c r="G264" s="114"/>
      <c r="I264" s="40"/>
      <c r="J264" s="40"/>
    </row>
    <row r="265" spans="1:10" ht="15.75" customHeight="1" x14ac:dyDescent="0.25">
      <c r="A265" s="24"/>
      <c r="B265" s="174"/>
      <c r="C265" s="24"/>
      <c r="D265" s="24"/>
      <c r="E265" s="24"/>
      <c r="F265" s="114"/>
      <c r="G265" s="114"/>
      <c r="I265" s="40"/>
      <c r="J265" s="40"/>
    </row>
    <row r="266" spans="1:10" ht="15.75" customHeight="1" x14ac:dyDescent="0.25">
      <c r="A266" s="24"/>
      <c r="B266" s="174"/>
      <c r="C266" s="24"/>
      <c r="D266" s="24"/>
      <c r="E266" s="24"/>
      <c r="F266" s="114"/>
      <c r="G266" s="114"/>
      <c r="I266" s="40"/>
      <c r="J266" s="40"/>
    </row>
    <row r="267" spans="1:10" ht="15.75" customHeight="1" x14ac:dyDescent="0.25">
      <c r="A267" s="24"/>
      <c r="B267" s="174"/>
      <c r="C267" s="24"/>
      <c r="D267" s="24"/>
      <c r="E267" s="24"/>
      <c r="F267" s="114"/>
      <c r="G267" s="114"/>
      <c r="I267" s="40"/>
      <c r="J267" s="40"/>
    </row>
    <row r="268" spans="1:10" ht="15.75" customHeight="1" x14ac:dyDescent="0.25">
      <c r="A268" s="24"/>
      <c r="B268" s="174"/>
      <c r="C268" s="24"/>
      <c r="D268" s="24"/>
      <c r="E268" s="24"/>
      <c r="F268" s="114"/>
      <c r="G268" s="114"/>
      <c r="I268" s="40"/>
      <c r="J268" s="40"/>
    </row>
    <row r="269" spans="1:10" ht="15.75" customHeight="1" x14ac:dyDescent="0.25">
      <c r="A269" s="24"/>
      <c r="B269" s="174"/>
      <c r="C269" s="24"/>
      <c r="D269" s="24"/>
      <c r="E269" s="24"/>
      <c r="F269" s="114"/>
      <c r="G269" s="114"/>
      <c r="I269" s="40"/>
      <c r="J269" s="40"/>
    </row>
    <row r="270" spans="1:10" ht="15.75" customHeight="1" x14ac:dyDescent="0.25">
      <c r="A270" s="24"/>
      <c r="B270" s="174"/>
      <c r="C270" s="24"/>
      <c r="D270" s="24"/>
      <c r="E270" s="24"/>
      <c r="F270" s="114"/>
      <c r="G270" s="114"/>
      <c r="I270" s="40"/>
      <c r="J270" s="40"/>
    </row>
    <row r="271" spans="1:10" ht="15.75" customHeight="1" x14ac:dyDescent="0.25">
      <c r="A271" s="24"/>
      <c r="B271" s="174"/>
      <c r="C271" s="24"/>
      <c r="D271" s="24"/>
      <c r="E271" s="24"/>
      <c r="F271" s="114"/>
      <c r="G271" s="114"/>
      <c r="I271" s="40"/>
      <c r="J271" s="40"/>
    </row>
    <row r="272" spans="1:10" ht="15.75" customHeight="1" x14ac:dyDescent="0.25">
      <c r="A272" s="24"/>
      <c r="B272" s="174"/>
      <c r="C272" s="24"/>
      <c r="D272" s="24"/>
      <c r="E272" s="24"/>
      <c r="F272" s="114"/>
      <c r="G272" s="114"/>
      <c r="I272" s="40"/>
      <c r="J272" s="40"/>
    </row>
    <row r="273" spans="1:10" ht="15.75" customHeight="1" x14ac:dyDescent="0.25">
      <c r="A273" s="24"/>
      <c r="B273" s="174"/>
      <c r="C273" s="24"/>
      <c r="D273" s="24"/>
      <c r="E273" s="24"/>
      <c r="F273" s="114"/>
      <c r="G273" s="114"/>
      <c r="I273" s="40"/>
      <c r="J273" s="40"/>
    </row>
    <row r="274" spans="1:10" ht="15.75" customHeight="1" x14ac:dyDescent="0.25">
      <c r="A274" s="24"/>
      <c r="B274" s="174"/>
      <c r="C274" s="24"/>
      <c r="D274" s="24"/>
      <c r="E274" s="24"/>
      <c r="F274" s="114"/>
      <c r="G274" s="114"/>
      <c r="I274" s="40"/>
      <c r="J274" s="40"/>
    </row>
    <row r="275" spans="1:10" ht="15.75" customHeight="1" x14ac:dyDescent="0.25">
      <c r="A275" s="24"/>
      <c r="B275" s="174"/>
      <c r="C275" s="24"/>
      <c r="D275" s="24"/>
      <c r="E275" s="24"/>
      <c r="F275" s="114"/>
      <c r="G275" s="114"/>
      <c r="I275" s="40"/>
      <c r="J275" s="40"/>
    </row>
    <row r="276" spans="1:10" ht="15.75" customHeight="1" x14ac:dyDescent="0.25">
      <c r="A276" s="24"/>
      <c r="B276" s="174"/>
      <c r="C276" s="24"/>
      <c r="D276" s="24"/>
      <c r="E276" s="24"/>
      <c r="F276" s="114"/>
      <c r="G276" s="114"/>
      <c r="I276" s="40"/>
      <c r="J276" s="40"/>
    </row>
    <row r="277" spans="1:10" ht="15.75" customHeight="1" x14ac:dyDescent="0.25">
      <c r="A277" s="24"/>
      <c r="B277" s="174"/>
      <c r="C277" s="24"/>
      <c r="D277" s="24"/>
      <c r="E277" s="24"/>
      <c r="F277" s="114"/>
      <c r="G277" s="114"/>
      <c r="I277" s="40"/>
      <c r="J277" s="40"/>
    </row>
    <row r="278" spans="1:10" ht="15.75" customHeight="1" x14ac:dyDescent="0.25">
      <c r="A278" s="24"/>
      <c r="B278" s="174"/>
      <c r="C278" s="24"/>
      <c r="D278" s="24"/>
      <c r="E278" s="24"/>
      <c r="F278" s="114"/>
      <c r="G278" s="114"/>
      <c r="I278" s="40"/>
      <c r="J278" s="40"/>
    </row>
    <row r="279" spans="1:10" ht="15.75" customHeight="1" x14ac:dyDescent="0.25">
      <c r="I279" s="40"/>
      <c r="J279" s="40"/>
    </row>
    <row r="280" spans="1:10" ht="15.75" customHeight="1" x14ac:dyDescent="0.25">
      <c r="I280" s="40"/>
      <c r="J280" s="40"/>
    </row>
    <row r="281" spans="1:10" ht="15.75" customHeight="1" x14ac:dyDescent="0.25">
      <c r="I281" s="40"/>
      <c r="J281" s="40"/>
    </row>
    <row r="282" spans="1:10" ht="15.75" customHeight="1" x14ac:dyDescent="0.25">
      <c r="I282" s="40"/>
      <c r="J282" s="40"/>
    </row>
    <row r="283" spans="1:10" ht="15.75" customHeight="1" x14ac:dyDescent="0.25">
      <c r="I283" s="40"/>
      <c r="J283" s="40"/>
    </row>
    <row r="284" spans="1:10" ht="15.75" customHeight="1" x14ac:dyDescent="0.25">
      <c r="I284" s="40"/>
      <c r="J284" s="40"/>
    </row>
    <row r="285" spans="1:10" ht="15.75" customHeight="1" x14ac:dyDescent="0.25">
      <c r="I285" s="40"/>
      <c r="J285" s="40"/>
    </row>
    <row r="286" spans="1:10" ht="15.75" customHeight="1" x14ac:dyDescent="0.25">
      <c r="I286" s="40"/>
      <c r="J286" s="40"/>
    </row>
    <row r="287" spans="1:10" ht="15.75" customHeight="1" x14ac:dyDescent="0.25">
      <c r="I287" s="40"/>
      <c r="J287" s="40"/>
    </row>
    <row r="288" spans="1:10" ht="15.75" customHeight="1" x14ac:dyDescent="0.25">
      <c r="I288" s="40"/>
      <c r="J288" s="40"/>
    </row>
    <row r="289" spans="9:10" ht="15.75" customHeight="1" x14ac:dyDescent="0.25">
      <c r="I289" s="40"/>
      <c r="J289" s="40"/>
    </row>
    <row r="290" spans="9:10" ht="15.75" customHeight="1" x14ac:dyDescent="0.25">
      <c r="I290" s="40"/>
      <c r="J290" s="40"/>
    </row>
    <row r="291" spans="9:10" ht="15.75" customHeight="1" x14ac:dyDescent="0.25">
      <c r="I291" s="40"/>
      <c r="J291" s="40"/>
    </row>
    <row r="292" spans="9:10" ht="15.75" customHeight="1" x14ac:dyDescent="0.25">
      <c r="I292" s="40"/>
      <c r="J292" s="40"/>
    </row>
    <row r="293" spans="9:10" ht="15.75" customHeight="1" x14ac:dyDescent="0.25">
      <c r="I293" s="40"/>
      <c r="J293" s="40"/>
    </row>
    <row r="294" spans="9:10" ht="15.75" customHeight="1" x14ac:dyDescent="0.25">
      <c r="I294" s="40"/>
      <c r="J294" s="40"/>
    </row>
    <row r="295" spans="9:10" ht="15.75" customHeight="1" x14ac:dyDescent="0.25">
      <c r="I295" s="40"/>
      <c r="J295" s="40"/>
    </row>
    <row r="296" spans="9:10" ht="15.75" customHeight="1" x14ac:dyDescent="0.25">
      <c r="I296" s="40"/>
      <c r="J296" s="40"/>
    </row>
    <row r="297" spans="9:10" ht="15.75" customHeight="1" x14ac:dyDescent="0.25">
      <c r="I297" s="40"/>
      <c r="J297" s="40"/>
    </row>
    <row r="298" spans="9:10" ht="15.75" customHeight="1" x14ac:dyDescent="0.25">
      <c r="I298" s="40"/>
      <c r="J298" s="40"/>
    </row>
    <row r="299" spans="9:10" ht="15.75" customHeight="1" x14ac:dyDescent="0.25">
      <c r="I299" s="40"/>
      <c r="J299" s="40"/>
    </row>
    <row r="300" spans="9:10" ht="15.75" customHeight="1" x14ac:dyDescent="0.25">
      <c r="I300" s="40"/>
      <c r="J300" s="40"/>
    </row>
    <row r="301" spans="9:10" ht="15.75" customHeight="1" x14ac:dyDescent="0.25">
      <c r="I301" s="40"/>
      <c r="J301" s="40"/>
    </row>
    <row r="302" spans="9:10" ht="15.75" customHeight="1" x14ac:dyDescent="0.25">
      <c r="I302" s="40"/>
      <c r="J302" s="40"/>
    </row>
    <row r="303" spans="9:10" ht="15.75" customHeight="1" x14ac:dyDescent="0.25">
      <c r="I303" s="40"/>
      <c r="J303" s="40"/>
    </row>
    <row r="304" spans="9:10" ht="15.75" customHeight="1" x14ac:dyDescent="0.25">
      <c r="I304" s="40"/>
      <c r="J304" s="40"/>
    </row>
    <row r="305" spans="9:10" ht="15.75" customHeight="1" x14ac:dyDescent="0.25">
      <c r="I305" s="40"/>
      <c r="J305" s="40"/>
    </row>
    <row r="306" spans="9:10" ht="15.75" customHeight="1" x14ac:dyDescent="0.25">
      <c r="I306" s="40"/>
      <c r="J306" s="40"/>
    </row>
    <row r="307" spans="9:10" ht="15.75" customHeight="1" x14ac:dyDescent="0.25">
      <c r="I307" s="40"/>
      <c r="J307" s="40"/>
    </row>
    <row r="308" spans="9:10" ht="15.75" customHeight="1" x14ac:dyDescent="0.25">
      <c r="I308" s="40"/>
      <c r="J308" s="40"/>
    </row>
    <row r="309" spans="9:10" ht="15.75" customHeight="1" x14ac:dyDescent="0.25">
      <c r="I309" s="40"/>
      <c r="J309" s="40"/>
    </row>
    <row r="310" spans="9:10" ht="15.75" customHeight="1" x14ac:dyDescent="0.25">
      <c r="I310" s="40"/>
      <c r="J310" s="40"/>
    </row>
    <row r="311" spans="9:10" ht="15.75" customHeight="1" x14ac:dyDescent="0.25">
      <c r="I311" s="40"/>
      <c r="J311" s="40"/>
    </row>
    <row r="312" spans="9:10" ht="15.75" customHeight="1" x14ac:dyDescent="0.25">
      <c r="I312" s="40"/>
      <c r="J312" s="40"/>
    </row>
    <row r="313" spans="9:10" ht="15.75" customHeight="1" x14ac:dyDescent="0.25">
      <c r="I313" s="40"/>
      <c r="J313" s="40"/>
    </row>
    <row r="314" spans="9:10" ht="15.75" customHeight="1" x14ac:dyDescent="0.25">
      <c r="I314" s="40"/>
      <c r="J314" s="40"/>
    </row>
    <row r="315" spans="9:10" ht="15.75" customHeight="1" x14ac:dyDescent="0.25">
      <c r="I315" s="40"/>
      <c r="J315" s="40"/>
    </row>
    <row r="316" spans="9:10" ht="15.75" customHeight="1" x14ac:dyDescent="0.25">
      <c r="I316" s="40"/>
      <c r="J316" s="40"/>
    </row>
    <row r="317" spans="9:10" ht="15.75" customHeight="1" x14ac:dyDescent="0.25">
      <c r="I317" s="40"/>
      <c r="J317" s="40"/>
    </row>
    <row r="318" spans="9:10" ht="15.75" customHeight="1" x14ac:dyDescent="0.25">
      <c r="I318" s="40"/>
      <c r="J318" s="40"/>
    </row>
    <row r="319" spans="9:10" ht="15.75" customHeight="1" x14ac:dyDescent="0.25">
      <c r="I319" s="40"/>
      <c r="J319" s="40"/>
    </row>
    <row r="320" spans="9:10" ht="15.75" customHeight="1" x14ac:dyDescent="0.25">
      <c r="I320" s="40"/>
      <c r="J320" s="40"/>
    </row>
    <row r="321" spans="9:10" ht="15.75" customHeight="1" x14ac:dyDescent="0.25">
      <c r="I321" s="40"/>
      <c r="J321" s="40"/>
    </row>
    <row r="322" spans="9:10" ht="15.75" customHeight="1" x14ac:dyDescent="0.25">
      <c r="I322" s="40"/>
      <c r="J322" s="40"/>
    </row>
    <row r="323" spans="9:10" ht="15.75" customHeight="1" x14ac:dyDescent="0.25">
      <c r="I323" s="40"/>
      <c r="J323" s="40"/>
    </row>
    <row r="324" spans="9:10" ht="15.75" customHeight="1" x14ac:dyDescent="0.25">
      <c r="I324" s="40"/>
      <c r="J324" s="40"/>
    </row>
    <row r="325" spans="9:10" ht="15.75" customHeight="1" x14ac:dyDescent="0.25">
      <c r="I325" s="40"/>
      <c r="J325" s="40"/>
    </row>
    <row r="326" spans="9:10" ht="15.75" customHeight="1" x14ac:dyDescent="0.25">
      <c r="I326" s="40"/>
      <c r="J326" s="40"/>
    </row>
    <row r="327" spans="9:10" ht="15.75" customHeight="1" x14ac:dyDescent="0.25">
      <c r="I327" s="40"/>
      <c r="J327" s="40"/>
    </row>
    <row r="328" spans="9:10" ht="15.75" customHeight="1" x14ac:dyDescent="0.25">
      <c r="I328" s="40"/>
      <c r="J328" s="40"/>
    </row>
    <row r="329" spans="9:10" ht="15.75" customHeight="1" x14ac:dyDescent="0.25">
      <c r="I329" s="40"/>
      <c r="J329" s="40"/>
    </row>
    <row r="330" spans="9:10" ht="15.75" customHeight="1" x14ac:dyDescent="0.25">
      <c r="I330" s="40"/>
      <c r="J330" s="40"/>
    </row>
    <row r="331" spans="9:10" ht="15.75" customHeight="1" x14ac:dyDescent="0.25">
      <c r="I331" s="40"/>
      <c r="J331" s="40"/>
    </row>
    <row r="332" spans="9:10" ht="15.75" customHeight="1" x14ac:dyDescent="0.25">
      <c r="I332" s="40"/>
      <c r="J332" s="40"/>
    </row>
    <row r="333" spans="9:10" ht="15.75" customHeight="1" x14ac:dyDescent="0.25">
      <c r="I333" s="40"/>
      <c r="J333" s="40"/>
    </row>
    <row r="334" spans="9:10" ht="15.75" customHeight="1" x14ac:dyDescent="0.25">
      <c r="I334" s="40"/>
      <c r="J334" s="40"/>
    </row>
    <row r="335" spans="9:10" ht="15.75" customHeight="1" x14ac:dyDescent="0.25">
      <c r="I335" s="40"/>
      <c r="J335" s="40"/>
    </row>
    <row r="336" spans="9:10" ht="15.75" customHeight="1" x14ac:dyDescent="0.25">
      <c r="I336" s="40"/>
      <c r="J336" s="40"/>
    </row>
    <row r="337" spans="9:10" ht="15.75" customHeight="1" x14ac:dyDescent="0.25">
      <c r="I337" s="40"/>
      <c r="J337" s="40"/>
    </row>
    <row r="338" spans="9:10" ht="15.75" customHeight="1" x14ac:dyDescent="0.25">
      <c r="I338" s="40"/>
      <c r="J338" s="40"/>
    </row>
    <row r="339" spans="9:10" ht="15.75" customHeight="1" x14ac:dyDescent="0.25">
      <c r="I339" s="40"/>
      <c r="J339" s="40"/>
    </row>
    <row r="340" spans="9:10" ht="15.75" customHeight="1" x14ac:dyDescent="0.25">
      <c r="I340" s="40"/>
      <c r="J340" s="40"/>
    </row>
    <row r="341" spans="9:10" ht="15.75" customHeight="1" x14ac:dyDescent="0.25">
      <c r="I341" s="40"/>
      <c r="J341" s="40"/>
    </row>
    <row r="342" spans="9:10" ht="15.75" customHeight="1" x14ac:dyDescent="0.25">
      <c r="I342" s="40"/>
      <c r="J342" s="40"/>
    </row>
    <row r="343" spans="9:10" ht="15.75" customHeight="1" x14ac:dyDescent="0.25">
      <c r="I343" s="40"/>
      <c r="J343" s="40"/>
    </row>
    <row r="344" spans="9:10" ht="15.75" customHeight="1" x14ac:dyDescent="0.25">
      <c r="I344" s="40"/>
      <c r="J344" s="40"/>
    </row>
    <row r="345" spans="9:10" ht="15.75" customHeight="1" x14ac:dyDescent="0.25">
      <c r="I345" s="40"/>
      <c r="J345" s="40"/>
    </row>
    <row r="346" spans="9:10" ht="15.75" customHeight="1" x14ac:dyDescent="0.25">
      <c r="I346" s="40"/>
      <c r="J346" s="40"/>
    </row>
    <row r="347" spans="9:10" ht="15.75" customHeight="1" x14ac:dyDescent="0.25">
      <c r="I347" s="40"/>
      <c r="J347" s="40"/>
    </row>
    <row r="348" spans="9:10" ht="15.75" customHeight="1" x14ac:dyDescent="0.25">
      <c r="I348" s="40"/>
      <c r="J348" s="40"/>
    </row>
    <row r="349" spans="9:10" ht="15.75" customHeight="1" x14ac:dyDescent="0.25">
      <c r="I349" s="40"/>
      <c r="J349" s="40"/>
    </row>
    <row r="350" spans="9:10" ht="15.75" customHeight="1" x14ac:dyDescent="0.25">
      <c r="I350" s="40"/>
      <c r="J350" s="40"/>
    </row>
    <row r="351" spans="9:10" ht="15.75" customHeight="1" x14ac:dyDescent="0.25">
      <c r="I351" s="40"/>
      <c r="J351" s="40"/>
    </row>
    <row r="352" spans="9:10" ht="15.75" customHeight="1" x14ac:dyDescent="0.25">
      <c r="I352" s="40"/>
      <c r="J352" s="40"/>
    </row>
    <row r="353" spans="9:10" ht="15.75" customHeight="1" x14ac:dyDescent="0.25">
      <c r="I353" s="40"/>
      <c r="J353" s="40"/>
    </row>
    <row r="354" spans="9:10" ht="15.75" customHeight="1" x14ac:dyDescent="0.25">
      <c r="I354" s="40"/>
      <c r="J354" s="40"/>
    </row>
    <row r="355" spans="9:10" ht="15.75" customHeight="1" x14ac:dyDescent="0.25">
      <c r="I355" s="40"/>
      <c r="J355" s="40"/>
    </row>
    <row r="356" spans="9:10" ht="15.75" customHeight="1" x14ac:dyDescent="0.25">
      <c r="I356" s="40"/>
      <c r="J356" s="40"/>
    </row>
    <row r="357" spans="9:10" ht="15.75" customHeight="1" x14ac:dyDescent="0.25">
      <c r="I357" s="40"/>
      <c r="J357" s="40"/>
    </row>
    <row r="358" spans="9:10" ht="15.75" customHeight="1" x14ac:dyDescent="0.25">
      <c r="I358" s="40"/>
      <c r="J358" s="40"/>
    </row>
    <row r="359" spans="9:10" ht="15.75" customHeight="1" x14ac:dyDescent="0.25">
      <c r="I359" s="40"/>
      <c r="J359" s="40"/>
    </row>
    <row r="360" spans="9:10" ht="15.75" customHeight="1" x14ac:dyDescent="0.25">
      <c r="I360" s="40"/>
      <c r="J360" s="40"/>
    </row>
    <row r="361" spans="9:10" ht="15.75" customHeight="1" x14ac:dyDescent="0.25">
      <c r="I361" s="40"/>
      <c r="J361" s="40"/>
    </row>
    <row r="362" spans="9:10" ht="15.75" customHeight="1" x14ac:dyDescent="0.25">
      <c r="I362" s="40"/>
      <c r="J362" s="40"/>
    </row>
    <row r="363" spans="9:10" ht="15.75" customHeight="1" x14ac:dyDescent="0.25">
      <c r="I363" s="40"/>
      <c r="J363" s="40"/>
    </row>
    <row r="364" spans="9:10" ht="15.75" customHeight="1" x14ac:dyDescent="0.25">
      <c r="I364" s="40"/>
      <c r="J364" s="40"/>
    </row>
    <row r="365" spans="9:10" ht="15.75" customHeight="1" x14ac:dyDescent="0.25">
      <c r="I365" s="40"/>
      <c r="J365" s="40"/>
    </row>
    <row r="366" spans="9:10" ht="15.75" customHeight="1" x14ac:dyDescent="0.25">
      <c r="I366" s="40"/>
      <c r="J366" s="40"/>
    </row>
    <row r="367" spans="9:10" ht="15.75" customHeight="1" x14ac:dyDescent="0.25">
      <c r="I367" s="40"/>
      <c r="J367" s="40"/>
    </row>
    <row r="368" spans="9:10" ht="15.75" customHeight="1" x14ac:dyDescent="0.25">
      <c r="I368" s="40"/>
      <c r="J368" s="40"/>
    </row>
    <row r="369" spans="9:10" ht="15.75" customHeight="1" x14ac:dyDescent="0.25">
      <c r="I369" s="40"/>
      <c r="J369" s="40"/>
    </row>
    <row r="370" spans="9:10" ht="15.75" customHeight="1" x14ac:dyDescent="0.25">
      <c r="I370" s="40"/>
      <c r="J370" s="40"/>
    </row>
    <row r="371" spans="9:10" ht="15.75" customHeight="1" x14ac:dyDescent="0.25">
      <c r="I371" s="40"/>
      <c r="J371" s="40"/>
    </row>
    <row r="372" spans="9:10" ht="15.75" customHeight="1" x14ac:dyDescent="0.25">
      <c r="I372" s="40"/>
      <c r="J372" s="40"/>
    </row>
    <row r="373" spans="9:10" ht="15.75" customHeight="1" x14ac:dyDescent="0.25">
      <c r="I373" s="40"/>
      <c r="J373" s="40"/>
    </row>
    <row r="374" spans="9:10" ht="15.75" customHeight="1" x14ac:dyDescent="0.25">
      <c r="I374" s="40"/>
      <c r="J374" s="40"/>
    </row>
    <row r="375" spans="9:10" ht="15.75" customHeight="1" x14ac:dyDescent="0.25">
      <c r="I375" s="40"/>
      <c r="J375" s="40"/>
    </row>
    <row r="376" spans="9:10" ht="15.75" customHeight="1" x14ac:dyDescent="0.25">
      <c r="I376" s="40"/>
      <c r="J376" s="40"/>
    </row>
    <row r="377" spans="9:10" ht="15.75" customHeight="1" x14ac:dyDescent="0.25">
      <c r="I377" s="40"/>
      <c r="J377" s="40"/>
    </row>
    <row r="378" spans="9:10" ht="15.75" customHeight="1" x14ac:dyDescent="0.25">
      <c r="I378" s="40"/>
      <c r="J378" s="40"/>
    </row>
    <row r="379" spans="9:10" ht="15.75" customHeight="1" x14ac:dyDescent="0.25">
      <c r="I379" s="40"/>
      <c r="J379" s="40"/>
    </row>
    <row r="380" spans="9:10" ht="15.75" customHeight="1" x14ac:dyDescent="0.25">
      <c r="I380" s="40"/>
      <c r="J380" s="40"/>
    </row>
    <row r="381" spans="9:10" ht="15.75" customHeight="1" x14ac:dyDescent="0.25">
      <c r="I381" s="40"/>
      <c r="J381" s="40"/>
    </row>
    <row r="382" spans="9:10" ht="15.75" customHeight="1" x14ac:dyDescent="0.25">
      <c r="I382" s="40"/>
      <c r="J382" s="40"/>
    </row>
    <row r="383" spans="9:10" ht="15.75" customHeight="1" x14ac:dyDescent="0.25">
      <c r="I383" s="40"/>
      <c r="J383" s="40"/>
    </row>
    <row r="384" spans="9:10" ht="15.75" customHeight="1" x14ac:dyDescent="0.25">
      <c r="I384" s="40"/>
      <c r="J384" s="40"/>
    </row>
    <row r="385" spans="9:10" ht="15.75" customHeight="1" x14ac:dyDescent="0.25">
      <c r="I385" s="40"/>
      <c r="J385" s="40"/>
    </row>
    <row r="386" spans="9:10" ht="15.75" customHeight="1" x14ac:dyDescent="0.25">
      <c r="I386" s="40"/>
      <c r="J386" s="40"/>
    </row>
    <row r="387" spans="9:10" ht="15.75" customHeight="1" x14ac:dyDescent="0.25">
      <c r="I387" s="40"/>
      <c r="J387" s="40"/>
    </row>
    <row r="388" spans="9:10" ht="15.75" customHeight="1" x14ac:dyDescent="0.25">
      <c r="I388" s="40"/>
      <c r="J388" s="40"/>
    </row>
    <row r="389" spans="9:10" ht="15.75" customHeight="1" x14ac:dyDescent="0.25">
      <c r="I389" s="40"/>
      <c r="J389" s="40"/>
    </row>
    <row r="390" spans="9:10" ht="15.75" customHeight="1" x14ac:dyDescent="0.25">
      <c r="I390" s="40"/>
      <c r="J390" s="40"/>
    </row>
    <row r="391" spans="9:10" ht="15.75" customHeight="1" x14ac:dyDescent="0.25">
      <c r="I391" s="40"/>
      <c r="J391" s="40"/>
    </row>
    <row r="392" spans="9:10" ht="15.75" customHeight="1" x14ac:dyDescent="0.25">
      <c r="I392" s="40"/>
      <c r="J392" s="40"/>
    </row>
    <row r="393" spans="9:10" ht="15.75" customHeight="1" x14ac:dyDescent="0.25">
      <c r="I393" s="40"/>
      <c r="J393" s="40"/>
    </row>
    <row r="394" spans="9:10" ht="15.75" customHeight="1" x14ac:dyDescent="0.25">
      <c r="I394" s="40"/>
      <c r="J394" s="40"/>
    </row>
    <row r="395" spans="9:10" ht="15.75" customHeight="1" x14ac:dyDescent="0.25">
      <c r="I395" s="40"/>
      <c r="J395" s="40"/>
    </row>
    <row r="396" spans="9:10" ht="15.75" customHeight="1" x14ac:dyDescent="0.25">
      <c r="I396" s="40"/>
      <c r="J396" s="40"/>
    </row>
    <row r="397" spans="9:10" ht="15.75" customHeight="1" x14ac:dyDescent="0.25">
      <c r="I397" s="40"/>
      <c r="J397" s="40"/>
    </row>
    <row r="398" spans="9:10" ht="15.75" customHeight="1" x14ac:dyDescent="0.25">
      <c r="I398" s="40"/>
      <c r="J398" s="40"/>
    </row>
    <row r="399" spans="9:10" ht="15.75" customHeight="1" x14ac:dyDescent="0.25">
      <c r="I399" s="40"/>
      <c r="J399" s="40"/>
    </row>
    <row r="400" spans="9:10" ht="15.75" customHeight="1" x14ac:dyDescent="0.25">
      <c r="I400" s="40"/>
      <c r="J400" s="40"/>
    </row>
    <row r="401" spans="9:10" ht="15.75" customHeight="1" x14ac:dyDescent="0.25">
      <c r="I401" s="40"/>
      <c r="J401" s="40"/>
    </row>
    <row r="402" spans="9:10" ht="15.75" customHeight="1" x14ac:dyDescent="0.25">
      <c r="I402" s="40"/>
      <c r="J402" s="40"/>
    </row>
    <row r="403" spans="9:10" ht="15.75" customHeight="1" x14ac:dyDescent="0.25">
      <c r="I403" s="40"/>
      <c r="J403" s="40"/>
    </row>
    <row r="404" spans="9:10" ht="15.75" customHeight="1" x14ac:dyDescent="0.25">
      <c r="I404" s="40"/>
      <c r="J404" s="40"/>
    </row>
    <row r="405" spans="9:10" ht="15.75" customHeight="1" x14ac:dyDescent="0.25">
      <c r="I405" s="40"/>
      <c r="J405" s="40"/>
    </row>
    <row r="406" spans="9:10" ht="15.75" customHeight="1" x14ac:dyDescent="0.25">
      <c r="I406" s="40"/>
      <c r="J406" s="40"/>
    </row>
    <row r="407" spans="9:10" ht="15.75" customHeight="1" x14ac:dyDescent="0.25">
      <c r="I407" s="40"/>
      <c r="J407" s="40"/>
    </row>
    <row r="408" spans="9:10" ht="15.75" customHeight="1" x14ac:dyDescent="0.25">
      <c r="I408" s="40"/>
      <c r="J408" s="40"/>
    </row>
    <row r="409" spans="9:10" ht="15.75" customHeight="1" x14ac:dyDescent="0.25">
      <c r="I409" s="40"/>
      <c r="J409" s="40"/>
    </row>
    <row r="410" spans="9:10" ht="15.75" customHeight="1" x14ac:dyDescent="0.25">
      <c r="I410" s="40"/>
      <c r="J410" s="40"/>
    </row>
    <row r="411" spans="9:10" ht="15.75" customHeight="1" x14ac:dyDescent="0.25">
      <c r="I411" s="40"/>
      <c r="J411" s="40"/>
    </row>
    <row r="412" spans="9:10" ht="15.75" customHeight="1" x14ac:dyDescent="0.25">
      <c r="I412" s="40"/>
      <c r="J412" s="40"/>
    </row>
    <row r="413" spans="9:10" ht="15.75" customHeight="1" x14ac:dyDescent="0.25">
      <c r="I413" s="40"/>
      <c r="J413" s="40"/>
    </row>
    <row r="414" spans="9:10" ht="15.75" customHeight="1" x14ac:dyDescent="0.25">
      <c r="I414" s="40"/>
      <c r="J414" s="40"/>
    </row>
    <row r="415" spans="9:10" ht="15.75" customHeight="1" x14ac:dyDescent="0.25">
      <c r="I415" s="40"/>
      <c r="J415" s="40"/>
    </row>
    <row r="416" spans="9:10" ht="15.75" customHeight="1" x14ac:dyDescent="0.25">
      <c r="I416" s="40"/>
      <c r="J416" s="40"/>
    </row>
    <row r="417" spans="9:10" ht="15.75" customHeight="1" x14ac:dyDescent="0.25">
      <c r="I417" s="40"/>
      <c r="J417" s="40"/>
    </row>
    <row r="418" spans="9:10" ht="15.75" customHeight="1" x14ac:dyDescent="0.25">
      <c r="I418" s="40"/>
      <c r="J418" s="40"/>
    </row>
    <row r="419" spans="9:10" ht="15.75" customHeight="1" x14ac:dyDescent="0.25">
      <c r="I419" s="40"/>
      <c r="J419" s="40"/>
    </row>
    <row r="420" spans="9:10" ht="15.75" customHeight="1" x14ac:dyDescent="0.25">
      <c r="I420" s="40"/>
      <c r="J420" s="40"/>
    </row>
    <row r="421" spans="9:10" ht="15.75" customHeight="1" x14ac:dyDescent="0.25">
      <c r="I421" s="40"/>
      <c r="J421" s="40"/>
    </row>
    <row r="422" spans="9:10" ht="15.75" customHeight="1" x14ac:dyDescent="0.25">
      <c r="I422" s="40"/>
      <c r="J422" s="40"/>
    </row>
    <row r="423" spans="9:10" ht="15.75" customHeight="1" x14ac:dyDescent="0.25">
      <c r="I423" s="40"/>
      <c r="J423" s="40"/>
    </row>
    <row r="424" spans="9:10" ht="15.75" customHeight="1" x14ac:dyDescent="0.25">
      <c r="I424" s="40"/>
      <c r="J424" s="40"/>
    </row>
    <row r="425" spans="9:10" ht="15.75" customHeight="1" x14ac:dyDescent="0.25">
      <c r="I425" s="40"/>
      <c r="J425" s="40"/>
    </row>
    <row r="426" spans="9:10" ht="15.75" customHeight="1" x14ac:dyDescent="0.25">
      <c r="I426" s="40"/>
      <c r="J426" s="40"/>
    </row>
    <row r="427" spans="9:10" ht="15.75" customHeight="1" x14ac:dyDescent="0.25">
      <c r="I427" s="40"/>
      <c r="J427" s="40"/>
    </row>
    <row r="428" spans="9:10" ht="15.75" customHeight="1" x14ac:dyDescent="0.25">
      <c r="I428" s="40"/>
      <c r="J428" s="40"/>
    </row>
    <row r="429" spans="9:10" ht="15.75" customHeight="1" x14ac:dyDescent="0.25">
      <c r="I429" s="40"/>
      <c r="J429" s="40"/>
    </row>
    <row r="430" spans="9:10" ht="15.75" customHeight="1" x14ac:dyDescent="0.25">
      <c r="I430" s="40"/>
      <c r="J430" s="40"/>
    </row>
    <row r="431" spans="9:10" ht="15.75" customHeight="1" x14ac:dyDescent="0.25">
      <c r="I431" s="40"/>
      <c r="J431" s="40"/>
    </row>
    <row r="432" spans="9:10" ht="15.75" customHeight="1" x14ac:dyDescent="0.25">
      <c r="I432" s="40"/>
      <c r="J432" s="40"/>
    </row>
    <row r="433" spans="9:10" ht="15.75" customHeight="1" x14ac:dyDescent="0.25">
      <c r="I433" s="40"/>
      <c r="J433" s="40"/>
    </row>
    <row r="434" spans="9:10" ht="15.75" customHeight="1" x14ac:dyDescent="0.25">
      <c r="I434" s="40"/>
      <c r="J434" s="40"/>
    </row>
    <row r="435" spans="9:10" ht="15.75" customHeight="1" x14ac:dyDescent="0.25">
      <c r="I435" s="40"/>
      <c r="J435" s="40"/>
    </row>
    <row r="436" spans="9:10" ht="15.75" customHeight="1" x14ac:dyDescent="0.25">
      <c r="I436" s="40"/>
      <c r="J436" s="40"/>
    </row>
    <row r="437" spans="9:10" ht="15.75" customHeight="1" x14ac:dyDescent="0.25">
      <c r="I437" s="40"/>
      <c r="J437" s="40"/>
    </row>
    <row r="438" spans="9:10" ht="15.75" customHeight="1" x14ac:dyDescent="0.25">
      <c r="I438" s="40"/>
      <c r="J438" s="40"/>
    </row>
    <row r="439" spans="9:10" ht="15.75" customHeight="1" x14ac:dyDescent="0.25">
      <c r="I439" s="40"/>
      <c r="J439" s="40"/>
    </row>
    <row r="440" spans="9:10" ht="15.75" customHeight="1" x14ac:dyDescent="0.25">
      <c r="I440" s="40"/>
      <c r="J440" s="40"/>
    </row>
    <row r="441" spans="9:10" ht="15.75" customHeight="1" x14ac:dyDescent="0.25">
      <c r="I441" s="40"/>
      <c r="J441" s="40"/>
    </row>
    <row r="442" spans="9:10" ht="15.75" customHeight="1" x14ac:dyDescent="0.25">
      <c r="I442" s="40"/>
      <c r="J442" s="40"/>
    </row>
    <row r="443" spans="9:10" ht="15.75" customHeight="1" x14ac:dyDescent="0.25">
      <c r="I443" s="40"/>
      <c r="J443" s="40"/>
    </row>
    <row r="444" spans="9:10" ht="15.75" customHeight="1" x14ac:dyDescent="0.25">
      <c r="I444" s="40"/>
      <c r="J444" s="40"/>
    </row>
    <row r="445" spans="9:10" ht="15.75" customHeight="1" x14ac:dyDescent="0.25">
      <c r="I445" s="40"/>
      <c r="J445" s="40"/>
    </row>
    <row r="446" spans="9:10" ht="15.75" customHeight="1" x14ac:dyDescent="0.25">
      <c r="I446" s="40"/>
      <c r="J446" s="40"/>
    </row>
    <row r="447" spans="9:10" ht="15.75" customHeight="1" x14ac:dyDescent="0.25">
      <c r="I447" s="40"/>
      <c r="J447" s="40"/>
    </row>
    <row r="448" spans="9:10" ht="15.75" customHeight="1" x14ac:dyDescent="0.25">
      <c r="I448" s="40"/>
      <c r="J448" s="40"/>
    </row>
    <row r="449" spans="9:10" ht="15.75" customHeight="1" x14ac:dyDescent="0.25">
      <c r="I449" s="40"/>
      <c r="J449" s="40"/>
    </row>
    <row r="450" spans="9:10" ht="15.75" customHeight="1" x14ac:dyDescent="0.25">
      <c r="I450" s="40"/>
      <c r="J450" s="40"/>
    </row>
    <row r="451" spans="9:10" ht="15.75" customHeight="1" x14ac:dyDescent="0.25">
      <c r="I451" s="40"/>
      <c r="J451" s="40"/>
    </row>
    <row r="452" spans="9:10" ht="15.75" customHeight="1" x14ac:dyDescent="0.25">
      <c r="I452" s="40"/>
      <c r="J452" s="40"/>
    </row>
    <row r="453" spans="9:10" ht="15.75" customHeight="1" x14ac:dyDescent="0.25">
      <c r="I453" s="40"/>
      <c r="J453" s="40"/>
    </row>
    <row r="454" spans="9:10" ht="15.75" customHeight="1" x14ac:dyDescent="0.25">
      <c r="I454" s="40"/>
      <c r="J454" s="40"/>
    </row>
    <row r="455" spans="9:10" ht="15.75" customHeight="1" x14ac:dyDescent="0.25">
      <c r="I455" s="40"/>
      <c r="J455" s="40"/>
    </row>
    <row r="456" spans="9:10" ht="15.75" customHeight="1" x14ac:dyDescent="0.25">
      <c r="I456" s="40"/>
      <c r="J456" s="40"/>
    </row>
    <row r="457" spans="9:10" ht="15.75" customHeight="1" x14ac:dyDescent="0.25">
      <c r="I457" s="40"/>
      <c r="J457" s="40"/>
    </row>
    <row r="458" spans="9:10" ht="15.75" customHeight="1" x14ac:dyDescent="0.25">
      <c r="I458" s="40"/>
      <c r="J458" s="40"/>
    </row>
    <row r="459" spans="9:10" ht="15.75" customHeight="1" x14ac:dyDescent="0.25">
      <c r="I459" s="40"/>
      <c r="J459" s="40"/>
    </row>
    <row r="460" spans="9:10" ht="15.75" customHeight="1" x14ac:dyDescent="0.25">
      <c r="I460" s="40"/>
      <c r="J460" s="40"/>
    </row>
    <row r="461" spans="9:10" ht="15.75" customHeight="1" x14ac:dyDescent="0.25">
      <c r="I461" s="40"/>
      <c r="J461" s="40"/>
    </row>
    <row r="462" spans="9:10" ht="15.75" customHeight="1" x14ac:dyDescent="0.25">
      <c r="I462" s="40"/>
      <c r="J462" s="40"/>
    </row>
    <row r="463" spans="9:10" ht="15.75" customHeight="1" x14ac:dyDescent="0.25">
      <c r="I463" s="40"/>
      <c r="J463" s="40"/>
    </row>
    <row r="464" spans="9:10" ht="15.75" customHeight="1" x14ac:dyDescent="0.25">
      <c r="I464" s="40"/>
      <c r="J464" s="40"/>
    </row>
    <row r="465" spans="9:10" ht="15.75" customHeight="1" x14ac:dyDescent="0.25">
      <c r="I465" s="40"/>
      <c r="J465" s="40"/>
    </row>
    <row r="466" spans="9:10" ht="15.75" customHeight="1" x14ac:dyDescent="0.25">
      <c r="I466" s="40"/>
      <c r="J466" s="40"/>
    </row>
    <row r="467" spans="9:10" ht="15.75" customHeight="1" x14ac:dyDescent="0.25">
      <c r="I467" s="40"/>
      <c r="J467" s="40"/>
    </row>
    <row r="468" spans="9:10" ht="15.75" customHeight="1" x14ac:dyDescent="0.25">
      <c r="I468" s="40"/>
      <c r="J468" s="40"/>
    </row>
    <row r="469" spans="9:10" ht="15.75" customHeight="1" x14ac:dyDescent="0.25">
      <c r="I469" s="40"/>
      <c r="J469" s="40"/>
    </row>
    <row r="470" spans="9:10" ht="15.75" customHeight="1" x14ac:dyDescent="0.25">
      <c r="I470" s="40"/>
      <c r="J470" s="40"/>
    </row>
    <row r="471" spans="9:10" ht="15.75" customHeight="1" x14ac:dyDescent="0.25">
      <c r="I471" s="40"/>
      <c r="J471" s="40"/>
    </row>
    <row r="472" spans="9:10" ht="15.75" customHeight="1" x14ac:dyDescent="0.25">
      <c r="I472" s="40"/>
      <c r="J472" s="40"/>
    </row>
    <row r="473" spans="9:10" ht="15.75" customHeight="1" x14ac:dyDescent="0.25">
      <c r="I473" s="40"/>
      <c r="J473" s="40"/>
    </row>
    <row r="474" spans="9:10" ht="15.75" customHeight="1" x14ac:dyDescent="0.25">
      <c r="I474" s="40"/>
      <c r="J474" s="40"/>
    </row>
    <row r="475" spans="9:10" ht="15.75" customHeight="1" x14ac:dyDescent="0.25">
      <c r="I475" s="40"/>
      <c r="J475" s="40"/>
    </row>
    <row r="476" spans="9:10" ht="15.75" customHeight="1" x14ac:dyDescent="0.25">
      <c r="I476" s="40"/>
      <c r="J476" s="40"/>
    </row>
    <row r="477" spans="9:10" ht="15.75" customHeight="1" x14ac:dyDescent="0.25">
      <c r="I477" s="40"/>
      <c r="J477" s="40"/>
    </row>
    <row r="478" spans="9:10" ht="15.75" customHeight="1" x14ac:dyDescent="0.25">
      <c r="I478" s="40"/>
      <c r="J478" s="40"/>
    </row>
    <row r="479" spans="9:10" ht="15.75" customHeight="1" x14ac:dyDescent="0.25">
      <c r="I479" s="40"/>
      <c r="J479" s="40"/>
    </row>
    <row r="480" spans="9:10" ht="15.75" customHeight="1" x14ac:dyDescent="0.25">
      <c r="I480" s="40"/>
      <c r="J480" s="40"/>
    </row>
    <row r="481" spans="9:10" ht="15.75" customHeight="1" x14ac:dyDescent="0.25">
      <c r="I481" s="40"/>
      <c r="J481" s="40"/>
    </row>
    <row r="482" spans="9:10" ht="15.75" customHeight="1" x14ac:dyDescent="0.25">
      <c r="I482" s="40"/>
      <c r="J482" s="40"/>
    </row>
    <row r="483" spans="9:10" ht="15.75" customHeight="1" x14ac:dyDescent="0.25">
      <c r="I483" s="40"/>
      <c r="J483" s="40"/>
    </row>
    <row r="484" spans="9:10" ht="15.75" customHeight="1" x14ac:dyDescent="0.25">
      <c r="I484" s="40"/>
      <c r="J484" s="40"/>
    </row>
    <row r="485" spans="9:10" ht="15.75" customHeight="1" x14ac:dyDescent="0.25">
      <c r="I485" s="40"/>
      <c r="J485" s="40"/>
    </row>
    <row r="486" spans="9:10" ht="15.75" customHeight="1" x14ac:dyDescent="0.25">
      <c r="I486" s="40"/>
      <c r="J486" s="40"/>
    </row>
    <row r="487" spans="9:10" ht="15.75" customHeight="1" x14ac:dyDescent="0.25">
      <c r="I487" s="40"/>
      <c r="J487" s="40"/>
    </row>
    <row r="488" spans="9:10" ht="15.75" customHeight="1" x14ac:dyDescent="0.25">
      <c r="I488" s="40"/>
      <c r="J488" s="40"/>
    </row>
    <row r="489" spans="9:10" ht="15.75" customHeight="1" x14ac:dyDescent="0.25">
      <c r="I489" s="40"/>
      <c r="J489" s="40"/>
    </row>
    <row r="490" spans="9:10" ht="15.75" customHeight="1" x14ac:dyDescent="0.25">
      <c r="I490" s="40"/>
      <c r="J490" s="40"/>
    </row>
    <row r="491" spans="9:10" ht="15.75" customHeight="1" x14ac:dyDescent="0.25">
      <c r="I491" s="40"/>
      <c r="J491" s="40"/>
    </row>
    <row r="492" spans="9:10" ht="15.75" customHeight="1" x14ac:dyDescent="0.25">
      <c r="I492" s="40"/>
      <c r="J492" s="40"/>
    </row>
    <row r="493" spans="9:10" ht="15.75" customHeight="1" x14ac:dyDescent="0.25">
      <c r="I493" s="40"/>
      <c r="J493" s="40"/>
    </row>
    <row r="494" spans="9:10" ht="15.75" customHeight="1" x14ac:dyDescent="0.25">
      <c r="I494" s="40"/>
      <c r="J494" s="40"/>
    </row>
    <row r="495" spans="9:10" ht="15.75" customHeight="1" x14ac:dyDescent="0.25">
      <c r="I495" s="40"/>
      <c r="J495" s="40"/>
    </row>
    <row r="496" spans="9:10" ht="15.75" customHeight="1" x14ac:dyDescent="0.25">
      <c r="I496" s="40"/>
      <c r="J496" s="40"/>
    </row>
    <row r="497" spans="9:10" ht="15.75" customHeight="1" x14ac:dyDescent="0.25">
      <c r="I497" s="40"/>
      <c r="J497" s="40"/>
    </row>
    <row r="498" spans="9:10" ht="15.75" customHeight="1" x14ac:dyDescent="0.25">
      <c r="I498" s="40"/>
      <c r="J498" s="40"/>
    </row>
    <row r="499" spans="9:10" ht="15.75" customHeight="1" x14ac:dyDescent="0.25">
      <c r="I499" s="40"/>
      <c r="J499" s="40"/>
    </row>
    <row r="500" spans="9:10" ht="15.75" customHeight="1" x14ac:dyDescent="0.25">
      <c r="I500" s="40"/>
      <c r="J500" s="40"/>
    </row>
    <row r="501" spans="9:10" ht="15.75" customHeight="1" x14ac:dyDescent="0.25">
      <c r="I501" s="40"/>
      <c r="J501" s="40"/>
    </row>
    <row r="502" spans="9:10" ht="15.75" customHeight="1" x14ac:dyDescent="0.25">
      <c r="I502" s="40"/>
      <c r="J502" s="40"/>
    </row>
    <row r="503" spans="9:10" ht="15.75" customHeight="1" x14ac:dyDescent="0.25">
      <c r="I503" s="40"/>
      <c r="J503" s="40"/>
    </row>
    <row r="504" spans="9:10" ht="15.75" customHeight="1" x14ac:dyDescent="0.25">
      <c r="I504" s="40"/>
      <c r="J504" s="40"/>
    </row>
    <row r="505" spans="9:10" ht="15.75" customHeight="1" x14ac:dyDescent="0.25">
      <c r="I505" s="40"/>
      <c r="J505" s="40"/>
    </row>
    <row r="506" spans="9:10" ht="15.75" customHeight="1" x14ac:dyDescent="0.25">
      <c r="I506" s="40"/>
      <c r="J506" s="40"/>
    </row>
    <row r="507" spans="9:10" ht="15.75" customHeight="1" x14ac:dyDescent="0.25">
      <c r="I507" s="40"/>
      <c r="J507" s="40"/>
    </row>
    <row r="508" spans="9:10" ht="15.75" customHeight="1" x14ac:dyDescent="0.25">
      <c r="I508" s="40"/>
      <c r="J508" s="40"/>
    </row>
    <row r="509" spans="9:10" ht="15.75" customHeight="1" x14ac:dyDescent="0.25">
      <c r="I509" s="40"/>
      <c r="J509" s="40"/>
    </row>
    <row r="510" spans="9:10" ht="15.75" customHeight="1" x14ac:dyDescent="0.25">
      <c r="I510" s="40"/>
      <c r="J510" s="40"/>
    </row>
    <row r="511" spans="9:10" ht="15.75" customHeight="1" x14ac:dyDescent="0.25">
      <c r="I511" s="40"/>
      <c r="J511" s="40"/>
    </row>
    <row r="512" spans="9:10" ht="15.75" customHeight="1" x14ac:dyDescent="0.25">
      <c r="I512" s="40"/>
      <c r="J512" s="40"/>
    </row>
    <row r="513" spans="9:10" ht="15.75" customHeight="1" x14ac:dyDescent="0.25">
      <c r="I513" s="40"/>
      <c r="J513" s="40"/>
    </row>
    <row r="514" spans="9:10" ht="15.75" customHeight="1" x14ac:dyDescent="0.25">
      <c r="I514" s="40"/>
      <c r="J514" s="40"/>
    </row>
    <row r="515" spans="9:10" ht="15.75" customHeight="1" x14ac:dyDescent="0.25">
      <c r="I515" s="40"/>
      <c r="J515" s="40"/>
    </row>
    <row r="516" spans="9:10" ht="15.75" customHeight="1" x14ac:dyDescent="0.25">
      <c r="I516" s="40"/>
      <c r="J516" s="40"/>
    </row>
    <row r="517" spans="9:10" ht="15.75" customHeight="1" x14ac:dyDescent="0.25">
      <c r="I517" s="40"/>
      <c r="J517" s="40"/>
    </row>
    <row r="518" spans="9:10" ht="15.75" customHeight="1" x14ac:dyDescent="0.25">
      <c r="I518" s="40"/>
      <c r="J518" s="40"/>
    </row>
    <row r="519" spans="9:10" ht="15.75" customHeight="1" x14ac:dyDescent="0.25">
      <c r="I519" s="40"/>
      <c r="J519" s="40"/>
    </row>
    <row r="520" spans="9:10" ht="15.75" customHeight="1" x14ac:dyDescent="0.25">
      <c r="I520" s="40"/>
      <c r="J520" s="40"/>
    </row>
    <row r="521" spans="9:10" ht="15.75" customHeight="1" x14ac:dyDescent="0.25">
      <c r="I521" s="40"/>
      <c r="J521" s="40"/>
    </row>
    <row r="522" spans="9:10" ht="15.75" customHeight="1" x14ac:dyDescent="0.25">
      <c r="I522" s="40"/>
      <c r="J522" s="40"/>
    </row>
    <row r="523" spans="9:10" ht="15.75" customHeight="1" x14ac:dyDescent="0.25">
      <c r="I523" s="40"/>
      <c r="J523" s="40"/>
    </row>
    <row r="524" spans="9:10" ht="15.75" customHeight="1" x14ac:dyDescent="0.25">
      <c r="I524" s="40"/>
      <c r="J524" s="40"/>
    </row>
    <row r="525" spans="9:10" ht="15.75" customHeight="1" x14ac:dyDescent="0.25">
      <c r="I525" s="40"/>
      <c r="J525" s="40"/>
    </row>
    <row r="526" spans="9:10" ht="15.75" customHeight="1" x14ac:dyDescent="0.25">
      <c r="I526" s="40"/>
      <c r="J526" s="40"/>
    </row>
    <row r="527" spans="9:10" ht="15.75" customHeight="1" x14ac:dyDescent="0.25">
      <c r="I527" s="40"/>
      <c r="J527" s="40"/>
    </row>
    <row r="528" spans="9:10" ht="15.75" customHeight="1" x14ac:dyDescent="0.25">
      <c r="I528" s="40"/>
      <c r="J528" s="40"/>
    </row>
    <row r="529" spans="9:10" ht="15.75" customHeight="1" x14ac:dyDescent="0.25">
      <c r="I529" s="40"/>
      <c r="J529" s="40"/>
    </row>
    <row r="530" spans="9:10" ht="15.75" customHeight="1" x14ac:dyDescent="0.25">
      <c r="I530" s="40"/>
      <c r="J530" s="40"/>
    </row>
    <row r="531" spans="9:10" ht="15.75" customHeight="1" x14ac:dyDescent="0.25">
      <c r="I531" s="40"/>
      <c r="J531" s="40"/>
    </row>
    <row r="532" spans="9:10" ht="15.75" customHeight="1" x14ac:dyDescent="0.25">
      <c r="I532" s="40"/>
      <c r="J532" s="40"/>
    </row>
    <row r="533" spans="9:10" ht="15.75" customHeight="1" x14ac:dyDescent="0.25">
      <c r="I533" s="40"/>
      <c r="J533" s="40"/>
    </row>
    <row r="534" spans="9:10" ht="15.75" customHeight="1" x14ac:dyDescent="0.25">
      <c r="I534" s="40"/>
      <c r="J534" s="40"/>
    </row>
    <row r="535" spans="9:10" ht="15.75" customHeight="1" x14ac:dyDescent="0.25">
      <c r="I535" s="40"/>
      <c r="J535" s="40"/>
    </row>
    <row r="536" spans="9:10" ht="15.75" customHeight="1" x14ac:dyDescent="0.25">
      <c r="I536" s="40"/>
      <c r="J536" s="40"/>
    </row>
    <row r="537" spans="9:10" ht="15.75" customHeight="1" x14ac:dyDescent="0.25">
      <c r="I537" s="40"/>
      <c r="J537" s="40"/>
    </row>
    <row r="538" spans="9:10" ht="15.75" customHeight="1" x14ac:dyDescent="0.25">
      <c r="I538" s="40"/>
      <c r="J538" s="40"/>
    </row>
    <row r="539" spans="9:10" ht="15.75" customHeight="1" x14ac:dyDescent="0.25">
      <c r="I539" s="40"/>
      <c r="J539" s="40"/>
    </row>
    <row r="540" spans="9:10" ht="15.75" customHeight="1" x14ac:dyDescent="0.25">
      <c r="I540" s="40"/>
      <c r="J540" s="40"/>
    </row>
    <row r="541" spans="9:10" ht="15.75" customHeight="1" x14ac:dyDescent="0.25">
      <c r="I541" s="40"/>
      <c r="J541" s="40"/>
    </row>
    <row r="542" spans="9:10" ht="15.75" customHeight="1" x14ac:dyDescent="0.25">
      <c r="I542" s="40"/>
      <c r="J542" s="40"/>
    </row>
    <row r="543" spans="9:10" ht="15.75" customHeight="1" x14ac:dyDescent="0.25">
      <c r="I543" s="40"/>
      <c r="J543" s="40"/>
    </row>
    <row r="544" spans="9:10" ht="15.75" customHeight="1" x14ac:dyDescent="0.25">
      <c r="I544" s="40"/>
      <c r="J544" s="40"/>
    </row>
    <row r="545" spans="9:10" ht="15.75" customHeight="1" x14ac:dyDescent="0.25">
      <c r="I545" s="40"/>
      <c r="J545" s="40"/>
    </row>
    <row r="546" spans="9:10" ht="15.75" customHeight="1" x14ac:dyDescent="0.25">
      <c r="I546" s="40"/>
      <c r="J546" s="40"/>
    </row>
    <row r="547" spans="9:10" ht="15.75" customHeight="1" x14ac:dyDescent="0.25">
      <c r="I547" s="40"/>
      <c r="J547" s="40"/>
    </row>
    <row r="548" spans="9:10" ht="15.75" customHeight="1" x14ac:dyDescent="0.25">
      <c r="I548" s="40"/>
      <c r="J548" s="40"/>
    </row>
    <row r="549" spans="9:10" ht="15.75" customHeight="1" x14ac:dyDescent="0.25">
      <c r="I549" s="40"/>
      <c r="J549" s="40"/>
    </row>
    <row r="550" spans="9:10" ht="15.75" customHeight="1" x14ac:dyDescent="0.25">
      <c r="I550" s="40"/>
      <c r="J550" s="40"/>
    </row>
    <row r="551" spans="9:10" ht="15.75" customHeight="1" x14ac:dyDescent="0.25">
      <c r="I551" s="40"/>
      <c r="J551" s="40"/>
    </row>
    <row r="552" spans="9:10" ht="15.75" customHeight="1" x14ac:dyDescent="0.25">
      <c r="I552" s="40"/>
      <c r="J552" s="40"/>
    </row>
    <row r="553" spans="9:10" ht="15.75" customHeight="1" x14ac:dyDescent="0.25">
      <c r="I553" s="40"/>
      <c r="J553" s="40"/>
    </row>
    <row r="554" spans="9:10" ht="15.75" customHeight="1" x14ac:dyDescent="0.25">
      <c r="I554" s="40"/>
      <c r="J554" s="40"/>
    </row>
    <row r="555" spans="9:10" ht="15.75" customHeight="1" x14ac:dyDescent="0.25">
      <c r="I555" s="40"/>
      <c r="J555" s="40"/>
    </row>
    <row r="556" spans="9:10" ht="15.75" customHeight="1" x14ac:dyDescent="0.25">
      <c r="I556" s="40"/>
      <c r="J556" s="40"/>
    </row>
    <row r="557" spans="9:10" ht="15.75" customHeight="1" x14ac:dyDescent="0.25">
      <c r="I557" s="40"/>
      <c r="J557" s="40"/>
    </row>
    <row r="558" spans="9:10" ht="15.75" customHeight="1" x14ac:dyDescent="0.25">
      <c r="I558" s="40"/>
      <c r="J558" s="40"/>
    </row>
    <row r="559" spans="9:10" ht="15.75" customHeight="1" x14ac:dyDescent="0.25">
      <c r="I559" s="40"/>
      <c r="J559" s="40"/>
    </row>
    <row r="560" spans="9:10" ht="15.75" customHeight="1" x14ac:dyDescent="0.25">
      <c r="I560" s="40"/>
      <c r="J560" s="40"/>
    </row>
    <row r="561" spans="9:10" ht="15.75" customHeight="1" x14ac:dyDescent="0.25">
      <c r="I561" s="40"/>
      <c r="J561" s="40"/>
    </row>
    <row r="562" spans="9:10" ht="15.75" customHeight="1" x14ac:dyDescent="0.25">
      <c r="I562" s="40"/>
      <c r="J562" s="40"/>
    </row>
    <row r="563" spans="9:10" ht="15.75" customHeight="1" x14ac:dyDescent="0.25">
      <c r="I563" s="40"/>
      <c r="J563" s="40"/>
    </row>
    <row r="564" spans="9:10" ht="15.75" customHeight="1" x14ac:dyDescent="0.25">
      <c r="I564" s="40"/>
      <c r="J564" s="40"/>
    </row>
    <row r="565" spans="9:10" ht="15.75" customHeight="1" x14ac:dyDescent="0.25">
      <c r="I565" s="40"/>
      <c r="J565" s="40"/>
    </row>
    <row r="566" spans="9:10" ht="15.75" customHeight="1" x14ac:dyDescent="0.25">
      <c r="I566" s="40"/>
      <c r="J566" s="40"/>
    </row>
    <row r="567" spans="9:10" ht="15.75" customHeight="1" x14ac:dyDescent="0.25">
      <c r="I567" s="40"/>
      <c r="J567" s="40"/>
    </row>
    <row r="568" spans="9:10" ht="15.75" customHeight="1" x14ac:dyDescent="0.25">
      <c r="I568" s="40"/>
      <c r="J568" s="40"/>
    </row>
    <row r="569" spans="9:10" ht="15.75" customHeight="1" x14ac:dyDescent="0.25">
      <c r="I569" s="40"/>
      <c r="J569" s="40"/>
    </row>
    <row r="570" spans="9:10" ht="15.75" customHeight="1" x14ac:dyDescent="0.25">
      <c r="I570" s="40"/>
      <c r="J570" s="40"/>
    </row>
    <row r="571" spans="9:10" ht="15.75" customHeight="1" x14ac:dyDescent="0.25">
      <c r="I571" s="40"/>
      <c r="J571" s="40"/>
    </row>
    <row r="572" spans="9:10" ht="15.75" customHeight="1" x14ac:dyDescent="0.25">
      <c r="I572" s="40"/>
      <c r="J572" s="40"/>
    </row>
    <row r="573" spans="9:10" ht="15.75" customHeight="1" x14ac:dyDescent="0.25">
      <c r="I573" s="40"/>
      <c r="J573" s="40"/>
    </row>
    <row r="574" spans="9:10" ht="15.75" customHeight="1" x14ac:dyDescent="0.25">
      <c r="I574" s="40"/>
      <c r="J574" s="40"/>
    </row>
    <row r="575" spans="9:10" ht="15.75" customHeight="1" x14ac:dyDescent="0.25">
      <c r="I575" s="40"/>
      <c r="J575" s="40"/>
    </row>
    <row r="576" spans="9:10" ht="15.75" customHeight="1" x14ac:dyDescent="0.25">
      <c r="I576" s="40"/>
      <c r="J576" s="40"/>
    </row>
    <row r="577" spans="9:10" ht="15.75" customHeight="1" x14ac:dyDescent="0.25">
      <c r="I577" s="40"/>
      <c r="J577" s="40"/>
    </row>
    <row r="578" spans="9:10" ht="15.75" customHeight="1" x14ac:dyDescent="0.25">
      <c r="I578" s="40"/>
      <c r="J578" s="40"/>
    </row>
    <row r="579" spans="9:10" ht="15.75" customHeight="1" x14ac:dyDescent="0.25">
      <c r="I579" s="40"/>
      <c r="J579" s="40"/>
    </row>
    <row r="580" spans="9:10" ht="15.75" customHeight="1" x14ac:dyDescent="0.25">
      <c r="I580" s="40"/>
      <c r="J580" s="40"/>
    </row>
    <row r="581" spans="9:10" ht="15.75" customHeight="1" x14ac:dyDescent="0.25">
      <c r="I581" s="40"/>
      <c r="J581" s="40"/>
    </row>
    <row r="582" spans="9:10" ht="15.75" customHeight="1" x14ac:dyDescent="0.25">
      <c r="I582" s="40"/>
      <c r="J582" s="40"/>
    </row>
    <row r="583" spans="9:10" ht="15.75" customHeight="1" x14ac:dyDescent="0.25">
      <c r="I583" s="40"/>
      <c r="J583" s="40"/>
    </row>
    <row r="584" spans="9:10" ht="15.75" customHeight="1" x14ac:dyDescent="0.25">
      <c r="I584" s="40"/>
      <c r="J584" s="40"/>
    </row>
    <row r="585" spans="9:10" ht="15.75" customHeight="1" x14ac:dyDescent="0.25">
      <c r="I585" s="40"/>
      <c r="J585" s="40"/>
    </row>
    <row r="586" spans="9:10" ht="15.75" customHeight="1" x14ac:dyDescent="0.25">
      <c r="I586" s="40"/>
      <c r="J586" s="40"/>
    </row>
    <row r="587" spans="9:10" ht="15.75" customHeight="1" x14ac:dyDescent="0.25">
      <c r="I587" s="40"/>
      <c r="J587" s="40"/>
    </row>
    <row r="588" spans="9:10" ht="15.75" customHeight="1" x14ac:dyDescent="0.25">
      <c r="I588" s="40"/>
      <c r="J588" s="40"/>
    </row>
    <row r="589" spans="9:10" ht="15.75" customHeight="1" x14ac:dyDescent="0.25">
      <c r="I589" s="40"/>
      <c r="J589" s="40"/>
    </row>
    <row r="590" spans="9:10" ht="15.75" customHeight="1" x14ac:dyDescent="0.25">
      <c r="I590" s="40"/>
      <c r="J590" s="40"/>
    </row>
    <row r="591" spans="9:10" ht="15.75" customHeight="1" x14ac:dyDescent="0.25">
      <c r="I591" s="40"/>
      <c r="J591" s="40"/>
    </row>
    <row r="592" spans="9:10" ht="15.75" customHeight="1" x14ac:dyDescent="0.25">
      <c r="I592" s="40"/>
      <c r="J592" s="40"/>
    </row>
    <row r="593" spans="9:10" ht="15.75" customHeight="1" x14ac:dyDescent="0.25">
      <c r="I593" s="40"/>
      <c r="J593" s="40"/>
    </row>
    <row r="594" spans="9:10" ht="15.75" customHeight="1" x14ac:dyDescent="0.25">
      <c r="I594" s="40"/>
      <c r="J594" s="40"/>
    </row>
    <row r="595" spans="9:10" ht="15.75" customHeight="1" x14ac:dyDescent="0.25">
      <c r="I595" s="40"/>
      <c r="J595" s="40"/>
    </row>
    <row r="596" spans="9:10" ht="15.75" customHeight="1" x14ac:dyDescent="0.25">
      <c r="I596" s="40"/>
      <c r="J596" s="40"/>
    </row>
    <row r="597" spans="9:10" ht="15.75" customHeight="1" x14ac:dyDescent="0.25">
      <c r="I597" s="40"/>
      <c r="J597" s="40"/>
    </row>
    <row r="598" spans="9:10" ht="15.75" customHeight="1" x14ac:dyDescent="0.25">
      <c r="I598" s="40"/>
      <c r="J598" s="40"/>
    </row>
    <row r="599" spans="9:10" ht="15.75" customHeight="1" x14ac:dyDescent="0.25">
      <c r="I599" s="40"/>
      <c r="J599" s="40"/>
    </row>
    <row r="600" spans="9:10" ht="15.75" customHeight="1" x14ac:dyDescent="0.25">
      <c r="I600" s="40"/>
      <c r="J600" s="40"/>
    </row>
    <row r="601" spans="9:10" ht="15.75" customHeight="1" x14ac:dyDescent="0.25">
      <c r="I601" s="40"/>
      <c r="J601" s="40"/>
    </row>
    <row r="602" spans="9:10" ht="15.75" customHeight="1" x14ac:dyDescent="0.25">
      <c r="I602" s="40"/>
      <c r="J602" s="40"/>
    </row>
    <row r="603" spans="9:10" ht="15.75" customHeight="1" x14ac:dyDescent="0.25">
      <c r="I603" s="40"/>
      <c r="J603" s="40"/>
    </row>
    <row r="604" spans="9:10" ht="15.75" customHeight="1" x14ac:dyDescent="0.25">
      <c r="I604" s="40"/>
      <c r="J604" s="40"/>
    </row>
    <row r="605" spans="9:10" ht="15.75" customHeight="1" x14ac:dyDescent="0.25">
      <c r="I605" s="40"/>
      <c r="J605" s="40"/>
    </row>
    <row r="606" spans="9:10" ht="15.75" customHeight="1" x14ac:dyDescent="0.25">
      <c r="I606" s="40"/>
      <c r="J606" s="40"/>
    </row>
    <row r="607" spans="9:10" ht="15.75" customHeight="1" x14ac:dyDescent="0.25">
      <c r="I607" s="40"/>
      <c r="J607" s="40"/>
    </row>
    <row r="608" spans="9:10" ht="15.75" customHeight="1" x14ac:dyDescent="0.25">
      <c r="I608" s="40"/>
      <c r="J608" s="40"/>
    </row>
    <row r="609" spans="9:10" ht="15.75" customHeight="1" x14ac:dyDescent="0.25">
      <c r="I609" s="40"/>
      <c r="J609" s="40"/>
    </row>
    <row r="610" spans="9:10" ht="15.75" customHeight="1" x14ac:dyDescent="0.25">
      <c r="I610" s="40"/>
      <c r="J610" s="40"/>
    </row>
    <row r="611" spans="9:10" ht="15.75" customHeight="1" x14ac:dyDescent="0.25">
      <c r="I611" s="40"/>
      <c r="J611" s="40"/>
    </row>
    <row r="612" spans="9:10" ht="15.75" customHeight="1" x14ac:dyDescent="0.25">
      <c r="I612" s="40"/>
      <c r="J612" s="40"/>
    </row>
    <row r="613" spans="9:10" ht="15.75" customHeight="1" x14ac:dyDescent="0.25">
      <c r="I613" s="40"/>
      <c r="J613" s="40"/>
    </row>
    <row r="614" spans="9:10" ht="15.75" customHeight="1" x14ac:dyDescent="0.25">
      <c r="I614" s="40"/>
      <c r="J614" s="40"/>
    </row>
    <row r="615" spans="9:10" ht="15.75" customHeight="1" x14ac:dyDescent="0.25">
      <c r="I615" s="40"/>
      <c r="J615" s="40"/>
    </row>
    <row r="616" spans="9:10" ht="15.75" customHeight="1" x14ac:dyDescent="0.25">
      <c r="I616" s="40"/>
      <c r="J616" s="40"/>
    </row>
    <row r="617" spans="9:10" ht="15.75" customHeight="1" x14ac:dyDescent="0.25">
      <c r="I617" s="40"/>
      <c r="J617" s="40"/>
    </row>
    <row r="618" spans="9:10" ht="15.75" customHeight="1" x14ac:dyDescent="0.25">
      <c r="I618" s="40"/>
      <c r="J618" s="40"/>
    </row>
    <row r="619" spans="9:10" ht="15.75" customHeight="1" x14ac:dyDescent="0.25">
      <c r="I619" s="40"/>
      <c r="J619" s="40"/>
    </row>
    <row r="620" spans="9:10" ht="15.75" customHeight="1" x14ac:dyDescent="0.25">
      <c r="I620" s="40"/>
      <c r="J620" s="40"/>
    </row>
    <row r="621" spans="9:10" ht="15.75" customHeight="1" x14ac:dyDescent="0.25">
      <c r="I621" s="40"/>
      <c r="J621" s="40"/>
    </row>
    <row r="622" spans="9:10" ht="15.75" customHeight="1" x14ac:dyDescent="0.25">
      <c r="I622" s="40"/>
      <c r="J622" s="40"/>
    </row>
    <row r="623" spans="9:10" ht="15.75" customHeight="1" x14ac:dyDescent="0.25">
      <c r="I623" s="40"/>
      <c r="J623" s="40"/>
    </row>
    <row r="624" spans="9:10" ht="15.75" customHeight="1" x14ac:dyDescent="0.25">
      <c r="I624" s="40"/>
      <c r="J624" s="40"/>
    </row>
    <row r="625" spans="9:10" ht="15.75" customHeight="1" x14ac:dyDescent="0.25">
      <c r="I625" s="40"/>
      <c r="J625" s="40"/>
    </row>
    <row r="626" spans="9:10" ht="15.75" customHeight="1" x14ac:dyDescent="0.25">
      <c r="I626" s="40"/>
      <c r="J626" s="40"/>
    </row>
    <row r="627" spans="9:10" ht="15.75" customHeight="1" x14ac:dyDescent="0.25">
      <c r="I627" s="40"/>
      <c r="J627" s="40"/>
    </row>
    <row r="628" spans="9:10" ht="15.75" customHeight="1" x14ac:dyDescent="0.25">
      <c r="I628" s="40"/>
      <c r="J628" s="40"/>
    </row>
    <row r="629" spans="9:10" ht="15.75" customHeight="1" x14ac:dyDescent="0.25">
      <c r="I629" s="40"/>
      <c r="J629" s="40"/>
    </row>
    <row r="630" spans="9:10" ht="15.75" customHeight="1" x14ac:dyDescent="0.25">
      <c r="I630" s="40"/>
      <c r="J630" s="40"/>
    </row>
    <row r="631" spans="9:10" ht="15.75" customHeight="1" x14ac:dyDescent="0.25">
      <c r="I631" s="40"/>
      <c r="J631" s="40"/>
    </row>
    <row r="632" spans="9:10" ht="15.75" customHeight="1" x14ac:dyDescent="0.25">
      <c r="I632" s="40"/>
      <c r="J632" s="40"/>
    </row>
    <row r="633" spans="9:10" ht="15.75" customHeight="1" x14ac:dyDescent="0.25">
      <c r="I633" s="40"/>
      <c r="J633" s="40"/>
    </row>
    <row r="634" spans="9:10" ht="15.75" customHeight="1" x14ac:dyDescent="0.25">
      <c r="I634" s="40"/>
      <c r="J634" s="40"/>
    </row>
    <row r="635" spans="9:10" ht="15.75" customHeight="1" x14ac:dyDescent="0.25">
      <c r="I635" s="40"/>
      <c r="J635" s="40"/>
    </row>
    <row r="636" spans="9:10" ht="15.75" customHeight="1" x14ac:dyDescent="0.25">
      <c r="I636" s="40"/>
      <c r="J636" s="40"/>
    </row>
    <row r="637" spans="9:10" ht="15.75" customHeight="1" x14ac:dyDescent="0.25">
      <c r="I637" s="40"/>
      <c r="J637" s="40"/>
    </row>
    <row r="638" spans="9:10" ht="15.75" customHeight="1" x14ac:dyDescent="0.25">
      <c r="I638" s="40"/>
      <c r="J638" s="40"/>
    </row>
    <row r="639" spans="9:10" ht="15.75" customHeight="1" x14ac:dyDescent="0.25">
      <c r="I639" s="40"/>
      <c r="J639" s="40"/>
    </row>
    <row r="640" spans="9:10" ht="15.75" customHeight="1" x14ac:dyDescent="0.25">
      <c r="I640" s="40"/>
      <c r="J640" s="40"/>
    </row>
    <row r="641" spans="9:10" ht="15.75" customHeight="1" x14ac:dyDescent="0.25">
      <c r="I641" s="40"/>
      <c r="J641" s="40"/>
    </row>
    <row r="642" spans="9:10" ht="15.75" customHeight="1" x14ac:dyDescent="0.25">
      <c r="I642" s="40"/>
      <c r="J642" s="40"/>
    </row>
    <row r="643" spans="9:10" ht="15.75" customHeight="1" x14ac:dyDescent="0.25">
      <c r="I643" s="40"/>
      <c r="J643" s="40"/>
    </row>
    <row r="644" spans="9:10" ht="15.75" customHeight="1" x14ac:dyDescent="0.25">
      <c r="I644" s="40"/>
      <c r="J644" s="40"/>
    </row>
    <row r="645" spans="9:10" ht="15.75" customHeight="1" x14ac:dyDescent="0.25">
      <c r="I645" s="40"/>
      <c r="J645" s="40"/>
    </row>
    <row r="646" spans="9:10" ht="15.75" customHeight="1" x14ac:dyDescent="0.25">
      <c r="I646" s="40"/>
      <c r="J646" s="40"/>
    </row>
    <row r="647" spans="9:10" ht="15.75" customHeight="1" x14ac:dyDescent="0.25">
      <c r="I647" s="40"/>
      <c r="J647" s="40"/>
    </row>
    <row r="648" spans="9:10" ht="15.75" customHeight="1" x14ac:dyDescent="0.25">
      <c r="I648" s="40"/>
      <c r="J648" s="40"/>
    </row>
    <row r="649" spans="9:10" ht="15.75" customHeight="1" x14ac:dyDescent="0.25">
      <c r="I649" s="40"/>
      <c r="J649" s="40"/>
    </row>
    <row r="650" spans="9:10" ht="15.75" customHeight="1" x14ac:dyDescent="0.25">
      <c r="I650" s="40"/>
      <c r="J650" s="40"/>
    </row>
    <row r="651" spans="9:10" ht="15.75" customHeight="1" x14ac:dyDescent="0.25">
      <c r="I651" s="40"/>
      <c r="J651" s="40"/>
    </row>
    <row r="652" spans="9:10" ht="15.75" customHeight="1" x14ac:dyDescent="0.25">
      <c r="I652" s="40"/>
      <c r="J652" s="40"/>
    </row>
    <row r="653" spans="9:10" ht="15.75" customHeight="1" x14ac:dyDescent="0.25">
      <c r="I653" s="40"/>
      <c r="J653" s="40"/>
    </row>
    <row r="654" spans="9:10" ht="15.75" customHeight="1" x14ac:dyDescent="0.25">
      <c r="I654" s="40"/>
      <c r="J654" s="40"/>
    </row>
    <row r="655" spans="9:10" ht="15.75" customHeight="1" x14ac:dyDescent="0.25">
      <c r="I655" s="40"/>
      <c r="J655" s="40"/>
    </row>
    <row r="656" spans="9:10" ht="15.75" customHeight="1" x14ac:dyDescent="0.25">
      <c r="I656" s="40"/>
      <c r="J656" s="40"/>
    </row>
    <row r="657" spans="9:10" ht="15.75" customHeight="1" x14ac:dyDescent="0.25">
      <c r="I657" s="40"/>
      <c r="J657" s="40"/>
    </row>
    <row r="658" spans="9:10" ht="15.75" customHeight="1" x14ac:dyDescent="0.25">
      <c r="I658" s="40"/>
      <c r="J658" s="40"/>
    </row>
    <row r="659" spans="9:10" ht="15.75" customHeight="1" x14ac:dyDescent="0.25">
      <c r="I659" s="40"/>
      <c r="J659" s="40"/>
    </row>
    <row r="660" spans="9:10" ht="15.75" customHeight="1" x14ac:dyDescent="0.25">
      <c r="I660" s="40"/>
      <c r="J660" s="40"/>
    </row>
    <row r="661" spans="9:10" ht="15.75" customHeight="1" x14ac:dyDescent="0.25">
      <c r="I661" s="40"/>
      <c r="J661" s="40"/>
    </row>
    <row r="662" spans="9:10" ht="15.75" customHeight="1" x14ac:dyDescent="0.25">
      <c r="I662" s="40"/>
      <c r="J662" s="40"/>
    </row>
    <row r="663" spans="9:10" ht="15.75" customHeight="1" x14ac:dyDescent="0.25">
      <c r="I663" s="40"/>
      <c r="J663" s="40"/>
    </row>
    <row r="664" spans="9:10" ht="15.75" customHeight="1" x14ac:dyDescent="0.25">
      <c r="I664" s="40"/>
      <c r="J664" s="40"/>
    </row>
    <row r="665" spans="9:10" ht="15.75" customHeight="1" x14ac:dyDescent="0.25">
      <c r="I665" s="40"/>
      <c r="J665" s="40"/>
    </row>
    <row r="666" spans="9:10" ht="15.75" customHeight="1" x14ac:dyDescent="0.25">
      <c r="I666" s="40"/>
      <c r="J666" s="40"/>
    </row>
    <row r="667" spans="9:10" ht="15.75" customHeight="1" x14ac:dyDescent="0.25">
      <c r="I667" s="40"/>
      <c r="J667" s="40"/>
    </row>
    <row r="668" spans="9:10" ht="15.75" customHeight="1" x14ac:dyDescent="0.25">
      <c r="I668" s="40"/>
      <c r="J668" s="40"/>
    </row>
    <row r="669" spans="9:10" ht="15.75" customHeight="1" x14ac:dyDescent="0.25">
      <c r="I669" s="40"/>
      <c r="J669" s="40"/>
    </row>
    <row r="670" spans="9:10" ht="15.75" customHeight="1" x14ac:dyDescent="0.25">
      <c r="I670" s="40"/>
      <c r="J670" s="40"/>
    </row>
    <row r="671" spans="9:10" ht="15.75" customHeight="1" x14ac:dyDescent="0.25">
      <c r="I671" s="40"/>
      <c r="J671" s="40"/>
    </row>
    <row r="672" spans="9:10" ht="15.75" customHeight="1" x14ac:dyDescent="0.25">
      <c r="I672" s="40"/>
      <c r="J672" s="40"/>
    </row>
    <row r="673" spans="9:10" ht="15.75" customHeight="1" x14ac:dyDescent="0.25">
      <c r="I673" s="40"/>
      <c r="J673" s="40"/>
    </row>
    <row r="674" spans="9:10" ht="15.75" customHeight="1" x14ac:dyDescent="0.25">
      <c r="I674" s="40"/>
      <c r="J674" s="40"/>
    </row>
    <row r="675" spans="9:10" ht="15.75" customHeight="1" x14ac:dyDescent="0.25">
      <c r="I675" s="40"/>
      <c r="J675" s="40"/>
    </row>
    <row r="676" spans="9:10" ht="15.75" customHeight="1" x14ac:dyDescent="0.25">
      <c r="I676" s="40"/>
      <c r="J676" s="40"/>
    </row>
    <row r="677" spans="9:10" ht="15.75" customHeight="1" x14ac:dyDescent="0.25">
      <c r="I677" s="40"/>
      <c r="J677" s="40"/>
    </row>
    <row r="678" spans="9:10" ht="15.75" customHeight="1" x14ac:dyDescent="0.25">
      <c r="I678" s="40"/>
      <c r="J678" s="40"/>
    </row>
    <row r="679" spans="9:10" ht="15.75" customHeight="1" x14ac:dyDescent="0.25">
      <c r="I679" s="40"/>
      <c r="J679" s="40"/>
    </row>
    <row r="680" spans="9:10" ht="15.75" customHeight="1" x14ac:dyDescent="0.25">
      <c r="I680" s="40"/>
      <c r="J680" s="40"/>
    </row>
    <row r="681" spans="9:10" ht="15.75" customHeight="1" x14ac:dyDescent="0.25">
      <c r="I681" s="40"/>
      <c r="J681" s="40"/>
    </row>
    <row r="682" spans="9:10" ht="15.75" customHeight="1" x14ac:dyDescent="0.25">
      <c r="I682" s="40"/>
      <c r="J682" s="40"/>
    </row>
    <row r="683" spans="9:10" ht="15.75" customHeight="1" x14ac:dyDescent="0.25">
      <c r="I683" s="40"/>
      <c r="J683" s="40"/>
    </row>
    <row r="684" spans="9:10" ht="15.75" customHeight="1" x14ac:dyDescent="0.25">
      <c r="I684" s="40"/>
      <c r="J684" s="40"/>
    </row>
    <row r="685" spans="9:10" ht="15.75" customHeight="1" x14ac:dyDescent="0.25">
      <c r="I685" s="40"/>
      <c r="J685" s="40"/>
    </row>
    <row r="686" spans="9:10" ht="15.75" customHeight="1" x14ac:dyDescent="0.25">
      <c r="I686" s="40"/>
      <c r="J686" s="40"/>
    </row>
    <row r="687" spans="9:10" ht="15.75" customHeight="1" x14ac:dyDescent="0.25">
      <c r="I687" s="40"/>
      <c r="J687" s="40"/>
    </row>
    <row r="688" spans="9:10" ht="15.75" customHeight="1" x14ac:dyDescent="0.25">
      <c r="I688" s="40"/>
      <c r="J688" s="40"/>
    </row>
    <row r="689" spans="9:10" ht="15.75" customHeight="1" x14ac:dyDescent="0.25">
      <c r="I689" s="40"/>
      <c r="J689" s="40"/>
    </row>
    <row r="690" spans="9:10" ht="15.75" customHeight="1" x14ac:dyDescent="0.25">
      <c r="I690" s="40"/>
      <c r="J690" s="40"/>
    </row>
    <row r="691" spans="9:10" ht="15.75" customHeight="1" x14ac:dyDescent="0.25">
      <c r="I691" s="40"/>
      <c r="J691" s="40"/>
    </row>
    <row r="692" spans="9:10" ht="15.75" customHeight="1" x14ac:dyDescent="0.25">
      <c r="I692" s="40"/>
      <c r="J692" s="40"/>
    </row>
    <row r="693" spans="9:10" ht="15.75" customHeight="1" x14ac:dyDescent="0.25">
      <c r="I693" s="40"/>
      <c r="J693" s="40"/>
    </row>
    <row r="694" spans="9:10" ht="15.75" customHeight="1" x14ac:dyDescent="0.25">
      <c r="I694" s="40"/>
      <c r="J694" s="40"/>
    </row>
    <row r="695" spans="9:10" ht="15.75" customHeight="1" x14ac:dyDescent="0.25">
      <c r="I695" s="40"/>
      <c r="J695" s="40"/>
    </row>
    <row r="696" spans="9:10" ht="15.75" customHeight="1" x14ac:dyDescent="0.25">
      <c r="I696" s="40"/>
      <c r="J696" s="40"/>
    </row>
    <row r="697" spans="9:10" ht="15.75" customHeight="1" x14ac:dyDescent="0.25">
      <c r="I697" s="40"/>
      <c r="J697" s="40"/>
    </row>
    <row r="698" spans="9:10" ht="15.75" customHeight="1" x14ac:dyDescent="0.25">
      <c r="I698" s="40"/>
      <c r="J698" s="40"/>
    </row>
    <row r="699" spans="9:10" ht="15.75" customHeight="1" x14ac:dyDescent="0.25">
      <c r="I699" s="40"/>
      <c r="J699" s="40"/>
    </row>
    <row r="700" spans="9:10" ht="15.75" customHeight="1" x14ac:dyDescent="0.25">
      <c r="I700" s="40"/>
      <c r="J700" s="40"/>
    </row>
    <row r="701" spans="9:10" ht="15.75" customHeight="1" x14ac:dyDescent="0.25">
      <c r="I701" s="40"/>
      <c r="J701" s="40"/>
    </row>
    <row r="702" spans="9:10" ht="15.75" customHeight="1" x14ac:dyDescent="0.25">
      <c r="I702" s="40"/>
      <c r="J702" s="40"/>
    </row>
    <row r="703" spans="9:10" ht="15.75" customHeight="1" x14ac:dyDescent="0.25">
      <c r="I703" s="40"/>
      <c r="J703" s="40"/>
    </row>
    <row r="704" spans="9:10" ht="15.75" customHeight="1" x14ac:dyDescent="0.25">
      <c r="I704" s="40"/>
      <c r="J704" s="40"/>
    </row>
    <row r="705" spans="9:10" ht="15.75" customHeight="1" x14ac:dyDescent="0.25">
      <c r="I705" s="40"/>
      <c r="J705" s="40"/>
    </row>
    <row r="706" spans="9:10" ht="15.75" customHeight="1" x14ac:dyDescent="0.25">
      <c r="I706" s="40"/>
      <c r="J706" s="40"/>
    </row>
    <row r="707" spans="9:10" ht="15.75" customHeight="1" x14ac:dyDescent="0.25">
      <c r="I707" s="40"/>
      <c r="J707" s="40"/>
    </row>
    <row r="708" spans="9:10" ht="15.75" customHeight="1" x14ac:dyDescent="0.25">
      <c r="I708" s="40"/>
      <c r="J708" s="40"/>
    </row>
    <row r="709" spans="9:10" ht="15.75" customHeight="1" x14ac:dyDescent="0.25">
      <c r="I709" s="40"/>
      <c r="J709" s="40"/>
    </row>
    <row r="710" spans="9:10" ht="15.75" customHeight="1" x14ac:dyDescent="0.25">
      <c r="I710" s="40"/>
      <c r="J710" s="40"/>
    </row>
    <row r="711" spans="9:10" ht="15.75" customHeight="1" x14ac:dyDescent="0.25">
      <c r="I711" s="40"/>
      <c r="J711" s="40"/>
    </row>
    <row r="712" spans="9:10" ht="15.75" customHeight="1" x14ac:dyDescent="0.25">
      <c r="I712" s="40"/>
      <c r="J712" s="40"/>
    </row>
    <row r="713" spans="9:10" ht="15.75" customHeight="1" x14ac:dyDescent="0.25">
      <c r="I713" s="40"/>
      <c r="J713" s="40"/>
    </row>
    <row r="714" spans="9:10" ht="15.75" customHeight="1" x14ac:dyDescent="0.25">
      <c r="I714" s="40"/>
      <c r="J714" s="40"/>
    </row>
    <row r="715" spans="9:10" ht="15.75" customHeight="1" x14ac:dyDescent="0.25">
      <c r="I715" s="40"/>
      <c r="J715" s="40"/>
    </row>
    <row r="716" spans="9:10" ht="15.75" customHeight="1" x14ac:dyDescent="0.25">
      <c r="I716" s="40"/>
      <c r="J716" s="40"/>
    </row>
    <row r="717" spans="9:10" ht="15.75" customHeight="1" x14ac:dyDescent="0.25">
      <c r="I717" s="40"/>
      <c r="J717" s="40"/>
    </row>
    <row r="718" spans="9:10" ht="15.75" customHeight="1" x14ac:dyDescent="0.25">
      <c r="I718" s="40"/>
      <c r="J718" s="40"/>
    </row>
    <row r="719" spans="9:10" ht="15.75" customHeight="1" x14ac:dyDescent="0.25">
      <c r="I719" s="40"/>
      <c r="J719" s="40"/>
    </row>
    <row r="720" spans="9:10" ht="15.75" customHeight="1" x14ac:dyDescent="0.25">
      <c r="I720" s="40"/>
      <c r="J720" s="40"/>
    </row>
    <row r="721" spans="9:10" ht="15.75" customHeight="1" x14ac:dyDescent="0.25">
      <c r="I721" s="40"/>
      <c r="J721" s="40"/>
    </row>
    <row r="722" spans="9:10" ht="15.75" customHeight="1" x14ac:dyDescent="0.25">
      <c r="I722" s="40"/>
      <c r="J722" s="40"/>
    </row>
    <row r="723" spans="9:10" ht="15.75" customHeight="1" x14ac:dyDescent="0.25">
      <c r="I723" s="40"/>
      <c r="J723" s="40"/>
    </row>
    <row r="724" spans="9:10" ht="15.75" customHeight="1" x14ac:dyDescent="0.25">
      <c r="I724" s="40"/>
      <c r="J724" s="40"/>
    </row>
    <row r="725" spans="9:10" ht="15.75" customHeight="1" x14ac:dyDescent="0.25">
      <c r="I725" s="40"/>
      <c r="J725" s="40"/>
    </row>
    <row r="726" spans="9:10" ht="15.75" customHeight="1" x14ac:dyDescent="0.25">
      <c r="I726" s="40"/>
      <c r="J726" s="40"/>
    </row>
    <row r="727" spans="9:10" ht="15.75" customHeight="1" x14ac:dyDescent="0.25">
      <c r="I727" s="40"/>
      <c r="J727" s="40"/>
    </row>
    <row r="728" spans="9:10" ht="15.75" customHeight="1" x14ac:dyDescent="0.25">
      <c r="I728" s="40"/>
      <c r="J728" s="40"/>
    </row>
    <row r="729" spans="9:10" ht="15.75" customHeight="1" x14ac:dyDescent="0.25">
      <c r="I729" s="40"/>
      <c r="J729" s="40"/>
    </row>
    <row r="730" spans="9:10" ht="15.75" customHeight="1" x14ac:dyDescent="0.25">
      <c r="I730" s="40"/>
      <c r="J730" s="40"/>
    </row>
    <row r="731" spans="9:10" ht="15.75" customHeight="1" x14ac:dyDescent="0.25">
      <c r="I731" s="40"/>
      <c r="J731" s="40"/>
    </row>
    <row r="732" spans="9:10" ht="15.75" customHeight="1" x14ac:dyDescent="0.25">
      <c r="I732" s="40"/>
      <c r="J732" s="40"/>
    </row>
    <row r="733" spans="9:10" ht="15.75" customHeight="1" x14ac:dyDescent="0.25">
      <c r="I733" s="40"/>
      <c r="J733" s="40"/>
    </row>
    <row r="734" spans="9:10" ht="15.75" customHeight="1" x14ac:dyDescent="0.25">
      <c r="I734" s="40"/>
      <c r="J734" s="40"/>
    </row>
    <row r="735" spans="9:10" ht="15.75" customHeight="1" x14ac:dyDescent="0.25">
      <c r="I735" s="40"/>
      <c r="J735" s="40"/>
    </row>
    <row r="736" spans="9:10" ht="15.75" customHeight="1" x14ac:dyDescent="0.25">
      <c r="I736" s="40"/>
      <c r="J736" s="40"/>
    </row>
    <row r="737" spans="9:10" ht="15.75" customHeight="1" x14ac:dyDescent="0.25">
      <c r="I737" s="40"/>
      <c r="J737" s="40"/>
    </row>
    <row r="738" spans="9:10" ht="15.75" customHeight="1" x14ac:dyDescent="0.25">
      <c r="I738" s="40"/>
      <c r="J738" s="40"/>
    </row>
    <row r="739" spans="9:10" ht="15.75" customHeight="1" x14ac:dyDescent="0.25">
      <c r="I739" s="40"/>
      <c r="J739" s="40"/>
    </row>
    <row r="740" spans="9:10" ht="15.75" customHeight="1" x14ac:dyDescent="0.25">
      <c r="I740" s="40"/>
      <c r="J740" s="40"/>
    </row>
    <row r="741" spans="9:10" ht="15.75" customHeight="1" x14ac:dyDescent="0.25">
      <c r="I741" s="40"/>
      <c r="J741" s="40"/>
    </row>
    <row r="742" spans="9:10" ht="15.75" customHeight="1" x14ac:dyDescent="0.25">
      <c r="I742" s="40"/>
      <c r="J742" s="40"/>
    </row>
    <row r="743" spans="9:10" ht="15.75" customHeight="1" x14ac:dyDescent="0.25">
      <c r="I743" s="40"/>
      <c r="J743" s="40"/>
    </row>
    <row r="744" spans="9:10" ht="15.75" customHeight="1" x14ac:dyDescent="0.25">
      <c r="I744" s="40"/>
      <c r="J744" s="40"/>
    </row>
    <row r="745" spans="9:10" ht="15.75" customHeight="1" x14ac:dyDescent="0.25">
      <c r="I745" s="40"/>
      <c r="J745" s="40"/>
    </row>
    <row r="746" spans="9:10" ht="15.75" customHeight="1" x14ac:dyDescent="0.25">
      <c r="I746" s="40"/>
      <c r="J746" s="40"/>
    </row>
    <row r="747" spans="9:10" ht="15.75" customHeight="1" x14ac:dyDescent="0.25">
      <c r="I747" s="40"/>
      <c r="J747" s="40"/>
    </row>
    <row r="748" spans="9:10" ht="15.75" customHeight="1" x14ac:dyDescent="0.25">
      <c r="I748" s="40"/>
      <c r="J748" s="40"/>
    </row>
    <row r="749" spans="9:10" ht="15.75" customHeight="1" x14ac:dyDescent="0.25">
      <c r="I749" s="40"/>
      <c r="J749" s="40"/>
    </row>
    <row r="750" spans="9:10" ht="15.75" customHeight="1" x14ac:dyDescent="0.25">
      <c r="I750" s="40"/>
      <c r="J750" s="40"/>
    </row>
    <row r="751" spans="9:10" ht="15.75" customHeight="1" x14ac:dyDescent="0.25">
      <c r="I751" s="40"/>
      <c r="J751" s="40"/>
    </row>
    <row r="752" spans="9:10" ht="15.75" customHeight="1" x14ac:dyDescent="0.25">
      <c r="I752" s="40"/>
      <c r="J752" s="40"/>
    </row>
    <row r="753" spans="9:10" ht="15.75" customHeight="1" x14ac:dyDescent="0.25">
      <c r="I753" s="40"/>
      <c r="J753" s="40"/>
    </row>
    <row r="754" spans="9:10" ht="15.75" customHeight="1" x14ac:dyDescent="0.25">
      <c r="I754" s="40"/>
      <c r="J754" s="40"/>
    </row>
    <row r="755" spans="9:10" ht="15.75" customHeight="1" x14ac:dyDescent="0.25">
      <c r="I755" s="40"/>
      <c r="J755" s="40"/>
    </row>
    <row r="756" spans="9:10" ht="15.75" customHeight="1" x14ac:dyDescent="0.25">
      <c r="I756" s="40"/>
      <c r="J756" s="40"/>
    </row>
    <row r="757" spans="9:10" ht="15.75" customHeight="1" x14ac:dyDescent="0.25">
      <c r="I757" s="40"/>
      <c r="J757" s="40"/>
    </row>
    <row r="758" spans="9:10" ht="15.75" customHeight="1" x14ac:dyDescent="0.25">
      <c r="I758" s="40"/>
      <c r="J758" s="40"/>
    </row>
    <row r="759" spans="9:10" ht="15.75" customHeight="1" x14ac:dyDescent="0.25">
      <c r="I759" s="40"/>
      <c r="J759" s="40"/>
    </row>
    <row r="760" spans="9:10" ht="15.75" customHeight="1" x14ac:dyDescent="0.25">
      <c r="I760" s="40"/>
      <c r="J760" s="40"/>
    </row>
    <row r="761" spans="9:10" ht="15.75" customHeight="1" x14ac:dyDescent="0.25">
      <c r="I761" s="40"/>
      <c r="J761" s="40"/>
    </row>
    <row r="762" spans="9:10" ht="15.75" customHeight="1" x14ac:dyDescent="0.25">
      <c r="I762" s="40"/>
      <c r="J762" s="40"/>
    </row>
    <row r="763" spans="9:10" ht="15.75" customHeight="1" x14ac:dyDescent="0.25">
      <c r="I763" s="40"/>
      <c r="J763" s="40"/>
    </row>
    <row r="764" spans="9:10" ht="15.75" customHeight="1" x14ac:dyDescent="0.25">
      <c r="I764" s="40"/>
      <c r="J764" s="40"/>
    </row>
    <row r="765" spans="9:10" ht="15.75" customHeight="1" x14ac:dyDescent="0.25">
      <c r="I765" s="40"/>
      <c r="J765" s="40"/>
    </row>
    <row r="766" spans="9:10" ht="15.75" customHeight="1" x14ac:dyDescent="0.25">
      <c r="I766" s="40"/>
      <c r="J766" s="40"/>
    </row>
    <row r="767" spans="9:10" ht="15.75" customHeight="1" x14ac:dyDescent="0.25">
      <c r="I767" s="40"/>
      <c r="J767" s="40"/>
    </row>
    <row r="768" spans="9:10" ht="15.75" customHeight="1" x14ac:dyDescent="0.25">
      <c r="I768" s="40"/>
      <c r="J768" s="40"/>
    </row>
    <row r="769" spans="9:10" ht="15.75" customHeight="1" x14ac:dyDescent="0.25">
      <c r="I769" s="40"/>
      <c r="J769" s="40"/>
    </row>
    <row r="770" spans="9:10" ht="15.75" customHeight="1" x14ac:dyDescent="0.25">
      <c r="I770" s="40"/>
      <c r="J770" s="40"/>
    </row>
    <row r="771" spans="9:10" ht="15.75" customHeight="1" x14ac:dyDescent="0.25">
      <c r="I771" s="40"/>
      <c r="J771" s="40"/>
    </row>
    <row r="772" spans="9:10" ht="15.75" customHeight="1" x14ac:dyDescent="0.25">
      <c r="I772" s="40"/>
      <c r="J772" s="40"/>
    </row>
    <row r="773" spans="9:10" ht="15.75" customHeight="1" x14ac:dyDescent="0.25">
      <c r="I773" s="40"/>
      <c r="J773" s="40"/>
    </row>
    <row r="774" spans="9:10" ht="15.75" customHeight="1" x14ac:dyDescent="0.25">
      <c r="I774" s="40"/>
      <c r="J774" s="40"/>
    </row>
    <row r="775" spans="9:10" ht="15.75" customHeight="1" x14ac:dyDescent="0.25">
      <c r="I775" s="40"/>
      <c r="J775" s="40"/>
    </row>
    <row r="776" spans="9:10" ht="15.75" customHeight="1" x14ac:dyDescent="0.25">
      <c r="I776" s="40"/>
      <c r="J776" s="40"/>
    </row>
    <row r="777" spans="9:10" ht="15.75" customHeight="1" x14ac:dyDescent="0.25">
      <c r="I777" s="40"/>
      <c r="J777" s="40"/>
    </row>
    <row r="778" spans="9:10" ht="15.75" customHeight="1" x14ac:dyDescent="0.25">
      <c r="I778" s="40"/>
      <c r="J778" s="40"/>
    </row>
    <row r="779" spans="9:10" ht="15.75" customHeight="1" x14ac:dyDescent="0.25">
      <c r="I779" s="40"/>
      <c r="J779" s="40"/>
    </row>
    <row r="780" spans="9:10" ht="15.75" customHeight="1" x14ac:dyDescent="0.25">
      <c r="I780" s="40"/>
      <c r="J780" s="40"/>
    </row>
    <row r="781" spans="9:10" ht="15.75" customHeight="1" x14ac:dyDescent="0.25">
      <c r="I781" s="40"/>
      <c r="J781" s="40"/>
    </row>
    <row r="782" spans="9:10" ht="15.75" customHeight="1" x14ac:dyDescent="0.25">
      <c r="I782" s="40"/>
      <c r="J782" s="40"/>
    </row>
    <row r="783" spans="9:10" ht="15.75" customHeight="1" x14ac:dyDescent="0.25">
      <c r="I783" s="40"/>
      <c r="J783" s="40"/>
    </row>
    <row r="784" spans="9:10" ht="15.75" customHeight="1" x14ac:dyDescent="0.25">
      <c r="I784" s="40"/>
      <c r="J784" s="40"/>
    </row>
    <row r="785" spans="9:10" ht="15.75" customHeight="1" x14ac:dyDescent="0.25">
      <c r="I785" s="40"/>
      <c r="J785" s="40"/>
    </row>
    <row r="786" spans="9:10" ht="15.75" customHeight="1" x14ac:dyDescent="0.25">
      <c r="I786" s="40"/>
      <c r="J786" s="40"/>
    </row>
    <row r="787" spans="9:10" ht="15.75" customHeight="1" x14ac:dyDescent="0.25">
      <c r="I787" s="40"/>
      <c r="J787" s="40"/>
    </row>
    <row r="788" spans="9:10" ht="15.75" customHeight="1" x14ac:dyDescent="0.25">
      <c r="I788" s="40"/>
      <c r="J788" s="40"/>
    </row>
    <row r="789" spans="9:10" ht="15.75" customHeight="1" x14ac:dyDescent="0.25">
      <c r="I789" s="40"/>
      <c r="J789" s="40"/>
    </row>
    <row r="790" spans="9:10" ht="15.75" customHeight="1" x14ac:dyDescent="0.25">
      <c r="I790" s="40"/>
      <c r="J790" s="40"/>
    </row>
    <row r="791" spans="9:10" ht="15.75" customHeight="1" x14ac:dyDescent="0.25">
      <c r="I791" s="40"/>
      <c r="J791" s="40"/>
    </row>
    <row r="792" spans="9:10" ht="15.75" customHeight="1" x14ac:dyDescent="0.25">
      <c r="I792" s="40"/>
      <c r="J792" s="40"/>
    </row>
    <row r="793" spans="9:10" ht="15.75" customHeight="1" x14ac:dyDescent="0.25">
      <c r="I793" s="40"/>
      <c r="J793" s="40"/>
    </row>
    <row r="794" spans="9:10" ht="15.75" customHeight="1" x14ac:dyDescent="0.25">
      <c r="I794" s="40"/>
      <c r="J794" s="40"/>
    </row>
    <row r="795" spans="9:10" ht="15.75" customHeight="1" x14ac:dyDescent="0.25">
      <c r="I795" s="40"/>
      <c r="J795" s="40"/>
    </row>
    <row r="796" spans="9:10" ht="15.75" customHeight="1" x14ac:dyDescent="0.25">
      <c r="I796" s="40"/>
      <c r="J796" s="40"/>
    </row>
    <row r="797" spans="9:10" ht="15.75" customHeight="1" x14ac:dyDescent="0.25">
      <c r="I797" s="40"/>
      <c r="J797" s="40"/>
    </row>
    <row r="798" spans="9:10" ht="15.75" customHeight="1" x14ac:dyDescent="0.25">
      <c r="I798" s="40"/>
      <c r="J798" s="40"/>
    </row>
    <row r="799" spans="9:10" ht="15.75" customHeight="1" x14ac:dyDescent="0.25">
      <c r="I799" s="40"/>
      <c r="J799" s="40"/>
    </row>
    <row r="800" spans="9:10" ht="15.75" customHeight="1" x14ac:dyDescent="0.25">
      <c r="I800" s="40"/>
      <c r="J800" s="40"/>
    </row>
    <row r="801" spans="9:10" ht="15.75" customHeight="1" x14ac:dyDescent="0.25">
      <c r="I801" s="40"/>
      <c r="J801" s="40"/>
    </row>
    <row r="802" spans="9:10" ht="15.75" customHeight="1" x14ac:dyDescent="0.25">
      <c r="I802" s="40"/>
      <c r="J802" s="40"/>
    </row>
    <row r="803" spans="9:10" ht="15.75" customHeight="1" x14ac:dyDescent="0.25">
      <c r="I803" s="40"/>
      <c r="J803" s="40"/>
    </row>
    <row r="804" spans="9:10" ht="15.75" customHeight="1" x14ac:dyDescent="0.25">
      <c r="I804" s="40"/>
      <c r="J804" s="40"/>
    </row>
    <row r="805" spans="9:10" ht="15.75" customHeight="1" x14ac:dyDescent="0.25">
      <c r="I805" s="40"/>
      <c r="J805" s="40"/>
    </row>
    <row r="806" spans="9:10" ht="15.75" customHeight="1" x14ac:dyDescent="0.25">
      <c r="I806" s="40"/>
      <c r="J806" s="40"/>
    </row>
    <row r="807" spans="9:10" ht="15.75" customHeight="1" x14ac:dyDescent="0.25">
      <c r="I807" s="40"/>
      <c r="J807" s="40"/>
    </row>
    <row r="808" spans="9:10" ht="15.75" customHeight="1" x14ac:dyDescent="0.25">
      <c r="I808" s="40"/>
      <c r="J808" s="40"/>
    </row>
    <row r="809" spans="9:10" ht="15.75" customHeight="1" x14ac:dyDescent="0.25">
      <c r="I809" s="40"/>
      <c r="J809" s="40"/>
    </row>
    <row r="810" spans="9:10" ht="15.75" customHeight="1" x14ac:dyDescent="0.25">
      <c r="I810" s="40"/>
      <c r="J810" s="40"/>
    </row>
    <row r="811" spans="9:10" ht="15.75" customHeight="1" x14ac:dyDescent="0.25">
      <c r="I811" s="40"/>
      <c r="J811" s="40"/>
    </row>
    <row r="812" spans="9:10" ht="15.75" customHeight="1" x14ac:dyDescent="0.25">
      <c r="I812" s="40"/>
      <c r="J812" s="40"/>
    </row>
    <row r="813" spans="9:10" ht="15.75" customHeight="1" x14ac:dyDescent="0.25">
      <c r="I813" s="40"/>
      <c r="J813" s="40"/>
    </row>
    <row r="814" spans="9:10" ht="15.75" customHeight="1" x14ac:dyDescent="0.25">
      <c r="I814" s="40"/>
      <c r="J814" s="40"/>
    </row>
    <row r="815" spans="9:10" ht="15.75" customHeight="1" x14ac:dyDescent="0.25">
      <c r="I815" s="40"/>
      <c r="J815" s="40"/>
    </row>
    <row r="816" spans="9:10" ht="15.75" customHeight="1" x14ac:dyDescent="0.25">
      <c r="I816" s="40"/>
      <c r="J816" s="40"/>
    </row>
    <row r="817" spans="9:10" ht="15.75" customHeight="1" x14ac:dyDescent="0.25">
      <c r="I817" s="40"/>
      <c r="J817" s="40"/>
    </row>
    <row r="818" spans="9:10" ht="15.75" customHeight="1" x14ac:dyDescent="0.25">
      <c r="I818" s="40"/>
      <c r="J818" s="40"/>
    </row>
    <row r="819" spans="9:10" ht="15.75" customHeight="1" x14ac:dyDescent="0.25">
      <c r="I819" s="40"/>
      <c r="J819" s="40"/>
    </row>
    <row r="820" spans="9:10" ht="15.75" customHeight="1" x14ac:dyDescent="0.25">
      <c r="I820" s="40"/>
      <c r="J820" s="40"/>
    </row>
    <row r="821" spans="9:10" ht="15.75" customHeight="1" x14ac:dyDescent="0.25">
      <c r="I821" s="40"/>
      <c r="J821" s="40"/>
    </row>
    <row r="822" spans="9:10" ht="15.75" customHeight="1" x14ac:dyDescent="0.25">
      <c r="I822" s="40"/>
      <c r="J822" s="40"/>
    </row>
    <row r="823" spans="9:10" ht="15.75" customHeight="1" x14ac:dyDescent="0.25">
      <c r="I823" s="40"/>
      <c r="J823" s="40"/>
    </row>
    <row r="824" spans="9:10" ht="15.75" customHeight="1" x14ac:dyDescent="0.25">
      <c r="I824" s="40"/>
      <c r="J824" s="40"/>
    </row>
    <row r="825" spans="9:10" ht="15.75" customHeight="1" x14ac:dyDescent="0.25">
      <c r="I825" s="40"/>
      <c r="J825" s="40"/>
    </row>
    <row r="826" spans="9:10" ht="15.75" customHeight="1" x14ac:dyDescent="0.25">
      <c r="I826" s="40"/>
      <c r="J826" s="40"/>
    </row>
    <row r="827" spans="9:10" ht="15.75" customHeight="1" x14ac:dyDescent="0.25">
      <c r="I827" s="40"/>
      <c r="J827" s="40"/>
    </row>
    <row r="828" spans="9:10" ht="15.75" customHeight="1" x14ac:dyDescent="0.25">
      <c r="I828" s="40"/>
      <c r="J828" s="40"/>
    </row>
    <row r="829" spans="9:10" ht="15.75" customHeight="1" x14ac:dyDescent="0.25">
      <c r="I829" s="40"/>
      <c r="J829" s="40"/>
    </row>
    <row r="830" spans="9:10" ht="15.75" customHeight="1" x14ac:dyDescent="0.25">
      <c r="I830" s="40"/>
      <c r="J830" s="40"/>
    </row>
    <row r="831" spans="9:10" ht="15.75" customHeight="1" x14ac:dyDescent="0.25">
      <c r="I831" s="40"/>
      <c r="J831" s="40"/>
    </row>
    <row r="832" spans="9:10" ht="15.75" customHeight="1" x14ac:dyDescent="0.25">
      <c r="I832" s="40"/>
      <c r="J832" s="40"/>
    </row>
    <row r="833" spans="9:10" ht="15.75" customHeight="1" x14ac:dyDescent="0.25">
      <c r="I833" s="40"/>
      <c r="J833" s="40"/>
    </row>
    <row r="834" spans="9:10" ht="15.75" customHeight="1" x14ac:dyDescent="0.25">
      <c r="I834" s="40"/>
      <c r="J834" s="40"/>
    </row>
    <row r="835" spans="9:10" ht="15.75" customHeight="1" x14ac:dyDescent="0.25">
      <c r="I835" s="40"/>
      <c r="J835" s="40"/>
    </row>
    <row r="836" spans="9:10" ht="15.75" customHeight="1" x14ac:dyDescent="0.25">
      <c r="I836" s="40"/>
      <c r="J836" s="40"/>
    </row>
    <row r="837" spans="9:10" ht="15.75" customHeight="1" x14ac:dyDescent="0.25">
      <c r="I837" s="40"/>
      <c r="J837" s="40"/>
    </row>
    <row r="838" spans="9:10" ht="15.75" customHeight="1" x14ac:dyDescent="0.25">
      <c r="I838" s="40"/>
      <c r="J838" s="40"/>
    </row>
    <row r="839" spans="9:10" ht="15.75" customHeight="1" x14ac:dyDescent="0.25">
      <c r="I839" s="40"/>
      <c r="J839" s="40"/>
    </row>
    <row r="840" spans="9:10" ht="15.75" customHeight="1" x14ac:dyDescent="0.25">
      <c r="I840" s="40"/>
      <c r="J840" s="40"/>
    </row>
    <row r="841" spans="9:10" ht="15.75" customHeight="1" x14ac:dyDescent="0.25">
      <c r="I841" s="40"/>
      <c r="J841" s="40"/>
    </row>
    <row r="842" spans="9:10" ht="15.75" customHeight="1" x14ac:dyDescent="0.25">
      <c r="I842" s="40"/>
      <c r="J842" s="40"/>
    </row>
    <row r="843" spans="9:10" ht="15.75" customHeight="1" x14ac:dyDescent="0.25">
      <c r="I843" s="40"/>
      <c r="J843" s="40"/>
    </row>
    <row r="844" spans="9:10" ht="15.75" customHeight="1" x14ac:dyDescent="0.25">
      <c r="I844" s="40"/>
      <c r="J844" s="40"/>
    </row>
    <row r="845" spans="9:10" ht="15.75" customHeight="1" x14ac:dyDescent="0.25">
      <c r="I845" s="40"/>
      <c r="J845" s="40"/>
    </row>
    <row r="846" spans="9:10" ht="15.75" customHeight="1" x14ac:dyDescent="0.25">
      <c r="I846" s="40"/>
      <c r="J846" s="40"/>
    </row>
    <row r="847" spans="9:10" ht="15.75" customHeight="1" x14ac:dyDescent="0.25">
      <c r="I847" s="40"/>
      <c r="J847" s="40"/>
    </row>
    <row r="848" spans="9:10" ht="15.75" customHeight="1" x14ac:dyDescent="0.25">
      <c r="I848" s="40"/>
      <c r="J848" s="40"/>
    </row>
    <row r="849" spans="9:10" ht="15.75" customHeight="1" x14ac:dyDescent="0.25">
      <c r="I849" s="40"/>
      <c r="J849" s="40"/>
    </row>
    <row r="850" spans="9:10" ht="15.75" customHeight="1" x14ac:dyDescent="0.25">
      <c r="I850" s="40"/>
      <c r="J850" s="40"/>
    </row>
    <row r="851" spans="9:10" ht="15.75" customHeight="1" x14ac:dyDescent="0.25">
      <c r="I851" s="40"/>
      <c r="J851" s="40"/>
    </row>
    <row r="852" spans="9:10" ht="15.75" customHeight="1" x14ac:dyDescent="0.25">
      <c r="I852" s="40"/>
      <c r="J852" s="40"/>
    </row>
    <row r="853" spans="9:10" ht="15.75" customHeight="1" x14ac:dyDescent="0.25">
      <c r="I853" s="40"/>
      <c r="J853" s="40"/>
    </row>
    <row r="854" spans="9:10" ht="15.75" customHeight="1" x14ac:dyDescent="0.25">
      <c r="I854" s="40"/>
      <c r="J854" s="40"/>
    </row>
    <row r="855" spans="9:10" ht="15.75" customHeight="1" x14ac:dyDescent="0.25">
      <c r="I855" s="40"/>
      <c r="J855" s="40"/>
    </row>
    <row r="856" spans="9:10" ht="15.75" customHeight="1" x14ac:dyDescent="0.25">
      <c r="I856" s="40"/>
      <c r="J856" s="40"/>
    </row>
    <row r="857" spans="9:10" ht="15.75" customHeight="1" x14ac:dyDescent="0.25">
      <c r="I857" s="40"/>
      <c r="J857" s="40"/>
    </row>
    <row r="858" spans="9:10" ht="15.75" customHeight="1" x14ac:dyDescent="0.25">
      <c r="I858" s="40"/>
      <c r="J858" s="40"/>
    </row>
    <row r="859" spans="9:10" ht="15.75" customHeight="1" x14ac:dyDescent="0.25">
      <c r="I859" s="40"/>
      <c r="J859" s="40"/>
    </row>
    <row r="860" spans="9:10" ht="15.75" customHeight="1" x14ac:dyDescent="0.25">
      <c r="I860" s="40"/>
      <c r="J860" s="40"/>
    </row>
    <row r="861" spans="9:10" ht="15.75" customHeight="1" x14ac:dyDescent="0.25">
      <c r="I861" s="40"/>
      <c r="J861" s="40"/>
    </row>
    <row r="862" spans="9:10" ht="15.75" customHeight="1" x14ac:dyDescent="0.25">
      <c r="I862" s="40"/>
      <c r="J862" s="40"/>
    </row>
    <row r="863" spans="9:10" ht="15.75" customHeight="1" x14ac:dyDescent="0.25">
      <c r="I863" s="40"/>
      <c r="J863" s="40"/>
    </row>
    <row r="864" spans="9:10" ht="15.75" customHeight="1" x14ac:dyDescent="0.25">
      <c r="I864" s="40"/>
      <c r="J864" s="40"/>
    </row>
    <row r="865" spans="9:10" ht="15.75" customHeight="1" x14ac:dyDescent="0.25">
      <c r="I865" s="40"/>
      <c r="J865" s="40"/>
    </row>
    <row r="866" spans="9:10" ht="15.75" customHeight="1" x14ac:dyDescent="0.25">
      <c r="I866" s="40"/>
      <c r="J866" s="40"/>
    </row>
    <row r="867" spans="9:10" ht="15.75" customHeight="1" x14ac:dyDescent="0.25">
      <c r="I867" s="40"/>
      <c r="J867" s="40"/>
    </row>
    <row r="868" spans="9:10" ht="15.75" customHeight="1" x14ac:dyDescent="0.25">
      <c r="I868" s="40"/>
      <c r="J868" s="40"/>
    </row>
    <row r="869" spans="9:10" ht="15.75" customHeight="1" x14ac:dyDescent="0.25">
      <c r="I869" s="40"/>
      <c r="J869" s="40"/>
    </row>
    <row r="870" spans="9:10" ht="15.75" customHeight="1" x14ac:dyDescent="0.25">
      <c r="I870" s="40"/>
      <c r="J870" s="40"/>
    </row>
    <row r="871" spans="9:10" ht="15.75" customHeight="1" x14ac:dyDescent="0.25">
      <c r="I871" s="40"/>
      <c r="J871" s="40"/>
    </row>
    <row r="872" spans="9:10" ht="15.75" customHeight="1" x14ac:dyDescent="0.25">
      <c r="I872" s="40"/>
      <c r="J872" s="40"/>
    </row>
    <row r="873" spans="9:10" ht="15.75" customHeight="1" x14ac:dyDescent="0.25">
      <c r="I873" s="40"/>
      <c r="J873" s="40"/>
    </row>
    <row r="874" spans="9:10" ht="15.75" customHeight="1" x14ac:dyDescent="0.25">
      <c r="I874" s="40"/>
      <c r="J874" s="40"/>
    </row>
    <row r="875" spans="9:10" ht="15.75" customHeight="1" x14ac:dyDescent="0.25">
      <c r="I875" s="40"/>
      <c r="J875" s="40"/>
    </row>
    <row r="876" spans="9:10" ht="15.75" customHeight="1" x14ac:dyDescent="0.25">
      <c r="I876" s="40"/>
      <c r="J876" s="40"/>
    </row>
    <row r="877" spans="9:10" ht="15.75" customHeight="1" x14ac:dyDescent="0.25">
      <c r="I877" s="40"/>
      <c r="J877" s="40"/>
    </row>
    <row r="878" spans="9:10" ht="15.75" customHeight="1" x14ac:dyDescent="0.25">
      <c r="I878" s="40"/>
      <c r="J878" s="40"/>
    </row>
    <row r="879" spans="9:10" ht="15.75" customHeight="1" x14ac:dyDescent="0.25">
      <c r="I879" s="40"/>
      <c r="J879" s="40"/>
    </row>
    <row r="880" spans="9:10" ht="15.75" customHeight="1" x14ac:dyDescent="0.25">
      <c r="I880" s="40"/>
      <c r="J880" s="40"/>
    </row>
    <row r="881" spans="9:10" ht="15.75" customHeight="1" x14ac:dyDescent="0.25">
      <c r="I881" s="40"/>
      <c r="J881" s="40"/>
    </row>
    <row r="882" spans="9:10" ht="15.75" customHeight="1" x14ac:dyDescent="0.25">
      <c r="I882" s="40"/>
      <c r="J882" s="40"/>
    </row>
    <row r="883" spans="9:10" ht="15.75" customHeight="1" x14ac:dyDescent="0.25">
      <c r="I883" s="40"/>
      <c r="J883" s="40"/>
    </row>
    <row r="884" spans="9:10" ht="15.75" customHeight="1" x14ac:dyDescent="0.25">
      <c r="I884" s="40"/>
      <c r="J884" s="40"/>
    </row>
    <row r="885" spans="9:10" ht="15.75" customHeight="1" x14ac:dyDescent="0.25">
      <c r="I885" s="40"/>
      <c r="J885" s="40"/>
    </row>
    <row r="886" spans="9:10" ht="15.75" customHeight="1" x14ac:dyDescent="0.25">
      <c r="I886" s="40"/>
      <c r="J886" s="40"/>
    </row>
    <row r="887" spans="9:10" ht="15.75" customHeight="1" x14ac:dyDescent="0.25">
      <c r="I887" s="40"/>
      <c r="J887" s="40"/>
    </row>
    <row r="888" spans="9:10" ht="15.75" customHeight="1" x14ac:dyDescent="0.25">
      <c r="I888" s="40"/>
      <c r="J888" s="40"/>
    </row>
    <row r="889" spans="9:10" ht="15.75" customHeight="1" x14ac:dyDescent="0.25">
      <c r="I889" s="40"/>
      <c r="J889" s="40"/>
    </row>
    <row r="890" spans="9:10" ht="15.75" customHeight="1" x14ac:dyDescent="0.25">
      <c r="I890" s="40"/>
      <c r="J890" s="40"/>
    </row>
    <row r="891" spans="9:10" ht="15.75" customHeight="1" x14ac:dyDescent="0.25">
      <c r="I891" s="40"/>
      <c r="J891" s="40"/>
    </row>
    <row r="892" spans="9:10" ht="15.75" customHeight="1" x14ac:dyDescent="0.25">
      <c r="I892" s="40"/>
      <c r="J892" s="40"/>
    </row>
    <row r="893" spans="9:10" ht="15.75" customHeight="1" x14ac:dyDescent="0.25">
      <c r="I893" s="40"/>
      <c r="J893" s="40"/>
    </row>
    <row r="894" spans="9:10" ht="15.75" customHeight="1" x14ac:dyDescent="0.25">
      <c r="I894" s="40"/>
      <c r="J894" s="40"/>
    </row>
    <row r="895" spans="9:10" ht="15.75" customHeight="1" x14ac:dyDescent="0.25">
      <c r="I895" s="40"/>
      <c r="J895" s="40"/>
    </row>
    <row r="896" spans="9:10" ht="15.75" customHeight="1" x14ac:dyDescent="0.25">
      <c r="I896" s="40"/>
      <c r="J896" s="40"/>
    </row>
    <row r="897" spans="9:10" ht="15.75" customHeight="1" x14ac:dyDescent="0.25">
      <c r="I897" s="40"/>
      <c r="J897" s="40"/>
    </row>
    <row r="898" spans="9:10" ht="15.75" customHeight="1" x14ac:dyDescent="0.25">
      <c r="I898" s="40"/>
      <c r="J898" s="40"/>
    </row>
    <row r="899" spans="9:10" ht="15.75" customHeight="1" x14ac:dyDescent="0.25">
      <c r="I899" s="40"/>
      <c r="J899" s="40"/>
    </row>
    <row r="900" spans="9:10" ht="15.75" customHeight="1" x14ac:dyDescent="0.25">
      <c r="I900" s="40"/>
      <c r="J900" s="40"/>
    </row>
    <row r="901" spans="9:10" ht="15.75" customHeight="1" x14ac:dyDescent="0.25">
      <c r="I901" s="40"/>
      <c r="J901" s="40"/>
    </row>
    <row r="902" spans="9:10" ht="15.75" customHeight="1" x14ac:dyDescent="0.25">
      <c r="I902" s="40"/>
      <c r="J902" s="40"/>
    </row>
    <row r="903" spans="9:10" ht="15.75" customHeight="1" x14ac:dyDescent="0.25">
      <c r="I903" s="40"/>
      <c r="J903" s="40"/>
    </row>
    <row r="904" spans="9:10" ht="15.75" customHeight="1" x14ac:dyDescent="0.25">
      <c r="I904" s="40"/>
      <c r="J904" s="40"/>
    </row>
    <row r="905" spans="9:10" ht="15.75" customHeight="1" x14ac:dyDescent="0.25">
      <c r="I905" s="40"/>
      <c r="J905" s="40"/>
    </row>
    <row r="906" spans="9:10" ht="15.75" customHeight="1" x14ac:dyDescent="0.25">
      <c r="I906" s="40"/>
      <c r="J906" s="40"/>
    </row>
    <row r="907" spans="9:10" ht="15.75" customHeight="1" x14ac:dyDescent="0.25">
      <c r="I907" s="40"/>
      <c r="J907" s="40"/>
    </row>
    <row r="908" spans="9:10" ht="15.75" customHeight="1" x14ac:dyDescent="0.25">
      <c r="I908" s="40"/>
      <c r="J908" s="40"/>
    </row>
    <row r="909" spans="9:10" ht="15.75" customHeight="1" x14ac:dyDescent="0.25">
      <c r="I909" s="40"/>
      <c r="J909" s="40"/>
    </row>
    <row r="910" spans="9:10" ht="15.75" customHeight="1" x14ac:dyDescent="0.25">
      <c r="I910" s="40"/>
      <c r="J910" s="40"/>
    </row>
    <row r="911" spans="9:10" ht="15.75" customHeight="1" x14ac:dyDescent="0.25">
      <c r="I911" s="40"/>
      <c r="J911" s="40"/>
    </row>
    <row r="912" spans="9:10" ht="15.75" customHeight="1" x14ac:dyDescent="0.25">
      <c r="I912" s="40"/>
      <c r="J912" s="40"/>
    </row>
    <row r="913" spans="9:10" ht="15.75" customHeight="1" x14ac:dyDescent="0.25">
      <c r="I913" s="40"/>
      <c r="J913" s="40"/>
    </row>
    <row r="914" spans="9:10" ht="15.75" customHeight="1" x14ac:dyDescent="0.25">
      <c r="I914" s="40"/>
      <c r="J914" s="40"/>
    </row>
    <row r="915" spans="9:10" ht="15.75" customHeight="1" x14ac:dyDescent="0.25">
      <c r="I915" s="40"/>
      <c r="J915" s="40"/>
    </row>
    <row r="916" spans="9:10" ht="15.75" customHeight="1" x14ac:dyDescent="0.25">
      <c r="I916" s="40"/>
      <c r="J916" s="40"/>
    </row>
    <row r="917" spans="9:10" ht="15.75" customHeight="1" x14ac:dyDescent="0.25">
      <c r="I917" s="40"/>
      <c r="J917" s="40"/>
    </row>
    <row r="918" spans="9:10" ht="15.75" customHeight="1" x14ac:dyDescent="0.25">
      <c r="I918" s="40"/>
      <c r="J918" s="40"/>
    </row>
    <row r="919" spans="9:10" ht="15.75" customHeight="1" x14ac:dyDescent="0.25">
      <c r="I919" s="40"/>
      <c r="J919" s="40"/>
    </row>
    <row r="920" spans="9:10" ht="15.75" customHeight="1" x14ac:dyDescent="0.25">
      <c r="I920" s="40"/>
      <c r="J920" s="40"/>
    </row>
    <row r="921" spans="9:10" ht="15.75" customHeight="1" x14ac:dyDescent="0.25">
      <c r="I921" s="40"/>
      <c r="J921" s="40"/>
    </row>
    <row r="922" spans="9:10" ht="15.75" customHeight="1" x14ac:dyDescent="0.25">
      <c r="I922" s="40"/>
      <c r="J922" s="40"/>
    </row>
    <row r="923" spans="9:10" ht="15.75" customHeight="1" x14ac:dyDescent="0.25">
      <c r="I923" s="40"/>
      <c r="J923" s="40"/>
    </row>
    <row r="924" spans="9:10" ht="15.75" customHeight="1" x14ac:dyDescent="0.25">
      <c r="I924" s="40"/>
      <c r="J924" s="40"/>
    </row>
    <row r="925" spans="9:10" ht="15.75" customHeight="1" x14ac:dyDescent="0.25">
      <c r="I925" s="40"/>
      <c r="J925" s="40"/>
    </row>
    <row r="926" spans="9:10" ht="15.75" customHeight="1" x14ac:dyDescent="0.25">
      <c r="I926" s="40"/>
      <c r="J926" s="40"/>
    </row>
    <row r="927" spans="9:10" ht="15.75" customHeight="1" x14ac:dyDescent="0.25">
      <c r="I927" s="40"/>
      <c r="J927" s="40"/>
    </row>
    <row r="928" spans="9:10" ht="15.75" customHeight="1" x14ac:dyDescent="0.25">
      <c r="I928" s="40"/>
      <c r="J928" s="40"/>
    </row>
    <row r="929" spans="9:10" ht="15.75" customHeight="1" x14ac:dyDescent="0.25">
      <c r="I929" s="40"/>
      <c r="J929" s="40"/>
    </row>
    <row r="930" spans="9:10" ht="15.75" customHeight="1" x14ac:dyDescent="0.25">
      <c r="I930" s="40"/>
      <c r="J930" s="40"/>
    </row>
    <row r="931" spans="9:10" ht="15.75" customHeight="1" x14ac:dyDescent="0.25">
      <c r="I931" s="40"/>
      <c r="J931" s="40"/>
    </row>
    <row r="932" spans="9:10" ht="15.75" customHeight="1" x14ac:dyDescent="0.25">
      <c r="I932" s="40"/>
      <c r="J932" s="40"/>
    </row>
    <row r="933" spans="9:10" ht="15.75" customHeight="1" x14ac:dyDescent="0.25">
      <c r="I933" s="40"/>
      <c r="J933" s="40"/>
    </row>
    <row r="934" spans="9:10" ht="15.75" customHeight="1" x14ac:dyDescent="0.25">
      <c r="I934" s="40"/>
      <c r="J934" s="40"/>
    </row>
    <row r="935" spans="9:10" ht="15.75" customHeight="1" x14ac:dyDescent="0.25">
      <c r="I935" s="40"/>
      <c r="J935" s="40"/>
    </row>
    <row r="936" spans="9:10" ht="15.75" customHeight="1" x14ac:dyDescent="0.25">
      <c r="I936" s="40"/>
      <c r="J936" s="40"/>
    </row>
    <row r="937" spans="9:10" ht="15.75" customHeight="1" x14ac:dyDescent="0.25">
      <c r="I937" s="40"/>
      <c r="J937" s="40"/>
    </row>
    <row r="938" spans="9:10" ht="15.75" customHeight="1" x14ac:dyDescent="0.25">
      <c r="I938" s="40"/>
      <c r="J938" s="40"/>
    </row>
    <row r="939" spans="9:10" ht="15.75" customHeight="1" x14ac:dyDescent="0.25">
      <c r="I939" s="40"/>
      <c r="J939" s="40"/>
    </row>
    <row r="940" spans="9:10" ht="15.75" customHeight="1" x14ac:dyDescent="0.25">
      <c r="I940" s="40"/>
      <c r="J940" s="40"/>
    </row>
    <row r="941" spans="9:10" ht="15.75" customHeight="1" x14ac:dyDescent="0.25">
      <c r="I941" s="40"/>
      <c r="J941" s="40"/>
    </row>
    <row r="942" spans="9:10" ht="15.75" customHeight="1" x14ac:dyDescent="0.25">
      <c r="I942" s="40"/>
      <c r="J942" s="40"/>
    </row>
    <row r="943" spans="9:10" ht="15.75" customHeight="1" x14ac:dyDescent="0.25">
      <c r="I943" s="40"/>
      <c r="J943" s="40"/>
    </row>
    <row r="944" spans="9:10" ht="15.75" customHeight="1" x14ac:dyDescent="0.25">
      <c r="I944" s="40"/>
      <c r="J944" s="40"/>
    </row>
    <row r="945" spans="9:10" ht="15.75" customHeight="1" x14ac:dyDescent="0.25">
      <c r="I945" s="40"/>
      <c r="J945" s="40"/>
    </row>
    <row r="946" spans="9:10" ht="15.75" customHeight="1" x14ac:dyDescent="0.25">
      <c r="I946" s="40"/>
      <c r="J946" s="40"/>
    </row>
    <row r="947" spans="9:10" ht="15.75" customHeight="1" x14ac:dyDescent="0.25">
      <c r="I947" s="40"/>
      <c r="J947" s="40"/>
    </row>
    <row r="948" spans="9:10" ht="15.75" customHeight="1" x14ac:dyDescent="0.25">
      <c r="I948" s="40"/>
      <c r="J948" s="40"/>
    </row>
    <row r="949" spans="9:10" ht="15.75" customHeight="1" x14ac:dyDescent="0.25">
      <c r="I949" s="40"/>
      <c r="J949" s="40"/>
    </row>
    <row r="950" spans="9:10" ht="15.75" customHeight="1" x14ac:dyDescent="0.25">
      <c r="I950" s="40"/>
      <c r="J950" s="40"/>
    </row>
    <row r="951" spans="9:10" ht="15.75" customHeight="1" x14ac:dyDescent="0.25">
      <c r="I951" s="40"/>
      <c r="J951" s="40"/>
    </row>
    <row r="952" spans="9:10" ht="15.75" customHeight="1" x14ac:dyDescent="0.25">
      <c r="I952" s="40"/>
      <c r="J952" s="40"/>
    </row>
    <row r="953" spans="9:10" ht="15.75" customHeight="1" x14ac:dyDescent="0.25">
      <c r="I953" s="40"/>
      <c r="J953" s="40"/>
    </row>
    <row r="954" spans="9:10" ht="15.75" customHeight="1" x14ac:dyDescent="0.25">
      <c r="I954" s="40"/>
      <c r="J954" s="40"/>
    </row>
    <row r="955" spans="9:10" ht="15.75" customHeight="1" x14ac:dyDescent="0.25">
      <c r="I955" s="40"/>
      <c r="J955" s="40"/>
    </row>
    <row r="956" spans="9:10" ht="15.75" customHeight="1" x14ac:dyDescent="0.25">
      <c r="I956" s="40"/>
      <c r="J956" s="40"/>
    </row>
    <row r="957" spans="9:10" ht="15.75" customHeight="1" x14ac:dyDescent="0.25">
      <c r="I957" s="40"/>
      <c r="J957" s="40"/>
    </row>
    <row r="958" spans="9:10" ht="15.75" customHeight="1" x14ac:dyDescent="0.25">
      <c r="I958" s="40"/>
      <c r="J958" s="40"/>
    </row>
    <row r="959" spans="9:10" ht="15.75" customHeight="1" x14ac:dyDescent="0.25">
      <c r="I959" s="40"/>
      <c r="J959" s="40"/>
    </row>
    <row r="960" spans="9:10" ht="15.75" customHeight="1" x14ac:dyDescent="0.25">
      <c r="I960" s="40"/>
      <c r="J960" s="40"/>
    </row>
    <row r="961" spans="9:10" ht="15.75" customHeight="1" x14ac:dyDescent="0.25">
      <c r="I961" s="40"/>
      <c r="J961" s="40"/>
    </row>
    <row r="962" spans="9:10" ht="15.75" customHeight="1" x14ac:dyDescent="0.25">
      <c r="I962" s="40"/>
      <c r="J962" s="40"/>
    </row>
    <row r="963" spans="9:10" ht="15.75" customHeight="1" x14ac:dyDescent="0.25">
      <c r="I963" s="40"/>
      <c r="J963" s="40"/>
    </row>
    <row r="964" spans="9:10" ht="15.75" customHeight="1" x14ac:dyDescent="0.25">
      <c r="I964" s="40"/>
      <c r="J964" s="40"/>
    </row>
    <row r="965" spans="9:10" ht="15.75" customHeight="1" x14ac:dyDescent="0.25">
      <c r="I965" s="40"/>
      <c r="J965" s="40"/>
    </row>
    <row r="966" spans="9:10" ht="15.75" customHeight="1" x14ac:dyDescent="0.25">
      <c r="I966" s="40"/>
      <c r="J966" s="40"/>
    </row>
    <row r="967" spans="9:10" ht="15.75" customHeight="1" x14ac:dyDescent="0.25">
      <c r="I967" s="40"/>
      <c r="J967" s="40"/>
    </row>
    <row r="968" spans="9:10" ht="15.75" customHeight="1" x14ac:dyDescent="0.25">
      <c r="I968" s="40"/>
      <c r="J968" s="40"/>
    </row>
    <row r="969" spans="9:10" ht="15.75" customHeight="1" x14ac:dyDescent="0.25">
      <c r="I969" s="40"/>
      <c r="J969" s="40"/>
    </row>
    <row r="970" spans="9:10" ht="15.75" customHeight="1" x14ac:dyDescent="0.25">
      <c r="I970" s="40"/>
      <c r="J970" s="40"/>
    </row>
    <row r="971" spans="9:10" ht="15.75" customHeight="1" x14ac:dyDescent="0.25">
      <c r="I971" s="40"/>
      <c r="J971" s="40"/>
    </row>
    <row r="972" spans="9:10" ht="15.75" customHeight="1" x14ac:dyDescent="0.25">
      <c r="I972" s="40"/>
      <c r="J972" s="40"/>
    </row>
    <row r="973" spans="9:10" ht="15.75" customHeight="1" x14ac:dyDescent="0.25">
      <c r="I973" s="40"/>
      <c r="J973" s="40"/>
    </row>
    <row r="974" spans="9:10" ht="15.75" customHeight="1" x14ac:dyDescent="0.25">
      <c r="I974" s="40"/>
      <c r="J974" s="40"/>
    </row>
    <row r="975" spans="9:10" ht="15.75" customHeight="1" x14ac:dyDescent="0.25">
      <c r="I975" s="40"/>
      <c r="J975" s="40"/>
    </row>
    <row r="976" spans="9:10" ht="15.75" customHeight="1" x14ac:dyDescent="0.25">
      <c r="I976" s="40"/>
      <c r="J976" s="40"/>
    </row>
    <row r="977" spans="9:10" ht="15.75" customHeight="1" x14ac:dyDescent="0.25">
      <c r="I977" s="40"/>
      <c r="J977" s="40"/>
    </row>
    <row r="978" spans="9:10" ht="15.75" customHeight="1" x14ac:dyDescent="0.25">
      <c r="I978" s="40"/>
      <c r="J978" s="40"/>
    </row>
    <row r="979" spans="9:10" ht="15.75" customHeight="1" x14ac:dyDescent="0.25">
      <c r="I979" s="40"/>
      <c r="J979" s="40"/>
    </row>
    <row r="980" spans="9:10" ht="15.75" customHeight="1" x14ac:dyDescent="0.25">
      <c r="I980" s="40"/>
      <c r="J980" s="40"/>
    </row>
    <row r="981" spans="9:10" ht="15.75" customHeight="1" x14ac:dyDescent="0.25">
      <c r="I981" s="40"/>
      <c r="J981" s="40"/>
    </row>
    <row r="982" spans="9:10" ht="15.75" customHeight="1" x14ac:dyDescent="0.25">
      <c r="I982" s="40"/>
      <c r="J982" s="40"/>
    </row>
    <row r="983" spans="9:10" ht="15.75" customHeight="1" x14ac:dyDescent="0.25">
      <c r="I983" s="40"/>
      <c r="J983" s="40"/>
    </row>
    <row r="984" spans="9:10" ht="15.75" customHeight="1" x14ac:dyDescent="0.25">
      <c r="I984" s="40"/>
      <c r="J984" s="40"/>
    </row>
    <row r="985" spans="9:10" ht="15.75" customHeight="1" x14ac:dyDescent="0.25">
      <c r="I985" s="40"/>
      <c r="J985" s="40"/>
    </row>
    <row r="986" spans="9:10" ht="15.75" customHeight="1" x14ac:dyDescent="0.25">
      <c r="I986" s="40"/>
      <c r="J986" s="40"/>
    </row>
    <row r="987" spans="9:10" ht="15.75" customHeight="1" x14ac:dyDescent="0.25">
      <c r="I987" s="40"/>
      <c r="J987" s="40"/>
    </row>
    <row r="988" spans="9:10" ht="15.75" customHeight="1" x14ac:dyDescent="0.25">
      <c r="I988" s="40"/>
      <c r="J988" s="40"/>
    </row>
    <row r="989" spans="9:10" ht="15.75" customHeight="1" x14ac:dyDescent="0.25">
      <c r="I989" s="40"/>
      <c r="J989" s="40"/>
    </row>
    <row r="990" spans="9:10" ht="15.75" customHeight="1" x14ac:dyDescent="0.25">
      <c r="I990" s="40"/>
      <c r="J990" s="40"/>
    </row>
    <row r="991" spans="9:10" ht="15.75" customHeight="1" x14ac:dyDescent="0.25">
      <c r="I991" s="40"/>
      <c r="J991" s="40"/>
    </row>
    <row r="992" spans="9:10" ht="15.75" customHeight="1" x14ac:dyDescent="0.25">
      <c r="I992" s="40"/>
      <c r="J992" s="40"/>
    </row>
    <row r="993" spans="9:10" ht="15.75" customHeight="1" x14ac:dyDescent="0.25">
      <c r="I993" s="40"/>
      <c r="J993" s="40"/>
    </row>
    <row r="994" spans="9:10" ht="15.75" customHeight="1" x14ac:dyDescent="0.25">
      <c r="I994" s="40"/>
      <c r="J994" s="40"/>
    </row>
    <row r="995" spans="9:10" ht="15.75" customHeight="1" x14ac:dyDescent="0.25">
      <c r="I995" s="40"/>
      <c r="J995" s="40"/>
    </row>
    <row r="996" spans="9:10" ht="15.75" customHeight="1" x14ac:dyDescent="0.25">
      <c r="I996" s="40"/>
      <c r="J996" s="40"/>
    </row>
    <row r="997" spans="9:10" ht="15.75" customHeight="1" x14ac:dyDescent="0.25">
      <c r="I997" s="40"/>
      <c r="J997" s="40"/>
    </row>
    <row r="998" spans="9:10" ht="15.75" customHeight="1" x14ac:dyDescent="0.25">
      <c r="I998" s="40"/>
      <c r="J998" s="40"/>
    </row>
    <row r="999" spans="9:10" ht="15.75" customHeight="1" x14ac:dyDescent="0.25">
      <c r="I999" s="40"/>
      <c r="J999" s="40"/>
    </row>
    <row r="1000" spans="9:10" ht="15.75" customHeight="1" x14ac:dyDescent="0.25">
      <c r="I1000" s="40"/>
      <c r="J1000" s="40"/>
    </row>
    <row r="1001" spans="9:10" ht="15.75" customHeight="1" x14ac:dyDescent="0.25">
      <c r="I1001" s="40"/>
      <c r="J1001" s="40"/>
    </row>
    <row r="1002" spans="9:10" ht="15.75" customHeight="1" x14ac:dyDescent="0.25">
      <c r="I1002" s="40"/>
      <c r="J1002" s="40"/>
    </row>
    <row r="1003" spans="9:10" ht="15.75" customHeight="1" x14ac:dyDescent="0.25">
      <c r="I1003" s="40"/>
      <c r="J1003" s="40"/>
    </row>
    <row r="1004" spans="9:10" ht="15.75" customHeight="1" x14ac:dyDescent="0.25">
      <c r="I1004" s="40"/>
      <c r="J1004" s="40"/>
    </row>
    <row r="1005" spans="9:10" ht="15.75" customHeight="1" x14ac:dyDescent="0.25">
      <c r="I1005" s="40"/>
      <c r="J1005" s="40"/>
    </row>
    <row r="1006" spans="9:10" ht="15.75" customHeight="1" x14ac:dyDescent="0.25">
      <c r="I1006" s="40"/>
      <c r="J1006" s="40"/>
    </row>
    <row r="1007" spans="9:10" ht="15.75" customHeight="1" x14ac:dyDescent="0.25">
      <c r="I1007" s="40"/>
      <c r="J1007" s="40"/>
    </row>
    <row r="1008" spans="9:10" ht="15.75" customHeight="1" x14ac:dyDescent="0.25">
      <c r="I1008" s="40"/>
      <c r="J1008"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9"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46"/>
  <sheetViews>
    <sheetView view="pageBreakPreview" topLeftCell="A105" zoomScale="130" zoomScaleNormal="100" zoomScaleSheetLayoutView="130" workbookViewId="0">
      <selection activeCell="A68" sqref="A68"/>
    </sheetView>
  </sheetViews>
  <sheetFormatPr defaultColWidth="14.42578125" defaultRowHeight="15" customHeight="1" x14ac:dyDescent="0.25"/>
  <cols>
    <col min="1" max="1" width="73.42578125" customWidth="1"/>
    <col min="2" max="2" width="15" customWidth="1"/>
    <col min="3" max="6" width="17.28515625" hidden="1" customWidth="1"/>
    <col min="7" max="7" width="17.28515625" customWidth="1"/>
    <col min="8" max="26" width="10.28515625" customWidth="1"/>
  </cols>
  <sheetData>
    <row r="1" spans="1:26" ht="14.2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4.25" customHeight="1" x14ac:dyDescent="0.25">
      <c r="A2" s="861" t="s">
        <v>349</v>
      </c>
      <c r="B2" s="862"/>
      <c r="C2" s="862"/>
      <c r="D2" s="862"/>
      <c r="E2" s="862"/>
      <c r="F2" s="862"/>
      <c r="G2" s="863"/>
      <c r="H2" s="14"/>
      <c r="I2" s="15"/>
      <c r="J2" s="15"/>
      <c r="K2" s="167"/>
      <c r="L2" s="15"/>
      <c r="M2" s="15"/>
      <c r="N2" s="15"/>
      <c r="O2" s="15"/>
      <c r="P2" s="15"/>
      <c r="Q2" s="15"/>
      <c r="R2" s="15"/>
      <c r="S2" s="15"/>
      <c r="T2" s="15"/>
      <c r="U2" s="15"/>
      <c r="V2" s="15"/>
      <c r="W2" s="15"/>
      <c r="X2" s="15"/>
      <c r="Y2" s="15"/>
      <c r="Z2" s="15"/>
    </row>
    <row r="3" spans="1:26" ht="14.25" customHeight="1" x14ac:dyDescent="0.25">
      <c r="A3" s="864" t="s">
        <v>350</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2" customHeight="1" x14ac:dyDescent="0.25">
      <c r="A4" s="21"/>
      <c r="B4" s="18"/>
      <c r="C4" s="18"/>
      <c r="D4" s="18"/>
      <c r="E4" s="18"/>
      <c r="F4" s="18"/>
      <c r="G4" s="23"/>
      <c r="H4" s="14"/>
      <c r="I4" s="15"/>
      <c r="J4" s="15"/>
      <c r="K4" s="167"/>
      <c r="L4" s="15"/>
      <c r="M4" s="15"/>
      <c r="N4" s="15"/>
      <c r="O4" s="15"/>
      <c r="P4" s="15"/>
      <c r="Q4" s="15"/>
      <c r="R4" s="15"/>
      <c r="S4" s="15"/>
      <c r="T4" s="15"/>
      <c r="U4" s="15"/>
      <c r="V4" s="15"/>
      <c r="W4" s="15"/>
      <c r="X4" s="15"/>
      <c r="Y4" s="15"/>
      <c r="Z4" s="15"/>
    </row>
    <row r="5" spans="1:26" ht="14.25" customHeight="1" x14ac:dyDescent="0.25">
      <c r="A5" s="17" t="s">
        <v>1839</v>
      </c>
      <c r="B5" s="24"/>
      <c r="C5" s="25"/>
      <c r="D5" s="25"/>
      <c r="E5" s="25"/>
      <c r="F5" s="24"/>
      <c r="G5" s="19"/>
      <c r="H5" s="14"/>
      <c r="I5" s="15"/>
      <c r="J5" s="15"/>
      <c r="K5" s="167"/>
      <c r="L5" s="15"/>
      <c r="M5" s="15"/>
      <c r="N5" s="15"/>
      <c r="O5" s="15"/>
      <c r="P5" s="15"/>
      <c r="Q5" s="15"/>
      <c r="R5" s="15"/>
      <c r="S5" s="15"/>
      <c r="T5" s="15"/>
      <c r="U5" s="15"/>
      <c r="V5" s="15"/>
      <c r="W5" s="15"/>
      <c r="X5" s="15"/>
      <c r="Y5" s="15"/>
      <c r="Z5" s="15"/>
    </row>
    <row r="6" spans="1:26" ht="12" customHeight="1" x14ac:dyDescent="0.25">
      <c r="A6" s="17"/>
      <c r="B6" s="24"/>
      <c r="C6" s="25"/>
      <c r="D6" s="25"/>
      <c r="E6" s="25"/>
      <c r="F6" s="24"/>
      <c r="G6" s="19"/>
      <c r="H6" s="14"/>
      <c r="I6" s="15"/>
      <c r="J6" s="15"/>
      <c r="K6" s="167"/>
      <c r="L6" s="15"/>
      <c r="M6" s="15"/>
      <c r="N6" s="15"/>
      <c r="O6" s="15"/>
      <c r="P6" s="15"/>
      <c r="Q6" s="15"/>
      <c r="R6" s="15"/>
      <c r="S6" s="15"/>
      <c r="T6" s="15"/>
      <c r="U6" s="15"/>
      <c r="V6" s="15"/>
      <c r="W6" s="15"/>
      <c r="X6" s="15"/>
      <c r="Y6" s="15"/>
      <c r="Z6" s="15"/>
    </row>
    <row r="7" spans="1:26" ht="14.25" customHeight="1" x14ac:dyDescent="0.25">
      <c r="A7" s="865" t="s">
        <v>352</v>
      </c>
      <c r="B7" s="866"/>
      <c r="C7" s="866"/>
      <c r="D7" s="866"/>
      <c r="E7" s="866"/>
      <c r="F7" s="866"/>
      <c r="G7" s="867"/>
      <c r="H7" s="14"/>
      <c r="I7" s="15"/>
      <c r="J7" s="15"/>
      <c r="K7" s="167"/>
      <c r="L7" s="15"/>
      <c r="M7" s="15"/>
      <c r="N7" s="15"/>
      <c r="O7" s="15"/>
      <c r="P7" s="15"/>
      <c r="Q7" s="15"/>
      <c r="R7" s="15"/>
      <c r="S7" s="15"/>
      <c r="T7" s="15"/>
      <c r="U7" s="15"/>
      <c r="V7" s="15"/>
      <c r="W7" s="15"/>
      <c r="X7" s="15"/>
      <c r="Y7" s="15"/>
      <c r="Z7" s="15"/>
    </row>
    <row r="8" spans="1:26" ht="14.25" customHeight="1" x14ac:dyDescent="0.25">
      <c r="A8" s="868" t="s">
        <v>353</v>
      </c>
      <c r="B8" s="857" t="s">
        <v>354</v>
      </c>
      <c r="C8" s="870" t="s">
        <v>355</v>
      </c>
      <c r="D8" s="872" t="s">
        <v>356</v>
      </c>
      <c r="E8" s="873"/>
      <c r="F8" s="874"/>
      <c r="G8" s="857" t="s">
        <v>357</v>
      </c>
      <c r="H8" s="15"/>
      <c r="I8" s="15"/>
      <c r="J8" s="15"/>
      <c r="K8" s="167"/>
      <c r="L8" s="15"/>
      <c r="M8" s="15"/>
      <c r="N8" s="15"/>
      <c r="O8" s="15"/>
      <c r="P8" s="15"/>
      <c r="Q8" s="15"/>
      <c r="R8" s="15"/>
      <c r="S8" s="15"/>
      <c r="T8" s="15"/>
      <c r="U8" s="15"/>
      <c r="V8" s="15"/>
      <c r="W8" s="15"/>
      <c r="X8" s="15"/>
      <c r="Y8" s="15"/>
      <c r="Z8" s="15"/>
    </row>
    <row r="9" spans="1:26" ht="14.25" customHeight="1" x14ac:dyDescent="0.25">
      <c r="A9" s="858"/>
      <c r="B9" s="858"/>
      <c r="C9" s="871"/>
      <c r="D9" s="28" t="s">
        <v>358</v>
      </c>
      <c r="E9" s="29" t="s">
        <v>359</v>
      </c>
      <c r="F9" s="875" t="s">
        <v>360</v>
      </c>
      <c r="G9" s="858"/>
      <c r="H9" s="15"/>
      <c r="I9" s="15"/>
      <c r="J9" s="15"/>
      <c r="K9" s="167"/>
      <c r="L9" s="15"/>
      <c r="M9" s="15"/>
      <c r="N9" s="15"/>
      <c r="O9" s="15"/>
      <c r="P9" s="15"/>
      <c r="Q9" s="15"/>
      <c r="R9" s="15"/>
      <c r="S9" s="15"/>
      <c r="T9" s="15"/>
      <c r="U9" s="15"/>
      <c r="V9" s="15"/>
      <c r="W9" s="15"/>
      <c r="X9" s="15"/>
      <c r="Y9" s="15"/>
      <c r="Z9" s="15"/>
    </row>
    <row r="10" spans="1:26" ht="14.25" customHeight="1" x14ac:dyDescent="0.25">
      <c r="A10" s="858"/>
      <c r="B10" s="858"/>
      <c r="C10" s="30" t="s">
        <v>361</v>
      </c>
      <c r="D10" s="31" t="s">
        <v>361</v>
      </c>
      <c r="E10" s="32" t="s">
        <v>362</v>
      </c>
      <c r="F10" s="860"/>
      <c r="G10" s="442" t="s">
        <v>2669</v>
      </c>
      <c r="H10" s="15"/>
      <c r="I10" s="15"/>
      <c r="J10" s="15"/>
      <c r="K10" s="167"/>
      <c r="L10" s="15"/>
      <c r="M10" s="15"/>
      <c r="N10" s="15"/>
      <c r="O10" s="15"/>
      <c r="P10" s="15"/>
      <c r="Q10" s="15"/>
      <c r="R10" s="15"/>
      <c r="S10" s="15"/>
      <c r="T10" s="15"/>
      <c r="U10" s="15"/>
      <c r="V10" s="15"/>
      <c r="W10" s="15"/>
      <c r="X10" s="15"/>
      <c r="Y10" s="15"/>
      <c r="Z10" s="15"/>
    </row>
    <row r="11" spans="1:26" ht="14.25" customHeight="1" x14ac:dyDescent="0.25">
      <c r="A11" s="869"/>
      <c r="B11" s="869"/>
      <c r="C11" s="33">
        <v>2024</v>
      </c>
      <c r="D11" s="34">
        <v>2025</v>
      </c>
      <c r="E11" s="35">
        <v>2025</v>
      </c>
      <c r="F11" s="34">
        <v>2025</v>
      </c>
      <c r="G11" s="36" t="s">
        <v>2668</v>
      </c>
      <c r="H11" s="15"/>
      <c r="I11" s="15"/>
      <c r="J11" s="15"/>
      <c r="K11" s="167"/>
      <c r="L11" s="15"/>
      <c r="M11" s="15"/>
      <c r="N11" s="15"/>
      <c r="O11" s="15"/>
      <c r="P11" s="15"/>
      <c r="Q11" s="15"/>
      <c r="R11" s="15"/>
      <c r="S11" s="15"/>
      <c r="T11" s="15"/>
      <c r="U11" s="15"/>
      <c r="V11" s="15"/>
      <c r="W11" s="15"/>
      <c r="X11" s="15"/>
      <c r="Y11" s="15"/>
      <c r="Z11" s="15"/>
    </row>
    <row r="12" spans="1:26" ht="14.25" customHeight="1" x14ac:dyDescent="0.25">
      <c r="A12" s="17" t="s">
        <v>364</v>
      </c>
      <c r="B12" s="172"/>
      <c r="C12" s="42"/>
      <c r="D12" s="42"/>
      <c r="E12" s="42"/>
      <c r="F12" s="42"/>
      <c r="G12" s="42"/>
      <c r="H12" s="114"/>
      <c r="I12" s="114"/>
      <c r="J12" s="114"/>
      <c r="K12" s="212"/>
      <c r="L12" s="114"/>
      <c r="M12" s="114"/>
      <c r="N12" s="114"/>
      <c r="O12" s="114"/>
      <c r="P12" s="114"/>
      <c r="Q12" s="114"/>
      <c r="R12" s="114"/>
      <c r="S12" s="114"/>
      <c r="T12" s="114"/>
      <c r="U12" s="114"/>
      <c r="V12" s="114"/>
      <c r="W12" s="114"/>
      <c r="X12" s="114"/>
      <c r="Y12" s="114"/>
      <c r="Z12" s="114"/>
    </row>
    <row r="13" spans="1:26" ht="14.25" customHeight="1" x14ac:dyDescent="0.25">
      <c r="A13" s="17" t="s">
        <v>365</v>
      </c>
      <c r="B13" s="172"/>
      <c r="C13" s="42"/>
      <c r="D13" s="42"/>
      <c r="E13" s="42"/>
      <c r="F13" s="42"/>
      <c r="G13" s="42"/>
      <c r="H13" s="114"/>
      <c r="I13" s="114"/>
      <c r="J13" s="114"/>
      <c r="K13" s="212"/>
      <c r="L13" s="114"/>
      <c r="M13" s="114"/>
      <c r="N13" s="114"/>
      <c r="O13" s="114"/>
      <c r="P13" s="114"/>
      <c r="Q13" s="114"/>
      <c r="R13" s="114"/>
      <c r="S13" s="114"/>
      <c r="T13" s="114"/>
      <c r="U13" s="114"/>
      <c r="V13" s="114"/>
      <c r="W13" s="114"/>
      <c r="X13" s="114"/>
      <c r="Y13" s="114"/>
      <c r="Z13" s="114"/>
    </row>
    <row r="14" spans="1:26" ht="14.25" customHeight="1" x14ac:dyDescent="0.25">
      <c r="A14" s="17" t="s">
        <v>366</v>
      </c>
      <c r="B14" s="172"/>
      <c r="C14" s="42"/>
      <c r="D14" s="42"/>
      <c r="E14" s="42"/>
      <c r="F14" s="42"/>
      <c r="G14" s="42"/>
      <c r="H14" s="114"/>
      <c r="I14" s="114"/>
      <c r="J14" s="114"/>
      <c r="K14" s="212"/>
      <c r="L14" s="114"/>
      <c r="M14" s="114"/>
      <c r="N14" s="114"/>
      <c r="O14" s="114"/>
      <c r="P14" s="114"/>
      <c r="Q14" s="114"/>
      <c r="R14" s="114"/>
      <c r="S14" s="114"/>
      <c r="T14" s="114"/>
      <c r="U14" s="114"/>
      <c r="V14" s="114"/>
      <c r="W14" s="114"/>
      <c r="X14" s="114"/>
      <c r="Y14" s="114"/>
      <c r="Z14" s="114"/>
    </row>
    <row r="15" spans="1:26" ht="14.25" customHeight="1" x14ac:dyDescent="0.25">
      <c r="A15" s="44" t="s">
        <v>367</v>
      </c>
      <c r="B15" s="41" t="s">
        <v>121</v>
      </c>
      <c r="C15" s="43">
        <v>20925606.420000002</v>
      </c>
      <c r="D15" s="43">
        <v>9952777.5500000007</v>
      </c>
      <c r="E15" s="43">
        <f>F15-D15</f>
        <v>16222330.449999999</v>
      </c>
      <c r="F15" s="43">
        <v>26175108</v>
      </c>
      <c r="G15" s="43">
        <v>27495024</v>
      </c>
      <c r="H15" s="114"/>
      <c r="I15" s="114"/>
      <c r="J15" s="114"/>
      <c r="K15" s="212"/>
      <c r="L15" s="114"/>
      <c r="M15" s="114"/>
      <c r="N15" s="114"/>
      <c r="O15" s="114"/>
      <c r="P15" s="114"/>
      <c r="Q15" s="114"/>
      <c r="R15" s="114"/>
      <c r="S15" s="114"/>
      <c r="T15" s="114"/>
      <c r="U15" s="114"/>
      <c r="V15" s="114"/>
      <c r="W15" s="114"/>
      <c r="X15" s="114"/>
      <c r="Y15" s="114"/>
      <c r="Z15" s="114"/>
    </row>
    <row r="16" spans="1:26" ht="14.25" customHeight="1" x14ac:dyDescent="0.25">
      <c r="A16" s="17" t="s">
        <v>656</v>
      </c>
      <c r="B16" s="41"/>
      <c r="C16" s="43"/>
      <c r="D16" s="43"/>
      <c r="E16" s="43"/>
      <c r="F16" s="43"/>
      <c r="G16" s="43"/>
      <c r="H16" s="114"/>
      <c r="I16" s="114"/>
      <c r="J16" s="114"/>
      <c r="K16" s="212"/>
      <c r="L16" s="114"/>
      <c r="M16" s="114"/>
      <c r="N16" s="114"/>
      <c r="O16" s="114"/>
      <c r="P16" s="114"/>
      <c r="Q16" s="114"/>
      <c r="R16" s="114"/>
      <c r="S16" s="114"/>
      <c r="T16" s="114"/>
      <c r="U16" s="114"/>
      <c r="V16" s="114"/>
      <c r="W16" s="114"/>
      <c r="X16" s="114"/>
      <c r="Y16" s="114"/>
      <c r="Z16" s="114"/>
    </row>
    <row r="17" spans="1:26" ht="14.25" customHeight="1" x14ac:dyDescent="0.25">
      <c r="A17" s="44" t="s">
        <v>369</v>
      </c>
      <c r="B17" s="41" t="s">
        <v>125</v>
      </c>
      <c r="C17" s="43">
        <v>1683882.49</v>
      </c>
      <c r="D17" s="43">
        <v>822120.86</v>
      </c>
      <c r="E17" s="43">
        <f t="shared" ref="E17:E24" si="0">F17-D17</f>
        <v>1145879.1400000001</v>
      </c>
      <c r="F17" s="43">
        <v>1968000</v>
      </c>
      <c r="G17" s="43">
        <v>1968000</v>
      </c>
      <c r="H17" s="15"/>
      <c r="I17" s="15"/>
      <c r="J17" s="15"/>
      <c r="K17" s="167"/>
      <c r="L17" s="15"/>
      <c r="M17" s="15"/>
      <c r="N17" s="15"/>
      <c r="O17" s="15"/>
      <c r="P17" s="15"/>
      <c r="Q17" s="15"/>
      <c r="R17" s="15"/>
      <c r="S17" s="15"/>
      <c r="T17" s="15"/>
      <c r="U17" s="15"/>
      <c r="V17" s="15"/>
      <c r="W17" s="15"/>
      <c r="X17" s="15"/>
      <c r="Y17" s="15"/>
      <c r="Z17" s="15"/>
    </row>
    <row r="18" spans="1:26" ht="14.25" customHeight="1" x14ac:dyDescent="0.25">
      <c r="A18" s="44" t="s">
        <v>370</v>
      </c>
      <c r="B18" s="41" t="s">
        <v>127</v>
      </c>
      <c r="C18" s="43">
        <v>194750</v>
      </c>
      <c r="D18" s="43">
        <v>57000</v>
      </c>
      <c r="E18" s="43">
        <f t="shared" si="0"/>
        <v>159000</v>
      </c>
      <c r="F18" s="43">
        <v>216000</v>
      </c>
      <c r="G18" s="43">
        <v>216000</v>
      </c>
      <c r="H18" s="15"/>
      <c r="I18" s="15"/>
      <c r="J18" s="15"/>
      <c r="K18" s="167"/>
      <c r="L18" s="15"/>
      <c r="M18" s="15"/>
      <c r="N18" s="15"/>
      <c r="O18" s="15"/>
      <c r="P18" s="15"/>
      <c r="Q18" s="15"/>
      <c r="R18" s="15"/>
      <c r="S18" s="15"/>
      <c r="T18" s="15"/>
      <c r="U18" s="15"/>
      <c r="V18" s="15"/>
      <c r="W18" s="15"/>
      <c r="X18" s="15"/>
      <c r="Y18" s="15"/>
      <c r="Z18" s="15"/>
    </row>
    <row r="19" spans="1:26" ht="14.25" customHeight="1" x14ac:dyDescent="0.25">
      <c r="A19" s="44" t="s">
        <v>371</v>
      </c>
      <c r="B19" s="41" t="s">
        <v>372</v>
      </c>
      <c r="C19" s="43">
        <v>128250</v>
      </c>
      <c r="D19" s="43">
        <v>57000</v>
      </c>
      <c r="E19" s="43">
        <f t="shared" si="0"/>
        <v>159000</v>
      </c>
      <c r="F19" s="43">
        <v>216000</v>
      </c>
      <c r="G19" s="43">
        <v>216000</v>
      </c>
      <c r="H19" s="15"/>
      <c r="I19" s="15"/>
      <c r="J19" s="15"/>
      <c r="K19" s="167"/>
      <c r="L19" s="15"/>
      <c r="M19" s="15"/>
      <c r="N19" s="15"/>
      <c r="O19" s="15"/>
      <c r="P19" s="15"/>
      <c r="Q19" s="15"/>
      <c r="R19" s="15"/>
      <c r="S19" s="15"/>
      <c r="T19" s="15"/>
      <c r="U19" s="15"/>
      <c r="V19" s="15"/>
      <c r="W19" s="15"/>
      <c r="X19" s="15"/>
      <c r="Y19" s="15"/>
      <c r="Z19" s="15"/>
    </row>
    <row r="20" spans="1:26" ht="14.25" customHeight="1" x14ac:dyDescent="0.25">
      <c r="A20" s="44" t="s">
        <v>373</v>
      </c>
      <c r="B20" s="41" t="s">
        <v>131</v>
      </c>
      <c r="C20" s="43">
        <v>490000</v>
      </c>
      <c r="D20" s="43">
        <v>483000</v>
      </c>
      <c r="E20" s="43">
        <f t="shared" si="0"/>
        <v>91000</v>
      </c>
      <c r="F20" s="43">
        <v>574000</v>
      </c>
      <c r="G20" s="43">
        <v>574000</v>
      </c>
      <c r="H20" s="15"/>
      <c r="I20" s="15"/>
      <c r="J20" s="15"/>
      <c r="K20" s="167"/>
      <c r="L20" s="15"/>
      <c r="M20" s="15"/>
      <c r="N20" s="15"/>
      <c r="O20" s="15"/>
      <c r="P20" s="15"/>
      <c r="Q20" s="15"/>
      <c r="R20" s="15"/>
      <c r="S20" s="15"/>
      <c r="T20" s="15"/>
      <c r="U20" s="15"/>
      <c r="V20" s="15"/>
      <c r="W20" s="15"/>
      <c r="X20" s="15"/>
      <c r="Y20" s="15"/>
      <c r="Z20" s="15"/>
    </row>
    <row r="21" spans="1:26" ht="14.25" customHeight="1" x14ac:dyDescent="0.25">
      <c r="A21" s="44" t="s">
        <v>1564</v>
      </c>
      <c r="B21" s="41" t="s">
        <v>133</v>
      </c>
      <c r="C21" s="43">
        <v>452115.77</v>
      </c>
      <c r="D21" s="43">
        <v>73825</v>
      </c>
      <c r="E21" s="43">
        <f t="shared" si="0"/>
        <v>1402175</v>
      </c>
      <c r="F21" s="43">
        <v>1476000</v>
      </c>
      <c r="G21" s="43">
        <v>1476000</v>
      </c>
      <c r="H21" s="15"/>
      <c r="I21" s="15"/>
      <c r="J21" s="15"/>
      <c r="K21" s="167"/>
      <c r="L21" s="15"/>
      <c r="M21" s="15"/>
      <c r="N21" s="15"/>
      <c r="O21" s="15"/>
      <c r="P21" s="15"/>
      <c r="Q21" s="15"/>
      <c r="R21" s="15"/>
      <c r="S21" s="15"/>
      <c r="T21" s="15"/>
      <c r="U21" s="15"/>
      <c r="V21" s="15"/>
      <c r="W21" s="15"/>
      <c r="X21" s="15"/>
      <c r="Y21" s="15"/>
      <c r="Z21" s="15"/>
    </row>
    <row r="22" spans="1:26" ht="14.25" customHeight="1" x14ac:dyDescent="0.25">
      <c r="A22" s="44" t="s">
        <v>1567</v>
      </c>
      <c r="B22" s="41" t="s">
        <v>145</v>
      </c>
      <c r="C22" s="43">
        <v>3183029.37</v>
      </c>
      <c r="D22" s="43">
        <v>1167460.6499999999</v>
      </c>
      <c r="E22" s="43">
        <f t="shared" si="0"/>
        <v>4067561.35</v>
      </c>
      <c r="F22" s="43">
        <v>5235022</v>
      </c>
      <c r="G22" s="43">
        <v>5499005</v>
      </c>
      <c r="H22" s="15"/>
      <c r="I22" s="15"/>
      <c r="J22" s="15"/>
      <c r="K22" s="167"/>
      <c r="L22" s="15"/>
      <c r="M22" s="15"/>
      <c r="N22" s="15"/>
      <c r="O22" s="15"/>
      <c r="P22" s="15"/>
      <c r="Q22" s="15"/>
      <c r="R22" s="15"/>
      <c r="S22" s="15"/>
      <c r="T22" s="15"/>
      <c r="U22" s="15"/>
      <c r="V22" s="15"/>
      <c r="W22" s="15"/>
      <c r="X22" s="15"/>
      <c r="Y22" s="15"/>
      <c r="Z22" s="15"/>
    </row>
    <row r="23" spans="1:26" ht="14.25" customHeight="1" x14ac:dyDescent="0.25">
      <c r="A23" s="44" t="s">
        <v>374</v>
      </c>
      <c r="B23" s="41" t="s">
        <v>151</v>
      </c>
      <c r="C23" s="43">
        <v>1793349</v>
      </c>
      <c r="D23" s="43">
        <v>10935</v>
      </c>
      <c r="E23" s="43">
        <f t="shared" si="0"/>
        <v>2170324</v>
      </c>
      <c r="F23" s="43">
        <v>2181259</v>
      </c>
      <c r="G23" s="43">
        <v>2291252</v>
      </c>
      <c r="H23" s="15"/>
      <c r="I23" s="15"/>
      <c r="J23" s="15"/>
      <c r="K23" s="167"/>
      <c r="L23" s="15"/>
      <c r="M23" s="15"/>
      <c r="N23" s="15"/>
      <c r="O23" s="15"/>
      <c r="P23" s="15"/>
      <c r="Q23" s="15"/>
      <c r="R23" s="15"/>
      <c r="S23" s="15"/>
      <c r="T23" s="15"/>
      <c r="U23" s="15"/>
      <c r="V23" s="15"/>
      <c r="W23" s="15"/>
      <c r="X23" s="15"/>
      <c r="Y23" s="15"/>
      <c r="Z23" s="15"/>
    </row>
    <row r="24" spans="1:26" ht="14.25" customHeight="1" x14ac:dyDescent="0.25">
      <c r="A24" s="44" t="s">
        <v>375</v>
      </c>
      <c r="B24" s="41" t="s">
        <v>153</v>
      </c>
      <c r="C24" s="43">
        <v>350000</v>
      </c>
      <c r="D24" s="43">
        <v>2500</v>
      </c>
      <c r="E24" s="43">
        <f t="shared" si="0"/>
        <v>407500</v>
      </c>
      <c r="F24" s="43">
        <v>410000</v>
      </c>
      <c r="G24" s="43">
        <v>410000</v>
      </c>
      <c r="H24" s="15"/>
      <c r="I24" s="15"/>
      <c r="J24" s="15"/>
      <c r="K24" s="167"/>
      <c r="L24" s="15"/>
      <c r="M24" s="15"/>
      <c r="N24" s="15"/>
      <c r="O24" s="15"/>
      <c r="P24" s="15"/>
      <c r="Q24" s="15"/>
      <c r="R24" s="15"/>
      <c r="S24" s="15"/>
      <c r="T24" s="15"/>
      <c r="U24" s="15"/>
      <c r="V24" s="15"/>
      <c r="W24" s="15"/>
      <c r="X24" s="15"/>
      <c r="Y24" s="15"/>
      <c r="Z24" s="15"/>
    </row>
    <row r="25" spans="1:26" ht="14.25" customHeight="1" x14ac:dyDescent="0.25">
      <c r="A25" s="44" t="s">
        <v>376</v>
      </c>
      <c r="B25" s="41" t="s">
        <v>155</v>
      </c>
      <c r="C25" s="43"/>
      <c r="D25" s="43"/>
      <c r="E25" s="43"/>
      <c r="F25" s="43"/>
      <c r="G25" s="43"/>
      <c r="H25" s="15"/>
      <c r="I25" s="15"/>
      <c r="J25" s="15"/>
      <c r="K25" s="167"/>
      <c r="L25" s="15"/>
      <c r="M25" s="15"/>
      <c r="N25" s="15"/>
      <c r="O25" s="15"/>
      <c r="P25" s="15"/>
      <c r="Q25" s="15"/>
      <c r="R25" s="15"/>
      <c r="S25" s="15"/>
      <c r="T25" s="15"/>
      <c r="U25" s="15"/>
      <c r="V25" s="15"/>
      <c r="W25" s="15"/>
      <c r="X25" s="15"/>
      <c r="Y25" s="15"/>
      <c r="Z25" s="15"/>
    </row>
    <row r="26" spans="1:26" ht="14.25" customHeight="1" x14ac:dyDescent="0.25">
      <c r="A26" s="44" t="s">
        <v>377</v>
      </c>
      <c r="B26" s="41" t="s">
        <v>157</v>
      </c>
      <c r="C26" s="43">
        <v>5000</v>
      </c>
      <c r="D26" s="43">
        <v>10000</v>
      </c>
      <c r="E26" s="43">
        <f>F26-D26</f>
        <v>25000</v>
      </c>
      <c r="F26" s="43">
        <v>35000</v>
      </c>
      <c r="G26" s="43">
        <v>45000</v>
      </c>
      <c r="H26" s="15"/>
      <c r="I26" s="15"/>
      <c r="J26" s="15"/>
      <c r="K26" s="167"/>
      <c r="L26" s="15"/>
      <c r="M26" s="15"/>
      <c r="N26" s="15"/>
      <c r="O26" s="15"/>
      <c r="P26" s="15"/>
      <c r="Q26" s="15"/>
      <c r="R26" s="15"/>
      <c r="S26" s="15"/>
      <c r="T26" s="15"/>
      <c r="U26" s="15"/>
      <c r="V26" s="15"/>
      <c r="W26" s="15"/>
      <c r="X26" s="15"/>
      <c r="Y26" s="15"/>
      <c r="Z26" s="15"/>
    </row>
    <row r="27" spans="1:26" ht="14.25" customHeight="1" x14ac:dyDescent="0.25">
      <c r="A27" s="44" t="s">
        <v>1227</v>
      </c>
      <c r="B27" s="41" t="s">
        <v>159</v>
      </c>
      <c r="C27" s="43">
        <v>0</v>
      </c>
      <c r="D27" s="43">
        <v>201000</v>
      </c>
      <c r="E27" s="43">
        <v>45000</v>
      </c>
      <c r="F27" s="43">
        <v>246000</v>
      </c>
      <c r="G27" s="43">
        <v>0</v>
      </c>
      <c r="H27" s="15"/>
      <c r="I27" s="15"/>
      <c r="J27" s="15"/>
      <c r="K27" s="167"/>
      <c r="L27" s="15"/>
      <c r="M27" s="15"/>
      <c r="N27" s="15"/>
      <c r="O27" s="15"/>
      <c r="P27" s="15"/>
      <c r="Q27" s="15"/>
      <c r="R27" s="15"/>
      <c r="S27" s="15"/>
      <c r="T27" s="15"/>
      <c r="U27" s="15"/>
      <c r="V27" s="15"/>
      <c r="W27" s="15"/>
      <c r="X27" s="15"/>
      <c r="Y27" s="15"/>
      <c r="Z27" s="15"/>
    </row>
    <row r="28" spans="1:26" ht="14.25" customHeight="1" x14ac:dyDescent="0.25">
      <c r="A28" s="44" t="s">
        <v>379</v>
      </c>
      <c r="B28" s="41" t="s">
        <v>161</v>
      </c>
      <c r="C28" s="43">
        <v>1715380</v>
      </c>
      <c r="D28" s="43">
        <v>1671419</v>
      </c>
      <c r="E28" s="43">
        <f>F28-D28</f>
        <v>509840</v>
      </c>
      <c r="F28" s="43">
        <v>2181259</v>
      </c>
      <c r="G28" s="43">
        <v>2291252</v>
      </c>
      <c r="H28" s="15"/>
      <c r="I28" s="15"/>
      <c r="J28" s="15"/>
      <c r="K28" s="167"/>
      <c r="L28" s="15"/>
      <c r="M28" s="15"/>
      <c r="N28" s="15"/>
      <c r="O28" s="15"/>
      <c r="P28" s="15"/>
      <c r="Q28" s="15"/>
      <c r="R28" s="15"/>
      <c r="S28" s="15"/>
      <c r="T28" s="15"/>
      <c r="U28" s="15"/>
      <c r="V28" s="15"/>
      <c r="W28" s="15"/>
      <c r="X28" s="15"/>
      <c r="Y28" s="15"/>
      <c r="Z28" s="15"/>
    </row>
    <row r="29" spans="1:26" ht="14.25" customHeight="1" x14ac:dyDescent="0.25">
      <c r="A29" s="17" t="s">
        <v>380</v>
      </c>
      <c r="B29" s="41"/>
      <c r="C29" s="43"/>
      <c r="D29" s="43"/>
      <c r="E29" s="43"/>
      <c r="F29" s="43"/>
      <c r="G29" s="43"/>
      <c r="H29" s="15"/>
      <c r="I29" s="15"/>
      <c r="J29" s="15"/>
      <c r="K29" s="167"/>
      <c r="L29" s="15"/>
      <c r="M29" s="15"/>
      <c r="N29" s="15"/>
      <c r="O29" s="15"/>
      <c r="P29" s="15"/>
      <c r="Q29" s="15"/>
      <c r="R29" s="15"/>
      <c r="S29" s="15"/>
      <c r="T29" s="15"/>
      <c r="U29" s="15"/>
      <c r="V29" s="15"/>
      <c r="W29" s="15"/>
      <c r="X29" s="15"/>
      <c r="Y29" s="15"/>
      <c r="Z29" s="15"/>
    </row>
    <row r="30" spans="1:26" ht="14.25" customHeight="1" x14ac:dyDescent="0.25">
      <c r="A30" s="44" t="s">
        <v>381</v>
      </c>
      <c r="B30" s="41" t="s">
        <v>165</v>
      </c>
      <c r="C30" s="43">
        <v>2513344.15</v>
      </c>
      <c r="D30" s="43">
        <v>1199547.8999999999</v>
      </c>
      <c r="E30" s="43">
        <f t="shared" ref="E30:E33" si="1">F30-D30</f>
        <v>1941465.1</v>
      </c>
      <c r="F30" s="43">
        <v>3141013</v>
      </c>
      <c r="G30" s="43">
        <v>3299403</v>
      </c>
      <c r="H30" s="15"/>
      <c r="I30" s="15"/>
      <c r="J30" s="15"/>
      <c r="K30" s="167"/>
      <c r="L30" s="15"/>
      <c r="M30" s="15"/>
      <c r="N30" s="15"/>
      <c r="O30" s="15"/>
      <c r="P30" s="15"/>
      <c r="Q30" s="15"/>
      <c r="R30" s="15"/>
      <c r="S30" s="15"/>
      <c r="T30" s="15"/>
      <c r="U30" s="15"/>
      <c r="V30" s="15"/>
      <c r="W30" s="15"/>
      <c r="X30" s="15"/>
      <c r="Y30" s="15"/>
      <c r="Z30" s="15"/>
    </row>
    <row r="31" spans="1:26" ht="14.25" customHeight="1" x14ac:dyDescent="0.25">
      <c r="A31" s="44" t="s">
        <v>382</v>
      </c>
      <c r="B31" s="41" t="s">
        <v>167</v>
      </c>
      <c r="C31" s="43">
        <v>418890.61</v>
      </c>
      <c r="D31" s="43">
        <v>199924.67</v>
      </c>
      <c r="E31" s="43">
        <f t="shared" si="1"/>
        <v>323578.32999999996</v>
      </c>
      <c r="F31" s="43">
        <v>523503</v>
      </c>
      <c r="G31" s="43">
        <v>549901</v>
      </c>
      <c r="H31" s="15"/>
      <c r="I31" s="15"/>
      <c r="J31" s="15"/>
      <c r="K31" s="167"/>
      <c r="L31" s="15"/>
      <c r="M31" s="15"/>
      <c r="N31" s="15"/>
      <c r="O31" s="15"/>
      <c r="P31" s="15"/>
      <c r="Q31" s="15"/>
      <c r="R31" s="15"/>
      <c r="S31" s="15"/>
      <c r="T31" s="15"/>
      <c r="U31" s="15"/>
      <c r="V31" s="15"/>
      <c r="W31" s="15"/>
      <c r="X31" s="15"/>
      <c r="Y31" s="15"/>
      <c r="Z31" s="15"/>
    </row>
    <row r="32" spans="1:26" ht="14.25" customHeight="1" x14ac:dyDescent="0.25">
      <c r="A32" s="44" t="s">
        <v>383</v>
      </c>
      <c r="B32" s="41" t="s">
        <v>169</v>
      </c>
      <c r="C32" s="43">
        <v>518887.82</v>
      </c>
      <c r="D32" s="43">
        <v>249906.33</v>
      </c>
      <c r="E32" s="43">
        <f t="shared" si="1"/>
        <v>396960.67000000004</v>
      </c>
      <c r="F32" s="43">
        <v>646867</v>
      </c>
      <c r="G32" s="43">
        <v>679155</v>
      </c>
      <c r="H32" s="15"/>
      <c r="I32" s="15"/>
      <c r="J32" s="15"/>
      <c r="K32" s="167"/>
      <c r="L32" s="15"/>
      <c r="M32" s="15"/>
      <c r="N32" s="15"/>
      <c r="O32" s="15"/>
      <c r="P32" s="15"/>
      <c r="Q32" s="15"/>
      <c r="R32" s="15"/>
      <c r="S32" s="15"/>
      <c r="T32" s="15"/>
      <c r="U32" s="15"/>
      <c r="V32" s="15"/>
      <c r="W32" s="15"/>
      <c r="X32" s="15"/>
      <c r="Y32" s="15"/>
      <c r="Z32" s="15"/>
    </row>
    <row r="33" spans="1:26" ht="14.25" customHeight="1" x14ac:dyDescent="0.25">
      <c r="A33" s="44" t="s">
        <v>384</v>
      </c>
      <c r="B33" s="41" t="s">
        <v>171</v>
      </c>
      <c r="C33" s="43">
        <v>84300</v>
      </c>
      <c r="D33" s="43">
        <v>41300</v>
      </c>
      <c r="E33" s="43">
        <f t="shared" si="1"/>
        <v>57100</v>
      </c>
      <c r="F33" s="45">
        <v>98400</v>
      </c>
      <c r="G33" s="45">
        <v>98400</v>
      </c>
      <c r="H33" s="15"/>
      <c r="I33" s="15"/>
      <c r="J33" s="15"/>
      <c r="K33" s="167"/>
      <c r="L33" s="15"/>
      <c r="M33" s="15"/>
      <c r="N33" s="15"/>
      <c r="O33" s="15"/>
      <c r="P33" s="15"/>
      <c r="Q33" s="15"/>
      <c r="R33" s="15"/>
      <c r="S33" s="15"/>
      <c r="T33" s="15"/>
      <c r="U33" s="15"/>
      <c r="V33" s="15"/>
      <c r="W33" s="15"/>
      <c r="X33" s="15"/>
      <c r="Y33" s="15"/>
      <c r="Z33" s="15"/>
    </row>
    <row r="34" spans="1:26" ht="14.25" customHeight="1" x14ac:dyDescent="0.25">
      <c r="A34" s="17" t="s">
        <v>624</v>
      </c>
      <c r="B34" s="41"/>
      <c r="C34" s="43"/>
      <c r="D34" s="43"/>
      <c r="E34" s="43"/>
      <c r="F34" s="43"/>
      <c r="G34" s="43"/>
      <c r="H34" s="15"/>
      <c r="I34" s="15"/>
      <c r="J34" s="15"/>
      <c r="K34" s="167"/>
      <c r="L34" s="15"/>
      <c r="M34" s="15"/>
      <c r="N34" s="15"/>
      <c r="O34" s="15"/>
      <c r="P34" s="15"/>
      <c r="Q34" s="15"/>
      <c r="R34" s="15"/>
      <c r="S34" s="15"/>
      <c r="T34" s="15"/>
      <c r="U34" s="15"/>
      <c r="V34" s="15"/>
      <c r="W34" s="15"/>
      <c r="X34" s="15"/>
      <c r="Y34" s="15"/>
      <c r="Z34" s="15"/>
    </row>
    <row r="35" spans="1:26" ht="14.25" customHeight="1" x14ac:dyDescent="0.25">
      <c r="A35" s="44" t="s">
        <v>386</v>
      </c>
      <c r="B35" s="41" t="s">
        <v>179</v>
      </c>
      <c r="C35" s="43">
        <v>1729227.93</v>
      </c>
      <c r="D35" s="43">
        <v>347868.45</v>
      </c>
      <c r="E35" s="43">
        <f t="shared" ref="E35:E37" si="2">F35-D35</f>
        <v>15896.549999999988</v>
      </c>
      <c r="F35" s="43">
        <v>363765</v>
      </c>
      <c r="G35" s="43">
        <v>0</v>
      </c>
      <c r="H35" s="15"/>
      <c r="I35" s="15"/>
      <c r="J35" s="15"/>
      <c r="K35" s="167"/>
      <c r="L35" s="15"/>
      <c r="M35" s="15"/>
      <c r="N35" s="15"/>
      <c r="O35" s="15"/>
      <c r="P35" s="15"/>
      <c r="Q35" s="15"/>
      <c r="R35" s="15"/>
      <c r="S35" s="15"/>
      <c r="T35" s="15"/>
      <c r="U35" s="15"/>
      <c r="V35" s="15"/>
      <c r="W35" s="15"/>
      <c r="X35" s="15"/>
      <c r="Y35" s="15"/>
      <c r="Z35" s="15"/>
    </row>
    <row r="36" spans="1:26" ht="14.25" customHeight="1" x14ac:dyDescent="0.25">
      <c r="A36" s="460" t="s">
        <v>387</v>
      </c>
      <c r="B36" s="454" t="s">
        <v>181</v>
      </c>
      <c r="C36" s="443">
        <v>607579.80000000005</v>
      </c>
      <c r="D36" s="443">
        <v>497780.87</v>
      </c>
      <c r="E36" s="443">
        <f t="shared" si="2"/>
        <v>553427.13</v>
      </c>
      <c r="F36" s="443">
        <v>1051208</v>
      </c>
      <c r="G36" s="462">
        <v>1104217</v>
      </c>
      <c r="H36" s="15"/>
      <c r="I36" s="15"/>
      <c r="J36" s="15"/>
      <c r="K36" s="167"/>
      <c r="L36" s="15"/>
      <c r="M36" s="15"/>
      <c r="N36" s="15"/>
      <c r="O36" s="15"/>
      <c r="P36" s="15"/>
      <c r="Q36" s="15"/>
      <c r="R36" s="15"/>
      <c r="S36" s="15"/>
      <c r="T36" s="15"/>
      <c r="U36" s="15"/>
      <c r="V36" s="15"/>
      <c r="W36" s="15"/>
      <c r="X36" s="15"/>
      <c r="Y36" s="15"/>
      <c r="Z36" s="15"/>
    </row>
    <row r="37" spans="1:26" ht="14.25" customHeight="1" x14ac:dyDescent="0.25">
      <c r="A37" s="460" t="s">
        <v>388</v>
      </c>
      <c r="B37" s="454" t="s">
        <v>183</v>
      </c>
      <c r="C37" s="443">
        <v>345000</v>
      </c>
      <c r="D37" s="443">
        <v>0</v>
      </c>
      <c r="E37" s="443">
        <f t="shared" si="2"/>
        <v>410000</v>
      </c>
      <c r="F37" s="443">
        <v>410000</v>
      </c>
      <c r="G37" s="462">
        <v>410000</v>
      </c>
      <c r="H37" s="15"/>
      <c r="I37" s="15"/>
      <c r="J37" s="15"/>
      <c r="K37" s="167"/>
      <c r="L37" s="15"/>
      <c r="M37" s="15"/>
      <c r="N37" s="15"/>
      <c r="O37" s="15"/>
      <c r="P37" s="15"/>
      <c r="Q37" s="15"/>
      <c r="R37" s="15"/>
      <c r="S37" s="15"/>
      <c r="T37" s="15"/>
      <c r="U37" s="15"/>
      <c r="V37" s="15"/>
      <c r="W37" s="15"/>
      <c r="X37" s="15"/>
      <c r="Y37" s="15"/>
      <c r="Z37" s="15"/>
    </row>
    <row r="38" spans="1:26" ht="27.6" customHeight="1" x14ac:dyDescent="0.25">
      <c r="A38" s="88" t="s">
        <v>625</v>
      </c>
      <c r="B38" s="49"/>
      <c r="C38" s="45"/>
      <c r="D38" s="43"/>
      <c r="E38" s="43"/>
      <c r="F38" s="43"/>
      <c r="G38" s="43">
        <v>871688</v>
      </c>
      <c r="H38" s="15"/>
      <c r="I38" s="15"/>
      <c r="J38" s="15"/>
      <c r="K38" s="167"/>
      <c r="L38" s="15"/>
      <c r="M38" s="15"/>
      <c r="N38" s="15"/>
      <c r="O38" s="15"/>
      <c r="P38" s="15"/>
      <c r="Q38" s="15"/>
      <c r="R38" s="15"/>
      <c r="S38" s="15"/>
      <c r="T38" s="15"/>
      <c r="U38" s="15"/>
      <c r="V38" s="15"/>
      <c r="W38" s="15"/>
      <c r="X38" s="15"/>
      <c r="Y38" s="15"/>
      <c r="Z38" s="15"/>
    </row>
    <row r="39" spans="1:26" ht="14.25" customHeight="1" x14ac:dyDescent="0.25">
      <c r="A39" s="42" t="s">
        <v>632</v>
      </c>
      <c r="B39" s="49"/>
      <c r="C39" s="79">
        <f t="shared" ref="C39:F39" si="3">SUM(C15:C37)</f>
        <v>37138593.359999999</v>
      </c>
      <c r="D39" s="54">
        <f t="shared" si="3"/>
        <v>17045366.280000001</v>
      </c>
      <c r="E39" s="54">
        <f t="shared" si="3"/>
        <v>30103037.720000003</v>
      </c>
      <c r="F39" s="54">
        <f t="shared" si="3"/>
        <v>47148404</v>
      </c>
      <c r="G39" s="54">
        <f>SUM(G15:G38)</f>
        <v>49494297</v>
      </c>
      <c r="H39" s="15"/>
      <c r="I39" s="15"/>
      <c r="J39" s="15"/>
      <c r="K39" s="167"/>
      <c r="L39" s="15"/>
      <c r="M39" s="15"/>
      <c r="N39" s="15"/>
      <c r="O39" s="15"/>
      <c r="P39" s="15"/>
      <c r="Q39" s="15"/>
      <c r="R39" s="15"/>
      <c r="S39" s="15"/>
      <c r="T39" s="15"/>
      <c r="U39" s="15"/>
      <c r="V39" s="15"/>
      <c r="W39" s="15"/>
      <c r="X39" s="15"/>
      <c r="Y39" s="15"/>
      <c r="Z39" s="15"/>
    </row>
    <row r="40" spans="1:26" ht="12.6" customHeight="1" x14ac:dyDescent="0.25">
      <c r="A40" s="42"/>
      <c r="B40" s="19"/>
      <c r="C40" s="37"/>
      <c r="D40" s="55"/>
      <c r="E40" s="55"/>
      <c r="F40" s="13"/>
      <c r="G40" s="37"/>
      <c r="H40" s="15"/>
      <c r="I40" s="15"/>
      <c r="J40" s="15"/>
      <c r="K40" s="167"/>
      <c r="L40" s="15"/>
      <c r="M40" s="15"/>
      <c r="N40" s="15"/>
      <c r="O40" s="15"/>
      <c r="P40" s="15"/>
      <c r="Q40" s="15"/>
      <c r="R40" s="15"/>
      <c r="S40" s="15"/>
      <c r="T40" s="15"/>
      <c r="U40" s="15"/>
      <c r="V40" s="15"/>
      <c r="W40" s="15"/>
      <c r="X40" s="15"/>
      <c r="Y40" s="15"/>
      <c r="Z40" s="15"/>
    </row>
    <row r="41" spans="1:26" ht="14.25" customHeight="1" x14ac:dyDescent="0.25">
      <c r="A41" s="42" t="s">
        <v>391</v>
      </c>
      <c r="B41" s="41"/>
      <c r="C41" s="43"/>
      <c r="D41" s="43"/>
      <c r="E41" s="43"/>
      <c r="F41" s="43"/>
      <c r="G41" s="43"/>
      <c r="H41" s="15"/>
      <c r="I41" s="15"/>
      <c r="J41" s="15"/>
      <c r="K41" s="167"/>
      <c r="L41" s="15"/>
      <c r="M41" s="15"/>
      <c r="N41" s="15"/>
      <c r="O41" s="15"/>
      <c r="P41" s="15"/>
      <c r="Q41" s="15"/>
      <c r="R41" s="15"/>
      <c r="S41" s="15"/>
      <c r="T41" s="15"/>
      <c r="U41" s="15"/>
      <c r="V41" s="15"/>
      <c r="W41" s="15"/>
      <c r="X41" s="15"/>
      <c r="Y41" s="15"/>
      <c r="Z41" s="15"/>
    </row>
    <row r="42" spans="1:26" ht="14.25" customHeight="1" x14ac:dyDescent="0.25">
      <c r="A42" s="42" t="s">
        <v>642</v>
      </c>
      <c r="B42" s="41"/>
      <c r="C42" s="43"/>
      <c r="D42" s="43"/>
      <c r="E42" s="43"/>
      <c r="F42" s="43"/>
      <c r="G42" s="43"/>
      <c r="H42" s="15"/>
      <c r="I42" s="15"/>
      <c r="J42" s="15"/>
      <c r="K42" s="167"/>
      <c r="L42" s="15"/>
      <c r="M42" s="15"/>
      <c r="N42" s="15"/>
      <c r="O42" s="15"/>
      <c r="P42" s="15"/>
      <c r="Q42" s="15"/>
      <c r="R42" s="15"/>
      <c r="S42" s="15"/>
      <c r="T42" s="15"/>
      <c r="U42" s="15"/>
      <c r="V42" s="15"/>
      <c r="W42" s="15"/>
      <c r="X42" s="15"/>
      <c r="Y42" s="15"/>
      <c r="Z42" s="15"/>
    </row>
    <row r="43" spans="1:26" ht="14.25" customHeight="1" x14ac:dyDescent="0.25">
      <c r="A43" s="44" t="s">
        <v>393</v>
      </c>
      <c r="B43" s="41" t="s">
        <v>187</v>
      </c>
      <c r="C43" s="43">
        <v>398969.72</v>
      </c>
      <c r="D43" s="43">
        <v>174676.52</v>
      </c>
      <c r="E43" s="43">
        <f>F43-D43</f>
        <v>175323.48</v>
      </c>
      <c r="F43" s="43">
        <v>350000</v>
      </c>
      <c r="G43" s="43">
        <v>444120</v>
      </c>
      <c r="H43" s="15"/>
      <c r="I43" s="15"/>
      <c r="J43" s="15"/>
      <c r="K43" s="167"/>
      <c r="L43" s="15"/>
      <c r="M43" s="15"/>
      <c r="N43" s="15"/>
      <c r="O43" s="15"/>
      <c r="P43" s="15"/>
      <c r="Q43" s="15"/>
      <c r="R43" s="15"/>
      <c r="S43" s="15"/>
      <c r="T43" s="15"/>
      <c r="U43" s="15"/>
      <c r="V43" s="15"/>
      <c r="W43" s="15"/>
      <c r="X43" s="15"/>
      <c r="Y43" s="15"/>
      <c r="Z43" s="15"/>
    </row>
    <row r="44" spans="1:26" ht="14.25" customHeight="1" x14ac:dyDescent="0.25">
      <c r="A44" s="42" t="s">
        <v>493</v>
      </c>
      <c r="B44" s="41"/>
      <c r="C44" s="43"/>
      <c r="D44" s="43"/>
      <c r="E44" s="43"/>
      <c r="F44" s="43"/>
      <c r="G44" s="43"/>
      <c r="H44" s="15"/>
      <c r="I44" s="15"/>
      <c r="J44" s="15"/>
      <c r="K44" s="167"/>
      <c r="L44" s="15"/>
      <c r="M44" s="15"/>
      <c r="N44" s="15"/>
      <c r="O44" s="15"/>
      <c r="P44" s="15"/>
      <c r="Q44" s="15"/>
      <c r="R44" s="15"/>
      <c r="S44" s="15"/>
      <c r="T44" s="15"/>
      <c r="U44" s="15"/>
      <c r="V44" s="15"/>
      <c r="W44" s="15"/>
      <c r="X44" s="15"/>
      <c r="Y44" s="15"/>
      <c r="Z44" s="15"/>
    </row>
    <row r="45" spans="1:26" ht="14.25" customHeight="1" x14ac:dyDescent="0.25">
      <c r="A45" s="44" t="s">
        <v>396</v>
      </c>
      <c r="B45" s="41" t="s">
        <v>191</v>
      </c>
      <c r="C45" s="43">
        <v>198338.13</v>
      </c>
      <c r="D45" s="43">
        <v>180000</v>
      </c>
      <c r="E45" s="43">
        <f>F45-D45</f>
        <v>220000</v>
      </c>
      <c r="F45" s="43">
        <v>400000</v>
      </c>
      <c r="G45" s="43">
        <v>1610500</v>
      </c>
      <c r="H45" s="15"/>
      <c r="I45" s="15"/>
      <c r="J45" s="15"/>
      <c r="K45" s="167"/>
      <c r="L45" s="15"/>
      <c r="M45" s="15"/>
      <c r="N45" s="15"/>
      <c r="O45" s="15"/>
      <c r="P45" s="15"/>
      <c r="Q45" s="15"/>
      <c r="R45" s="15"/>
      <c r="S45" s="15"/>
      <c r="T45" s="15"/>
      <c r="U45" s="15"/>
      <c r="V45" s="15"/>
      <c r="W45" s="15"/>
      <c r="X45" s="15"/>
      <c r="Y45" s="15"/>
      <c r="Z45" s="15"/>
    </row>
    <row r="46" spans="1:26" ht="14.25" customHeight="1" x14ac:dyDescent="0.25">
      <c r="A46" s="42" t="s">
        <v>499</v>
      </c>
      <c r="B46" s="41"/>
      <c r="C46" s="43"/>
      <c r="D46" s="43"/>
      <c r="E46" s="43"/>
      <c r="F46" s="15"/>
      <c r="G46" s="43"/>
      <c r="H46" s="15"/>
      <c r="I46" s="15"/>
      <c r="J46" s="15"/>
      <c r="K46" s="167"/>
      <c r="L46" s="15"/>
      <c r="M46" s="15"/>
      <c r="N46" s="15"/>
      <c r="O46" s="15"/>
      <c r="P46" s="15"/>
      <c r="Q46" s="15"/>
      <c r="R46" s="15"/>
      <c r="S46" s="15"/>
      <c r="T46" s="15"/>
      <c r="U46" s="15"/>
      <c r="V46" s="15"/>
      <c r="W46" s="15"/>
      <c r="X46" s="15"/>
      <c r="Y46" s="15"/>
      <c r="Z46" s="15"/>
    </row>
    <row r="47" spans="1:26" ht="14.25" customHeight="1" x14ac:dyDescent="0.25">
      <c r="A47" s="44" t="s">
        <v>398</v>
      </c>
      <c r="B47" s="41" t="s">
        <v>195</v>
      </c>
      <c r="C47" s="43">
        <v>280777.27</v>
      </c>
      <c r="D47" s="43">
        <v>239651.49</v>
      </c>
      <c r="E47" s="43">
        <f t="shared" ref="E47:E49" si="4">F47-D47</f>
        <v>39753.510000000009</v>
      </c>
      <c r="F47" s="43">
        <v>279405</v>
      </c>
      <c r="G47" s="43">
        <v>258820</v>
      </c>
      <c r="H47" s="15"/>
      <c r="I47" s="15"/>
      <c r="J47" s="15"/>
      <c r="K47" s="167"/>
      <c r="L47" s="15"/>
      <c r="M47" s="15"/>
      <c r="N47" s="15"/>
      <c r="O47" s="15"/>
      <c r="P47" s="15"/>
      <c r="Q47" s="15"/>
      <c r="R47" s="15"/>
      <c r="S47" s="15"/>
      <c r="T47" s="15"/>
      <c r="U47" s="15"/>
      <c r="V47" s="15"/>
      <c r="W47" s="15"/>
      <c r="X47" s="15"/>
      <c r="Y47" s="15"/>
      <c r="Z47" s="15"/>
    </row>
    <row r="48" spans="1:26" ht="14.25" customHeight="1" x14ac:dyDescent="0.25">
      <c r="A48" s="44" t="s">
        <v>1447</v>
      </c>
      <c r="B48" s="41" t="s">
        <v>197</v>
      </c>
      <c r="C48" s="43">
        <v>4500</v>
      </c>
      <c r="D48" s="43">
        <v>6750</v>
      </c>
      <c r="E48" s="43">
        <f t="shared" si="4"/>
        <v>8250</v>
      </c>
      <c r="F48" s="43">
        <v>15000</v>
      </c>
      <c r="G48" s="43">
        <v>15000</v>
      </c>
      <c r="H48" s="15"/>
      <c r="I48" s="15"/>
      <c r="J48" s="15"/>
      <c r="K48" s="167"/>
      <c r="L48" s="15"/>
      <c r="M48" s="15"/>
      <c r="N48" s="15"/>
      <c r="O48" s="15"/>
      <c r="P48" s="15"/>
      <c r="Q48" s="15"/>
      <c r="R48" s="15"/>
      <c r="S48" s="15"/>
      <c r="T48" s="15"/>
      <c r="U48" s="15"/>
      <c r="V48" s="15"/>
      <c r="W48" s="15"/>
      <c r="X48" s="15"/>
      <c r="Y48" s="15"/>
      <c r="Z48" s="15"/>
    </row>
    <row r="49" spans="1:26" ht="14.25" customHeight="1" x14ac:dyDescent="0.25">
      <c r="A49" s="44" t="s">
        <v>819</v>
      </c>
      <c r="B49" s="41" t="s">
        <v>203</v>
      </c>
      <c r="C49" s="45">
        <v>0</v>
      </c>
      <c r="D49" s="43">
        <v>0</v>
      </c>
      <c r="E49" s="43">
        <f t="shared" si="4"/>
        <v>0</v>
      </c>
      <c r="F49" s="43">
        <v>0</v>
      </c>
      <c r="G49" s="43">
        <v>72000</v>
      </c>
      <c r="H49" s="15"/>
      <c r="I49" s="15"/>
      <c r="J49" s="15"/>
      <c r="K49" s="167"/>
      <c r="L49" s="15"/>
      <c r="M49" s="15"/>
      <c r="N49" s="15"/>
      <c r="O49" s="15"/>
      <c r="P49" s="15"/>
      <c r="Q49" s="15"/>
      <c r="R49" s="15"/>
      <c r="S49" s="15"/>
      <c r="T49" s="15"/>
      <c r="U49" s="15"/>
      <c r="V49" s="15"/>
      <c r="W49" s="15"/>
      <c r="X49" s="15"/>
      <c r="Y49" s="15"/>
      <c r="Z49" s="15"/>
    </row>
    <row r="50" spans="1:26" ht="14.25" customHeight="1" x14ac:dyDescent="0.25">
      <c r="A50" s="96" t="s">
        <v>1840</v>
      </c>
      <c r="B50" s="41" t="s">
        <v>221</v>
      </c>
      <c r="C50" s="45">
        <v>0</v>
      </c>
      <c r="D50" s="43">
        <v>226506</v>
      </c>
      <c r="E50" s="43">
        <v>1494</v>
      </c>
      <c r="F50" s="43">
        <v>228000</v>
      </c>
      <c r="G50" s="43">
        <v>354349</v>
      </c>
      <c r="H50" s="15"/>
      <c r="I50" s="15"/>
      <c r="J50" s="15"/>
      <c r="K50" s="167"/>
      <c r="L50" s="15"/>
      <c r="M50" s="15"/>
      <c r="N50" s="15"/>
      <c r="O50" s="15"/>
      <c r="P50" s="15"/>
      <c r="Q50" s="15"/>
      <c r="R50" s="15"/>
      <c r="S50" s="15"/>
      <c r="T50" s="15"/>
      <c r="U50" s="15"/>
      <c r="V50" s="15"/>
      <c r="W50" s="15"/>
      <c r="X50" s="15"/>
      <c r="Y50" s="15"/>
      <c r="Z50" s="15"/>
    </row>
    <row r="51" spans="1:26" ht="14.25" customHeight="1" x14ac:dyDescent="0.25">
      <c r="A51" s="74" t="s">
        <v>538</v>
      </c>
      <c r="B51" s="41" t="s">
        <v>223</v>
      </c>
      <c r="C51" s="43">
        <v>0</v>
      </c>
      <c r="D51" s="43">
        <v>0</v>
      </c>
      <c r="E51" s="43">
        <f t="shared" ref="E51:E52" si="5">F51-D51</f>
        <v>0</v>
      </c>
      <c r="F51" s="43">
        <v>0</v>
      </c>
      <c r="G51" s="43">
        <v>60597</v>
      </c>
      <c r="H51" s="15"/>
      <c r="I51" s="15"/>
      <c r="J51" s="15"/>
      <c r="K51" s="167"/>
      <c r="L51" s="15"/>
      <c r="M51" s="15"/>
      <c r="N51" s="15"/>
      <c r="O51" s="15"/>
      <c r="P51" s="15"/>
      <c r="Q51" s="15"/>
      <c r="R51" s="15"/>
      <c r="S51" s="15"/>
      <c r="T51" s="15"/>
      <c r="U51" s="15"/>
      <c r="V51" s="15"/>
      <c r="W51" s="15"/>
      <c r="X51" s="15"/>
      <c r="Y51" s="15"/>
      <c r="Z51" s="15"/>
    </row>
    <row r="52" spans="1:26" ht="14.25" customHeight="1" x14ac:dyDescent="0.25">
      <c r="A52" s="485" t="s">
        <v>402</v>
      </c>
      <c r="B52" s="437" t="s">
        <v>225</v>
      </c>
      <c r="C52" s="473">
        <v>246087.56</v>
      </c>
      <c r="D52" s="438">
        <v>72706</v>
      </c>
      <c r="E52" s="438">
        <f t="shared" si="5"/>
        <v>6881</v>
      </c>
      <c r="F52" s="438">
        <v>79587</v>
      </c>
      <c r="G52" s="438">
        <v>164255</v>
      </c>
      <c r="H52" s="15"/>
      <c r="I52" s="15"/>
      <c r="J52" s="15"/>
      <c r="K52" s="167"/>
      <c r="L52" s="15"/>
      <c r="M52" s="15"/>
      <c r="N52" s="15"/>
      <c r="O52" s="15"/>
      <c r="P52" s="15"/>
      <c r="Q52" s="15"/>
      <c r="R52" s="15"/>
      <c r="S52" s="15"/>
      <c r="T52" s="15"/>
      <c r="U52" s="15"/>
      <c r="V52" s="15"/>
      <c r="W52" s="15"/>
      <c r="X52" s="15"/>
      <c r="Y52" s="15"/>
      <c r="Z52" s="15"/>
    </row>
    <row r="53" spans="1:26" ht="14.25" customHeight="1" x14ac:dyDescent="0.25">
      <c r="A53" s="486" t="s">
        <v>503</v>
      </c>
      <c r="B53" s="437"/>
      <c r="C53" s="438"/>
      <c r="D53" s="438"/>
      <c r="E53" s="438"/>
      <c r="F53" s="438"/>
      <c r="G53" s="438"/>
      <c r="H53" s="15"/>
      <c r="I53" s="15"/>
      <c r="J53" s="15"/>
      <c r="K53" s="167"/>
      <c r="L53" s="15"/>
      <c r="M53" s="15"/>
      <c r="N53" s="15"/>
      <c r="O53" s="15"/>
      <c r="P53" s="15"/>
      <c r="Q53" s="15"/>
      <c r="R53" s="15"/>
      <c r="S53" s="15"/>
      <c r="T53" s="15"/>
      <c r="U53" s="15"/>
      <c r="V53" s="15"/>
      <c r="W53" s="15"/>
      <c r="X53" s="15"/>
      <c r="Y53" s="15"/>
      <c r="Z53" s="15"/>
    </row>
    <row r="54" spans="1:26" ht="14.25" customHeight="1" x14ac:dyDescent="0.25">
      <c r="A54" s="583" t="s">
        <v>1303</v>
      </c>
      <c r="B54" s="437" t="s">
        <v>231</v>
      </c>
      <c r="C54" s="438">
        <v>0</v>
      </c>
      <c r="D54" s="438">
        <v>0</v>
      </c>
      <c r="E54" s="473">
        <f t="shared" ref="E54:E55" si="6">F54-D54</f>
        <v>2500</v>
      </c>
      <c r="F54" s="438">
        <v>2500</v>
      </c>
      <c r="G54" s="438">
        <v>2500</v>
      </c>
      <c r="H54" s="15"/>
      <c r="I54" s="15"/>
      <c r="J54" s="15"/>
      <c r="K54" s="167"/>
      <c r="L54" s="15"/>
      <c r="M54" s="15"/>
      <c r="N54" s="15"/>
      <c r="O54" s="15"/>
      <c r="P54" s="15"/>
      <c r="Q54" s="15"/>
      <c r="R54" s="15"/>
      <c r="S54" s="15"/>
      <c r="T54" s="15"/>
      <c r="U54" s="15"/>
      <c r="V54" s="15"/>
      <c r="W54" s="15"/>
      <c r="X54" s="15"/>
      <c r="Y54" s="15"/>
      <c r="Z54" s="15"/>
    </row>
    <row r="55" spans="1:26" ht="14.25" customHeight="1" x14ac:dyDescent="0.25">
      <c r="A55" s="485" t="s">
        <v>405</v>
      </c>
      <c r="B55" s="437" t="s">
        <v>235</v>
      </c>
      <c r="C55" s="473">
        <v>16000</v>
      </c>
      <c r="D55" s="438">
        <v>10000</v>
      </c>
      <c r="E55" s="438">
        <f t="shared" si="6"/>
        <v>44000</v>
      </c>
      <c r="F55" s="438">
        <v>54000</v>
      </c>
      <c r="G55" s="438">
        <f>(2000+2500)*12</f>
        <v>54000</v>
      </c>
      <c r="H55" s="15"/>
      <c r="I55" s="15"/>
      <c r="J55" s="15"/>
      <c r="K55" s="167"/>
      <c r="L55" s="15"/>
      <c r="M55" s="15"/>
      <c r="N55" s="15"/>
      <c r="O55" s="15"/>
      <c r="P55" s="15"/>
      <c r="Q55" s="15"/>
      <c r="R55" s="15"/>
      <c r="S55" s="15"/>
      <c r="T55" s="15"/>
      <c r="U55" s="15"/>
      <c r="V55" s="15"/>
      <c r="W55" s="15"/>
      <c r="X55" s="15"/>
      <c r="Y55" s="15"/>
      <c r="Z55" s="15"/>
    </row>
    <row r="56" spans="1:26" ht="14.25" customHeight="1" x14ac:dyDescent="0.25">
      <c r="A56" s="486" t="s">
        <v>1380</v>
      </c>
      <c r="B56" s="437"/>
      <c r="C56" s="438"/>
      <c r="D56" s="438"/>
      <c r="E56" s="438"/>
      <c r="F56" s="438"/>
      <c r="G56" s="438"/>
      <c r="H56" s="15"/>
      <c r="I56" s="15"/>
      <c r="J56" s="15"/>
      <c r="K56" s="167"/>
      <c r="L56" s="15"/>
      <c r="M56" s="15"/>
      <c r="N56" s="15"/>
      <c r="O56" s="15"/>
      <c r="P56" s="15"/>
      <c r="Q56" s="15"/>
      <c r="R56" s="15"/>
      <c r="S56" s="15"/>
      <c r="T56" s="15"/>
      <c r="U56" s="15"/>
      <c r="V56" s="15"/>
      <c r="W56" s="15"/>
      <c r="X56" s="15"/>
      <c r="Y56" s="15"/>
      <c r="Z56" s="15"/>
    </row>
    <row r="57" spans="1:26" ht="14.25" customHeight="1" x14ac:dyDescent="0.25">
      <c r="A57" s="485" t="s">
        <v>1452</v>
      </c>
      <c r="B57" s="447" t="s">
        <v>315</v>
      </c>
      <c r="C57" s="484">
        <v>122000</v>
      </c>
      <c r="D57" s="484">
        <v>120000</v>
      </c>
      <c r="E57" s="438">
        <f>F57-D57</f>
        <v>10000</v>
      </c>
      <c r="F57" s="484">
        <v>130000</v>
      </c>
      <c r="G57" s="438">
        <v>130000</v>
      </c>
      <c r="H57" s="15"/>
      <c r="I57" s="15"/>
      <c r="J57" s="15"/>
      <c r="K57" s="167"/>
      <c r="L57" s="15"/>
      <c r="M57" s="15"/>
      <c r="N57" s="15"/>
      <c r="O57" s="15"/>
      <c r="P57" s="15"/>
      <c r="Q57" s="15"/>
      <c r="R57" s="15"/>
      <c r="S57" s="15"/>
      <c r="T57" s="15"/>
      <c r="U57" s="15"/>
      <c r="V57" s="15"/>
      <c r="W57" s="15"/>
      <c r="X57" s="15"/>
      <c r="Y57" s="15"/>
      <c r="Z57" s="15"/>
    </row>
    <row r="58" spans="1:26" ht="14.25" customHeight="1" x14ac:dyDescent="0.25">
      <c r="A58" s="486" t="s">
        <v>511</v>
      </c>
      <c r="B58" s="447"/>
      <c r="C58" s="484"/>
      <c r="D58" s="484"/>
      <c r="E58" s="484"/>
      <c r="F58" s="484"/>
      <c r="G58" s="438"/>
      <c r="H58" s="15"/>
      <c r="I58" s="15"/>
      <c r="J58" s="15"/>
      <c r="K58" s="167"/>
      <c r="L58" s="15"/>
      <c r="M58" s="15"/>
      <c r="N58" s="15"/>
      <c r="O58" s="15"/>
      <c r="P58" s="15"/>
      <c r="Q58" s="15"/>
      <c r="R58" s="15"/>
      <c r="S58" s="15"/>
      <c r="T58" s="15"/>
      <c r="U58" s="15"/>
      <c r="V58" s="15"/>
      <c r="W58" s="15"/>
      <c r="X58" s="15"/>
      <c r="Y58" s="15"/>
      <c r="Z58" s="15"/>
    </row>
    <row r="59" spans="1:26" ht="14.25" customHeight="1" x14ac:dyDescent="0.25">
      <c r="A59" s="485" t="s">
        <v>837</v>
      </c>
      <c r="B59" s="437" t="s">
        <v>333</v>
      </c>
      <c r="C59" s="443">
        <v>19000000</v>
      </c>
      <c r="D59" s="484">
        <v>9000000</v>
      </c>
      <c r="E59" s="438">
        <f>F59-D59</f>
        <v>11000000</v>
      </c>
      <c r="F59" s="484">
        <v>20000000</v>
      </c>
      <c r="G59" s="438">
        <v>45410000</v>
      </c>
      <c r="H59" s="167">
        <f>SUM(K60:K68)</f>
        <v>45410000</v>
      </c>
      <c r="I59" s="15"/>
      <c r="J59" s="15"/>
      <c r="K59" s="167"/>
      <c r="L59" s="15"/>
      <c r="M59" s="15"/>
      <c r="N59" s="15"/>
      <c r="O59" s="15"/>
      <c r="P59" s="15"/>
      <c r="Q59" s="15"/>
      <c r="R59" s="15"/>
      <c r="S59" s="15"/>
      <c r="T59" s="15"/>
      <c r="U59" s="15"/>
      <c r="V59" s="15"/>
      <c r="W59" s="15"/>
      <c r="X59" s="15"/>
      <c r="Y59" s="15"/>
      <c r="Z59" s="15"/>
    </row>
    <row r="60" spans="1:26" ht="13.9" customHeight="1" x14ac:dyDescent="0.25">
      <c r="A60" s="602" t="s">
        <v>1841</v>
      </c>
      <c r="B60" s="598"/>
      <c r="C60" s="77"/>
      <c r="D60" s="618"/>
      <c r="E60" s="457"/>
      <c r="F60" s="618"/>
      <c r="G60" s="757"/>
      <c r="H60" s="15"/>
      <c r="I60" s="15"/>
      <c r="J60" s="15"/>
      <c r="K60" s="167">
        <v>20000000</v>
      </c>
      <c r="L60" s="15"/>
      <c r="M60" s="15"/>
      <c r="N60" s="15"/>
      <c r="O60" s="15"/>
      <c r="P60" s="15"/>
      <c r="Q60" s="15"/>
      <c r="R60" s="15"/>
      <c r="S60" s="15"/>
      <c r="T60" s="15"/>
      <c r="U60" s="15"/>
      <c r="V60" s="15"/>
      <c r="W60" s="15"/>
      <c r="X60" s="15"/>
      <c r="Y60" s="15"/>
      <c r="Z60" s="15"/>
    </row>
    <row r="61" spans="1:26" ht="14.25" customHeight="1" x14ac:dyDescent="0.25">
      <c r="A61" s="671" t="s">
        <v>1842</v>
      </c>
      <c r="B61" s="542"/>
      <c r="C61" s="497"/>
      <c r="D61" s="513"/>
      <c r="E61" s="448"/>
      <c r="F61" s="513"/>
      <c r="G61" s="758"/>
      <c r="H61" s="15"/>
      <c r="I61" s="15"/>
      <c r="J61" s="15"/>
      <c r="K61" s="167">
        <v>100000</v>
      </c>
      <c r="L61" s="15"/>
      <c r="M61" s="15"/>
      <c r="N61" s="15"/>
      <c r="O61" s="15"/>
      <c r="P61" s="15"/>
      <c r="Q61" s="15"/>
      <c r="R61" s="15"/>
      <c r="S61" s="15"/>
      <c r="T61" s="15"/>
      <c r="U61" s="15"/>
      <c r="V61" s="15"/>
      <c r="W61" s="15"/>
      <c r="X61" s="15"/>
      <c r="Y61" s="15"/>
      <c r="Z61" s="15"/>
    </row>
    <row r="62" spans="1:26" ht="14.25" customHeight="1" x14ac:dyDescent="0.25">
      <c r="A62" s="696" t="s">
        <v>1843</v>
      </c>
      <c r="B62" s="487"/>
      <c r="C62" s="443"/>
      <c r="D62" s="484"/>
      <c r="E62" s="438"/>
      <c r="F62" s="484"/>
      <c r="G62" s="755"/>
      <c r="H62" s="15"/>
      <c r="I62" s="15"/>
      <c r="J62" s="15"/>
      <c r="K62" s="167">
        <v>900000</v>
      </c>
      <c r="L62" s="15"/>
      <c r="M62" s="15"/>
      <c r="N62" s="15"/>
      <c r="O62" s="15"/>
      <c r="P62" s="15"/>
      <c r="Q62" s="15"/>
      <c r="R62" s="15"/>
      <c r="S62" s="15"/>
      <c r="T62" s="15"/>
      <c r="U62" s="15"/>
      <c r="V62" s="15"/>
      <c r="W62" s="15"/>
      <c r="X62" s="15"/>
      <c r="Y62" s="15"/>
      <c r="Z62" s="15"/>
    </row>
    <row r="63" spans="1:26" ht="14.25" customHeight="1" x14ac:dyDescent="0.25">
      <c r="A63" s="696" t="s">
        <v>1844</v>
      </c>
      <c r="B63" s="487"/>
      <c r="C63" s="443"/>
      <c r="D63" s="484"/>
      <c r="E63" s="438"/>
      <c r="F63" s="484"/>
      <c r="G63" s="755"/>
      <c r="H63" s="15"/>
      <c r="I63" s="15"/>
      <c r="J63" s="15"/>
      <c r="K63" s="167">
        <v>275000</v>
      </c>
      <c r="L63" s="15"/>
      <c r="M63" s="15"/>
      <c r="N63" s="15"/>
      <c r="O63" s="15"/>
      <c r="P63" s="15"/>
      <c r="Q63" s="15"/>
      <c r="R63" s="15"/>
      <c r="S63" s="15"/>
      <c r="T63" s="15"/>
      <c r="U63" s="15"/>
      <c r="V63" s="15"/>
      <c r="W63" s="15"/>
      <c r="X63" s="15"/>
      <c r="Y63" s="15"/>
      <c r="Z63" s="15"/>
    </row>
    <row r="64" spans="1:26" ht="14.25" customHeight="1" x14ac:dyDescent="0.25">
      <c r="A64" s="696" t="s">
        <v>1845</v>
      </c>
      <c r="B64" s="487"/>
      <c r="C64" s="443"/>
      <c r="D64" s="484"/>
      <c r="E64" s="438"/>
      <c r="F64" s="484"/>
      <c r="G64" s="755"/>
      <c r="H64" s="15"/>
      <c r="I64" s="15"/>
      <c r="J64" s="15"/>
      <c r="K64" s="167">
        <v>75000</v>
      </c>
      <c r="L64" s="15"/>
      <c r="M64" s="15"/>
      <c r="N64" s="15"/>
      <c r="O64" s="15"/>
      <c r="P64" s="15"/>
      <c r="Q64" s="15"/>
      <c r="R64" s="15"/>
      <c r="S64" s="15"/>
      <c r="T64" s="15"/>
      <c r="U64" s="15"/>
      <c r="V64" s="15"/>
      <c r="W64" s="15"/>
      <c r="X64" s="15"/>
      <c r="Y64" s="15"/>
      <c r="Z64" s="15"/>
    </row>
    <row r="65" spans="1:26" ht="14.25" customHeight="1" x14ac:dyDescent="0.25">
      <c r="A65" s="696" t="s">
        <v>1846</v>
      </c>
      <c r="B65" s="487"/>
      <c r="C65" s="443"/>
      <c r="D65" s="484"/>
      <c r="E65" s="438"/>
      <c r="F65" s="484"/>
      <c r="G65" s="755"/>
      <c r="H65" s="15"/>
      <c r="I65" s="15"/>
      <c r="J65" s="15"/>
      <c r="K65" s="167">
        <v>20000000</v>
      </c>
      <c r="L65" s="15"/>
      <c r="M65" s="15"/>
      <c r="N65" s="15"/>
      <c r="O65" s="15"/>
      <c r="P65" s="15"/>
      <c r="Q65" s="15"/>
      <c r="R65" s="15"/>
      <c r="S65" s="15"/>
      <c r="T65" s="15"/>
      <c r="U65" s="15"/>
      <c r="V65" s="15"/>
      <c r="W65" s="15"/>
      <c r="X65" s="15"/>
      <c r="Y65" s="15"/>
      <c r="Z65" s="15"/>
    </row>
    <row r="66" spans="1:26" ht="14.25" customHeight="1" x14ac:dyDescent="0.25">
      <c r="A66" s="696" t="s">
        <v>1847</v>
      </c>
      <c r="B66" s="487"/>
      <c r="C66" s="443"/>
      <c r="D66" s="484"/>
      <c r="E66" s="438"/>
      <c r="F66" s="484"/>
      <c r="G66" s="755"/>
      <c r="H66" s="15"/>
      <c r="I66" s="15"/>
      <c r="J66" s="15"/>
      <c r="K66" s="167">
        <v>2000000</v>
      </c>
      <c r="L66" s="15"/>
      <c r="M66" s="15"/>
      <c r="N66" s="15"/>
      <c r="O66" s="15"/>
      <c r="P66" s="15"/>
      <c r="Q66" s="15"/>
      <c r="R66" s="15"/>
      <c r="S66" s="15"/>
      <c r="T66" s="15"/>
      <c r="U66" s="15"/>
      <c r="V66" s="15"/>
      <c r="W66" s="15"/>
      <c r="X66" s="15"/>
      <c r="Y66" s="15"/>
      <c r="Z66" s="15"/>
    </row>
    <row r="67" spans="1:26" ht="14.25" customHeight="1" x14ac:dyDescent="0.25">
      <c r="A67" s="696" t="s">
        <v>1848</v>
      </c>
      <c r="B67" s="487"/>
      <c r="C67" s="443"/>
      <c r="D67" s="484"/>
      <c r="E67" s="438"/>
      <c r="F67" s="484"/>
      <c r="G67" s="755"/>
      <c r="H67" s="15"/>
      <c r="I67" s="15"/>
      <c r="J67" s="15"/>
      <c r="K67" s="167">
        <v>200000</v>
      </c>
      <c r="L67" s="15"/>
      <c r="M67" s="15"/>
      <c r="N67" s="15"/>
      <c r="O67" s="15"/>
      <c r="P67" s="15"/>
      <c r="Q67" s="15"/>
      <c r="R67" s="15"/>
      <c r="S67" s="15"/>
      <c r="T67" s="15"/>
      <c r="U67" s="15"/>
      <c r="V67" s="15"/>
      <c r="W67" s="15"/>
      <c r="X67" s="15"/>
      <c r="Y67" s="15"/>
      <c r="Z67" s="15"/>
    </row>
    <row r="68" spans="1:26" ht="14.25" customHeight="1" x14ac:dyDescent="0.25">
      <c r="A68" s="696" t="s">
        <v>1849</v>
      </c>
      <c r="B68" s="487"/>
      <c r="C68" s="443"/>
      <c r="D68" s="484"/>
      <c r="E68" s="438"/>
      <c r="F68" s="484"/>
      <c r="G68" s="755"/>
      <c r="H68" s="15"/>
      <c r="I68" s="15"/>
      <c r="J68" s="15"/>
      <c r="K68" s="167">
        <v>1860000</v>
      </c>
      <c r="L68" s="15"/>
      <c r="M68" s="15"/>
      <c r="N68" s="15"/>
      <c r="O68" s="15"/>
      <c r="P68" s="15"/>
      <c r="Q68" s="15"/>
      <c r="R68" s="15"/>
      <c r="S68" s="15"/>
      <c r="T68" s="15"/>
      <c r="U68" s="15"/>
      <c r="V68" s="15"/>
      <c r="W68" s="15"/>
      <c r="X68" s="15"/>
      <c r="Y68" s="15"/>
      <c r="Z68" s="15"/>
    </row>
    <row r="69" spans="1:26" ht="14.25" customHeight="1" x14ac:dyDescent="0.25">
      <c r="A69" s="696" t="s">
        <v>511</v>
      </c>
      <c r="B69" s="487" t="s">
        <v>335</v>
      </c>
      <c r="C69" s="443">
        <v>0</v>
      </c>
      <c r="D69" s="484">
        <v>99894.6</v>
      </c>
      <c r="E69" s="438">
        <v>105.4</v>
      </c>
      <c r="F69" s="484">
        <v>100000</v>
      </c>
      <c r="G69" s="541">
        <v>4724864</v>
      </c>
      <c r="H69" s="167">
        <f>SUM(K70:K115)</f>
        <v>4724864</v>
      </c>
      <c r="I69" s="15"/>
      <c r="J69" s="15"/>
      <c r="K69" s="167"/>
      <c r="L69" s="15"/>
      <c r="M69" s="15"/>
      <c r="N69" s="15"/>
      <c r="O69" s="15"/>
      <c r="P69" s="15"/>
      <c r="Q69" s="15"/>
      <c r="R69" s="15"/>
      <c r="S69" s="15"/>
      <c r="T69" s="15"/>
      <c r="U69" s="15"/>
      <c r="V69" s="15"/>
      <c r="W69" s="15"/>
      <c r="X69" s="15"/>
      <c r="Y69" s="15"/>
      <c r="Z69" s="15"/>
    </row>
    <row r="70" spans="1:26" ht="14.25" customHeight="1" x14ac:dyDescent="0.25">
      <c r="A70" s="583" t="s">
        <v>1850</v>
      </c>
      <c r="B70" s="487"/>
      <c r="C70" s="443"/>
      <c r="D70" s="484"/>
      <c r="E70" s="438"/>
      <c r="F70" s="484"/>
      <c r="G70" s="438"/>
      <c r="H70" s="15"/>
      <c r="I70" s="15"/>
      <c r="J70" s="15"/>
      <c r="K70" s="167">
        <v>158400</v>
      </c>
      <c r="L70" s="15"/>
      <c r="M70" s="15"/>
      <c r="N70" s="15"/>
      <c r="O70" s="15"/>
      <c r="P70" s="15"/>
      <c r="Q70" s="15"/>
      <c r="R70" s="15"/>
      <c r="S70" s="15"/>
      <c r="T70" s="15"/>
      <c r="U70" s="15"/>
      <c r="V70" s="15"/>
      <c r="W70" s="15"/>
      <c r="X70" s="15"/>
      <c r="Y70" s="15"/>
      <c r="Z70" s="15"/>
    </row>
    <row r="71" spans="1:26" ht="14.25" customHeight="1" x14ac:dyDescent="0.25">
      <c r="A71" s="583" t="s">
        <v>1851</v>
      </c>
      <c r="B71" s="487"/>
      <c r="C71" s="443"/>
      <c r="D71" s="484"/>
      <c r="E71" s="438"/>
      <c r="F71" s="484"/>
      <c r="G71" s="438"/>
      <c r="H71" s="15"/>
      <c r="I71" s="15"/>
      <c r="J71" s="15"/>
      <c r="K71" s="167"/>
      <c r="L71" s="15"/>
      <c r="M71" s="15"/>
      <c r="N71" s="15"/>
      <c r="O71" s="15"/>
      <c r="P71" s="15"/>
      <c r="Q71" s="15"/>
      <c r="R71" s="15"/>
      <c r="S71" s="15"/>
      <c r="T71" s="15"/>
      <c r="U71" s="15"/>
      <c r="V71" s="15"/>
      <c r="W71" s="15"/>
      <c r="X71" s="15"/>
      <c r="Y71" s="15"/>
      <c r="Z71" s="15"/>
    </row>
    <row r="72" spans="1:26" ht="14.25" customHeight="1" x14ac:dyDescent="0.25">
      <c r="A72" s="460" t="s">
        <v>1852</v>
      </c>
      <c r="B72" s="454"/>
      <c r="C72" s="443"/>
      <c r="D72" s="443"/>
      <c r="E72" s="443"/>
      <c r="F72" s="443"/>
      <c r="G72" s="462"/>
      <c r="H72" s="15"/>
      <c r="I72" s="15"/>
      <c r="J72" s="15"/>
      <c r="K72" s="167">
        <v>279000</v>
      </c>
      <c r="L72" s="15"/>
      <c r="M72" s="15"/>
      <c r="N72" s="15"/>
      <c r="O72" s="15"/>
      <c r="P72" s="15"/>
      <c r="Q72" s="15"/>
      <c r="R72" s="15"/>
      <c r="S72" s="15"/>
      <c r="T72" s="15"/>
      <c r="U72" s="15"/>
      <c r="V72" s="15"/>
      <c r="W72" s="15"/>
      <c r="X72" s="15"/>
      <c r="Y72" s="15"/>
      <c r="Z72" s="15"/>
    </row>
    <row r="73" spans="1:26" ht="14.25" customHeight="1" x14ac:dyDescent="0.25">
      <c r="A73" s="460" t="s">
        <v>1853</v>
      </c>
      <c r="B73" s="454"/>
      <c r="C73" s="443"/>
      <c r="D73" s="443"/>
      <c r="E73" s="443"/>
      <c r="F73" s="443"/>
      <c r="G73" s="462"/>
      <c r="H73" s="15"/>
      <c r="I73" s="15"/>
      <c r="J73" s="15"/>
      <c r="K73" s="167">
        <v>68820</v>
      </c>
      <c r="L73" s="15"/>
      <c r="M73" s="15"/>
      <c r="N73" s="15"/>
      <c r="O73" s="15"/>
      <c r="P73" s="15"/>
      <c r="Q73" s="15"/>
      <c r="R73" s="15"/>
      <c r="S73" s="15"/>
      <c r="T73" s="15"/>
      <c r="U73" s="15"/>
      <c r="V73" s="15"/>
      <c r="W73" s="15"/>
      <c r="X73" s="15"/>
      <c r="Y73" s="15"/>
      <c r="Z73" s="15"/>
    </row>
    <row r="74" spans="1:26" ht="14.25" customHeight="1" x14ac:dyDescent="0.25">
      <c r="A74" s="756" t="s">
        <v>1854</v>
      </c>
      <c r="B74" s="487"/>
      <c r="C74" s="443"/>
      <c r="D74" s="484"/>
      <c r="E74" s="438"/>
      <c r="F74" s="484"/>
      <c r="G74" s="438"/>
      <c r="H74" s="15"/>
      <c r="I74" s="15"/>
      <c r="J74" s="15"/>
      <c r="K74" s="167">
        <v>37000</v>
      </c>
      <c r="L74" s="15"/>
      <c r="M74" s="15"/>
      <c r="N74" s="15"/>
      <c r="O74" s="15"/>
      <c r="P74" s="15"/>
      <c r="Q74" s="15"/>
      <c r="R74" s="15"/>
      <c r="S74" s="15"/>
      <c r="T74" s="15"/>
      <c r="U74" s="15"/>
      <c r="V74" s="15"/>
      <c r="W74" s="15"/>
      <c r="X74" s="15"/>
      <c r="Y74" s="15"/>
      <c r="Z74" s="15"/>
    </row>
    <row r="75" spans="1:26" ht="14.25" customHeight="1" x14ac:dyDescent="0.25">
      <c r="A75" s="583" t="s">
        <v>1855</v>
      </c>
      <c r="B75" s="487"/>
      <c r="C75" s="443"/>
      <c r="D75" s="484"/>
      <c r="E75" s="438"/>
      <c r="F75" s="484"/>
      <c r="G75" s="438"/>
      <c r="H75" s="15"/>
      <c r="I75" s="15"/>
      <c r="J75" s="15"/>
      <c r="K75" s="167"/>
      <c r="L75" s="15"/>
      <c r="M75" s="15"/>
      <c r="N75" s="15"/>
      <c r="O75" s="15"/>
      <c r="P75" s="15"/>
      <c r="Q75" s="15"/>
      <c r="R75" s="15"/>
      <c r="S75" s="15"/>
      <c r="T75" s="15"/>
      <c r="U75" s="15"/>
      <c r="V75" s="15"/>
      <c r="W75" s="15"/>
      <c r="X75" s="15"/>
      <c r="Y75" s="15"/>
      <c r="Z75" s="15"/>
    </row>
    <row r="76" spans="1:26" ht="14.25" customHeight="1" x14ac:dyDescent="0.25">
      <c r="A76" s="583" t="s">
        <v>1856</v>
      </c>
      <c r="B76" s="487"/>
      <c r="C76" s="443"/>
      <c r="D76" s="484"/>
      <c r="E76" s="438"/>
      <c r="F76" s="484"/>
      <c r="G76" s="438"/>
      <c r="H76" s="15"/>
      <c r="I76" s="15"/>
      <c r="J76" s="15"/>
      <c r="K76" s="167">
        <v>550000</v>
      </c>
      <c r="L76" s="15"/>
      <c r="M76" s="15"/>
      <c r="N76" s="15"/>
      <c r="O76" s="15"/>
      <c r="P76" s="15"/>
      <c r="Q76" s="15"/>
      <c r="R76" s="15"/>
      <c r="S76" s="15"/>
      <c r="T76" s="15"/>
      <c r="U76" s="15"/>
      <c r="V76" s="15"/>
      <c r="W76" s="15"/>
      <c r="X76" s="15"/>
      <c r="Y76" s="15"/>
      <c r="Z76" s="15"/>
    </row>
    <row r="77" spans="1:26" ht="14.25" customHeight="1" x14ac:dyDescent="0.25">
      <c r="A77" s="583" t="s">
        <v>1857</v>
      </c>
      <c r="B77" s="487"/>
      <c r="C77" s="443"/>
      <c r="D77" s="484"/>
      <c r="E77" s="438"/>
      <c r="F77" s="484"/>
      <c r="G77" s="438"/>
      <c r="H77" s="15"/>
      <c r="I77" s="15"/>
      <c r="J77" s="15"/>
      <c r="K77" s="167">
        <v>37500</v>
      </c>
      <c r="L77" s="15"/>
      <c r="M77" s="15"/>
      <c r="N77" s="15"/>
      <c r="O77" s="15"/>
      <c r="P77" s="15"/>
      <c r="Q77" s="15"/>
      <c r="R77" s="15"/>
      <c r="S77" s="15"/>
      <c r="T77" s="15"/>
      <c r="U77" s="15"/>
      <c r="V77" s="15"/>
      <c r="W77" s="15"/>
      <c r="X77" s="15"/>
      <c r="Y77" s="15"/>
      <c r="Z77" s="15"/>
    </row>
    <row r="78" spans="1:26" ht="14.25" customHeight="1" x14ac:dyDescent="0.25">
      <c r="A78" s="583" t="s">
        <v>1858</v>
      </c>
      <c r="B78" s="487"/>
      <c r="C78" s="443"/>
      <c r="D78" s="484"/>
      <c r="E78" s="438"/>
      <c r="F78" s="484"/>
      <c r="G78" s="438"/>
      <c r="H78" s="15"/>
      <c r="I78" s="15"/>
      <c r="J78" s="15"/>
      <c r="K78" s="167"/>
      <c r="L78" s="15"/>
      <c r="M78" s="15"/>
      <c r="N78" s="15"/>
      <c r="O78" s="15"/>
      <c r="P78" s="15"/>
      <c r="Q78" s="15"/>
      <c r="R78" s="15"/>
      <c r="S78" s="15"/>
      <c r="T78" s="15"/>
      <c r="U78" s="15"/>
      <c r="V78" s="15"/>
      <c r="W78" s="15"/>
      <c r="X78" s="15"/>
      <c r="Y78" s="15"/>
      <c r="Z78" s="15"/>
    </row>
    <row r="79" spans="1:26" ht="14.25" customHeight="1" x14ac:dyDescent="0.25">
      <c r="A79" s="583" t="s">
        <v>1859</v>
      </c>
      <c r="B79" s="487"/>
      <c r="C79" s="443"/>
      <c r="D79" s="484"/>
      <c r="E79" s="438"/>
      <c r="F79" s="484"/>
      <c r="G79" s="438"/>
      <c r="H79" s="15"/>
      <c r="I79" s="15"/>
      <c r="J79" s="15"/>
      <c r="K79" s="167">
        <v>100000</v>
      </c>
      <c r="L79" s="15"/>
      <c r="M79" s="15"/>
      <c r="N79" s="15"/>
      <c r="O79" s="15"/>
      <c r="P79" s="15"/>
      <c r="Q79" s="15"/>
      <c r="R79" s="15"/>
      <c r="S79" s="15"/>
      <c r="T79" s="15"/>
      <c r="U79" s="15"/>
      <c r="V79" s="15"/>
      <c r="W79" s="15"/>
      <c r="X79" s="15"/>
      <c r="Y79" s="15"/>
      <c r="Z79" s="15"/>
    </row>
    <row r="80" spans="1:26" ht="14.25" customHeight="1" x14ac:dyDescent="0.25">
      <c r="A80" s="583" t="s">
        <v>1860</v>
      </c>
      <c r="B80" s="487"/>
      <c r="C80" s="443"/>
      <c r="D80" s="484"/>
      <c r="E80" s="438"/>
      <c r="F80" s="484"/>
      <c r="G80" s="438"/>
      <c r="H80" s="15"/>
      <c r="I80" s="15"/>
      <c r="J80" s="15"/>
      <c r="K80" s="167"/>
      <c r="L80" s="15"/>
      <c r="M80" s="15"/>
      <c r="N80" s="15"/>
      <c r="O80" s="15"/>
      <c r="P80" s="15"/>
      <c r="Q80" s="15"/>
      <c r="R80" s="15"/>
      <c r="S80" s="15"/>
      <c r="T80" s="15"/>
      <c r="U80" s="15"/>
      <c r="V80" s="15"/>
      <c r="W80" s="15"/>
      <c r="X80" s="15"/>
      <c r="Y80" s="15"/>
      <c r="Z80" s="15"/>
    </row>
    <row r="81" spans="1:26" ht="14.25" customHeight="1" x14ac:dyDescent="0.25">
      <c r="A81" s="583" t="s">
        <v>1861</v>
      </c>
      <c r="B81" s="487"/>
      <c r="C81" s="443"/>
      <c r="D81" s="484"/>
      <c r="E81" s="438"/>
      <c r="F81" s="484"/>
      <c r="G81" s="438"/>
      <c r="H81" s="15"/>
      <c r="I81" s="15"/>
      <c r="J81" s="15"/>
      <c r="K81" s="167">
        <v>75000</v>
      </c>
      <c r="L81" s="15"/>
      <c r="M81" s="15"/>
      <c r="N81" s="15"/>
      <c r="O81" s="15"/>
      <c r="P81" s="15"/>
      <c r="Q81" s="15"/>
      <c r="R81" s="15"/>
      <c r="S81" s="15"/>
      <c r="T81" s="15"/>
      <c r="U81" s="15"/>
      <c r="V81" s="15"/>
      <c r="W81" s="15"/>
      <c r="X81" s="15"/>
      <c r="Y81" s="15"/>
      <c r="Z81" s="15"/>
    </row>
    <row r="82" spans="1:26" ht="14.25" customHeight="1" x14ac:dyDescent="0.25">
      <c r="A82" s="583" t="s">
        <v>1862</v>
      </c>
      <c r="B82" s="487"/>
      <c r="C82" s="443"/>
      <c r="D82" s="484"/>
      <c r="E82" s="438"/>
      <c r="F82" s="484"/>
      <c r="G82" s="438"/>
      <c r="H82" s="15"/>
      <c r="I82" s="15"/>
      <c r="J82" s="15"/>
      <c r="K82" s="167">
        <v>30000</v>
      </c>
      <c r="L82" s="15"/>
      <c r="M82" s="15"/>
      <c r="N82" s="15"/>
      <c r="O82" s="15"/>
      <c r="P82" s="15"/>
      <c r="Q82" s="15"/>
      <c r="R82" s="15"/>
      <c r="S82" s="15"/>
      <c r="T82" s="15"/>
      <c r="U82" s="15"/>
      <c r="V82" s="15"/>
      <c r="W82" s="15"/>
      <c r="X82" s="15"/>
      <c r="Y82" s="15"/>
      <c r="Z82" s="15"/>
    </row>
    <row r="83" spans="1:26" ht="14.25" customHeight="1" x14ac:dyDescent="0.25">
      <c r="A83" s="583" t="s">
        <v>1863</v>
      </c>
      <c r="B83" s="487"/>
      <c r="C83" s="443"/>
      <c r="D83" s="484"/>
      <c r="E83" s="438"/>
      <c r="F83" s="484"/>
      <c r="G83" s="438"/>
      <c r="H83" s="15"/>
      <c r="I83" s="15"/>
      <c r="J83" s="15"/>
      <c r="K83" s="167">
        <v>15000</v>
      </c>
      <c r="L83" s="15"/>
      <c r="M83" s="15"/>
      <c r="N83" s="15"/>
      <c r="O83" s="15"/>
      <c r="P83" s="15"/>
      <c r="Q83" s="15"/>
      <c r="R83" s="15"/>
      <c r="S83" s="15"/>
      <c r="T83" s="15"/>
      <c r="U83" s="15"/>
      <c r="V83" s="15"/>
      <c r="W83" s="15"/>
      <c r="X83" s="15"/>
      <c r="Y83" s="15"/>
      <c r="Z83" s="15"/>
    </row>
    <row r="84" spans="1:26" ht="14.25" customHeight="1" x14ac:dyDescent="0.25">
      <c r="A84" s="583" t="s">
        <v>1864</v>
      </c>
      <c r="B84" s="487"/>
      <c r="C84" s="443"/>
      <c r="D84" s="484"/>
      <c r="E84" s="438"/>
      <c r="F84" s="484"/>
      <c r="G84" s="438"/>
      <c r="H84" s="15"/>
      <c r="I84" s="15"/>
      <c r="J84" s="15"/>
      <c r="K84" s="167"/>
      <c r="L84" s="15"/>
      <c r="M84" s="15"/>
      <c r="N84" s="15"/>
      <c r="O84" s="15"/>
      <c r="P84" s="15"/>
      <c r="Q84" s="15"/>
      <c r="R84" s="15"/>
      <c r="S84" s="15"/>
      <c r="T84" s="15"/>
      <c r="U84" s="15"/>
      <c r="V84" s="15"/>
      <c r="W84" s="15"/>
      <c r="X84" s="15"/>
      <c r="Y84" s="15"/>
      <c r="Z84" s="15"/>
    </row>
    <row r="85" spans="1:26" ht="14.25" customHeight="1" x14ac:dyDescent="0.25">
      <c r="A85" s="583" t="s">
        <v>1865</v>
      </c>
      <c r="B85" s="487"/>
      <c r="C85" s="443"/>
      <c r="D85" s="484"/>
      <c r="E85" s="438"/>
      <c r="F85" s="484"/>
      <c r="G85" s="438"/>
      <c r="H85" s="15"/>
      <c r="I85" s="15"/>
      <c r="J85" s="15"/>
      <c r="K85" s="167">
        <v>15000</v>
      </c>
      <c r="L85" s="15"/>
      <c r="M85" s="15"/>
      <c r="N85" s="15"/>
      <c r="O85" s="15"/>
      <c r="P85" s="15"/>
      <c r="Q85" s="15"/>
      <c r="R85" s="15"/>
      <c r="S85" s="15"/>
      <c r="T85" s="15"/>
      <c r="U85" s="15"/>
      <c r="V85" s="15"/>
      <c r="W85" s="15"/>
      <c r="X85" s="15"/>
      <c r="Y85" s="15"/>
      <c r="Z85" s="15"/>
    </row>
    <row r="86" spans="1:26" ht="14.25" customHeight="1" x14ac:dyDescent="0.25">
      <c r="A86" s="583" t="s">
        <v>1866</v>
      </c>
      <c r="B86" s="487"/>
      <c r="C86" s="443"/>
      <c r="D86" s="484"/>
      <c r="E86" s="438"/>
      <c r="F86" s="484"/>
      <c r="G86" s="438"/>
      <c r="H86" s="15"/>
      <c r="I86" s="15"/>
      <c r="J86" s="15"/>
      <c r="K86" s="167">
        <v>48840</v>
      </c>
      <c r="L86" s="15"/>
      <c r="M86" s="15"/>
      <c r="N86" s="15"/>
      <c r="O86" s="15"/>
      <c r="P86" s="15"/>
      <c r="Q86" s="15"/>
      <c r="R86" s="15"/>
      <c r="S86" s="15"/>
      <c r="T86" s="15"/>
      <c r="U86" s="15"/>
      <c r="V86" s="15"/>
      <c r="W86" s="15"/>
      <c r="X86" s="15"/>
      <c r="Y86" s="15"/>
      <c r="Z86" s="15"/>
    </row>
    <row r="87" spans="1:26" ht="14.25" customHeight="1" x14ac:dyDescent="0.25">
      <c r="A87" s="583" t="s">
        <v>1867</v>
      </c>
      <c r="B87" s="487"/>
      <c r="C87" s="443"/>
      <c r="D87" s="484"/>
      <c r="E87" s="438"/>
      <c r="F87" s="484"/>
      <c r="G87" s="438"/>
      <c r="H87" s="15"/>
      <c r="I87" s="15"/>
      <c r="J87" s="15"/>
      <c r="K87" s="167">
        <v>15000</v>
      </c>
      <c r="L87" s="15"/>
      <c r="M87" s="15"/>
      <c r="N87" s="15"/>
      <c r="O87" s="15"/>
      <c r="P87" s="15"/>
      <c r="Q87" s="15"/>
      <c r="R87" s="15"/>
      <c r="S87" s="15"/>
      <c r="T87" s="15"/>
      <c r="U87" s="15"/>
      <c r="V87" s="15"/>
      <c r="W87" s="15"/>
      <c r="X87" s="15"/>
      <c r="Y87" s="15"/>
      <c r="Z87" s="15"/>
    </row>
    <row r="88" spans="1:26" ht="14.25" customHeight="1" x14ac:dyDescent="0.25">
      <c r="A88" s="583" t="s">
        <v>1868</v>
      </c>
      <c r="B88" s="487"/>
      <c r="C88" s="443"/>
      <c r="D88" s="484"/>
      <c r="E88" s="438"/>
      <c r="F88" s="484"/>
      <c r="G88" s="438"/>
      <c r="H88" s="15"/>
      <c r="I88" s="15"/>
      <c r="J88" s="15"/>
      <c r="K88" s="167">
        <v>15000</v>
      </c>
      <c r="L88" s="15"/>
      <c r="M88" s="15"/>
      <c r="N88" s="15"/>
      <c r="O88" s="15"/>
      <c r="P88" s="15"/>
      <c r="Q88" s="15"/>
      <c r="R88" s="15"/>
      <c r="S88" s="15"/>
      <c r="T88" s="15"/>
      <c r="U88" s="15"/>
      <c r="V88" s="15"/>
      <c r="W88" s="15"/>
      <c r="X88" s="15"/>
      <c r="Y88" s="15"/>
      <c r="Z88" s="15"/>
    </row>
    <row r="89" spans="1:26" ht="14.25" customHeight="1" x14ac:dyDescent="0.25">
      <c r="A89" s="583" t="s">
        <v>1869</v>
      </c>
      <c r="B89" s="487"/>
      <c r="C89" s="443"/>
      <c r="D89" s="484"/>
      <c r="E89" s="438"/>
      <c r="F89" s="484"/>
      <c r="G89" s="438"/>
      <c r="H89" s="15"/>
      <c r="I89" s="15"/>
      <c r="J89" s="15"/>
      <c r="K89" s="167"/>
      <c r="L89" s="15"/>
      <c r="M89" s="15"/>
      <c r="N89" s="15"/>
      <c r="O89" s="15"/>
      <c r="P89" s="15"/>
      <c r="Q89" s="15"/>
      <c r="R89" s="15"/>
      <c r="S89" s="15"/>
      <c r="T89" s="15"/>
      <c r="U89" s="15"/>
      <c r="V89" s="15"/>
      <c r="W89" s="15"/>
      <c r="X89" s="15"/>
      <c r="Y89" s="15"/>
      <c r="Z89" s="15"/>
    </row>
    <row r="90" spans="1:26" ht="14.25" customHeight="1" x14ac:dyDescent="0.25">
      <c r="A90" s="583" t="s">
        <v>1870</v>
      </c>
      <c r="B90" s="487"/>
      <c r="C90" s="443"/>
      <c r="D90" s="484"/>
      <c r="E90" s="438"/>
      <c r="F90" s="484"/>
      <c r="G90" s="438"/>
      <c r="H90" s="15"/>
      <c r="I90" s="15"/>
      <c r="J90" s="15"/>
      <c r="K90" s="167">
        <v>15540</v>
      </c>
      <c r="L90" s="15"/>
      <c r="M90" s="15"/>
      <c r="N90" s="15"/>
      <c r="O90" s="15"/>
      <c r="P90" s="15"/>
      <c r="Q90" s="15"/>
      <c r="R90" s="15"/>
      <c r="S90" s="15"/>
      <c r="T90" s="15"/>
      <c r="U90" s="15"/>
      <c r="V90" s="15"/>
      <c r="W90" s="15"/>
      <c r="X90" s="15"/>
      <c r="Y90" s="15"/>
      <c r="Z90" s="15"/>
    </row>
    <row r="91" spans="1:26" ht="14.25" customHeight="1" x14ac:dyDescent="0.25">
      <c r="A91" s="583" t="s">
        <v>1871</v>
      </c>
      <c r="B91" s="487"/>
      <c r="C91" s="443"/>
      <c r="D91" s="484"/>
      <c r="E91" s="438"/>
      <c r="F91" s="484"/>
      <c r="G91" s="438"/>
      <c r="H91" s="15"/>
      <c r="I91" s="15"/>
      <c r="J91" s="15"/>
      <c r="K91" s="167"/>
      <c r="L91" s="15"/>
      <c r="M91" s="15"/>
      <c r="N91" s="15"/>
      <c r="O91" s="15"/>
      <c r="P91" s="15"/>
      <c r="Q91" s="15"/>
      <c r="R91" s="15"/>
      <c r="S91" s="15"/>
      <c r="T91" s="15"/>
      <c r="U91" s="15"/>
      <c r="V91" s="15"/>
      <c r="W91" s="15"/>
      <c r="X91" s="15"/>
      <c r="Y91" s="15"/>
      <c r="Z91" s="15"/>
    </row>
    <row r="92" spans="1:26" ht="14.25" customHeight="1" x14ac:dyDescent="0.25">
      <c r="A92" s="756" t="s">
        <v>1872</v>
      </c>
      <c r="B92" s="487"/>
      <c r="C92" s="443"/>
      <c r="D92" s="484"/>
      <c r="E92" s="438"/>
      <c r="F92" s="484"/>
      <c r="G92" s="438"/>
      <c r="H92" s="15"/>
      <c r="I92" s="15"/>
      <c r="J92" s="15"/>
      <c r="K92" s="167">
        <v>55500</v>
      </c>
      <c r="L92" s="15"/>
      <c r="M92" s="15"/>
      <c r="N92" s="15"/>
      <c r="O92" s="15"/>
      <c r="P92" s="15"/>
      <c r="Q92" s="15"/>
      <c r="R92" s="15"/>
      <c r="S92" s="15"/>
      <c r="T92" s="15"/>
      <c r="U92" s="15"/>
      <c r="V92" s="15"/>
      <c r="W92" s="15"/>
      <c r="X92" s="15"/>
      <c r="Y92" s="15"/>
      <c r="Z92" s="15"/>
    </row>
    <row r="93" spans="1:26" ht="14.25" customHeight="1" x14ac:dyDescent="0.25">
      <c r="A93" s="583" t="s">
        <v>1873</v>
      </c>
      <c r="B93" s="487"/>
      <c r="C93" s="443"/>
      <c r="D93" s="484"/>
      <c r="E93" s="438"/>
      <c r="F93" s="484"/>
      <c r="G93" s="438"/>
      <c r="H93" s="15"/>
      <c r="I93" s="15"/>
      <c r="J93" s="15"/>
      <c r="K93" s="167">
        <v>74000</v>
      </c>
      <c r="L93" s="15"/>
      <c r="M93" s="15"/>
      <c r="N93" s="15"/>
      <c r="O93" s="15"/>
      <c r="P93" s="15"/>
      <c r="Q93" s="15"/>
      <c r="R93" s="15"/>
      <c r="S93" s="15"/>
      <c r="T93" s="15"/>
      <c r="U93" s="15"/>
      <c r="V93" s="15"/>
      <c r="W93" s="15"/>
      <c r="X93" s="15"/>
      <c r="Y93" s="15"/>
      <c r="Z93" s="15"/>
    </row>
    <row r="94" spans="1:26" ht="14.25" customHeight="1" x14ac:dyDescent="0.25">
      <c r="A94" s="486" t="s">
        <v>1874</v>
      </c>
      <c r="B94" s="487"/>
      <c r="C94" s="443"/>
      <c r="D94" s="484"/>
      <c r="E94" s="438"/>
      <c r="F94" s="484"/>
      <c r="G94" s="438"/>
      <c r="H94" s="15"/>
      <c r="I94" s="15"/>
      <c r="J94" s="15"/>
      <c r="K94" s="167"/>
      <c r="L94" s="15"/>
      <c r="M94" s="15"/>
      <c r="N94" s="15"/>
      <c r="O94" s="15"/>
      <c r="P94" s="15"/>
      <c r="Q94" s="15"/>
      <c r="R94" s="15"/>
      <c r="S94" s="15"/>
      <c r="T94" s="15"/>
      <c r="U94" s="15"/>
      <c r="V94" s="15"/>
      <c r="W94" s="15"/>
      <c r="X94" s="15"/>
      <c r="Y94" s="15"/>
      <c r="Z94" s="15"/>
    </row>
    <row r="95" spans="1:26" ht="14.25" customHeight="1" x14ac:dyDescent="0.25">
      <c r="A95" s="583" t="s">
        <v>1875</v>
      </c>
      <c r="B95" s="487"/>
      <c r="C95" s="443"/>
      <c r="D95" s="484"/>
      <c r="E95" s="438"/>
      <c r="F95" s="484"/>
      <c r="G95" s="438"/>
      <c r="H95" s="15"/>
      <c r="I95" s="15"/>
      <c r="J95" s="15"/>
      <c r="K95" s="167"/>
      <c r="L95" s="15"/>
      <c r="M95" s="15"/>
      <c r="N95" s="15"/>
      <c r="O95" s="15"/>
      <c r="P95" s="15"/>
      <c r="Q95" s="15"/>
      <c r="R95" s="15"/>
      <c r="S95" s="15"/>
      <c r="T95" s="15"/>
      <c r="U95" s="15"/>
      <c r="V95" s="15"/>
      <c r="W95" s="15"/>
      <c r="X95" s="15"/>
      <c r="Y95" s="15"/>
      <c r="Z95" s="15"/>
    </row>
    <row r="96" spans="1:26" ht="14.25" customHeight="1" x14ac:dyDescent="0.25">
      <c r="A96" s="583" t="s">
        <v>1876</v>
      </c>
      <c r="B96" s="487"/>
      <c r="C96" s="443"/>
      <c r="D96" s="484"/>
      <c r="E96" s="438"/>
      <c r="F96" s="484"/>
      <c r="G96" s="438"/>
      <c r="H96" s="15">
        <v>22</v>
      </c>
      <c r="I96" s="15">
        <v>974</v>
      </c>
      <c r="J96" s="15">
        <v>2</v>
      </c>
      <c r="K96" s="167">
        <f t="shared" ref="K96:K115" si="7">H96*12*I96*J96</f>
        <v>514272</v>
      </c>
      <c r="L96" s="15"/>
      <c r="M96" s="15"/>
      <c r="N96" s="15"/>
      <c r="O96" s="15"/>
      <c r="P96" s="15"/>
      <c r="Q96" s="15"/>
      <c r="R96" s="15"/>
      <c r="S96" s="15"/>
      <c r="T96" s="15"/>
      <c r="U96" s="15"/>
      <c r="V96" s="15"/>
      <c r="W96" s="15"/>
      <c r="X96" s="15"/>
      <c r="Y96" s="15"/>
      <c r="Z96" s="15"/>
    </row>
    <row r="97" spans="1:26" ht="14.25" customHeight="1" x14ac:dyDescent="0.25">
      <c r="A97" s="756" t="s">
        <v>1877</v>
      </c>
      <c r="B97" s="487"/>
      <c r="C97" s="443"/>
      <c r="D97" s="484"/>
      <c r="E97" s="438"/>
      <c r="F97" s="484"/>
      <c r="G97" s="438"/>
      <c r="H97" s="15"/>
      <c r="I97" s="15"/>
      <c r="J97" s="15"/>
      <c r="K97" s="167">
        <f t="shared" si="7"/>
        <v>0</v>
      </c>
      <c r="L97" s="15"/>
      <c r="M97" s="15"/>
      <c r="N97" s="15"/>
      <c r="O97" s="15"/>
      <c r="P97" s="15"/>
      <c r="Q97" s="15"/>
      <c r="R97" s="15"/>
      <c r="S97" s="15"/>
      <c r="T97" s="15"/>
      <c r="U97" s="15"/>
      <c r="V97" s="15"/>
      <c r="W97" s="15"/>
      <c r="X97" s="15"/>
      <c r="Y97" s="15"/>
      <c r="Z97" s="15"/>
    </row>
    <row r="98" spans="1:26" ht="14.25" customHeight="1" x14ac:dyDescent="0.25">
      <c r="A98" s="583" t="s">
        <v>1878</v>
      </c>
      <c r="B98" s="487"/>
      <c r="C98" s="443"/>
      <c r="D98" s="484"/>
      <c r="E98" s="438"/>
      <c r="F98" s="484"/>
      <c r="G98" s="438"/>
      <c r="H98" s="15">
        <v>22</v>
      </c>
      <c r="I98" s="15">
        <v>678</v>
      </c>
      <c r="J98" s="15">
        <v>1</v>
      </c>
      <c r="K98" s="167">
        <f t="shared" si="7"/>
        <v>178992</v>
      </c>
      <c r="L98" s="15"/>
      <c r="M98" s="15"/>
      <c r="N98" s="15"/>
      <c r="O98" s="15"/>
      <c r="P98" s="15"/>
      <c r="Q98" s="15"/>
      <c r="R98" s="15"/>
      <c r="S98" s="15"/>
      <c r="T98" s="15"/>
      <c r="U98" s="15"/>
      <c r="V98" s="15"/>
      <c r="W98" s="15"/>
      <c r="X98" s="15"/>
      <c r="Y98" s="15"/>
      <c r="Z98" s="15"/>
    </row>
    <row r="99" spans="1:26" ht="14.25" customHeight="1" x14ac:dyDescent="0.25">
      <c r="A99" s="756" t="s">
        <v>1879</v>
      </c>
      <c r="B99" s="487"/>
      <c r="C99" s="443"/>
      <c r="D99" s="484"/>
      <c r="E99" s="438"/>
      <c r="F99" s="484"/>
      <c r="G99" s="438"/>
      <c r="H99" s="15"/>
      <c r="I99" s="15"/>
      <c r="J99" s="15"/>
      <c r="K99" s="167">
        <f t="shared" si="7"/>
        <v>0</v>
      </c>
      <c r="L99" s="15"/>
      <c r="M99" s="15"/>
      <c r="N99" s="15"/>
      <c r="O99" s="15"/>
      <c r="P99" s="15"/>
      <c r="Q99" s="15"/>
      <c r="R99" s="15"/>
      <c r="S99" s="15"/>
      <c r="T99" s="15"/>
      <c r="U99" s="15"/>
      <c r="V99" s="15"/>
      <c r="W99" s="15"/>
      <c r="X99" s="15"/>
      <c r="Y99" s="15"/>
      <c r="Z99" s="15"/>
    </row>
    <row r="100" spans="1:26" ht="14.25" customHeight="1" x14ac:dyDescent="0.25">
      <c r="A100" s="583" t="s">
        <v>1880</v>
      </c>
      <c r="B100" s="487"/>
      <c r="C100" s="443"/>
      <c r="D100" s="484"/>
      <c r="E100" s="438"/>
      <c r="F100" s="484"/>
      <c r="G100" s="438"/>
      <c r="H100" s="15"/>
      <c r="I100" s="15"/>
      <c r="J100" s="15"/>
      <c r="K100" s="167">
        <f t="shared" si="7"/>
        <v>0</v>
      </c>
      <c r="L100" s="15"/>
      <c r="M100" s="15"/>
      <c r="N100" s="15"/>
      <c r="O100" s="15"/>
      <c r="P100" s="15"/>
      <c r="Q100" s="15"/>
      <c r="R100" s="15"/>
      <c r="S100" s="15"/>
      <c r="T100" s="15"/>
      <c r="U100" s="15"/>
      <c r="V100" s="15"/>
      <c r="W100" s="15"/>
      <c r="X100" s="15"/>
      <c r="Y100" s="15"/>
      <c r="Z100" s="15"/>
    </row>
    <row r="101" spans="1:26" ht="14.25" customHeight="1" x14ac:dyDescent="0.25">
      <c r="A101" s="583" t="s">
        <v>1881</v>
      </c>
      <c r="B101" s="487"/>
      <c r="C101" s="443"/>
      <c r="D101" s="484"/>
      <c r="E101" s="438"/>
      <c r="F101" s="484"/>
      <c r="G101" s="438"/>
      <c r="H101" s="15">
        <v>22</v>
      </c>
      <c r="I101" s="15">
        <v>974</v>
      </c>
      <c r="J101" s="15">
        <v>1</v>
      </c>
      <c r="K101" s="167">
        <f t="shared" si="7"/>
        <v>257136</v>
      </c>
      <c r="L101" s="15"/>
      <c r="M101" s="15"/>
      <c r="N101" s="15"/>
      <c r="O101" s="15"/>
      <c r="P101" s="15"/>
      <c r="Q101" s="15"/>
      <c r="R101" s="15"/>
      <c r="S101" s="15"/>
      <c r="T101" s="15"/>
      <c r="U101" s="15"/>
      <c r="V101" s="15"/>
      <c r="W101" s="15"/>
      <c r="X101" s="15"/>
      <c r="Y101" s="15"/>
      <c r="Z101" s="15"/>
    </row>
    <row r="102" spans="1:26" ht="14.25" customHeight="1" x14ac:dyDescent="0.25">
      <c r="A102" s="756" t="s">
        <v>1882</v>
      </c>
      <c r="B102" s="487"/>
      <c r="C102" s="443"/>
      <c r="D102" s="484"/>
      <c r="E102" s="438"/>
      <c r="F102" s="484"/>
      <c r="G102" s="438"/>
      <c r="H102" s="15"/>
      <c r="I102" s="15"/>
      <c r="J102" s="15"/>
      <c r="K102" s="167">
        <f t="shared" si="7"/>
        <v>0</v>
      </c>
      <c r="L102" s="15"/>
      <c r="M102" s="15"/>
      <c r="N102" s="15"/>
      <c r="O102" s="15"/>
      <c r="P102" s="15"/>
      <c r="Q102" s="15"/>
      <c r="R102" s="15"/>
      <c r="S102" s="15"/>
      <c r="T102" s="15"/>
      <c r="U102" s="15"/>
      <c r="V102" s="15"/>
      <c r="W102" s="15"/>
      <c r="X102" s="15"/>
      <c r="Y102" s="15"/>
      <c r="Z102" s="15"/>
    </row>
    <row r="103" spans="1:26" ht="14.25" customHeight="1" x14ac:dyDescent="0.25">
      <c r="A103" s="583" t="s">
        <v>1883</v>
      </c>
      <c r="B103" s="487"/>
      <c r="C103" s="443"/>
      <c r="D103" s="484"/>
      <c r="E103" s="438"/>
      <c r="F103" s="484"/>
      <c r="G103" s="438"/>
      <c r="H103" s="15"/>
      <c r="I103" s="15"/>
      <c r="J103" s="15"/>
      <c r="K103" s="167">
        <f t="shared" si="7"/>
        <v>0</v>
      </c>
      <c r="L103" s="15"/>
      <c r="M103" s="15"/>
      <c r="N103" s="15"/>
      <c r="O103" s="15"/>
      <c r="P103" s="15"/>
      <c r="Q103" s="15"/>
      <c r="R103" s="15"/>
      <c r="S103" s="15"/>
      <c r="T103" s="15"/>
      <c r="U103" s="15"/>
      <c r="V103" s="15"/>
      <c r="W103" s="15"/>
      <c r="X103" s="15"/>
      <c r="Y103" s="15"/>
      <c r="Z103" s="15"/>
    </row>
    <row r="104" spans="1:26" ht="14.25" customHeight="1" x14ac:dyDescent="0.25">
      <c r="A104" s="583" t="s">
        <v>1884</v>
      </c>
      <c r="B104" s="487"/>
      <c r="C104" s="443"/>
      <c r="D104" s="484"/>
      <c r="E104" s="438"/>
      <c r="F104" s="484"/>
      <c r="G104" s="438"/>
      <c r="H104" s="15">
        <v>22</v>
      </c>
      <c r="I104" s="15">
        <v>678</v>
      </c>
      <c r="J104" s="15">
        <v>5</v>
      </c>
      <c r="K104" s="167">
        <f t="shared" si="7"/>
        <v>894960</v>
      </c>
      <c r="L104" s="15"/>
      <c r="M104" s="15"/>
      <c r="N104" s="15"/>
      <c r="O104" s="15"/>
      <c r="P104" s="15"/>
      <c r="Q104" s="15"/>
      <c r="R104" s="15"/>
      <c r="S104" s="15"/>
      <c r="T104" s="15"/>
      <c r="U104" s="15"/>
      <c r="V104" s="15"/>
      <c r="W104" s="15"/>
      <c r="X104" s="15"/>
      <c r="Y104" s="15"/>
      <c r="Z104" s="15"/>
    </row>
    <row r="105" spans="1:26" ht="14.25" customHeight="1" x14ac:dyDescent="0.25">
      <c r="A105" s="756" t="s">
        <v>1885</v>
      </c>
      <c r="B105" s="487"/>
      <c r="C105" s="443"/>
      <c r="D105" s="484"/>
      <c r="E105" s="438"/>
      <c r="F105" s="484"/>
      <c r="G105" s="438"/>
      <c r="H105" s="15"/>
      <c r="I105" s="15"/>
      <c r="J105" s="15"/>
      <c r="K105" s="167">
        <f t="shared" si="7"/>
        <v>0</v>
      </c>
      <c r="L105" s="15"/>
      <c r="M105" s="15"/>
      <c r="N105" s="15"/>
      <c r="O105" s="15"/>
      <c r="P105" s="15"/>
      <c r="Q105" s="15"/>
      <c r="R105" s="15"/>
      <c r="S105" s="15"/>
      <c r="T105" s="15"/>
      <c r="U105" s="15"/>
      <c r="V105" s="15"/>
      <c r="W105" s="15"/>
      <c r="X105" s="15"/>
      <c r="Y105" s="15"/>
      <c r="Z105" s="15"/>
    </row>
    <row r="106" spans="1:26" ht="14.25" customHeight="1" x14ac:dyDescent="0.25">
      <c r="A106" s="583" t="s">
        <v>1886</v>
      </c>
      <c r="B106" s="487"/>
      <c r="C106" s="443"/>
      <c r="D106" s="484"/>
      <c r="E106" s="438"/>
      <c r="F106" s="484"/>
      <c r="G106" s="438"/>
      <c r="H106" s="15">
        <v>22</v>
      </c>
      <c r="I106" s="15">
        <v>639</v>
      </c>
      <c r="J106" s="15">
        <v>1</v>
      </c>
      <c r="K106" s="167">
        <f t="shared" si="7"/>
        <v>168696</v>
      </c>
      <c r="L106" s="15"/>
      <c r="M106" s="15"/>
      <c r="N106" s="15"/>
      <c r="O106" s="15"/>
      <c r="P106" s="15"/>
      <c r="Q106" s="15"/>
      <c r="R106" s="15"/>
      <c r="S106" s="15"/>
      <c r="T106" s="15"/>
      <c r="U106" s="15"/>
      <c r="V106" s="15"/>
      <c r="W106" s="15"/>
      <c r="X106" s="15"/>
      <c r="Y106" s="15"/>
      <c r="Z106" s="15"/>
    </row>
    <row r="107" spans="1:26" ht="14.25" customHeight="1" x14ac:dyDescent="0.25">
      <c r="A107" s="756" t="s">
        <v>1887</v>
      </c>
      <c r="B107" s="487"/>
      <c r="C107" s="443"/>
      <c r="D107" s="484"/>
      <c r="E107" s="438"/>
      <c r="F107" s="484"/>
      <c r="G107" s="438"/>
      <c r="H107" s="15"/>
      <c r="I107" s="15"/>
      <c r="J107" s="15"/>
      <c r="K107" s="167">
        <f t="shared" si="7"/>
        <v>0</v>
      </c>
      <c r="L107" s="15"/>
      <c r="M107" s="15"/>
      <c r="N107" s="15"/>
      <c r="O107" s="15"/>
      <c r="P107" s="15"/>
      <c r="Q107" s="15"/>
      <c r="R107" s="15"/>
      <c r="S107" s="15"/>
      <c r="T107" s="15"/>
      <c r="U107" s="15"/>
      <c r="V107" s="15"/>
      <c r="W107" s="15"/>
      <c r="X107" s="15"/>
      <c r="Y107" s="15"/>
      <c r="Z107" s="15"/>
    </row>
    <row r="108" spans="1:26" ht="14.25" customHeight="1" x14ac:dyDescent="0.25">
      <c r="A108" s="583" t="s">
        <v>1888</v>
      </c>
      <c r="B108" s="487"/>
      <c r="C108" s="443"/>
      <c r="D108" s="484"/>
      <c r="E108" s="438"/>
      <c r="F108" s="484"/>
      <c r="G108" s="438"/>
      <c r="H108" s="15"/>
      <c r="I108" s="15"/>
      <c r="J108" s="15"/>
      <c r="K108" s="167">
        <f t="shared" si="7"/>
        <v>0</v>
      </c>
      <c r="L108" s="15"/>
      <c r="M108" s="15"/>
      <c r="N108" s="15"/>
      <c r="O108" s="15"/>
      <c r="P108" s="15"/>
      <c r="Q108" s="15"/>
      <c r="R108" s="15"/>
      <c r="S108" s="15"/>
      <c r="T108" s="15"/>
      <c r="U108" s="15"/>
      <c r="V108" s="15"/>
      <c r="W108" s="15"/>
      <c r="X108" s="15"/>
      <c r="Y108" s="15"/>
      <c r="Z108" s="15"/>
    </row>
    <row r="109" spans="1:26" ht="14.25" customHeight="1" x14ac:dyDescent="0.25">
      <c r="A109" s="460" t="s">
        <v>1881</v>
      </c>
      <c r="B109" s="454"/>
      <c r="C109" s="443"/>
      <c r="D109" s="443"/>
      <c r="E109" s="443"/>
      <c r="F109" s="443"/>
      <c r="G109" s="462"/>
      <c r="H109" s="15">
        <v>22</v>
      </c>
      <c r="I109" s="15">
        <v>974</v>
      </c>
      <c r="J109" s="15">
        <v>1</v>
      </c>
      <c r="K109" s="167">
        <f t="shared" si="7"/>
        <v>257136</v>
      </c>
      <c r="L109" s="15"/>
      <c r="M109" s="15"/>
      <c r="N109" s="15"/>
      <c r="O109" s="15"/>
      <c r="P109" s="15"/>
      <c r="Q109" s="15"/>
      <c r="R109" s="15"/>
      <c r="S109" s="15"/>
      <c r="T109" s="15"/>
      <c r="U109" s="15"/>
      <c r="V109" s="15"/>
      <c r="W109" s="15"/>
      <c r="X109" s="15"/>
      <c r="Y109" s="15"/>
      <c r="Z109" s="15"/>
    </row>
    <row r="110" spans="1:26" ht="14.25" customHeight="1" x14ac:dyDescent="0.25">
      <c r="A110" s="546" t="s">
        <v>1882</v>
      </c>
      <c r="B110" s="454"/>
      <c r="C110" s="443"/>
      <c r="D110" s="443"/>
      <c r="E110" s="443"/>
      <c r="F110" s="443"/>
      <c r="G110" s="462"/>
      <c r="H110" s="15"/>
      <c r="I110" s="15"/>
      <c r="J110" s="15"/>
      <c r="K110" s="167">
        <f t="shared" si="7"/>
        <v>0</v>
      </c>
      <c r="L110" s="15"/>
      <c r="M110" s="15"/>
      <c r="N110" s="15"/>
      <c r="O110" s="15"/>
      <c r="P110" s="15"/>
      <c r="Q110" s="15"/>
      <c r="R110" s="15"/>
      <c r="S110" s="15"/>
      <c r="T110" s="15"/>
      <c r="U110" s="15"/>
      <c r="V110" s="15"/>
      <c r="W110" s="15"/>
      <c r="X110" s="15"/>
      <c r="Y110" s="15"/>
      <c r="Z110" s="15"/>
    </row>
    <row r="111" spans="1:26" ht="14.25" customHeight="1" x14ac:dyDescent="0.25">
      <c r="A111" s="583" t="s">
        <v>1889</v>
      </c>
      <c r="B111" s="487"/>
      <c r="C111" s="443"/>
      <c r="D111" s="484"/>
      <c r="E111" s="438"/>
      <c r="F111" s="484"/>
      <c r="G111" s="438"/>
      <c r="H111" s="15">
        <v>22</v>
      </c>
      <c r="I111" s="15">
        <v>678</v>
      </c>
      <c r="J111" s="15">
        <v>2</v>
      </c>
      <c r="K111" s="167">
        <f t="shared" si="7"/>
        <v>357984</v>
      </c>
      <c r="L111" s="15"/>
      <c r="M111" s="15"/>
      <c r="N111" s="15"/>
      <c r="O111" s="15"/>
      <c r="P111" s="15"/>
      <c r="Q111" s="15"/>
      <c r="R111" s="15"/>
      <c r="S111" s="15"/>
      <c r="T111" s="15"/>
      <c r="U111" s="15"/>
      <c r="V111" s="15"/>
      <c r="W111" s="15"/>
      <c r="X111" s="15"/>
      <c r="Y111" s="15"/>
      <c r="Z111" s="15"/>
    </row>
    <row r="112" spans="1:26" ht="14.25" customHeight="1" x14ac:dyDescent="0.25">
      <c r="A112" s="756" t="s">
        <v>1890</v>
      </c>
      <c r="B112" s="487"/>
      <c r="C112" s="443"/>
      <c r="D112" s="484"/>
      <c r="E112" s="438"/>
      <c r="F112" s="484"/>
      <c r="G112" s="438"/>
      <c r="H112" s="15"/>
      <c r="I112" s="15"/>
      <c r="J112" s="15"/>
      <c r="K112" s="167">
        <f t="shared" si="7"/>
        <v>0</v>
      </c>
      <c r="L112" s="15"/>
      <c r="M112" s="15"/>
      <c r="N112" s="15"/>
      <c r="O112" s="15"/>
      <c r="P112" s="15"/>
      <c r="Q112" s="15"/>
      <c r="R112" s="15"/>
      <c r="S112" s="15"/>
      <c r="T112" s="15"/>
      <c r="U112" s="15"/>
      <c r="V112" s="15"/>
      <c r="W112" s="15"/>
      <c r="X112" s="15"/>
      <c r="Y112" s="15"/>
      <c r="Z112" s="15"/>
    </row>
    <row r="113" spans="1:26" ht="14.25" customHeight="1" x14ac:dyDescent="0.25">
      <c r="A113" s="48" t="s">
        <v>1891</v>
      </c>
      <c r="B113" s="49"/>
      <c r="C113" s="26"/>
      <c r="D113" s="56"/>
      <c r="E113" s="43"/>
      <c r="F113" s="56"/>
      <c r="G113" s="43"/>
      <c r="H113" s="15"/>
      <c r="I113" s="15"/>
      <c r="J113" s="15"/>
      <c r="K113" s="167">
        <f t="shared" si="7"/>
        <v>0</v>
      </c>
      <c r="L113" s="15"/>
      <c r="M113" s="15"/>
      <c r="N113" s="15"/>
      <c r="O113" s="15"/>
      <c r="P113" s="15"/>
      <c r="Q113" s="15"/>
      <c r="R113" s="15"/>
      <c r="S113" s="15"/>
      <c r="T113" s="15"/>
      <c r="U113" s="15"/>
      <c r="V113" s="15"/>
      <c r="W113" s="15"/>
      <c r="X113" s="15"/>
      <c r="Y113" s="15"/>
      <c r="Z113" s="15"/>
    </row>
    <row r="114" spans="1:26" ht="14.25" customHeight="1" x14ac:dyDescent="0.25">
      <c r="A114" s="48" t="s">
        <v>1892</v>
      </c>
      <c r="B114" s="49"/>
      <c r="C114" s="26"/>
      <c r="D114" s="56"/>
      <c r="E114" s="43"/>
      <c r="F114" s="56"/>
      <c r="G114" s="43"/>
      <c r="H114" s="15">
        <v>22</v>
      </c>
      <c r="I114" s="15">
        <v>639</v>
      </c>
      <c r="J114" s="15">
        <v>3</v>
      </c>
      <c r="K114" s="167">
        <f t="shared" si="7"/>
        <v>506088</v>
      </c>
      <c r="L114" s="15"/>
      <c r="M114" s="15"/>
      <c r="N114" s="15"/>
      <c r="O114" s="15"/>
      <c r="P114" s="15"/>
      <c r="Q114" s="15"/>
      <c r="R114" s="15"/>
      <c r="S114" s="15"/>
      <c r="T114" s="15"/>
      <c r="U114" s="15"/>
      <c r="V114" s="15"/>
      <c r="W114" s="15"/>
      <c r="X114" s="15"/>
      <c r="Y114" s="15"/>
      <c r="Z114" s="15"/>
    </row>
    <row r="115" spans="1:26" ht="14.25" customHeight="1" x14ac:dyDescent="0.25">
      <c r="A115" s="293" t="s">
        <v>1893</v>
      </c>
      <c r="B115" s="49"/>
      <c r="C115" s="26"/>
      <c r="D115" s="56"/>
      <c r="E115" s="43"/>
      <c r="F115" s="56"/>
      <c r="G115" s="43"/>
      <c r="H115" s="15"/>
      <c r="I115" s="15"/>
      <c r="J115" s="15"/>
      <c r="K115" s="167">
        <f t="shared" si="7"/>
        <v>0</v>
      </c>
      <c r="L115" s="15"/>
      <c r="M115" s="15"/>
      <c r="N115" s="15"/>
      <c r="O115" s="15"/>
      <c r="P115" s="15"/>
      <c r="Q115" s="15"/>
      <c r="R115" s="15"/>
      <c r="S115" s="15"/>
      <c r="T115" s="15"/>
      <c r="U115" s="15"/>
      <c r="V115" s="15"/>
      <c r="W115" s="15"/>
      <c r="X115" s="15"/>
      <c r="Y115" s="15"/>
      <c r="Z115" s="15"/>
    </row>
    <row r="116" spans="1:26" ht="14.25" customHeight="1" x14ac:dyDescent="0.25">
      <c r="A116" s="42" t="s">
        <v>672</v>
      </c>
      <c r="B116" s="49"/>
      <c r="C116" s="54">
        <f>SUM(C43:C59)</f>
        <v>20266672.68</v>
      </c>
      <c r="D116" s="54">
        <f t="shared" ref="D116:G116" si="8">SUM(D43:D69)</f>
        <v>10130184.609999999</v>
      </c>
      <c r="E116" s="54">
        <f t="shared" si="8"/>
        <v>11508307.390000001</v>
      </c>
      <c r="F116" s="54">
        <f t="shared" si="8"/>
        <v>21638492</v>
      </c>
      <c r="G116" s="54">
        <f t="shared" si="8"/>
        <v>53301005</v>
      </c>
      <c r="H116" s="15"/>
      <c r="I116" s="15"/>
      <c r="J116" s="15"/>
      <c r="K116" s="167"/>
      <c r="L116" s="15"/>
      <c r="M116" s="15"/>
      <c r="N116" s="15"/>
      <c r="O116" s="15"/>
      <c r="P116" s="15"/>
      <c r="Q116" s="15"/>
      <c r="R116" s="15"/>
      <c r="S116" s="15"/>
      <c r="T116" s="15"/>
      <c r="U116" s="15"/>
      <c r="V116" s="15"/>
      <c r="W116" s="15"/>
      <c r="X116" s="15"/>
      <c r="Y116" s="15"/>
      <c r="Z116" s="15"/>
    </row>
    <row r="117" spans="1:26" ht="14.25" customHeight="1" x14ac:dyDescent="0.25">
      <c r="A117" s="42"/>
      <c r="B117" s="49"/>
      <c r="C117" s="43"/>
      <c r="D117" s="43"/>
      <c r="E117" s="43"/>
      <c r="F117" s="43"/>
      <c r="G117" s="43"/>
      <c r="H117" s="15"/>
      <c r="I117" s="15"/>
      <c r="J117" s="15"/>
      <c r="K117" s="167"/>
      <c r="L117" s="15"/>
      <c r="M117" s="15"/>
      <c r="N117" s="15"/>
      <c r="O117" s="15"/>
      <c r="P117" s="15"/>
      <c r="Q117" s="15"/>
      <c r="R117" s="15"/>
      <c r="S117" s="15"/>
      <c r="T117" s="15"/>
      <c r="U117" s="15"/>
      <c r="V117" s="15"/>
      <c r="W117" s="15"/>
      <c r="X117" s="15"/>
      <c r="Y117" s="15"/>
      <c r="Z117" s="15"/>
    </row>
    <row r="118" spans="1:26" ht="14.25" customHeight="1" x14ac:dyDescent="0.25">
      <c r="A118" s="42" t="s">
        <v>467</v>
      </c>
      <c r="B118" s="41"/>
      <c r="C118" s="43">
        <f t="shared" ref="C118:G118" si="9">C39+C116</f>
        <v>57405266.039999999</v>
      </c>
      <c r="D118" s="43">
        <f t="shared" si="9"/>
        <v>27175550.890000001</v>
      </c>
      <c r="E118" s="43">
        <f t="shared" si="9"/>
        <v>41611345.109999999</v>
      </c>
      <c r="F118" s="43">
        <f t="shared" si="9"/>
        <v>68786896</v>
      </c>
      <c r="G118" s="43">
        <f t="shared" si="9"/>
        <v>102795302</v>
      </c>
      <c r="H118" s="15"/>
      <c r="I118" s="15"/>
      <c r="J118" s="15"/>
      <c r="K118" s="167"/>
      <c r="L118" s="15"/>
      <c r="M118" s="15"/>
      <c r="N118" s="15"/>
      <c r="O118" s="15"/>
      <c r="P118" s="15"/>
      <c r="Q118" s="15"/>
      <c r="R118" s="15"/>
      <c r="S118" s="15"/>
      <c r="T118" s="15"/>
      <c r="U118" s="15"/>
      <c r="V118" s="15"/>
      <c r="W118" s="15"/>
      <c r="X118" s="15"/>
      <c r="Y118" s="15"/>
      <c r="Z118" s="15"/>
    </row>
    <row r="119" spans="1:26" ht="14.25" customHeight="1" x14ac:dyDescent="0.25">
      <c r="A119" s="42"/>
      <c r="B119" s="41"/>
      <c r="C119" s="43"/>
      <c r="D119" s="43"/>
      <c r="E119" s="43"/>
      <c r="F119" s="43"/>
      <c r="G119" s="43"/>
      <c r="H119" s="15"/>
      <c r="I119" s="15"/>
      <c r="J119" s="15"/>
      <c r="K119" s="167"/>
      <c r="L119" s="15"/>
      <c r="M119" s="15"/>
      <c r="N119" s="15"/>
      <c r="O119" s="15"/>
      <c r="P119" s="15"/>
      <c r="Q119" s="15"/>
      <c r="R119" s="15"/>
      <c r="S119" s="15"/>
      <c r="T119" s="15"/>
      <c r="U119" s="15"/>
      <c r="V119" s="15"/>
      <c r="W119" s="15"/>
      <c r="X119" s="15"/>
      <c r="Y119" s="15"/>
      <c r="Z119" s="15"/>
    </row>
    <row r="120" spans="1:26" ht="14.25" customHeight="1" x14ac:dyDescent="0.25">
      <c r="A120" s="160" t="s">
        <v>487</v>
      </c>
      <c r="B120" s="51" t="s">
        <v>488</v>
      </c>
      <c r="C120" s="54">
        <f t="shared" ref="C120:G120" si="10">+C118</f>
        <v>57405266.039999999</v>
      </c>
      <c r="D120" s="54">
        <f t="shared" si="10"/>
        <v>27175550.890000001</v>
      </c>
      <c r="E120" s="54">
        <f t="shared" si="10"/>
        <v>41611345.109999999</v>
      </c>
      <c r="F120" s="54">
        <f t="shared" si="10"/>
        <v>68786896</v>
      </c>
      <c r="G120" s="54">
        <f t="shared" si="10"/>
        <v>102795302</v>
      </c>
      <c r="H120" s="114"/>
      <c r="I120" s="114"/>
      <c r="J120" s="114"/>
      <c r="K120" s="212"/>
      <c r="L120" s="114"/>
      <c r="M120" s="114"/>
      <c r="N120" s="114"/>
      <c r="O120" s="114"/>
      <c r="P120" s="114"/>
      <c r="Q120" s="114"/>
      <c r="R120" s="114"/>
      <c r="S120" s="114"/>
      <c r="T120" s="114"/>
      <c r="U120" s="114"/>
      <c r="V120" s="114"/>
      <c r="W120" s="114"/>
      <c r="X120" s="114"/>
      <c r="Y120" s="114"/>
      <c r="Z120" s="114"/>
    </row>
    <row r="121" spans="1:26" ht="14.25" customHeight="1" x14ac:dyDescent="0.25">
      <c r="A121" s="572"/>
      <c r="B121" s="454"/>
      <c r="C121" s="443"/>
      <c r="D121" s="443"/>
      <c r="E121" s="443"/>
      <c r="F121" s="443"/>
      <c r="G121" s="443"/>
      <c r="H121" s="114"/>
      <c r="I121" s="114"/>
      <c r="J121" s="114"/>
      <c r="K121" s="212"/>
      <c r="L121" s="114"/>
      <c r="M121" s="114"/>
      <c r="N121" s="114"/>
      <c r="O121" s="114"/>
      <c r="P121" s="114"/>
      <c r="Q121" s="114"/>
      <c r="R121" s="114"/>
      <c r="S121" s="114"/>
      <c r="T121" s="114"/>
      <c r="U121" s="114"/>
      <c r="V121" s="114"/>
      <c r="W121" s="114"/>
      <c r="X121" s="114"/>
      <c r="Y121" s="114"/>
      <c r="Z121" s="114"/>
    </row>
    <row r="122" spans="1:26" ht="14.25" customHeight="1" x14ac:dyDescent="0.25">
      <c r="A122" s="24"/>
      <c r="B122" s="25"/>
      <c r="C122" s="24"/>
      <c r="D122" s="24"/>
      <c r="E122" s="24"/>
      <c r="F122" s="24"/>
      <c r="G122" s="114"/>
      <c r="H122" s="114"/>
      <c r="I122" s="114"/>
      <c r="J122" s="114"/>
      <c r="K122" s="212"/>
      <c r="L122" s="114"/>
      <c r="M122" s="114"/>
      <c r="N122" s="114"/>
      <c r="O122" s="114"/>
      <c r="P122" s="114"/>
      <c r="Q122" s="114"/>
      <c r="R122" s="114"/>
      <c r="S122" s="114"/>
      <c r="T122" s="114"/>
      <c r="U122" s="114"/>
      <c r="V122" s="114"/>
      <c r="W122" s="114"/>
      <c r="X122" s="114"/>
      <c r="Y122" s="114"/>
      <c r="Z122" s="114"/>
    </row>
    <row r="123" spans="1:26" ht="15" customHeight="1" x14ac:dyDescent="0.25">
      <c r="A123" s="9"/>
      <c r="B123" s="104"/>
      <c r="C123" s="105"/>
      <c r="D123" s="105"/>
      <c r="E123" s="105"/>
      <c r="F123" s="10"/>
      <c r="G123" s="180"/>
      <c r="H123" s="15"/>
      <c r="I123" s="15"/>
      <c r="J123" s="15"/>
      <c r="K123" s="15"/>
      <c r="L123" s="15"/>
      <c r="M123" s="15"/>
      <c r="N123" s="15"/>
      <c r="O123" s="15"/>
      <c r="P123" s="15"/>
      <c r="Q123" s="15"/>
      <c r="R123" s="15"/>
      <c r="S123" s="15"/>
      <c r="T123" s="15"/>
      <c r="U123" s="15"/>
      <c r="V123" s="15"/>
      <c r="W123" s="15"/>
      <c r="X123" s="15"/>
      <c r="Y123" s="15"/>
      <c r="Z123" s="15"/>
    </row>
    <row r="124" spans="1:26" ht="15" customHeight="1" x14ac:dyDescent="0.25">
      <c r="A124" s="17" t="s">
        <v>489</v>
      </c>
      <c r="B124" s="25"/>
      <c r="C124" s="24"/>
      <c r="D124" s="24"/>
      <c r="E124" s="24"/>
      <c r="F124" s="15"/>
      <c r="G124" s="181"/>
      <c r="H124" s="15"/>
      <c r="I124" s="15"/>
      <c r="J124" s="15"/>
      <c r="K124" s="15"/>
      <c r="L124" s="15"/>
      <c r="M124" s="15"/>
      <c r="N124" s="15"/>
      <c r="O124" s="15"/>
      <c r="P124" s="15"/>
      <c r="Q124" s="15"/>
      <c r="R124" s="15"/>
      <c r="S124" s="15"/>
      <c r="T124" s="15"/>
      <c r="U124" s="15"/>
      <c r="V124" s="15"/>
      <c r="W124" s="15"/>
      <c r="X124" s="15"/>
      <c r="Y124" s="15"/>
      <c r="Z124" s="15"/>
    </row>
    <row r="125" spans="1:26" ht="15" customHeight="1" x14ac:dyDescent="0.25">
      <c r="A125" s="17"/>
      <c r="B125" s="25"/>
      <c r="C125" s="24"/>
      <c r="D125" s="24"/>
      <c r="E125" s="24"/>
      <c r="F125" s="15"/>
      <c r="G125" s="181"/>
      <c r="H125" s="15"/>
      <c r="I125" s="15"/>
      <c r="J125" s="15"/>
      <c r="K125" s="15"/>
      <c r="L125" s="15"/>
      <c r="M125" s="15"/>
      <c r="N125" s="15"/>
      <c r="O125" s="15"/>
      <c r="P125" s="15"/>
      <c r="Q125" s="15"/>
      <c r="R125" s="15"/>
      <c r="S125" s="15"/>
      <c r="T125" s="15"/>
      <c r="U125" s="15"/>
      <c r="V125" s="15"/>
      <c r="W125" s="15"/>
      <c r="X125" s="15"/>
      <c r="Y125" s="15"/>
      <c r="Z125" s="15"/>
    </row>
    <row r="126" spans="1:26" ht="15" customHeight="1" x14ac:dyDescent="0.25">
      <c r="A126" s="108" t="s">
        <v>1894</v>
      </c>
      <c r="B126" s="25"/>
      <c r="C126" s="26"/>
      <c r="D126" s="26"/>
      <c r="E126" s="26"/>
      <c r="F126" s="14"/>
      <c r="G126" s="181"/>
      <c r="H126" s="15"/>
      <c r="I126" s="15"/>
      <c r="J126" s="15"/>
      <c r="K126" s="15"/>
      <c r="L126" s="15"/>
      <c r="M126" s="15"/>
      <c r="N126" s="15"/>
      <c r="O126" s="15"/>
      <c r="P126" s="15"/>
      <c r="Q126" s="15"/>
      <c r="R126" s="15"/>
      <c r="S126" s="15"/>
      <c r="T126" s="15"/>
      <c r="U126" s="15"/>
      <c r="V126" s="15"/>
      <c r="W126" s="15"/>
      <c r="X126" s="15"/>
      <c r="Y126" s="15"/>
      <c r="Z126" s="15"/>
    </row>
    <row r="127" spans="1:26" ht="15" customHeight="1" x14ac:dyDescent="0.25">
      <c r="A127" s="108"/>
      <c r="B127" s="25"/>
      <c r="C127" s="26"/>
      <c r="D127" s="26"/>
      <c r="E127" s="26"/>
      <c r="F127" s="14"/>
      <c r="G127" s="181"/>
      <c r="H127" s="15"/>
      <c r="I127" s="15"/>
      <c r="J127" s="15"/>
      <c r="K127" s="15"/>
      <c r="L127" s="15"/>
      <c r="M127" s="15"/>
      <c r="N127" s="15"/>
      <c r="O127" s="15"/>
      <c r="P127" s="15"/>
      <c r="Q127" s="15"/>
      <c r="R127" s="15"/>
      <c r="S127" s="15"/>
      <c r="T127" s="15"/>
      <c r="U127" s="15"/>
      <c r="V127" s="15"/>
      <c r="W127" s="15"/>
      <c r="X127" s="15"/>
      <c r="Y127" s="15"/>
      <c r="Z127" s="15"/>
    </row>
    <row r="128" spans="1:26" ht="15" customHeight="1" x14ac:dyDescent="0.25">
      <c r="A128" s="865" t="s">
        <v>352</v>
      </c>
      <c r="B128" s="866"/>
      <c r="C128" s="866"/>
      <c r="D128" s="866"/>
      <c r="E128" s="866"/>
      <c r="F128" s="866"/>
      <c r="G128" s="867"/>
      <c r="H128" s="15"/>
      <c r="I128" s="15"/>
      <c r="J128" s="15"/>
      <c r="K128" s="15"/>
      <c r="L128" s="15"/>
      <c r="M128" s="15"/>
      <c r="N128" s="15"/>
      <c r="O128" s="15"/>
      <c r="P128" s="15"/>
      <c r="Q128" s="15"/>
      <c r="R128" s="15"/>
      <c r="S128" s="15"/>
      <c r="T128" s="15"/>
      <c r="U128" s="15"/>
      <c r="V128" s="15"/>
      <c r="W128" s="15"/>
      <c r="X128" s="15"/>
      <c r="Y128" s="15"/>
      <c r="Z128" s="15"/>
    </row>
    <row r="129" spans="1:26" ht="15" customHeight="1" x14ac:dyDescent="0.25">
      <c r="A129" s="868" t="s">
        <v>1194</v>
      </c>
      <c r="B129" s="857" t="s">
        <v>354</v>
      </c>
      <c r="C129" s="870" t="s">
        <v>355</v>
      </c>
      <c r="D129" s="872" t="s">
        <v>356</v>
      </c>
      <c r="E129" s="873"/>
      <c r="F129" s="874"/>
      <c r="G129" s="857" t="s">
        <v>357</v>
      </c>
      <c r="H129" s="15"/>
      <c r="I129" s="15"/>
      <c r="J129" s="15"/>
      <c r="K129" s="15"/>
      <c r="L129" s="15"/>
      <c r="M129" s="15"/>
      <c r="N129" s="15"/>
      <c r="O129" s="15"/>
      <c r="P129" s="15"/>
      <c r="Q129" s="15"/>
      <c r="R129" s="15"/>
      <c r="S129" s="15"/>
      <c r="T129" s="15"/>
      <c r="U129" s="15"/>
      <c r="V129" s="15"/>
      <c r="W129" s="15"/>
      <c r="X129" s="15"/>
      <c r="Y129" s="15"/>
      <c r="Z129" s="15"/>
    </row>
    <row r="130" spans="1:26" ht="15" customHeight="1" x14ac:dyDescent="0.25">
      <c r="A130" s="858"/>
      <c r="B130" s="858"/>
      <c r="C130" s="871"/>
      <c r="D130" s="28" t="s">
        <v>358</v>
      </c>
      <c r="E130" s="29" t="s">
        <v>359</v>
      </c>
      <c r="F130" s="875" t="s">
        <v>360</v>
      </c>
      <c r="G130" s="858"/>
      <c r="H130" s="15"/>
      <c r="I130" s="15"/>
      <c r="J130" s="15"/>
      <c r="K130" s="15"/>
      <c r="L130" s="15"/>
      <c r="M130" s="15"/>
      <c r="N130" s="15"/>
      <c r="O130" s="15"/>
      <c r="P130" s="15"/>
      <c r="Q130" s="15"/>
      <c r="R130" s="15"/>
      <c r="S130" s="15"/>
      <c r="T130" s="15"/>
      <c r="U130" s="15"/>
      <c r="V130" s="15"/>
      <c r="W130" s="15"/>
      <c r="X130" s="15"/>
      <c r="Y130" s="15"/>
      <c r="Z130" s="15"/>
    </row>
    <row r="131" spans="1:26" ht="15" customHeight="1" x14ac:dyDescent="0.25">
      <c r="A131" s="858"/>
      <c r="B131" s="858"/>
      <c r="C131" s="30" t="s">
        <v>361</v>
      </c>
      <c r="D131" s="31" t="s">
        <v>361</v>
      </c>
      <c r="E131" s="32" t="s">
        <v>362</v>
      </c>
      <c r="F131" s="860"/>
      <c r="G131" s="442" t="s">
        <v>2669</v>
      </c>
      <c r="H131" s="15"/>
      <c r="I131" s="15"/>
      <c r="J131" s="15"/>
      <c r="K131" s="15"/>
      <c r="L131" s="15"/>
      <c r="M131" s="15"/>
      <c r="N131" s="15"/>
      <c r="O131" s="15"/>
      <c r="P131" s="15"/>
      <c r="Q131" s="15"/>
      <c r="R131" s="15"/>
      <c r="S131" s="15"/>
      <c r="T131" s="15"/>
      <c r="U131" s="15"/>
      <c r="V131" s="15"/>
      <c r="W131" s="15"/>
      <c r="X131" s="15"/>
      <c r="Y131" s="15"/>
      <c r="Z131" s="15"/>
    </row>
    <row r="132" spans="1:26" ht="15" customHeight="1" x14ac:dyDescent="0.25">
      <c r="A132" s="869"/>
      <c r="B132" s="869"/>
      <c r="C132" s="33">
        <v>2024</v>
      </c>
      <c r="D132" s="34">
        <v>2025</v>
      </c>
      <c r="E132" s="35">
        <v>2025</v>
      </c>
      <c r="F132" s="34">
        <v>2025</v>
      </c>
      <c r="G132" s="36" t="s">
        <v>2668</v>
      </c>
      <c r="H132" s="15"/>
      <c r="I132" s="15"/>
      <c r="J132" s="15"/>
      <c r="K132" s="15"/>
      <c r="L132" s="15"/>
      <c r="M132" s="15"/>
      <c r="N132" s="15"/>
      <c r="O132" s="15"/>
      <c r="P132" s="15"/>
      <c r="Q132" s="15"/>
      <c r="R132" s="15"/>
      <c r="S132" s="15"/>
      <c r="T132" s="15"/>
      <c r="U132" s="15"/>
      <c r="V132" s="15"/>
      <c r="W132" s="15"/>
      <c r="X132" s="15"/>
      <c r="Y132" s="15"/>
      <c r="Z132" s="15"/>
    </row>
    <row r="133" spans="1:26" ht="15" customHeight="1" x14ac:dyDescent="0.25">
      <c r="A133" s="17" t="s">
        <v>364</v>
      </c>
      <c r="B133" s="172"/>
      <c r="C133" s="42"/>
      <c r="D133" s="42"/>
      <c r="E133" s="42"/>
      <c r="F133" s="42"/>
      <c r="G133" s="42"/>
      <c r="H133" s="15"/>
      <c r="I133" s="15"/>
      <c r="J133" s="15"/>
      <c r="K133" s="15"/>
      <c r="L133" s="15"/>
      <c r="M133" s="15"/>
      <c r="N133" s="15"/>
      <c r="O133" s="15"/>
      <c r="P133" s="15"/>
      <c r="Q133" s="15"/>
      <c r="R133" s="15"/>
      <c r="S133" s="15"/>
      <c r="T133" s="15"/>
      <c r="U133" s="15"/>
      <c r="V133" s="15"/>
      <c r="W133" s="15"/>
      <c r="X133" s="15"/>
      <c r="Y133" s="15"/>
      <c r="Z133" s="15"/>
    </row>
    <row r="134" spans="1:26" ht="15" customHeight="1" x14ac:dyDescent="0.25">
      <c r="A134" s="42" t="s">
        <v>1463</v>
      </c>
      <c r="B134" s="199"/>
      <c r="C134" s="42"/>
      <c r="D134" s="42"/>
      <c r="E134" s="42"/>
      <c r="F134" s="42"/>
      <c r="G134" s="42"/>
      <c r="H134" s="15"/>
      <c r="I134" s="15"/>
      <c r="J134" s="15"/>
      <c r="K134" s="15"/>
      <c r="L134" s="15"/>
      <c r="M134" s="15"/>
      <c r="N134" s="15"/>
      <c r="O134" s="15"/>
      <c r="P134" s="15"/>
      <c r="Q134" s="15"/>
      <c r="R134" s="15"/>
      <c r="S134" s="15"/>
      <c r="T134" s="15"/>
      <c r="U134" s="15"/>
      <c r="V134" s="15"/>
      <c r="W134" s="15"/>
      <c r="X134" s="15"/>
      <c r="Y134" s="15"/>
      <c r="Z134" s="15"/>
    </row>
    <row r="135" spans="1:26" ht="15" customHeight="1" x14ac:dyDescent="0.25">
      <c r="A135" s="42" t="s">
        <v>499</v>
      </c>
      <c r="B135" s="41"/>
      <c r="C135" s="42"/>
      <c r="D135" s="42"/>
      <c r="E135" s="42"/>
      <c r="F135" s="43"/>
      <c r="G135" s="43"/>
      <c r="H135" s="15"/>
      <c r="I135" s="15"/>
      <c r="J135" s="15"/>
      <c r="K135" s="15"/>
      <c r="L135" s="15"/>
      <c r="M135" s="15"/>
      <c r="N135" s="15"/>
      <c r="O135" s="15"/>
      <c r="P135" s="15"/>
      <c r="Q135" s="15"/>
      <c r="R135" s="15"/>
      <c r="S135" s="15"/>
      <c r="T135" s="15"/>
      <c r="U135" s="15"/>
      <c r="V135" s="15"/>
      <c r="W135" s="15"/>
      <c r="X135" s="15"/>
      <c r="Y135" s="15"/>
      <c r="Z135" s="15"/>
    </row>
    <row r="136" spans="1:26" ht="15" customHeight="1" x14ac:dyDescent="0.25">
      <c r="A136" s="96" t="s">
        <v>1840</v>
      </c>
      <c r="B136" s="41" t="s">
        <v>221</v>
      </c>
      <c r="C136" s="45">
        <v>0</v>
      </c>
      <c r="D136" s="43">
        <v>0</v>
      </c>
      <c r="E136" s="43">
        <f>F136-D136</f>
        <v>0</v>
      </c>
      <c r="F136" s="43">
        <v>0</v>
      </c>
      <c r="G136" s="43">
        <v>56000</v>
      </c>
      <c r="H136" s="14"/>
      <c r="I136" s="15"/>
      <c r="J136" s="15"/>
      <c r="K136" s="15"/>
      <c r="L136" s="15"/>
      <c r="M136" s="15"/>
      <c r="N136" s="15"/>
      <c r="O136" s="15"/>
      <c r="P136" s="15"/>
      <c r="Q136" s="15"/>
      <c r="R136" s="15"/>
      <c r="S136" s="15"/>
      <c r="T136" s="15"/>
      <c r="U136" s="15"/>
      <c r="V136" s="15"/>
      <c r="W136" s="15"/>
      <c r="X136" s="15"/>
      <c r="Y136" s="15"/>
      <c r="Z136" s="15"/>
    </row>
    <row r="137" spans="1:26" ht="15" customHeight="1" x14ac:dyDescent="0.25">
      <c r="A137" s="96" t="s">
        <v>1895</v>
      </c>
      <c r="B137" s="41"/>
      <c r="C137" s="45"/>
      <c r="D137" s="43"/>
      <c r="E137" s="43"/>
      <c r="F137" s="43"/>
      <c r="G137" s="43"/>
      <c r="H137" s="14"/>
      <c r="I137" s="15"/>
      <c r="J137" s="15"/>
      <c r="K137" s="15"/>
      <c r="L137" s="15"/>
      <c r="M137" s="15"/>
      <c r="N137" s="15"/>
      <c r="O137" s="15"/>
      <c r="P137" s="15"/>
      <c r="Q137" s="15"/>
      <c r="R137" s="15"/>
      <c r="S137" s="15"/>
      <c r="T137" s="15"/>
      <c r="U137" s="15"/>
      <c r="V137" s="15"/>
      <c r="W137" s="15"/>
      <c r="X137" s="15"/>
      <c r="Y137" s="15"/>
      <c r="Z137" s="15"/>
    </row>
    <row r="138" spans="1:26" ht="15" customHeight="1" x14ac:dyDescent="0.25">
      <c r="A138" s="96" t="s">
        <v>1896</v>
      </c>
      <c r="B138" s="41"/>
      <c r="C138" s="45"/>
      <c r="D138" s="43"/>
      <c r="E138" s="43"/>
      <c r="F138" s="43"/>
      <c r="G138" s="43"/>
      <c r="H138" s="14"/>
      <c r="I138" s="15"/>
      <c r="J138" s="15"/>
      <c r="K138" s="15"/>
      <c r="L138" s="15"/>
      <c r="M138" s="15"/>
      <c r="N138" s="15"/>
      <c r="O138" s="15"/>
      <c r="P138" s="15"/>
      <c r="Q138" s="15"/>
      <c r="R138" s="15"/>
      <c r="S138" s="15"/>
      <c r="T138" s="15"/>
      <c r="U138" s="15"/>
      <c r="V138" s="15"/>
      <c r="W138" s="15"/>
      <c r="X138" s="15"/>
      <c r="Y138" s="15"/>
      <c r="Z138" s="15"/>
    </row>
    <row r="139" spans="1:26" ht="15" customHeight="1" x14ac:dyDescent="0.25">
      <c r="A139" s="44" t="s">
        <v>837</v>
      </c>
      <c r="B139" s="41" t="s">
        <v>333</v>
      </c>
      <c r="C139" s="43">
        <v>27960000</v>
      </c>
      <c r="D139" s="43">
        <v>13215000</v>
      </c>
      <c r="E139" s="43">
        <f>F139-D139</f>
        <v>15985000</v>
      </c>
      <c r="F139" s="43">
        <v>29200000</v>
      </c>
      <c r="G139" s="43">
        <v>28800000</v>
      </c>
      <c r="H139" s="14" t="s">
        <v>488</v>
      </c>
      <c r="I139" s="15"/>
      <c r="J139" s="15"/>
      <c r="K139" s="15"/>
      <c r="L139" s="15"/>
      <c r="M139" s="15"/>
      <c r="N139" s="15"/>
      <c r="O139" s="15"/>
      <c r="P139" s="15"/>
      <c r="Q139" s="15"/>
      <c r="R139" s="15"/>
      <c r="S139" s="15"/>
      <c r="T139" s="15"/>
      <c r="U139" s="15"/>
      <c r="V139" s="15"/>
      <c r="W139" s="15"/>
      <c r="X139" s="15"/>
      <c r="Y139" s="15"/>
      <c r="Z139" s="15"/>
    </row>
    <row r="140" spans="1:26" ht="15" customHeight="1" x14ac:dyDescent="0.25">
      <c r="A140" s="44" t="s">
        <v>424</v>
      </c>
      <c r="B140" s="41" t="s">
        <v>335</v>
      </c>
      <c r="C140" s="43">
        <v>1022013</v>
      </c>
      <c r="D140" s="43">
        <v>467683.8</v>
      </c>
      <c r="E140" s="43">
        <f>F140-D140</f>
        <v>679516.2</v>
      </c>
      <c r="F140" s="43">
        <v>1147200</v>
      </c>
      <c r="G140" s="43">
        <v>1075200</v>
      </c>
      <c r="H140" s="15"/>
      <c r="I140" s="15"/>
      <c r="J140" s="15"/>
      <c r="K140" s="15"/>
      <c r="L140" s="15"/>
      <c r="M140" s="15"/>
      <c r="N140" s="15"/>
      <c r="O140" s="15"/>
      <c r="P140" s="15"/>
      <c r="Q140" s="15"/>
      <c r="R140" s="15"/>
      <c r="S140" s="15"/>
      <c r="T140" s="15"/>
      <c r="U140" s="15"/>
      <c r="V140" s="15"/>
      <c r="W140" s="15"/>
      <c r="X140" s="15"/>
      <c r="Y140" s="15"/>
      <c r="Z140" s="15"/>
    </row>
    <row r="141" spans="1:26" ht="15" customHeight="1" x14ac:dyDescent="0.25">
      <c r="A141" s="44" t="s">
        <v>1897</v>
      </c>
      <c r="B141" s="41"/>
      <c r="C141" s="43"/>
      <c r="D141" s="43"/>
      <c r="E141" s="43"/>
      <c r="F141" s="43"/>
      <c r="G141" s="43"/>
      <c r="H141" s="15"/>
      <c r="I141" s="15"/>
      <c r="J141" s="15"/>
      <c r="K141" s="15"/>
      <c r="L141" s="15"/>
      <c r="M141" s="15"/>
      <c r="N141" s="15"/>
      <c r="O141" s="15"/>
      <c r="P141" s="15"/>
      <c r="Q141" s="15"/>
      <c r="R141" s="15"/>
      <c r="S141" s="15"/>
      <c r="T141" s="15"/>
      <c r="U141" s="15"/>
      <c r="V141" s="15"/>
      <c r="W141" s="15"/>
      <c r="X141" s="15"/>
      <c r="Y141" s="15"/>
      <c r="Z141" s="15"/>
    </row>
    <row r="142" spans="1:26" ht="15" customHeight="1" x14ac:dyDescent="0.25">
      <c r="A142" s="44" t="s">
        <v>1898</v>
      </c>
      <c r="B142" s="41"/>
      <c r="C142" s="43"/>
      <c r="D142" s="43"/>
      <c r="E142" s="43"/>
      <c r="F142" s="43"/>
      <c r="G142" s="43"/>
      <c r="H142" s="15"/>
      <c r="I142" s="15"/>
      <c r="J142" s="15"/>
      <c r="K142" s="15"/>
      <c r="L142" s="15"/>
      <c r="M142" s="15"/>
      <c r="N142" s="15"/>
      <c r="O142" s="15"/>
      <c r="P142" s="15"/>
      <c r="Q142" s="15"/>
      <c r="R142" s="15"/>
      <c r="S142" s="15"/>
      <c r="T142" s="15"/>
      <c r="U142" s="15"/>
      <c r="V142" s="15"/>
      <c r="W142" s="15"/>
      <c r="X142" s="15"/>
      <c r="Y142" s="15"/>
      <c r="Z142" s="15"/>
    </row>
    <row r="143" spans="1:26" ht="15" customHeight="1" x14ac:dyDescent="0.25">
      <c r="A143" s="44" t="s">
        <v>1899</v>
      </c>
      <c r="B143" s="41"/>
      <c r="C143" s="43"/>
      <c r="D143" s="43"/>
      <c r="E143" s="43"/>
      <c r="F143" s="43"/>
      <c r="G143" s="43"/>
      <c r="H143" s="15"/>
      <c r="I143" s="15"/>
      <c r="J143" s="15"/>
      <c r="K143" s="15"/>
      <c r="L143" s="15"/>
      <c r="M143" s="15"/>
      <c r="N143" s="15"/>
      <c r="O143" s="15"/>
      <c r="P143" s="15"/>
      <c r="Q143" s="15"/>
      <c r="R143" s="15"/>
      <c r="S143" s="15"/>
      <c r="T143" s="15"/>
      <c r="U143" s="15"/>
      <c r="V143" s="15"/>
      <c r="W143" s="15"/>
      <c r="X143" s="15"/>
      <c r="Y143" s="15"/>
      <c r="Z143" s="15"/>
    </row>
    <row r="144" spans="1:26" ht="15" customHeight="1" x14ac:dyDescent="0.25">
      <c r="A144" s="44" t="s">
        <v>1900</v>
      </c>
      <c r="B144" s="41"/>
      <c r="C144" s="43"/>
      <c r="D144" s="43"/>
      <c r="E144" s="43"/>
      <c r="F144" s="43"/>
      <c r="G144" s="43"/>
      <c r="H144" s="15"/>
      <c r="I144" s="15"/>
      <c r="J144" s="15"/>
      <c r="K144" s="15"/>
      <c r="L144" s="15"/>
      <c r="M144" s="15"/>
      <c r="N144" s="15"/>
      <c r="O144" s="15"/>
      <c r="P144" s="15"/>
      <c r="Q144" s="15"/>
      <c r="R144" s="15"/>
      <c r="S144" s="15"/>
      <c r="T144" s="15"/>
      <c r="U144" s="15"/>
      <c r="V144" s="15"/>
      <c r="W144" s="15"/>
      <c r="X144" s="15"/>
      <c r="Y144" s="15"/>
      <c r="Z144" s="15"/>
    </row>
    <row r="145" spans="1:26" ht="15" customHeight="1" x14ac:dyDescent="0.25">
      <c r="A145" s="42" t="s">
        <v>466</v>
      </c>
      <c r="B145" s="41"/>
      <c r="C145" s="54">
        <f>SUM(C135:C140)</f>
        <v>28982013</v>
      </c>
      <c r="D145" s="54">
        <f>SUM(D135:D140)</f>
        <v>13682683.800000001</v>
      </c>
      <c r="E145" s="54">
        <f>SUM(E135:E140)</f>
        <v>16664516.199999999</v>
      </c>
      <c r="F145" s="54">
        <f>SUM(F135:F140)</f>
        <v>30347200</v>
      </c>
      <c r="G145" s="54">
        <f>SUM(G135:G140)</f>
        <v>29931200</v>
      </c>
      <c r="H145" s="15"/>
      <c r="I145" s="15"/>
      <c r="J145" s="15"/>
      <c r="K145" s="15"/>
      <c r="L145" s="15"/>
      <c r="M145" s="15"/>
      <c r="N145" s="15"/>
      <c r="O145" s="15"/>
      <c r="P145" s="15"/>
      <c r="Q145" s="15"/>
      <c r="R145" s="15"/>
      <c r="S145" s="15"/>
      <c r="T145" s="15"/>
      <c r="U145" s="15"/>
      <c r="V145" s="15"/>
      <c r="W145" s="15"/>
      <c r="X145" s="15"/>
      <c r="Y145" s="15"/>
      <c r="Z145" s="15"/>
    </row>
    <row r="146" spans="1:26" ht="15" customHeight="1" x14ac:dyDescent="0.25">
      <c r="A146" s="42"/>
      <c r="B146" s="41"/>
      <c r="C146" s="55"/>
      <c r="D146" s="55"/>
      <c r="E146" s="55"/>
      <c r="F146" s="43"/>
      <c r="G146" s="43"/>
      <c r="H146" s="15"/>
      <c r="I146" s="15"/>
      <c r="J146" s="15"/>
      <c r="K146" s="15"/>
      <c r="L146" s="15"/>
      <c r="M146" s="15"/>
      <c r="N146" s="15"/>
      <c r="O146" s="15"/>
      <c r="P146" s="15"/>
      <c r="Q146" s="15"/>
      <c r="R146" s="15"/>
      <c r="S146" s="15"/>
      <c r="T146" s="15"/>
      <c r="U146" s="15"/>
      <c r="V146" s="15"/>
      <c r="W146" s="15"/>
      <c r="X146" s="15"/>
      <c r="Y146" s="15"/>
      <c r="Z146" s="15"/>
    </row>
    <row r="147" spans="1:26" ht="15" customHeight="1" x14ac:dyDescent="0.25">
      <c r="A147" s="17" t="s">
        <v>467</v>
      </c>
      <c r="B147" s="41"/>
      <c r="C147" s="43">
        <f>C145</f>
        <v>28982013</v>
      </c>
      <c r="D147" s="43">
        <f>D145</f>
        <v>13682683.800000001</v>
      </c>
      <c r="E147" s="43">
        <f>E145</f>
        <v>16664516.199999999</v>
      </c>
      <c r="F147" s="43">
        <f>F145</f>
        <v>30347200</v>
      </c>
      <c r="G147" s="43">
        <f>G145</f>
        <v>29931200</v>
      </c>
      <c r="H147" s="15"/>
      <c r="I147" s="15"/>
      <c r="J147" s="15"/>
      <c r="K147" s="15"/>
      <c r="L147" s="15"/>
      <c r="M147" s="15"/>
      <c r="N147" s="15"/>
      <c r="O147" s="15"/>
      <c r="P147" s="15"/>
      <c r="Q147" s="15"/>
      <c r="R147" s="15"/>
      <c r="S147" s="15"/>
      <c r="T147" s="15"/>
      <c r="U147" s="15"/>
      <c r="V147" s="15"/>
      <c r="W147" s="15"/>
      <c r="X147" s="15"/>
      <c r="Y147" s="15"/>
      <c r="Z147" s="15"/>
    </row>
    <row r="148" spans="1:26" ht="15" customHeight="1" x14ac:dyDescent="0.25">
      <c r="A148" s="17"/>
      <c r="B148" s="41"/>
      <c r="C148" s="43"/>
      <c r="D148" s="43"/>
      <c r="E148" s="43"/>
      <c r="F148" s="43"/>
      <c r="G148" s="43"/>
      <c r="H148" s="15"/>
      <c r="I148" s="15"/>
      <c r="J148" s="15"/>
      <c r="K148" s="15"/>
      <c r="L148" s="15"/>
      <c r="M148" s="15"/>
      <c r="N148" s="15"/>
      <c r="O148" s="15"/>
      <c r="P148" s="15"/>
      <c r="Q148" s="15"/>
      <c r="R148" s="15"/>
      <c r="S148" s="15"/>
      <c r="T148" s="15"/>
      <c r="U148" s="15"/>
      <c r="V148" s="15"/>
      <c r="W148" s="15"/>
      <c r="X148" s="15"/>
      <c r="Y148" s="15"/>
      <c r="Z148" s="15"/>
    </row>
    <row r="149" spans="1:26" ht="15" customHeight="1" x14ac:dyDescent="0.25">
      <c r="A149" s="50" t="s">
        <v>487</v>
      </c>
      <c r="B149" s="51" t="s">
        <v>488</v>
      </c>
      <c r="C149" s="54">
        <f>+C147</f>
        <v>28982013</v>
      </c>
      <c r="D149" s="54">
        <f>+D147</f>
        <v>13682683.800000001</v>
      </c>
      <c r="E149" s="54">
        <f>+E147</f>
        <v>16664516.199999999</v>
      </c>
      <c r="F149" s="54">
        <f>+F147</f>
        <v>30347200</v>
      </c>
      <c r="G149" s="54">
        <f>+G147</f>
        <v>29931200</v>
      </c>
      <c r="H149" s="15"/>
      <c r="I149" s="15"/>
      <c r="J149" s="15"/>
      <c r="K149" s="15"/>
      <c r="L149" s="15"/>
      <c r="M149" s="15"/>
      <c r="N149" s="15"/>
      <c r="O149" s="15"/>
      <c r="P149" s="15"/>
      <c r="Q149" s="15"/>
      <c r="R149" s="15"/>
      <c r="S149" s="15"/>
      <c r="T149" s="15"/>
      <c r="U149" s="15"/>
      <c r="V149" s="15"/>
      <c r="W149" s="15"/>
      <c r="X149" s="15"/>
      <c r="Y149" s="15"/>
      <c r="Z149" s="15"/>
    </row>
    <row r="150" spans="1:26" ht="15" customHeight="1" x14ac:dyDescent="0.25">
      <c r="A150" s="24"/>
      <c r="B150" s="25"/>
      <c r="C150" s="26"/>
      <c r="D150" s="26"/>
      <c r="E150" s="26"/>
      <c r="F150" s="26"/>
      <c r="G150" s="26"/>
      <c r="H150" s="15"/>
      <c r="I150" s="15"/>
      <c r="J150" s="15"/>
      <c r="K150" s="15"/>
      <c r="L150" s="15"/>
      <c r="M150" s="15"/>
      <c r="N150" s="15"/>
      <c r="O150" s="15"/>
      <c r="P150" s="15"/>
      <c r="Q150" s="15"/>
      <c r="R150" s="15"/>
      <c r="S150" s="15"/>
      <c r="T150" s="15"/>
      <c r="U150" s="15"/>
      <c r="V150" s="15"/>
      <c r="W150" s="15"/>
      <c r="X150" s="15"/>
      <c r="Y150" s="15"/>
      <c r="Z150" s="15"/>
    </row>
    <row r="151" spans="1:26" ht="15" customHeight="1" x14ac:dyDescent="0.25">
      <c r="A151" s="15"/>
      <c r="B151" s="103"/>
      <c r="C151" s="24"/>
      <c r="D151" s="24"/>
      <c r="E151" s="15"/>
      <c r="F151" s="15"/>
      <c r="G151" s="24"/>
      <c r="H151" s="7"/>
      <c r="I151" s="15"/>
      <c r="J151" s="15"/>
      <c r="K151" s="15"/>
      <c r="L151" s="15"/>
      <c r="M151" s="15"/>
      <c r="N151" s="15"/>
      <c r="O151" s="15"/>
      <c r="P151" s="15"/>
      <c r="Q151" s="15"/>
      <c r="R151" s="15"/>
      <c r="S151" s="15"/>
      <c r="T151" s="15"/>
      <c r="U151" s="15"/>
      <c r="V151" s="15"/>
      <c r="W151" s="15"/>
      <c r="X151" s="15"/>
      <c r="Y151" s="15"/>
      <c r="Z151" s="15"/>
    </row>
    <row r="152" spans="1:26" ht="15" customHeight="1" x14ac:dyDescent="0.25">
      <c r="A152" s="9"/>
      <c r="B152" s="104"/>
      <c r="C152" s="105"/>
      <c r="D152" s="105"/>
      <c r="E152" s="105"/>
      <c r="F152" s="10"/>
      <c r="G152" s="180"/>
      <c r="H152" s="15"/>
      <c r="I152" s="15"/>
      <c r="J152" s="15"/>
      <c r="K152" s="15"/>
      <c r="L152" s="15"/>
      <c r="M152" s="15"/>
      <c r="N152" s="15"/>
      <c r="O152" s="15"/>
      <c r="P152" s="15"/>
      <c r="Q152" s="15"/>
      <c r="R152" s="15"/>
      <c r="S152" s="15"/>
      <c r="T152" s="15"/>
      <c r="U152" s="15"/>
      <c r="V152" s="15"/>
      <c r="W152" s="15"/>
      <c r="X152" s="15"/>
      <c r="Y152" s="15"/>
      <c r="Z152" s="15"/>
    </row>
    <row r="153" spans="1:26" ht="15" customHeight="1" x14ac:dyDescent="0.25">
      <c r="A153" s="108" t="s">
        <v>1901</v>
      </c>
      <c r="B153" s="25"/>
      <c r="C153" s="26"/>
      <c r="D153" s="26"/>
      <c r="E153" s="26"/>
      <c r="F153" s="14"/>
      <c r="G153" s="181"/>
      <c r="H153" s="15"/>
      <c r="I153" s="15"/>
      <c r="J153" s="15"/>
      <c r="K153" s="15"/>
      <c r="L153" s="15"/>
      <c r="M153" s="15"/>
      <c r="N153" s="15"/>
      <c r="O153" s="15"/>
      <c r="P153" s="15"/>
      <c r="Q153" s="15"/>
      <c r="R153" s="15"/>
      <c r="S153" s="15"/>
      <c r="T153" s="15"/>
      <c r="U153" s="15"/>
      <c r="V153" s="15"/>
      <c r="W153" s="15"/>
      <c r="X153" s="15"/>
      <c r="Y153" s="15"/>
      <c r="Z153" s="15"/>
    </row>
    <row r="154" spans="1:26" ht="15" customHeight="1" x14ac:dyDescent="0.25">
      <c r="A154" s="108"/>
      <c r="B154" s="25"/>
      <c r="C154" s="26"/>
      <c r="D154" s="26"/>
      <c r="E154" s="26"/>
      <c r="F154" s="14"/>
      <c r="G154" s="181"/>
      <c r="H154" s="15"/>
      <c r="I154" s="15"/>
      <c r="J154" s="15"/>
      <c r="K154" s="15"/>
      <c r="L154" s="15"/>
      <c r="M154" s="15"/>
      <c r="N154" s="15"/>
      <c r="O154" s="15"/>
      <c r="P154" s="15"/>
      <c r="Q154" s="15"/>
      <c r="R154" s="15"/>
      <c r="S154" s="15"/>
      <c r="T154" s="15"/>
      <c r="U154" s="15"/>
      <c r="V154" s="15"/>
      <c r="W154" s="15"/>
      <c r="X154" s="15"/>
      <c r="Y154" s="15"/>
      <c r="Z154" s="15"/>
    </row>
    <row r="155" spans="1:26" ht="15" customHeight="1" x14ac:dyDescent="0.25">
      <c r="A155" s="865" t="s">
        <v>352</v>
      </c>
      <c r="B155" s="866"/>
      <c r="C155" s="866"/>
      <c r="D155" s="866"/>
      <c r="E155" s="866"/>
      <c r="F155" s="866"/>
      <c r="G155" s="867"/>
      <c r="H155" s="15"/>
      <c r="I155" s="15"/>
      <c r="J155" s="15"/>
      <c r="K155" s="15"/>
      <c r="L155" s="15"/>
      <c r="M155" s="15"/>
      <c r="N155" s="15"/>
      <c r="O155" s="15"/>
      <c r="P155" s="15"/>
      <c r="Q155" s="15"/>
      <c r="R155" s="15"/>
      <c r="S155" s="15"/>
      <c r="T155" s="15"/>
      <c r="U155" s="15"/>
      <c r="V155" s="15"/>
      <c r="W155" s="15"/>
      <c r="X155" s="15"/>
      <c r="Y155" s="15"/>
      <c r="Z155" s="15"/>
    </row>
    <row r="156" spans="1:26" ht="15" customHeight="1" x14ac:dyDescent="0.25">
      <c r="A156" s="868" t="s">
        <v>1194</v>
      </c>
      <c r="B156" s="857" t="s">
        <v>354</v>
      </c>
      <c r="C156" s="857" t="s">
        <v>355</v>
      </c>
      <c r="D156" s="884" t="s">
        <v>356</v>
      </c>
      <c r="E156" s="885"/>
      <c r="F156" s="886"/>
      <c r="G156" s="857" t="s">
        <v>357</v>
      </c>
      <c r="H156" s="15"/>
      <c r="I156" s="15"/>
      <c r="J156" s="15"/>
      <c r="K156" s="15"/>
      <c r="L156" s="15"/>
      <c r="M156" s="15"/>
      <c r="N156" s="15"/>
      <c r="O156" s="15"/>
      <c r="P156" s="15"/>
      <c r="Q156" s="15"/>
      <c r="R156" s="15"/>
      <c r="S156" s="15"/>
      <c r="T156" s="15"/>
      <c r="U156" s="15"/>
      <c r="V156" s="15"/>
      <c r="W156" s="15"/>
      <c r="X156" s="15"/>
      <c r="Y156" s="15"/>
      <c r="Z156" s="15"/>
    </row>
    <row r="157" spans="1:26" ht="15" customHeight="1" x14ac:dyDescent="0.25">
      <c r="A157" s="858"/>
      <c r="B157" s="858"/>
      <c r="C157" s="858"/>
      <c r="D157" s="28" t="s">
        <v>358</v>
      </c>
      <c r="E157" s="29" t="s">
        <v>359</v>
      </c>
      <c r="F157" s="857" t="s">
        <v>360</v>
      </c>
      <c r="G157" s="858"/>
      <c r="H157" s="15"/>
      <c r="I157" s="15"/>
      <c r="J157" s="15"/>
      <c r="K157" s="15"/>
      <c r="L157" s="15"/>
      <c r="M157" s="15"/>
      <c r="N157" s="15"/>
      <c r="O157" s="15"/>
      <c r="P157" s="15"/>
      <c r="Q157" s="15"/>
      <c r="R157" s="15"/>
      <c r="S157" s="15"/>
      <c r="T157" s="15"/>
      <c r="U157" s="15"/>
      <c r="V157" s="15"/>
      <c r="W157" s="15"/>
      <c r="X157" s="15"/>
      <c r="Y157" s="15"/>
      <c r="Z157" s="15"/>
    </row>
    <row r="158" spans="1:26" ht="15" customHeight="1" x14ac:dyDescent="0.25">
      <c r="A158" s="858"/>
      <c r="B158" s="858"/>
      <c r="C158" s="30" t="s">
        <v>361</v>
      </c>
      <c r="D158" s="31" t="s">
        <v>361</v>
      </c>
      <c r="E158" s="32" t="s">
        <v>362</v>
      </c>
      <c r="F158" s="858"/>
      <c r="G158" s="442" t="s">
        <v>2669</v>
      </c>
      <c r="H158" s="15"/>
      <c r="I158" s="15"/>
      <c r="J158" s="15"/>
      <c r="K158" s="15"/>
      <c r="L158" s="15"/>
      <c r="M158" s="15"/>
      <c r="N158" s="15"/>
      <c r="O158" s="15"/>
      <c r="P158" s="15"/>
      <c r="Q158" s="15"/>
      <c r="R158" s="15"/>
      <c r="S158" s="15"/>
      <c r="T158" s="15"/>
      <c r="U158" s="15"/>
      <c r="V158" s="15"/>
      <c r="W158" s="15"/>
      <c r="X158" s="15"/>
      <c r="Y158" s="15"/>
      <c r="Z158" s="15"/>
    </row>
    <row r="159" spans="1:26" ht="15" customHeight="1" x14ac:dyDescent="0.25">
      <c r="A159" s="869"/>
      <c r="B159" s="869"/>
      <c r="C159" s="33">
        <v>2024</v>
      </c>
      <c r="D159" s="34">
        <v>2025</v>
      </c>
      <c r="E159" s="35">
        <v>2025</v>
      </c>
      <c r="F159" s="34">
        <v>2025</v>
      </c>
      <c r="G159" s="36" t="s">
        <v>2668</v>
      </c>
      <c r="H159" s="15"/>
      <c r="I159" s="15"/>
      <c r="J159" s="15"/>
      <c r="K159" s="15"/>
      <c r="L159" s="15"/>
      <c r="M159" s="15"/>
      <c r="N159" s="15"/>
      <c r="O159" s="15"/>
      <c r="P159" s="15"/>
      <c r="Q159" s="15"/>
      <c r="R159" s="15"/>
      <c r="S159" s="15"/>
      <c r="T159" s="15"/>
      <c r="U159" s="15"/>
      <c r="V159" s="15"/>
      <c r="W159" s="15"/>
      <c r="X159" s="15"/>
      <c r="Y159" s="15"/>
      <c r="Z159" s="15"/>
    </row>
    <row r="160" spans="1:26" ht="15" customHeight="1" x14ac:dyDescent="0.25">
      <c r="A160" s="317" t="s">
        <v>364</v>
      </c>
      <c r="B160" s="318"/>
      <c r="C160" s="171"/>
      <c r="D160" s="171"/>
      <c r="E160" s="171"/>
      <c r="F160" s="171"/>
      <c r="G160" s="171"/>
      <c r="H160" s="15"/>
      <c r="I160" s="15"/>
      <c r="J160" s="15"/>
      <c r="K160" s="15"/>
      <c r="L160" s="15"/>
      <c r="M160" s="15"/>
      <c r="N160" s="15"/>
      <c r="O160" s="15"/>
      <c r="P160" s="15"/>
      <c r="Q160" s="15"/>
      <c r="R160" s="15"/>
      <c r="S160" s="15"/>
      <c r="T160" s="15"/>
      <c r="U160" s="15"/>
      <c r="V160" s="15"/>
      <c r="W160" s="15"/>
      <c r="X160" s="15"/>
      <c r="Y160" s="15"/>
      <c r="Z160" s="15"/>
    </row>
    <row r="161" spans="1:26" ht="15" customHeight="1" x14ac:dyDescent="0.25">
      <c r="A161" s="171" t="s">
        <v>1463</v>
      </c>
      <c r="B161" s="319"/>
      <c r="C161" s="171"/>
      <c r="D161" s="171"/>
      <c r="E161" s="171"/>
      <c r="F161" s="171"/>
      <c r="G161" s="171"/>
      <c r="H161" s="15"/>
      <c r="I161" s="15"/>
      <c r="J161" s="15"/>
      <c r="K161" s="15"/>
      <c r="L161" s="15"/>
      <c r="M161" s="15"/>
      <c r="N161" s="15"/>
      <c r="O161" s="15"/>
      <c r="P161" s="15"/>
      <c r="Q161" s="15"/>
      <c r="R161" s="15"/>
      <c r="S161" s="15"/>
      <c r="T161" s="15"/>
      <c r="U161" s="15"/>
      <c r="V161" s="15"/>
      <c r="W161" s="15"/>
      <c r="X161" s="15"/>
      <c r="Y161" s="15"/>
      <c r="Z161" s="15"/>
    </row>
    <row r="162" spans="1:26" ht="15" customHeight="1" x14ac:dyDescent="0.25">
      <c r="A162" s="317" t="s">
        <v>511</v>
      </c>
      <c r="B162" s="320"/>
      <c r="C162" s="171"/>
      <c r="D162" s="171"/>
      <c r="E162" s="171"/>
      <c r="F162" s="165"/>
      <c r="G162" s="165"/>
      <c r="H162" s="15"/>
      <c r="I162" s="15"/>
      <c r="J162" s="15"/>
      <c r="K162" s="15"/>
      <c r="L162" s="15"/>
      <c r="M162" s="15"/>
      <c r="N162" s="15"/>
      <c r="O162" s="15"/>
      <c r="P162" s="15"/>
      <c r="Q162" s="15"/>
      <c r="R162" s="15"/>
      <c r="S162" s="15"/>
      <c r="T162" s="15"/>
      <c r="U162" s="15"/>
      <c r="V162" s="15"/>
      <c r="W162" s="15"/>
      <c r="X162" s="15"/>
      <c r="Y162" s="15"/>
      <c r="Z162" s="15"/>
    </row>
    <row r="163" spans="1:26" ht="15" customHeight="1" x14ac:dyDescent="0.25">
      <c r="A163" s="266" t="s">
        <v>837</v>
      </c>
      <c r="B163" s="320" t="s">
        <v>333</v>
      </c>
      <c r="C163" s="165">
        <v>30000000</v>
      </c>
      <c r="D163" s="165">
        <v>15000000</v>
      </c>
      <c r="E163" s="165">
        <f>F163-D163</f>
        <v>15000000</v>
      </c>
      <c r="F163" s="165">
        <v>30000000</v>
      </c>
      <c r="G163" s="165">
        <v>30000000</v>
      </c>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7" t="s">
        <v>1902</v>
      </c>
      <c r="B164" s="320"/>
      <c r="C164" s="321"/>
      <c r="D164" s="165"/>
      <c r="E164" s="165"/>
      <c r="F164" s="165"/>
      <c r="G164" s="165"/>
      <c r="H164" s="15">
        <v>264</v>
      </c>
      <c r="I164" s="15">
        <v>974</v>
      </c>
      <c r="J164" s="15">
        <v>1</v>
      </c>
      <c r="K164" s="167">
        <f>H164*I164*J164</f>
        <v>257136</v>
      </c>
      <c r="L164" s="15"/>
      <c r="M164" s="15"/>
      <c r="N164" s="15"/>
      <c r="O164" s="15"/>
      <c r="P164" s="15"/>
      <c r="Q164" s="15"/>
      <c r="R164" s="15"/>
      <c r="S164" s="15"/>
      <c r="T164" s="15"/>
      <c r="U164" s="15"/>
      <c r="V164" s="15"/>
      <c r="W164" s="15"/>
      <c r="X164" s="15"/>
      <c r="Y164" s="15"/>
      <c r="Z164" s="15"/>
    </row>
    <row r="165" spans="1:26" ht="15.75" hidden="1" customHeight="1" x14ac:dyDescent="0.25">
      <c r="A165" s="266" t="s">
        <v>1903</v>
      </c>
      <c r="B165" s="320"/>
      <c r="C165" s="321"/>
      <c r="D165" s="165"/>
      <c r="E165" s="165"/>
      <c r="F165" s="165"/>
      <c r="G165" s="165"/>
      <c r="H165" s="15">
        <v>264</v>
      </c>
      <c r="I165" s="15">
        <v>678</v>
      </c>
      <c r="J165" s="15">
        <v>1</v>
      </c>
      <c r="K165" s="167">
        <f>H165*I165*J165</f>
        <v>178992</v>
      </c>
      <c r="L165" s="15"/>
      <c r="M165" s="15"/>
      <c r="N165" s="15"/>
      <c r="O165" s="15"/>
      <c r="P165" s="15"/>
      <c r="Q165" s="15"/>
      <c r="R165" s="15"/>
      <c r="S165" s="15"/>
      <c r="T165" s="15"/>
      <c r="U165" s="15"/>
      <c r="V165" s="15"/>
      <c r="W165" s="15"/>
      <c r="X165" s="15"/>
      <c r="Y165" s="15"/>
      <c r="Z165" s="15"/>
    </row>
    <row r="166" spans="1:26" ht="15.75" hidden="1" customHeight="1" x14ac:dyDescent="0.25">
      <c r="A166" s="266" t="s">
        <v>1904</v>
      </c>
      <c r="B166" s="320"/>
      <c r="C166" s="321"/>
      <c r="D166" s="165"/>
      <c r="E166" s="165"/>
      <c r="F166" s="165"/>
      <c r="G166" s="165"/>
      <c r="H166" s="15"/>
      <c r="I166" s="15"/>
      <c r="J166" s="15"/>
      <c r="K166" s="15"/>
      <c r="L166" s="15"/>
      <c r="M166" s="15"/>
      <c r="N166" s="15"/>
      <c r="O166" s="15"/>
      <c r="P166" s="15"/>
      <c r="Q166" s="15"/>
      <c r="R166" s="15"/>
      <c r="S166" s="15"/>
      <c r="T166" s="15"/>
      <c r="U166" s="15"/>
      <c r="V166" s="15"/>
      <c r="W166" s="15"/>
      <c r="X166" s="15"/>
      <c r="Y166" s="15"/>
      <c r="Z166" s="15"/>
    </row>
    <row r="167" spans="1:26" ht="15" customHeight="1" x14ac:dyDescent="0.25">
      <c r="A167" s="171" t="s">
        <v>466</v>
      </c>
      <c r="B167" s="320"/>
      <c r="C167" s="166">
        <f>+SUM(C163:C163)</f>
        <v>30000000</v>
      </c>
      <c r="D167" s="166">
        <f>+SUM(D163:D163)</f>
        <v>15000000</v>
      </c>
      <c r="E167" s="166">
        <f>+SUM(E163:E163)</f>
        <v>15000000</v>
      </c>
      <c r="F167" s="166">
        <f>+SUM(F163:F163)</f>
        <v>30000000</v>
      </c>
      <c r="G167" s="166">
        <f>+SUM(G163:G163)</f>
        <v>30000000</v>
      </c>
      <c r="H167" s="15"/>
      <c r="I167" s="15"/>
      <c r="J167" s="15"/>
      <c r="K167" s="15"/>
      <c r="L167" s="15"/>
      <c r="M167" s="15"/>
      <c r="N167" s="15"/>
      <c r="O167" s="15"/>
      <c r="P167" s="15"/>
      <c r="Q167" s="15"/>
      <c r="R167" s="15"/>
      <c r="S167" s="15"/>
      <c r="T167" s="15"/>
      <c r="U167" s="15"/>
      <c r="V167" s="15"/>
      <c r="W167" s="15"/>
      <c r="X167" s="15"/>
      <c r="Y167" s="15"/>
      <c r="Z167" s="15"/>
    </row>
    <row r="168" spans="1:26" ht="15" customHeight="1" x14ac:dyDescent="0.25">
      <c r="A168" s="171"/>
      <c r="B168" s="320"/>
      <c r="C168" s="322"/>
      <c r="D168" s="322"/>
      <c r="E168" s="322"/>
      <c r="F168" s="165"/>
      <c r="G168" s="165"/>
      <c r="H168" s="15"/>
      <c r="I168" s="15"/>
      <c r="J168" s="15"/>
      <c r="K168" s="15"/>
      <c r="L168" s="15"/>
      <c r="M168" s="15"/>
      <c r="N168" s="15"/>
      <c r="O168" s="15"/>
      <c r="P168" s="15"/>
      <c r="Q168" s="15"/>
      <c r="R168" s="15"/>
      <c r="S168" s="15"/>
      <c r="T168" s="15"/>
      <c r="U168" s="15"/>
      <c r="V168" s="15"/>
      <c r="W168" s="15"/>
      <c r="X168" s="15"/>
      <c r="Y168" s="15"/>
      <c r="Z168" s="15"/>
    </row>
    <row r="169" spans="1:26" ht="15" customHeight="1" x14ac:dyDescent="0.25">
      <c r="A169" s="317" t="s">
        <v>467</v>
      </c>
      <c r="B169" s="320"/>
      <c r="C169" s="165">
        <f>C167</f>
        <v>30000000</v>
      </c>
      <c r="D169" s="165">
        <f>D167</f>
        <v>15000000</v>
      </c>
      <c r="E169" s="165">
        <f>E167</f>
        <v>15000000</v>
      </c>
      <c r="F169" s="165">
        <f>F167</f>
        <v>30000000</v>
      </c>
      <c r="G169" s="165">
        <f>G167</f>
        <v>30000000</v>
      </c>
      <c r="H169" s="15"/>
      <c r="I169" s="15"/>
      <c r="J169" s="15"/>
      <c r="K169" s="15"/>
      <c r="L169" s="15"/>
      <c r="M169" s="15"/>
      <c r="N169" s="15"/>
      <c r="O169" s="15"/>
      <c r="P169" s="15"/>
      <c r="Q169" s="15"/>
      <c r="R169" s="15"/>
      <c r="S169" s="15"/>
      <c r="T169" s="15"/>
      <c r="U169" s="15"/>
      <c r="V169" s="15"/>
      <c r="W169" s="15"/>
      <c r="X169" s="15"/>
      <c r="Y169" s="15"/>
      <c r="Z169" s="15"/>
    </row>
    <row r="170" spans="1:26" ht="15" customHeight="1" x14ac:dyDescent="0.25">
      <c r="A170" s="317"/>
      <c r="B170" s="320"/>
      <c r="C170" s="165"/>
      <c r="D170" s="165"/>
      <c r="E170" s="165"/>
      <c r="F170" s="165"/>
      <c r="G170" s="165"/>
      <c r="H170" s="15"/>
      <c r="I170" s="15"/>
      <c r="J170" s="15"/>
      <c r="K170" s="15"/>
      <c r="L170" s="15"/>
      <c r="M170" s="15"/>
      <c r="N170" s="15"/>
      <c r="O170" s="15"/>
      <c r="P170" s="15"/>
      <c r="Q170" s="15"/>
      <c r="R170" s="15"/>
      <c r="S170" s="15"/>
      <c r="T170" s="15"/>
      <c r="U170" s="15"/>
      <c r="V170" s="15"/>
      <c r="W170" s="15"/>
      <c r="X170" s="15"/>
      <c r="Y170" s="15"/>
      <c r="Z170" s="15"/>
    </row>
    <row r="171" spans="1:26" ht="15" customHeight="1" x14ac:dyDescent="0.25">
      <c r="A171" s="323" t="s">
        <v>487</v>
      </c>
      <c r="B171" s="324" t="s">
        <v>488</v>
      </c>
      <c r="C171" s="166">
        <f>+C169</f>
        <v>30000000</v>
      </c>
      <c r="D171" s="166">
        <f>+D169</f>
        <v>15000000</v>
      </c>
      <c r="E171" s="166">
        <f>+E169</f>
        <v>15000000</v>
      </c>
      <c r="F171" s="166">
        <f>+F169</f>
        <v>30000000</v>
      </c>
      <c r="G171" s="166">
        <f>+G169</f>
        <v>30000000</v>
      </c>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5">
      <c r="A172" s="24"/>
      <c r="B172" s="25"/>
      <c r="C172" s="24"/>
      <c r="D172" s="24"/>
      <c r="E172" s="24"/>
      <c r="F172" s="114"/>
      <c r="G172" s="114"/>
      <c r="H172" s="114"/>
      <c r="I172" s="114"/>
      <c r="J172" s="114"/>
      <c r="K172" s="212"/>
      <c r="L172" s="114"/>
      <c r="M172" s="114"/>
      <c r="N172" s="114"/>
      <c r="O172" s="114"/>
      <c r="P172" s="114"/>
      <c r="Q172" s="114"/>
      <c r="R172" s="114"/>
      <c r="S172" s="114"/>
      <c r="T172" s="114"/>
      <c r="U172" s="114"/>
      <c r="V172" s="114"/>
      <c r="W172" s="114"/>
      <c r="X172" s="114"/>
      <c r="Y172" s="114"/>
      <c r="Z172" s="114"/>
    </row>
    <row r="173" spans="1:26" ht="15.75" customHeight="1" x14ac:dyDescent="0.25">
      <c r="A173" s="24"/>
      <c r="B173" s="25"/>
      <c r="C173" s="24"/>
      <c r="D173" s="24"/>
      <c r="E173" s="24"/>
      <c r="F173" s="114"/>
      <c r="G173" s="114"/>
      <c r="H173" s="114"/>
      <c r="I173" s="114"/>
      <c r="J173" s="114"/>
      <c r="K173" s="212"/>
      <c r="L173" s="114"/>
      <c r="M173" s="114"/>
      <c r="N173" s="114"/>
      <c r="O173" s="114"/>
      <c r="P173" s="114"/>
      <c r="Q173" s="114"/>
      <c r="R173" s="114"/>
      <c r="S173" s="114"/>
      <c r="T173" s="114"/>
      <c r="U173" s="114"/>
      <c r="V173" s="114"/>
      <c r="W173" s="114"/>
      <c r="X173" s="114"/>
      <c r="Y173" s="114"/>
      <c r="Z173" s="114"/>
    </row>
    <row r="174" spans="1:26" ht="15.75" customHeight="1" x14ac:dyDescent="0.25">
      <c r="A174" s="24"/>
      <c r="B174" s="25"/>
      <c r="C174" s="24"/>
      <c r="D174" s="24"/>
      <c r="E174" s="24"/>
      <c r="F174" s="114"/>
      <c r="G174" s="114"/>
      <c r="H174" s="114"/>
      <c r="I174" s="114"/>
      <c r="J174" s="114"/>
      <c r="K174" s="212"/>
      <c r="L174" s="114"/>
      <c r="M174" s="114"/>
      <c r="N174" s="114"/>
      <c r="O174" s="114"/>
      <c r="P174" s="114"/>
      <c r="Q174" s="114"/>
      <c r="R174" s="114"/>
      <c r="S174" s="114"/>
      <c r="T174" s="114"/>
      <c r="U174" s="114"/>
      <c r="V174" s="114"/>
      <c r="W174" s="114"/>
      <c r="X174" s="114"/>
      <c r="Y174" s="114"/>
      <c r="Z174" s="114"/>
    </row>
    <row r="175" spans="1:26" ht="15.75" customHeight="1" x14ac:dyDescent="0.25">
      <c r="A175" s="24"/>
      <c r="B175" s="25"/>
      <c r="C175" s="24"/>
      <c r="D175" s="24"/>
      <c r="E175" s="24"/>
      <c r="F175" s="114"/>
      <c r="G175" s="114"/>
      <c r="H175" s="114"/>
      <c r="I175" s="114"/>
      <c r="J175" s="114"/>
      <c r="K175" s="212"/>
      <c r="L175" s="114"/>
      <c r="M175" s="114"/>
      <c r="N175" s="114"/>
      <c r="O175" s="114"/>
      <c r="P175" s="114"/>
      <c r="Q175" s="114"/>
      <c r="R175" s="114"/>
      <c r="S175" s="114"/>
      <c r="T175" s="114"/>
      <c r="U175" s="114"/>
      <c r="V175" s="114"/>
      <c r="W175" s="114"/>
      <c r="X175" s="114"/>
      <c r="Y175" s="114"/>
      <c r="Z175" s="114"/>
    </row>
    <row r="176" spans="1:26" ht="15.75" customHeight="1" x14ac:dyDescent="0.25">
      <c r="A176" s="24"/>
      <c r="B176" s="25"/>
      <c r="C176" s="24"/>
      <c r="D176" s="24"/>
      <c r="E176" s="24"/>
      <c r="F176" s="114"/>
      <c r="G176" s="114"/>
      <c r="H176" s="114"/>
      <c r="I176" s="114"/>
      <c r="J176" s="114"/>
      <c r="K176" s="212"/>
      <c r="L176" s="114"/>
      <c r="M176" s="114"/>
      <c r="N176" s="114"/>
      <c r="O176" s="114"/>
      <c r="P176" s="114"/>
      <c r="Q176" s="114"/>
      <c r="R176" s="114"/>
      <c r="S176" s="114"/>
      <c r="T176" s="114"/>
      <c r="U176" s="114"/>
      <c r="V176" s="114"/>
      <c r="W176" s="114"/>
      <c r="X176" s="114"/>
      <c r="Y176" s="114"/>
      <c r="Z176" s="114"/>
    </row>
    <row r="177" spans="1:26" ht="15.75" customHeight="1" x14ac:dyDescent="0.25">
      <c r="A177" s="24"/>
      <c r="B177" s="25"/>
      <c r="C177" s="24"/>
      <c r="D177" s="24"/>
      <c r="E177" s="24"/>
      <c r="F177" s="114"/>
      <c r="G177" s="114"/>
      <c r="H177" s="114"/>
      <c r="I177" s="114"/>
      <c r="J177" s="114"/>
      <c r="K177" s="212"/>
      <c r="L177" s="114"/>
      <c r="M177" s="114"/>
      <c r="N177" s="114"/>
      <c r="O177" s="114"/>
      <c r="P177" s="114"/>
      <c r="Q177" s="114"/>
      <c r="R177" s="114"/>
      <c r="S177" s="114"/>
      <c r="T177" s="114"/>
      <c r="U177" s="114"/>
      <c r="V177" s="114"/>
      <c r="W177" s="114"/>
      <c r="X177" s="114"/>
      <c r="Y177" s="114"/>
      <c r="Z177" s="114"/>
    </row>
    <row r="178" spans="1:26" ht="15.75" customHeight="1" x14ac:dyDescent="0.25">
      <c r="A178" s="24"/>
      <c r="B178" s="25"/>
      <c r="C178" s="24"/>
      <c r="D178" s="24"/>
      <c r="E178" s="24"/>
      <c r="F178" s="114"/>
      <c r="G178" s="114"/>
      <c r="H178" s="114"/>
      <c r="I178" s="114"/>
      <c r="J178" s="114"/>
      <c r="K178" s="212"/>
      <c r="L178" s="114"/>
      <c r="M178" s="114"/>
      <c r="N178" s="114"/>
      <c r="O178" s="114"/>
      <c r="P178" s="114"/>
      <c r="Q178" s="114"/>
      <c r="R178" s="114"/>
      <c r="S178" s="114"/>
      <c r="T178" s="114"/>
      <c r="U178" s="114"/>
      <c r="V178" s="114"/>
      <c r="W178" s="114"/>
      <c r="X178" s="114"/>
      <c r="Y178" s="114"/>
      <c r="Z178" s="114"/>
    </row>
    <row r="179" spans="1:26" ht="15.75" customHeight="1" x14ac:dyDescent="0.25">
      <c r="A179" s="24"/>
      <c r="B179" s="25"/>
      <c r="C179" s="24"/>
      <c r="D179" s="24"/>
      <c r="E179" s="24"/>
      <c r="F179" s="114"/>
      <c r="G179" s="114"/>
      <c r="H179" s="114"/>
      <c r="I179" s="114"/>
      <c r="J179" s="114"/>
      <c r="K179" s="212"/>
      <c r="L179" s="114"/>
      <c r="M179" s="114"/>
      <c r="N179" s="114"/>
      <c r="O179" s="114"/>
      <c r="P179" s="114"/>
      <c r="Q179" s="114"/>
      <c r="R179" s="114"/>
      <c r="S179" s="114"/>
      <c r="T179" s="114"/>
      <c r="U179" s="114"/>
      <c r="V179" s="114"/>
      <c r="W179" s="114"/>
      <c r="X179" s="114"/>
      <c r="Y179" s="114"/>
      <c r="Z179" s="114"/>
    </row>
    <row r="180" spans="1:26" ht="15.75" customHeight="1" x14ac:dyDescent="0.25">
      <c r="A180" s="24"/>
      <c r="B180" s="25"/>
      <c r="C180" s="24"/>
      <c r="D180" s="24"/>
      <c r="E180" s="24"/>
      <c r="F180" s="114"/>
      <c r="G180" s="114"/>
      <c r="H180" s="114"/>
      <c r="I180" s="114"/>
      <c r="J180" s="114"/>
      <c r="K180" s="212"/>
      <c r="L180" s="114"/>
      <c r="M180" s="114"/>
      <c r="N180" s="114"/>
      <c r="O180" s="114"/>
      <c r="P180" s="114"/>
      <c r="Q180" s="114"/>
      <c r="R180" s="114"/>
      <c r="S180" s="114"/>
      <c r="T180" s="114"/>
      <c r="U180" s="114"/>
      <c r="V180" s="114"/>
      <c r="W180" s="114"/>
      <c r="X180" s="114"/>
      <c r="Y180" s="114"/>
      <c r="Z180" s="114"/>
    </row>
    <row r="181" spans="1:26" ht="15.75" customHeight="1" x14ac:dyDescent="0.25">
      <c r="A181" s="24"/>
      <c r="B181" s="25"/>
      <c r="C181" s="24"/>
      <c r="D181" s="24"/>
      <c r="E181" s="24"/>
      <c r="F181" s="114"/>
      <c r="G181" s="114"/>
      <c r="H181" s="114"/>
      <c r="I181" s="114"/>
      <c r="J181" s="114"/>
      <c r="K181" s="212"/>
      <c r="L181" s="114"/>
      <c r="M181" s="114"/>
      <c r="N181" s="114"/>
      <c r="O181" s="114"/>
      <c r="P181" s="114"/>
      <c r="Q181" s="114"/>
      <c r="R181" s="114"/>
      <c r="S181" s="114"/>
      <c r="T181" s="114"/>
      <c r="U181" s="114"/>
      <c r="V181" s="114"/>
      <c r="W181" s="114"/>
      <c r="X181" s="114"/>
      <c r="Y181" s="114"/>
      <c r="Z181" s="114"/>
    </row>
    <row r="182" spans="1:26" ht="15.75" customHeight="1" x14ac:dyDescent="0.25">
      <c r="A182" s="24"/>
      <c r="B182" s="25"/>
      <c r="C182" s="24"/>
      <c r="D182" s="24"/>
      <c r="E182" s="24"/>
      <c r="F182" s="114"/>
      <c r="G182" s="114"/>
      <c r="H182" s="114"/>
      <c r="I182" s="114"/>
      <c r="J182" s="114"/>
      <c r="K182" s="212"/>
      <c r="L182" s="114"/>
      <c r="M182" s="114"/>
      <c r="N182" s="114"/>
      <c r="O182" s="114"/>
      <c r="P182" s="114"/>
      <c r="Q182" s="114"/>
      <c r="R182" s="114"/>
      <c r="S182" s="114"/>
      <c r="T182" s="114"/>
      <c r="U182" s="114"/>
      <c r="V182" s="114"/>
      <c r="W182" s="114"/>
      <c r="X182" s="114"/>
      <c r="Y182" s="114"/>
      <c r="Z182" s="114"/>
    </row>
    <row r="183" spans="1:26" ht="15.75" customHeight="1" x14ac:dyDescent="0.25">
      <c r="A183" s="24"/>
      <c r="B183" s="25"/>
      <c r="C183" s="24"/>
      <c r="D183" s="24"/>
      <c r="E183" s="24"/>
      <c r="F183" s="114"/>
      <c r="G183" s="114"/>
      <c r="H183" s="114"/>
      <c r="I183" s="114"/>
      <c r="J183" s="114"/>
      <c r="K183" s="212"/>
      <c r="L183" s="114"/>
      <c r="M183" s="114"/>
      <c r="N183" s="114"/>
      <c r="O183" s="114"/>
      <c r="P183" s="114"/>
      <c r="Q183" s="114"/>
      <c r="R183" s="114"/>
      <c r="S183" s="114"/>
      <c r="T183" s="114"/>
      <c r="U183" s="114"/>
      <c r="V183" s="114"/>
      <c r="W183" s="114"/>
      <c r="X183" s="114"/>
      <c r="Y183" s="114"/>
      <c r="Z183" s="114"/>
    </row>
    <row r="184" spans="1:26" ht="15.75" customHeight="1" x14ac:dyDescent="0.25">
      <c r="A184" s="24"/>
      <c r="B184" s="25"/>
      <c r="C184" s="24"/>
      <c r="D184" s="24"/>
      <c r="E184" s="24"/>
      <c r="F184" s="114"/>
      <c r="G184" s="114"/>
      <c r="H184" s="114"/>
      <c r="I184" s="114"/>
      <c r="J184" s="114"/>
      <c r="K184" s="212"/>
      <c r="L184" s="114"/>
      <c r="M184" s="114"/>
      <c r="N184" s="114"/>
      <c r="O184" s="114"/>
      <c r="P184" s="114"/>
      <c r="Q184" s="114"/>
      <c r="R184" s="114"/>
      <c r="S184" s="114"/>
      <c r="T184" s="114"/>
      <c r="U184" s="114"/>
      <c r="V184" s="114"/>
      <c r="W184" s="114"/>
      <c r="X184" s="114"/>
      <c r="Y184" s="114"/>
      <c r="Z184" s="114"/>
    </row>
    <row r="185" spans="1:26" ht="15.75" customHeight="1" x14ac:dyDescent="0.25">
      <c r="A185" s="24"/>
      <c r="B185" s="25"/>
      <c r="C185" s="24"/>
      <c r="D185" s="24"/>
      <c r="E185" s="24"/>
      <c r="F185" s="114"/>
      <c r="G185" s="114"/>
      <c r="H185" s="114"/>
      <c r="I185" s="114"/>
      <c r="J185" s="114"/>
      <c r="K185" s="212"/>
      <c r="L185" s="114"/>
      <c r="M185" s="114"/>
      <c r="N185" s="114"/>
      <c r="O185" s="114"/>
      <c r="P185" s="114"/>
      <c r="Q185" s="114"/>
      <c r="R185" s="114"/>
      <c r="S185" s="114"/>
      <c r="T185" s="114"/>
      <c r="U185" s="114"/>
      <c r="V185" s="114"/>
      <c r="W185" s="114"/>
      <c r="X185" s="114"/>
      <c r="Y185" s="114"/>
      <c r="Z185" s="114"/>
    </row>
    <row r="186" spans="1:26" ht="15.75" customHeight="1" x14ac:dyDescent="0.25">
      <c r="A186" s="24"/>
      <c r="B186" s="25"/>
      <c r="C186" s="24"/>
      <c r="D186" s="24"/>
      <c r="E186" s="24"/>
      <c r="F186" s="114"/>
      <c r="G186" s="114"/>
      <c r="H186" s="114"/>
      <c r="I186" s="114"/>
      <c r="J186" s="114"/>
      <c r="K186" s="212"/>
      <c r="L186" s="114"/>
      <c r="M186" s="114"/>
      <c r="N186" s="114"/>
      <c r="O186" s="114"/>
      <c r="P186" s="114"/>
      <c r="Q186" s="114"/>
      <c r="R186" s="114"/>
      <c r="S186" s="114"/>
      <c r="T186" s="114"/>
      <c r="U186" s="114"/>
      <c r="V186" s="114"/>
      <c r="W186" s="114"/>
      <c r="X186" s="114"/>
      <c r="Y186" s="114"/>
      <c r="Z186" s="114"/>
    </row>
    <row r="187" spans="1:26" ht="15.75" customHeight="1" x14ac:dyDescent="0.25">
      <c r="A187" s="24"/>
      <c r="B187" s="25"/>
      <c r="C187" s="24"/>
      <c r="D187" s="24"/>
      <c r="E187" s="24"/>
      <c r="F187" s="114"/>
      <c r="G187" s="114"/>
      <c r="H187" s="114"/>
      <c r="I187" s="114"/>
      <c r="J187" s="114"/>
      <c r="K187" s="212"/>
      <c r="L187" s="114"/>
      <c r="M187" s="114"/>
      <c r="N187" s="114"/>
      <c r="O187" s="114"/>
      <c r="P187" s="114"/>
      <c r="Q187" s="114"/>
      <c r="R187" s="114"/>
      <c r="S187" s="114"/>
      <c r="T187" s="114"/>
      <c r="U187" s="114"/>
      <c r="V187" s="114"/>
      <c r="W187" s="114"/>
      <c r="X187" s="114"/>
      <c r="Y187" s="114"/>
      <c r="Z187" s="114"/>
    </row>
    <row r="188" spans="1:26" ht="15.75" customHeight="1" x14ac:dyDescent="0.25">
      <c r="A188" s="24"/>
      <c r="B188" s="25"/>
      <c r="C188" s="24"/>
      <c r="D188" s="24"/>
      <c r="E188" s="24"/>
      <c r="F188" s="114"/>
      <c r="G188" s="114"/>
      <c r="H188" s="114"/>
      <c r="I188" s="114"/>
      <c r="J188" s="114"/>
      <c r="K188" s="212"/>
      <c r="L188" s="114"/>
      <c r="M188" s="114"/>
      <c r="N188" s="114"/>
      <c r="O188" s="114"/>
      <c r="P188" s="114"/>
      <c r="Q188" s="114"/>
      <c r="R188" s="114"/>
      <c r="S188" s="114"/>
      <c r="T188" s="114"/>
      <c r="U188" s="114"/>
      <c r="V188" s="114"/>
      <c r="W188" s="114"/>
      <c r="X188" s="114"/>
      <c r="Y188" s="114"/>
      <c r="Z188" s="114"/>
    </row>
    <row r="189" spans="1:26" ht="15.75" customHeight="1" x14ac:dyDescent="0.25">
      <c r="A189" s="24"/>
      <c r="B189" s="25"/>
      <c r="C189" s="24"/>
      <c r="D189" s="24"/>
      <c r="E189" s="24"/>
      <c r="F189" s="114"/>
      <c r="G189" s="114"/>
      <c r="H189" s="114"/>
      <c r="I189" s="114"/>
      <c r="J189" s="114"/>
      <c r="K189" s="212"/>
      <c r="L189" s="114"/>
      <c r="M189" s="114"/>
      <c r="N189" s="114"/>
      <c r="O189" s="114"/>
      <c r="P189" s="114"/>
      <c r="Q189" s="114"/>
      <c r="R189" s="114"/>
      <c r="S189" s="114"/>
      <c r="T189" s="114"/>
      <c r="U189" s="114"/>
      <c r="V189" s="114"/>
      <c r="W189" s="114"/>
      <c r="X189" s="114"/>
      <c r="Y189" s="114"/>
      <c r="Z189" s="114"/>
    </row>
    <row r="190" spans="1:26" ht="15.75" customHeight="1" x14ac:dyDescent="0.25">
      <c r="A190" s="24"/>
      <c r="B190" s="25"/>
      <c r="C190" s="24"/>
      <c r="D190" s="24"/>
      <c r="E190" s="24"/>
      <c r="F190" s="114"/>
      <c r="G190" s="114"/>
      <c r="H190" s="114"/>
      <c r="I190" s="114"/>
      <c r="J190" s="114"/>
      <c r="K190" s="212"/>
      <c r="L190" s="114"/>
      <c r="M190" s="114"/>
      <c r="N190" s="114"/>
      <c r="O190" s="114"/>
      <c r="P190" s="114"/>
      <c r="Q190" s="114"/>
      <c r="R190" s="114"/>
      <c r="S190" s="114"/>
      <c r="T190" s="114"/>
      <c r="U190" s="114"/>
      <c r="V190" s="114"/>
      <c r="W190" s="114"/>
      <c r="X190" s="114"/>
      <c r="Y190" s="114"/>
      <c r="Z190" s="114"/>
    </row>
    <row r="191" spans="1:26" ht="15.75" customHeight="1" x14ac:dyDescent="0.25">
      <c r="A191" s="24"/>
      <c r="B191" s="25"/>
      <c r="C191" s="24"/>
      <c r="D191" s="24"/>
      <c r="E191" s="24"/>
      <c r="F191" s="114"/>
      <c r="G191" s="114"/>
      <c r="H191" s="114"/>
      <c r="I191" s="114"/>
      <c r="J191" s="114"/>
      <c r="K191" s="212"/>
      <c r="L191" s="114"/>
      <c r="M191" s="114"/>
      <c r="N191" s="114"/>
      <c r="O191" s="114"/>
      <c r="P191" s="114"/>
      <c r="Q191" s="114"/>
      <c r="R191" s="114"/>
      <c r="S191" s="114"/>
      <c r="T191" s="114"/>
      <c r="U191" s="114"/>
      <c r="V191" s="114"/>
      <c r="W191" s="114"/>
      <c r="X191" s="114"/>
      <c r="Y191" s="114"/>
      <c r="Z191" s="114"/>
    </row>
    <row r="192" spans="1:26" ht="15.75" customHeight="1" x14ac:dyDescent="0.25">
      <c r="A192" s="24"/>
      <c r="B192" s="25"/>
      <c r="C192" s="24"/>
      <c r="D192" s="24"/>
      <c r="E192" s="24"/>
      <c r="F192" s="114"/>
      <c r="G192" s="114"/>
      <c r="H192" s="114"/>
      <c r="I192" s="114"/>
      <c r="J192" s="114"/>
      <c r="K192" s="212"/>
      <c r="L192" s="114"/>
      <c r="M192" s="114"/>
      <c r="N192" s="114"/>
      <c r="O192" s="114"/>
      <c r="P192" s="114"/>
      <c r="Q192" s="114"/>
      <c r="R192" s="114"/>
      <c r="S192" s="114"/>
      <c r="T192" s="114"/>
      <c r="U192" s="114"/>
      <c r="V192" s="114"/>
      <c r="W192" s="114"/>
      <c r="X192" s="114"/>
      <c r="Y192" s="114"/>
      <c r="Z192" s="114"/>
    </row>
    <row r="193" spans="1:26" ht="15.75" customHeight="1" x14ac:dyDescent="0.25">
      <c r="A193" s="24"/>
      <c r="B193" s="25"/>
      <c r="C193" s="24"/>
      <c r="D193" s="24"/>
      <c r="E193" s="24"/>
      <c r="F193" s="114"/>
      <c r="G193" s="114"/>
      <c r="H193" s="114"/>
      <c r="I193" s="114"/>
      <c r="J193" s="114"/>
      <c r="K193" s="212"/>
      <c r="L193" s="114"/>
      <c r="M193" s="114"/>
      <c r="N193" s="114"/>
      <c r="O193" s="114"/>
      <c r="P193" s="114"/>
      <c r="Q193" s="114"/>
      <c r="R193" s="114"/>
      <c r="S193" s="114"/>
      <c r="T193" s="114"/>
      <c r="U193" s="114"/>
      <c r="V193" s="114"/>
      <c r="W193" s="114"/>
      <c r="X193" s="114"/>
      <c r="Y193" s="114"/>
      <c r="Z193" s="114"/>
    </row>
    <row r="194" spans="1:26" ht="15.75" customHeight="1" x14ac:dyDescent="0.25">
      <c r="A194" s="24"/>
      <c r="B194" s="25"/>
      <c r="C194" s="24"/>
      <c r="D194" s="24"/>
      <c r="E194" s="24"/>
      <c r="F194" s="114"/>
      <c r="G194" s="114"/>
      <c r="H194" s="114"/>
      <c r="I194" s="114"/>
      <c r="J194" s="114"/>
      <c r="K194" s="212"/>
      <c r="L194" s="114"/>
      <c r="M194" s="114"/>
      <c r="N194" s="114"/>
      <c r="O194" s="114"/>
      <c r="P194" s="114"/>
      <c r="Q194" s="114"/>
      <c r="R194" s="114"/>
      <c r="S194" s="114"/>
      <c r="T194" s="114"/>
      <c r="U194" s="114"/>
      <c r="V194" s="114"/>
      <c r="W194" s="114"/>
      <c r="X194" s="114"/>
      <c r="Y194" s="114"/>
      <c r="Z194" s="114"/>
    </row>
    <row r="195" spans="1:26" ht="15.75" customHeight="1" x14ac:dyDescent="0.25">
      <c r="A195" s="24"/>
      <c r="B195" s="25"/>
      <c r="C195" s="24"/>
      <c r="D195" s="24"/>
      <c r="E195" s="24"/>
      <c r="F195" s="114"/>
      <c r="G195" s="114"/>
      <c r="H195" s="114"/>
      <c r="I195" s="114"/>
      <c r="J195" s="114"/>
      <c r="K195" s="212"/>
      <c r="L195" s="114"/>
      <c r="M195" s="114"/>
      <c r="N195" s="114"/>
      <c r="O195" s="114"/>
      <c r="P195" s="114"/>
      <c r="Q195" s="114"/>
      <c r="R195" s="114"/>
      <c r="S195" s="114"/>
      <c r="T195" s="114"/>
      <c r="U195" s="114"/>
      <c r="V195" s="114"/>
      <c r="W195" s="114"/>
      <c r="X195" s="114"/>
      <c r="Y195" s="114"/>
      <c r="Z195" s="114"/>
    </row>
    <row r="196" spans="1:26" ht="15.75" customHeight="1" x14ac:dyDescent="0.25">
      <c r="A196" s="24"/>
      <c r="B196" s="25"/>
      <c r="C196" s="24"/>
      <c r="D196" s="24"/>
      <c r="E196" s="24"/>
      <c r="F196" s="114"/>
      <c r="G196" s="114"/>
      <c r="H196" s="114"/>
      <c r="I196" s="114"/>
      <c r="J196" s="114"/>
      <c r="K196" s="212"/>
      <c r="L196" s="114"/>
      <c r="M196" s="114"/>
      <c r="N196" s="114"/>
      <c r="O196" s="114"/>
      <c r="P196" s="114"/>
      <c r="Q196" s="114"/>
      <c r="R196" s="114"/>
      <c r="S196" s="114"/>
      <c r="T196" s="114"/>
      <c r="U196" s="114"/>
      <c r="V196" s="114"/>
      <c r="W196" s="114"/>
      <c r="X196" s="114"/>
      <c r="Y196" s="114"/>
      <c r="Z196" s="114"/>
    </row>
    <row r="197" spans="1:26" ht="15.75" customHeight="1" x14ac:dyDescent="0.25">
      <c r="A197" s="24"/>
      <c r="B197" s="25"/>
      <c r="C197" s="24"/>
      <c r="D197" s="24"/>
      <c r="E197" s="24"/>
      <c r="F197" s="114"/>
      <c r="G197" s="114"/>
      <c r="H197" s="114"/>
      <c r="I197" s="114"/>
      <c r="J197" s="114"/>
      <c r="K197" s="212"/>
      <c r="L197" s="114"/>
      <c r="M197" s="114"/>
      <c r="N197" s="114"/>
      <c r="O197" s="114"/>
      <c r="P197" s="114"/>
      <c r="Q197" s="114"/>
      <c r="R197" s="114"/>
      <c r="S197" s="114"/>
      <c r="T197" s="114"/>
      <c r="U197" s="114"/>
      <c r="V197" s="114"/>
      <c r="W197" s="114"/>
      <c r="X197" s="114"/>
      <c r="Y197" s="114"/>
      <c r="Z197" s="114"/>
    </row>
    <row r="198" spans="1:26" ht="15.75" customHeight="1" x14ac:dyDescent="0.25">
      <c r="A198" s="24"/>
      <c r="B198" s="25"/>
      <c r="C198" s="24"/>
      <c r="D198" s="24"/>
      <c r="E198" s="24"/>
      <c r="F198" s="114"/>
      <c r="G198" s="114"/>
      <c r="H198" s="114"/>
      <c r="I198" s="114"/>
      <c r="J198" s="114"/>
      <c r="K198" s="212"/>
      <c r="L198" s="114"/>
      <c r="M198" s="114"/>
      <c r="N198" s="114"/>
      <c r="O198" s="114"/>
      <c r="P198" s="114"/>
      <c r="Q198" s="114"/>
      <c r="R198" s="114"/>
      <c r="S198" s="114"/>
      <c r="T198" s="114"/>
      <c r="U198" s="114"/>
      <c r="V198" s="114"/>
      <c r="W198" s="114"/>
      <c r="X198" s="114"/>
      <c r="Y198" s="114"/>
      <c r="Z198" s="114"/>
    </row>
    <row r="199" spans="1:26" ht="15.75" customHeight="1" x14ac:dyDescent="0.25">
      <c r="A199" s="24"/>
      <c r="B199" s="25"/>
      <c r="C199" s="24"/>
      <c r="D199" s="24"/>
      <c r="E199" s="24"/>
      <c r="F199" s="114"/>
      <c r="G199" s="114"/>
      <c r="H199" s="114"/>
      <c r="I199" s="114"/>
      <c r="J199" s="114"/>
      <c r="K199" s="212"/>
      <c r="L199" s="114"/>
      <c r="M199" s="114"/>
      <c r="N199" s="114"/>
      <c r="O199" s="114"/>
      <c r="P199" s="114"/>
      <c r="Q199" s="114"/>
      <c r="R199" s="114"/>
      <c r="S199" s="114"/>
      <c r="T199" s="114"/>
      <c r="U199" s="114"/>
      <c r="V199" s="114"/>
      <c r="W199" s="114"/>
      <c r="X199" s="114"/>
      <c r="Y199" s="114"/>
      <c r="Z199" s="114"/>
    </row>
    <row r="200" spans="1:26" ht="15.75" customHeight="1" x14ac:dyDescent="0.25">
      <c r="A200" s="24"/>
      <c r="B200" s="25"/>
      <c r="C200" s="24"/>
      <c r="D200" s="24"/>
      <c r="E200" s="24"/>
      <c r="F200" s="114"/>
      <c r="G200" s="114"/>
      <c r="H200" s="114"/>
      <c r="I200" s="114"/>
      <c r="J200" s="114"/>
      <c r="K200" s="212"/>
      <c r="L200" s="114"/>
      <c r="M200" s="114"/>
      <c r="N200" s="114"/>
      <c r="O200" s="114"/>
      <c r="P200" s="114"/>
      <c r="Q200" s="114"/>
      <c r="R200" s="114"/>
      <c r="S200" s="114"/>
      <c r="T200" s="114"/>
      <c r="U200" s="114"/>
      <c r="V200" s="114"/>
      <c r="W200" s="114"/>
      <c r="X200" s="114"/>
      <c r="Y200" s="114"/>
      <c r="Z200" s="114"/>
    </row>
    <row r="201" spans="1:26" ht="15.75" customHeight="1" x14ac:dyDescent="0.25">
      <c r="A201" s="24"/>
      <c r="B201" s="25"/>
      <c r="C201" s="24"/>
      <c r="D201" s="24"/>
      <c r="E201" s="24"/>
      <c r="F201" s="114"/>
      <c r="G201" s="114"/>
      <c r="H201" s="114"/>
      <c r="I201" s="114"/>
      <c r="J201" s="114"/>
      <c r="K201" s="212"/>
      <c r="L201" s="114"/>
      <c r="M201" s="114"/>
      <c r="N201" s="114"/>
      <c r="O201" s="114"/>
      <c r="P201" s="114"/>
      <c r="Q201" s="114"/>
      <c r="R201" s="114"/>
      <c r="S201" s="114"/>
      <c r="T201" s="114"/>
      <c r="U201" s="114"/>
      <c r="V201" s="114"/>
      <c r="W201" s="114"/>
      <c r="X201" s="114"/>
      <c r="Y201" s="114"/>
      <c r="Z201" s="114"/>
    </row>
    <row r="202" spans="1:26" ht="15.75" customHeight="1" x14ac:dyDescent="0.25">
      <c r="A202" s="24"/>
      <c r="B202" s="25"/>
      <c r="C202" s="24"/>
      <c r="D202" s="24"/>
      <c r="E202" s="24"/>
      <c r="F202" s="114"/>
      <c r="G202" s="114"/>
      <c r="H202" s="114"/>
      <c r="I202" s="114"/>
      <c r="J202" s="114"/>
      <c r="K202" s="212"/>
      <c r="L202" s="114"/>
      <c r="M202" s="114"/>
      <c r="N202" s="114"/>
      <c r="O202" s="114"/>
      <c r="P202" s="114"/>
      <c r="Q202" s="114"/>
      <c r="R202" s="114"/>
      <c r="S202" s="114"/>
      <c r="T202" s="114"/>
      <c r="U202" s="114"/>
      <c r="V202" s="114"/>
      <c r="W202" s="114"/>
      <c r="X202" s="114"/>
      <c r="Y202" s="114"/>
      <c r="Z202" s="114"/>
    </row>
    <row r="203" spans="1:26" ht="15.75" customHeight="1" x14ac:dyDescent="0.25">
      <c r="A203" s="24"/>
      <c r="B203" s="25"/>
      <c r="C203" s="24"/>
      <c r="D203" s="24"/>
      <c r="E203" s="24"/>
      <c r="F203" s="114"/>
      <c r="G203" s="114"/>
      <c r="H203" s="114"/>
      <c r="I203" s="114"/>
      <c r="J203" s="114"/>
      <c r="K203" s="212"/>
      <c r="L203" s="114"/>
      <c r="M203" s="114"/>
      <c r="N203" s="114"/>
      <c r="O203" s="114"/>
      <c r="P203" s="114"/>
      <c r="Q203" s="114"/>
      <c r="R203" s="114"/>
      <c r="S203" s="114"/>
      <c r="T203" s="114"/>
      <c r="U203" s="114"/>
      <c r="V203" s="114"/>
      <c r="W203" s="114"/>
      <c r="X203" s="114"/>
      <c r="Y203" s="114"/>
      <c r="Z203" s="114"/>
    </row>
    <row r="204" spans="1:26" ht="15.75" customHeight="1" x14ac:dyDescent="0.25">
      <c r="A204" s="24"/>
      <c r="B204" s="25"/>
      <c r="C204" s="24"/>
      <c r="D204" s="24"/>
      <c r="E204" s="24"/>
      <c r="F204" s="114"/>
      <c r="G204" s="114"/>
      <c r="H204" s="114"/>
      <c r="I204" s="114"/>
      <c r="J204" s="114"/>
      <c r="K204" s="212"/>
      <c r="L204" s="114"/>
      <c r="M204" s="114"/>
      <c r="N204" s="114"/>
      <c r="O204" s="114"/>
      <c r="P204" s="114"/>
      <c r="Q204" s="114"/>
      <c r="R204" s="114"/>
      <c r="S204" s="114"/>
      <c r="T204" s="114"/>
      <c r="U204" s="114"/>
      <c r="V204" s="114"/>
      <c r="W204" s="114"/>
      <c r="X204" s="114"/>
      <c r="Y204" s="114"/>
      <c r="Z204" s="114"/>
    </row>
    <row r="205" spans="1:26" ht="15.75" customHeight="1" x14ac:dyDescent="0.25">
      <c r="A205" s="24"/>
      <c r="B205" s="25"/>
      <c r="C205" s="24"/>
      <c r="D205" s="24"/>
      <c r="E205" s="24"/>
      <c r="F205" s="114"/>
      <c r="G205" s="114"/>
      <c r="H205" s="114"/>
      <c r="I205" s="114"/>
      <c r="J205" s="114"/>
      <c r="K205" s="212"/>
      <c r="L205" s="114"/>
      <c r="M205" s="114"/>
      <c r="N205" s="114"/>
      <c r="O205" s="114"/>
      <c r="P205" s="114"/>
      <c r="Q205" s="114"/>
      <c r="R205" s="114"/>
      <c r="S205" s="114"/>
      <c r="T205" s="114"/>
      <c r="U205" s="114"/>
      <c r="V205" s="114"/>
      <c r="W205" s="114"/>
      <c r="X205" s="114"/>
      <c r="Y205" s="114"/>
      <c r="Z205" s="114"/>
    </row>
    <row r="206" spans="1:26" ht="15.75" customHeight="1" x14ac:dyDescent="0.25">
      <c r="A206" s="24"/>
      <c r="B206" s="25"/>
      <c r="C206" s="24"/>
      <c r="D206" s="24"/>
      <c r="E206" s="24"/>
      <c r="F206" s="114"/>
      <c r="G206" s="114"/>
      <c r="H206" s="114"/>
      <c r="I206" s="114"/>
      <c r="J206" s="114"/>
      <c r="K206" s="212"/>
      <c r="L206" s="114"/>
      <c r="M206" s="114"/>
      <c r="N206" s="114"/>
      <c r="O206" s="114"/>
      <c r="P206" s="114"/>
      <c r="Q206" s="114"/>
      <c r="R206" s="114"/>
      <c r="S206" s="114"/>
      <c r="T206" s="114"/>
      <c r="U206" s="114"/>
      <c r="V206" s="114"/>
      <c r="W206" s="114"/>
      <c r="X206" s="114"/>
      <c r="Y206" s="114"/>
      <c r="Z206" s="114"/>
    </row>
    <row r="207" spans="1:26" ht="15.75" customHeight="1" x14ac:dyDescent="0.25">
      <c r="A207" s="24"/>
      <c r="B207" s="25"/>
      <c r="C207" s="24"/>
      <c r="D207" s="24"/>
      <c r="E207" s="24"/>
      <c r="F207" s="114"/>
      <c r="G207" s="114"/>
      <c r="H207" s="114"/>
      <c r="I207" s="114"/>
      <c r="J207" s="114"/>
      <c r="K207" s="212"/>
      <c r="L207" s="114"/>
      <c r="M207" s="114"/>
      <c r="N207" s="114"/>
      <c r="O207" s="114"/>
      <c r="P207" s="114"/>
      <c r="Q207" s="114"/>
      <c r="R207" s="114"/>
      <c r="S207" s="114"/>
      <c r="T207" s="114"/>
      <c r="U207" s="114"/>
      <c r="V207" s="114"/>
      <c r="W207" s="114"/>
      <c r="X207" s="114"/>
      <c r="Y207" s="114"/>
      <c r="Z207" s="114"/>
    </row>
    <row r="208" spans="1:26" ht="15.75" customHeight="1" x14ac:dyDescent="0.25">
      <c r="A208" s="24"/>
      <c r="B208" s="25"/>
      <c r="C208" s="24"/>
      <c r="D208" s="24"/>
      <c r="E208" s="24"/>
      <c r="F208" s="114"/>
      <c r="G208" s="114"/>
      <c r="H208" s="114"/>
      <c r="I208" s="114"/>
      <c r="J208" s="114"/>
      <c r="K208" s="212"/>
      <c r="L208" s="114"/>
      <c r="M208" s="114"/>
      <c r="N208" s="114"/>
      <c r="O208" s="114"/>
      <c r="P208" s="114"/>
      <c r="Q208" s="114"/>
      <c r="R208" s="114"/>
      <c r="S208" s="114"/>
      <c r="T208" s="114"/>
      <c r="U208" s="114"/>
      <c r="V208" s="114"/>
      <c r="W208" s="114"/>
      <c r="X208" s="114"/>
      <c r="Y208" s="114"/>
      <c r="Z208" s="114"/>
    </row>
    <row r="209" spans="1:26" ht="15.75" customHeight="1" x14ac:dyDescent="0.25">
      <c r="A209" s="24"/>
      <c r="B209" s="25"/>
      <c r="C209" s="24"/>
      <c r="D209" s="24"/>
      <c r="E209" s="24"/>
      <c r="F209" s="114"/>
      <c r="G209" s="114"/>
      <c r="H209" s="114"/>
      <c r="I209" s="114"/>
      <c r="J209" s="114"/>
      <c r="K209" s="212"/>
      <c r="L209" s="114"/>
      <c r="M209" s="114"/>
      <c r="N209" s="114"/>
      <c r="O209" s="114"/>
      <c r="P209" s="114"/>
      <c r="Q209" s="114"/>
      <c r="R209" s="114"/>
      <c r="S209" s="114"/>
      <c r="T209" s="114"/>
      <c r="U209" s="114"/>
      <c r="V209" s="114"/>
      <c r="W209" s="114"/>
      <c r="X209" s="114"/>
      <c r="Y209" s="114"/>
      <c r="Z209" s="114"/>
    </row>
    <row r="210" spans="1:26" ht="15.75" customHeight="1" x14ac:dyDescent="0.25">
      <c r="A210" s="24"/>
      <c r="B210" s="25"/>
      <c r="C210" s="24"/>
      <c r="D210" s="24"/>
      <c r="E210" s="24"/>
      <c r="F210" s="114"/>
      <c r="G210" s="114"/>
      <c r="H210" s="114"/>
      <c r="I210" s="114"/>
      <c r="J210" s="114"/>
      <c r="K210" s="212"/>
      <c r="L210" s="114"/>
      <c r="M210" s="114"/>
      <c r="N210" s="114"/>
      <c r="O210" s="114"/>
      <c r="P210" s="114"/>
      <c r="Q210" s="114"/>
      <c r="R210" s="114"/>
      <c r="S210" s="114"/>
      <c r="T210" s="114"/>
      <c r="U210" s="114"/>
      <c r="V210" s="114"/>
      <c r="W210" s="114"/>
      <c r="X210" s="114"/>
      <c r="Y210" s="114"/>
      <c r="Z210" s="114"/>
    </row>
    <row r="211" spans="1:26" ht="15.75" customHeight="1" x14ac:dyDescent="0.25">
      <c r="A211" s="24"/>
      <c r="B211" s="25"/>
      <c r="C211" s="24"/>
      <c r="D211" s="24"/>
      <c r="E211" s="24"/>
      <c r="F211" s="114"/>
      <c r="G211" s="114"/>
      <c r="H211" s="114"/>
      <c r="I211" s="114"/>
      <c r="J211" s="114"/>
      <c r="K211" s="212"/>
      <c r="L211" s="114"/>
      <c r="M211" s="114"/>
      <c r="N211" s="114"/>
      <c r="O211" s="114"/>
      <c r="P211" s="114"/>
      <c r="Q211" s="114"/>
      <c r="R211" s="114"/>
      <c r="S211" s="114"/>
      <c r="T211" s="114"/>
      <c r="U211" s="114"/>
      <c r="V211" s="114"/>
      <c r="W211" s="114"/>
      <c r="X211" s="114"/>
      <c r="Y211" s="114"/>
      <c r="Z211" s="114"/>
    </row>
    <row r="212" spans="1:26" ht="15.75" customHeight="1" x14ac:dyDescent="0.25">
      <c r="A212" s="24"/>
      <c r="B212" s="25"/>
      <c r="C212" s="24"/>
      <c r="D212" s="24"/>
      <c r="E212" s="24"/>
      <c r="F212" s="114"/>
      <c r="G212" s="114"/>
      <c r="H212" s="114"/>
      <c r="I212" s="114"/>
      <c r="J212" s="114"/>
      <c r="K212" s="212"/>
      <c r="L212" s="114"/>
      <c r="M212" s="114"/>
      <c r="N212" s="114"/>
      <c r="O212" s="114"/>
      <c r="P212" s="114"/>
      <c r="Q212" s="114"/>
      <c r="R212" s="114"/>
      <c r="S212" s="114"/>
      <c r="T212" s="114"/>
      <c r="U212" s="114"/>
      <c r="V212" s="114"/>
      <c r="W212" s="114"/>
      <c r="X212" s="114"/>
      <c r="Y212" s="114"/>
      <c r="Z212" s="114"/>
    </row>
    <row r="213" spans="1:26" ht="15.75" customHeight="1" x14ac:dyDescent="0.25">
      <c r="A213" s="24"/>
      <c r="B213" s="25"/>
      <c r="C213" s="24"/>
      <c r="D213" s="24"/>
      <c r="E213" s="24"/>
      <c r="F213" s="114"/>
      <c r="G213" s="114"/>
      <c r="H213" s="114"/>
      <c r="I213" s="114"/>
      <c r="J213" s="114"/>
      <c r="K213" s="212"/>
      <c r="L213" s="114"/>
      <c r="M213" s="114"/>
      <c r="N213" s="114"/>
      <c r="O213" s="114"/>
      <c r="P213" s="114"/>
      <c r="Q213" s="114"/>
      <c r="R213" s="114"/>
      <c r="S213" s="114"/>
      <c r="T213" s="114"/>
      <c r="U213" s="114"/>
      <c r="V213" s="114"/>
      <c r="W213" s="114"/>
      <c r="X213" s="114"/>
      <c r="Y213" s="114"/>
      <c r="Z213" s="114"/>
    </row>
    <row r="214" spans="1:26" ht="15.75" customHeight="1" x14ac:dyDescent="0.25">
      <c r="A214" s="24"/>
      <c r="B214" s="25"/>
      <c r="C214" s="24"/>
      <c r="D214" s="24"/>
      <c r="E214" s="24"/>
      <c r="F214" s="114"/>
      <c r="G214" s="114"/>
      <c r="H214" s="114"/>
      <c r="I214" s="114"/>
      <c r="J214" s="114"/>
      <c r="K214" s="212"/>
      <c r="L214" s="114"/>
      <c r="M214" s="114"/>
      <c r="N214" s="114"/>
      <c r="O214" s="114"/>
      <c r="P214" s="114"/>
      <c r="Q214" s="114"/>
      <c r="R214" s="114"/>
      <c r="S214" s="114"/>
      <c r="T214" s="114"/>
      <c r="U214" s="114"/>
      <c r="V214" s="114"/>
      <c r="W214" s="114"/>
      <c r="X214" s="114"/>
      <c r="Y214" s="114"/>
      <c r="Z214" s="114"/>
    </row>
    <row r="215" spans="1:26" ht="15.75" customHeight="1" x14ac:dyDescent="0.25">
      <c r="A215" s="24"/>
      <c r="B215" s="25"/>
      <c r="C215" s="24"/>
      <c r="D215" s="24"/>
      <c r="E215" s="24"/>
      <c r="F215" s="114"/>
      <c r="G215" s="114"/>
      <c r="H215" s="114"/>
      <c r="I215" s="114"/>
      <c r="J215" s="114"/>
      <c r="K215" s="212"/>
      <c r="L215" s="114"/>
      <c r="M215" s="114"/>
      <c r="N215" s="114"/>
      <c r="O215" s="114"/>
      <c r="P215" s="114"/>
      <c r="Q215" s="114"/>
      <c r="R215" s="114"/>
      <c r="S215" s="114"/>
      <c r="T215" s="114"/>
      <c r="U215" s="114"/>
      <c r="V215" s="114"/>
      <c r="W215" s="114"/>
      <c r="X215" s="114"/>
      <c r="Y215" s="114"/>
      <c r="Z215" s="114"/>
    </row>
    <row r="216" spans="1:26" ht="15.75" customHeight="1" x14ac:dyDescent="0.25">
      <c r="A216" s="24"/>
      <c r="B216" s="25"/>
      <c r="C216" s="24"/>
      <c r="D216" s="24"/>
      <c r="E216" s="24"/>
      <c r="F216" s="114"/>
      <c r="G216" s="114"/>
      <c r="H216" s="114"/>
      <c r="I216" s="114"/>
      <c r="J216" s="114"/>
      <c r="K216" s="212"/>
      <c r="L216" s="114"/>
      <c r="M216" s="114"/>
      <c r="N216" s="114"/>
      <c r="O216" s="114"/>
      <c r="P216" s="114"/>
      <c r="Q216" s="114"/>
      <c r="R216" s="114"/>
      <c r="S216" s="114"/>
      <c r="T216" s="114"/>
      <c r="U216" s="114"/>
      <c r="V216" s="114"/>
      <c r="W216" s="114"/>
      <c r="X216" s="114"/>
      <c r="Y216" s="114"/>
      <c r="Z216" s="114"/>
    </row>
    <row r="217" spans="1:26" ht="15.75" customHeight="1" x14ac:dyDescent="0.25">
      <c r="A217" s="24"/>
      <c r="B217" s="25"/>
      <c r="C217" s="24"/>
      <c r="D217" s="24"/>
      <c r="E217" s="24"/>
      <c r="F217" s="114"/>
      <c r="G217" s="114"/>
      <c r="H217" s="114"/>
      <c r="I217" s="114"/>
      <c r="J217" s="114"/>
      <c r="K217" s="212"/>
      <c r="L217" s="114"/>
      <c r="M217" s="114"/>
      <c r="N217" s="114"/>
      <c r="O217" s="114"/>
      <c r="P217" s="114"/>
      <c r="Q217" s="114"/>
      <c r="R217" s="114"/>
      <c r="S217" s="114"/>
      <c r="T217" s="114"/>
      <c r="U217" s="114"/>
      <c r="V217" s="114"/>
      <c r="W217" s="114"/>
      <c r="X217" s="114"/>
      <c r="Y217" s="114"/>
      <c r="Z217" s="114"/>
    </row>
    <row r="218" spans="1:26" ht="15.75" customHeight="1" x14ac:dyDescent="0.25">
      <c r="A218" s="24"/>
      <c r="B218" s="25"/>
      <c r="C218" s="24"/>
      <c r="D218" s="24"/>
      <c r="E218" s="24"/>
      <c r="F218" s="114"/>
      <c r="G218" s="114"/>
      <c r="H218" s="114"/>
      <c r="I218" s="114"/>
      <c r="J218" s="114"/>
      <c r="K218" s="212"/>
      <c r="L218" s="114"/>
      <c r="M218" s="114"/>
      <c r="N218" s="114"/>
      <c r="O218" s="114"/>
      <c r="P218" s="114"/>
      <c r="Q218" s="114"/>
      <c r="R218" s="114"/>
      <c r="S218" s="114"/>
      <c r="T218" s="114"/>
      <c r="U218" s="114"/>
      <c r="V218" s="114"/>
      <c r="W218" s="114"/>
      <c r="X218" s="114"/>
      <c r="Y218" s="114"/>
      <c r="Z218" s="114"/>
    </row>
    <row r="219" spans="1:26" ht="15.75" customHeight="1" x14ac:dyDescent="0.25">
      <c r="A219" s="24"/>
      <c r="B219" s="25"/>
      <c r="C219" s="24"/>
      <c r="D219" s="24"/>
      <c r="E219" s="24"/>
      <c r="F219" s="114"/>
      <c r="G219" s="114"/>
      <c r="H219" s="114"/>
      <c r="I219" s="114"/>
      <c r="J219" s="114"/>
      <c r="K219" s="212"/>
      <c r="L219" s="114"/>
      <c r="M219" s="114"/>
      <c r="N219" s="114"/>
      <c r="O219" s="114"/>
      <c r="P219" s="114"/>
      <c r="Q219" s="114"/>
      <c r="R219" s="114"/>
      <c r="S219" s="114"/>
      <c r="T219" s="114"/>
      <c r="U219" s="114"/>
      <c r="V219" s="114"/>
      <c r="W219" s="114"/>
      <c r="X219" s="114"/>
      <c r="Y219" s="114"/>
      <c r="Z219" s="114"/>
    </row>
    <row r="220" spans="1:26" ht="15.75" customHeight="1" x14ac:dyDescent="0.25">
      <c r="A220" s="24"/>
      <c r="B220" s="25"/>
      <c r="C220" s="24"/>
      <c r="D220" s="24"/>
      <c r="E220" s="24"/>
      <c r="F220" s="114"/>
      <c r="G220" s="114"/>
      <c r="H220" s="114"/>
      <c r="I220" s="114"/>
      <c r="J220" s="114"/>
      <c r="K220" s="212"/>
      <c r="L220" s="114"/>
      <c r="M220" s="114"/>
      <c r="N220" s="114"/>
      <c r="O220" s="114"/>
      <c r="P220" s="114"/>
      <c r="Q220" s="114"/>
      <c r="R220" s="114"/>
      <c r="S220" s="114"/>
      <c r="T220" s="114"/>
      <c r="U220" s="114"/>
      <c r="V220" s="114"/>
      <c r="W220" s="114"/>
      <c r="X220" s="114"/>
      <c r="Y220" s="114"/>
      <c r="Z220" s="114"/>
    </row>
    <row r="221" spans="1:26" ht="15.75" customHeight="1" x14ac:dyDescent="0.25">
      <c r="A221" s="24"/>
      <c r="B221" s="25"/>
      <c r="C221" s="24"/>
      <c r="D221" s="24"/>
      <c r="E221" s="24"/>
      <c r="F221" s="114"/>
      <c r="G221" s="114"/>
      <c r="H221" s="114"/>
      <c r="I221" s="114"/>
      <c r="J221" s="114"/>
      <c r="K221" s="212"/>
      <c r="L221" s="114"/>
      <c r="M221" s="114"/>
      <c r="N221" s="114"/>
      <c r="O221" s="114"/>
      <c r="P221" s="114"/>
      <c r="Q221" s="114"/>
      <c r="R221" s="114"/>
      <c r="S221" s="114"/>
      <c r="T221" s="114"/>
      <c r="U221" s="114"/>
      <c r="V221" s="114"/>
      <c r="W221" s="114"/>
      <c r="X221" s="114"/>
      <c r="Y221" s="114"/>
      <c r="Z221" s="114"/>
    </row>
    <row r="222" spans="1:26" ht="15.75" customHeight="1" x14ac:dyDescent="0.25">
      <c r="A222" s="24"/>
      <c r="B222" s="25"/>
      <c r="C222" s="24"/>
      <c r="D222" s="24"/>
      <c r="E222" s="24"/>
      <c r="F222" s="114"/>
      <c r="G222" s="114"/>
      <c r="H222" s="114"/>
      <c r="I222" s="114"/>
      <c r="J222" s="114"/>
      <c r="K222" s="212"/>
      <c r="L222" s="114"/>
      <c r="M222" s="114"/>
      <c r="N222" s="114"/>
      <c r="O222" s="114"/>
      <c r="P222" s="114"/>
      <c r="Q222" s="114"/>
      <c r="R222" s="114"/>
      <c r="S222" s="114"/>
      <c r="T222" s="114"/>
      <c r="U222" s="114"/>
      <c r="V222" s="114"/>
      <c r="W222" s="114"/>
      <c r="X222" s="114"/>
      <c r="Y222" s="114"/>
      <c r="Z222" s="114"/>
    </row>
    <row r="223" spans="1:26" ht="15.75" customHeight="1" x14ac:dyDescent="0.25">
      <c r="A223" s="24"/>
      <c r="B223" s="25"/>
      <c r="C223" s="24"/>
      <c r="D223" s="24"/>
      <c r="E223" s="24"/>
      <c r="F223" s="114"/>
      <c r="G223" s="114"/>
      <c r="H223" s="114"/>
      <c r="I223" s="114"/>
      <c r="J223" s="114"/>
      <c r="K223" s="212"/>
      <c r="L223" s="114"/>
      <c r="M223" s="114"/>
      <c r="N223" s="114"/>
      <c r="O223" s="114"/>
      <c r="P223" s="114"/>
      <c r="Q223" s="114"/>
      <c r="R223" s="114"/>
      <c r="S223" s="114"/>
      <c r="T223" s="114"/>
      <c r="U223" s="114"/>
      <c r="V223" s="114"/>
      <c r="W223" s="114"/>
      <c r="X223" s="114"/>
      <c r="Y223" s="114"/>
      <c r="Z223" s="114"/>
    </row>
    <row r="224" spans="1:26" ht="15.75" customHeight="1" x14ac:dyDescent="0.25">
      <c r="A224" s="24"/>
      <c r="B224" s="25"/>
      <c r="C224" s="24"/>
      <c r="D224" s="24"/>
      <c r="E224" s="24"/>
      <c r="F224" s="114"/>
      <c r="G224" s="114"/>
      <c r="H224" s="114"/>
      <c r="I224" s="114"/>
      <c r="J224" s="114"/>
      <c r="K224" s="212"/>
      <c r="L224" s="114"/>
      <c r="M224" s="114"/>
      <c r="N224" s="114"/>
      <c r="O224" s="114"/>
      <c r="P224" s="114"/>
      <c r="Q224" s="114"/>
      <c r="R224" s="114"/>
      <c r="S224" s="114"/>
      <c r="T224" s="114"/>
      <c r="U224" s="114"/>
      <c r="V224" s="114"/>
      <c r="W224" s="114"/>
      <c r="X224" s="114"/>
      <c r="Y224" s="114"/>
      <c r="Z224" s="114"/>
    </row>
    <row r="225" spans="1:26" ht="15.75" customHeight="1" x14ac:dyDescent="0.25">
      <c r="A225" s="24"/>
      <c r="B225" s="25"/>
      <c r="C225" s="24"/>
      <c r="D225" s="24"/>
      <c r="E225" s="24"/>
      <c r="F225" s="114"/>
      <c r="G225" s="114"/>
      <c r="H225" s="114"/>
      <c r="I225" s="114"/>
      <c r="J225" s="114"/>
      <c r="K225" s="212"/>
      <c r="L225" s="114"/>
      <c r="M225" s="114"/>
      <c r="N225" s="114"/>
      <c r="O225" s="114"/>
      <c r="P225" s="114"/>
      <c r="Q225" s="114"/>
      <c r="R225" s="114"/>
      <c r="S225" s="114"/>
      <c r="T225" s="114"/>
      <c r="U225" s="114"/>
      <c r="V225" s="114"/>
      <c r="W225" s="114"/>
      <c r="X225" s="114"/>
      <c r="Y225" s="114"/>
      <c r="Z225" s="114"/>
    </row>
    <row r="226" spans="1:26" ht="15.75" customHeight="1" x14ac:dyDescent="0.25">
      <c r="A226" s="24"/>
      <c r="B226" s="25"/>
      <c r="C226" s="24"/>
      <c r="D226" s="24"/>
      <c r="E226" s="24"/>
      <c r="F226" s="114"/>
      <c r="G226" s="114"/>
      <c r="H226" s="114"/>
      <c r="I226" s="114"/>
      <c r="J226" s="114"/>
      <c r="K226" s="212"/>
      <c r="L226" s="114"/>
      <c r="M226" s="114"/>
      <c r="N226" s="114"/>
      <c r="O226" s="114"/>
      <c r="P226" s="114"/>
      <c r="Q226" s="114"/>
      <c r="R226" s="114"/>
      <c r="S226" s="114"/>
      <c r="T226" s="114"/>
      <c r="U226" s="114"/>
      <c r="V226" s="114"/>
      <c r="W226" s="114"/>
      <c r="X226" s="114"/>
      <c r="Y226" s="114"/>
      <c r="Z226" s="114"/>
    </row>
    <row r="227" spans="1:26" ht="15.75" customHeight="1" x14ac:dyDescent="0.25">
      <c r="A227" s="24"/>
      <c r="B227" s="25"/>
      <c r="C227" s="24"/>
      <c r="D227" s="24"/>
      <c r="E227" s="24"/>
      <c r="F227" s="114"/>
      <c r="G227" s="114"/>
      <c r="H227" s="114"/>
      <c r="I227" s="114"/>
      <c r="J227" s="114"/>
      <c r="K227" s="212"/>
      <c r="L227" s="114"/>
      <c r="M227" s="114"/>
      <c r="N227" s="114"/>
      <c r="O227" s="114"/>
      <c r="P227" s="114"/>
      <c r="Q227" s="114"/>
      <c r="R227" s="114"/>
      <c r="S227" s="114"/>
      <c r="T227" s="114"/>
      <c r="U227" s="114"/>
      <c r="V227" s="114"/>
      <c r="W227" s="114"/>
      <c r="X227" s="114"/>
      <c r="Y227" s="114"/>
      <c r="Z227" s="114"/>
    </row>
    <row r="228" spans="1:26" ht="15.75" customHeight="1" x14ac:dyDescent="0.25">
      <c r="A228" s="24"/>
      <c r="B228" s="25"/>
      <c r="C228" s="24"/>
      <c r="D228" s="24"/>
      <c r="E228" s="24"/>
      <c r="F228" s="114"/>
      <c r="G228" s="114"/>
      <c r="H228" s="114"/>
      <c r="I228" s="114"/>
      <c r="J228" s="114"/>
      <c r="K228" s="212"/>
      <c r="L228" s="114"/>
      <c r="M228" s="114"/>
      <c r="N228" s="114"/>
      <c r="O228" s="114"/>
      <c r="P228" s="114"/>
      <c r="Q228" s="114"/>
      <c r="R228" s="114"/>
      <c r="S228" s="114"/>
      <c r="T228" s="114"/>
      <c r="U228" s="114"/>
      <c r="V228" s="114"/>
      <c r="W228" s="114"/>
      <c r="X228" s="114"/>
      <c r="Y228" s="114"/>
      <c r="Z228" s="114"/>
    </row>
    <row r="229" spans="1:26" ht="15.75" customHeight="1" x14ac:dyDescent="0.25">
      <c r="A229" s="24"/>
      <c r="B229" s="25"/>
      <c r="C229" s="24"/>
      <c r="D229" s="24"/>
      <c r="E229" s="24"/>
      <c r="F229" s="114"/>
      <c r="G229" s="114"/>
      <c r="H229" s="114"/>
      <c r="I229" s="114"/>
      <c r="J229" s="114"/>
      <c r="K229" s="212"/>
      <c r="L229" s="114"/>
      <c r="M229" s="114"/>
      <c r="N229" s="114"/>
      <c r="O229" s="114"/>
      <c r="P229" s="114"/>
      <c r="Q229" s="114"/>
      <c r="R229" s="114"/>
      <c r="S229" s="114"/>
      <c r="T229" s="114"/>
      <c r="U229" s="114"/>
      <c r="V229" s="114"/>
      <c r="W229" s="114"/>
      <c r="X229" s="114"/>
      <c r="Y229" s="114"/>
      <c r="Z229" s="114"/>
    </row>
    <row r="230" spans="1:26" ht="15.75" customHeight="1" x14ac:dyDescent="0.25">
      <c r="A230" s="24"/>
      <c r="B230" s="25"/>
      <c r="C230" s="24"/>
      <c r="D230" s="24"/>
      <c r="E230" s="24"/>
      <c r="F230" s="114"/>
      <c r="G230" s="114"/>
      <c r="H230" s="114"/>
      <c r="I230" s="114"/>
      <c r="J230" s="114"/>
      <c r="K230" s="212"/>
      <c r="L230" s="114"/>
      <c r="M230" s="114"/>
      <c r="N230" s="114"/>
      <c r="O230" s="114"/>
      <c r="P230" s="114"/>
      <c r="Q230" s="114"/>
      <c r="R230" s="114"/>
      <c r="S230" s="114"/>
      <c r="T230" s="114"/>
      <c r="U230" s="114"/>
      <c r="V230" s="114"/>
      <c r="W230" s="114"/>
      <c r="X230" s="114"/>
      <c r="Y230" s="114"/>
      <c r="Z230" s="114"/>
    </row>
    <row r="231" spans="1:26" ht="15.75" customHeight="1" x14ac:dyDescent="0.25">
      <c r="A231" s="24"/>
      <c r="B231" s="25"/>
      <c r="C231" s="24"/>
      <c r="D231" s="24"/>
      <c r="E231" s="24"/>
      <c r="F231" s="114"/>
      <c r="G231" s="114"/>
      <c r="H231" s="114"/>
      <c r="I231" s="114"/>
      <c r="J231" s="114"/>
      <c r="K231" s="212"/>
      <c r="L231" s="114"/>
      <c r="M231" s="114"/>
      <c r="N231" s="114"/>
      <c r="O231" s="114"/>
      <c r="P231" s="114"/>
      <c r="Q231" s="114"/>
      <c r="R231" s="114"/>
      <c r="S231" s="114"/>
      <c r="T231" s="114"/>
      <c r="U231" s="114"/>
      <c r="V231" s="114"/>
      <c r="W231" s="114"/>
      <c r="X231" s="114"/>
      <c r="Y231" s="114"/>
      <c r="Z231" s="114"/>
    </row>
    <row r="232" spans="1:26" ht="15.75" customHeight="1" x14ac:dyDescent="0.25">
      <c r="A232" s="24"/>
      <c r="B232" s="25"/>
      <c r="C232" s="24"/>
      <c r="D232" s="24"/>
      <c r="E232" s="24"/>
      <c r="F232" s="114"/>
      <c r="G232" s="114"/>
      <c r="H232" s="114"/>
      <c r="I232" s="114"/>
      <c r="J232" s="114"/>
      <c r="K232" s="212"/>
      <c r="L232" s="114"/>
      <c r="M232" s="114"/>
      <c r="N232" s="114"/>
      <c r="O232" s="114"/>
      <c r="P232" s="114"/>
      <c r="Q232" s="114"/>
      <c r="R232" s="114"/>
      <c r="S232" s="114"/>
      <c r="T232" s="114"/>
      <c r="U232" s="114"/>
      <c r="V232" s="114"/>
      <c r="W232" s="114"/>
      <c r="X232" s="114"/>
      <c r="Y232" s="114"/>
      <c r="Z232" s="114"/>
    </row>
    <row r="233" spans="1:26" ht="15.75" customHeight="1" x14ac:dyDescent="0.25">
      <c r="A233" s="24"/>
      <c r="B233" s="25"/>
      <c r="C233" s="24"/>
      <c r="D233" s="24"/>
      <c r="E233" s="24"/>
      <c r="F233" s="114"/>
      <c r="G233" s="114"/>
      <c r="H233" s="114"/>
      <c r="I233" s="114"/>
      <c r="J233" s="114"/>
      <c r="K233" s="212"/>
      <c r="L233" s="114"/>
      <c r="M233" s="114"/>
      <c r="N233" s="114"/>
      <c r="O233" s="114"/>
      <c r="P233" s="114"/>
      <c r="Q233" s="114"/>
      <c r="R233" s="114"/>
      <c r="S233" s="114"/>
      <c r="T233" s="114"/>
      <c r="U233" s="114"/>
      <c r="V233" s="114"/>
      <c r="W233" s="114"/>
      <c r="X233" s="114"/>
      <c r="Y233" s="114"/>
      <c r="Z233" s="114"/>
    </row>
    <row r="234" spans="1:26" ht="15.75" customHeight="1" x14ac:dyDescent="0.25">
      <c r="A234" s="24"/>
      <c r="B234" s="25"/>
      <c r="C234" s="24"/>
      <c r="D234" s="24"/>
      <c r="E234" s="24"/>
      <c r="F234" s="114"/>
      <c r="G234" s="114"/>
      <c r="H234" s="114"/>
      <c r="I234" s="114"/>
      <c r="J234" s="114"/>
      <c r="K234" s="212"/>
      <c r="L234" s="114"/>
      <c r="M234" s="114"/>
      <c r="N234" s="114"/>
      <c r="O234" s="114"/>
      <c r="P234" s="114"/>
      <c r="Q234" s="114"/>
      <c r="R234" s="114"/>
      <c r="S234" s="114"/>
      <c r="T234" s="114"/>
      <c r="U234" s="114"/>
      <c r="V234" s="114"/>
      <c r="W234" s="114"/>
      <c r="X234" s="114"/>
      <c r="Y234" s="114"/>
      <c r="Z234" s="114"/>
    </row>
    <row r="235" spans="1:26" ht="15.75" customHeight="1" x14ac:dyDescent="0.25">
      <c r="A235" s="24"/>
      <c r="B235" s="25"/>
      <c r="C235" s="24"/>
      <c r="D235" s="24"/>
      <c r="E235" s="24"/>
      <c r="F235" s="114"/>
      <c r="G235" s="114"/>
      <c r="H235" s="114"/>
      <c r="I235" s="114"/>
      <c r="J235" s="114"/>
      <c r="K235" s="212"/>
      <c r="L235" s="114"/>
      <c r="M235" s="114"/>
      <c r="N235" s="114"/>
      <c r="O235" s="114"/>
      <c r="P235" s="114"/>
      <c r="Q235" s="114"/>
      <c r="R235" s="114"/>
      <c r="S235" s="114"/>
      <c r="T235" s="114"/>
      <c r="U235" s="114"/>
      <c r="V235" s="114"/>
      <c r="W235" s="114"/>
      <c r="X235" s="114"/>
      <c r="Y235" s="114"/>
      <c r="Z235" s="114"/>
    </row>
    <row r="236" spans="1:26" ht="15.75" customHeight="1" x14ac:dyDescent="0.25">
      <c r="A236" s="24"/>
      <c r="B236" s="25"/>
      <c r="C236" s="24"/>
      <c r="D236" s="24"/>
      <c r="E236" s="24"/>
      <c r="F236" s="114"/>
      <c r="G236" s="114"/>
      <c r="H236" s="114"/>
      <c r="I236" s="114"/>
      <c r="J236" s="114"/>
      <c r="K236" s="212"/>
      <c r="L236" s="114"/>
      <c r="M236" s="114"/>
      <c r="N236" s="114"/>
      <c r="O236" s="114"/>
      <c r="P236" s="114"/>
      <c r="Q236" s="114"/>
      <c r="R236" s="114"/>
      <c r="S236" s="114"/>
      <c r="T236" s="114"/>
      <c r="U236" s="114"/>
      <c r="V236" s="114"/>
      <c r="W236" s="114"/>
      <c r="X236" s="114"/>
      <c r="Y236" s="114"/>
      <c r="Z236" s="114"/>
    </row>
    <row r="237" spans="1:26" ht="15.75" customHeight="1" x14ac:dyDescent="0.25">
      <c r="A237" s="24"/>
      <c r="B237" s="25"/>
      <c r="C237" s="24"/>
      <c r="D237" s="24"/>
      <c r="E237" s="24"/>
      <c r="F237" s="114"/>
      <c r="G237" s="114"/>
      <c r="H237" s="114"/>
      <c r="I237" s="114"/>
      <c r="J237" s="114"/>
      <c r="K237" s="212"/>
      <c r="L237" s="114"/>
      <c r="M237" s="114"/>
      <c r="N237" s="114"/>
      <c r="O237" s="114"/>
      <c r="P237" s="114"/>
      <c r="Q237" s="114"/>
      <c r="R237" s="114"/>
      <c r="S237" s="114"/>
      <c r="T237" s="114"/>
      <c r="U237" s="114"/>
      <c r="V237" s="114"/>
      <c r="W237" s="114"/>
      <c r="X237" s="114"/>
      <c r="Y237" s="114"/>
      <c r="Z237" s="114"/>
    </row>
    <row r="238" spans="1:26" ht="15.75" customHeight="1" x14ac:dyDescent="0.25">
      <c r="A238" s="24"/>
      <c r="B238" s="25"/>
      <c r="C238" s="24"/>
      <c r="D238" s="24"/>
      <c r="E238" s="24"/>
      <c r="F238" s="114"/>
      <c r="G238" s="114"/>
      <c r="H238" s="114"/>
      <c r="I238" s="114"/>
      <c r="J238" s="114"/>
      <c r="K238" s="212"/>
      <c r="L238" s="114"/>
      <c r="M238" s="114"/>
      <c r="N238" s="114"/>
      <c r="O238" s="114"/>
      <c r="P238" s="114"/>
      <c r="Q238" s="114"/>
      <c r="R238" s="114"/>
      <c r="S238" s="114"/>
      <c r="T238" s="114"/>
      <c r="U238" s="114"/>
      <c r="V238" s="114"/>
      <c r="W238" s="114"/>
      <c r="X238" s="114"/>
      <c r="Y238" s="114"/>
      <c r="Z238" s="114"/>
    </row>
    <row r="239" spans="1:26" ht="15.75" customHeight="1" x14ac:dyDescent="0.25">
      <c r="A239" s="24"/>
      <c r="B239" s="25"/>
      <c r="C239" s="24"/>
      <c r="D239" s="24"/>
      <c r="E239" s="24"/>
      <c r="F239" s="114"/>
      <c r="G239" s="114"/>
      <c r="H239" s="114"/>
      <c r="I239" s="114"/>
      <c r="J239" s="114"/>
      <c r="K239" s="212"/>
      <c r="L239" s="114"/>
      <c r="M239" s="114"/>
      <c r="N239" s="114"/>
      <c r="O239" s="114"/>
      <c r="P239" s="114"/>
      <c r="Q239" s="114"/>
      <c r="R239" s="114"/>
      <c r="S239" s="114"/>
      <c r="T239" s="114"/>
      <c r="U239" s="114"/>
      <c r="V239" s="114"/>
      <c r="W239" s="114"/>
      <c r="X239" s="114"/>
      <c r="Y239" s="114"/>
      <c r="Z239" s="114"/>
    </row>
    <row r="240" spans="1:26" ht="15.75" customHeight="1" x14ac:dyDescent="0.25">
      <c r="A240" s="24"/>
      <c r="B240" s="25"/>
      <c r="C240" s="24"/>
      <c r="D240" s="24"/>
      <c r="E240" s="24"/>
      <c r="F240" s="114"/>
      <c r="G240" s="114"/>
      <c r="H240" s="114"/>
      <c r="I240" s="114"/>
      <c r="J240" s="114"/>
      <c r="K240" s="212"/>
      <c r="L240" s="114"/>
      <c r="M240" s="114"/>
      <c r="N240" s="114"/>
      <c r="O240" s="114"/>
      <c r="P240" s="114"/>
      <c r="Q240" s="114"/>
      <c r="R240" s="114"/>
      <c r="S240" s="114"/>
      <c r="T240" s="114"/>
      <c r="U240" s="114"/>
      <c r="V240" s="114"/>
      <c r="W240" s="114"/>
      <c r="X240" s="114"/>
      <c r="Y240" s="114"/>
      <c r="Z240" s="114"/>
    </row>
    <row r="241" spans="1:26" ht="15.75" customHeight="1" x14ac:dyDescent="0.25">
      <c r="A241" s="24"/>
      <c r="B241" s="25"/>
      <c r="C241" s="24"/>
      <c r="D241" s="24"/>
      <c r="E241" s="24"/>
      <c r="F241" s="114"/>
      <c r="G241" s="114"/>
      <c r="H241" s="114"/>
      <c r="I241" s="114"/>
      <c r="J241" s="114"/>
      <c r="K241" s="212"/>
      <c r="L241" s="114"/>
      <c r="M241" s="114"/>
      <c r="N241" s="114"/>
      <c r="O241" s="114"/>
      <c r="P241" s="114"/>
      <c r="Q241" s="114"/>
      <c r="R241" s="114"/>
      <c r="S241" s="114"/>
      <c r="T241" s="114"/>
      <c r="U241" s="114"/>
      <c r="V241" s="114"/>
      <c r="W241" s="114"/>
      <c r="X241" s="114"/>
      <c r="Y241" s="114"/>
      <c r="Z241" s="114"/>
    </row>
    <row r="242" spans="1:26" ht="15.75" customHeight="1" x14ac:dyDescent="0.25">
      <c r="A242" s="24"/>
      <c r="B242" s="25"/>
      <c r="C242" s="24"/>
      <c r="D242" s="24"/>
      <c r="E242" s="24"/>
      <c r="F242" s="114"/>
      <c r="G242" s="114"/>
      <c r="H242" s="114"/>
      <c r="I242" s="114"/>
      <c r="J242" s="114"/>
      <c r="K242" s="212"/>
      <c r="L242" s="114"/>
      <c r="M242" s="114"/>
      <c r="N242" s="114"/>
      <c r="O242" s="114"/>
      <c r="P242" s="114"/>
      <c r="Q242" s="114"/>
      <c r="R242" s="114"/>
      <c r="S242" s="114"/>
      <c r="T242" s="114"/>
      <c r="U242" s="114"/>
      <c r="V242" s="114"/>
      <c r="W242" s="114"/>
      <c r="X242" s="114"/>
      <c r="Y242" s="114"/>
      <c r="Z242" s="114"/>
    </row>
    <row r="243" spans="1:26" ht="15.75" customHeight="1" x14ac:dyDescent="0.25">
      <c r="A243" s="24"/>
      <c r="B243" s="25"/>
      <c r="C243" s="24"/>
      <c r="D243" s="24"/>
      <c r="E243" s="24"/>
      <c r="F243" s="114"/>
      <c r="G243" s="114"/>
      <c r="H243" s="114"/>
      <c r="I243" s="114"/>
      <c r="J243" s="114"/>
      <c r="K243" s="212"/>
      <c r="L243" s="114"/>
      <c r="M243" s="114"/>
      <c r="N243" s="114"/>
      <c r="O243" s="114"/>
      <c r="P243" s="114"/>
      <c r="Q243" s="114"/>
      <c r="R243" s="114"/>
      <c r="S243" s="114"/>
      <c r="T243" s="114"/>
      <c r="U243" s="114"/>
      <c r="V243" s="114"/>
      <c r="W243" s="114"/>
      <c r="X243" s="114"/>
      <c r="Y243" s="114"/>
      <c r="Z243" s="114"/>
    </row>
    <row r="244" spans="1:26" ht="15.75" customHeight="1" x14ac:dyDescent="0.25">
      <c r="A244" s="24"/>
      <c r="B244" s="25"/>
      <c r="C244" s="24"/>
      <c r="D244" s="24"/>
      <c r="E244" s="24"/>
      <c r="F244" s="114"/>
      <c r="G244" s="114"/>
      <c r="H244" s="114"/>
      <c r="I244" s="114"/>
      <c r="J244" s="114"/>
      <c r="K244" s="212"/>
      <c r="L244" s="114"/>
      <c r="M244" s="114"/>
      <c r="N244" s="114"/>
      <c r="O244" s="114"/>
      <c r="P244" s="114"/>
      <c r="Q244" s="114"/>
      <c r="R244" s="114"/>
      <c r="S244" s="114"/>
      <c r="T244" s="114"/>
      <c r="U244" s="114"/>
      <c r="V244" s="114"/>
      <c r="W244" s="114"/>
      <c r="X244" s="114"/>
      <c r="Y244" s="114"/>
      <c r="Z244" s="114"/>
    </row>
    <row r="245" spans="1:26" ht="15.75" customHeight="1" x14ac:dyDescent="0.25">
      <c r="A245" s="24"/>
      <c r="B245" s="25"/>
      <c r="C245" s="24"/>
      <c r="D245" s="24"/>
      <c r="E245" s="24"/>
      <c r="F245" s="114"/>
      <c r="G245" s="114"/>
      <c r="H245" s="114"/>
      <c r="I245" s="114"/>
      <c r="J245" s="114"/>
      <c r="K245" s="212"/>
      <c r="L245" s="114"/>
      <c r="M245" s="114"/>
      <c r="N245" s="114"/>
      <c r="O245" s="114"/>
      <c r="P245" s="114"/>
      <c r="Q245" s="114"/>
      <c r="R245" s="114"/>
      <c r="S245" s="114"/>
      <c r="T245" s="114"/>
      <c r="U245" s="114"/>
      <c r="V245" s="114"/>
      <c r="W245" s="114"/>
      <c r="X245" s="114"/>
      <c r="Y245" s="114"/>
      <c r="Z245" s="114"/>
    </row>
    <row r="246" spans="1:26" ht="15.75" customHeight="1" x14ac:dyDescent="0.25">
      <c r="A246" s="24"/>
      <c r="B246" s="25"/>
      <c r="C246" s="24"/>
      <c r="D246" s="24"/>
      <c r="E246" s="24"/>
      <c r="F246" s="114"/>
      <c r="G246" s="114"/>
      <c r="H246" s="114"/>
      <c r="I246" s="114"/>
      <c r="J246" s="114"/>
      <c r="K246" s="212"/>
      <c r="L246" s="114"/>
      <c r="M246" s="114"/>
      <c r="N246" s="114"/>
      <c r="O246" s="114"/>
      <c r="P246" s="114"/>
      <c r="Q246" s="114"/>
      <c r="R246" s="114"/>
      <c r="S246" s="114"/>
      <c r="T246" s="114"/>
      <c r="U246" s="114"/>
      <c r="V246" s="114"/>
      <c r="W246" s="114"/>
      <c r="X246" s="114"/>
      <c r="Y246" s="114"/>
      <c r="Z246" s="114"/>
    </row>
    <row r="247" spans="1:26" ht="15.75" customHeight="1" x14ac:dyDescent="0.25">
      <c r="A247" s="24"/>
      <c r="B247" s="25"/>
      <c r="C247" s="24"/>
      <c r="D247" s="24"/>
      <c r="E247" s="24"/>
      <c r="F247" s="114"/>
      <c r="G247" s="114"/>
      <c r="H247" s="114"/>
      <c r="I247" s="114"/>
      <c r="J247" s="114"/>
      <c r="K247" s="212"/>
      <c r="L247" s="114"/>
      <c r="M247" s="114"/>
      <c r="N247" s="114"/>
      <c r="O247" s="114"/>
      <c r="P247" s="114"/>
      <c r="Q247" s="114"/>
      <c r="R247" s="114"/>
      <c r="S247" s="114"/>
      <c r="T247" s="114"/>
      <c r="U247" s="114"/>
      <c r="V247" s="114"/>
      <c r="W247" s="114"/>
      <c r="X247" s="114"/>
      <c r="Y247" s="114"/>
      <c r="Z247" s="114"/>
    </row>
    <row r="248" spans="1:26" ht="15.75" customHeight="1" x14ac:dyDescent="0.25">
      <c r="A248" s="24"/>
      <c r="B248" s="25"/>
      <c r="C248" s="24"/>
      <c r="D248" s="24"/>
      <c r="E248" s="24"/>
      <c r="F248" s="114"/>
      <c r="G248" s="114"/>
      <c r="H248" s="114"/>
      <c r="I248" s="114"/>
      <c r="J248" s="114"/>
      <c r="K248" s="212"/>
      <c r="L248" s="114"/>
      <c r="M248" s="114"/>
      <c r="N248" s="114"/>
      <c r="O248" s="114"/>
      <c r="P248" s="114"/>
      <c r="Q248" s="114"/>
      <c r="R248" s="114"/>
      <c r="S248" s="114"/>
      <c r="T248" s="114"/>
      <c r="U248" s="114"/>
      <c r="V248" s="114"/>
      <c r="W248" s="114"/>
      <c r="X248" s="114"/>
      <c r="Y248" s="114"/>
      <c r="Z248" s="114"/>
    </row>
    <row r="249" spans="1:26" ht="15.75" customHeight="1" x14ac:dyDescent="0.25">
      <c r="A249" s="24"/>
      <c r="B249" s="25"/>
      <c r="C249" s="24"/>
      <c r="D249" s="24"/>
      <c r="E249" s="24"/>
      <c r="F249" s="114"/>
      <c r="G249" s="114"/>
      <c r="H249" s="114"/>
      <c r="I249" s="114"/>
      <c r="J249" s="114"/>
      <c r="K249" s="212"/>
      <c r="L249" s="114"/>
      <c r="M249" s="114"/>
      <c r="N249" s="114"/>
      <c r="O249" s="114"/>
      <c r="P249" s="114"/>
      <c r="Q249" s="114"/>
      <c r="R249" s="114"/>
      <c r="S249" s="114"/>
      <c r="T249" s="114"/>
      <c r="U249" s="114"/>
      <c r="V249" s="114"/>
      <c r="W249" s="114"/>
      <c r="X249" s="114"/>
      <c r="Y249" s="114"/>
      <c r="Z249" s="114"/>
    </row>
    <row r="250" spans="1:26" ht="15.75" customHeight="1" x14ac:dyDescent="0.25">
      <c r="A250" s="24"/>
      <c r="B250" s="25"/>
      <c r="C250" s="24"/>
      <c r="D250" s="24"/>
      <c r="E250" s="24"/>
      <c r="F250" s="114"/>
      <c r="G250" s="114"/>
      <c r="H250" s="114"/>
      <c r="I250" s="114"/>
      <c r="J250" s="114"/>
      <c r="K250" s="212"/>
      <c r="L250" s="114"/>
      <c r="M250" s="114"/>
      <c r="N250" s="114"/>
      <c r="O250" s="114"/>
      <c r="P250" s="114"/>
      <c r="Q250" s="114"/>
      <c r="R250" s="114"/>
      <c r="S250" s="114"/>
      <c r="T250" s="114"/>
      <c r="U250" s="114"/>
      <c r="V250" s="114"/>
      <c r="W250" s="114"/>
      <c r="X250" s="114"/>
      <c r="Y250" s="114"/>
      <c r="Z250" s="114"/>
    </row>
    <row r="251" spans="1:26" ht="15.75" customHeight="1" x14ac:dyDescent="0.25">
      <c r="A251" s="24"/>
      <c r="B251" s="25"/>
      <c r="C251" s="24"/>
      <c r="D251" s="24"/>
      <c r="E251" s="24"/>
      <c r="F251" s="114"/>
      <c r="G251" s="114"/>
      <c r="H251" s="114"/>
      <c r="I251" s="114"/>
      <c r="J251" s="114"/>
      <c r="K251" s="212"/>
      <c r="L251" s="114"/>
      <c r="M251" s="114"/>
      <c r="N251" s="114"/>
      <c r="O251" s="114"/>
      <c r="P251" s="114"/>
      <c r="Q251" s="114"/>
      <c r="R251" s="114"/>
      <c r="S251" s="114"/>
      <c r="T251" s="114"/>
      <c r="U251" s="114"/>
      <c r="V251" s="114"/>
      <c r="W251" s="114"/>
      <c r="X251" s="114"/>
      <c r="Y251" s="114"/>
      <c r="Z251" s="114"/>
    </row>
    <row r="252" spans="1:26" ht="15.75" customHeight="1" x14ac:dyDescent="0.25">
      <c r="A252" s="24"/>
      <c r="B252" s="25"/>
      <c r="C252" s="24"/>
      <c r="D252" s="24"/>
      <c r="E252" s="24"/>
      <c r="F252" s="114"/>
      <c r="G252" s="114"/>
      <c r="H252" s="114"/>
      <c r="I252" s="114"/>
      <c r="J252" s="114"/>
      <c r="K252" s="212"/>
      <c r="L252" s="114"/>
      <c r="M252" s="114"/>
      <c r="N252" s="114"/>
      <c r="O252" s="114"/>
      <c r="P252" s="114"/>
      <c r="Q252" s="114"/>
      <c r="R252" s="114"/>
      <c r="S252" s="114"/>
      <c r="T252" s="114"/>
      <c r="U252" s="114"/>
      <c r="V252" s="114"/>
      <c r="W252" s="114"/>
      <c r="X252" s="114"/>
      <c r="Y252" s="114"/>
      <c r="Z252" s="114"/>
    </row>
    <row r="253" spans="1:26" ht="15.75" customHeight="1" x14ac:dyDescent="0.25">
      <c r="A253" s="24"/>
      <c r="B253" s="25"/>
      <c r="C253" s="24"/>
      <c r="D253" s="24"/>
      <c r="E253" s="24"/>
      <c r="F253" s="114"/>
      <c r="G253" s="114"/>
      <c r="H253" s="114"/>
      <c r="I253" s="114"/>
      <c r="J253" s="114"/>
      <c r="K253" s="212"/>
      <c r="L253" s="114"/>
      <c r="M253" s="114"/>
      <c r="N253" s="114"/>
      <c r="O253" s="114"/>
      <c r="P253" s="114"/>
      <c r="Q253" s="114"/>
      <c r="R253" s="114"/>
      <c r="S253" s="114"/>
      <c r="T253" s="114"/>
      <c r="U253" s="114"/>
      <c r="V253" s="114"/>
      <c r="W253" s="114"/>
      <c r="X253" s="114"/>
      <c r="Y253" s="114"/>
      <c r="Z253" s="114"/>
    </row>
    <row r="254" spans="1:26" ht="15.75" customHeight="1" x14ac:dyDescent="0.25">
      <c r="A254" s="24"/>
      <c r="B254" s="25"/>
      <c r="C254" s="24"/>
      <c r="D254" s="24"/>
      <c r="E254" s="24"/>
      <c r="F254" s="114"/>
      <c r="G254" s="114"/>
      <c r="H254" s="114"/>
      <c r="I254" s="114"/>
      <c r="J254" s="114"/>
      <c r="K254" s="212"/>
      <c r="L254" s="114"/>
      <c r="M254" s="114"/>
      <c r="N254" s="114"/>
      <c r="O254" s="114"/>
      <c r="P254" s="114"/>
      <c r="Q254" s="114"/>
      <c r="R254" s="114"/>
      <c r="S254" s="114"/>
      <c r="T254" s="114"/>
      <c r="U254" s="114"/>
      <c r="V254" s="114"/>
      <c r="W254" s="114"/>
      <c r="X254" s="114"/>
      <c r="Y254" s="114"/>
      <c r="Z254" s="114"/>
    </row>
    <row r="255" spans="1:26" ht="15.75" customHeight="1" x14ac:dyDescent="0.25">
      <c r="A255" s="24"/>
      <c r="B255" s="25"/>
      <c r="C255" s="24"/>
      <c r="D255" s="24"/>
      <c r="E255" s="24"/>
      <c r="F255" s="114"/>
      <c r="G255" s="114"/>
      <c r="H255" s="114"/>
      <c r="I255" s="114"/>
      <c r="J255" s="114"/>
      <c r="K255" s="212"/>
      <c r="L255" s="114"/>
      <c r="M255" s="114"/>
      <c r="N255" s="114"/>
      <c r="O255" s="114"/>
      <c r="P255" s="114"/>
      <c r="Q255" s="114"/>
      <c r="R255" s="114"/>
      <c r="S255" s="114"/>
      <c r="T255" s="114"/>
      <c r="U255" s="114"/>
      <c r="V255" s="114"/>
      <c r="W255" s="114"/>
      <c r="X255" s="114"/>
      <c r="Y255" s="114"/>
      <c r="Z255" s="114"/>
    </row>
    <row r="256" spans="1:26" ht="15.75" customHeight="1" x14ac:dyDescent="0.25">
      <c r="A256" s="24"/>
      <c r="B256" s="25"/>
      <c r="C256" s="24"/>
      <c r="D256" s="24"/>
      <c r="E256" s="24"/>
      <c r="F256" s="114"/>
      <c r="G256" s="114"/>
      <c r="H256" s="114"/>
      <c r="I256" s="114"/>
      <c r="J256" s="114"/>
      <c r="K256" s="212"/>
      <c r="L256" s="114"/>
      <c r="M256" s="114"/>
      <c r="N256" s="114"/>
      <c r="O256" s="114"/>
      <c r="P256" s="114"/>
      <c r="Q256" s="114"/>
      <c r="R256" s="114"/>
      <c r="S256" s="114"/>
      <c r="T256" s="114"/>
      <c r="U256" s="114"/>
      <c r="V256" s="114"/>
      <c r="W256" s="114"/>
      <c r="X256" s="114"/>
      <c r="Y256" s="114"/>
      <c r="Z256" s="114"/>
    </row>
    <row r="257" spans="1:26" ht="15.75" customHeight="1" x14ac:dyDescent="0.25">
      <c r="A257" s="24"/>
      <c r="B257" s="25"/>
      <c r="C257" s="24"/>
      <c r="D257" s="24"/>
      <c r="E257" s="24"/>
      <c r="F257" s="114"/>
      <c r="G257" s="114"/>
      <c r="H257" s="114"/>
      <c r="I257" s="114"/>
      <c r="J257" s="114"/>
      <c r="K257" s="212"/>
      <c r="L257" s="114"/>
      <c r="M257" s="114"/>
      <c r="N257" s="114"/>
      <c r="O257" s="114"/>
      <c r="P257" s="114"/>
      <c r="Q257" s="114"/>
      <c r="R257" s="114"/>
      <c r="S257" s="114"/>
      <c r="T257" s="114"/>
      <c r="U257" s="114"/>
      <c r="V257" s="114"/>
      <c r="W257" s="114"/>
      <c r="X257" s="114"/>
      <c r="Y257" s="114"/>
      <c r="Z257" s="114"/>
    </row>
    <row r="258" spans="1:26" ht="15.75" customHeight="1" x14ac:dyDescent="0.25">
      <c r="A258" s="24"/>
      <c r="B258" s="25"/>
      <c r="C258" s="24"/>
      <c r="D258" s="24"/>
      <c r="E258" s="24"/>
      <c r="F258" s="114"/>
      <c r="G258" s="114"/>
      <c r="H258" s="114"/>
      <c r="I258" s="114"/>
      <c r="J258" s="114"/>
      <c r="K258" s="212"/>
      <c r="L258" s="114"/>
      <c r="M258" s="114"/>
      <c r="N258" s="114"/>
      <c r="O258" s="114"/>
      <c r="P258" s="114"/>
      <c r="Q258" s="114"/>
      <c r="R258" s="114"/>
      <c r="S258" s="114"/>
      <c r="T258" s="114"/>
      <c r="U258" s="114"/>
      <c r="V258" s="114"/>
      <c r="W258" s="114"/>
      <c r="X258" s="114"/>
      <c r="Y258" s="114"/>
      <c r="Z258" s="114"/>
    </row>
    <row r="259" spans="1:26" ht="15.75" customHeight="1" x14ac:dyDescent="0.25">
      <c r="A259" s="24"/>
      <c r="B259" s="25"/>
      <c r="C259" s="24"/>
      <c r="D259" s="24"/>
      <c r="E259" s="24"/>
      <c r="F259" s="114"/>
      <c r="G259" s="114"/>
      <c r="H259" s="114"/>
      <c r="I259" s="114"/>
      <c r="J259" s="114"/>
      <c r="K259" s="212"/>
      <c r="L259" s="114"/>
      <c r="M259" s="114"/>
      <c r="N259" s="114"/>
      <c r="O259" s="114"/>
      <c r="P259" s="114"/>
      <c r="Q259" s="114"/>
      <c r="R259" s="114"/>
      <c r="S259" s="114"/>
      <c r="T259" s="114"/>
      <c r="U259" s="114"/>
      <c r="V259" s="114"/>
      <c r="W259" s="114"/>
      <c r="X259" s="114"/>
      <c r="Y259" s="114"/>
      <c r="Z259" s="114"/>
    </row>
    <row r="260" spans="1:26" ht="15.75" customHeight="1" x14ac:dyDescent="0.25">
      <c r="A260" s="24"/>
      <c r="B260" s="25"/>
      <c r="C260" s="24"/>
      <c r="D260" s="24"/>
      <c r="E260" s="24"/>
      <c r="F260" s="114"/>
      <c r="G260" s="114"/>
      <c r="H260" s="114"/>
      <c r="I260" s="114"/>
      <c r="J260" s="114"/>
      <c r="K260" s="212"/>
      <c r="L260" s="114"/>
      <c r="M260" s="114"/>
      <c r="N260" s="114"/>
      <c r="O260" s="114"/>
      <c r="P260" s="114"/>
      <c r="Q260" s="114"/>
      <c r="R260" s="114"/>
      <c r="S260" s="114"/>
      <c r="T260" s="114"/>
      <c r="U260" s="114"/>
      <c r="V260" s="114"/>
      <c r="W260" s="114"/>
      <c r="X260" s="114"/>
      <c r="Y260" s="114"/>
      <c r="Z260" s="114"/>
    </row>
    <row r="261" spans="1:26" ht="15.75" customHeight="1" x14ac:dyDescent="0.25">
      <c r="A261" s="24"/>
      <c r="B261" s="25"/>
      <c r="C261" s="24"/>
      <c r="D261" s="24"/>
      <c r="E261" s="24"/>
      <c r="F261" s="114"/>
      <c r="G261" s="114"/>
      <c r="H261" s="114"/>
      <c r="I261" s="114"/>
      <c r="J261" s="114"/>
      <c r="K261" s="212"/>
      <c r="L261" s="114"/>
      <c r="M261" s="114"/>
      <c r="N261" s="114"/>
      <c r="O261" s="114"/>
      <c r="P261" s="114"/>
      <c r="Q261" s="114"/>
      <c r="R261" s="114"/>
      <c r="S261" s="114"/>
      <c r="T261" s="114"/>
      <c r="U261" s="114"/>
      <c r="V261" s="114"/>
      <c r="W261" s="114"/>
      <c r="X261" s="114"/>
      <c r="Y261" s="114"/>
      <c r="Z261" s="114"/>
    </row>
    <row r="262" spans="1:26" ht="15.75" customHeight="1" x14ac:dyDescent="0.25">
      <c r="A262" s="24"/>
      <c r="B262" s="25"/>
      <c r="C262" s="24"/>
      <c r="D262" s="24"/>
      <c r="E262" s="24"/>
      <c r="F262" s="114"/>
      <c r="G262" s="114"/>
      <c r="H262" s="114"/>
      <c r="I262" s="114"/>
      <c r="J262" s="114"/>
      <c r="K262" s="212"/>
      <c r="L262" s="114"/>
      <c r="M262" s="114"/>
      <c r="N262" s="114"/>
      <c r="O262" s="114"/>
      <c r="P262" s="114"/>
      <c r="Q262" s="114"/>
      <c r="R262" s="114"/>
      <c r="S262" s="114"/>
      <c r="T262" s="114"/>
      <c r="U262" s="114"/>
      <c r="V262" s="114"/>
      <c r="W262" s="114"/>
      <c r="X262" s="114"/>
      <c r="Y262" s="114"/>
      <c r="Z262" s="114"/>
    </row>
    <row r="263" spans="1:26" ht="15.75" customHeight="1" x14ac:dyDescent="0.25">
      <c r="A263" s="24"/>
      <c r="B263" s="25"/>
      <c r="C263" s="24"/>
      <c r="D263" s="24"/>
      <c r="E263" s="24"/>
      <c r="F263" s="114"/>
      <c r="G263" s="114"/>
      <c r="H263" s="114"/>
      <c r="I263" s="114"/>
      <c r="J263" s="114"/>
      <c r="K263" s="212"/>
      <c r="L263" s="114"/>
      <c r="M263" s="114"/>
      <c r="N263" s="114"/>
      <c r="O263" s="114"/>
      <c r="P263" s="114"/>
      <c r="Q263" s="114"/>
      <c r="R263" s="114"/>
      <c r="S263" s="114"/>
      <c r="T263" s="114"/>
      <c r="U263" s="114"/>
      <c r="V263" s="114"/>
      <c r="W263" s="114"/>
      <c r="X263" s="114"/>
      <c r="Y263" s="114"/>
      <c r="Z263" s="114"/>
    </row>
    <row r="264" spans="1:26" ht="15.75" customHeight="1" x14ac:dyDescent="0.25">
      <c r="A264" s="24"/>
      <c r="B264" s="25"/>
      <c r="C264" s="24"/>
      <c r="D264" s="24"/>
      <c r="E264" s="24"/>
      <c r="F264" s="114"/>
      <c r="G264" s="114"/>
      <c r="H264" s="114"/>
      <c r="I264" s="114"/>
      <c r="J264" s="114"/>
      <c r="K264" s="212"/>
      <c r="L264" s="114"/>
      <c r="M264" s="114"/>
      <c r="N264" s="114"/>
      <c r="O264" s="114"/>
      <c r="P264" s="114"/>
      <c r="Q264" s="114"/>
      <c r="R264" s="114"/>
      <c r="S264" s="114"/>
      <c r="T264" s="114"/>
      <c r="U264" s="114"/>
      <c r="V264" s="114"/>
      <c r="W264" s="114"/>
      <c r="X264" s="114"/>
      <c r="Y264" s="114"/>
      <c r="Z264" s="114"/>
    </row>
    <row r="265" spans="1:26" ht="15.75" customHeight="1" x14ac:dyDescent="0.25">
      <c r="A265" s="24"/>
      <c r="B265" s="25"/>
      <c r="C265" s="24"/>
      <c r="D265" s="24"/>
      <c r="E265" s="24"/>
      <c r="F265" s="114"/>
      <c r="G265" s="114"/>
      <c r="H265" s="114"/>
      <c r="I265" s="114"/>
      <c r="J265" s="114"/>
      <c r="K265" s="212"/>
      <c r="L265" s="114"/>
      <c r="M265" s="114"/>
      <c r="N265" s="114"/>
      <c r="O265" s="114"/>
      <c r="P265" s="114"/>
      <c r="Q265" s="114"/>
      <c r="R265" s="114"/>
      <c r="S265" s="114"/>
      <c r="T265" s="114"/>
      <c r="U265" s="114"/>
      <c r="V265" s="114"/>
      <c r="W265" s="114"/>
      <c r="X265" s="114"/>
      <c r="Y265" s="114"/>
      <c r="Z265" s="114"/>
    </row>
    <row r="266" spans="1:26" ht="15.75" customHeight="1" x14ac:dyDescent="0.25">
      <c r="A266" s="24"/>
      <c r="B266" s="25"/>
      <c r="C266" s="24"/>
      <c r="D266" s="24"/>
      <c r="E266" s="24"/>
      <c r="F266" s="114"/>
      <c r="G266" s="114"/>
      <c r="H266" s="114"/>
      <c r="I266" s="114"/>
      <c r="J266" s="114"/>
      <c r="K266" s="212"/>
      <c r="L266" s="114"/>
      <c r="M266" s="114"/>
      <c r="N266" s="114"/>
      <c r="O266" s="114"/>
      <c r="P266" s="114"/>
      <c r="Q266" s="114"/>
      <c r="R266" s="114"/>
      <c r="S266" s="114"/>
      <c r="T266" s="114"/>
      <c r="U266" s="114"/>
      <c r="V266" s="114"/>
      <c r="W266" s="114"/>
      <c r="X266" s="114"/>
      <c r="Y266" s="114"/>
      <c r="Z266" s="114"/>
    </row>
    <row r="267" spans="1:26" ht="15.75" customHeight="1" x14ac:dyDescent="0.25">
      <c r="A267" s="24"/>
      <c r="B267" s="25"/>
      <c r="C267" s="24"/>
      <c r="D267" s="24"/>
      <c r="E267" s="24"/>
      <c r="F267" s="114"/>
      <c r="G267" s="114"/>
      <c r="H267" s="114"/>
      <c r="I267" s="114"/>
      <c r="J267" s="114"/>
      <c r="K267" s="212"/>
      <c r="L267" s="114"/>
      <c r="M267" s="114"/>
      <c r="N267" s="114"/>
      <c r="O267" s="114"/>
      <c r="P267" s="114"/>
      <c r="Q267" s="114"/>
      <c r="R267" s="114"/>
      <c r="S267" s="114"/>
      <c r="T267" s="114"/>
      <c r="U267" s="114"/>
      <c r="V267" s="114"/>
      <c r="W267" s="114"/>
      <c r="X267" s="114"/>
      <c r="Y267" s="114"/>
      <c r="Z267" s="114"/>
    </row>
    <row r="268" spans="1:26" ht="15.75" customHeight="1" x14ac:dyDescent="0.25">
      <c r="A268" s="24"/>
      <c r="B268" s="25"/>
      <c r="C268" s="24"/>
      <c r="D268" s="24"/>
      <c r="E268" s="24"/>
      <c r="F268" s="114"/>
      <c r="G268" s="114"/>
      <c r="H268" s="114"/>
      <c r="I268" s="114"/>
      <c r="J268" s="114"/>
      <c r="K268" s="212"/>
      <c r="L268" s="114"/>
      <c r="M268" s="114"/>
      <c r="N268" s="114"/>
      <c r="O268" s="114"/>
      <c r="P268" s="114"/>
      <c r="Q268" s="114"/>
      <c r="R268" s="114"/>
      <c r="S268" s="114"/>
      <c r="T268" s="114"/>
      <c r="U268" s="114"/>
      <c r="V268" s="114"/>
      <c r="W268" s="114"/>
      <c r="X268" s="114"/>
      <c r="Y268" s="114"/>
      <c r="Z268" s="114"/>
    </row>
    <row r="269" spans="1:26" ht="15.75" customHeight="1" x14ac:dyDescent="0.25">
      <c r="A269" s="24"/>
      <c r="B269" s="25"/>
      <c r="C269" s="24"/>
      <c r="D269" s="24"/>
      <c r="E269" s="24"/>
      <c r="F269" s="114"/>
      <c r="G269" s="114"/>
      <c r="H269" s="114"/>
      <c r="I269" s="114"/>
      <c r="J269" s="114"/>
      <c r="K269" s="212"/>
      <c r="L269" s="114"/>
      <c r="M269" s="114"/>
      <c r="N269" s="114"/>
      <c r="O269" s="114"/>
      <c r="P269" s="114"/>
      <c r="Q269" s="114"/>
      <c r="R269" s="114"/>
      <c r="S269" s="114"/>
      <c r="T269" s="114"/>
      <c r="U269" s="114"/>
      <c r="V269" s="114"/>
      <c r="W269" s="114"/>
      <c r="X269" s="114"/>
      <c r="Y269" s="114"/>
      <c r="Z269" s="114"/>
    </row>
    <row r="270" spans="1:26" ht="15.75" customHeight="1" x14ac:dyDescent="0.25">
      <c r="A270" s="24"/>
      <c r="B270" s="25"/>
      <c r="C270" s="24"/>
      <c r="D270" s="24"/>
      <c r="E270" s="24"/>
      <c r="F270" s="114"/>
      <c r="G270" s="114"/>
      <c r="H270" s="114"/>
      <c r="I270" s="114"/>
      <c r="J270" s="114"/>
      <c r="K270" s="212"/>
      <c r="L270" s="114"/>
      <c r="M270" s="114"/>
      <c r="N270" s="114"/>
      <c r="O270" s="114"/>
      <c r="P270" s="114"/>
      <c r="Q270" s="114"/>
      <c r="R270" s="114"/>
      <c r="S270" s="114"/>
      <c r="T270" s="114"/>
      <c r="U270" s="114"/>
      <c r="V270" s="114"/>
      <c r="W270" s="114"/>
      <c r="X270" s="114"/>
      <c r="Y270" s="114"/>
      <c r="Z270" s="114"/>
    </row>
    <row r="271" spans="1:26" ht="15.75" customHeight="1" x14ac:dyDescent="0.25">
      <c r="A271" s="24"/>
      <c r="B271" s="25"/>
      <c r="C271" s="24"/>
      <c r="D271" s="24"/>
      <c r="E271" s="24"/>
      <c r="F271" s="114"/>
      <c r="G271" s="114"/>
      <c r="H271" s="114"/>
      <c r="I271" s="114"/>
      <c r="J271" s="114"/>
      <c r="K271" s="212"/>
      <c r="L271" s="114"/>
      <c r="M271" s="114"/>
      <c r="N271" s="114"/>
      <c r="O271" s="114"/>
      <c r="P271" s="114"/>
      <c r="Q271" s="114"/>
      <c r="R271" s="114"/>
      <c r="S271" s="114"/>
      <c r="T271" s="114"/>
      <c r="U271" s="114"/>
      <c r="V271" s="114"/>
      <c r="W271" s="114"/>
      <c r="X271" s="114"/>
      <c r="Y271" s="114"/>
      <c r="Z271" s="114"/>
    </row>
    <row r="272" spans="1:26" ht="15.75" customHeight="1" x14ac:dyDescent="0.25">
      <c r="A272" s="24"/>
      <c r="B272" s="25"/>
      <c r="C272" s="24"/>
      <c r="D272" s="24"/>
      <c r="E272" s="24"/>
      <c r="F272" s="114"/>
      <c r="G272" s="114"/>
      <c r="H272" s="114"/>
      <c r="I272" s="114"/>
      <c r="J272" s="114"/>
      <c r="K272" s="212"/>
      <c r="L272" s="114"/>
      <c r="M272" s="114"/>
      <c r="N272" s="114"/>
      <c r="O272" s="114"/>
      <c r="P272" s="114"/>
      <c r="Q272" s="114"/>
      <c r="R272" s="114"/>
      <c r="S272" s="114"/>
      <c r="T272" s="114"/>
      <c r="U272" s="114"/>
      <c r="V272" s="114"/>
      <c r="W272" s="114"/>
      <c r="X272" s="114"/>
      <c r="Y272" s="114"/>
      <c r="Z272" s="114"/>
    </row>
    <row r="273" spans="1:26" ht="15.75" customHeight="1" x14ac:dyDescent="0.25">
      <c r="A273" s="24"/>
      <c r="B273" s="25"/>
      <c r="C273" s="24"/>
      <c r="D273" s="24"/>
      <c r="E273" s="24"/>
      <c r="F273" s="114"/>
      <c r="G273" s="114"/>
      <c r="H273" s="114"/>
      <c r="I273" s="114"/>
      <c r="J273" s="114"/>
      <c r="K273" s="212"/>
      <c r="L273" s="114"/>
      <c r="M273" s="114"/>
      <c r="N273" s="114"/>
      <c r="O273" s="114"/>
      <c r="P273" s="114"/>
      <c r="Q273" s="114"/>
      <c r="R273" s="114"/>
      <c r="S273" s="114"/>
      <c r="T273" s="114"/>
      <c r="U273" s="114"/>
      <c r="V273" s="114"/>
      <c r="W273" s="114"/>
      <c r="X273" s="114"/>
      <c r="Y273" s="114"/>
      <c r="Z273" s="114"/>
    </row>
    <row r="274" spans="1:26" ht="15.75" customHeight="1" x14ac:dyDescent="0.25">
      <c r="A274" s="24"/>
      <c r="B274" s="25"/>
      <c r="C274" s="24"/>
      <c r="D274" s="24"/>
      <c r="E274" s="24"/>
      <c r="F274" s="114"/>
      <c r="G274" s="114"/>
      <c r="H274" s="114"/>
      <c r="I274" s="114"/>
      <c r="J274" s="114"/>
      <c r="K274" s="212"/>
      <c r="L274" s="114"/>
      <c r="M274" s="114"/>
      <c r="N274" s="114"/>
      <c r="O274" s="114"/>
      <c r="P274" s="114"/>
      <c r="Q274" s="114"/>
      <c r="R274" s="114"/>
      <c r="S274" s="114"/>
      <c r="T274" s="114"/>
      <c r="U274" s="114"/>
      <c r="V274" s="114"/>
      <c r="W274" s="114"/>
      <c r="X274" s="114"/>
      <c r="Y274" s="114"/>
      <c r="Z274" s="114"/>
    </row>
    <row r="275" spans="1:26" ht="15.75" customHeight="1" x14ac:dyDescent="0.25">
      <c r="A275" s="24"/>
      <c r="B275" s="25"/>
      <c r="C275" s="24"/>
      <c r="D275" s="24"/>
      <c r="E275" s="24"/>
      <c r="F275" s="114"/>
      <c r="G275" s="114"/>
      <c r="H275" s="114"/>
      <c r="I275" s="114"/>
      <c r="J275" s="114"/>
      <c r="K275" s="212"/>
      <c r="L275" s="114"/>
      <c r="M275" s="114"/>
      <c r="N275" s="114"/>
      <c r="O275" s="114"/>
      <c r="P275" s="114"/>
      <c r="Q275" s="114"/>
      <c r="R275" s="114"/>
      <c r="S275" s="114"/>
      <c r="T275" s="114"/>
      <c r="U275" s="114"/>
      <c r="V275" s="114"/>
      <c r="W275" s="114"/>
      <c r="X275" s="114"/>
      <c r="Y275" s="114"/>
      <c r="Z275" s="114"/>
    </row>
    <row r="276" spans="1:26" ht="15.75" customHeight="1" x14ac:dyDescent="0.25">
      <c r="A276" s="24"/>
      <c r="B276" s="25"/>
      <c r="C276" s="24"/>
      <c r="D276" s="24"/>
      <c r="E276" s="24"/>
      <c r="F276" s="114"/>
      <c r="G276" s="114"/>
      <c r="H276" s="114"/>
      <c r="I276" s="114"/>
      <c r="J276" s="114"/>
      <c r="K276" s="212"/>
      <c r="L276" s="114"/>
      <c r="M276" s="114"/>
      <c r="N276" s="114"/>
      <c r="O276" s="114"/>
      <c r="P276" s="114"/>
      <c r="Q276" s="114"/>
      <c r="R276" s="114"/>
      <c r="S276" s="114"/>
      <c r="T276" s="114"/>
      <c r="U276" s="114"/>
      <c r="V276" s="114"/>
      <c r="W276" s="114"/>
      <c r="X276" s="114"/>
      <c r="Y276" s="114"/>
      <c r="Z276" s="114"/>
    </row>
    <row r="277" spans="1:26" ht="15.75" customHeight="1" x14ac:dyDescent="0.25">
      <c r="A277" s="24"/>
      <c r="B277" s="25"/>
      <c r="C277" s="24"/>
      <c r="D277" s="24"/>
      <c r="E277" s="24"/>
      <c r="F277" s="114"/>
      <c r="G277" s="114"/>
      <c r="H277" s="114"/>
      <c r="I277" s="114"/>
      <c r="J277" s="114"/>
      <c r="K277" s="212"/>
      <c r="L277" s="114"/>
      <c r="M277" s="114"/>
      <c r="N277" s="114"/>
      <c r="O277" s="114"/>
      <c r="P277" s="114"/>
      <c r="Q277" s="114"/>
      <c r="R277" s="114"/>
      <c r="S277" s="114"/>
      <c r="T277" s="114"/>
      <c r="U277" s="114"/>
      <c r="V277" s="114"/>
      <c r="W277" s="114"/>
      <c r="X277" s="114"/>
      <c r="Y277" s="114"/>
      <c r="Z277" s="114"/>
    </row>
    <row r="278" spans="1:26" ht="15.75" customHeight="1" x14ac:dyDescent="0.25">
      <c r="A278" s="24"/>
      <c r="B278" s="25"/>
      <c r="C278" s="24"/>
      <c r="D278" s="24"/>
      <c r="E278" s="24"/>
      <c r="F278" s="114"/>
      <c r="G278" s="114"/>
      <c r="H278" s="114"/>
      <c r="I278" s="114"/>
      <c r="J278" s="114"/>
      <c r="K278" s="212"/>
      <c r="L278" s="114"/>
      <c r="M278" s="114"/>
      <c r="N278" s="114"/>
      <c r="O278" s="114"/>
      <c r="P278" s="114"/>
      <c r="Q278" s="114"/>
      <c r="R278" s="114"/>
      <c r="S278" s="114"/>
      <c r="T278" s="114"/>
      <c r="U278" s="114"/>
      <c r="V278" s="114"/>
      <c r="W278" s="114"/>
      <c r="X278" s="114"/>
      <c r="Y278" s="114"/>
      <c r="Z278" s="114"/>
    </row>
    <row r="279" spans="1:26" ht="15.75" customHeight="1" x14ac:dyDescent="0.25">
      <c r="A279" s="24"/>
      <c r="B279" s="25"/>
      <c r="C279" s="24"/>
      <c r="D279" s="24"/>
      <c r="E279" s="24"/>
      <c r="F279" s="114"/>
      <c r="G279" s="114"/>
      <c r="H279" s="114"/>
      <c r="I279" s="114"/>
      <c r="J279" s="114"/>
      <c r="K279" s="212"/>
      <c r="L279" s="114"/>
      <c r="M279" s="114"/>
      <c r="N279" s="114"/>
      <c r="O279" s="114"/>
      <c r="P279" s="114"/>
      <c r="Q279" s="114"/>
      <c r="R279" s="114"/>
      <c r="S279" s="114"/>
      <c r="T279" s="114"/>
      <c r="U279" s="114"/>
      <c r="V279" s="114"/>
      <c r="W279" s="114"/>
      <c r="X279" s="114"/>
      <c r="Y279" s="114"/>
      <c r="Z279" s="114"/>
    </row>
    <row r="280" spans="1:26" ht="15.75" customHeight="1" x14ac:dyDescent="0.25">
      <c r="A280" s="24"/>
      <c r="B280" s="25"/>
      <c r="C280" s="24"/>
      <c r="D280" s="24"/>
      <c r="E280" s="24"/>
      <c r="F280" s="114"/>
      <c r="G280" s="114"/>
      <c r="H280" s="114"/>
      <c r="I280" s="114"/>
      <c r="J280" s="114"/>
      <c r="K280" s="212"/>
      <c r="L280" s="114"/>
      <c r="M280" s="114"/>
      <c r="N280" s="114"/>
      <c r="O280" s="114"/>
      <c r="P280" s="114"/>
      <c r="Q280" s="114"/>
      <c r="R280" s="114"/>
      <c r="S280" s="114"/>
      <c r="T280" s="114"/>
      <c r="U280" s="114"/>
      <c r="V280" s="114"/>
      <c r="W280" s="114"/>
      <c r="X280" s="114"/>
      <c r="Y280" s="114"/>
      <c r="Z280" s="114"/>
    </row>
    <row r="281" spans="1:26" ht="15.75" customHeight="1" x14ac:dyDescent="0.25">
      <c r="A281" s="24"/>
      <c r="B281" s="25"/>
      <c r="C281" s="24"/>
      <c r="D281" s="24"/>
      <c r="E281" s="24"/>
      <c r="F281" s="114"/>
      <c r="G281" s="114"/>
      <c r="H281" s="114"/>
      <c r="I281" s="114"/>
      <c r="J281" s="114"/>
      <c r="K281" s="212"/>
      <c r="L281" s="114"/>
      <c r="M281" s="114"/>
      <c r="N281" s="114"/>
      <c r="O281" s="114"/>
      <c r="P281" s="114"/>
      <c r="Q281" s="114"/>
      <c r="R281" s="114"/>
      <c r="S281" s="114"/>
      <c r="T281" s="114"/>
      <c r="U281" s="114"/>
      <c r="V281" s="114"/>
      <c r="W281" s="114"/>
      <c r="X281" s="114"/>
      <c r="Y281" s="114"/>
      <c r="Z281" s="114"/>
    </row>
    <row r="282" spans="1:26" ht="15.75" customHeight="1" x14ac:dyDescent="0.25">
      <c r="A282" s="24"/>
      <c r="B282" s="25"/>
      <c r="C282" s="24"/>
      <c r="D282" s="24"/>
      <c r="E282" s="24"/>
      <c r="F282" s="114"/>
      <c r="G282" s="114"/>
      <c r="H282" s="114"/>
      <c r="I282" s="114"/>
      <c r="J282" s="114"/>
      <c r="K282" s="212"/>
      <c r="L282" s="114"/>
      <c r="M282" s="114"/>
      <c r="N282" s="114"/>
      <c r="O282" s="114"/>
      <c r="P282" s="114"/>
      <c r="Q282" s="114"/>
      <c r="R282" s="114"/>
      <c r="S282" s="114"/>
      <c r="T282" s="114"/>
      <c r="U282" s="114"/>
      <c r="V282" s="114"/>
      <c r="W282" s="114"/>
      <c r="X282" s="114"/>
      <c r="Y282" s="114"/>
      <c r="Z282" s="114"/>
    </row>
    <row r="283" spans="1:26" ht="15.75" customHeight="1" x14ac:dyDescent="0.25">
      <c r="A283" s="24"/>
      <c r="B283" s="25"/>
      <c r="C283" s="24"/>
      <c r="D283" s="24"/>
      <c r="E283" s="24"/>
      <c r="F283" s="114"/>
      <c r="G283" s="114"/>
      <c r="H283" s="114"/>
      <c r="I283" s="114"/>
      <c r="J283" s="114"/>
      <c r="K283" s="212"/>
      <c r="L283" s="114"/>
      <c r="M283" s="114"/>
      <c r="N283" s="114"/>
      <c r="O283" s="114"/>
      <c r="P283" s="114"/>
      <c r="Q283" s="114"/>
      <c r="R283" s="114"/>
      <c r="S283" s="114"/>
      <c r="T283" s="114"/>
      <c r="U283" s="114"/>
      <c r="V283" s="114"/>
      <c r="W283" s="114"/>
      <c r="X283" s="114"/>
      <c r="Y283" s="114"/>
      <c r="Z283" s="114"/>
    </row>
    <row r="284" spans="1:26" ht="15.75" customHeight="1" x14ac:dyDescent="0.25">
      <c r="A284" s="24"/>
      <c r="B284" s="25"/>
      <c r="C284" s="24"/>
      <c r="D284" s="24"/>
      <c r="E284" s="24"/>
      <c r="F284" s="114"/>
      <c r="G284" s="114"/>
      <c r="H284" s="114"/>
      <c r="I284" s="114"/>
      <c r="J284" s="114"/>
      <c r="K284" s="212"/>
      <c r="L284" s="114"/>
      <c r="M284" s="114"/>
      <c r="N284" s="114"/>
      <c r="O284" s="114"/>
      <c r="P284" s="114"/>
      <c r="Q284" s="114"/>
      <c r="R284" s="114"/>
      <c r="S284" s="114"/>
      <c r="T284" s="114"/>
      <c r="U284" s="114"/>
      <c r="V284" s="114"/>
      <c r="W284" s="114"/>
      <c r="X284" s="114"/>
      <c r="Y284" s="114"/>
      <c r="Z284" s="114"/>
    </row>
    <row r="285" spans="1:26" ht="15.75" customHeight="1" x14ac:dyDescent="0.25">
      <c r="A285" s="24"/>
      <c r="B285" s="25"/>
      <c r="C285" s="24"/>
      <c r="D285" s="24"/>
      <c r="E285" s="24"/>
      <c r="F285" s="114"/>
      <c r="G285" s="114"/>
      <c r="H285" s="114"/>
      <c r="I285" s="114"/>
      <c r="J285" s="114"/>
      <c r="K285" s="212"/>
      <c r="L285" s="114"/>
      <c r="M285" s="114"/>
      <c r="N285" s="114"/>
      <c r="O285" s="114"/>
      <c r="P285" s="114"/>
      <c r="Q285" s="114"/>
      <c r="R285" s="114"/>
      <c r="S285" s="114"/>
      <c r="T285" s="114"/>
      <c r="U285" s="114"/>
      <c r="V285" s="114"/>
      <c r="W285" s="114"/>
      <c r="X285" s="114"/>
      <c r="Y285" s="114"/>
      <c r="Z285" s="114"/>
    </row>
    <row r="286" spans="1:26" ht="15.75" customHeight="1" x14ac:dyDescent="0.25">
      <c r="A286" s="24"/>
      <c r="B286" s="25"/>
      <c r="C286" s="24"/>
      <c r="D286" s="24"/>
      <c r="E286" s="24"/>
      <c r="F286" s="114"/>
      <c r="G286" s="114"/>
      <c r="H286" s="114"/>
      <c r="I286" s="114"/>
      <c r="J286" s="114"/>
      <c r="K286" s="212"/>
      <c r="L286" s="114"/>
      <c r="M286" s="114"/>
      <c r="N286" s="114"/>
      <c r="O286" s="114"/>
      <c r="P286" s="114"/>
      <c r="Q286" s="114"/>
      <c r="R286" s="114"/>
      <c r="S286" s="114"/>
      <c r="T286" s="114"/>
      <c r="U286" s="114"/>
      <c r="V286" s="114"/>
      <c r="W286" s="114"/>
      <c r="X286" s="114"/>
      <c r="Y286" s="114"/>
      <c r="Z286" s="114"/>
    </row>
    <row r="287" spans="1:26" ht="15.75" customHeight="1" x14ac:dyDescent="0.25">
      <c r="A287" s="24"/>
      <c r="B287" s="25"/>
      <c r="C287" s="24"/>
      <c r="D287" s="24"/>
      <c r="E287" s="24"/>
      <c r="F287" s="114"/>
      <c r="G287" s="114"/>
      <c r="H287" s="114"/>
      <c r="I287" s="114"/>
      <c r="J287" s="114"/>
      <c r="K287" s="212"/>
      <c r="L287" s="114"/>
      <c r="M287" s="114"/>
      <c r="N287" s="114"/>
      <c r="O287" s="114"/>
      <c r="P287" s="114"/>
      <c r="Q287" s="114"/>
      <c r="R287" s="114"/>
      <c r="S287" s="114"/>
      <c r="T287" s="114"/>
      <c r="U287" s="114"/>
      <c r="V287" s="114"/>
      <c r="W287" s="114"/>
      <c r="X287" s="114"/>
      <c r="Y287" s="114"/>
      <c r="Z287" s="114"/>
    </row>
    <row r="288" spans="1:26" ht="15.75" customHeight="1" x14ac:dyDescent="0.25">
      <c r="A288" s="24"/>
      <c r="B288" s="25"/>
      <c r="C288" s="24"/>
      <c r="D288" s="24"/>
      <c r="E288" s="24"/>
      <c r="F288" s="114"/>
      <c r="G288" s="114"/>
      <c r="H288" s="114"/>
      <c r="I288" s="114"/>
      <c r="J288" s="114"/>
      <c r="K288" s="212"/>
      <c r="L288" s="114"/>
      <c r="M288" s="114"/>
      <c r="N288" s="114"/>
      <c r="O288" s="114"/>
      <c r="P288" s="114"/>
      <c r="Q288" s="114"/>
      <c r="R288" s="114"/>
      <c r="S288" s="114"/>
      <c r="T288" s="114"/>
      <c r="U288" s="114"/>
      <c r="V288" s="114"/>
      <c r="W288" s="114"/>
      <c r="X288" s="114"/>
      <c r="Y288" s="114"/>
      <c r="Z288" s="114"/>
    </row>
    <row r="289" spans="1:26" ht="15.75" customHeight="1" x14ac:dyDescent="0.25">
      <c r="A289" s="24"/>
      <c r="B289" s="25"/>
      <c r="C289" s="24"/>
      <c r="D289" s="24"/>
      <c r="E289" s="24"/>
      <c r="F289" s="114"/>
      <c r="G289" s="114"/>
      <c r="H289" s="114"/>
      <c r="I289" s="114"/>
      <c r="J289" s="114"/>
      <c r="K289" s="212"/>
      <c r="L289" s="114"/>
      <c r="M289" s="114"/>
      <c r="N289" s="114"/>
      <c r="O289" s="114"/>
      <c r="P289" s="114"/>
      <c r="Q289" s="114"/>
      <c r="R289" s="114"/>
      <c r="S289" s="114"/>
      <c r="T289" s="114"/>
      <c r="U289" s="114"/>
      <c r="V289" s="114"/>
      <c r="W289" s="114"/>
      <c r="X289" s="114"/>
      <c r="Y289" s="114"/>
      <c r="Z289" s="114"/>
    </row>
    <row r="290" spans="1:26" ht="15.75" customHeight="1" x14ac:dyDescent="0.25">
      <c r="A290" s="24"/>
      <c r="B290" s="25"/>
      <c r="C290" s="24"/>
      <c r="D290" s="24"/>
      <c r="E290" s="24"/>
      <c r="F290" s="114"/>
      <c r="G290" s="114"/>
      <c r="H290" s="114"/>
      <c r="I290" s="114"/>
      <c r="J290" s="114"/>
      <c r="K290" s="212"/>
      <c r="L290" s="114"/>
      <c r="M290" s="114"/>
      <c r="N290" s="114"/>
      <c r="O290" s="114"/>
      <c r="P290" s="114"/>
      <c r="Q290" s="114"/>
      <c r="R290" s="114"/>
      <c r="S290" s="114"/>
      <c r="T290" s="114"/>
      <c r="U290" s="114"/>
      <c r="V290" s="114"/>
      <c r="W290" s="114"/>
      <c r="X290" s="114"/>
      <c r="Y290" s="114"/>
      <c r="Z290" s="114"/>
    </row>
    <row r="291" spans="1:26" ht="15.75" customHeight="1" x14ac:dyDescent="0.25">
      <c r="A291" s="24"/>
      <c r="B291" s="25"/>
      <c r="C291" s="24"/>
      <c r="D291" s="24"/>
      <c r="E291" s="24"/>
      <c r="F291" s="114"/>
      <c r="G291" s="114"/>
      <c r="H291" s="114"/>
      <c r="I291" s="114"/>
      <c r="J291" s="114"/>
      <c r="K291" s="212"/>
      <c r="L291" s="114"/>
      <c r="M291" s="114"/>
      <c r="N291" s="114"/>
      <c r="O291" s="114"/>
      <c r="P291" s="114"/>
      <c r="Q291" s="114"/>
      <c r="R291" s="114"/>
      <c r="S291" s="114"/>
      <c r="T291" s="114"/>
      <c r="U291" s="114"/>
      <c r="V291" s="114"/>
      <c r="W291" s="114"/>
      <c r="X291" s="114"/>
      <c r="Y291" s="114"/>
      <c r="Z291" s="114"/>
    </row>
    <row r="292" spans="1:26" ht="15.75" customHeight="1" x14ac:dyDescent="0.25">
      <c r="A292" s="24"/>
      <c r="B292" s="25"/>
      <c r="C292" s="24"/>
      <c r="D292" s="24"/>
      <c r="E292" s="24"/>
      <c r="F292" s="114"/>
      <c r="G292" s="114"/>
      <c r="H292" s="114"/>
      <c r="I292" s="114"/>
      <c r="J292" s="114"/>
      <c r="K292" s="212"/>
      <c r="L292" s="114"/>
      <c r="M292" s="114"/>
      <c r="N292" s="114"/>
      <c r="O292" s="114"/>
      <c r="P292" s="114"/>
      <c r="Q292" s="114"/>
      <c r="R292" s="114"/>
      <c r="S292" s="114"/>
      <c r="T292" s="114"/>
      <c r="U292" s="114"/>
      <c r="V292" s="114"/>
      <c r="W292" s="114"/>
      <c r="X292" s="114"/>
      <c r="Y292" s="114"/>
      <c r="Z292" s="114"/>
    </row>
    <row r="293" spans="1:26" ht="15.75" customHeight="1" x14ac:dyDescent="0.25">
      <c r="A293" s="24"/>
      <c r="B293" s="25"/>
      <c r="C293" s="24"/>
      <c r="D293" s="24"/>
      <c r="E293" s="24"/>
      <c r="F293" s="114"/>
      <c r="G293" s="114"/>
      <c r="H293" s="114"/>
      <c r="I293" s="114"/>
      <c r="J293" s="114"/>
      <c r="K293" s="212"/>
      <c r="L293" s="114"/>
      <c r="M293" s="114"/>
      <c r="N293" s="114"/>
      <c r="O293" s="114"/>
      <c r="P293" s="114"/>
      <c r="Q293" s="114"/>
      <c r="R293" s="114"/>
      <c r="S293" s="114"/>
      <c r="T293" s="114"/>
      <c r="U293" s="114"/>
      <c r="V293" s="114"/>
      <c r="W293" s="114"/>
      <c r="X293" s="114"/>
      <c r="Y293" s="114"/>
      <c r="Z293" s="114"/>
    </row>
    <row r="294" spans="1:26" ht="15.75" customHeight="1" x14ac:dyDescent="0.25">
      <c r="A294" s="24"/>
      <c r="B294" s="25"/>
      <c r="C294" s="24"/>
      <c r="D294" s="24"/>
      <c r="E294" s="24"/>
      <c r="F294" s="114"/>
      <c r="G294" s="114"/>
      <c r="H294" s="114"/>
      <c r="I294" s="114"/>
      <c r="J294" s="114"/>
      <c r="K294" s="212"/>
      <c r="L294" s="114"/>
      <c r="M294" s="114"/>
      <c r="N294" s="114"/>
      <c r="O294" s="114"/>
      <c r="P294" s="114"/>
      <c r="Q294" s="114"/>
      <c r="R294" s="114"/>
      <c r="S294" s="114"/>
      <c r="T294" s="114"/>
      <c r="U294" s="114"/>
      <c r="V294" s="114"/>
      <c r="W294" s="114"/>
      <c r="X294" s="114"/>
      <c r="Y294" s="114"/>
      <c r="Z294" s="114"/>
    </row>
    <row r="295" spans="1:26" ht="15.75" customHeight="1" x14ac:dyDescent="0.25">
      <c r="A295" s="24"/>
      <c r="B295" s="25"/>
      <c r="C295" s="24"/>
      <c r="D295" s="24"/>
      <c r="E295" s="24"/>
      <c r="F295" s="114"/>
      <c r="G295" s="114"/>
      <c r="H295" s="114"/>
      <c r="I295" s="114"/>
      <c r="J295" s="114"/>
      <c r="K295" s="212"/>
      <c r="L295" s="114"/>
      <c r="M295" s="114"/>
      <c r="N295" s="114"/>
      <c r="O295" s="114"/>
      <c r="P295" s="114"/>
      <c r="Q295" s="114"/>
      <c r="R295" s="114"/>
      <c r="S295" s="114"/>
      <c r="T295" s="114"/>
      <c r="U295" s="114"/>
      <c r="V295" s="114"/>
      <c r="W295" s="114"/>
      <c r="X295" s="114"/>
      <c r="Y295" s="114"/>
      <c r="Z295" s="114"/>
    </row>
    <row r="296" spans="1:26" ht="15.75" customHeight="1" x14ac:dyDescent="0.25">
      <c r="A296" s="24"/>
      <c r="B296" s="25"/>
      <c r="C296" s="24"/>
      <c r="D296" s="24"/>
      <c r="E296" s="24"/>
      <c r="F296" s="114"/>
      <c r="G296" s="114"/>
      <c r="H296" s="114"/>
      <c r="I296" s="114"/>
      <c r="J296" s="114"/>
      <c r="K296" s="212"/>
      <c r="L296" s="114"/>
      <c r="M296" s="114"/>
      <c r="N296" s="114"/>
      <c r="O296" s="114"/>
      <c r="P296" s="114"/>
      <c r="Q296" s="114"/>
      <c r="R296" s="114"/>
      <c r="S296" s="114"/>
      <c r="T296" s="114"/>
      <c r="U296" s="114"/>
      <c r="V296" s="114"/>
      <c r="W296" s="114"/>
      <c r="X296" s="114"/>
      <c r="Y296" s="114"/>
      <c r="Z296" s="114"/>
    </row>
    <row r="297" spans="1:26" ht="15.75" customHeight="1" x14ac:dyDescent="0.25">
      <c r="A297" s="24"/>
      <c r="B297" s="25"/>
      <c r="C297" s="24"/>
      <c r="D297" s="24"/>
      <c r="E297" s="24"/>
      <c r="F297" s="114"/>
      <c r="G297" s="114"/>
      <c r="H297" s="114"/>
      <c r="I297" s="114"/>
      <c r="J297" s="114"/>
      <c r="K297" s="212"/>
      <c r="L297" s="114"/>
      <c r="M297" s="114"/>
      <c r="N297" s="114"/>
      <c r="O297" s="114"/>
      <c r="P297" s="114"/>
      <c r="Q297" s="114"/>
      <c r="R297" s="114"/>
      <c r="S297" s="114"/>
      <c r="T297" s="114"/>
      <c r="U297" s="114"/>
      <c r="V297" s="114"/>
      <c r="W297" s="114"/>
      <c r="X297" s="114"/>
      <c r="Y297" s="114"/>
      <c r="Z297" s="114"/>
    </row>
    <row r="298" spans="1:26" ht="15.75" customHeight="1" x14ac:dyDescent="0.25">
      <c r="A298" s="24"/>
      <c r="B298" s="25"/>
      <c r="C298" s="24"/>
      <c r="D298" s="24"/>
      <c r="E298" s="24"/>
      <c r="F298" s="114"/>
      <c r="G298" s="114"/>
      <c r="H298" s="114"/>
      <c r="I298" s="114"/>
      <c r="J298" s="114"/>
      <c r="K298" s="212"/>
      <c r="L298" s="114"/>
      <c r="M298" s="114"/>
      <c r="N298" s="114"/>
      <c r="O298" s="114"/>
      <c r="P298" s="114"/>
      <c r="Q298" s="114"/>
      <c r="R298" s="114"/>
      <c r="S298" s="114"/>
      <c r="T298" s="114"/>
      <c r="U298" s="114"/>
      <c r="V298" s="114"/>
      <c r="W298" s="114"/>
      <c r="X298" s="114"/>
      <c r="Y298" s="114"/>
      <c r="Z298" s="114"/>
    </row>
    <row r="299" spans="1:26" ht="15.75" customHeight="1" x14ac:dyDescent="0.25">
      <c r="A299" s="24"/>
      <c r="B299" s="25"/>
      <c r="C299" s="24"/>
      <c r="D299" s="24"/>
      <c r="E299" s="24"/>
      <c r="F299" s="114"/>
      <c r="G299" s="114"/>
      <c r="H299" s="114"/>
      <c r="I299" s="114"/>
      <c r="J299" s="114"/>
      <c r="K299" s="212"/>
      <c r="L299" s="114"/>
      <c r="M299" s="114"/>
      <c r="N299" s="114"/>
      <c r="O299" s="114"/>
      <c r="P299" s="114"/>
      <c r="Q299" s="114"/>
      <c r="R299" s="114"/>
      <c r="S299" s="114"/>
      <c r="T299" s="114"/>
      <c r="U299" s="114"/>
      <c r="V299" s="114"/>
      <c r="W299" s="114"/>
      <c r="X299" s="114"/>
      <c r="Y299" s="114"/>
      <c r="Z299" s="114"/>
    </row>
    <row r="300" spans="1:26" ht="15.75" customHeight="1" x14ac:dyDescent="0.25">
      <c r="A300" s="24"/>
      <c r="B300" s="25"/>
      <c r="C300" s="24"/>
      <c r="D300" s="24"/>
      <c r="E300" s="24"/>
      <c r="F300" s="114"/>
      <c r="G300" s="114"/>
      <c r="H300" s="114"/>
      <c r="I300" s="114"/>
      <c r="J300" s="114"/>
      <c r="K300" s="212"/>
      <c r="L300" s="114"/>
      <c r="M300" s="114"/>
      <c r="N300" s="114"/>
      <c r="O300" s="114"/>
      <c r="P300" s="114"/>
      <c r="Q300" s="114"/>
      <c r="R300" s="114"/>
      <c r="S300" s="114"/>
      <c r="T300" s="114"/>
      <c r="U300" s="114"/>
      <c r="V300" s="114"/>
      <c r="W300" s="114"/>
      <c r="X300" s="114"/>
      <c r="Y300" s="114"/>
      <c r="Z300" s="114"/>
    </row>
    <row r="301" spans="1:26" ht="15.75" customHeight="1" x14ac:dyDescent="0.25">
      <c r="A301" s="24"/>
      <c r="B301" s="25"/>
      <c r="C301" s="24"/>
      <c r="D301" s="24"/>
      <c r="E301" s="24"/>
      <c r="F301" s="114"/>
      <c r="G301" s="114"/>
      <c r="H301" s="114"/>
      <c r="I301" s="114"/>
      <c r="J301" s="114"/>
      <c r="K301" s="212"/>
      <c r="L301" s="114"/>
      <c r="M301" s="114"/>
      <c r="N301" s="114"/>
      <c r="O301" s="114"/>
      <c r="P301" s="114"/>
      <c r="Q301" s="114"/>
      <c r="R301" s="114"/>
      <c r="S301" s="114"/>
      <c r="T301" s="114"/>
      <c r="U301" s="114"/>
      <c r="V301" s="114"/>
      <c r="W301" s="114"/>
      <c r="X301" s="114"/>
      <c r="Y301" s="114"/>
      <c r="Z301" s="114"/>
    </row>
    <row r="302" spans="1:26" ht="15.75" customHeight="1" x14ac:dyDescent="0.25">
      <c r="A302" s="24"/>
      <c r="B302" s="25"/>
      <c r="C302" s="24"/>
      <c r="D302" s="24"/>
      <c r="E302" s="24"/>
      <c r="F302" s="114"/>
      <c r="G302" s="114"/>
      <c r="H302" s="114"/>
      <c r="I302" s="114"/>
      <c r="J302" s="114"/>
      <c r="K302" s="212"/>
      <c r="L302" s="114"/>
      <c r="M302" s="114"/>
      <c r="N302" s="114"/>
      <c r="O302" s="114"/>
      <c r="P302" s="114"/>
      <c r="Q302" s="114"/>
      <c r="R302" s="114"/>
      <c r="S302" s="114"/>
      <c r="T302" s="114"/>
      <c r="U302" s="114"/>
      <c r="V302" s="114"/>
      <c r="W302" s="114"/>
      <c r="X302" s="114"/>
      <c r="Y302" s="114"/>
      <c r="Z302" s="114"/>
    </row>
    <row r="303" spans="1:26" ht="15.75" customHeight="1" x14ac:dyDescent="0.25">
      <c r="A303" s="24"/>
      <c r="B303" s="25"/>
      <c r="C303" s="24"/>
      <c r="D303" s="24"/>
      <c r="E303" s="24"/>
      <c r="F303" s="114"/>
      <c r="G303" s="114"/>
      <c r="H303" s="114"/>
      <c r="I303" s="114"/>
      <c r="J303" s="114"/>
      <c r="K303" s="212"/>
      <c r="L303" s="114"/>
      <c r="M303" s="114"/>
      <c r="N303" s="114"/>
      <c r="O303" s="114"/>
      <c r="P303" s="114"/>
      <c r="Q303" s="114"/>
      <c r="R303" s="114"/>
      <c r="S303" s="114"/>
      <c r="T303" s="114"/>
      <c r="U303" s="114"/>
      <c r="V303" s="114"/>
      <c r="W303" s="114"/>
      <c r="X303" s="114"/>
      <c r="Y303" s="114"/>
      <c r="Z303" s="114"/>
    </row>
    <row r="304" spans="1:26" ht="15.75" customHeight="1" x14ac:dyDescent="0.25">
      <c r="A304" s="24"/>
      <c r="B304" s="25"/>
      <c r="C304" s="24"/>
      <c r="D304" s="24"/>
      <c r="E304" s="24"/>
      <c r="F304" s="114"/>
      <c r="G304" s="114"/>
      <c r="H304" s="114"/>
      <c r="I304" s="114"/>
      <c r="J304" s="114"/>
      <c r="K304" s="212"/>
      <c r="L304" s="114"/>
      <c r="M304" s="114"/>
      <c r="N304" s="114"/>
      <c r="O304" s="114"/>
      <c r="P304" s="114"/>
      <c r="Q304" s="114"/>
      <c r="R304" s="114"/>
      <c r="S304" s="114"/>
      <c r="T304" s="114"/>
      <c r="U304" s="114"/>
      <c r="V304" s="114"/>
      <c r="W304" s="114"/>
      <c r="X304" s="114"/>
      <c r="Y304" s="114"/>
      <c r="Z304" s="114"/>
    </row>
    <row r="305" spans="1:26" ht="15.75" customHeight="1" x14ac:dyDescent="0.25">
      <c r="A305" s="24"/>
      <c r="B305" s="25"/>
      <c r="C305" s="24"/>
      <c r="D305" s="24"/>
      <c r="E305" s="24"/>
      <c r="F305" s="114"/>
      <c r="G305" s="114"/>
      <c r="H305" s="114"/>
      <c r="I305" s="114"/>
      <c r="J305" s="114"/>
      <c r="K305" s="212"/>
      <c r="L305" s="114"/>
      <c r="M305" s="114"/>
      <c r="N305" s="114"/>
      <c r="O305" s="114"/>
      <c r="P305" s="114"/>
      <c r="Q305" s="114"/>
      <c r="R305" s="114"/>
      <c r="S305" s="114"/>
      <c r="T305" s="114"/>
      <c r="U305" s="114"/>
      <c r="V305" s="114"/>
      <c r="W305" s="114"/>
      <c r="X305" s="114"/>
      <c r="Y305" s="114"/>
      <c r="Z305" s="114"/>
    </row>
    <row r="306" spans="1:26" ht="15.75" customHeight="1" x14ac:dyDescent="0.25">
      <c r="A306" s="24"/>
      <c r="B306" s="25"/>
      <c r="C306" s="24"/>
      <c r="D306" s="24"/>
      <c r="E306" s="24"/>
      <c r="F306" s="114"/>
      <c r="G306" s="114"/>
      <c r="H306" s="114"/>
      <c r="I306" s="114"/>
      <c r="J306" s="114"/>
      <c r="K306" s="212"/>
      <c r="L306" s="114"/>
      <c r="M306" s="114"/>
      <c r="N306" s="114"/>
      <c r="O306" s="114"/>
      <c r="P306" s="114"/>
      <c r="Q306" s="114"/>
      <c r="R306" s="114"/>
      <c r="S306" s="114"/>
      <c r="T306" s="114"/>
      <c r="U306" s="114"/>
      <c r="V306" s="114"/>
      <c r="W306" s="114"/>
      <c r="X306" s="114"/>
      <c r="Y306" s="114"/>
      <c r="Z306" s="114"/>
    </row>
    <row r="307" spans="1:26" ht="15.75" customHeight="1" x14ac:dyDescent="0.25">
      <c r="A307" s="24"/>
      <c r="B307" s="25"/>
      <c r="C307" s="24"/>
      <c r="D307" s="24"/>
      <c r="E307" s="24"/>
      <c r="F307" s="114"/>
      <c r="G307" s="114"/>
      <c r="H307" s="114"/>
      <c r="I307" s="114"/>
      <c r="J307" s="114"/>
      <c r="K307" s="212"/>
      <c r="L307" s="114"/>
      <c r="M307" s="114"/>
      <c r="N307" s="114"/>
      <c r="O307" s="114"/>
      <c r="P307" s="114"/>
      <c r="Q307" s="114"/>
      <c r="R307" s="114"/>
      <c r="S307" s="114"/>
      <c r="T307" s="114"/>
      <c r="U307" s="114"/>
      <c r="V307" s="114"/>
      <c r="W307" s="114"/>
      <c r="X307" s="114"/>
      <c r="Y307" s="114"/>
      <c r="Z307" s="114"/>
    </row>
    <row r="308" spans="1:26" ht="15.75" customHeight="1" x14ac:dyDescent="0.25">
      <c r="A308" s="24"/>
      <c r="B308" s="25"/>
      <c r="C308" s="24"/>
      <c r="D308" s="24"/>
      <c r="E308" s="24"/>
      <c r="F308" s="114"/>
      <c r="G308" s="114"/>
      <c r="H308" s="114"/>
      <c r="I308" s="114"/>
      <c r="J308" s="114"/>
      <c r="K308" s="212"/>
      <c r="L308" s="114"/>
      <c r="M308" s="114"/>
      <c r="N308" s="114"/>
      <c r="O308" s="114"/>
      <c r="P308" s="114"/>
      <c r="Q308" s="114"/>
      <c r="R308" s="114"/>
      <c r="S308" s="114"/>
      <c r="T308" s="114"/>
      <c r="U308" s="114"/>
      <c r="V308" s="114"/>
      <c r="W308" s="114"/>
      <c r="X308" s="114"/>
      <c r="Y308" s="114"/>
      <c r="Z308" s="114"/>
    </row>
    <row r="309" spans="1:26" ht="15.75" customHeight="1" x14ac:dyDescent="0.25">
      <c r="A309" s="24"/>
      <c r="B309" s="25"/>
      <c r="C309" s="24"/>
      <c r="D309" s="24"/>
      <c r="E309" s="24"/>
      <c r="F309" s="114"/>
      <c r="G309" s="114"/>
      <c r="H309" s="114"/>
      <c r="I309" s="114"/>
      <c r="J309" s="114"/>
      <c r="K309" s="212"/>
      <c r="L309" s="114"/>
      <c r="M309" s="114"/>
      <c r="N309" s="114"/>
      <c r="O309" s="114"/>
      <c r="P309" s="114"/>
      <c r="Q309" s="114"/>
      <c r="R309" s="114"/>
      <c r="S309" s="114"/>
      <c r="T309" s="114"/>
      <c r="U309" s="114"/>
      <c r="V309" s="114"/>
      <c r="W309" s="114"/>
      <c r="X309" s="114"/>
      <c r="Y309" s="114"/>
      <c r="Z309" s="114"/>
    </row>
    <row r="310" spans="1:26" ht="15.75" customHeight="1" x14ac:dyDescent="0.25">
      <c r="A310" s="24"/>
      <c r="B310" s="25"/>
      <c r="C310" s="24"/>
      <c r="D310" s="24"/>
      <c r="E310" s="24"/>
      <c r="F310" s="114"/>
      <c r="G310" s="114"/>
      <c r="H310" s="114"/>
      <c r="I310" s="114"/>
      <c r="J310" s="114"/>
      <c r="K310" s="212"/>
      <c r="L310" s="114"/>
      <c r="M310" s="114"/>
      <c r="N310" s="114"/>
      <c r="O310" s="114"/>
      <c r="P310" s="114"/>
      <c r="Q310" s="114"/>
      <c r="R310" s="114"/>
      <c r="S310" s="114"/>
      <c r="T310" s="114"/>
      <c r="U310" s="114"/>
      <c r="V310" s="114"/>
      <c r="W310" s="114"/>
      <c r="X310" s="114"/>
      <c r="Y310" s="114"/>
      <c r="Z310" s="114"/>
    </row>
    <row r="311" spans="1:26" ht="15.75" customHeight="1" x14ac:dyDescent="0.25">
      <c r="A311" s="24"/>
      <c r="B311" s="25"/>
      <c r="C311" s="24"/>
      <c r="D311" s="24"/>
      <c r="E311" s="24"/>
      <c r="F311" s="114"/>
      <c r="G311" s="114"/>
      <c r="H311" s="114"/>
      <c r="I311" s="114"/>
      <c r="J311" s="114"/>
      <c r="K311" s="212"/>
      <c r="L311" s="114"/>
      <c r="M311" s="114"/>
      <c r="N311" s="114"/>
      <c r="O311" s="114"/>
      <c r="P311" s="114"/>
      <c r="Q311" s="114"/>
      <c r="R311" s="114"/>
      <c r="S311" s="114"/>
      <c r="T311" s="114"/>
      <c r="U311" s="114"/>
      <c r="V311" s="114"/>
      <c r="W311" s="114"/>
      <c r="X311" s="114"/>
      <c r="Y311" s="114"/>
      <c r="Z311" s="114"/>
    </row>
    <row r="312" spans="1:26" ht="15.75" customHeight="1" x14ac:dyDescent="0.25">
      <c r="A312" s="24"/>
      <c r="B312" s="25"/>
      <c r="C312" s="24"/>
      <c r="D312" s="24"/>
      <c r="E312" s="24"/>
      <c r="F312" s="114"/>
      <c r="G312" s="114"/>
      <c r="H312" s="114"/>
      <c r="I312" s="114"/>
      <c r="J312" s="114"/>
      <c r="K312" s="212"/>
      <c r="L312" s="114"/>
      <c r="M312" s="114"/>
      <c r="N312" s="114"/>
      <c r="O312" s="114"/>
      <c r="P312" s="114"/>
      <c r="Q312" s="114"/>
      <c r="R312" s="114"/>
      <c r="S312" s="114"/>
      <c r="T312" s="114"/>
      <c r="U312" s="114"/>
      <c r="V312" s="114"/>
      <c r="W312" s="114"/>
      <c r="X312" s="114"/>
      <c r="Y312" s="114"/>
      <c r="Z312" s="114"/>
    </row>
    <row r="313" spans="1:26" ht="15.75" customHeight="1" x14ac:dyDescent="0.25">
      <c r="A313" s="24"/>
      <c r="B313" s="25"/>
      <c r="C313" s="24"/>
      <c r="D313" s="24"/>
      <c r="E313" s="24"/>
      <c r="F313" s="114"/>
      <c r="G313" s="114"/>
      <c r="H313" s="114"/>
      <c r="I313" s="114"/>
      <c r="J313" s="114"/>
      <c r="K313" s="212"/>
      <c r="L313" s="114"/>
      <c r="M313" s="114"/>
      <c r="N313" s="114"/>
      <c r="O313" s="114"/>
      <c r="P313" s="114"/>
      <c r="Q313" s="114"/>
      <c r="R313" s="114"/>
      <c r="S313" s="114"/>
      <c r="T313" s="114"/>
      <c r="U313" s="114"/>
      <c r="V313" s="114"/>
      <c r="W313" s="114"/>
      <c r="X313" s="114"/>
      <c r="Y313" s="114"/>
      <c r="Z313" s="114"/>
    </row>
    <row r="314" spans="1:26" ht="15.75" customHeight="1" x14ac:dyDescent="0.25">
      <c r="A314" s="24"/>
      <c r="B314" s="25"/>
      <c r="C314" s="24"/>
      <c r="D314" s="24"/>
      <c r="E314" s="24"/>
      <c r="F314" s="114"/>
      <c r="G314" s="114"/>
      <c r="H314" s="114"/>
      <c r="I314" s="114"/>
      <c r="J314" s="114"/>
      <c r="K314" s="212"/>
      <c r="L314" s="114"/>
      <c r="M314" s="114"/>
      <c r="N314" s="114"/>
      <c r="O314" s="114"/>
      <c r="P314" s="114"/>
      <c r="Q314" s="114"/>
      <c r="R314" s="114"/>
      <c r="S314" s="114"/>
      <c r="T314" s="114"/>
      <c r="U314" s="114"/>
      <c r="V314" s="114"/>
      <c r="W314" s="114"/>
      <c r="X314" s="114"/>
      <c r="Y314" s="114"/>
      <c r="Z314" s="114"/>
    </row>
    <row r="315" spans="1:26" ht="15.75" customHeight="1" x14ac:dyDescent="0.25">
      <c r="A315" s="24"/>
      <c r="B315" s="25"/>
      <c r="C315" s="24"/>
      <c r="D315" s="24"/>
      <c r="E315" s="24"/>
      <c r="F315" s="114"/>
      <c r="G315" s="114"/>
      <c r="H315" s="114"/>
      <c r="I315" s="114"/>
      <c r="J315" s="114"/>
      <c r="K315" s="212"/>
      <c r="L315" s="114"/>
      <c r="M315" s="114"/>
      <c r="N315" s="114"/>
      <c r="O315" s="114"/>
      <c r="P315" s="114"/>
      <c r="Q315" s="114"/>
      <c r="R315" s="114"/>
      <c r="S315" s="114"/>
      <c r="T315" s="114"/>
      <c r="U315" s="114"/>
      <c r="V315" s="114"/>
      <c r="W315" s="114"/>
      <c r="X315" s="114"/>
      <c r="Y315" s="114"/>
      <c r="Z315" s="114"/>
    </row>
    <row r="316" spans="1:26" ht="15.75" customHeight="1" x14ac:dyDescent="0.25">
      <c r="A316" s="24"/>
      <c r="B316" s="25"/>
      <c r="C316" s="24"/>
      <c r="D316" s="24"/>
      <c r="E316" s="24"/>
      <c r="F316" s="114"/>
      <c r="G316" s="114"/>
      <c r="H316" s="114"/>
      <c r="I316" s="114"/>
      <c r="J316" s="114"/>
      <c r="K316" s="212"/>
      <c r="L316" s="114"/>
      <c r="M316" s="114"/>
      <c r="N316" s="114"/>
      <c r="O316" s="114"/>
      <c r="P316" s="114"/>
      <c r="Q316" s="114"/>
      <c r="R316" s="114"/>
      <c r="S316" s="114"/>
      <c r="T316" s="114"/>
      <c r="U316" s="114"/>
      <c r="V316" s="114"/>
      <c r="W316" s="114"/>
      <c r="X316" s="114"/>
      <c r="Y316" s="114"/>
      <c r="Z316" s="114"/>
    </row>
    <row r="317" spans="1:26" ht="15.75" customHeight="1" x14ac:dyDescent="0.25">
      <c r="A317" s="24"/>
      <c r="B317" s="25"/>
      <c r="C317" s="24"/>
      <c r="D317" s="24"/>
      <c r="E317" s="24"/>
      <c r="F317" s="114"/>
      <c r="G317" s="114"/>
      <c r="H317" s="114"/>
      <c r="I317" s="114"/>
      <c r="J317" s="114"/>
      <c r="K317" s="212"/>
      <c r="L317" s="114"/>
      <c r="M317" s="114"/>
      <c r="N317" s="114"/>
      <c r="O317" s="114"/>
      <c r="P317" s="114"/>
      <c r="Q317" s="114"/>
      <c r="R317" s="114"/>
      <c r="S317" s="114"/>
      <c r="T317" s="114"/>
      <c r="U317" s="114"/>
      <c r="V317" s="114"/>
      <c r="W317" s="114"/>
      <c r="X317" s="114"/>
      <c r="Y317" s="114"/>
      <c r="Z317" s="114"/>
    </row>
    <row r="318" spans="1:26" ht="15.75" customHeight="1" x14ac:dyDescent="0.25">
      <c r="A318" s="24"/>
      <c r="B318" s="25"/>
      <c r="C318" s="24"/>
      <c r="D318" s="24"/>
      <c r="E318" s="24"/>
      <c r="F318" s="114"/>
      <c r="G318" s="114"/>
      <c r="H318" s="114"/>
      <c r="I318" s="114"/>
      <c r="J318" s="114"/>
      <c r="K318" s="212"/>
      <c r="L318" s="114"/>
      <c r="M318" s="114"/>
      <c r="N318" s="114"/>
      <c r="O318" s="114"/>
      <c r="P318" s="114"/>
      <c r="Q318" s="114"/>
      <c r="R318" s="114"/>
      <c r="S318" s="114"/>
      <c r="T318" s="114"/>
      <c r="U318" s="114"/>
      <c r="V318" s="114"/>
      <c r="W318" s="114"/>
      <c r="X318" s="114"/>
      <c r="Y318" s="114"/>
      <c r="Z318" s="114"/>
    </row>
    <row r="319" spans="1:26" ht="15.75" customHeight="1" x14ac:dyDescent="0.25">
      <c r="K319" s="168"/>
    </row>
    <row r="320" spans="1:26"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row r="990" spans="11:11" ht="15.75" customHeight="1" x14ac:dyDescent="0.25">
      <c r="K990" s="168"/>
    </row>
    <row r="991" spans="11:11" ht="15.75" customHeight="1" x14ac:dyDescent="0.25">
      <c r="K991" s="168"/>
    </row>
    <row r="992" spans="11:11" ht="15.75" customHeight="1" x14ac:dyDescent="0.25">
      <c r="K992" s="168"/>
    </row>
    <row r="993" spans="11:11" ht="15.75" customHeight="1" x14ac:dyDescent="0.25">
      <c r="K993" s="168"/>
    </row>
    <row r="994" spans="11:11" ht="15.75" customHeight="1" x14ac:dyDescent="0.25">
      <c r="K994" s="168"/>
    </row>
    <row r="995" spans="11:11" ht="15.75" customHeight="1" x14ac:dyDescent="0.25">
      <c r="K995" s="168"/>
    </row>
    <row r="996" spans="11:11" ht="15.75" customHeight="1" x14ac:dyDescent="0.25">
      <c r="K996" s="168"/>
    </row>
    <row r="997" spans="11:11" ht="15.75" customHeight="1" x14ac:dyDescent="0.25">
      <c r="K997" s="168"/>
    </row>
    <row r="998" spans="11:11" ht="15.75" customHeight="1" x14ac:dyDescent="0.25">
      <c r="K998" s="168"/>
    </row>
    <row r="999" spans="11:11" ht="15.75" customHeight="1" x14ac:dyDescent="0.25">
      <c r="K999" s="168"/>
    </row>
    <row r="1000" spans="11:11" ht="15.75" customHeight="1" x14ac:dyDescent="0.25">
      <c r="K1000" s="168"/>
    </row>
    <row r="1001" spans="11:11" ht="15.75" customHeight="1" x14ac:dyDescent="0.25">
      <c r="K1001" s="168"/>
    </row>
    <row r="1002" spans="11:11" ht="15.75" customHeight="1" x14ac:dyDescent="0.25">
      <c r="K1002" s="168"/>
    </row>
    <row r="1003" spans="11:11" ht="15.75" customHeight="1" x14ac:dyDescent="0.25">
      <c r="K1003" s="168"/>
    </row>
    <row r="1004" spans="11:11" ht="15.75" customHeight="1" x14ac:dyDescent="0.25">
      <c r="K1004" s="168"/>
    </row>
    <row r="1005" spans="11:11" ht="15.75" customHeight="1" x14ac:dyDescent="0.25">
      <c r="K1005" s="168"/>
    </row>
    <row r="1006" spans="11:11" ht="15.75" customHeight="1" x14ac:dyDescent="0.25">
      <c r="K1006" s="168"/>
    </row>
    <row r="1007" spans="11:11" ht="15.75" customHeight="1" x14ac:dyDescent="0.25">
      <c r="K1007" s="168"/>
    </row>
    <row r="1008" spans="11:11" ht="15.75" customHeight="1" x14ac:dyDescent="0.25">
      <c r="K1008" s="168"/>
    </row>
    <row r="1009" spans="11:11" ht="15.75" customHeight="1" x14ac:dyDescent="0.25">
      <c r="K1009" s="168"/>
    </row>
    <row r="1010" spans="11:11" ht="15.75" customHeight="1" x14ac:dyDescent="0.25">
      <c r="K1010" s="168"/>
    </row>
    <row r="1011" spans="11:11" ht="15.75" customHeight="1" x14ac:dyDescent="0.25">
      <c r="K1011" s="168"/>
    </row>
    <row r="1012" spans="11:11" ht="15.75" customHeight="1" x14ac:dyDescent="0.25">
      <c r="K1012" s="168"/>
    </row>
    <row r="1013" spans="11:11" ht="15.75" customHeight="1" x14ac:dyDescent="0.25">
      <c r="K1013" s="168"/>
    </row>
    <row r="1014" spans="11:11" ht="15.75" customHeight="1" x14ac:dyDescent="0.25">
      <c r="K1014" s="168"/>
    </row>
    <row r="1015" spans="11:11" ht="15.75" customHeight="1" x14ac:dyDescent="0.25">
      <c r="K1015" s="168"/>
    </row>
    <row r="1016" spans="11:11" ht="15.75" customHeight="1" x14ac:dyDescent="0.25">
      <c r="K1016" s="168"/>
    </row>
    <row r="1017" spans="11:11" ht="15.75" customHeight="1" x14ac:dyDescent="0.25">
      <c r="K1017" s="168"/>
    </row>
    <row r="1018" spans="11:11" ht="15.75" customHeight="1" x14ac:dyDescent="0.25">
      <c r="K1018" s="168"/>
    </row>
    <row r="1019" spans="11:11" ht="15.75" customHeight="1" x14ac:dyDescent="0.25">
      <c r="K1019" s="168"/>
    </row>
    <row r="1020" spans="11:11" ht="15.75" customHeight="1" x14ac:dyDescent="0.25">
      <c r="K1020" s="168"/>
    </row>
    <row r="1021" spans="11:11" ht="15.75" customHeight="1" x14ac:dyDescent="0.25">
      <c r="K1021" s="168"/>
    </row>
    <row r="1022" spans="11:11" ht="15.75" customHeight="1" x14ac:dyDescent="0.25">
      <c r="K1022" s="168"/>
    </row>
    <row r="1023" spans="11:11" ht="15.75" customHeight="1" x14ac:dyDescent="0.25">
      <c r="K1023" s="168"/>
    </row>
    <row r="1024" spans="11:11" ht="15.75" customHeight="1" x14ac:dyDescent="0.25">
      <c r="K1024" s="168"/>
    </row>
    <row r="1025" spans="11:11" ht="15.75" customHeight="1" x14ac:dyDescent="0.25">
      <c r="K1025" s="168"/>
    </row>
    <row r="1026" spans="11:11" ht="15.75" customHeight="1" x14ac:dyDescent="0.25">
      <c r="K1026" s="168"/>
    </row>
    <row r="1027" spans="11:11" ht="15.75" customHeight="1" x14ac:dyDescent="0.25">
      <c r="K1027" s="168"/>
    </row>
    <row r="1028" spans="11:11" ht="15.75" customHeight="1" x14ac:dyDescent="0.25">
      <c r="K1028" s="168"/>
    </row>
    <row r="1029" spans="11:11" ht="15.75" customHeight="1" x14ac:dyDescent="0.25">
      <c r="K1029" s="168"/>
    </row>
    <row r="1030" spans="11:11" ht="15.75" customHeight="1" x14ac:dyDescent="0.25">
      <c r="K1030" s="168"/>
    </row>
    <row r="1031" spans="11:11" ht="15.75" customHeight="1" x14ac:dyDescent="0.25">
      <c r="K1031" s="168"/>
    </row>
    <row r="1032" spans="11:11" ht="15.75" customHeight="1" x14ac:dyDescent="0.25">
      <c r="K1032" s="168"/>
    </row>
    <row r="1033" spans="11:11" ht="15.75" customHeight="1" x14ac:dyDescent="0.25">
      <c r="K1033" s="168"/>
    </row>
    <row r="1034" spans="11:11" ht="15.75" customHeight="1" x14ac:dyDescent="0.25">
      <c r="K1034" s="168"/>
    </row>
    <row r="1035" spans="11:11" ht="15.75" customHeight="1" x14ac:dyDescent="0.25">
      <c r="K1035" s="168"/>
    </row>
    <row r="1036" spans="11:11" ht="15.75" customHeight="1" x14ac:dyDescent="0.25">
      <c r="K1036" s="168"/>
    </row>
    <row r="1037" spans="11:11" ht="15.75" customHeight="1" x14ac:dyDescent="0.25">
      <c r="K1037" s="168"/>
    </row>
    <row r="1038" spans="11:11" ht="15.75" customHeight="1" x14ac:dyDescent="0.25">
      <c r="K1038" s="168"/>
    </row>
    <row r="1039" spans="11:11" ht="15.75" customHeight="1" x14ac:dyDescent="0.25">
      <c r="K1039" s="168"/>
    </row>
    <row r="1040" spans="11:11" ht="15.75" customHeight="1" x14ac:dyDescent="0.25">
      <c r="K1040" s="168"/>
    </row>
    <row r="1041" spans="11:11" ht="15.75" customHeight="1" x14ac:dyDescent="0.25">
      <c r="K1041" s="168"/>
    </row>
    <row r="1042" spans="11:11" ht="15.75" customHeight="1" x14ac:dyDescent="0.25">
      <c r="K1042" s="168"/>
    </row>
    <row r="1043" spans="11:11" ht="15.75" customHeight="1" x14ac:dyDescent="0.25">
      <c r="K1043" s="168"/>
    </row>
    <row r="1044" spans="11:11" ht="15.75" customHeight="1" x14ac:dyDescent="0.25">
      <c r="K1044" s="168"/>
    </row>
    <row r="1045" spans="11:11" ht="15.75" customHeight="1" x14ac:dyDescent="0.25">
      <c r="K1045" s="168"/>
    </row>
    <row r="1046" spans="11:11" ht="15.75" customHeight="1" x14ac:dyDescent="0.25">
      <c r="K1046" s="168"/>
    </row>
  </sheetData>
  <mergeCells count="23">
    <mergeCell ref="A155:G155"/>
    <mergeCell ref="A156:A159"/>
    <mergeCell ref="B156:B159"/>
    <mergeCell ref="C156:C157"/>
    <mergeCell ref="D156:F156"/>
    <mergeCell ref="G156:G157"/>
    <mergeCell ref="F157:F158"/>
    <mergeCell ref="A128:G128"/>
    <mergeCell ref="A129:A132"/>
    <mergeCell ref="B129:B132"/>
    <mergeCell ref="C129:C130"/>
    <mergeCell ref="D129:F129"/>
    <mergeCell ref="G129:G130"/>
    <mergeCell ref="F130:F131"/>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90" fitToHeight="0" orientation="portrait" r:id="rId1"/>
  <rowBreaks count="1" manualBreakCount="1">
    <brk id="121"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612"/>
  <sheetViews>
    <sheetView view="pageBreakPreview" topLeftCell="A32" zoomScale="115" zoomScaleNormal="100" zoomScaleSheetLayoutView="115" workbookViewId="0">
      <selection activeCell="A42" sqref="A42"/>
    </sheetView>
  </sheetViews>
  <sheetFormatPr defaultColWidth="14.42578125" defaultRowHeight="15" customHeight="1" x14ac:dyDescent="0.25"/>
  <cols>
    <col min="1" max="1" width="76.42578125" customWidth="1"/>
    <col min="2" max="2" width="15.42578125" customWidth="1"/>
    <col min="3" max="3" width="17.85546875" hidden="1" customWidth="1"/>
    <col min="4" max="4" width="17.5703125" hidden="1" customWidth="1"/>
    <col min="5" max="5" width="17.7109375" hidden="1" customWidth="1"/>
    <col min="6" max="6" width="17.5703125" hidden="1" customWidth="1"/>
    <col min="7" max="7" width="17.85546875" customWidth="1"/>
    <col min="8" max="8" width="15.7109375" customWidth="1"/>
    <col min="9" max="10" width="10.28515625" customWidth="1"/>
    <col min="11" max="11" width="11.5703125" customWidth="1"/>
    <col min="12" max="26" width="10.28515625" customWidth="1"/>
  </cols>
  <sheetData>
    <row r="1" spans="1:26" ht="15.75" customHeight="1" x14ac:dyDescent="0.25">
      <c r="A1" s="24"/>
      <c r="B1" s="25"/>
      <c r="C1" s="24"/>
      <c r="D1" s="24"/>
      <c r="E1" s="24"/>
      <c r="F1" s="15"/>
      <c r="G1" s="15"/>
      <c r="H1" s="15"/>
      <c r="I1" s="15"/>
      <c r="J1" s="15"/>
      <c r="K1" s="15"/>
      <c r="L1" s="15"/>
      <c r="M1" s="15"/>
      <c r="N1" s="15"/>
      <c r="O1" s="15"/>
      <c r="P1" s="15"/>
      <c r="Q1" s="15"/>
      <c r="R1" s="15"/>
      <c r="S1" s="15"/>
      <c r="T1" s="15"/>
      <c r="U1" s="15"/>
      <c r="V1" s="15"/>
      <c r="W1" s="15"/>
      <c r="X1" s="15"/>
      <c r="Y1" s="15"/>
      <c r="Z1" s="15"/>
    </row>
    <row r="2" spans="1:26" ht="15.75" customHeight="1" x14ac:dyDescent="0.25">
      <c r="A2" s="325"/>
      <c r="B2" s="326"/>
      <c r="C2" s="327"/>
      <c r="D2" s="327"/>
      <c r="E2" s="327"/>
      <c r="F2" s="328"/>
      <c r="G2" s="329"/>
      <c r="H2" s="215"/>
      <c r="I2" s="215"/>
      <c r="J2" s="215"/>
      <c r="K2" s="215"/>
      <c r="L2" s="215"/>
      <c r="M2" s="215"/>
      <c r="N2" s="215"/>
      <c r="O2" s="215"/>
      <c r="P2" s="215"/>
      <c r="Q2" s="215"/>
      <c r="R2" s="215"/>
      <c r="S2" s="215"/>
      <c r="T2" s="215"/>
      <c r="U2" s="215"/>
      <c r="V2" s="215"/>
      <c r="W2" s="215"/>
      <c r="X2" s="215"/>
      <c r="Y2" s="215"/>
      <c r="Z2" s="215"/>
    </row>
    <row r="3" spans="1:26" ht="15.75" customHeight="1" x14ac:dyDescent="0.25">
      <c r="A3" s="225" t="s">
        <v>1905</v>
      </c>
      <c r="B3" s="330"/>
      <c r="C3" s="75"/>
      <c r="D3" s="75"/>
      <c r="E3" s="75"/>
      <c r="F3" s="333"/>
      <c r="G3" s="332"/>
      <c r="H3" s="215"/>
      <c r="I3" s="215"/>
      <c r="J3" s="215"/>
      <c r="K3" s="215"/>
      <c r="L3" s="215"/>
      <c r="M3" s="215"/>
      <c r="N3" s="215"/>
      <c r="O3" s="215"/>
      <c r="P3" s="215"/>
      <c r="Q3" s="215"/>
      <c r="R3" s="215"/>
      <c r="S3" s="215"/>
      <c r="T3" s="215"/>
      <c r="U3" s="215"/>
      <c r="V3" s="215"/>
      <c r="W3" s="215"/>
      <c r="X3" s="215"/>
      <c r="Y3" s="215"/>
      <c r="Z3" s="215"/>
    </row>
    <row r="4" spans="1:26" ht="15.75" customHeight="1" x14ac:dyDescent="0.25">
      <c r="A4" s="225"/>
      <c r="B4" s="330"/>
      <c r="C4" s="75"/>
      <c r="D4" s="75"/>
      <c r="E4" s="75"/>
      <c r="F4" s="333"/>
      <c r="G4" s="332"/>
      <c r="H4" s="215"/>
      <c r="I4" s="215"/>
      <c r="J4" s="215"/>
      <c r="K4" s="215"/>
      <c r="L4" s="215"/>
      <c r="M4" s="215"/>
      <c r="N4" s="215"/>
      <c r="O4" s="215"/>
      <c r="P4" s="215"/>
      <c r="Q4" s="215"/>
      <c r="R4" s="215"/>
      <c r="S4" s="215"/>
      <c r="T4" s="215"/>
      <c r="U4" s="215"/>
      <c r="V4" s="215"/>
      <c r="W4" s="215"/>
      <c r="X4" s="215"/>
      <c r="Y4" s="215"/>
      <c r="Z4" s="215"/>
    </row>
    <row r="5" spans="1:26" ht="15.75" customHeight="1" x14ac:dyDescent="0.25">
      <c r="A5" s="887" t="s">
        <v>352</v>
      </c>
      <c r="B5" s="866"/>
      <c r="C5" s="866"/>
      <c r="D5" s="866"/>
      <c r="E5" s="866"/>
      <c r="F5" s="866"/>
      <c r="G5" s="867"/>
      <c r="H5" s="215"/>
      <c r="I5" s="215"/>
      <c r="J5" s="215"/>
      <c r="K5" s="215"/>
      <c r="L5" s="215"/>
      <c r="M5" s="215"/>
      <c r="N5" s="215"/>
      <c r="O5" s="215"/>
      <c r="P5" s="215"/>
      <c r="Q5" s="215"/>
      <c r="R5" s="215"/>
      <c r="S5" s="215"/>
      <c r="T5" s="215"/>
      <c r="U5" s="215"/>
      <c r="V5" s="215"/>
      <c r="W5" s="215"/>
      <c r="X5" s="215"/>
      <c r="Y5" s="215"/>
      <c r="Z5" s="215"/>
    </row>
    <row r="6" spans="1:26" ht="15.75" customHeight="1" x14ac:dyDescent="0.25">
      <c r="A6" s="888" t="s">
        <v>1194</v>
      </c>
      <c r="B6" s="889" t="s">
        <v>354</v>
      </c>
      <c r="C6" s="890" t="s">
        <v>355</v>
      </c>
      <c r="D6" s="891" t="s">
        <v>356</v>
      </c>
      <c r="E6" s="873"/>
      <c r="F6" s="874"/>
      <c r="G6" s="857" t="s">
        <v>357</v>
      </c>
      <c r="H6" s="215"/>
      <c r="I6" s="215"/>
      <c r="J6" s="215"/>
      <c r="K6" s="215"/>
      <c r="L6" s="215"/>
      <c r="M6" s="215"/>
      <c r="N6" s="215"/>
      <c r="O6" s="215"/>
      <c r="P6" s="215"/>
      <c r="Q6" s="215"/>
      <c r="R6" s="215"/>
      <c r="S6" s="215"/>
      <c r="T6" s="215"/>
      <c r="U6" s="215"/>
      <c r="V6" s="215"/>
      <c r="W6" s="215"/>
      <c r="X6" s="215"/>
      <c r="Y6" s="215"/>
      <c r="Z6" s="215"/>
    </row>
    <row r="7" spans="1:26" ht="15.75" customHeight="1" x14ac:dyDescent="0.25">
      <c r="A7" s="858"/>
      <c r="B7" s="858"/>
      <c r="C7" s="871"/>
      <c r="D7" s="334" t="s">
        <v>358</v>
      </c>
      <c r="E7" s="335" t="s">
        <v>359</v>
      </c>
      <c r="F7" s="892" t="s">
        <v>360</v>
      </c>
      <c r="G7" s="858"/>
      <c r="H7" s="215"/>
      <c r="I7" s="215"/>
      <c r="J7" s="215"/>
      <c r="K7" s="215"/>
      <c r="L7" s="215"/>
      <c r="M7" s="215"/>
      <c r="N7" s="215"/>
      <c r="O7" s="215"/>
      <c r="P7" s="215"/>
      <c r="Q7" s="215"/>
      <c r="R7" s="215"/>
      <c r="S7" s="215"/>
      <c r="T7" s="215"/>
      <c r="U7" s="215"/>
      <c r="V7" s="215"/>
      <c r="W7" s="215"/>
      <c r="X7" s="215"/>
      <c r="Y7" s="215"/>
      <c r="Z7" s="215"/>
    </row>
    <row r="8" spans="1:26" ht="15.75" customHeight="1" x14ac:dyDescent="0.25">
      <c r="A8" s="858"/>
      <c r="B8" s="858"/>
      <c r="C8" s="336" t="s">
        <v>361</v>
      </c>
      <c r="D8" s="337" t="s">
        <v>361</v>
      </c>
      <c r="E8" s="338" t="s">
        <v>362</v>
      </c>
      <c r="F8" s="860"/>
      <c r="G8" s="442" t="s">
        <v>2669</v>
      </c>
      <c r="H8" s="215"/>
      <c r="I8" s="215"/>
      <c r="J8" s="215"/>
      <c r="K8" s="215"/>
      <c r="L8" s="215"/>
      <c r="M8" s="215"/>
      <c r="N8" s="215"/>
      <c r="O8" s="215"/>
      <c r="P8" s="215"/>
      <c r="Q8" s="215"/>
      <c r="R8" s="215"/>
      <c r="S8" s="215"/>
      <c r="T8" s="215"/>
      <c r="U8" s="215"/>
      <c r="V8" s="215"/>
      <c r="W8" s="215"/>
      <c r="X8" s="215"/>
      <c r="Y8" s="215"/>
      <c r="Z8" s="215"/>
    </row>
    <row r="9" spans="1:26" ht="15.75" customHeight="1" x14ac:dyDescent="0.25">
      <c r="A9" s="869"/>
      <c r="B9" s="869"/>
      <c r="C9" s="339">
        <v>2024</v>
      </c>
      <c r="D9" s="340">
        <v>2025</v>
      </c>
      <c r="E9" s="341">
        <v>2025</v>
      </c>
      <c r="F9" s="340">
        <v>2025</v>
      </c>
      <c r="G9" s="36" t="s">
        <v>2668</v>
      </c>
      <c r="H9" s="215"/>
      <c r="I9" s="215"/>
      <c r="J9" s="215"/>
      <c r="K9" s="215"/>
      <c r="L9" s="215"/>
      <c r="M9" s="215"/>
      <c r="N9" s="215"/>
      <c r="O9" s="215"/>
      <c r="P9" s="215"/>
      <c r="Q9" s="215"/>
      <c r="R9" s="215"/>
      <c r="S9" s="215"/>
      <c r="T9" s="215"/>
      <c r="U9" s="215"/>
      <c r="V9" s="215"/>
      <c r="W9" s="215"/>
      <c r="X9" s="215"/>
      <c r="Y9" s="215"/>
      <c r="Z9" s="215"/>
    </row>
    <row r="10" spans="1:26" ht="15.75" customHeight="1" x14ac:dyDescent="0.25">
      <c r="A10" s="342" t="s">
        <v>364</v>
      </c>
      <c r="B10" s="343"/>
      <c r="C10" s="344"/>
      <c r="D10" s="344"/>
      <c r="E10" s="344"/>
      <c r="F10" s="344"/>
      <c r="G10" s="344"/>
      <c r="H10" s="215"/>
      <c r="I10" s="215"/>
      <c r="J10" s="215"/>
      <c r="K10" s="215"/>
      <c r="L10" s="215"/>
      <c r="M10" s="215"/>
      <c r="N10" s="215"/>
      <c r="O10" s="215"/>
      <c r="P10" s="215"/>
      <c r="Q10" s="215"/>
      <c r="R10" s="215"/>
      <c r="S10" s="215"/>
      <c r="T10" s="215"/>
      <c r="U10" s="215"/>
      <c r="V10" s="215"/>
      <c r="W10" s="215"/>
      <c r="X10" s="215"/>
      <c r="Y10" s="215"/>
      <c r="Z10" s="215"/>
    </row>
    <row r="11" spans="1:26" ht="15.75" customHeight="1" x14ac:dyDescent="0.25">
      <c r="A11" s="344" t="s">
        <v>1463</v>
      </c>
      <c r="B11" s="345"/>
      <c r="C11" s="344"/>
      <c r="D11" s="344"/>
      <c r="E11" s="344"/>
      <c r="F11" s="344"/>
      <c r="G11" s="344"/>
      <c r="H11" s="215"/>
      <c r="I11" s="215"/>
      <c r="J11" s="215"/>
      <c r="K11" s="215"/>
      <c r="L11" s="215"/>
      <c r="M11" s="215"/>
      <c r="N11" s="215"/>
      <c r="O11" s="215"/>
      <c r="P11" s="215"/>
      <c r="Q11" s="215"/>
      <c r="R11" s="215"/>
      <c r="S11" s="215"/>
      <c r="T11" s="215"/>
      <c r="U11" s="215"/>
      <c r="V11" s="215"/>
      <c r="W11" s="215"/>
      <c r="X11" s="215"/>
      <c r="Y11" s="215"/>
      <c r="Z11" s="215"/>
    </row>
    <row r="12" spans="1:26" ht="15.75" customHeight="1" x14ac:dyDescent="0.25">
      <c r="A12" s="344" t="s">
        <v>511</v>
      </c>
      <c r="B12" s="349"/>
      <c r="C12" s="349"/>
      <c r="D12" s="349"/>
      <c r="E12" s="349"/>
      <c r="F12" s="349"/>
      <c r="G12" s="349"/>
      <c r="H12" s="215"/>
      <c r="I12" s="215"/>
      <c r="J12" s="215"/>
      <c r="K12" s="215"/>
      <c r="L12" s="215"/>
      <c r="M12" s="215"/>
      <c r="N12" s="215"/>
      <c r="O12" s="215"/>
      <c r="P12" s="215"/>
      <c r="Q12" s="215"/>
      <c r="R12" s="215"/>
      <c r="S12" s="215"/>
      <c r="T12" s="215"/>
      <c r="U12" s="215"/>
      <c r="V12" s="215"/>
      <c r="W12" s="215"/>
      <c r="X12" s="215"/>
      <c r="Y12" s="215"/>
      <c r="Z12" s="215"/>
    </row>
    <row r="13" spans="1:26" ht="15.75" customHeight="1" x14ac:dyDescent="0.25">
      <c r="A13" s="347" t="s">
        <v>837</v>
      </c>
      <c r="B13" s="348" t="s">
        <v>333</v>
      </c>
      <c r="C13" s="346">
        <v>42554700</v>
      </c>
      <c r="D13" s="346">
        <v>23274300</v>
      </c>
      <c r="E13" s="346">
        <f t="shared" ref="E13" si="0">F13-D13</f>
        <v>23725700</v>
      </c>
      <c r="F13" s="346">
        <v>47000000</v>
      </c>
      <c r="G13" s="350">
        <v>50000000</v>
      </c>
      <c r="H13" s="215"/>
      <c r="I13" s="215"/>
      <c r="J13" s="215"/>
      <c r="K13" s="215"/>
      <c r="L13" s="215"/>
      <c r="M13" s="215"/>
      <c r="N13" s="215"/>
      <c r="O13" s="215"/>
      <c r="P13" s="215"/>
      <c r="Q13" s="215"/>
      <c r="R13" s="215"/>
      <c r="S13" s="215"/>
      <c r="T13" s="215"/>
      <c r="U13" s="215"/>
      <c r="V13" s="215"/>
      <c r="W13" s="215"/>
      <c r="X13" s="215"/>
      <c r="Y13" s="215"/>
      <c r="Z13" s="215"/>
    </row>
    <row r="14" spans="1:26" ht="15.75" customHeight="1" x14ac:dyDescent="0.25">
      <c r="A14" s="344" t="s">
        <v>466</v>
      </c>
      <c r="B14" s="348"/>
      <c r="C14" s="351">
        <f>SUM(C12:C13)</f>
        <v>42554700</v>
      </c>
      <c r="D14" s="351">
        <f>SUM(D12:D13)</f>
        <v>23274300</v>
      </c>
      <c r="E14" s="351">
        <f>SUM(E12:E13)</f>
        <v>23725700</v>
      </c>
      <c r="F14" s="351">
        <f>SUM(F12:F13)</f>
        <v>47000000</v>
      </c>
      <c r="G14" s="351">
        <f>SUM(G12:G13)</f>
        <v>50000000</v>
      </c>
      <c r="H14" s="215"/>
      <c r="I14" s="215"/>
      <c r="J14" s="215"/>
      <c r="K14" s="215"/>
      <c r="L14" s="215"/>
      <c r="M14" s="215"/>
      <c r="N14" s="215"/>
      <c r="O14" s="215"/>
      <c r="P14" s="215"/>
      <c r="Q14" s="215"/>
      <c r="R14" s="215"/>
      <c r="S14" s="215"/>
      <c r="T14" s="215"/>
      <c r="U14" s="215"/>
      <c r="V14" s="215"/>
      <c r="W14" s="215"/>
      <c r="X14" s="215"/>
      <c r="Y14" s="215"/>
      <c r="Z14" s="215"/>
    </row>
    <row r="15" spans="1:26" ht="15.75" customHeight="1" x14ac:dyDescent="0.25">
      <c r="A15" s="344"/>
      <c r="B15" s="348"/>
      <c r="C15" s="352"/>
      <c r="D15" s="352"/>
      <c r="E15" s="352"/>
      <c r="F15" s="346"/>
      <c r="G15" s="346"/>
      <c r="H15" s="215"/>
      <c r="I15" s="215"/>
      <c r="J15" s="215"/>
      <c r="K15" s="215"/>
      <c r="L15" s="215"/>
      <c r="M15" s="215"/>
      <c r="N15" s="215"/>
      <c r="O15" s="215"/>
      <c r="P15" s="215"/>
      <c r="Q15" s="215"/>
      <c r="R15" s="215"/>
      <c r="S15" s="215"/>
      <c r="T15" s="215"/>
      <c r="U15" s="215"/>
      <c r="V15" s="215"/>
      <c r="W15" s="215"/>
      <c r="X15" s="215"/>
      <c r="Y15" s="215"/>
      <c r="Z15" s="215"/>
    </row>
    <row r="16" spans="1:26" ht="15.75" customHeight="1" x14ac:dyDescent="0.25">
      <c r="A16" s="342" t="s">
        <v>467</v>
      </c>
      <c r="B16" s="353"/>
      <c r="C16" s="354">
        <f t="shared" ref="C16:G16" si="1">C14</f>
        <v>42554700</v>
      </c>
      <c r="D16" s="346">
        <f t="shared" si="1"/>
        <v>23274300</v>
      </c>
      <c r="E16" s="355">
        <f t="shared" si="1"/>
        <v>23725700</v>
      </c>
      <c r="F16" s="354">
        <f t="shared" si="1"/>
        <v>47000000</v>
      </c>
      <c r="G16" s="346">
        <f t="shared" si="1"/>
        <v>50000000</v>
      </c>
      <c r="H16" s="215"/>
      <c r="I16" s="215"/>
      <c r="J16" s="215"/>
      <c r="K16" s="215"/>
      <c r="L16" s="215"/>
      <c r="M16" s="215"/>
      <c r="N16" s="215"/>
      <c r="O16" s="215"/>
      <c r="P16" s="215"/>
      <c r="Q16" s="215"/>
      <c r="R16" s="215"/>
      <c r="S16" s="215"/>
      <c r="T16" s="215"/>
      <c r="U16" s="215"/>
      <c r="V16" s="215"/>
      <c r="W16" s="215"/>
      <c r="X16" s="215"/>
      <c r="Y16" s="215"/>
      <c r="Z16" s="215"/>
    </row>
    <row r="17" spans="1:26" ht="15.75" customHeight="1" x14ac:dyDescent="0.25">
      <c r="A17" s="342"/>
      <c r="B17" s="348"/>
      <c r="C17" s="346"/>
      <c r="D17" s="346"/>
      <c r="E17" s="346"/>
      <c r="F17" s="346"/>
      <c r="G17" s="346"/>
      <c r="H17" s="215"/>
      <c r="I17" s="215"/>
      <c r="J17" s="215"/>
      <c r="K17" s="215"/>
      <c r="L17" s="215"/>
      <c r="M17" s="215"/>
      <c r="N17" s="215"/>
      <c r="O17" s="215"/>
      <c r="P17" s="215"/>
      <c r="Q17" s="215"/>
      <c r="R17" s="215"/>
      <c r="S17" s="215"/>
      <c r="T17" s="215"/>
      <c r="U17" s="215"/>
      <c r="V17" s="215"/>
      <c r="W17" s="215"/>
      <c r="X17" s="215"/>
      <c r="Y17" s="215"/>
      <c r="Z17" s="215"/>
    </row>
    <row r="18" spans="1:26" ht="15.75" customHeight="1" x14ac:dyDescent="0.25">
      <c r="A18" s="356" t="s">
        <v>487</v>
      </c>
      <c r="B18" s="357" t="s">
        <v>488</v>
      </c>
      <c r="C18" s="351">
        <f t="shared" ref="C18:G18" si="2">C16</f>
        <v>42554700</v>
      </c>
      <c r="D18" s="351">
        <f t="shared" si="2"/>
        <v>23274300</v>
      </c>
      <c r="E18" s="351">
        <f t="shared" si="2"/>
        <v>23725700</v>
      </c>
      <c r="F18" s="351">
        <f t="shared" si="2"/>
        <v>47000000</v>
      </c>
      <c r="G18" s="351">
        <f t="shared" si="2"/>
        <v>50000000</v>
      </c>
      <c r="H18" s="215"/>
      <c r="I18" s="215"/>
      <c r="J18" s="215"/>
      <c r="K18" s="215"/>
      <c r="L18" s="215"/>
      <c r="M18" s="215"/>
      <c r="N18" s="215"/>
      <c r="O18" s="215"/>
      <c r="P18" s="215"/>
      <c r="Q18" s="215"/>
      <c r="R18" s="215"/>
      <c r="S18" s="215"/>
      <c r="T18" s="215"/>
      <c r="U18" s="215"/>
      <c r="V18" s="215"/>
      <c r="W18" s="215"/>
      <c r="X18" s="215"/>
      <c r="Y18" s="215"/>
      <c r="Z18" s="215"/>
    </row>
    <row r="19" spans="1:26" ht="15.75" customHeight="1" x14ac:dyDescent="0.25">
      <c r="A19" s="331"/>
      <c r="B19" s="330"/>
      <c r="C19" s="75"/>
      <c r="D19" s="75"/>
      <c r="E19" s="75"/>
      <c r="F19" s="75"/>
      <c r="G19" s="75"/>
      <c r="H19" s="15"/>
      <c r="I19" s="15"/>
      <c r="J19" s="15"/>
      <c r="K19" s="15"/>
      <c r="L19" s="15"/>
      <c r="M19" s="15"/>
      <c r="N19" s="15"/>
      <c r="O19" s="15"/>
      <c r="P19" s="15"/>
      <c r="Q19" s="15"/>
      <c r="R19" s="15"/>
      <c r="S19" s="15"/>
      <c r="T19" s="15"/>
      <c r="U19" s="15"/>
      <c r="V19" s="15"/>
      <c r="W19" s="15"/>
      <c r="X19" s="15"/>
      <c r="Y19" s="15"/>
      <c r="Z19" s="15"/>
    </row>
    <row r="20" spans="1:26" ht="15.75" customHeight="1" x14ac:dyDescent="0.25">
      <c r="A20" s="159"/>
      <c r="B20" s="157"/>
      <c r="C20" s="159"/>
      <c r="D20" s="159"/>
      <c r="E20" s="159"/>
      <c r="F20" s="215"/>
      <c r="G20" s="215"/>
      <c r="H20" s="215"/>
      <c r="I20" s="215"/>
      <c r="J20" s="215"/>
      <c r="K20" s="215"/>
      <c r="L20" s="215"/>
      <c r="M20" s="215"/>
      <c r="N20" s="215"/>
      <c r="O20" s="215"/>
      <c r="P20" s="215"/>
      <c r="Q20" s="215"/>
      <c r="R20" s="215"/>
      <c r="S20" s="215"/>
      <c r="T20" s="215"/>
      <c r="U20" s="215"/>
      <c r="V20" s="215"/>
      <c r="W20" s="215"/>
      <c r="X20" s="215"/>
      <c r="Y20" s="215"/>
      <c r="Z20" s="215"/>
    </row>
    <row r="21" spans="1:26" ht="15.75" customHeight="1" x14ac:dyDescent="0.25">
      <c r="A21" s="9"/>
      <c r="B21" s="104"/>
      <c r="C21" s="105"/>
      <c r="D21" s="105"/>
      <c r="E21" s="105"/>
      <c r="F21" s="10"/>
      <c r="G21" s="180"/>
      <c r="H21" s="15"/>
      <c r="I21" s="15"/>
      <c r="J21" s="15"/>
      <c r="K21" s="15"/>
      <c r="L21" s="15"/>
      <c r="M21" s="15"/>
      <c r="N21" s="15"/>
      <c r="O21" s="15"/>
      <c r="P21" s="15"/>
      <c r="Q21" s="15"/>
      <c r="R21" s="15"/>
      <c r="S21" s="15"/>
      <c r="T21" s="15"/>
      <c r="U21" s="15"/>
      <c r="V21" s="15"/>
      <c r="W21" s="15"/>
      <c r="X21" s="15"/>
      <c r="Y21" s="15"/>
      <c r="Z21" s="15"/>
    </row>
    <row r="22" spans="1:26" ht="15.75" customHeight="1" x14ac:dyDescent="0.25">
      <c r="A22" s="225" t="s">
        <v>2788</v>
      </c>
      <c r="B22" s="25"/>
      <c r="C22" s="26"/>
      <c r="D22" s="26"/>
      <c r="E22" s="26"/>
      <c r="F22" s="14"/>
      <c r="G22" s="181"/>
      <c r="H22" s="15"/>
      <c r="I22" s="15"/>
      <c r="J22" s="15"/>
      <c r="K22" s="15"/>
      <c r="L22" s="15"/>
      <c r="M22" s="15"/>
      <c r="N22" s="15"/>
      <c r="O22" s="15"/>
      <c r="P22" s="15"/>
      <c r="Q22" s="15"/>
      <c r="R22" s="15"/>
      <c r="S22" s="15"/>
      <c r="T22" s="15"/>
      <c r="U22" s="15"/>
      <c r="V22" s="15"/>
      <c r="W22" s="15"/>
      <c r="X22" s="15"/>
      <c r="Y22" s="15"/>
      <c r="Z22" s="15"/>
    </row>
    <row r="23" spans="1:26" ht="15.75" customHeight="1" x14ac:dyDescent="0.25">
      <c r="A23" s="108"/>
      <c r="B23" s="25"/>
      <c r="C23" s="26"/>
      <c r="D23" s="26"/>
      <c r="E23" s="26"/>
      <c r="F23" s="14"/>
      <c r="G23" s="181"/>
      <c r="H23" s="15"/>
      <c r="I23" s="15"/>
      <c r="J23" s="15"/>
      <c r="K23" s="15"/>
      <c r="L23" s="15"/>
      <c r="M23" s="15"/>
      <c r="N23" s="15"/>
      <c r="O23" s="15"/>
      <c r="P23" s="15"/>
      <c r="Q23" s="15"/>
      <c r="R23" s="15"/>
      <c r="S23" s="15"/>
      <c r="T23" s="15"/>
      <c r="U23" s="15"/>
      <c r="V23" s="15"/>
      <c r="W23" s="15"/>
      <c r="X23" s="15"/>
      <c r="Y23" s="15"/>
      <c r="Z23" s="15"/>
    </row>
    <row r="24" spans="1:26" ht="15.75" customHeight="1" x14ac:dyDescent="0.25">
      <c r="A24" s="865" t="s">
        <v>352</v>
      </c>
      <c r="B24" s="866"/>
      <c r="C24" s="866"/>
      <c r="D24" s="866"/>
      <c r="E24" s="866"/>
      <c r="F24" s="866"/>
      <c r="G24" s="867"/>
      <c r="H24" s="15"/>
      <c r="I24" s="15"/>
      <c r="J24" s="15"/>
      <c r="K24" s="15"/>
      <c r="L24" s="15"/>
      <c r="M24" s="15"/>
      <c r="N24" s="15"/>
      <c r="O24" s="15"/>
      <c r="P24" s="15"/>
      <c r="Q24" s="15"/>
      <c r="R24" s="15"/>
      <c r="S24" s="15"/>
      <c r="T24" s="15"/>
      <c r="U24" s="15"/>
      <c r="V24" s="15"/>
      <c r="W24" s="15"/>
      <c r="X24" s="15"/>
      <c r="Y24" s="15"/>
      <c r="Z24" s="15"/>
    </row>
    <row r="25" spans="1:26" ht="15.75" customHeight="1" x14ac:dyDescent="0.25">
      <c r="A25" s="868" t="s">
        <v>1194</v>
      </c>
      <c r="B25" s="857" t="s">
        <v>354</v>
      </c>
      <c r="C25" s="857" t="s">
        <v>355</v>
      </c>
      <c r="D25" s="884" t="s">
        <v>356</v>
      </c>
      <c r="E25" s="885"/>
      <c r="F25" s="886"/>
      <c r="G25" s="857" t="s">
        <v>357</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858"/>
      <c r="B26" s="858"/>
      <c r="C26" s="858"/>
      <c r="D26" s="28" t="s">
        <v>358</v>
      </c>
      <c r="E26" s="29" t="s">
        <v>359</v>
      </c>
      <c r="F26" s="857" t="s">
        <v>360</v>
      </c>
      <c r="G26" s="858"/>
      <c r="H26" s="15"/>
      <c r="I26" s="15"/>
      <c r="J26" s="15"/>
      <c r="K26" s="15"/>
      <c r="L26" s="15"/>
      <c r="M26" s="15"/>
      <c r="N26" s="15"/>
      <c r="O26" s="15"/>
      <c r="P26" s="15"/>
      <c r="Q26" s="15"/>
      <c r="R26" s="15"/>
      <c r="S26" s="15"/>
      <c r="T26" s="15"/>
      <c r="U26" s="15"/>
      <c r="V26" s="15"/>
      <c r="W26" s="15"/>
      <c r="X26" s="15"/>
      <c r="Y26" s="15"/>
      <c r="Z26" s="15"/>
    </row>
    <row r="27" spans="1:26" ht="15.75" customHeight="1" x14ac:dyDescent="0.25">
      <c r="A27" s="858"/>
      <c r="B27" s="858"/>
      <c r="C27" s="30" t="s">
        <v>361</v>
      </c>
      <c r="D27" s="31" t="s">
        <v>361</v>
      </c>
      <c r="E27" s="32" t="s">
        <v>362</v>
      </c>
      <c r="F27" s="858"/>
      <c r="G27" s="442" t="s">
        <v>2669</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869"/>
      <c r="B28" s="869"/>
      <c r="C28" s="33">
        <v>2024</v>
      </c>
      <c r="D28" s="34">
        <v>2025</v>
      </c>
      <c r="E28" s="35">
        <v>2025</v>
      </c>
      <c r="F28" s="34">
        <v>2025</v>
      </c>
      <c r="G28" s="36" t="s">
        <v>2668</v>
      </c>
      <c r="H28" s="15"/>
      <c r="I28" s="15"/>
      <c r="J28" s="15"/>
      <c r="K28" s="15"/>
      <c r="L28" s="15"/>
      <c r="M28" s="15"/>
      <c r="N28" s="15"/>
      <c r="O28" s="15"/>
      <c r="P28" s="15"/>
      <c r="Q28" s="15"/>
      <c r="R28" s="15"/>
      <c r="S28" s="15"/>
      <c r="T28" s="15"/>
      <c r="U28" s="15"/>
      <c r="V28" s="15"/>
      <c r="W28" s="15"/>
      <c r="X28" s="15"/>
      <c r="Y28" s="15"/>
      <c r="Z28" s="15"/>
    </row>
    <row r="29" spans="1:26" ht="15.75" customHeight="1" x14ac:dyDescent="0.25">
      <c r="A29" s="17" t="s">
        <v>364</v>
      </c>
      <c r="B29" s="172"/>
      <c r="C29" s="42"/>
      <c r="D29" s="42"/>
      <c r="E29" s="42"/>
      <c r="F29" s="42"/>
      <c r="G29" s="42"/>
      <c r="H29" s="15"/>
      <c r="I29" s="15"/>
      <c r="J29" s="15"/>
      <c r="K29" s="15"/>
      <c r="L29" s="15"/>
      <c r="M29" s="15"/>
      <c r="N29" s="15"/>
      <c r="O29" s="15"/>
      <c r="P29" s="15"/>
      <c r="Q29" s="15"/>
      <c r="R29" s="15"/>
      <c r="S29" s="15"/>
      <c r="T29" s="15"/>
      <c r="U29" s="15"/>
      <c r="V29" s="15"/>
      <c r="W29" s="15"/>
      <c r="X29" s="15"/>
      <c r="Y29" s="15"/>
      <c r="Z29" s="15"/>
    </row>
    <row r="30" spans="1:26" ht="15.75" customHeight="1" x14ac:dyDescent="0.25">
      <c r="A30" s="42" t="s">
        <v>1463</v>
      </c>
      <c r="B30" s="172"/>
      <c r="C30" s="42"/>
      <c r="D30" s="42"/>
      <c r="E30" s="42"/>
      <c r="F30" s="42"/>
      <c r="G30" s="42"/>
      <c r="H30" s="15"/>
      <c r="I30" s="15"/>
      <c r="J30" s="15"/>
      <c r="K30" s="15"/>
      <c r="L30" s="15"/>
      <c r="M30" s="15"/>
      <c r="N30" s="15"/>
      <c r="O30" s="15"/>
      <c r="P30" s="15"/>
      <c r="Q30" s="15"/>
      <c r="R30" s="15"/>
      <c r="S30" s="15"/>
      <c r="T30" s="15"/>
      <c r="U30" s="15"/>
      <c r="V30" s="15"/>
      <c r="W30" s="15"/>
      <c r="X30" s="15"/>
      <c r="Y30" s="15"/>
      <c r="Z30" s="15"/>
    </row>
    <row r="31" spans="1:26" ht="15.75" customHeight="1" x14ac:dyDescent="0.25">
      <c r="A31" s="42" t="s">
        <v>493</v>
      </c>
      <c r="B31" s="41"/>
      <c r="C31" s="42"/>
      <c r="D31" s="42"/>
      <c r="E31" s="17"/>
      <c r="F31" s="42"/>
      <c r="G31" s="19"/>
      <c r="H31" s="15"/>
      <c r="I31" s="15"/>
      <c r="J31" s="15"/>
      <c r="K31" s="15"/>
      <c r="L31" s="15"/>
      <c r="M31" s="15"/>
      <c r="N31" s="15"/>
      <c r="O31" s="15"/>
      <c r="P31" s="15"/>
      <c r="Q31" s="15"/>
      <c r="R31" s="15"/>
      <c r="S31" s="15"/>
      <c r="T31" s="15"/>
      <c r="U31" s="15"/>
      <c r="V31" s="15"/>
      <c r="W31" s="15"/>
      <c r="X31" s="15"/>
      <c r="Y31" s="15"/>
      <c r="Z31" s="15"/>
    </row>
    <row r="32" spans="1:26" ht="15.75" customHeight="1" x14ac:dyDescent="0.25">
      <c r="A32" s="44" t="s">
        <v>396</v>
      </c>
      <c r="B32" s="41" t="s">
        <v>191</v>
      </c>
      <c r="C32" s="91">
        <v>199260</v>
      </c>
      <c r="D32" s="91">
        <v>0</v>
      </c>
      <c r="E32" s="43">
        <f>F32-D32</f>
        <v>300000</v>
      </c>
      <c r="F32" s="289">
        <v>300000</v>
      </c>
      <c r="G32" s="45">
        <v>200000</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74" t="s">
        <v>1906</v>
      </c>
      <c r="B33" s="172"/>
      <c r="C33" s="41"/>
      <c r="D33" s="41"/>
      <c r="E33" s="20"/>
      <c r="F33" s="120"/>
      <c r="G33" s="49"/>
      <c r="H33" s="15"/>
      <c r="I33" s="15"/>
      <c r="J33" s="15"/>
      <c r="K33" s="15"/>
      <c r="L33" s="15"/>
      <c r="M33" s="15"/>
      <c r="N33" s="15"/>
      <c r="O33" s="15"/>
      <c r="P33" s="15"/>
      <c r="Q33" s="15"/>
      <c r="R33" s="15"/>
      <c r="S33" s="15"/>
      <c r="T33" s="15"/>
      <c r="U33" s="15"/>
      <c r="V33" s="15"/>
      <c r="W33" s="15"/>
      <c r="X33" s="15"/>
      <c r="Y33" s="15"/>
      <c r="Z33" s="15"/>
    </row>
    <row r="34" spans="1:26" ht="15.75" customHeight="1" x14ac:dyDescent="0.25">
      <c r="A34" s="17" t="s">
        <v>499</v>
      </c>
      <c r="B34" s="172"/>
      <c r="C34" s="41"/>
      <c r="D34" s="41"/>
      <c r="E34" s="20"/>
      <c r="F34" s="120"/>
      <c r="G34" s="49"/>
      <c r="H34" s="15"/>
      <c r="I34" s="15"/>
      <c r="J34" s="15"/>
      <c r="K34" s="15"/>
      <c r="L34" s="15"/>
      <c r="M34" s="15"/>
      <c r="N34" s="15"/>
      <c r="O34" s="15"/>
      <c r="P34" s="15"/>
      <c r="Q34" s="15"/>
      <c r="R34" s="15"/>
      <c r="S34" s="15"/>
      <c r="T34" s="15"/>
      <c r="U34" s="15"/>
      <c r="V34" s="15"/>
      <c r="W34" s="15"/>
      <c r="X34" s="15"/>
      <c r="Y34" s="15"/>
      <c r="Z34" s="15"/>
    </row>
    <row r="35" spans="1:26" ht="15.75" customHeight="1" x14ac:dyDescent="0.25">
      <c r="A35" s="44" t="s">
        <v>819</v>
      </c>
      <c r="B35" s="41" t="s">
        <v>203</v>
      </c>
      <c r="C35" s="91">
        <v>3839914</v>
      </c>
      <c r="D35" s="91">
        <v>2916762.72</v>
      </c>
      <c r="E35" s="43">
        <f>F35-D35</f>
        <v>2083237.2799999998</v>
      </c>
      <c r="F35" s="289">
        <v>5000000</v>
      </c>
      <c r="G35" s="61">
        <v>5800000</v>
      </c>
      <c r="H35" s="15"/>
      <c r="I35" s="15"/>
      <c r="J35" s="15"/>
      <c r="K35" s="15"/>
      <c r="L35" s="15"/>
      <c r="M35" s="15"/>
      <c r="N35" s="15"/>
      <c r="O35" s="15"/>
      <c r="P35" s="15"/>
      <c r="Q35" s="15"/>
      <c r="R35" s="15"/>
      <c r="S35" s="15"/>
      <c r="T35" s="15"/>
      <c r="U35" s="15"/>
      <c r="V35" s="15"/>
      <c r="W35" s="15"/>
      <c r="X35" s="15"/>
      <c r="Y35" s="15"/>
      <c r="Z35" s="15"/>
    </row>
    <row r="36" spans="1:26" ht="15.75" customHeight="1" x14ac:dyDescent="0.25">
      <c r="A36" s="74" t="s">
        <v>1907</v>
      </c>
      <c r="B36" s="41"/>
      <c r="C36" s="91"/>
      <c r="D36" s="91"/>
      <c r="E36" s="43"/>
      <c r="F36" s="289"/>
      <c r="G36" s="61"/>
      <c r="H36" s="15"/>
      <c r="I36" s="15"/>
      <c r="J36" s="15"/>
      <c r="K36" s="15"/>
      <c r="L36" s="15"/>
      <c r="M36" s="15"/>
      <c r="N36" s="15"/>
      <c r="O36" s="15"/>
      <c r="P36" s="15"/>
      <c r="Q36" s="15"/>
      <c r="R36" s="15"/>
      <c r="S36" s="15"/>
      <c r="T36" s="15"/>
      <c r="U36" s="15"/>
      <c r="V36" s="15"/>
      <c r="W36" s="15"/>
      <c r="X36" s="15"/>
      <c r="Y36" s="15"/>
      <c r="Z36" s="15"/>
    </row>
    <row r="37" spans="1:26" ht="15.75" customHeight="1" x14ac:dyDescent="0.25">
      <c r="A37" s="74" t="s">
        <v>1908</v>
      </c>
      <c r="B37" s="41"/>
      <c r="C37" s="91"/>
      <c r="D37" s="91"/>
      <c r="E37" s="43"/>
      <c r="F37" s="289"/>
      <c r="G37" s="61"/>
      <c r="H37" s="15"/>
      <c r="I37" s="15"/>
      <c r="J37" s="15"/>
      <c r="K37" s="15"/>
      <c r="L37" s="15"/>
      <c r="M37" s="15"/>
      <c r="N37" s="15"/>
      <c r="O37" s="15"/>
      <c r="P37" s="15"/>
      <c r="Q37" s="15"/>
      <c r="R37" s="15"/>
      <c r="S37" s="15"/>
      <c r="T37" s="15"/>
      <c r="U37" s="15"/>
      <c r="V37" s="15"/>
      <c r="W37" s="15"/>
      <c r="X37" s="15"/>
      <c r="Y37" s="15"/>
      <c r="Z37" s="15"/>
    </row>
    <row r="38" spans="1:26" ht="15.75" customHeight="1" x14ac:dyDescent="0.25">
      <c r="A38" s="44" t="s">
        <v>402</v>
      </c>
      <c r="B38" s="41" t="s">
        <v>225</v>
      </c>
      <c r="C38" s="91">
        <v>2353443</v>
      </c>
      <c r="D38" s="91">
        <v>4998500</v>
      </c>
      <c r="E38" s="43">
        <f>F38-D38</f>
        <v>2001500</v>
      </c>
      <c r="F38" s="289">
        <v>7000000</v>
      </c>
      <c r="G38" s="61">
        <f>5000000+2000000+500000</f>
        <v>7500000</v>
      </c>
      <c r="H38" s="15"/>
      <c r="I38" s="15"/>
      <c r="J38" s="15"/>
      <c r="K38" s="15"/>
      <c r="L38" s="15"/>
      <c r="M38" s="15"/>
      <c r="N38" s="15"/>
      <c r="O38" s="15"/>
      <c r="P38" s="15"/>
      <c r="Q38" s="15"/>
      <c r="R38" s="15"/>
      <c r="S38" s="15"/>
      <c r="T38" s="15"/>
      <c r="U38" s="15"/>
      <c r="V38" s="15"/>
      <c r="W38" s="15"/>
      <c r="X38" s="15"/>
      <c r="Y38" s="15"/>
      <c r="Z38" s="15"/>
    </row>
    <row r="39" spans="1:26" ht="15.75" customHeight="1" x14ac:dyDescent="0.25">
      <c r="A39" s="74" t="s">
        <v>1909</v>
      </c>
      <c r="B39" s="172"/>
      <c r="C39" s="91"/>
      <c r="D39" s="91"/>
      <c r="E39" s="86"/>
      <c r="F39" s="289"/>
      <c r="G39" s="61"/>
      <c r="H39" s="15"/>
      <c r="I39" s="15"/>
      <c r="J39" s="15"/>
      <c r="K39" s="15"/>
      <c r="L39" s="15"/>
      <c r="M39" s="15"/>
      <c r="N39" s="15"/>
      <c r="O39" s="15"/>
      <c r="P39" s="15"/>
      <c r="Q39" s="15"/>
      <c r="R39" s="15"/>
      <c r="S39" s="15"/>
      <c r="T39" s="15"/>
      <c r="U39" s="15"/>
      <c r="V39" s="15"/>
      <c r="W39" s="15"/>
      <c r="X39" s="15"/>
      <c r="Y39" s="15"/>
      <c r="Z39" s="15"/>
    </row>
    <row r="40" spans="1:26" ht="15.75" customHeight="1" x14ac:dyDescent="0.25">
      <c r="A40" s="74" t="s">
        <v>1910</v>
      </c>
      <c r="B40" s="172"/>
      <c r="C40" s="91"/>
      <c r="D40" s="91"/>
      <c r="E40" s="86"/>
      <c r="F40" s="289"/>
      <c r="G40" s="61"/>
      <c r="H40" s="15"/>
      <c r="I40" s="15"/>
      <c r="J40" s="15"/>
      <c r="K40" s="15"/>
      <c r="L40" s="15"/>
      <c r="M40" s="15"/>
      <c r="N40" s="15"/>
      <c r="O40" s="15"/>
      <c r="P40" s="15"/>
      <c r="Q40" s="15"/>
      <c r="R40" s="15"/>
      <c r="S40" s="15"/>
      <c r="T40" s="15"/>
      <c r="U40" s="15"/>
      <c r="V40" s="15"/>
      <c r="W40" s="15"/>
      <c r="X40" s="15"/>
      <c r="Y40" s="15"/>
      <c r="Z40" s="15"/>
    </row>
    <row r="41" spans="1:26" ht="15.75" customHeight="1" x14ac:dyDescent="0.25">
      <c r="A41" s="74" t="s">
        <v>1911</v>
      </c>
      <c r="B41" s="172"/>
      <c r="C41" s="91"/>
      <c r="D41" s="91"/>
      <c r="E41" s="86"/>
      <c r="F41" s="289"/>
      <c r="G41" s="61"/>
      <c r="H41" s="15"/>
      <c r="I41" s="15"/>
      <c r="J41" s="15"/>
      <c r="K41" s="15"/>
      <c r="L41" s="15"/>
      <c r="M41" s="15"/>
      <c r="N41" s="15"/>
      <c r="O41" s="15"/>
      <c r="P41" s="15"/>
      <c r="Q41" s="15"/>
      <c r="R41" s="15"/>
      <c r="S41" s="15"/>
      <c r="T41" s="15"/>
      <c r="U41" s="15"/>
      <c r="V41" s="15"/>
      <c r="W41" s="15"/>
      <c r="X41" s="15"/>
      <c r="Y41" s="15"/>
      <c r="Z41" s="15"/>
    </row>
    <row r="42" spans="1:26" ht="15.75" customHeight="1" x14ac:dyDescent="0.25">
      <c r="A42" s="42" t="s">
        <v>672</v>
      </c>
      <c r="B42" s="172"/>
      <c r="C42" s="54">
        <f>SUM(C32:C41)</f>
        <v>6392617</v>
      </c>
      <c r="D42" s="54">
        <f>SUM(D32:D41)</f>
        <v>7915262.7200000007</v>
      </c>
      <c r="E42" s="54">
        <f>SUM(E32:E41)</f>
        <v>4384737.2799999993</v>
      </c>
      <c r="F42" s="54">
        <f>SUM(F32:F41)</f>
        <v>12300000</v>
      </c>
      <c r="G42" s="54">
        <f>SUM(G32:G41)</f>
        <v>13500000</v>
      </c>
      <c r="H42" s="15"/>
      <c r="I42" s="15"/>
      <c r="J42" s="15"/>
      <c r="K42" s="15"/>
      <c r="L42" s="15"/>
      <c r="M42" s="15"/>
      <c r="N42" s="15"/>
      <c r="O42" s="15"/>
      <c r="P42" s="15"/>
      <c r="Q42" s="15"/>
      <c r="R42" s="15"/>
      <c r="S42" s="15"/>
      <c r="T42" s="15"/>
      <c r="U42" s="15"/>
      <c r="V42" s="15"/>
      <c r="W42" s="15"/>
      <c r="X42" s="15"/>
      <c r="Y42" s="15"/>
      <c r="Z42" s="15"/>
    </row>
    <row r="43" spans="1:26" ht="15.75" customHeight="1" x14ac:dyDescent="0.25">
      <c r="A43" s="42"/>
      <c r="B43" s="172"/>
      <c r="C43" s="43"/>
      <c r="D43" s="43"/>
      <c r="E43" s="43"/>
      <c r="F43" s="43"/>
      <c r="G43" s="43"/>
      <c r="H43" s="15"/>
      <c r="I43" s="15"/>
      <c r="J43" s="15"/>
      <c r="K43" s="15"/>
      <c r="L43" s="15"/>
      <c r="M43" s="15"/>
      <c r="N43" s="15"/>
      <c r="O43" s="15"/>
      <c r="P43" s="15"/>
      <c r="Q43" s="15"/>
      <c r="R43" s="15"/>
      <c r="S43" s="15"/>
      <c r="T43" s="15"/>
      <c r="U43" s="15"/>
      <c r="V43" s="15"/>
      <c r="W43" s="15"/>
      <c r="X43" s="15"/>
      <c r="Y43" s="15"/>
      <c r="Z43" s="15"/>
    </row>
    <row r="44" spans="1:26" ht="15.75" customHeight="1" x14ac:dyDescent="0.25">
      <c r="A44" s="17" t="s">
        <v>467</v>
      </c>
      <c r="B44" s="172"/>
      <c r="C44" s="43">
        <f t="shared" ref="C44:G44" si="3">C42</f>
        <v>6392617</v>
      </c>
      <c r="D44" s="43">
        <f t="shared" si="3"/>
        <v>7915262.7200000007</v>
      </c>
      <c r="E44" s="43">
        <f t="shared" si="3"/>
        <v>4384737.2799999993</v>
      </c>
      <c r="F44" s="43">
        <f t="shared" si="3"/>
        <v>12300000</v>
      </c>
      <c r="G44" s="43">
        <f t="shared" si="3"/>
        <v>13500000</v>
      </c>
      <c r="H44" s="15"/>
      <c r="I44" s="15"/>
      <c r="J44" s="15"/>
      <c r="K44" s="15"/>
      <c r="L44" s="15"/>
      <c r="M44" s="15"/>
      <c r="N44" s="15"/>
      <c r="O44" s="15"/>
      <c r="P44" s="15"/>
      <c r="Q44" s="15"/>
      <c r="R44" s="15"/>
      <c r="S44" s="15"/>
      <c r="T44" s="15"/>
      <c r="U44" s="15"/>
      <c r="V44" s="15"/>
      <c r="W44" s="15"/>
      <c r="X44" s="15"/>
      <c r="Y44" s="15"/>
      <c r="Z44" s="15"/>
    </row>
    <row r="45" spans="1:26" ht="15.75" customHeight="1" x14ac:dyDescent="0.25">
      <c r="A45" s="42"/>
      <c r="B45" s="199"/>
      <c r="C45" s="45"/>
      <c r="D45" s="43"/>
      <c r="E45" s="45"/>
      <c r="F45" s="45"/>
      <c r="G45" s="45"/>
      <c r="H45" s="15"/>
      <c r="I45" s="15"/>
      <c r="J45" s="15"/>
      <c r="K45" s="15"/>
      <c r="L45" s="15"/>
      <c r="M45" s="15"/>
      <c r="N45" s="15"/>
      <c r="O45" s="15"/>
      <c r="P45" s="15"/>
      <c r="Q45" s="15"/>
      <c r="R45" s="15"/>
      <c r="S45" s="15"/>
      <c r="T45" s="15"/>
      <c r="U45" s="15"/>
      <c r="V45" s="15"/>
      <c r="W45" s="15"/>
      <c r="X45" s="15"/>
      <c r="Y45" s="15"/>
      <c r="Z45" s="15"/>
    </row>
    <row r="46" spans="1:26" ht="15.75" customHeight="1" x14ac:dyDescent="0.25">
      <c r="A46" s="50" t="s">
        <v>487</v>
      </c>
      <c r="B46" s="51" t="s">
        <v>488</v>
      </c>
      <c r="C46" s="54">
        <f t="shared" ref="C46:G46" si="4">+C44</f>
        <v>6392617</v>
      </c>
      <c r="D46" s="54">
        <f t="shared" si="4"/>
        <v>7915262.7200000007</v>
      </c>
      <c r="E46" s="54">
        <f t="shared" si="4"/>
        <v>4384737.2799999993</v>
      </c>
      <c r="F46" s="54">
        <f t="shared" si="4"/>
        <v>12300000</v>
      </c>
      <c r="G46" s="54">
        <f t="shared" si="4"/>
        <v>13500000</v>
      </c>
      <c r="H46" s="15"/>
      <c r="I46" s="15"/>
      <c r="J46" s="15"/>
      <c r="K46" s="15"/>
      <c r="L46" s="15"/>
      <c r="M46" s="15"/>
      <c r="N46" s="15"/>
      <c r="O46" s="15"/>
      <c r="P46" s="15"/>
      <c r="Q46" s="15"/>
      <c r="R46" s="15"/>
      <c r="S46" s="15"/>
      <c r="T46" s="15"/>
      <c r="U46" s="15"/>
      <c r="V46" s="15"/>
      <c r="W46" s="15"/>
      <c r="X46" s="15"/>
      <c r="Y46" s="15"/>
      <c r="Z46" s="15"/>
    </row>
    <row r="47" spans="1:26" ht="15.75" customHeight="1" x14ac:dyDescent="0.25">
      <c r="A47" s="24"/>
      <c r="B47" s="25"/>
      <c r="C47" s="24"/>
      <c r="D47" s="24"/>
      <c r="E47" s="24"/>
      <c r="F47" s="26"/>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24"/>
      <c r="B48" s="25"/>
      <c r="C48" s="24"/>
      <c r="D48" s="24"/>
      <c r="E48" s="24"/>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9"/>
      <c r="B49" s="104"/>
      <c r="C49" s="105"/>
      <c r="D49" s="105"/>
      <c r="E49" s="105"/>
      <c r="F49" s="10"/>
      <c r="G49" s="180"/>
      <c r="H49" s="15"/>
      <c r="I49" s="15"/>
      <c r="J49" s="15"/>
      <c r="K49" s="15"/>
      <c r="L49" s="15"/>
      <c r="M49" s="15"/>
      <c r="N49" s="15"/>
      <c r="O49" s="15"/>
      <c r="P49" s="15"/>
      <c r="Q49" s="15"/>
      <c r="R49" s="15"/>
      <c r="S49" s="15"/>
      <c r="T49" s="15"/>
      <c r="U49" s="15"/>
      <c r="V49" s="15"/>
      <c r="W49" s="15"/>
      <c r="X49" s="15"/>
      <c r="Y49" s="15"/>
      <c r="Z49" s="15"/>
    </row>
    <row r="50" spans="1:26" ht="15.75" customHeight="1" x14ac:dyDescent="0.25">
      <c r="A50" s="225" t="s">
        <v>2789</v>
      </c>
      <c r="B50" s="25"/>
      <c r="C50" s="26"/>
      <c r="D50" s="26"/>
      <c r="E50" s="26"/>
      <c r="F50" s="14"/>
      <c r="G50" s="181"/>
      <c r="H50" s="15"/>
      <c r="I50" s="15"/>
      <c r="J50" s="15"/>
      <c r="K50" s="15"/>
      <c r="L50" s="15"/>
      <c r="M50" s="15"/>
      <c r="N50" s="15"/>
      <c r="O50" s="15"/>
      <c r="P50" s="15"/>
      <c r="Q50" s="15"/>
      <c r="R50" s="15"/>
      <c r="S50" s="15"/>
      <c r="T50" s="15"/>
      <c r="U50" s="15"/>
      <c r="V50" s="15"/>
      <c r="W50" s="15"/>
      <c r="X50" s="15"/>
      <c r="Y50" s="15"/>
      <c r="Z50" s="15"/>
    </row>
    <row r="51" spans="1:26" ht="15.75" customHeight="1" x14ac:dyDescent="0.25">
      <c r="A51" s="108"/>
      <c r="B51" s="25"/>
      <c r="C51" s="26"/>
      <c r="D51" s="26"/>
      <c r="E51" s="26"/>
      <c r="F51" s="14"/>
      <c r="G51" s="181"/>
      <c r="H51" s="15"/>
      <c r="I51" s="15"/>
      <c r="J51" s="15"/>
      <c r="K51" s="15"/>
      <c r="L51" s="15"/>
      <c r="M51" s="15"/>
      <c r="N51" s="15"/>
      <c r="O51" s="15"/>
      <c r="P51" s="15"/>
      <c r="Q51" s="15"/>
      <c r="R51" s="15"/>
      <c r="S51" s="15"/>
      <c r="T51" s="15"/>
      <c r="U51" s="15"/>
      <c r="V51" s="15"/>
      <c r="W51" s="15"/>
      <c r="X51" s="15"/>
      <c r="Y51" s="15"/>
      <c r="Z51" s="15"/>
    </row>
    <row r="52" spans="1:26" ht="15.75" customHeight="1" x14ac:dyDescent="0.25">
      <c r="A52" s="865" t="s">
        <v>352</v>
      </c>
      <c r="B52" s="866"/>
      <c r="C52" s="866"/>
      <c r="D52" s="866"/>
      <c r="E52" s="866"/>
      <c r="F52" s="866"/>
      <c r="G52" s="867"/>
      <c r="H52" s="15"/>
      <c r="I52" s="15"/>
      <c r="J52" s="15"/>
      <c r="K52" s="15"/>
      <c r="L52" s="15"/>
      <c r="M52" s="15"/>
      <c r="N52" s="15"/>
      <c r="O52" s="15"/>
      <c r="P52" s="15"/>
      <c r="Q52" s="15"/>
      <c r="R52" s="15"/>
      <c r="S52" s="15"/>
      <c r="T52" s="15"/>
      <c r="U52" s="15"/>
      <c r="V52" s="15"/>
      <c r="W52" s="15"/>
      <c r="X52" s="15"/>
      <c r="Y52" s="15"/>
      <c r="Z52" s="15"/>
    </row>
    <row r="53" spans="1:26" ht="15.75" customHeight="1" x14ac:dyDescent="0.25">
      <c r="A53" s="868" t="s">
        <v>1194</v>
      </c>
      <c r="B53" s="857" t="s">
        <v>354</v>
      </c>
      <c r="C53" s="857" t="s">
        <v>355</v>
      </c>
      <c r="D53" s="884" t="s">
        <v>356</v>
      </c>
      <c r="E53" s="885"/>
      <c r="F53" s="886"/>
      <c r="G53" s="857" t="s">
        <v>357</v>
      </c>
      <c r="H53" s="15"/>
      <c r="I53" s="15"/>
      <c r="J53" s="15"/>
      <c r="K53" s="15"/>
      <c r="L53" s="15"/>
      <c r="M53" s="15"/>
      <c r="N53" s="15"/>
      <c r="O53" s="15"/>
      <c r="P53" s="15"/>
      <c r="Q53" s="15"/>
      <c r="R53" s="15"/>
      <c r="S53" s="15"/>
      <c r="T53" s="15"/>
      <c r="U53" s="15"/>
      <c r="V53" s="15"/>
      <c r="W53" s="15"/>
      <c r="X53" s="15"/>
      <c r="Y53" s="15"/>
      <c r="Z53" s="15"/>
    </row>
    <row r="54" spans="1:26" ht="15.75" customHeight="1" x14ac:dyDescent="0.25">
      <c r="A54" s="858"/>
      <c r="B54" s="858"/>
      <c r="C54" s="858"/>
      <c r="D54" s="28" t="s">
        <v>358</v>
      </c>
      <c r="E54" s="29" t="s">
        <v>359</v>
      </c>
      <c r="F54" s="857" t="s">
        <v>360</v>
      </c>
      <c r="G54" s="858"/>
      <c r="H54" s="15"/>
      <c r="I54" s="15"/>
      <c r="J54" s="15"/>
      <c r="K54" s="15"/>
      <c r="L54" s="15"/>
      <c r="M54" s="15"/>
      <c r="N54" s="15"/>
      <c r="O54" s="15"/>
      <c r="P54" s="15"/>
      <c r="Q54" s="15"/>
      <c r="R54" s="15"/>
      <c r="S54" s="15"/>
      <c r="T54" s="15"/>
      <c r="U54" s="15"/>
      <c r="V54" s="15"/>
      <c r="W54" s="15"/>
      <c r="X54" s="15"/>
      <c r="Y54" s="15"/>
      <c r="Z54" s="15"/>
    </row>
    <row r="55" spans="1:26" ht="15.75" customHeight="1" x14ac:dyDescent="0.25">
      <c r="A55" s="858"/>
      <c r="B55" s="858"/>
      <c r="C55" s="30" t="s">
        <v>361</v>
      </c>
      <c r="D55" s="31" t="s">
        <v>361</v>
      </c>
      <c r="E55" s="32" t="s">
        <v>362</v>
      </c>
      <c r="F55" s="858"/>
      <c r="G55" s="442" t="s">
        <v>2669</v>
      </c>
      <c r="H55" s="15"/>
      <c r="I55" s="15"/>
      <c r="J55" s="15"/>
      <c r="K55" s="15"/>
      <c r="L55" s="15"/>
      <c r="M55" s="15"/>
      <c r="N55" s="15"/>
      <c r="O55" s="15"/>
      <c r="P55" s="15"/>
      <c r="Q55" s="15"/>
      <c r="R55" s="15"/>
      <c r="S55" s="15"/>
      <c r="T55" s="15"/>
      <c r="U55" s="15"/>
      <c r="V55" s="15"/>
      <c r="W55" s="15"/>
      <c r="X55" s="15"/>
      <c r="Y55" s="15"/>
      <c r="Z55" s="15"/>
    </row>
    <row r="56" spans="1:26" ht="15.75" customHeight="1" x14ac:dyDescent="0.25">
      <c r="A56" s="869"/>
      <c r="B56" s="869"/>
      <c r="C56" s="33">
        <v>2024</v>
      </c>
      <c r="D56" s="34">
        <v>2025</v>
      </c>
      <c r="E56" s="35">
        <v>2025</v>
      </c>
      <c r="F56" s="34">
        <v>2025</v>
      </c>
      <c r="G56" s="36" t="s">
        <v>2668</v>
      </c>
      <c r="H56" s="15"/>
      <c r="I56" s="15"/>
      <c r="J56" s="15"/>
      <c r="K56" s="15"/>
      <c r="L56" s="15"/>
      <c r="M56" s="15"/>
      <c r="N56" s="15"/>
      <c r="O56" s="15"/>
      <c r="P56" s="15"/>
      <c r="Q56" s="15"/>
      <c r="R56" s="15"/>
      <c r="S56" s="15"/>
      <c r="T56" s="15"/>
      <c r="U56" s="15"/>
      <c r="V56" s="15"/>
      <c r="W56" s="15"/>
      <c r="X56" s="15"/>
      <c r="Y56" s="15"/>
      <c r="Z56" s="15"/>
    </row>
    <row r="57" spans="1:26" ht="15.75" customHeight="1" x14ac:dyDescent="0.25">
      <c r="A57" s="17" t="s">
        <v>364</v>
      </c>
      <c r="B57" s="172"/>
      <c r="C57" s="42"/>
      <c r="D57" s="42"/>
      <c r="E57" s="42"/>
      <c r="F57" s="42"/>
      <c r="G57" s="42"/>
      <c r="H57" s="15"/>
      <c r="I57" s="15"/>
      <c r="J57" s="15"/>
      <c r="K57" s="15"/>
      <c r="L57" s="15"/>
      <c r="M57" s="15"/>
      <c r="N57" s="15"/>
      <c r="O57" s="15"/>
      <c r="P57" s="15"/>
      <c r="Q57" s="15"/>
      <c r="R57" s="15"/>
      <c r="S57" s="15"/>
      <c r="T57" s="15"/>
      <c r="U57" s="15"/>
      <c r="V57" s="15"/>
      <c r="W57" s="15"/>
      <c r="X57" s="15"/>
      <c r="Y57" s="15"/>
      <c r="Z57" s="15"/>
    </row>
    <row r="58" spans="1:26" ht="15.75" customHeight="1" x14ac:dyDescent="0.25">
      <c r="A58" s="42" t="s">
        <v>1463</v>
      </c>
      <c r="B58" s="172"/>
      <c r="C58" s="42"/>
      <c r="D58" s="42"/>
      <c r="E58" s="42"/>
      <c r="F58" s="42"/>
      <c r="G58" s="42"/>
      <c r="H58" s="15"/>
      <c r="I58" s="15"/>
      <c r="J58" s="15"/>
      <c r="K58" s="15"/>
      <c r="L58" s="15"/>
      <c r="M58" s="15"/>
      <c r="N58" s="15"/>
      <c r="O58" s="15"/>
      <c r="P58" s="15"/>
      <c r="Q58" s="15"/>
      <c r="R58" s="15"/>
      <c r="S58" s="15"/>
      <c r="T58" s="15"/>
      <c r="U58" s="15"/>
      <c r="V58" s="15"/>
      <c r="W58" s="15"/>
      <c r="X58" s="15"/>
      <c r="Y58" s="15"/>
      <c r="Z58" s="15"/>
    </row>
    <row r="59" spans="1:26" ht="15.75" customHeight="1" x14ac:dyDescent="0.25">
      <c r="A59" s="17" t="s">
        <v>511</v>
      </c>
      <c r="B59" s="172"/>
      <c r="C59" s="91"/>
      <c r="D59" s="91"/>
      <c r="E59" s="86"/>
      <c r="F59" s="289"/>
      <c r="G59" s="61"/>
      <c r="H59" s="15"/>
      <c r="I59" s="15"/>
      <c r="J59" s="15"/>
      <c r="K59" s="15"/>
      <c r="L59" s="15"/>
      <c r="M59" s="15"/>
      <c r="N59" s="15"/>
      <c r="O59" s="15"/>
      <c r="P59" s="15"/>
      <c r="Q59" s="15"/>
      <c r="R59" s="15"/>
      <c r="S59" s="15"/>
      <c r="T59" s="15"/>
      <c r="U59" s="15"/>
      <c r="V59" s="15"/>
      <c r="W59" s="15"/>
      <c r="X59" s="15"/>
      <c r="Y59" s="15"/>
      <c r="Z59" s="15"/>
    </row>
    <row r="60" spans="1:26" ht="15.75" customHeight="1" x14ac:dyDescent="0.25">
      <c r="A60" s="44" t="s">
        <v>837</v>
      </c>
      <c r="B60" s="41" t="s">
        <v>333</v>
      </c>
      <c r="C60" s="91">
        <v>7087000</v>
      </c>
      <c r="D60" s="91">
        <v>369000</v>
      </c>
      <c r="E60" s="43">
        <f>F60-D60</f>
        <v>5355000</v>
      </c>
      <c r="F60" s="289">
        <v>5724000</v>
      </c>
      <c r="G60" s="61">
        <v>10000000</v>
      </c>
      <c r="H60" s="15"/>
      <c r="I60" s="15"/>
      <c r="J60" s="15"/>
      <c r="K60" s="15"/>
      <c r="L60" s="15"/>
      <c r="M60" s="15"/>
      <c r="N60" s="15"/>
      <c r="O60" s="15"/>
      <c r="P60" s="15"/>
      <c r="Q60" s="15"/>
      <c r="R60" s="15"/>
      <c r="S60" s="15"/>
      <c r="T60" s="15"/>
      <c r="U60" s="15"/>
      <c r="V60" s="15"/>
      <c r="W60" s="15"/>
      <c r="X60" s="15"/>
      <c r="Y60" s="15"/>
      <c r="Z60" s="15"/>
    </row>
    <row r="61" spans="1:26" ht="15.75" customHeight="1" x14ac:dyDescent="0.25">
      <c r="A61" s="42" t="s">
        <v>672</v>
      </c>
      <c r="B61" s="172"/>
      <c r="C61" s="54">
        <f t="shared" ref="C61:F61" si="5">SUM(C59:C60)</f>
        <v>7087000</v>
      </c>
      <c r="D61" s="54">
        <f t="shared" si="5"/>
        <v>369000</v>
      </c>
      <c r="E61" s="54">
        <f t="shared" si="5"/>
        <v>5355000</v>
      </c>
      <c r="F61" s="54">
        <f t="shared" si="5"/>
        <v>5724000</v>
      </c>
      <c r="G61" s="54">
        <f>G60</f>
        <v>10000000</v>
      </c>
      <c r="H61" s="15"/>
      <c r="I61" s="15"/>
      <c r="J61" s="15"/>
      <c r="K61" s="15"/>
      <c r="L61" s="15"/>
      <c r="M61" s="15"/>
      <c r="N61" s="15"/>
      <c r="O61" s="15"/>
      <c r="P61" s="15"/>
      <c r="Q61" s="15"/>
      <c r="R61" s="15"/>
      <c r="S61" s="15"/>
      <c r="T61" s="15"/>
      <c r="U61" s="15"/>
      <c r="V61" s="15"/>
      <c r="W61" s="15"/>
      <c r="X61" s="15"/>
      <c r="Y61" s="15"/>
      <c r="Z61" s="15"/>
    </row>
    <row r="62" spans="1:26" ht="15.75" customHeight="1" x14ac:dyDescent="0.25">
      <c r="A62" s="42"/>
      <c r="B62" s="172"/>
      <c r="C62" s="43"/>
      <c r="D62" s="43"/>
      <c r="E62" s="43"/>
      <c r="F62" s="43"/>
      <c r="G62" s="43"/>
      <c r="H62" s="15"/>
      <c r="I62" s="15"/>
      <c r="J62" s="15"/>
      <c r="K62" s="15"/>
      <c r="L62" s="15"/>
      <c r="M62" s="15"/>
      <c r="N62" s="15"/>
      <c r="O62" s="15"/>
      <c r="P62" s="15"/>
      <c r="Q62" s="15"/>
      <c r="R62" s="15"/>
      <c r="S62" s="15"/>
      <c r="T62" s="15"/>
      <c r="U62" s="15"/>
      <c r="V62" s="15"/>
      <c r="W62" s="15"/>
      <c r="X62" s="15"/>
      <c r="Y62" s="15"/>
      <c r="Z62" s="15"/>
    </row>
    <row r="63" spans="1:26" ht="15.75" customHeight="1" x14ac:dyDescent="0.25">
      <c r="A63" s="17" t="s">
        <v>467</v>
      </c>
      <c r="B63" s="172"/>
      <c r="C63" s="43">
        <f t="shared" ref="C63:G63" si="6">C61</f>
        <v>7087000</v>
      </c>
      <c r="D63" s="43">
        <f t="shared" si="6"/>
        <v>369000</v>
      </c>
      <c r="E63" s="43">
        <f t="shared" si="6"/>
        <v>5355000</v>
      </c>
      <c r="F63" s="43">
        <f t="shared" si="6"/>
        <v>5724000</v>
      </c>
      <c r="G63" s="43">
        <f t="shared" si="6"/>
        <v>10000000</v>
      </c>
      <c r="H63" s="15"/>
      <c r="I63" s="15"/>
      <c r="J63" s="15"/>
      <c r="K63" s="15"/>
      <c r="L63" s="15"/>
      <c r="M63" s="15"/>
      <c r="N63" s="15"/>
      <c r="O63" s="15"/>
      <c r="P63" s="15"/>
      <c r="Q63" s="15"/>
      <c r="R63" s="15"/>
      <c r="S63" s="15"/>
      <c r="T63" s="15"/>
      <c r="U63" s="15"/>
      <c r="V63" s="15"/>
      <c r="W63" s="15"/>
      <c r="X63" s="15"/>
      <c r="Y63" s="15"/>
      <c r="Z63" s="15"/>
    </row>
    <row r="64" spans="1:26" ht="15.75" customHeight="1" x14ac:dyDescent="0.25">
      <c r="A64" s="42"/>
      <c r="B64" s="199"/>
      <c r="C64" s="45"/>
      <c r="D64" s="43"/>
      <c r="E64" s="45"/>
      <c r="F64" s="45"/>
      <c r="G64" s="45"/>
      <c r="H64" s="15"/>
      <c r="I64" s="15"/>
      <c r="J64" s="15"/>
      <c r="K64" s="15"/>
      <c r="L64" s="15"/>
      <c r="M64" s="15"/>
      <c r="N64" s="15"/>
      <c r="O64" s="15"/>
      <c r="P64" s="15"/>
      <c r="Q64" s="15"/>
      <c r="R64" s="15"/>
      <c r="S64" s="15"/>
      <c r="T64" s="15"/>
      <c r="U64" s="15"/>
      <c r="V64" s="15"/>
      <c r="W64" s="15"/>
      <c r="X64" s="15"/>
      <c r="Y64" s="15"/>
      <c r="Z64" s="15"/>
    </row>
    <row r="65" spans="1:26" ht="15.75" customHeight="1" x14ac:dyDescent="0.25">
      <c r="A65" s="50" t="s">
        <v>487</v>
      </c>
      <c r="B65" s="51" t="s">
        <v>488</v>
      </c>
      <c r="C65" s="54">
        <f t="shared" ref="C65:G65" si="7">+C63</f>
        <v>7087000</v>
      </c>
      <c r="D65" s="54">
        <f t="shared" si="7"/>
        <v>369000</v>
      </c>
      <c r="E65" s="54">
        <f t="shared" si="7"/>
        <v>5355000</v>
      </c>
      <c r="F65" s="54">
        <f t="shared" si="7"/>
        <v>5724000</v>
      </c>
      <c r="G65" s="54">
        <f t="shared" si="7"/>
        <v>10000000</v>
      </c>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8"/>
      <c r="C66" s="15"/>
      <c r="D66" s="15"/>
      <c r="E66" s="15"/>
      <c r="F66" s="14"/>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24"/>
      <c r="B67" s="25"/>
      <c r="C67" s="24"/>
      <c r="D67" s="24"/>
      <c r="E67" s="24"/>
      <c r="F67" s="26"/>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24"/>
      <c r="B68" s="25"/>
      <c r="C68" s="24"/>
      <c r="D68" s="24"/>
      <c r="E68" s="24"/>
      <c r="F68" s="26"/>
      <c r="G68" s="15"/>
      <c r="H68" s="15"/>
      <c r="I68" s="15"/>
      <c r="J68" s="15"/>
      <c r="K68" s="15"/>
      <c r="L68" s="15"/>
      <c r="M68" s="15"/>
      <c r="N68" s="15"/>
      <c r="O68" s="15"/>
      <c r="P68" s="15"/>
      <c r="Q68" s="15"/>
      <c r="R68" s="15"/>
      <c r="S68" s="15"/>
      <c r="T68" s="15"/>
      <c r="U68" s="15"/>
      <c r="V68" s="15"/>
      <c r="W68" s="15"/>
      <c r="X68" s="15"/>
      <c r="Y68" s="15"/>
      <c r="Z68" s="15"/>
    </row>
    <row r="69" spans="1:26" ht="15.75" customHeight="1" x14ac:dyDescent="0.25">
      <c r="A69" s="24"/>
      <c r="B69" s="25"/>
      <c r="C69" s="24"/>
      <c r="D69" s="24"/>
      <c r="E69" s="24"/>
      <c r="F69" s="26"/>
      <c r="G69" s="15"/>
      <c r="H69" s="15"/>
      <c r="I69" s="15"/>
      <c r="J69" s="15"/>
      <c r="K69" s="15"/>
      <c r="L69" s="15"/>
      <c r="M69" s="15"/>
      <c r="N69" s="15"/>
      <c r="O69" s="15"/>
      <c r="P69" s="15"/>
      <c r="Q69" s="15"/>
      <c r="R69" s="15"/>
      <c r="S69" s="15"/>
      <c r="T69" s="15"/>
      <c r="U69" s="15"/>
      <c r="V69" s="15"/>
      <c r="W69" s="15"/>
      <c r="X69" s="15"/>
      <c r="Y69" s="15"/>
      <c r="Z69" s="15"/>
    </row>
    <row r="70" spans="1:26" ht="15.75" customHeight="1" x14ac:dyDescent="0.25">
      <c r="A70" s="24"/>
      <c r="B70" s="25"/>
      <c r="C70" s="24"/>
      <c r="D70" s="24"/>
      <c r="E70" s="24"/>
      <c r="F70" s="26"/>
      <c r="G70" s="15"/>
      <c r="H70" s="15"/>
      <c r="I70" s="15"/>
      <c r="J70" s="15"/>
      <c r="K70" s="15"/>
      <c r="L70" s="15"/>
      <c r="M70" s="15"/>
      <c r="N70" s="15"/>
      <c r="O70" s="15"/>
      <c r="P70" s="15"/>
      <c r="Q70" s="15"/>
      <c r="R70" s="15"/>
      <c r="S70" s="15"/>
      <c r="T70" s="15"/>
      <c r="U70" s="15"/>
      <c r="V70" s="15"/>
      <c r="W70" s="15"/>
      <c r="X70" s="15"/>
      <c r="Y70" s="15"/>
      <c r="Z70" s="15"/>
    </row>
    <row r="71" spans="1:26" ht="15.75" customHeight="1" x14ac:dyDescent="0.25">
      <c r="A71" s="24"/>
      <c r="B71" s="25"/>
      <c r="C71" s="24"/>
      <c r="D71" s="24"/>
      <c r="E71" s="24"/>
      <c r="F71" s="26"/>
      <c r="G71" s="15"/>
      <c r="H71" s="15"/>
      <c r="I71" s="15"/>
      <c r="J71" s="15"/>
      <c r="K71" s="15"/>
      <c r="L71" s="15"/>
      <c r="M71" s="15"/>
      <c r="N71" s="15"/>
      <c r="O71" s="15"/>
      <c r="P71" s="15"/>
      <c r="Q71" s="15"/>
      <c r="R71" s="15"/>
      <c r="S71" s="15"/>
      <c r="T71" s="15"/>
      <c r="U71" s="15"/>
      <c r="V71" s="15"/>
      <c r="W71" s="15"/>
      <c r="X71" s="15"/>
      <c r="Y71" s="15"/>
      <c r="Z71" s="15"/>
    </row>
    <row r="72" spans="1:26" ht="15.75" customHeight="1" x14ac:dyDescent="0.25">
      <c r="A72" s="24"/>
      <c r="B72" s="25"/>
      <c r="C72" s="24"/>
      <c r="D72" s="24"/>
      <c r="E72" s="24"/>
      <c r="F72" s="26"/>
      <c r="G72" s="15"/>
      <c r="H72" s="15"/>
      <c r="I72" s="15"/>
      <c r="J72" s="15"/>
      <c r="K72" s="15"/>
      <c r="L72" s="15"/>
      <c r="M72" s="15"/>
      <c r="N72" s="15"/>
      <c r="O72" s="15"/>
      <c r="P72" s="15"/>
      <c r="Q72" s="15"/>
      <c r="R72" s="15"/>
      <c r="S72" s="15"/>
      <c r="T72" s="15"/>
      <c r="U72" s="15"/>
      <c r="V72" s="15"/>
      <c r="W72" s="15"/>
      <c r="X72" s="15"/>
      <c r="Y72" s="15"/>
      <c r="Z72" s="15"/>
    </row>
    <row r="73" spans="1:26" ht="15.75" customHeight="1" x14ac:dyDescent="0.25">
      <c r="A73" s="24"/>
      <c r="B73" s="25"/>
      <c r="C73" s="24"/>
      <c r="D73" s="24"/>
      <c r="E73" s="24"/>
      <c r="F73" s="26"/>
      <c r="G73" s="15"/>
      <c r="H73" s="15"/>
      <c r="I73" s="15"/>
      <c r="J73" s="15"/>
      <c r="K73" s="15"/>
      <c r="L73" s="15"/>
      <c r="M73" s="15"/>
      <c r="N73" s="15"/>
      <c r="O73" s="15"/>
      <c r="P73" s="15"/>
      <c r="Q73" s="15"/>
      <c r="R73" s="15"/>
      <c r="S73" s="15"/>
      <c r="T73" s="15"/>
      <c r="U73" s="15"/>
      <c r="V73" s="15"/>
      <c r="W73" s="15"/>
      <c r="X73" s="15"/>
      <c r="Y73" s="15"/>
      <c r="Z73" s="15"/>
    </row>
    <row r="74" spans="1:26" ht="15.75" customHeight="1" x14ac:dyDescent="0.25">
      <c r="A74" s="24"/>
      <c r="B74" s="25"/>
      <c r="C74" s="24"/>
      <c r="D74" s="24"/>
      <c r="E74" s="24"/>
      <c r="F74" s="26"/>
      <c r="G74" s="15"/>
      <c r="H74" s="15"/>
      <c r="I74" s="15"/>
      <c r="J74" s="15"/>
      <c r="K74" s="15"/>
      <c r="L74" s="15"/>
      <c r="M74" s="15"/>
      <c r="N74" s="15"/>
      <c r="O74" s="15"/>
      <c r="P74" s="15"/>
      <c r="Q74" s="15"/>
      <c r="R74" s="15"/>
      <c r="S74" s="15"/>
      <c r="T74" s="15"/>
      <c r="U74" s="15"/>
      <c r="V74" s="15"/>
      <c r="W74" s="15"/>
      <c r="X74" s="15"/>
      <c r="Y74" s="15"/>
      <c r="Z74" s="15"/>
    </row>
    <row r="75" spans="1:26" ht="15.75" customHeight="1" x14ac:dyDescent="0.25">
      <c r="A75" s="24"/>
      <c r="B75" s="25"/>
      <c r="C75" s="24"/>
      <c r="D75" s="24"/>
      <c r="E75" s="24"/>
      <c r="F75" s="26"/>
      <c r="G75" s="15"/>
      <c r="H75" s="15"/>
      <c r="I75" s="15"/>
      <c r="J75" s="15"/>
      <c r="K75" s="15"/>
      <c r="L75" s="15"/>
      <c r="M75" s="15"/>
      <c r="N75" s="15"/>
      <c r="O75" s="15"/>
      <c r="P75" s="15"/>
      <c r="Q75" s="15"/>
      <c r="R75" s="15"/>
      <c r="S75" s="15"/>
      <c r="T75" s="15"/>
      <c r="U75" s="15"/>
      <c r="V75" s="15"/>
      <c r="W75" s="15"/>
      <c r="X75" s="15"/>
      <c r="Y75" s="15"/>
      <c r="Z75" s="15"/>
    </row>
    <row r="76" spans="1:26" ht="15.75" customHeight="1" x14ac:dyDescent="0.25">
      <c r="A76" s="24"/>
      <c r="B76" s="25"/>
      <c r="C76" s="24"/>
      <c r="D76" s="24"/>
      <c r="E76" s="24"/>
      <c r="F76" s="26"/>
      <c r="G76" s="15"/>
      <c r="H76" s="15"/>
      <c r="I76" s="15"/>
      <c r="J76" s="15"/>
      <c r="K76" s="15"/>
      <c r="L76" s="15"/>
      <c r="M76" s="15"/>
      <c r="N76" s="15"/>
      <c r="O76" s="15"/>
      <c r="P76" s="15"/>
      <c r="Q76" s="15"/>
      <c r="R76" s="15"/>
      <c r="S76" s="15"/>
      <c r="T76" s="15"/>
      <c r="U76" s="15"/>
      <c r="V76" s="15"/>
      <c r="W76" s="15"/>
      <c r="X76" s="15"/>
      <c r="Y76" s="15"/>
      <c r="Z76" s="15"/>
    </row>
    <row r="77" spans="1:26" ht="15.75" customHeight="1" x14ac:dyDescent="0.25">
      <c r="A77" s="24"/>
      <c r="B77" s="25"/>
      <c r="C77" s="24"/>
      <c r="D77" s="24"/>
      <c r="E77" s="24"/>
      <c r="F77" s="26"/>
      <c r="G77" s="15"/>
      <c r="H77" s="15"/>
      <c r="I77" s="15"/>
      <c r="J77" s="15"/>
      <c r="K77" s="15"/>
      <c r="L77" s="15"/>
      <c r="M77" s="15"/>
      <c r="N77" s="15"/>
      <c r="O77" s="15"/>
      <c r="P77" s="15"/>
      <c r="Q77" s="15"/>
      <c r="R77" s="15"/>
      <c r="S77" s="15"/>
      <c r="T77" s="15"/>
      <c r="U77" s="15"/>
      <c r="V77" s="15"/>
      <c r="W77" s="15"/>
      <c r="X77" s="15"/>
      <c r="Y77" s="15"/>
      <c r="Z77" s="15"/>
    </row>
    <row r="78" spans="1:26" ht="15.75" customHeight="1" x14ac:dyDescent="0.25">
      <c r="A78" s="24"/>
      <c r="B78" s="25"/>
      <c r="C78" s="24"/>
      <c r="D78" s="24"/>
      <c r="E78" s="24"/>
      <c r="F78" s="26"/>
      <c r="G78" s="15"/>
      <c r="H78" s="15"/>
      <c r="I78" s="15"/>
      <c r="J78" s="15"/>
      <c r="K78" s="15"/>
      <c r="L78" s="15"/>
      <c r="M78" s="15"/>
      <c r="N78" s="15"/>
      <c r="O78" s="15"/>
      <c r="P78" s="15"/>
      <c r="Q78" s="15"/>
      <c r="R78" s="15"/>
      <c r="S78" s="15"/>
      <c r="T78" s="15"/>
      <c r="U78" s="15"/>
      <c r="V78" s="15"/>
      <c r="W78" s="15"/>
      <c r="X78" s="15"/>
      <c r="Y78" s="15"/>
      <c r="Z78" s="15"/>
    </row>
    <row r="79" spans="1:26" ht="15.75" customHeight="1" x14ac:dyDescent="0.25">
      <c r="A79" s="24"/>
      <c r="B79" s="25"/>
      <c r="C79" s="24"/>
      <c r="D79" s="24"/>
      <c r="E79" s="24"/>
      <c r="F79" s="26"/>
      <c r="G79" s="15"/>
      <c r="H79" s="15"/>
      <c r="I79" s="15"/>
      <c r="J79" s="15"/>
      <c r="K79" s="15"/>
      <c r="L79" s="15"/>
      <c r="M79" s="15"/>
      <c r="N79" s="15"/>
      <c r="O79" s="15"/>
      <c r="P79" s="15"/>
      <c r="Q79" s="15"/>
      <c r="R79" s="15"/>
      <c r="S79" s="15"/>
      <c r="T79" s="15"/>
      <c r="U79" s="15"/>
      <c r="V79" s="15"/>
      <c r="W79" s="15"/>
      <c r="X79" s="15"/>
      <c r="Y79" s="15"/>
      <c r="Z79" s="15"/>
    </row>
    <row r="80" spans="1:26" ht="15.75" customHeight="1" x14ac:dyDescent="0.25">
      <c r="A80" s="24"/>
      <c r="B80" s="25"/>
      <c r="C80" s="24"/>
      <c r="D80" s="24"/>
      <c r="E80" s="24"/>
      <c r="F80" s="26"/>
      <c r="G80" s="15"/>
      <c r="H80" s="15"/>
      <c r="I80" s="15"/>
      <c r="J80" s="15"/>
      <c r="K80" s="15"/>
      <c r="L80" s="15"/>
      <c r="M80" s="15"/>
      <c r="N80" s="15"/>
      <c r="O80" s="15"/>
      <c r="P80" s="15"/>
      <c r="Q80" s="15"/>
      <c r="R80" s="15"/>
      <c r="S80" s="15"/>
      <c r="T80" s="15"/>
      <c r="U80" s="15"/>
      <c r="V80" s="15"/>
      <c r="W80" s="15"/>
      <c r="X80" s="15"/>
      <c r="Y80" s="15"/>
      <c r="Z80" s="15"/>
    </row>
    <row r="81" spans="1:26" ht="15.75" customHeight="1" x14ac:dyDescent="0.25">
      <c r="A81" s="24"/>
      <c r="B81" s="25"/>
      <c r="C81" s="24"/>
      <c r="D81" s="24"/>
      <c r="E81" s="24"/>
      <c r="F81" s="26"/>
      <c r="G81" s="15"/>
      <c r="H81" s="15"/>
      <c r="I81" s="15"/>
      <c r="J81" s="15"/>
      <c r="K81" s="15"/>
      <c r="L81" s="15"/>
      <c r="M81" s="15"/>
      <c r="N81" s="15"/>
      <c r="O81" s="15"/>
      <c r="P81" s="15"/>
      <c r="Q81" s="15"/>
      <c r="R81" s="15"/>
      <c r="S81" s="15"/>
      <c r="T81" s="15"/>
      <c r="U81" s="15"/>
      <c r="V81" s="15"/>
      <c r="W81" s="15"/>
      <c r="X81" s="15"/>
      <c r="Y81" s="15"/>
      <c r="Z81" s="15"/>
    </row>
    <row r="82" spans="1:26" ht="15.75" customHeight="1" x14ac:dyDescent="0.25">
      <c r="A82" s="24"/>
      <c r="B82" s="25"/>
      <c r="C82" s="24"/>
      <c r="D82" s="24"/>
      <c r="E82" s="24"/>
      <c r="F82" s="26"/>
      <c r="G82" s="15"/>
      <c r="H82" s="15"/>
      <c r="I82" s="15"/>
      <c r="J82" s="15"/>
      <c r="K82" s="15"/>
      <c r="L82" s="15"/>
      <c r="M82" s="15"/>
      <c r="N82" s="15"/>
      <c r="O82" s="15"/>
      <c r="P82" s="15"/>
      <c r="Q82" s="15"/>
      <c r="R82" s="15"/>
      <c r="S82" s="15"/>
      <c r="T82" s="15"/>
      <c r="U82" s="15"/>
      <c r="V82" s="15"/>
      <c r="W82" s="15"/>
      <c r="X82" s="15"/>
      <c r="Y82" s="15"/>
      <c r="Z82" s="15"/>
    </row>
    <row r="83" spans="1:26" ht="15.75" customHeight="1" x14ac:dyDescent="0.25">
      <c r="A83" s="24"/>
      <c r="B83" s="25"/>
      <c r="C83" s="24"/>
      <c r="D83" s="24"/>
      <c r="E83" s="24"/>
      <c r="F83" s="26"/>
      <c r="G83" s="15"/>
      <c r="H83" s="15"/>
      <c r="I83" s="15"/>
      <c r="J83" s="15"/>
      <c r="K83" s="15"/>
      <c r="L83" s="15"/>
      <c r="M83" s="15"/>
      <c r="N83" s="15"/>
      <c r="O83" s="15"/>
      <c r="P83" s="15"/>
      <c r="Q83" s="15"/>
      <c r="R83" s="15"/>
      <c r="S83" s="15"/>
      <c r="T83" s="15"/>
      <c r="U83" s="15"/>
      <c r="V83" s="15"/>
      <c r="W83" s="15"/>
      <c r="X83" s="15"/>
      <c r="Y83" s="15"/>
      <c r="Z83" s="15"/>
    </row>
    <row r="84" spans="1:26" ht="15.75" customHeight="1" x14ac:dyDescent="0.25">
      <c r="A84" s="24"/>
      <c r="B84" s="25"/>
      <c r="C84" s="24"/>
      <c r="D84" s="24"/>
      <c r="E84" s="24"/>
      <c r="F84" s="26"/>
      <c r="G84" s="15"/>
      <c r="H84" s="15"/>
      <c r="I84" s="15"/>
      <c r="J84" s="15"/>
      <c r="K84" s="15"/>
      <c r="L84" s="15"/>
      <c r="M84" s="15"/>
      <c r="N84" s="15"/>
      <c r="O84" s="15"/>
      <c r="P84" s="15"/>
      <c r="Q84" s="15"/>
      <c r="R84" s="15"/>
      <c r="S84" s="15"/>
      <c r="T84" s="15"/>
      <c r="U84" s="15"/>
      <c r="V84" s="15"/>
      <c r="W84" s="15"/>
      <c r="X84" s="15"/>
      <c r="Y84" s="15"/>
      <c r="Z84" s="15"/>
    </row>
    <row r="85" spans="1:26" ht="15.75" customHeight="1" x14ac:dyDescent="0.25">
      <c r="A85" s="24"/>
      <c r="B85" s="25"/>
      <c r="C85" s="24"/>
      <c r="D85" s="24"/>
      <c r="E85" s="24"/>
      <c r="F85" s="26"/>
      <c r="G85" s="15"/>
      <c r="H85" s="15"/>
      <c r="I85" s="15"/>
      <c r="J85" s="15"/>
      <c r="K85" s="15"/>
      <c r="L85" s="15"/>
      <c r="M85" s="15"/>
      <c r="N85" s="15"/>
      <c r="O85" s="15"/>
      <c r="P85" s="15"/>
      <c r="Q85" s="15"/>
      <c r="R85" s="15"/>
      <c r="S85" s="15"/>
      <c r="T85" s="15"/>
      <c r="U85" s="15"/>
      <c r="V85" s="15"/>
      <c r="W85" s="15"/>
      <c r="X85" s="15"/>
      <c r="Y85" s="15"/>
      <c r="Z85" s="15"/>
    </row>
    <row r="86" spans="1:26" ht="15.75" customHeight="1" x14ac:dyDescent="0.25">
      <c r="A86" s="24"/>
      <c r="B86" s="25"/>
      <c r="C86" s="24"/>
      <c r="D86" s="24"/>
      <c r="E86" s="24"/>
      <c r="F86" s="26"/>
      <c r="G86" s="15"/>
      <c r="H86" s="15"/>
      <c r="I86" s="15"/>
      <c r="J86" s="15"/>
      <c r="K86" s="15"/>
      <c r="L86" s="15"/>
      <c r="M86" s="15"/>
      <c r="N86" s="15"/>
      <c r="O86" s="15"/>
      <c r="P86" s="15"/>
      <c r="Q86" s="15"/>
      <c r="R86" s="15"/>
      <c r="S86" s="15"/>
      <c r="T86" s="15"/>
      <c r="U86" s="15"/>
      <c r="V86" s="15"/>
      <c r="W86" s="15"/>
      <c r="X86" s="15"/>
      <c r="Y86" s="15"/>
      <c r="Z86" s="15"/>
    </row>
    <row r="87" spans="1:26" ht="15.75" customHeight="1" x14ac:dyDescent="0.25">
      <c r="A87" s="24"/>
      <c r="B87" s="25"/>
      <c r="C87" s="24"/>
      <c r="D87" s="24"/>
      <c r="E87" s="24"/>
      <c r="F87" s="26"/>
      <c r="G87" s="15"/>
      <c r="H87" s="15"/>
      <c r="I87" s="15"/>
      <c r="J87" s="15"/>
      <c r="K87" s="15"/>
      <c r="L87" s="15"/>
      <c r="M87" s="15"/>
      <c r="N87" s="15"/>
      <c r="O87" s="15"/>
      <c r="P87" s="15"/>
      <c r="Q87" s="15"/>
      <c r="R87" s="15"/>
      <c r="S87" s="15"/>
      <c r="T87" s="15"/>
      <c r="U87" s="15"/>
      <c r="V87" s="15"/>
      <c r="W87" s="15"/>
      <c r="X87" s="15"/>
      <c r="Y87" s="15"/>
      <c r="Z87" s="15"/>
    </row>
    <row r="88" spans="1:26" ht="15.75" customHeight="1" x14ac:dyDescent="0.25">
      <c r="A88" s="24"/>
      <c r="B88" s="25"/>
      <c r="C88" s="24"/>
      <c r="D88" s="24"/>
      <c r="E88" s="24"/>
      <c r="F88" s="26"/>
      <c r="G88" s="15"/>
      <c r="H88" s="15"/>
      <c r="I88" s="15"/>
      <c r="J88" s="15"/>
      <c r="K88" s="15"/>
      <c r="L88" s="15"/>
      <c r="M88" s="15"/>
      <c r="N88" s="15"/>
      <c r="O88" s="15"/>
      <c r="P88" s="15"/>
      <c r="Q88" s="15"/>
      <c r="R88" s="15"/>
      <c r="S88" s="15"/>
      <c r="T88" s="15"/>
      <c r="U88" s="15"/>
      <c r="V88" s="15"/>
      <c r="W88" s="15"/>
      <c r="X88" s="15"/>
      <c r="Y88" s="15"/>
      <c r="Z88" s="15"/>
    </row>
    <row r="89" spans="1:26" ht="15.75" customHeight="1" x14ac:dyDescent="0.25">
      <c r="A89" s="24"/>
      <c r="B89" s="25"/>
      <c r="C89" s="24"/>
      <c r="D89" s="24"/>
      <c r="E89" s="24"/>
      <c r="F89" s="26"/>
      <c r="G89" s="15"/>
      <c r="H89" s="15"/>
      <c r="I89" s="15"/>
      <c r="J89" s="15"/>
      <c r="K89" s="15"/>
      <c r="L89" s="15"/>
      <c r="M89" s="15"/>
      <c r="N89" s="15"/>
      <c r="O89" s="15"/>
      <c r="P89" s="15"/>
      <c r="Q89" s="15"/>
      <c r="R89" s="15"/>
      <c r="S89" s="15"/>
      <c r="T89" s="15"/>
      <c r="U89" s="15"/>
      <c r="V89" s="15"/>
      <c r="W89" s="15"/>
      <c r="X89" s="15"/>
      <c r="Y89" s="15"/>
      <c r="Z89" s="15"/>
    </row>
    <row r="90" spans="1:26" ht="15.75" customHeight="1" x14ac:dyDescent="0.25">
      <c r="A90" s="24"/>
      <c r="B90" s="25"/>
      <c r="C90" s="24"/>
      <c r="D90" s="24"/>
      <c r="E90" s="24"/>
      <c r="F90" s="26"/>
      <c r="G90" s="15"/>
      <c r="H90" s="15"/>
      <c r="I90" s="15"/>
      <c r="J90" s="15"/>
      <c r="K90" s="15"/>
      <c r="L90" s="15"/>
      <c r="M90" s="15"/>
      <c r="N90" s="15"/>
      <c r="O90" s="15"/>
      <c r="P90" s="15"/>
      <c r="Q90" s="15"/>
      <c r="R90" s="15"/>
      <c r="S90" s="15"/>
      <c r="T90" s="15"/>
      <c r="U90" s="15"/>
      <c r="V90" s="15"/>
      <c r="W90" s="15"/>
      <c r="X90" s="15"/>
      <c r="Y90" s="15"/>
      <c r="Z90" s="15"/>
    </row>
    <row r="91" spans="1:26" ht="15.75" customHeight="1" x14ac:dyDescent="0.25">
      <c r="A91" s="24"/>
      <c r="B91" s="25"/>
      <c r="C91" s="24"/>
      <c r="D91" s="24"/>
      <c r="E91" s="24"/>
      <c r="F91" s="26"/>
      <c r="G91" s="15"/>
      <c r="H91" s="15"/>
      <c r="I91" s="15"/>
      <c r="J91" s="15"/>
      <c r="K91" s="15"/>
      <c r="L91" s="15"/>
      <c r="M91" s="15"/>
      <c r="N91" s="15"/>
      <c r="O91" s="15"/>
      <c r="P91" s="15"/>
      <c r="Q91" s="15"/>
      <c r="R91" s="15"/>
      <c r="S91" s="15"/>
      <c r="T91" s="15"/>
      <c r="U91" s="15"/>
      <c r="V91" s="15"/>
      <c r="W91" s="15"/>
      <c r="X91" s="15"/>
      <c r="Y91" s="15"/>
      <c r="Z91" s="15"/>
    </row>
    <row r="92" spans="1:26" ht="15.75" customHeight="1" x14ac:dyDescent="0.25">
      <c r="A92" s="24"/>
      <c r="B92" s="25"/>
      <c r="C92" s="24"/>
      <c r="D92" s="24"/>
      <c r="E92" s="24"/>
      <c r="F92" s="26"/>
      <c r="G92" s="15"/>
      <c r="H92" s="15"/>
      <c r="I92" s="15"/>
      <c r="J92" s="15"/>
      <c r="K92" s="15"/>
      <c r="L92" s="15"/>
      <c r="M92" s="15"/>
      <c r="N92" s="15"/>
      <c r="O92" s="15"/>
      <c r="P92" s="15"/>
      <c r="Q92" s="15"/>
      <c r="R92" s="15"/>
      <c r="S92" s="15"/>
      <c r="T92" s="15"/>
      <c r="U92" s="15"/>
      <c r="V92" s="15"/>
      <c r="W92" s="15"/>
      <c r="X92" s="15"/>
      <c r="Y92" s="15"/>
      <c r="Z92" s="15"/>
    </row>
    <row r="93" spans="1:26" ht="15.75" customHeight="1" x14ac:dyDescent="0.25">
      <c r="A93" s="24"/>
      <c r="B93" s="25"/>
      <c r="C93" s="24"/>
      <c r="D93" s="24"/>
      <c r="E93" s="24"/>
      <c r="F93" s="26"/>
      <c r="G93" s="15"/>
      <c r="H93" s="15"/>
      <c r="I93" s="15"/>
      <c r="J93" s="15"/>
      <c r="K93" s="15"/>
      <c r="L93" s="15"/>
      <c r="M93" s="15"/>
      <c r="N93" s="15"/>
      <c r="O93" s="15"/>
      <c r="P93" s="15"/>
      <c r="Q93" s="15"/>
      <c r="R93" s="15"/>
      <c r="S93" s="15"/>
      <c r="T93" s="15"/>
      <c r="U93" s="15"/>
      <c r="V93" s="15"/>
      <c r="W93" s="15"/>
      <c r="X93" s="15"/>
      <c r="Y93" s="15"/>
      <c r="Z93" s="15"/>
    </row>
    <row r="94" spans="1:26" ht="15.75" customHeight="1" x14ac:dyDescent="0.25">
      <c r="A94" s="24"/>
      <c r="B94" s="25"/>
      <c r="C94" s="24"/>
      <c r="D94" s="24"/>
      <c r="E94" s="24"/>
      <c r="F94" s="26"/>
      <c r="G94" s="15"/>
      <c r="H94" s="15"/>
      <c r="I94" s="15"/>
      <c r="J94" s="15"/>
      <c r="K94" s="15"/>
      <c r="L94" s="15"/>
      <c r="M94" s="15"/>
      <c r="N94" s="15"/>
      <c r="O94" s="15"/>
      <c r="P94" s="15"/>
      <c r="Q94" s="15"/>
      <c r="R94" s="15"/>
      <c r="S94" s="15"/>
      <c r="T94" s="15"/>
      <c r="U94" s="15"/>
      <c r="V94" s="15"/>
      <c r="W94" s="15"/>
      <c r="X94" s="15"/>
      <c r="Y94" s="15"/>
      <c r="Z94" s="15"/>
    </row>
    <row r="95" spans="1:26" ht="15.75" customHeight="1" x14ac:dyDescent="0.25">
      <c r="A95" s="24"/>
      <c r="B95" s="25"/>
      <c r="C95" s="24"/>
      <c r="D95" s="24"/>
      <c r="E95" s="24"/>
      <c r="F95" s="26"/>
      <c r="G95" s="15"/>
      <c r="H95" s="15"/>
      <c r="I95" s="15"/>
      <c r="J95" s="15"/>
      <c r="K95" s="15"/>
      <c r="L95" s="15"/>
      <c r="M95" s="15"/>
      <c r="N95" s="15"/>
      <c r="O95" s="15"/>
      <c r="P95" s="15"/>
      <c r="Q95" s="15"/>
      <c r="R95" s="15"/>
      <c r="S95" s="15"/>
      <c r="T95" s="15"/>
      <c r="U95" s="15"/>
      <c r="V95" s="15"/>
      <c r="W95" s="15"/>
      <c r="X95" s="15"/>
      <c r="Y95" s="15"/>
      <c r="Z95" s="15"/>
    </row>
    <row r="96" spans="1:26" ht="15.75" customHeight="1" x14ac:dyDescent="0.25">
      <c r="A96" s="24"/>
      <c r="B96" s="25"/>
      <c r="C96" s="24"/>
      <c r="D96" s="24"/>
      <c r="E96" s="24"/>
      <c r="F96" s="26"/>
      <c r="G96" s="15"/>
      <c r="H96" s="15"/>
      <c r="I96" s="15"/>
      <c r="J96" s="15"/>
      <c r="K96" s="15"/>
      <c r="L96" s="15"/>
      <c r="M96" s="15"/>
      <c r="N96" s="15"/>
      <c r="O96" s="15"/>
      <c r="P96" s="15"/>
      <c r="Q96" s="15"/>
      <c r="R96" s="15"/>
      <c r="S96" s="15"/>
      <c r="T96" s="15"/>
      <c r="U96" s="15"/>
      <c r="V96" s="15"/>
      <c r="W96" s="15"/>
      <c r="X96" s="15"/>
      <c r="Y96" s="15"/>
      <c r="Z96" s="15"/>
    </row>
    <row r="97" spans="1:26" ht="15.75" customHeight="1" x14ac:dyDescent="0.25">
      <c r="A97" s="24"/>
      <c r="B97" s="25"/>
      <c r="C97" s="24"/>
      <c r="D97" s="24"/>
      <c r="E97" s="24"/>
      <c r="F97" s="26"/>
      <c r="G97" s="15"/>
      <c r="H97" s="15"/>
      <c r="I97" s="15"/>
      <c r="J97" s="15"/>
      <c r="K97" s="15"/>
      <c r="L97" s="15"/>
      <c r="M97" s="15"/>
      <c r="N97" s="15"/>
      <c r="O97" s="15"/>
      <c r="P97" s="15"/>
      <c r="Q97" s="15"/>
      <c r="R97" s="15"/>
      <c r="S97" s="15"/>
      <c r="T97" s="15"/>
      <c r="U97" s="15"/>
      <c r="V97" s="15"/>
      <c r="W97" s="15"/>
      <c r="X97" s="15"/>
      <c r="Y97" s="15"/>
      <c r="Z97" s="15"/>
    </row>
    <row r="98" spans="1:26" ht="15.75" customHeight="1" x14ac:dyDescent="0.25">
      <c r="A98" s="24"/>
      <c r="B98" s="25"/>
      <c r="C98" s="24"/>
      <c r="D98" s="24"/>
      <c r="E98" s="24"/>
      <c r="F98" s="26"/>
      <c r="G98" s="15"/>
      <c r="H98" s="15"/>
      <c r="I98" s="15"/>
      <c r="J98" s="15"/>
      <c r="K98" s="15"/>
      <c r="L98" s="15"/>
      <c r="M98" s="15"/>
      <c r="N98" s="15"/>
      <c r="O98" s="15"/>
      <c r="P98" s="15"/>
      <c r="Q98" s="15"/>
      <c r="R98" s="15"/>
      <c r="S98" s="15"/>
      <c r="T98" s="15"/>
      <c r="U98" s="15"/>
      <c r="V98" s="15"/>
      <c r="W98" s="15"/>
      <c r="X98" s="15"/>
      <c r="Y98" s="15"/>
      <c r="Z98" s="15"/>
    </row>
    <row r="99" spans="1:26" ht="15.75" customHeight="1" x14ac:dyDescent="0.25">
      <c r="A99" s="24"/>
      <c r="B99" s="25"/>
      <c r="C99" s="24"/>
      <c r="D99" s="24"/>
      <c r="E99" s="24"/>
      <c r="F99" s="26"/>
      <c r="G99" s="15"/>
      <c r="H99" s="15"/>
      <c r="I99" s="15"/>
      <c r="J99" s="15"/>
      <c r="K99" s="15"/>
      <c r="L99" s="15"/>
      <c r="M99" s="15"/>
      <c r="N99" s="15"/>
      <c r="O99" s="15"/>
      <c r="P99" s="15"/>
      <c r="Q99" s="15"/>
      <c r="R99" s="15"/>
      <c r="S99" s="15"/>
      <c r="T99" s="15"/>
      <c r="U99" s="15"/>
      <c r="V99" s="15"/>
      <c r="W99" s="15"/>
      <c r="X99" s="15"/>
      <c r="Y99" s="15"/>
      <c r="Z99" s="15"/>
    </row>
    <row r="100" spans="1:26" ht="15.75" customHeight="1" x14ac:dyDescent="0.25">
      <c r="A100" s="24"/>
      <c r="B100" s="25"/>
      <c r="C100" s="24"/>
      <c r="D100" s="24"/>
      <c r="E100" s="24"/>
      <c r="F100" s="26"/>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25">
      <c r="A101" s="24"/>
      <c r="B101" s="25"/>
      <c r="C101" s="24"/>
      <c r="D101" s="24"/>
      <c r="E101" s="24"/>
      <c r="F101" s="26"/>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25">
      <c r="A102" s="24"/>
      <c r="B102" s="25"/>
      <c r="C102" s="24"/>
      <c r="D102" s="24"/>
      <c r="E102" s="24"/>
      <c r="F102" s="26"/>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25">
      <c r="A103" s="24"/>
      <c r="B103" s="25"/>
      <c r="C103" s="24"/>
      <c r="D103" s="24"/>
      <c r="E103" s="24"/>
      <c r="F103" s="26"/>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25">
      <c r="A104" s="24"/>
      <c r="B104" s="25"/>
      <c r="C104" s="24"/>
      <c r="D104" s="24"/>
      <c r="E104" s="24"/>
      <c r="F104" s="26"/>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25">
      <c r="A105" s="24"/>
      <c r="B105" s="25"/>
      <c r="C105" s="24"/>
      <c r="D105" s="24"/>
      <c r="E105" s="24"/>
      <c r="F105" s="26"/>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25">
      <c r="A106" s="24"/>
      <c r="B106" s="25"/>
      <c r="C106" s="24"/>
      <c r="D106" s="24"/>
      <c r="E106" s="24"/>
      <c r="F106" s="26"/>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25">
      <c r="A107" s="24"/>
      <c r="B107" s="25"/>
      <c r="C107" s="24"/>
      <c r="D107" s="24"/>
      <c r="E107" s="24"/>
      <c r="F107" s="26"/>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25">
      <c r="A108" s="24"/>
      <c r="B108" s="25"/>
      <c r="C108" s="24"/>
      <c r="D108" s="24"/>
      <c r="E108" s="24"/>
      <c r="F108" s="26"/>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25">
      <c r="A109" s="24"/>
      <c r="B109" s="25"/>
      <c r="C109" s="24"/>
      <c r="D109" s="24"/>
      <c r="E109" s="24"/>
      <c r="F109" s="26"/>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25">
      <c r="A110" s="24"/>
      <c r="B110" s="25"/>
      <c r="C110" s="24"/>
      <c r="D110" s="24"/>
      <c r="E110" s="24"/>
      <c r="F110" s="26"/>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25">
      <c r="A111" s="24"/>
      <c r="B111" s="25"/>
      <c r="C111" s="24"/>
      <c r="D111" s="24"/>
      <c r="E111" s="24"/>
      <c r="F111" s="26"/>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25">
      <c r="A112" s="24"/>
      <c r="B112" s="25"/>
      <c r="C112" s="24"/>
      <c r="D112" s="24"/>
      <c r="E112" s="24"/>
      <c r="F112" s="26"/>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25">
      <c r="A113" s="24"/>
      <c r="B113" s="25"/>
      <c r="C113" s="24"/>
      <c r="D113" s="24"/>
      <c r="E113" s="24"/>
      <c r="F113" s="26"/>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25">
      <c r="A114" s="24"/>
      <c r="B114" s="25"/>
      <c r="C114" s="24"/>
      <c r="D114" s="24"/>
      <c r="E114" s="24"/>
      <c r="F114" s="26"/>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25">
      <c r="A115" s="24"/>
      <c r="B115" s="25"/>
      <c r="C115" s="24"/>
      <c r="D115" s="24"/>
      <c r="E115" s="24"/>
      <c r="F115" s="26"/>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25">
      <c r="A116" s="24"/>
      <c r="B116" s="25"/>
      <c r="C116" s="24"/>
      <c r="D116" s="24"/>
      <c r="E116" s="24"/>
      <c r="F116" s="26"/>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25">
      <c r="A117" s="24"/>
      <c r="B117" s="25"/>
      <c r="C117" s="24"/>
      <c r="D117" s="24"/>
      <c r="E117" s="24"/>
      <c r="F117" s="26"/>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25">
      <c r="A118" s="24"/>
      <c r="B118" s="25"/>
      <c r="C118" s="24"/>
      <c r="D118" s="24"/>
      <c r="E118" s="24"/>
      <c r="F118" s="26"/>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25">
      <c r="A119" s="24"/>
      <c r="B119" s="25"/>
      <c r="C119" s="24"/>
      <c r="D119" s="24"/>
      <c r="E119" s="24"/>
      <c r="F119" s="26"/>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25">
      <c r="A120" s="24"/>
      <c r="B120" s="25"/>
      <c r="C120" s="24"/>
      <c r="D120" s="24"/>
      <c r="E120" s="24"/>
      <c r="F120" s="26"/>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25">
      <c r="A121" s="24"/>
      <c r="B121" s="25"/>
      <c r="C121" s="24"/>
      <c r="D121" s="24"/>
      <c r="E121" s="24"/>
      <c r="F121" s="26"/>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25">
      <c r="A122" s="24"/>
      <c r="B122" s="25"/>
      <c r="C122" s="24"/>
      <c r="D122" s="24"/>
      <c r="E122" s="24"/>
      <c r="F122" s="26"/>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25">
      <c r="A123" s="24"/>
      <c r="B123" s="25"/>
      <c r="C123" s="24"/>
      <c r="D123" s="24"/>
      <c r="E123" s="24"/>
      <c r="F123" s="26"/>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25">
      <c r="A124" s="24"/>
      <c r="B124" s="25"/>
      <c r="C124" s="24"/>
      <c r="D124" s="24"/>
      <c r="E124" s="24"/>
      <c r="F124" s="26"/>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25">
      <c r="A125" s="24"/>
      <c r="B125" s="25"/>
      <c r="C125" s="24"/>
      <c r="D125" s="24"/>
      <c r="E125" s="24"/>
      <c r="F125" s="26"/>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25">
      <c r="A126" s="24"/>
      <c r="B126" s="25"/>
      <c r="C126" s="24"/>
      <c r="D126" s="24"/>
      <c r="E126" s="24"/>
      <c r="F126" s="26"/>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25">
      <c r="A127" s="24"/>
      <c r="B127" s="25"/>
      <c r="C127" s="24"/>
      <c r="D127" s="24"/>
      <c r="E127" s="24"/>
      <c r="F127" s="26"/>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25">
      <c r="A128" s="24"/>
      <c r="B128" s="25"/>
      <c r="C128" s="24"/>
      <c r="D128" s="24"/>
      <c r="E128" s="24"/>
      <c r="F128" s="26"/>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25">
      <c r="A129" s="24"/>
      <c r="B129" s="25"/>
      <c r="C129" s="24"/>
      <c r="D129" s="24"/>
      <c r="E129" s="24"/>
      <c r="F129" s="26"/>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25">
      <c r="A130" s="24"/>
      <c r="B130" s="25"/>
      <c r="C130" s="24"/>
      <c r="D130" s="24"/>
      <c r="E130" s="24"/>
      <c r="F130" s="26"/>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25">
      <c r="A131" s="24"/>
      <c r="B131" s="25"/>
      <c r="C131" s="24"/>
      <c r="D131" s="24"/>
      <c r="E131" s="24"/>
      <c r="F131" s="26"/>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25">
      <c r="A132" s="24"/>
      <c r="B132" s="25"/>
      <c r="C132" s="24"/>
      <c r="D132" s="24"/>
      <c r="E132" s="24"/>
      <c r="F132" s="26"/>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25">
      <c r="A133" s="24"/>
      <c r="B133" s="25"/>
      <c r="C133" s="24"/>
      <c r="D133" s="24"/>
      <c r="E133" s="24"/>
      <c r="F133" s="26"/>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25">
      <c r="A134" s="24"/>
      <c r="B134" s="25"/>
      <c r="C134" s="24"/>
      <c r="D134" s="24"/>
      <c r="E134" s="24"/>
      <c r="F134" s="26"/>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25">
      <c r="A135" s="24"/>
      <c r="B135" s="25"/>
      <c r="C135" s="24"/>
      <c r="D135" s="24"/>
      <c r="E135" s="24"/>
      <c r="F135" s="26"/>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25">
      <c r="A136" s="24"/>
      <c r="B136" s="25"/>
      <c r="C136" s="24"/>
      <c r="D136" s="24"/>
      <c r="E136" s="24"/>
      <c r="F136" s="26"/>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25">
      <c r="A137" s="24"/>
      <c r="B137" s="25"/>
      <c r="C137" s="24"/>
      <c r="D137" s="24"/>
      <c r="E137" s="24"/>
      <c r="F137" s="26"/>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25">
      <c r="A138" s="24"/>
      <c r="B138" s="25"/>
      <c r="C138" s="24"/>
      <c r="D138" s="24"/>
      <c r="E138" s="24"/>
      <c r="F138" s="26"/>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25">
      <c r="A139" s="24"/>
      <c r="B139" s="25"/>
      <c r="C139" s="24"/>
      <c r="D139" s="24"/>
      <c r="E139" s="24"/>
      <c r="F139" s="26"/>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25">
      <c r="A140" s="24"/>
      <c r="B140" s="25"/>
      <c r="C140" s="24"/>
      <c r="D140" s="24"/>
      <c r="E140" s="24"/>
      <c r="F140" s="26"/>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25">
      <c r="A141" s="24"/>
      <c r="B141" s="25"/>
      <c r="C141" s="24"/>
      <c r="D141" s="24"/>
      <c r="E141" s="24"/>
      <c r="F141" s="26"/>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25">
      <c r="A142" s="24"/>
      <c r="B142" s="25"/>
      <c r="C142" s="24"/>
      <c r="D142" s="24"/>
      <c r="E142" s="24"/>
      <c r="F142" s="26"/>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25">
      <c r="A143" s="24"/>
      <c r="B143" s="25"/>
      <c r="C143" s="24"/>
      <c r="D143" s="24"/>
      <c r="E143" s="24"/>
      <c r="F143" s="26"/>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25">
      <c r="A144" s="24"/>
      <c r="B144" s="25"/>
      <c r="C144" s="24"/>
      <c r="D144" s="24"/>
      <c r="E144" s="24"/>
      <c r="F144" s="26"/>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25">
      <c r="A145" s="24"/>
      <c r="B145" s="25"/>
      <c r="C145" s="24"/>
      <c r="D145" s="24"/>
      <c r="E145" s="24"/>
      <c r="F145" s="26"/>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25">
      <c r="A146" s="24"/>
      <c r="B146" s="25"/>
      <c r="C146" s="24"/>
      <c r="D146" s="24"/>
      <c r="E146" s="24"/>
      <c r="F146" s="26"/>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25">
      <c r="A147" s="24"/>
      <c r="B147" s="25"/>
      <c r="C147" s="24"/>
      <c r="D147" s="24"/>
      <c r="E147" s="24"/>
      <c r="F147" s="26"/>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25">
      <c r="A148" s="24"/>
      <c r="B148" s="25"/>
      <c r="C148" s="24"/>
      <c r="D148" s="24"/>
      <c r="E148" s="24"/>
      <c r="F148" s="26"/>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25">
      <c r="A149" s="24"/>
      <c r="B149" s="25"/>
      <c r="C149" s="24"/>
      <c r="D149" s="24"/>
      <c r="E149" s="24"/>
      <c r="F149" s="26"/>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25">
      <c r="A150" s="24"/>
      <c r="B150" s="25"/>
      <c r="C150" s="24"/>
      <c r="D150" s="24"/>
      <c r="E150" s="24"/>
      <c r="F150" s="26"/>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25">
      <c r="A151" s="24"/>
      <c r="B151" s="25"/>
      <c r="C151" s="24"/>
      <c r="D151" s="24"/>
      <c r="E151" s="24"/>
      <c r="F151" s="26"/>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25">
      <c r="A152" s="24"/>
      <c r="B152" s="25"/>
      <c r="C152" s="24"/>
      <c r="D152" s="24"/>
      <c r="E152" s="24"/>
      <c r="F152" s="26"/>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25">
      <c r="A153" s="24"/>
      <c r="B153" s="25"/>
      <c r="C153" s="24"/>
      <c r="D153" s="24"/>
      <c r="E153" s="24"/>
      <c r="F153" s="26"/>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25">
      <c r="A154" s="24"/>
      <c r="B154" s="25"/>
      <c r="C154" s="24"/>
      <c r="D154" s="24"/>
      <c r="E154" s="24"/>
      <c r="F154" s="26"/>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25">
      <c r="A155" s="24"/>
      <c r="B155" s="25"/>
      <c r="C155" s="24"/>
      <c r="D155" s="24"/>
      <c r="E155" s="24"/>
      <c r="F155" s="26"/>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25">
      <c r="A156" s="24"/>
      <c r="B156" s="25"/>
      <c r="C156" s="24"/>
      <c r="D156" s="24"/>
      <c r="E156" s="24"/>
      <c r="F156" s="26"/>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25">
      <c r="A157" s="24"/>
      <c r="B157" s="25"/>
      <c r="C157" s="24"/>
      <c r="D157" s="24"/>
      <c r="E157" s="24"/>
      <c r="F157" s="26"/>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25">
      <c r="A158" s="24"/>
      <c r="B158" s="25"/>
      <c r="C158" s="24"/>
      <c r="D158" s="24"/>
      <c r="E158" s="24"/>
      <c r="F158" s="26"/>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25">
      <c r="A159" s="24"/>
      <c r="B159" s="25"/>
      <c r="C159" s="24"/>
      <c r="D159" s="24"/>
      <c r="E159" s="24"/>
      <c r="F159" s="26"/>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25">
      <c r="A160" s="24"/>
      <c r="B160" s="25"/>
      <c r="C160" s="24"/>
      <c r="D160" s="24"/>
      <c r="E160" s="24"/>
      <c r="F160" s="26"/>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25">
      <c r="A161" s="24"/>
      <c r="B161" s="25"/>
      <c r="C161" s="24"/>
      <c r="D161" s="24"/>
      <c r="E161" s="24"/>
      <c r="F161" s="26"/>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25">
      <c r="A162" s="24"/>
      <c r="B162" s="25"/>
      <c r="C162" s="24"/>
      <c r="D162" s="24"/>
      <c r="E162" s="24"/>
      <c r="F162" s="26"/>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25">
      <c r="A163" s="24"/>
      <c r="B163" s="25"/>
      <c r="C163" s="24"/>
      <c r="D163" s="24"/>
      <c r="E163" s="24"/>
      <c r="F163" s="26"/>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25">
      <c r="A164" s="24"/>
      <c r="B164" s="25"/>
      <c r="C164" s="24"/>
      <c r="D164" s="24"/>
      <c r="E164" s="24"/>
      <c r="F164" s="26"/>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25">
      <c r="A165" s="24"/>
      <c r="B165" s="25"/>
      <c r="C165" s="24"/>
      <c r="D165" s="24"/>
      <c r="E165" s="24"/>
      <c r="F165" s="26"/>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25">
      <c r="A166" s="24"/>
      <c r="B166" s="25"/>
      <c r="C166" s="24"/>
      <c r="D166" s="24"/>
      <c r="E166" s="24"/>
      <c r="F166" s="26"/>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25">
      <c r="A167" s="24"/>
      <c r="B167" s="25"/>
      <c r="C167" s="24"/>
      <c r="D167" s="24"/>
      <c r="E167" s="24"/>
      <c r="F167" s="26"/>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25">
      <c r="A168" s="24"/>
      <c r="B168" s="25"/>
      <c r="C168" s="24"/>
      <c r="D168" s="24"/>
      <c r="E168" s="24"/>
      <c r="F168" s="26"/>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25">
      <c r="A169" s="24"/>
      <c r="B169" s="25"/>
      <c r="C169" s="24"/>
      <c r="D169" s="24"/>
      <c r="E169" s="24"/>
      <c r="F169" s="26"/>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25">
      <c r="A170" s="24"/>
      <c r="B170" s="25"/>
      <c r="C170" s="24"/>
      <c r="D170" s="24"/>
      <c r="E170" s="24"/>
      <c r="F170" s="26"/>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25">
      <c r="A171" s="24"/>
      <c r="B171" s="25"/>
      <c r="C171" s="24"/>
      <c r="D171" s="24"/>
      <c r="E171" s="24"/>
      <c r="F171" s="26"/>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25">
      <c r="A172" s="24"/>
      <c r="B172" s="25"/>
      <c r="C172" s="24"/>
      <c r="D172" s="24"/>
      <c r="E172" s="24"/>
      <c r="F172" s="26"/>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25">
      <c r="A173" s="24"/>
      <c r="B173" s="25"/>
      <c r="C173" s="24"/>
      <c r="D173" s="24"/>
      <c r="E173" s="24"/>
      <c r="F173" s="26"/>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25">
      <c r="A174" s="24"/>
      <c r="B174" s="25"/>
      <c r="C174" s="24"/>
      <c r="D174" s="24"/>
      <c r="E174" s="24"/>
      <c r="F174" s="26"/>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25">
      <c r="A175" s="24"/>
      <c r="B175" s="25"/>
      <c r="C175" s="24"/>
      <c r="D175" s="24"/>
      <c r="E175" s="24"/>
      <c r="F175" s="26"/>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25">
      <c r="A176" s="24"/>
      <c r="B176" s="25"/>
      <c r="C176" s="24"/>
      <c r="D176" s="24"/>
      <c r="E176" s="24"/>
      <c r="F176" s="26"/>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25">
      <c r="A177" s="24"/>
      <c r="B177" s="25"/>
      <c r="C177" s="24"/>
      <c r="D177" s="24"/>
      <c r="E177" s="24"/>
      <c r="F177" s="26"/>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25">
      <c r="A178" s="24"/>
      <c r="B178" s="25"/>
      <c r="C178" s="24"/>
      <c r="D178" s="24"/>
      <c r="E178" s="24"/>
      <c r="F178" s="26"/>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25">
      <c r="A179" s="24"/>
      <c r="B179" s="25"/>
      <c r="C179" s="24"/>
      <c r="D179" s="24"/>
      <c r="E179" s="24"/>
      <c r="F179" s="26"/>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25">
      <c r="A180" s="24"/>
      <c r="B180" s="25"/>
      <c r="C180" s="24"/>
      <c r="D180" s="24"/>
      <c r="E180" s="24"/>
      <c r="F180" s="26"/>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25">
      <c r="A181" s="24"/>
      <c r="B181" s="25"/>
      <c r="C181" s="24"/>
      <c r="D181" s="24"/>
      <c r="E181" s="24"/>
      <c r="F181" s="26"/>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25">
      <c r="A182" s="24"/>
      <c r="B182" s="25"/>
      <c r="C182" s="24"/>
      <c r="D182" s="24"/>
      <c r="E182" s="24"/>
      <c r="F182" s="26"/>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25">
      <c r="A183" s="24"/>
      <c r="B183" s="25"/>
      <c r="C183" s="24"/>
      <c r="D183" s="24"/>
      <c r="E183" s="24"/>
      <c r="F183" s="26"/>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25">
      <c r="A184" s="24"/>
      <c r="B184" s="25"/>
      <c r="C184" s="24"/>
      <c r="D184" s="24"/>
      <c r="E184" s="24"/>
      <c r="F184" s="26"/>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25">
      <c r="A185" s="24"/>
      <c r="B185" s="25"/>
      <c r="C185" s="24"/>
      <c r="D185" s="24"/>
      <c r="E185" s="24"/>
      <c r="F185" s="26"/>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25">
      <c r="A186" s="24"/>
      <c r="B186" s="25"/>
      <c r="C186" s="24"/>
      <c r="D186" s="24"/>
      <c r="E186" s="24"/>
      <c r="F186" s="26"/>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25">
      <c r="A187" s="24"/>
      <c r="B187" s="25"/>
      <c r="C187" s="24"/>
      <c r="D187" s="24"/>
      <c r="E187" s="24"/>
      <c r="F187" s="26"/>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25">
      <c r="A188" s="24"/>
      <c r="B188" s="25"/>
      <c r="C188" s="24"/>
      <c r="D188" s="24"/>
      <c r="E188" s="24"/>
      <c r="F188" s="26"/>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25">
      <c r="A189" s="24"/>
      <c r="B189" s="25"/>
      <c r="C189" s="24"/>
      <c r="D189" s="24"/>
      <c r="E189" s="24"/>
      <c r="F189" s="26"/>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25">
      <c r="A190" s="24"/>
      <c r="B190" s="25"/>
      <c r="C190" s="24"/>
      <c r="D190" s="24"/>
      <c r="E190" s="24"/>
      <c r="F190" s="26"/>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25">
      <c r="A191" s="24"/>
      <c r="B191" s="25"/>
      <c r="C191" s="24"/>
      <c r="D191" s="24"/>
      <c r="E191" s="24"/>
      <c r="F191" s="26"/>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25">
      <c r="A192" s="24"/>
      <c r="B192" s="25"/>
      <c r="C192" s="24"/>
      <c r="D192" s="24"/>
      <c r="E192" s="24"/>
      <c r="F192" s="26"/>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25">
      <c r="A193" s="24"/>
      <c r="B193" s="25"/>
      <c r="C193" s="24"/>
      <c r="D193" s="24"/>
      <c r="E193" s="24"/>
      <c r="F193" s="26"/>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25">
      <c r="A194" s="24"/>
      <c r="B194" s="25"/>
      <c r="C194" s="24"/>
      <c r="D194" s="24"/>
      <c r="E194" s="24"/>
      <c r="F194" s="26"/>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25">
      <c r="A195" s="24"/>
      <c r="B195" s="25"/>
      <c r="C195" s="24"/>
      <c r="D195" s="24"/>
      <c r="E195" s="24"/>
      <c r="F195" s="26"/>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25">
      <c r="A196" s="24"/>
      <c r="B196" s="25"/>
      <c r="C196" s="24"/>
      <c r="D196" s="24"/>
      <c r="E196" s="24"/>
      <c r="F196" s="26"/>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25">
      <c r="A197" s="24"/>
      <c r="B197" s="25"/>
      <c r="C197" s="24"/>
      <c r="D197" s="24"/>
      <c r="E197" s="24"/>
      <c r="F197" s="26"/>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25">
      <c r="A198" s="24"/>
      <c r="B198" s="25"/>
      <c r="C198" s="24"/>
      <c r="D198" s="24"/>
      <c r="E198" s="24"/>
      <c r="F198" s="26"/>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25">
      <c r="A199" s="24"/>
      <c r="B199" s="25"/>
      <c r="C199" s="24"/>
      <c r="D199" s="24"/>
      <c r="E199" s="24"/>
      <c r="F199" s="26"/>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25">
      <c r="A200" s="24"/>
      <c r="B200" s="25"/>
      <c r="C200" s="24"/>
      <c r="D200" s="24"/>
      <c r="E200" s="24"/>
      <c r="F200" s="26"/>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25">
      <c r="A201" s="24"/>
      <c r="B201" s="25"/>
      <c r="C201" s="24"/>
      <c r="D201" s="24"/>
      <c r="E201" s="24"/>
      <c r="F201" s="26"/>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25">
      <c r="A202" s="24"/>
      <c r="B202" s="25"/>
      <c r="C202" s="24"/>
      <c r="D202" s="24"/>
      <c r="E202" s="24"/>
      <c r="F202" s="26"/>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25">
      <c r="A203" s="24"/>
      <c r="B203" s="25"/>
      <c r="C203" s="24"/>
      <c r="D203" s="24"/>
      <c r="E203" s="24"/>
      <c r="F203" s="26"/>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25">
      <c r="A204" s="24"/>
      <c r="B204" s="25"/>
      <c r="C204" s="24"/>
      <c r="D204" s="24"/>
      <c r="E204" s="24"/>
      <c r="F204" s="26"/>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25">
      <c r="A205" s="24"/>
      <c r="B205" s="25"/>
      <c r="C205" s="24"/>
      <c r="D205" s="24"/>
      <c r="E205" s="24"/>
      <c r="F205" s="26"/>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25">
      <c r="A206" s="24"/>
      <c r="B206" s="25"/>
      <c r="C206" s="24"/>
      <c r="D206" s="24"/>
      <c r="E206" s="24"/>
      <c r="F206" s="26"/>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25">
      <c r="A207" s="24"/>
      <c r="B207" s="25"/>
      <c r="C207" s="24"/>
      <c r="D207" s="24"/>
      <c r="E207" s="24"/>
      <c r="F207" s="26"/>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25">
      <c r="A208" s="24"/>
      <c r="B208" s="25"/>
      <c r="C208" s="24"/>
      <c r="D208" s="24"/>
      <c r="E208" s="24"/>
      <c r="F208" s="26"/>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25">
      <c r="A209" s="24"/>
      <c r="B209" s="25"/>
      <c r="C209" s="24"/>
      <c r="D209" s="24"/>
      <c r="E209" s="24"/>
      <c r="F209" s="26"/>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25">
      <c r="A210" s="24"/>
      <c r="B210" s="25"/>
      <c r="C210" s="24"/>
      <c r="D210" s="24"/>
      <c r="E210" s="24"/>
      <c r="F210" s="26"/>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25">
      <c r="A211" s="24"/>
      <c r="B211" s="25"/>
      <c r="C211" s="24"/>
      <c r="D211" s="24"/>
      <c r="E211" s="24"/>
      <c r="F211" s="26"/>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25">
      <c r="A212" s="24"/>
      <c r="B212" s="25"/>
      <c r="C212" s="24"/>
      <c r="D212" s="24"/>
      <c r="E212" s="24"/>
      <c r="F212" s="26"/>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25">
      <c r="A213" s="24"/>
      <c r="B213" s="25"/>
      <c r="C213" s="24"/>
      <c r="D213" s="24"/>
      <c r="E213" s="24"/>
      <c r="F213" s="26"/>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25">
      <c r="A214" s="24"/>
      <c r="B214" s="25"/>
      <c r="C214" s="24"/>
      <c r="D214" s="24"/>
      <c r="E214" s="24"/>
      <c r="F214" s="26"/>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25">
      <c r="A215" s="24"/>
      <c r="B215" s="25"/>
      <c r="C215" s="24"/>
      <c r="D215" s="24"/>
      <c r="E215" s="24"/>
      <c r="F215" s="26"/>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25">
      <c r="A216" s="24"/>
      <c r="B216" s="25"/>
      <c r="C216" s="24"/>
      <c r="D216" s="24"/>
      <c r="E216" s="24"/>
      <c r="F216" s="26"/>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25">
      <c r="A217" s="24"/>
      <c r="B217" s="25"/>
      <c r="C217" s="24"/>
      <c r="D217" s="24"/>
      <c r="E217" s="24"/>
      <c r="F217" s="26"/>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25">
      <c r="A218" s="24"/>
      <c r="B218" s="25"/>
      <c r="C218" s="24"/>
      <c r="D218" s="24"/>
      <c r="E218" s="24"/>
      <c r="F218" s="26"/>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25">
      <c r="A219" s="24"/>
      <c r="B219" s="25"/>
      <c r="C219" s="24"/>
      <c r="D219" s="24"/>
      <c r="E219" s="24"/>
      <c r="F219" s="26"/>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25">
      <c r="A220" s="24"/>
      <c r="B220" s="25"/>
      <c r="C220" s="24"/>
      <c r="D220" s="24"/>
      <c r="E220" s="24"/>
      <c r="F220" s="26"/>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25">
      <c r="A221" s="24"/>
      <c r="B221" s="25"/>
      <c r="C221" s="24"/>
      <c r="D221" s="24"/>
      <c r="E221" s="24"/>
      <c r="F221" s="26"/>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25">
      <c r="A222" s="24"/>
      <c r="B222" s="25"/>
      <c r="C222" s="24"/>
      <c r="D222" s="24"/>
      <c r="E222" s="24"/>
      <c r="F222" s="26"/>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25">
      <c r="A223" s="24"/>
      <c r="B223" s="25"/>
      <c r="C223" s="24"/>
      <c r="D223" s="24"/>
      <c r="E223" s="24"/>
      <c r="F223" s="26"/>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25">
      <c r="A224" s="24"/>
      <c r="B224" s="25"/>
      <c r="C224" s="24"/>
      <c r="D224" s="24"/>
      <c r="E224" s="24"/>
      <c r="F224" s="26"/>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25">
      <c r="A225" s="24"/>
      <c r="B225" s="25"/>
      <c r="C225" s="24"/>
      <c r="D225" s="24"/>
      <c r="E225" s="24"/>
      <c r="F225" s="26"/>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25">
      <c r="A226" s="24"/>
      <c r="B226" s="25"/>
      <c r="C226" s="24"/>
      <c r="D226" s="24"/>
      <c r="E226" s="24"/>
      <c r="F226" s="26"/>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25">
      <c r="A227" s="24"/>
      <c r="B227" s="25"/>
      <c r="C227" s="24"/>
      <c r="D227" s="24"/>
      <c r="E227" s="24"/>
      <c r="F227" s="26"/>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25">
      <c r="A228" s="24"/>
      <c r="B228" s="25"/>
      <c r="C228" s="24"/>
      <c r="D228" s="24"/>
      <c r="E228" s="24"/>
      <c r="F228" s="26"/>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25">
      <c r="A229" s="24"/>
      <c r="B229" s="25"/>
      <c r="C229" s="24"/>
      <c r="D229" s="24"/>
      <c r="E229" s="24"/>
      <c r="F229" s="26"/>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25">
      <c r="A230" s="24"/>
      <c r="B230" s="25"/>
      <c r="C230" s="24"/>
      <c r="D230" s="24"/>
      <c r="E230" s="24"/>
      <c r="F230" s="26"/>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25">
      <c r="A231" s="24"/>
      <c r="B231" s="25"/>
      <c r="C231" s="24"/>
      <c r="D231" s="24"/>
      <c r="E231" s="24"/>
      <c r="F231" s="26"/>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25">
      <c r="A232" s="24"/>
      <c r="B232" s="25"/>
      <c r="C232" s="24"/>
      <c r="D232" s="24"/>
      <c r="E232" s="24"/>
      <c r="F232" s="26"/>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25">
      <c r="A233" s="24"/>
      <c r="B233" s="25"/>
      <c r="C233" s="24"/>
      <c r="D233" s="24"/>
      <c r="E233" s="24"/>
      <c r="F233" s="26"/>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25">
      <c r="A234" s="24"/>
      <c r="B234" s="25"/>
      <c r="C234" s="24"/>
      <c r="D234" s="24"/>
      <c r="E234" s="24"/>
      <c r="F234" s="26"/>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25">
      <c r="A235" s="24"/>
      <c r="B235" s="25"/>
      <c r="C235" s="24"/>
      <c r="D235" s="24"/>
      <c r="E235" s="24"/>
      <c r="F235" s="26"/>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25">
      <c r="A236" s="24"/>
      <c r="B236" s="25"/>
      <c r="C236" s="24"/>
      <c r="D236" s="24"/>
      <c r="E236" s="24"/>
      <c r="F236" s="26"/>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25">
      <c r="A237" s="24"/>
      <c r="B237" s="25"/>
      <c r="C237" s="24"/>
      <c r="D237" s="24"/>
      <c r="E237" s="24"/>
      <c r="F237" s="26"/>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25">
      <c r="A238" s="24"/>
      <c r="B238" s="25"/>
      <c r="C238" s="24"/>
      <c r="D238" s="24"/>
      <c r="E238" s="24"/>
      <c r="F238" s="26"/>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25">
      <c r="A239" s="24"/>
      <c r="B239" s="25"/>
      <c r="C239" s="24"/>
      <c r="D239" s="24"/>
      <c r="E239" s="24"/>
      <c r="F239" s="26"/>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25">
      <c r="A240" s="24"/>
      <c r="B240" s="25"/>
      <c r="C240" s="24"/>
      <c r="D240" s="24"/>
      <c r="E240" s="24"/>
      <c r="F240" s="26"/>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25">
      <c r="A241" s="24"/>
      <c r="B241" s="25"/>
      <c r="C241" s="24"/>
      <c r="D241" s="24"/>
      <c r="E241" s="24"/>
      <c r="F241" s="26"/>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25">
      <c r="A242" s="24"/>
      <c r="B242" s="25"/>
      <c r="C242" s="24"/>
      <c r="D242" s="24"/>
      <c r="E242" s="24"/>
      <c r="F242" s="26"/>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25">
      <c r="A243" s="24"/>
      <c r="B243" s="25"/>
      <c r="C243" s="24"/>
      <c r="D243" s="24"/>
      <c r="E243" s="24"/>
      <c r="F243" s="26"/>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25">
      <c r="A244" s="24"/>
      <c r="B244" s="25"/>
      <c r="C244" s="24"/>
      <c r="D244" s="24"/>
      <c r="E244" s="24"/>
      <c r="F244" s="26"/>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25">
      <c r="A245" s="24"/>
      <c r="B245" s="25"/>
      <c r="C245" s="24"/>
      <c r="D245" s="24"/>
      <c r="E245" s="24"/>
      <c r="F245" s="26"/>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25">
      <c r="A246" s="24"/>
      <c r="B246" s="25"/>
      <c r="C246" s="24"/>
      <c r="D246" s="24"/>
      <c r="E246" s="24"/>
      <c r="F246" s="26"/>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25">
      <c r="A247" s="24"/>
      <c r="B247" s="25"/>
      <c r="C247" s="24"/>
      <c r="D247" s="24"/>
      <c r="E247" s="24"/>
      <c r="F247" s="26"/>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25">
      <c r="A248" s="24"/>
      <c r="B248" s="25"/>
      <c r="C248" s="24"/>
      <c r="D248" s="24"/>
      <c r="E248" s="24"/>
      <c r="F248" s="26"/>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25">
      <c r="A249" s="24"/>
      <c r="B249" s="25"/>
      <c r="C249" s="24"/>
      <c r="D249" s="24"/>
      <c r="E249" s="24"/>
      <c r="F249" s="26"/>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25">
      <c r="A250" s="24"/>
      <c r="B250" s="25"/>
      <c r="C250" s="24"/>
      <c r="D250" s="24"/>
      <c r="E250" s="24"/>
      <c r="F250" s="26"/>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25">
      <c r="A251" s="24"/>
      <c r="B251" s="25"/>
      <c r="C251" s="24"/>
      <c r="D251" s="24"/>
      <c r="E251" s="24"/>
      <c r="F251" s="26"/>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25">
      <c r="A252" s="24"/>
      <c r="B252" s="25"/>
      <c r="C252" s="24"/>
      <c r="D252" s="24"/>
      <c r="E252" s="24"/>
      <c r="F252" s="26"/>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25">
      <c r="A253" s="24"/>
      <c r="B253" s="25"/>
      <c r="C253" s="24"/>
      <c r="D253" s="24"/>
      <c r="E253" s="24"/>
      <c r="F253" s="26"/>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25">
      <c r="A254" s="24"/>
      <c r="B254" s="25"/>
      <c r="C254" s="24"/>
      <c r="D254" s="24"/>
      <c r="E254" s="24"/>
      <c r="F254" s="26"/>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25">
      <c r="A255" s="24"/>
      <c r="B255" s="25"/>
      <c r="C255" s="24"/>
      <c r="D255" s="24"/>
      <c r="E255" s="24"/>
      <c r="F255" s="26"/>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25">
      <c r="A256" s="24"/>
      <c r="B256" s="25"/>
      <c r="C256" s="24"/>
      <c r="D256" s="24"/>
      <c r="E256" s="24"/>
      <c r="F256" s="26"/>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25">
      <c r="A257" s="24"/>
      <c r="B257" s="25"/>
      <c r="C257" s="24"/>
      <c r="D257" s="24"/>
      <c r="E257" s="24"/>
      <c r="F257" s="26"/>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25">
      <c r="A258" s="24"/>
      <c r="B258" s="25"/>
      <c r="C258" s="24"/>
      <c r="D258" s="24"/>
      <c r="E258" s="24"/>
      <c r="F258" s="26"/>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25">
      <c r="A259" s="24"/>
      <c r="B259" s="25"/>
      <c r="C259" s="24"/>
      <c r="D259" s="24"/>
      <c r="E259" s="24"/>
      <c r="F259" s="26"/>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25">
      <c r="A260" s="24"/>
      <c r="B260" s="25"/>
      <c r="C260" s="24"/>
      <c r="D260" s="24"/>
      <c r="E260" s="24"/>
      <c r="F260" s="26"/>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25">
      <c r="A261" s="24"/>
      <c r="B261" s="25"/>
      <c r="C261" s="24"/>
      <c r="D261" s="24"/>
      <c r="E261" s="24"/>
      <c r="F261" s="26"/>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sheetData>
  <mergeCells count="21">
    <mergeCell ref="A5:G5"/>
    <mergeCell ref="A6:A9"/>
    <mergeCell ref="B6:B9"/>
    <mergeCell ref="C6:C7"/>
    <mergeCell ref="D6:F6"/>
    <mergeCell ref="G6:G7"/>
    <mergeCell ref="F7:F8"/>
    <mergeCell ref="A24:G24"/>
    <mergeCell ref="D53:F53"/>
    <mergeCell ref="G53:G54"/>
    <mergeCell ref="D25:F25"/>
    <mergeCell ref="G25:G26"/>
    <mergeCell ref="F26:F27"/>
    <mergeCell ref="A52:G52"/>
    <mergeCell ref="A53:A56"/>
    <mergeCell ref="B53:B56"/>
    <mergeCell ref="C53:C54"/>
    <mergeCell ref="F54:F55"/>
    <mergeCell ref="A25:A28"/>
    <mergeCell ref="B25:B28"/>
    <mergeCell ref="C25:C26"/>
  </mergeCells>
  <pageMargins left="0.39370078740157483" right="0.39370078740157483" top="0.39370078740157483" bottom="0.39370078740157483" header="0" footer="0"/>
  <pageSetup paperSize="9" scale="86" fitToHeight="0" orientation="portrait" r:id="rId1"/>
  <rowBreaks count="1" manualBreakCount="1">
    <brk id="47"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31"/>
  <sheetViews>
    <sheetView view="pageBreakPreview" topLeftCell="A173" zoomScale="130" zoomScaleNormal="100" zoomScaleSheetLayoutView="130" workbookViewId="0">
      <selection activeCell="A228" sqref="A228"/>
    </sheetView>
  </sheetViews>
  <sheetFormatPr defaultColWidth="14.42578125" defaultRowHeight="15" customHeight="1" x14ac:dyDescent="0.25"/>
  <cols>
    <col min="1" max="1" width="75.28515625" customWidth="1"/>
    <col min="2" max="2" width="15.42578125" customWidth="1"/>
    <col min="3" max="3" width="17.85546875" hidden="1" customWidth="1"/>
    <col min="4" max="4" width="17.5703125" hidden="1" customWidth="1"/>
    <col min="5" max="5" width="17.7109375" hidden="1" customWidth="1"/>
    <col min="6" max="6" width="17.5703125" hidden="1" customWidth="1"/>
    <col min="7" max="7" width="17.85546875" customWidth="1"/>
    <col min="8" max="8" width="15.7109375" customWidth="1"/>
    <col min="9" max="10" width="10.28515625" customWidth="1"/>
    <col min="11" max="11" width="14.42578125" customWidth="1"/>
    <col min="12" max="26" width="10.28515625" customWidth="1"/>
  </cols>
  <sheetData>
    <row r="1" spans="1:26" ht="15.75" customHeight="1" x14ac:dyDescent="0.25">
      <c r="A1" s="9" t="s">
        <v>348</v>
      </c>
      <c r="B1" s="104"/>
      <c r="C1" s="105"/>
      <c r="D1" s="105"/>
      <c r="E1" s="105"/>
      <c r="F1" s="10"/>
      <c r="G1" s="180"/>
      <c r="H1" s="15"/>
      <c r="I1" s="15"/>
      <c r="J1" s="15"/>
      <c r="K1" s="167"/>
      <c r="L1" s="15"/>
      <c r="M1" s="15"/>
      <c r="N1" s="15"/>
      <c r="O1" s="15"/>
      <c r="P1" s="15"/>
      <c r="Q1" s="15"/>
      <c r="R1" s="15"/>
      <c r="S1" s="15"/>
      <c r="T1" s="15"/>
      <c r="U1" s="15"/>
      <c r="V1" s="15"/>
      <c r="W1" s="15"/>
      <c r="X1" s="15"/>
      <c r="Y1" s="15"/>
      <c r="Z1" s="15"/>
    </row>
    <row r="2" spans="1:26" ht="15.75" customHeight="1" x14ac:dyDescent="0.25">
      <c r="A2" s="17" t="s">
        <v>489</v>
      </c>
      <c r="B2" s="25"/>
      <c r="C2" s="24"/>
      <c r="D2" s="24"/>
      <c r="E2" s="24"/>
      <c r="F2" s="15"/>
      <c r="G2" s="181"/>
      <c r="H2" s="15"/>
      <c r="I2" s="15"/>
      <c r="J2" s="15"/>
      <c r="K2" s="167"/>
      <c r="L2" s="15"/>
      <c r="M2" s="15"/>
      <c r="N2" s="15"/>
      <c r="O2" s="15"/>
      <c r="P2" s="15"/>
      <c r="Q2" s="15"/>
      <c r="R2" s="15"/>
      <c r="S2" s="15"/>
      <c r="T2" s="15"/>
      <c r="U2" s="15"/>
      <c r="V2" s="15"/>
      <c r="W2" s="15"/>
      <c r="X2" s="15"/>
      <c r="Y2" s="15"/>
      <c r="Z2" s="15"/>
    </row>
    <row r="3" spans="1:26" ht="15.75" customHeight="1" x14ac:dyDescent="0.25">
      <c r="A3" s="17"/>
      <c r="B3" s="25"/>
      <c r="C3" s="24"/>
      <c r="D3" s="24"/>
      <c r="E3" s="24"/>
      <c r="F3" s="15"/>
      <c r="G3" s="181"/>
      <c r="H3" s="15"/>
      <c r="I3" s="15"/>
      <c r="J3" s="15"/>
      <c r="K3" s="167"/>
      <c r="L3" s="15"/>
      <c r="M3" s="15"/>
      <c r="N3" s="15"/>
      <c r="O3" s="15"/>
      <c r="P3" s="15"/>
      <c r="Q3" s="15"/>
      <c r="R3" s="15"/>
      <c r="S3" s="15"/>
      <c r="T3" s="15"/>
      <c r="U3" s="15"/>
      <c r="V3" s="15"/>
      <c r="W3" s="15"/>
      <c r="X3" s="15"/>
      <c r="Y3" s="15"/>
      <c r="Z3" s="15"/>
    </row>
    <row r="4" spans="1:26" ht="15.75" customHeight="1" x14ac:dyDescent="0.25">
      <c r="A4" s="108" t="s">
        <v>1912</v>
      </c>
      <c r="B4" s="25"/>
      <c r="C4" s="26"/>
      <c r="D4" s="26"/>
      <c r="E4" s="26"/>
      <c r="F4" s="14"/>
      <c r="G4" s="181"/>
      <c r="H4" s="15"/>
      <c r="I4" s="15"/>
      <c r="J4" s="15"/>
      <c r="K4" s="167"/>
      <c r="L4" s="15"/>
      <c r="M4" s="15"/>
      <c r="N4" s="15"/>
      <c r="O4" s="15"/>
      <c r="P4" s="15"/>
      <c r="Q4" s="15"/>
      <c r="R4" s="15"/>
      <c r="S4" s="15"/>
      <c r="T4" s="15"/>
      <c r="U4" s="15"/>
      <c r="V4" s="15"/>
      <c r="W4" s="15"/>
      <c r="X4" s="15"/>
      <c r="Y4" s="15"/>
      <c r="Z4" s="15"/>
    </row>
    <row r="5" spans="1:26" ht="15.75" customHeight="1" x14ac:dyDescent="0.25">
      <c r="A5" s="108"/>
      <c r="B5" s="25"/>
      <c r="C5" s="26"/>
      <c r="D5" s="26"/>
      <c r="E5" s="26"/>
      <c r="F5" s="14"/>
      <c r="G5" s="181"/>
      <c r="H5" s="15"/>
      <c r="I5" s="15"/>
      <c r="J5" s="15"/>
      <c r="K5" s="167"/>
      <c r="L5" s="15"/>
      <c r="M5" s="15"/>
      <c r="N5" s="15"/>
      <c r="O5" s="15"/>
      <c r="P5" s="15"/>
      <c r="Q5" s="15"/>
      <c r="R5" s="15"/>
      <c r="S5" s="15"/>
      <c r="T5" s="15"/>
      <c r="U5" s="15"/>
      <c r="V5" s="15"/>
      <c r="W5" s="15"/>
      <c r="X5" s="15"/>
      <c r="Y5" s="15"/>
      <c r="Z5" s="15"/>
    </row>
    <row r="6" spans="1:26" ht="15.75" customHeight="1" x14ac:dyDescent="0.25">
      <c r="A6" s="865" t="s">
        <v>352</v>
      </c>
      <c r="B6" s="866"/>
      <c r="C6" s="866"/>
      <c r="D6" s="866"/>
      <c r="E6" s="866"/>
      <c r="F6" s="866"/>
      <c r="G6" s="867"/>
      <c r="H6" s="15"/>
      <c r="I6" s="15"/>
      <c r="J6" s="15"/>
      <c r="K6" s="167"/>
      <c r="L6" s="15"/>
      <c r="M6" s="15"/>
      <c r="N6" s="15"/>
      <c r="O6" s="15"/>
      <c r="P6" s="15"/>
      <c r="Q6" s="15"/>
      <c r="R6" s="15"/>
      <c r="S6" s="15"/>
      <c r="T6" s="15"/>
      <c r="U6" s="15"/>
      <c r="V6" s="15"/>
      <c r="W6" s="15"/>
      <c r="X6" s="15"/>
      <c r="Y6" s="15"/>
      <c r="Z6" s="15"/>
    </row>
    <row r="7" spans="1:26" ht="15.75" customHeight="1" x14ac:dyDescent="0.25">
      <c r="A7" s="868" t="s">
        <v>1194</v>
      </c>
      <c r="B7" s="857" t="s">
        <v>354</v>
      </c>
      <c r="C7" s="857" t="s">
        <v>355</v>
      </c>
      <c r="D7" s="884" t="s">
        <v>356</v>
      </c>
      <c r="E7" s="885"/>
      <c r="F7" s="886"/>
      <c r="G7" s="857" t="s">
        <v>357</v>
      </c>
      <c r="H7" s="15"/>
      <c r="I7" s="15"/>
      <c r="J7" s="15"/>
      <c r="K7" s="167"/>
      <c r="L7" s="15"/>
      <c r="M7" s="15"/>
      <c r="N7" s="15"/>
      <c r="O7" s="15"/>
      <c r="P7" s="15"/>
      <c r="Q7" s="15"/>
      <c r="R7" s="15"/>
      <c r="S7" s="15"/>
      <c r="T7" s="15"/>
      <c r="U7" s="15"/>
      <c r="V7" s="15"/>
      <c r="W7" s="15"/>
      <c r="X7" s="15"/>
      <c r="Y7" s="15"/>
      <c r="Z7" s="15"/>
    </row>
    <row r="8" spans="1:26" ht="15.75" customHeight="1" x14ac:dyDescent="0.25">
      <c r="A8" s="858"/>
      <c r="B8" s="858"/>
      <c r="C8" s="858"/>
      <c r="D8" s="28" t="s">
        <v>358</v>
      </c>
      <c r="E8" s="29" t="s">
        <v>359</v>
      </c>
      <c r="F8" s="857" t="s">
        <v>360</v>
      </c>
      <c r="G8" s="858"/>
      <c r="H8" s="15"/>
      <c r="I8" s="15"/>
      <c r="J8" s="15"/>
      <c r="K8" s="167"/>
      <c r="L8" s="15"/>
      <c r="M8" s="15"/>
      <c r="N8" s="15"/>
      <c r="O8" s="15"/>
      <c r="P8" s="15"/>
      <c r="Q8" s="15"/>
      <c r="R8" s="15"/>
      <c r="S8" s="15"/>
      <c r="T8" s="15"/>
      <c r="U8" s="15"/>
      <c r="V8" s="15"/>
      <c r="W8" s="15"/>
      <c r="X8" s="15"/>
      <c r="Y8" s="15"/>
      <c r="Z8" s="15"/>
    </row>
    <row r="9" spans="1:26" ht="15.75" customHeight="1" x14ac:dyDescent="0.25">
      <c r="A9" s="858"/>
      <c r="B9" s="858"/>
      <c r="C9" s="30" t="s">
        <v>361</v>
      </c>
      <c r="D9" s="31" t="s">
        <v>361</v>
      </c>
      <c r="E9" s="32" t="s">
        <v>362</v>
      </c>
      <c r="F9" s="858"/>
      <c r="G9" s="442" t="s">
        <v>2669</v>
      </c>
      <c r="H9" s="15"/>
      <c r="I9" s="15"/>
      <c r="J9" s="15"/>
      <c r="K9" s="167"/>
      <c r="L9" s="15"/>
      <c r="M9" s="15"/>
      <c r="N9" s="15"/>
      <c r="O9" s="15"/>
      <c r="P9" s="15"/>
      <c r="Q9" s="15"/>
      <c r="R9" s="15"/>
      <c r="S9" s="15"/>
      <c r="T9" s="15"/>
      <c r="U9" s="15"/>
      <c r="V9" s="15"/>
      <c r="W9" s="15"/>
      <c r="X9" s="15"/>
      <c r="Y9" s="15"/>
      <c r="Z9" s="15"/>
    </row>
    <row r="10" spans="1:26" ht="15.75" customHeight="1" x14ac:dyDescent="0.25">
      <c r="A10" s="869"/>
      <c r="B10" s="869"/>
      <c r="C10" s="33">
        <v>2024</v>
      </c>
      <c r="D10" s="34">
        <v>2025</v>
      </c>
      <c r="E10" s="35">
        <v>2025</v>
      </c>
      <c r="F10" s="34">
        <v>2025</v>
      </c>
      <c r="G10" s="36" t="s">
        <v>2668</v>
      </c>
      <c r="H10" s="15"/>
      <c r="I10" s="15"/>
      <c r="J10" s="15"/>
      <c r="K10" s="167"/>
      <c r="L10" s="15"/>
      <c r="M10" s="15"/>
      <c r="N10" s="15"/>
      <c r="O10" s="15"/>
      <c r="P10" s="15"/>
      <c r="Q10" s="15"/>
      <c r="R10" s="15"/>
      <c r="S10" s="15"/>
      <c r="T10" s="15"/>
      <c r="U10" s="15"/>
      <c r="V10" s="15"/>
      <c r="W10" s="15"/>
      <c r="X10" s="15"/>
      <c r="Y10" s="15"/>
      <c r="Z10" s="15"/>
    </row>
    <row r="11" spans="1:26" ht="15.75" customHeight="1" x14ac:dyDescent="0.25">
      <c r="A11" s="17" t="s">
        <v>364</v>
      </c>
      <c r="B11" s="172"/>
      <c r="C11" s="42"/>
      <c r="D11" s="42"/>
      <c r="E11" s="42"/>
      <c r="F11" s="42"/>
      <c r="G11" s="43"/>
      <c r="H11" s="15"/>
      <c r="I11" s="15"/>
      <c r="J11" s="15"/>
      <c r="K11" s="167"/>
      <c r="L11" s="15"/>
      <c r="M11" s="15"/>
      <c r="N11" s="15"/>
      <c r="O11" s="15"/>
      <c r="P11" s="15"/>
      <c r="Q11" s="15"/>
      <c r="R11" s="15"/>
      <c r="S11" s="15"/>
      <c r="T11" s="15"/>
      <c r="U11" s="15"/>
      <c r="V11" s="15"/>
      <c r="W11" s="15"/>
      <c r="X11" s="15"/>
      <c r="Y11" s="15"/>
      <c r="Z11" s="15"/>
    </row>
    <row r="12" spans="1:26" ht="15.75" customHeight="1" x14ac:dyDescent="0.25">
      <c r="A12" s="42" t="s">
        <v>1463</v>
      </c>
      <c r="B12" s="199"/>
      <c r="C12" s="42"/>
      <c r="D12" s="42"/>
      <c r="E12" s="42"/>
      <c r="F12" s="42"/>
      <c r="G12" s="43" t="s">
        <v>488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642</v>
      </c>
      <c r="B13" s="172"/>
      <c r="C13" s="41"/>
      <c r="D13" s="41"/>
      <c r="E13" s="20"/>
      <c r="F13" s="120"/>
      <c r="G13" s="61"/>
      <c r="H13" s="15"/>
      <c r="I13" s="15"/>
      <c r="J13" s="15"/>
      <c r="K13" s="167"/>
      <c r="L13" s="15"/>
      <c r="M13" s="15"/>
      <c r="N13" s="15"/>
      <c r="O13" s="15"/>
      <c r="P13" s="15"/>
      <c r="Q13" s="15"/>
      <c r="R13" s="15"/>
      <c r="S13" s="15"/>
      <c r="T13" s="15"/>
      <c r="U13" s="15"/>
      <c r="V13" s="15"/>
      <c r="W13" s="15"/>
      <c r="X13" s="15"/>
      <c r="Y13" s="15"/>
      <c r="Z13" s="15"/>
    </row>
    <row r="14" spans="1:26" ht="15.75" customHeight="1" x14ac:dyDescent="0.25">
      <c r="A14" s="44" t="s">
        <v>393</v>
      </c>
      <c r="B14" s="41" t="s">
        <v>187</v>
      </c>
      <c r="C14" s="43">
        <v>10000</v>
      </c>
      <c r="D14" s="43">
        <v>7680</v>
      </c>
      <c r="E14" s="43">
        <f>F14-D14</f>
        <v>192320</v>
      </c>
      <c r="F14" s="43">
        <v>200000</v>
      </c>
      <c r="G14" s="43">
        <v>200000</v>
      </c>
      <c r="H14" s="15"/>
      <c r="I14" s="15"/>
      <c r="J14" s="15"/>
      <c r="K14" s="167"/>
      <c r="L14" s="15"/>
      <c r="M14" s="15"/>
      <c r="N14" s="15"/>
      <c r="O14" s="15"/>
      <c r="P14" s="15"/>
      <c r="Q14" s="15"/>
      <c r="R14" s="15"/>
      <c r="S14" s="15"/>
      <c r="T14" s="15"/>
      <c r="U14" s="15"/>
      <c r="V14" s="15"/>
      <c r="W14" s="15"/>
      <c r="X14" s="15"/>
      <c r="Y14" s="15"/>
      <c r="Z14" s="15"/>
    </row>
    <row r="15" spans="1:26" ht="15.75" customHeight="1" x14ac:dyDescent="0.25">
      <c r="A15" s="17" t="s">
        <v>493</v>
      </c>
      <c r="B15" s="41"/>
      <c r="C15" s="43"/>
      <c r="D15" s="43"/>
      <c r="E15" s="43"/>
      <c r="F15" s="43"/>
      <c r="G15" s="43"/>
      <c r="H15" s="15"/>
      <c r="I15" s="15"/>
      <c r="J15" s="15"/>
      <c r="K15" s="167"/>
      <c r="L15" s="15"/>
      <c r="M15" s="15"/>
      <c r="N15" s="15"/>
      <c r="O15" s="15"/>
      <c r="P15" s="15"/>
      <c r="Q15" s="15"/>
      <c r="R15" s="15"/>
      <c r="S15" s="15"/>
      <c r="T15" s="15"/>
      <c r="U15" s="15"/>
      <c r="V15" s="15"/>
      <c r="W15" s="15"/>
      <c r="X15" s="15"/>
      <c r="Y15" s="15"/>
      <c r="Z15" s="15"/>
    </row>
    <row r="16" spans="1:26" ht="15.75" customHeight="1" x14ac:dyDescent="0.25">
      <c r="A16" s="44" t="s">
        <v>396</v>
      </c>
      <c r="B16" s="41" t="s">
        <v>191</v>
      </c>
      <c r="C16" s="43">
        <v>6000</v>
      </c>
      <c r="D16" s="43">
        <v>185810.28</v>
      </c>
      <c r="E16" s="43">
        <f>F16-D16</f>
        <v>45189.72</v>
      </c>
      <c r="F16" s="43">
        <v>231000</v>
      </c>
      <c r="G16" s="43">
        <v>235000</v>
      </c>
      <c r="H16" s="15"/>
      <c r="I16" s="15"/>
      <c r="J16" s="15"/>
      <c r="K16" s="167"/>
      <c r="L16" s="15"/>
      <c r="M16" s="15"/>
      <c r="N16" s="15"/>
      <c r="O16" s="15"/>
      <c r="P16" s="15"/>
      <c r="Q16" s="15"/>
      <c r="R16" s="15"/>
      <c r="S16" s="15"/>
      <c r="T16" s="15"/>
      <c r="U16" s="15"/>
      <c r="V16" s="15"/>
      <c r="W16" s="15"/>
      <c r="X16" s="15"/>
      <c r="Y16" s="15"/>
      <c r="Z16" s="15"/>
    </row>
    <row r="17" spans="1:26" ht="15.75" customHeight="1" x14ac:dyDescent="0.25">
      <c r="A17" s="17" t="s">
        <v>499</v>
      </c>
      <c r="B17" s="41"/>
      <c r="C17" s="43"/>
      <c r="D17" s="43"/>
      <c r="E17" s="43"/>
      <c r="F17" s="43"/>
      <c r="G17" s="43"/>
      <c r="H17" s="15"/>
      <c r="I17" s="15"/>
      <c r="J17" s="15"/>
      <c r="K17" s="167"/>
      <c r="L17" s="15"/>
      <c r="M17" s="15"/>
      <c r="N17" s="15"/>
      <c r="O17" s="15"/>
      <c r="P17" s="15"/>
      <c r="Q17" s="15"/>
      <c r="R17" s="15"/>
      <c r="S17" s="15"/>
      <c r="T17" s="15"/>
      <c r="U17" s="15"/>
      <c r="V17" s="15"/>
      <c r="W17" s="15"/>
      <c r="X17" s="15"/>
      <c r="Y17" s="15"/>
      <c r="Z17" s="15"/>
    </row>
    <row r="18" spans="1:26" ht="15.75" customHeight="1" x14ac:dyDescent="0.25">
      <c r="A18" s="44" t="s">
        <v>398</v>
      </c>
      <c r="B18" s="41" t="s">
        <v>195</v>
      </c>
      <c r="C18" s="43">
        <v>1179000</v>
      </c>
      <c r="D18" s="43">
        <v>595145.02</v>
      </c>
      <c r="E18" s="43">
        <f t="shared" ref="E18:E19" si="0">F18-D18</f>
        <v>1073.9799999999814</v>
      </c>
      <c r="F18" s="43">
        <v>596219</v>
      </c>
      <c r="G18" s="43">
        <v>500000</v>
      </c>
      <c r="H18" s="15"/>
      <c r="I18" s="15"/>
      <c r="J18" s="15"/>
      <c r="K18" s="167"/>
      <c r="L18" s="15"/>
      <c r="M18" s="15"/>
      <c r="N18" s="15"/>
      <c r="O18" s="15"/>
      <c r="P18" s="15"/>
      <c r="Q18" s="15"/>
      <c r="R18" s="15"/>
      <c r="S18" s="15"/>
      <c r="T18" s="15"/>
      <c r="U18" s="15"/>
      <c r="V18" s="15"/>
      <c r="W18" s="15"/>
      <c r="X18" s="15"/>
      <c r="Y18" s="15"/>
      <c r="Z18" s="15"/>
    </row>
    <row r="19" spans="1:26" ht="15.75" customHeight="1" x14ac:dyDescent="0.25">
      <c r="A19" s="44" t="s">
        <v>402</v>
      </c>
      <c r="B19" s="20" t="s">
        <v>225</v>
      </c>
      <c r="C19" s="43">
        <v>22600.02</v>
      </c>
      <c r="D19" s="45">
        <v>0</v>
      </c>
      <c r="E19" s="43">
        <f t="shared" si="0"/>
        <v>24700</v>
      </c>
      <c r="F19" s="43">
        <v>24700</v>
      </c>
      <c r="G19" s="43">
        <v>24000</v>
      </c>
      <c r="H19" s="15"/>
      <c r="I19" s="15"/>
      <c r="J19" s="15"/>
      <c r="K19" s="167"/>
      <c r="L19" s="15"/>
      <c r="M19" s="15"/>
      <c r="N19" s="15"/>
      <c r="O19" s="15"/>
      <c r="P19" s="15"/>
      <c r="Q19" s="15"/>
      <c r="R19" s="15"/>
      <c r="S19" s="15"/>
      <c r="T19" s="15"/>
      <c r="U19" s="15"/>
      <c r="V19" s="15"/>
      <c r="W19" s="15"/>
      <c r="X19" s="15"/>
      <c r="Y19" s="15"/>
      <c r="Z19" s="15"/>
    </row>
    <row r="20" spans="1:26" ht="15.75" customHeight="1" x14ac:dyDescent="0.25">
      <c r="A20" s="42" t="s">
        <v>503</v>
      </c>
      <c r="B20" s="20"/>
      <c r="C20" s="42"/>
      <c r="D20" s="19"/>
      <c r="E20" s="19"/>
      <c r="F20" s="43"/>
      <c r="G20" s="43"/>
      <c r="H20" s="15"/>
      <c r="I20" s="15"/>
      <c r="J20" s="15"/>
      <c r="K20" s="167"/>
      <c r="L20" s="15"/>
      <c r="M20" s="15"/>
      <c r="N20" s="15"/>
      <c r="O20" s="15"/>
      <c r="P20" s="15"/>
      <c r="Q20" s="15"/>
      <c r="R20" s="15"/>
      <c r="S20" s="15"/>
      <c r="T20" s="15"/>
      <c r="U20" s="15"/>
      <c r="V20" s="15"/>
      <c r="W20" s="15"/>
      <c r="X20" s="15"/>
      <c r="Y20" s="15"/>
      <c r="Z20" s="15"/>
    </row>
    <row r="21" spans="1:26" ht="15.75" customHeight="1" x14ac:dyDescent="0.25">
      <c r="A21" s="189" t="s">
        <v>504</v>
      </c>
      <c r="B21" s="205" t="s">
        <v>237</v>
      </c>
      <c r="C21" s="43">
        <v>0</v>
      </c>
      <c r="D21" s="43">
        <v>0</v>
      </c>
      <c r="E21" s="43">
        <f>F21-D21</f>
        <v>0</v>
      </c>
      <c r="F21" s="43">
        <v>0</v>
      </c>
      <c r="G21" s="440">
        <v>20000</v>
      </c>
      <c r="H21" s="15"/>
      <c r="I21" s="15"/>
      <c r="J21" s="15"/>
      <c r="K21" s="167"/>
      <c r="L21" s="15"/>
      <c r="M21" s="15"/>
      <c r="N21" s="15"/>
      <c r="O21" s="15"/>
      <c r="P21" s="15"/>
      <c r="Q21" s="15"/>
      <c r="R21" s="15"/>
      <c r="S21" s="15"/>
      <c r="T21" s="15"/>
      <c r="U21" s="15"/>
      <c r="V21" s="15"/>
      <c r="W21" s="15"/>
      <c r="X21" s="15"/>
      <c r="Y21" s="15"/>
      <c r="Z21" s="15"/>
    </row>
    <row r="22" spans="1:26" ht="15.75" customHeight="1" x14ac:dyDescent="0.25">
      <c r="A22" s="17" t="s">
        <v>511</v>
      </c>
      <c r="B22" s="20"/>
      <c r="C22" s="42"/>
      <c r="D22" s="42"/>
      <c r="E22" s="19"/>
      <c r="F22" s="43"/>
      <c r="G22" s="440"/>
      <c r="H22" s="15"/>
      <c r="I22" s="15"/>
      <c r="J22" s="15"/>
      <c r="K22" s="167"/>
      <c r="L22" s="15"/>
      <c r="M22" s="15"/>
      <c r="N22" s="15"/>
      <c r="O22" s="15"/>
      <c r="P22" s="15"/>
      <c r="Q22" s="15"/>
      <c r="R22" s="15"/>
      <c r="S22" s="15"/>
      <c r="T22" s="15"/>
      <c r="U22" s="15"/>
      <c r="V22" s="15"/>
      <c r="W22" s="15"/>
      <c r="X22" s="15"/>
      <c r="Y22" s="15"/>
      <c r="Z22" s="15"/>
    </row>
    <row r="23" spans="1:26" ht="15.75" customHeight="1" x14ac:dyDescent="0.25">
      <c r="A23" s="44" t="s">
        <v>424</v>
      </c>
      <c r="B23" s="20" t="s">
        <v>335</v>
      </c>
      <c r="C23" s="43">
        <v>23392595.5</v>
      </c>
      <c r="D23" s="43">
        <v>13689100.5</v>
      </c>
      <c r="E23" s="45">
        <f>F23-D23</f>
        <v>19907404.5</v>
      </c>
      <c r="F23" s="43">
        <v>33596505</v>
      </c>
      <c r="G23" s="440">
        <v>43517512</v>
      </c>
      <c r="H23" s="167">
        <f>SUM(K25:K35)</f>
        <v>43517512</v>
      </c>
      <c r="I23" s="15"/>
      <c r="J23" s="15"/>
      <c r="K23" s="167"/>
      <c r="L23" s="15"/>
      <c r="M23" s="15"/>
      <c r="N23" s="15"/>
      <c r="O23" s="15"/>
      <c r="P23" s="15"/>
      <c r="Q23" s="15"/>
      <c r="R23" s="15"/>
      <c r="S23" s="15"/>
      <c r="T23" s="15"/>
      <c r="U23" s="15"/>
      <c r="V23" s="15"/>
      <c r="W23" s="15"/>
      <c r="X23" s="15"/>
      <c r="Y23" s="15"/>
      <c r="Z23" s="15"/>
    </row>
    <row r="24" spans="1:26" ht="15.75" customHeight="1" x14ac:dyDescent="0.25">
      <c r="A24" s="17" t="s">
        <v>1913</v>
      </c>
      <c r="B24" s="20"/>
      <c r="C24" s="43"/>
      <c r="D24" s="43"/>
      <c r="E24" s="45"/>
      <c r="F24" s="26"/>
      <c r="G24" s="440"/>
      <c r="H24" s="15"/>
      <c r="I24" s="15"/>
      <c r="J24" s="15"/>
      <c r="K24" s="167"/>
      <c r="L24" s="15"/>
      <c r="M24" s="15"/>
      <c r="N24" s="15"/>
      <c r="O24" s="15"/>
      <c r="P24" s="15"/>
      <c r="Q24" s="15"/>
      <c r="R24" s="15"/>
      <c r="S24" s="15"/>
      <c r="T24" s="15"/>
      <c r="U24" s="15"/>
      <c r="V24" s="15"/>
      <c r="W24" s="15"/>
      <c r="X24" s="15"/>
      <c r="Y24" s="15"/>
      <c r="Z24" s="15"/>
    </row>
    <row r="25" spans="1:26" ht="15.75" customHeight="1" x14ac:dyDescent="0.25">
      <c r="A25" s="44" t="s">
        <v>1914</v>
      </c>
      <c r="B25" s="20"/>
      <c r="C25" s="43"/>
      <c r="D25" s="43"/>
      <c r="E25" s="45"/>
      <c r="F25" s="26"/>
      <c r="G25" s="440"/>
      <c r="H25" s="15">
        <v>264</v>
      </c>
      <c r="I25" s="15">
        <v>720</v>
      </c>
      <c r="J25" s="15">
        <v>4</v>
      </c>
      <c r="K25" s="167">
        <f t="shared" ref="K25:K27" si="1">H25*I25*J25</f>
        <v>760320</v>
      </c>
      <c r="L25" s="15"/>
      <c r="M25" s="15"/>
      <c r="N25" s="15"/>
      <c r="O25" s="15"/>
      <c r="P25" s="15"/>
      <c r="Q25" s="15"/>
      <c r="R25" s="15"/>
      <c r="S25" s="15"/>
      <c r="T25" s="15"/>
      <c r="U25" s="15"/>
      <c r="V25" s="15"/>
      <c r="W25" s="15"/>
      <c r="X25" s="15"/>
      <c r="Y25" s="15"/>
      <c r="Z25" s="15"/>
    </row>
    <row r="26" spans="1:26" ht="15.75" customHeight="1" x14ac:dyDescent="0.25">
      <c r="A26" s="44" t="s">
        <v>1915</v>
      </c>
      <c r="B26" s="20"/>
      <c r="C26" s="43"/>
      <c r="D26" s="43"/>
      <c r="E26" s="45"/>
      <c r="F26" s="26"/>
      <c r="G26" s="43"/>
      <c r="H26" s="15">
        <v>264</v>
      </c>
      <c r="I26" s="15">
        <v>678</v>
      </c>
      <c r="J26" s="15">
        <v>1</v>
      </c>
      <c r="K26" s="167">
        <f t="shared" si="1"/>
        <v>178992</v>
      </c>
      <c r="L26" s="15"/>
      <c r="M26" s="15"/>
      <c r="N26" s="15"/>
      <c r="O26" s="15"/>
      <c r="P26" s="15"/>
      <c r="Q26" s="15"/>
      <c r="R26" s="15"/>
      <c r="S26" s="15"/>
      <c r="T26" s="15"/>
      <c r="U26" s="15"/>
      <c r="V26" s="15"/>
      <c r="W26" s="15"/>
      <c r="X26" s="15"/>
      <c r="Y26" s="15"/>
      <c r="Z26" s="15"/>
    </row>
    <row r="27" spans="1:26" ht="15.75" customHeight="1" x14ac:dyDescent="0.25">
      <c r="A27" s="44" t="s">
        <v>1916</v>
      </c>
      <c r="B27" s="20"/>
      <c r="C27" s="43"/>
      <c r="D27" s="43"/>
      <c r="E27" s="45"/>
      <c r="F27" s="26"/>
      <c r="G27" s="43"/>
      <c r="H27" s="15">
        <v>264</v>
      </c>
      <c r="I27" s="15">
        <v>861</v>
      </c>
      <c r="J27" s="15">
        <v>175</v>
      </c>
      <c r="K27" s="167">
        <f t="shared" si="1"/>
        <v>39778200</v>
      </c>
      <c r="L27" s="15"/>
      <c r="M27" s="15"/>
      <c r="N27" s="15"/>
      <c r="O27" s="15"/>
      <c r="P27" s="15"/>
      <c r="Q27" s="15"/>
      <c r="R27" s="15"/>
      <c r="S27" s="15"/>
      <c r="T27" s="15"/>
      <c r="U27" s="15"/>
      <c r="V27" s="15"/>
      <c r="W27" s="15"/>
      <c r="X27" s="15"/>
      <c r="Y27" s="15"/>
      <c r="Z27" s="15"/>
    </row>
    <row r="28" spans="1:26" ht="15.75" customHeight="1" x14ac:dyDescent="0.25">
      <c r="A28" s="44" t="s">
        <v>1917</v>
      </c>
      <c r="B28" s="20"/>
      <c r="C28" s="43"/>
      <c r="D28" s="43"/>
      <c r="E28" s="45"/>
      <c r="F28" s="26"/>
      <c r="G28" s="43"/>
      <c r="H28" s="15"/>
      <c r="I28" s="15"/>
      <c r="J28" s="15"/>
      <c r="K28" s="167">
        <v>400000</v>
      </c>
      <c r="L28" s="15"/>
      <c r="M28" s="15"/>
      <c r="N28" s="15"/>
      <c r="O28" s="15"/>
      <c r="P28" s="15"/>
      <c r="Q28" s="15"/>
      <c r="R28" s="15"/>
      <c r="S28" s="15"/>
      <c r="T28" s="15"/>
      <c r="U28" s="15"/>
      <c r="V28" s="15"/>
      <c r="W28" s="15"/>
      <c r="X28" s="15"/>
      <c r="Y28" s="15"/>
      <c r="Z28" s="15"/>
    </row>
    <row r="29" spans="1:26" ht="15.75" customHeight="1" x14ac:dyDescent="0.25">
      <c r="A29" s="44" t="s">
        <v>1918</v>
      </c>
      <c r="B29" s="20"/>
      <c r="C29" s="43"/>
      <c r="D29" s="43"/>
      <c r="E29" s="45"/>
      <c r="F29" s="26"/>
      <c r="G29" s="43"/>
      <c r="H29" s="15"/>
      <c r="I29" s="15"/>
      <c r="J29" s="15"/>
      <c r="K29" s="167">
        <v>600000</v>
      </c>
      <c r="L29" s="15"/>
      <c r="M29" s="15"/>
      <c r="N29" s="15"/>
      <c r="O29" s="15"/>
      <c r="P29" s="15"/>
      <c r="Q29" s="15"/>
      <c r="R29" s="15"/>
      <c r="S29" s="15"/>
      <c r="T29" s="15"/>
      <c r="U29" s="15"/>
      <c r="V29" s="15"/>
      <c r="W29" s="15"/>
      <c r="X29" s="15"/>
      <c r="Y29" s="15"/>
      <c r="Z29" s="15"/>
    </row>
    <row r="30" spans="1:26" ht="15.75" customHeight="1" x14ac:dyDescent="0.25">
      <c r="A30" s="44" t="s">
        <v>1919</v>
      </c>
      <c r="B30" s="20"/>
      <c r="C30" s="43"/>
      <c r="D30" s="43"/>
      <c r="E30" s="45"/>
      <c r="F30" s="26"/>
      <c r="G30" s="43"/>
      <c r="H30" s="15"/>
      <c r="I30" s="15"/>
      <c r="J30" s="15"/>
      <c r="K30" s="167">
        <v>60000</v>
      </c>
      <c r="L30" s="15"/>
      <c r="M30" s="15"/>
      <c r="N30" s="15"/>
      <c r="O30" s="15"/>
      <c r="P30" s="15"/>
      <c r="Q30" s="15"/>
      <c r="R30" s="15"/>
      <c r="S30" s="15"/>
      <c r="T30" s="15"/>
      <c r="U30" s="15"/>
      <c r="V30" s="15"/>
      <c r="W30" s="15"/>
      <c r="X30" s="15"/>
      <c r="Y30" s="15"/>
      <c r="Z30" s="15"/>
    </row>
    <row r="31" spans="1:26" ht="15.75" customHeight="1" x14ac:dyDescent="0.25">
      <c r="A31" s="44" t="s">
        <v>1920</v>
      </c>
      <c r="B31" s="20"/>
      <c r="C31" s="43"/>
      <c r="D31" s="43"/>
      <c r="E31" s="45"/>
      <c r="F31" s="26"/>
      <c r="G31" s="43"/>
      <c r="H31" s="15"/>
      <c r="I31" s="15"/>
      <c r="J31" s="15"/>
      <c r="K31" s="167">
        <v>400000</v>
      </c>
      <c r="L31" s="15"/>
      <c r="M31" s="15"/>
      <c r="N31" s="15"/>
      <c r="O31" s="15"/>
      <c r="P31" s="15"/>
      <c r="Q31" s="15"/>
      <c r="R31" s="15"/>
      <c r="S31" s="15"/>
      <c r="T31" s="15"/>
      <c r="U31" s="15"/>
      <c r="V31" s="15"/>
      <c r="W31" s="15"/>
      <c r="X31" s="15"/>
      <c r="Y31" s="15"/>
      <c r="Z31" s="15"/>
    </row>
    <row r="32" spans="1:26" ht="15.75" customHeight="1" x14ac:dyDescent="0.25">
      <c r="A32" s="44" t="s">
        <v>1921</v>
      </c>
      <c r="B32" s="20"/>
      <c r="C32" s="43"/>
      <c r="D32" s="43"/>
      <c r="E32" s="45"/>
      <c r="F32" s="26"/>
      <c r="G32" s="43"/>
      <c r="H32" s="15"/>
      <c r="I32" s="15"/>
      <c r="J32" s="15"/>
      <c r="K32" s="167">
        <v>50000</v>
      </c>
      <c r="L32" s="15"/>
      <c r="M32" s="15"/>
      <c r="N32" s="15"/>
      <c r="O32" s="15"/>
      <c r="P32" s="15"/>
      <c r="Q32" s="15"/>
      <c r="R32" s="15"/>
      <c r="S32" s="15"/>
      <c r="T32" s="15"/>
      <c r="U32" s="15"/>
      <c r="V32" s="15"/>
      <c r="W32" s="15"/>
      <c r="X32" s="15"/>
      <c r="Y32" s="15"/>
      <c r="Z32" s="15"/>
    </row>
    <row r="33" spans="1:26" ht="15.75" customHeight="1" x14ac:dyDescent="0.25">
      <c r="A33" s="44" t="s">
        <v>1922</v>
      </c>
      <c r="B33" s="20"/>
      <c r="C33" s="43"/>
      <c r="D33" s="43"/>
      <c r="E33" s="45"/>
      <c r="F33" s="26"/>
      <c r="G33" s="43"/>
      <c r="H33" s="15"/>
      <c r="I33" s="15"/>
      <c r="J33" s="15"/>
      <c r="K33" s="167">
        <v>200000</v>
      </c>
      <c r="L33" s="15"/>
      <c r="M33" s="15"/>
      <c r="N33" s="15"/>
      <c r="O33" s="15"/>
      <c r="P33" s="15"/>
      <c r="Q33" s="15"/>
      <c r="R33" s="15"/>
      <c r="S33" s="15"/>
      <c r="T33" s="15"/>
      <c r="U33" s="15"/>
      <c r="V33" s="15"/>
      <c r="W33" s="15"/>
      <c r="X33" s="15"/>
      <c r="Y33" s="15"/>
      <c r="Z33" s="15"/>
    </row>
    <row r="34" spans="1:26" ht="15.75" customHeight="1" x14ac:dyDescent="0.25">
      <c r="A34" s="44" t="s">
        <v>1923</v>
      </c>
      <c r="B34" s="20"/>
      <c r="C34" s="43"/>
      <c r="D34" s="43"/>
      <c r="E34" s="45"/>
      <c r="F34" s="26"/>
      <c r="G34" s="43"/>
      <c r="H34" s="15"/>
      <c r="I34" s="15"/>
      <c r="J34" s="15"/>
      <c r="K34" s="167">
        <v>1040000</v>
      </c>
      <c r="L34" s="15"/>
      <c r="M34" s="15"/>
      <c r="N34" s="15"/>
      <c r="O34" s="15"/>
      <c r="P34" s="15"/>
      <c r="Q34" s="15"/>
      <c r="R34" s="15"/>
      <c r="S34" s="15"/>
      <c r="T34" s="15"/>
      <c r="U34" s="15"/>
      <c r="V34" s="15"/>
      <c r="W34" s="15"/>
      <c r="X34" s="15"/>
      <c r="Y34" s="15"/>
      <c r="Z34" s="15"/>
    </row>
    <row r="35" spans="1:26" ht="15.75" customHeight="1" x14ac:dyDescent="0.25">
      <c r="A35" s="44" t="s">
        <v>1924</v>
      </c>
      <c r="B35" s="20"/>
      <c r="C35" s="43"/>
      <c r="D35" s="43"/>
      <c r="E35" s="45"/>
      <c r="F35" s="26"/>
      <c r="G35" s="43"/>
      <c r="H35" s="15"/>
      <c r="I35" s="15"/>
      <c r="J35" s="15"/>
      <c r="K35" s="167">
        <v>50000</v>
      </c>
      <c r="L35" s="15"/>
      <c r="M35" s="15"/>
      <c r="N35" s="15"/>
      <c r="O35" s="15"/>
      <c r="P35" s="15"/>
      <c r="Q35" s="15"/>
      <c r="R35" s="15"/>
      <c r="S35" s="15"/>
      <c r="T35" s="15"/>
      <c r="U35" s="15"/>
      <c r="V35" s="15"/>
      <c r="W35" s="15"/>
      <c r="X35" s="15"/>
      <c r="Y35" s="15"/>
      <c r="Z35" s="15"/>
    </row>
    <row r="36" spans="1:26" ht="15.75" customHeight="1" x14ac:dyDescent="0.25">
      <c r="A36" s="44" t="s">
        <v>1925</v>
      </c>
      <c r="B36" s="20"/>
      <c r="C36" s="43"/>
      <c r="D36" s="43"/>
      <c r="E36" s="45"/>
      <c r="F36" s="26"/>
      <c r="G36" s="43"/>
      <c r="H36" s="15"/>
      <c r="I36" s="15"/>
      <c r="J36" s="15"/>
      <c r="K36" s="167"/>
      <c r="L36" s="15"/>
      <c r="M36" s="15"/>
      <c r="N36" s="15"/>
      <c r="O36" s="15"/>
      <c r="P36" s="15"/>
      <c r="Q36" s="15"/>
      <c r="R36" s="15"/>
      <c r="S36" s="15"/>
      <c r="T36" s="15"/>
      <c r="U36" s="15"/>
      <c r="V36" s="15"/>
      <c r="W36" s="15"/>
      <c r="X36" s="15"/>
      <c r="Y36" s="15"/>
      <c r="Z36" s="15"/>
    </row>
    <row r="37" spans="1:26" ht="15.75" customHeight="1" x14ac:dyDescent="0.25">
      <c r="A37" s="486" t="s">
        <v>466</v>
      </c>
      <c r="B37" s="447"/>
      <c r="C37" s="54">
        <f t="shared" ref="C37:G37" si="2">SUM(C14:C23)</f>
        <v>24610195.52</v>
      </c>
      <c r="D37" s="54">
        <f t="shared" si="2"/>
        <v>14477735.800000001</v>
      </c>
      <c r="E37" s="54">
        <f t="shared" si="2"/>
        <v>20170688.199999999</v>
      </c>
      <c r="F37" s="54">
        <f t="shared" si="2"/>
        <v>34648424</v>
      </c>
      <c r="G37" s="54">
        <f t="shared" si="2"/>
        <v>44496512</v>
      </c>
      <c r="H37" s="15"/>
      <c r="I37" s="15"/>
      <c r="J37" s="15"/>
      <c r="K37" s="167"/>
      <c r="L37" s="15"/>
      <c r="M37" s="15"/>
      <c r="N37" s="15"/>
      <c r="O37" s="15"/>
      <c r="P37" s="15"/>
      <c r="Q37" s="15"/>
      <c r="R37" s="15"/>
      <c r="S37" s="15"/>
      <c r="T37" s="15"/>
      <c r="U37" s="15"/>
      <c r="V37" s="15"/>
      <c r="W37" s="15"/>
      <c r="X37" s="15"/>
      <c r="Y37" s="15"/>
      <c r="Z37" s="15"/>
    </row>
    <row r="38" spans="1:26" ht="15.75" customHeight="1" x14ac:dyDescent="0.25">
      <c r="A38" s="456"/>
      <c r="B38" s="454"/>
      <c r="C38" s="449"/>
      <c r="D38" s="55"/>
      <c r="E38" s="55"/>
      <c r="F38" s="55"/>
      <c r="G38" s="55"/>
      <c r="H38" s="15"/>
      <c r="I38" s="15"/>
      <c r="J38" s="15"/>
      <c r="K38" s="167"/>
      <c r="L38" s="15"/>
      <c r="M38" s="15"/>
      <c r="N38" s="15"/>
      <c r="O38" s="15"/>
      <c r="P38" s="15"/>
      <c r="Q38" s="15"/>
      <c r="R38" s="15"/>
      <c r="S38" s="15"/>
      <c r="T38" s="15"/>
      <c r="U38" s="15"/>
      <c r="V38" s="15"/>
      <c r="W38" s="15"/>
      <c r="X38" s="15"/>
      <c r="Y38" s="15"/>
      <c r="Z38" s="15"/>
    </row>
    <row r="39" spans="1:26" ht="15.75" customHeight="1" x14ac:dyDescent="0.25">
      <c r="A39" s="17" t="s">
        <v>467</v>
      </c>
      <c r="B39" s="20"/>
      <c r="C39" s="43">
        <f t="shared" ref="C39:D39" si="3">C37</f>
        <v>24610195.52</v>
      </c>
      <c r="D39" s="43">
        <f t="shared" si="3"/>
        <v>14477735.800000001</v>
      </c>
      <c r="E39" s="43">
        <f>F39-D39</f>
        <v>20170688.199999999</v>
      </c>
      <c r="F39" s="43">
        <f t="shared" ref="F39:G39" si="4">F37</f>
        <v>34648424</v>
      </c>
      <c r="G39" s="43">
        <f t="shared" si="4"/>
        <v>44496512</v>
      </c>
      <c r="H39" s="15"/>
      <c r="I39" s="15"/>
      <c r="J39" s="15"/>
      <c r="K39" s="167"/>
      <c r="L39" s="15"/>
      <c r="M39" s="15"/>
      <c r="N39" s="15"/>
      <c r="O39" s="15"/>
      <c r="P39" s="15"/>
      <c r="Q39" s="15"/>
      <c r="R39" s="15"/>
      <c r="S39" s="15"/>
      <c r="T39" s="15"/>
      <c r="U39" s="15"/>
      <c r="V39" s="15"/>
      <c r="W39" s="15"/>
      <c r="X39" s="15"/>
      <c r="Y39" s="15"/>
      <c r="Z39" s="15"/>
    </row>
    <row r="40" spans="1:26" ht="15.75" customHeight="1" x14ac:dyDescent="0.25">
      <c r="A40" s="161"/>
      <c r="B40" s="20"/>
      <c r="C40" s="43"/>
      <c r="D40" s="43"/>
      <c r="E40" s="43"/>
      <c r="F40" s="43"/>
      <c r="G40" s="43"/>
      <c r="H40" s="15"/>
      <c r="I40" s="15"/>
      <c r="J40" s="15"/>
      <c r="K40" s="167"/>
      <c r="L40" s="15"/>
      <c r="M40" s="15"/>
      <c r="N40" s="15"/>
      <c r="O40" s="15"/>
      <c r="P40" s="15"/>
      <c r="Q40" s="15"/>
      <c r="R40" s="15"/>
      <c r="S40" s="15"/>
      <c r="T40" s="15"/>
      <c r="U40" s="15"/>
      <c r="V40" s="15"/>
      <c r="W40" s="15"/>
      <c r="X40" s="15"/>
      <c r="Y40" s="15"/>
      <c r="Z40" s="15"/>
    </row>
    <row r="41" spans="1:26" ht="15.75" customHeight="1" x14ac:dyDescent="0.25">
      <c r="A41" s="161" t="s">
        <v>529</v>
      </c>
      <c r="B41" s="20"/>
      <c r="C41" s="43"/>
      <c r="D41" s="43"/>
      <c r="E41" s="43"/>
      <c r="F41" s="43"/>
      <c r="G41" s="43"/>
      <c r="H41" s="15"/>
      <c r="I41" s="15"/>
      <c r="J41" s="15"/>
      <c r="K41" s="167"/>
      <c r="L41" s="15"/>
      <c r="M41" s="15"/>
      <c r="N41" s="15"/>
      <c r="O41" s="15"/>
      <c r="P41" s="15"/>
      <c r="Q41" s="15"/>
      <c r="R41" s="15"/>
      <c r="S41" s="15"/>
      <c r="T41" s="15"/>
      <c r="U41" s="15"/>
      <c r="V41" s="15"/>
      <c r="W41" s="15"/>
      <c r="X41" s="15"/>
      <c r="Y41" s="15"/>
      <c r="Z41" s="15"/>
    </row>
    <row r="42" spans="1:26" ht="15.75" customHeight="1" x14ac:dyDescent="0.25">
      <c r="A42" s="161" t="s">
        <v>1926</v>
      </c>
      <c r="B42" s="20"/>
      <c r="C42" s="43"/>
      <c r="D42" s="43"/>
      <c r="E42" s="43"/>
      <c r="F42" s="43"/>
      <c r="G42" s="43"/>
      <c r="H42" s="15"/>
      <c r="I42" s="15"/>
      <c r="J42" s="15"/>
      <c r="K42" s="167"/>
      <c r="L42" s="15"/>
      <c r="M42" s="15"/>
      <c r="N42" s="15"/>
      <c r="O42" s="15"/>
      <c r="P42" s="15"/>
      <c r="Q42" s="15"/>
      <c r="R42" s="15"/>
      <c r="S42" s="15"/>
      <c r="T42" s="15"/>
      <c r="U42" s="15"/>
      <c r="V42" s="15"/>
      <c r="W42" s="15"/>
      <c r="X42" s="15"/>
      <c r="Y42" s="15"/>
      <c r="Z42" s="15"/>
    </row>
    <row r="43" spans="1:26" ht="15.75" customHeight="1" x14ac:dyDescent="0.25">
      <c r="A43" s="162" t="s">
        <v>788</v>
      </c>
      <c r="B43" s="205" t="s">
        <v>45</v>
      </c>
      <c r="C43" s="43">
        <v>0</v>
      </c>
      <c r="D43" s="43">
        <v>0</v>
      </c>
      <c r="E43" s="43">
        <f>F43-D43</f>
        <v>0</v>
      </c>
      <c r="F43" s="43">
        <v>0</v>
      </c>
      <c r="G43" s="43">
        <v>413000</v>
      </c>
      <c r="H43" s="15"/>
      <c r="I43" s="15"/>
      <c r="J43" s="15"/>
      <c r="K43" s="167"/>
      <c r="L43" s="15"/>
      <c r="M43" s="15"/>
      <c r="N43" s="15"/>
      <c r="O43" s="15"/>
      <c r="P43" s="15"/>
      <c r="Q43" s="15"/>
      <c r="R43" s="15"/>
      <c r="S43" s="15"/>
      <c r="T43" s="15"/>
      <c r="U43" s="15"/>
      <c r="V43" s="15"/>
      <c r="W43" s="15"/>
      <c r="X43" s="15"/>
      <c r="Y43" s="15"/>
      <c r="Z43" s="15"/>
    </row>
    <row r="44" spans="1:26" ht="15.75" customHeight="1" x14ac:dyDescent="0.25">
      <c r="A44" s="161" t="s">
        <v>1927</v>
      </c>
      <c r="B44" s="20"/>
      <c r="C44" s="43"/>
      <c r="D44" s="43"/>
      <c r="E44" s="43"/>
      <c r="F44" s="43"/>
      <c r="G44" s="43"/>
      <c r="H44" s="15"/>
      <c r="I44" s="15"/>
      <c r="J44" s="15"/>
      <c r="K44" s="167"/>
      <c r="L44" s="15"/>
      <c r="M44" s="15"/>
      <c r="N44" s="15"/>
      <c r="O44" s="15"/>
      <c r="P44" s="15"/>
      <c r="Q44" s="15"/>
      <c r="R44" s="15"/>
      <c r="S44" s="15"/>
      <c r="T44" s="15"/>
      <c r="U44" s="15"/>
      <c r="V44" s="15"/>
      <c r="W44" s="15"/>
      <c r="X44" s="15"/>
      <c r="Y44" s="15"/>
      <c r="Z44" s="15"/>
    </row>
    <row r="45" spans="1:26" ht="15.75" customHeight="1" x14ac:dyDescent="0.25">
      <c r="A45" s="161" t="s">
        <v>536</v>
      </c>
      <c r="B45" s="41"/>
      <c r="C45" s="54">
        <f>SUM(C42:C44)</f>
        <v>0</v>
      </c>
      <c r="D45" s="54">
        <f>SUM(D42:D44)</f>
        <v>0</v>
      </c>
      <c r="E45" s="54">
        <f>SUM(E42:E44)</f>
        <v>0</v>
      </c>
      <c r="F45" s="54">
        <f>SUM(F42:F44)</f>
        <v>0</v>
      </c>
      <c r="G45" s="54">
        <f>SUM(G42:G44)</f>
        <v>413000</v>
      </c>
      <c r="H45" s="15"/>
      <c r="I45" s="15"/>
      <c r="J45" s="15"/>
      <c r="K45" s="167"/>
      <c r="L45" s="15"/>
      <c r="M45" s="15"/>
      <c r="N45" s="15"/>
      <c r="O45" s="15"/>
      <c r="P45" s="15"/>
      <c r="Q45" s="15"/>
      <c r="R45" s="15"/>
      <c r="S45" s="15"/>
      <c r="T45" s="15"/>
      <c r="U45" s="15"/>
      <c r="V45" s="15"/>
      <c r="W45" s="15"/>
      <c r="X45" s="15"/>
      <c r="Y45" s="15"/>
      <c r="Z45" s="15"/>
    </row>
    <row r="46" spans="1:26" ht="15.75" customHeight="1" x14ac:dyDescent="0.25">
      <c r="A46" s="42"/>
      <c r="B46" s="20"/>
      <c r="C46" s="41"/>
      <c r="D46" s="26"/>
      <c r="E46" s="43"/>
      <c r="F46" s="41"/>
      <c r="G46" s="41"/>
      <c r="H46" s="15"/>
      <c r="I46" s="15"/>
      <c r="J46" s="15"/>
      <c r="K46" s="167"/>
      <c r="L46" s="15"/>
      <c r="M46" s="15"/>
      <c r="N46" s="15"/>
      <c r="O46" s="15"/>
      <c r="P46" s="15"/>
      <c r="Q46" s="15"/>
      <c r="R46" s="15"/>
      <c r="S46" s="15"/>
      <c r="T46" s="15"/>
      <c r="U46" s="15"/>
      <c r="V46" s="15"/>
      <c r="W46" s="15"/>
      <c r="X46" s="15"/>
      <c r="Y46" s="15"/>
      <c r="Z46" s="15"/>
    </row>
    <row r="47" spans="1:26" ht="15.75" customHeight="1" x14ac:dyDescent="0.25">
      <c r="A47" s="50" t="s">
        <v>487</v>
      </c>
      <c r="B47" s="51" t="s">
        <v>488</v>
      </c>
      <c r="C47" s="54">
        <f>C39+C45</f>
        <v>24610195.52</v>
      </c>
      <c r="D47" s="54">
        <f>D39+D45</f>
        <v>14477735.800000001</v>
      </c>
      <c r="E47" s="54">
        <f>F47-D47</f>
        <v>20170688.199999999</v>
      </c>
      <c r="F47" s="54">
        <f>F39+F45</f>
        <v>34648424</v>
      </c>
      <c r="G47" s="54">
        <f>G39+G45</f>
        <v>44909512</v>
      </c>
      <c r="H47" s="15"/>
      <c r="I47" s="15"/>
      <c r="J47" s="15"/>
      <c r="K47" s="167"/>
      <c r="L47" s="15"/>
      <c r="M47" s="15"/>
      <c r="N47" s="15"/>
      <c r="O47" s="15"/>
      <c r="P47" s="15"/>
      <c r="Q47" s="15"/>
      <c r="R47" s="15"/>
      <c r="S47" s="15"/>
      <c r="T47" s="15"/>
      <c r="U47" s="15"/>
      <c r="V47" s="15"/>
      <c r="W47" s="15"/>
      <c r="X47" s="15"/>
      <c r="Y47" s="15"/>
      <c r="Z47" s="15"/>
    </row>
    <row r="48" spans="1:26" ht="15.75" customHeight="1" x14ac:dyDescent="0.25">
      <c r="A48" s="24"/>
      <c r="B48" s="25"/>
      <c r="C48" s="24"/>
      <c r="D48" s="24"/>
      <c r="E48" s="24"/>
      <c r="F48" s="114"/>
      <c r="G48" s="114"/>
      <c r="H48" s="114"/>
      <c r="I48" s="114"/>
      <c r="J48" s="114"/>
      <c r="K48" s="212"/>
      <c r="L48" s="114"/>
      <c r="M48" s="114"/>
      <c r="N48" s="114"/>
      <c r="O48" s="114"/>
      <c r="P48" s="114"/>
      <c r="Q48" s="114"/>
      <c r="R48" s="114"/>
      <c r="S48" s="114"/>
      <c r="T48" s="114"/>
      <c r="U48" s="114"/>
      <c r="V48" s="114"/>
      <c r="W48" s="114"/>
      <c r="X48" s="114"/>
      <c r="Y48" s="114"/>
      <c r="Z48" s="114"/>
    </row>
    <row r="49" spans="1:26" ht="15.75" customHeight="1" x14ac:dyDescent="0.25">
      <c r="A49" s="24"/>
      <c r="B49" s="25"/>
      <c r="C49" s="24"/>
      <c r="D49" s="24"/>
      <c r="E49" s="24"/>
      <c r="F49" s="15"/>
      <c r="G49" s="15"/>
      <c r="H49" s="15"/>
      <c r="I49" s="15"/>
      <c r="J49" s="15"/>
      <c r="K49" s="167"/>
      <c r="L49" s="15"/>
      <c r="M49" s="15"/>
      <c r="N49" s="15"/>
      <c r="O49" s="15"/>
      <c r="P49" s="15"/>
      <c r="Q49" s="15"/>
      <c r="R49" s="15"/>
      <c r="S49" s="15"/>
      <c r="T49" s="15"/>
      <c r="U49" s="15"/>
      <c r="V49" s="15"/>
      <c r="W49" s="15"/>
      <c r="X49" s="15"/>
      <c r="Y49" s="15"/>
      <c r="Z49" s="15"/>
    </row>
    <row r="50" spans="1:26" ht="15.75" customHeight="1" x14ac:dyDescent="0.25">
      <c r="A50" s="9"/>
      <c r="B50" s="104"/>
      <c r="C50" s="105"/>
      <c r="D50" s="105"/>
      <c r="E50" s="105"/>
      <c r="F50" s="10"/>
      <c r="G50" s="180"/>
      <c r="H50" s="15"/>
      <c r="I50" s="15"/>
      <c r="J50" s="15"/>
      <c r="K50" s="167"/>
      <c r="L50" s="15"/>
      <c r="M50" s="15"/>
      <c r="N50" s="15"/>
      <c r="O50" s="15"/>
      <c r="P50" s="15"/>
      <c r="Q50" s="15"/>
      <c r="R50" s="15"/>
      <c r="S50" s="15"/>
      <c r="T50" s="15"/>
      <c r="U50" s="15"/>
      <c r="V50" s="15"/>
      <c r="W50" s="15"/>
      <c r="X50" s="15"/>
      <c r="Y50" s="15"/>
      <c r="Z50" s="15"/>
    </row>
    <row r="51" spans="1:26" ht="15.75" customHeight="1" x14ac:dyDescent="0.25">
      <c r="A51" s="108" t="s">
        <v>1928</v>
      </c>
      <c r="B51" s="25"/>
      <c r="C51" s="26"/>
      <c r="D51" s="26"/>
      <c r="E51" s="26"/>
      <c r="F51" s="14"/>
      <c r="G51" s="181"/>
      <c r="H51" s="15"/>
      <c r="I51" s="15"/>
      <c r="J51" s="15"/>
      <c r="K51" s="167"/>
      <c r="L51" s="15"/>
      <c r="M51" s="15"/>
      <c r="N51" s="15"/>
      <c r="O51" s="15"/>
      <c r="P51" s="15"/>
      <c r="Q51" s="15"/>
      <c r="R51" s="15"/>
      <c r="S51" s="15"/>
      <c r="T51" s="15"/>
      <c r="U51" s="15"/>
      <c r="V51" s="15"/>
      <c r="W51" s="15"/>
      <c r="X51" s="15"/>
      <c r="Y51" s="15"/>
      <c r="Z51" s="15"/>
    </row>
    <row r="52" spans="1:26" ht="15.75" customHeight="1" x14ac:dyDescent="0.25">
      <c r="A52" s="108"/>
      <c r="B52" s="25"/>
      <c r="C52" s="26"/>
      <c r="D52" s="26"/>
      <c r="E52" s="26"/>
      <c r="F52" s="14"/>
      <c r="G52" s="181"/>
      <c r="H52" s="15"/>
      <c r="I52" s="15"/>
      <c r="J52" s="15"/>
      <c r="K52" s="167"/>
      <c r="L52" s="15"/>
      <c r="M52" s="15"/>
      <c r="N52" s="15"/>
      <c r="O52" s="15"/>
      <c r="P52" s="15"/>
      <c r="Q52" s="15"/>
      <c r="R52" s="15"/>
      <c r="S52" s="15"/>
      <c r="T52" s="15"/>
      <c r="U52" s="15"/>
      <c r="V52" s="15"/>
      <c r="W52" s="15"/>
      <c r="X52" s="15"/>
      <c r="Y52" s="15"/>
      <c r="Z52" s="15"/>
    </row>
    <row r="53" spans="1:26" ht="15.75" customHeight="1" x14ac:dyDescent="0.25">
      <c r="A53" s="865" t="s">
        <v>352</v>
      </c>
      <c r="B53" s="866"/>
      <c r="C53" s="866"/>
      <c r="D53" s="866"/>
      <c r="E53" s="866"/>
      <c r="F53" s="866"/>
      <c r="G53" s="867"/>
      <c r="H53" s="15"/>
      <c r="I53" s="15"/>
      <c r="J53" s="15"/>
      <c r="K53" s="167"/>
      <c r="L53" s="15"/>
      <c r="M53" s="15"/>
      <c r="N53" s="15"/>
      <c r="O53" s="15"/>
      <c r="P53" s="15"/>
      <c r="Q53" s="15"/>
      <c r="R53" s="15"/>
      <c r="S53" s="15"/>
      <c r="T53" s="15"/>
      <c r="U53" s="15"/>
      <c r="V53" s="15"/>
      <c r="W53" s="15"/>
      <c r="X53" s="15"/>
      <c r="Y53" s="15"/>
      <c r="Z53" s="15"/>
    </row>
    <row r="54" spans="1:26" ht="15.75" customHeight="1" x14ac:dyDescent="0.25">
      <c r="A54" s="868" t="s">
        <v>1194</v>
      </c>
      <c r="B54" s="857" t="s">
        <v>354</v>
      </c>
      <c r="C54" s="857" t="s">
        <v>355</v>
      </c>
      <c r="D54" s="884" t="s">
        <v>356</v>
      </c>
      <c r="E54" s="885"/>
      <c r="F54" s="886"/>
      <c r="G54" s="857" t="s">
        <v>357</v>
      </c>
      <c r="H54" s="15"/>
      <c r="I54" s="15"/>
      <c r="J54" s="15"/>
      <c r="K54" s="167"/>
      <c r="L54" s="15"/>
      <c r="M54" s="15"/>
      <c r="N54" s="15"/>
      <c r="O54" s="15"/>
      <c r="P54" s="15"/>
      <c r="Q54" s="15"/>
      <c r="R54" s="15"/>
      <c r="S54" s="15"/>
      <c r="T54" s="15"/>
      <c r="U54" s="15"/>
      <c r="V54" s="15"/>
      <c r="W54" s="15"/>
      <c r="X54" s="15"/>
      <c r="Y54" s="15"/>
      <c r="Z54" s="15"/>
    </row>
    <row r="55" spans="1:26" ht="15.75" customHeight="1" x14ac:dyDescent="0.25">
      <c r="A55" s="858"/>
      <c r="B55" s="858"/>
      <c r="C55" s="858"/>
      <c r="D55" s="28" t="s">
        <v>358</v>
      </c>
      <c r="E55" s="29" t="s">
        <v>359</v>
      </c>
      <c r="F55" s="857" t="s">
        <v>360</v>
      </c>
      <c r="G55" s="858"/>
      <c r="H55" s="15"/>
      <c r="I55" s="15"/>
      <c r="J55" s="15"/>
      <c r="K55" s="167"/>
      <c r="L55" s="15"/>
      <c r="M55" s="15"/>
      <c r="N55" s="15"/>
      <c r="O55" s="15"/>
      <c r="P55" s="15"/>
      <c r="Q55" s="15"/>
      <c r="R55" s="15"/>
      <c r="S55" s="15"/>
      <c r="T55" s="15"/>
      <c r="U55" s="15"/>
      <c r="V55" s="15"/>
      <c r="W55" s="15"/>
      <c r="X55" s="15"/>
      <c r="Y55" s="15"/>
      <c r="Z55" s="15"/>
    </row>
    <row r="56" spans="1:26" ht="15.75" customHeight="1" x14ac:dyDescent="0.25">
      <c r="A56" s="858"/>
      <c r="B56" s="858"/>
      <c r="C56" s="30" t="s">
        <v>361</v>
      </c>
      <c r="D56" s="31" t="s">
        <v>361</v>
      </c>
      <c r="E56" s="32" t="s">
        <v>362</v>
      </c>
      <c r="F56" s="858"/>
      <c r="G56" s="442" t="s">
        <v>2669</v>
      </c>
      <c r="H56" s="15"/>
      <c r="I56" s="15"/>
      <c r="J56" s="15"/>
      <c r="K56" s="167"/>
      <c r="L56" s="15"/>
      <c r="M56" s="15"/>
      <c r="N56" s="15"/>
      <c r="O56" s="15"/>
      <c r="P56" s="15"/>
      <c r="Q56" s="15"/>
      <c r="R56" s="15"/>
      <c r="S56" s="15"/>
      <c r="T56" s="15"/>
      <c r="U56" s="15"/>
      <c r="V56" s="15"/>
      <c r="W56" s="15"/>
      <c r="X56" s="15"/>
      <c r="Y56" s="15"/>
      <c r="Z56" s="15"/>
    </row>
    <row r="57" spans="1:26" ht="15.75" customHeight="1" x14ac:dyDescent="0.25">
      <c r="A57" s="869"/>
      <c r="B57" s="869"/>
      <c r="C57" s="33">
        <v>2024</v>
      </c>
      <c r="D57" s="34">
        <v>2025</v>
      </c>
      <c r="E57" s="35">
        <v>2025</v>
      </c>
      <c r="F57" s="34">
        <v>2025</v>
      </c>
      <c r="G57" s="36" t="s">
        <v>2668</v>
      </c>
      <c r="H57" s="15"/>
      <c r="I57" s="15"/>
      <c r="J57" s="15"/>
      <c r="K57" s="167"/>
      <c r="L57" s="15"/>
      <c r="M57" s="15"/>
      <c r="N57" s="15"/>
      <c r="O57" s="15"/>
      <c r="P57" s="15"/>
      <c r="Q57" s="15"/>
      <c r="R57" s="15"/>
      <c r="S57" s="15"/>
      <c r="T57" s="15"/>
      <c r="U57" s="15"/>
      <c r="V57" s="15"/>
      <c r="W57" s="15"/>
      <c r="X57" s="15"/>
      <c r="Y57" s="15"/>
      <c r="Z57" s="15"/>
    </row>
    <row r="58" spans="1:26" ht="15.75" customHeight="1" x14ac:dyDescent="0.25">
      <c r="A58" s="17" t="s">
        <v>364</v>
      </c>
      <c r="B58" s="172"/>
      <c r="C58" s="42"/>
      <c r="D58" s="42"/>
      <c r="E58" s="42"/>
      <c r="F58" s="42"/>
      <c r="G58" s="42"/>
      <c r="H58" s="15"/>
      <c r="I58" s="15"/>
      <c r="J58" s="15"/>
      <c r="K58" s="167"/>
      <c r="L58" s="15"/>
      <c r="M58" s="15"/>
      <c r="N58" s="15"/>
      <c r="O58" s="15"/>
      <c r="P58" s="15"/>
      <c r="Q58" s="15"/>
      <c r="R58" s="15"/>
      <c r="S58" s="15"/>
      <c r="T58" s="15"/>
      <c r="U58" s="15"/>
      <c r="V58" s="15"/>
      <c r="W58" s="15"/>
      <c r="X58" s="15"/>
      <c r="Y58" s="15"/>
      <c r="Z58" s="15"/>
    </row>
    <row r="59" spans="1:26" ht="15.75" customHeight="1" x14ac:dyDescent="0.25">
      <c r="A59" s="42" t="s">
        <v>1463</v>
      </c>
      <c r="B59" s="199"/>
      <c r="C59" s="42"/>
      <c r="D59" s="42"/>
      <c r="E59" s="42"/>
      <c r="F59" s="42"/>
      <c r="G59" s="42"/>
      <c r="H59" s="15"/>
      <c r="I59" s="15"/>
      <c r="J59" s="15"/>
      <c r="K59" s="167"/>
      <c r="L59" s="15"/>
      <c r="M59" s="15"/>
      <c r="N59" s="15"/>
      <c r="O59" s="15"/>
      <c r="P59" s="15"/>
      <c r="Q59" s="15"/>
      <c r="R59" s="15"/>
      <c r="S59" s="15"/>
      <c r="T59" s="15"/>
      <c r="U59" s="15"/>
      <c r="V59" s="15"/>
      <c r="W59" s="15"/>
      <c r="X59" s="15"/>
      <c r="Y59" s="15"/>
      <c r="Z59" s="15"/>
    </row>
    <row r="60" spans="1:26" ht="15.75" customHeight="1" x14ac:dyDescent="0.25">
      <c r="A60" s="17" t="s">
        <v>511</v>
      </c>
      <c r="B60" s="41"/>
      <c r="C60" s="43"/>
      <c r="D60" s="43"/>
      <c r="E60" s="43"/>
      <c r="F60" s="43"/>
      <c r="G60" s="43"/>
      <c r="H60" s="15"/>
      <c r="I60" s="15"/>
      <c r="J60" s="15"/>
      <c r="K60" s="167"/>
      <c r="L60" s="15"/>
      <c r="M60" s="15"/>
      <c r="N60" s="15"/>
      <c r="O60" s="15"/>
      <c r="P60" s="15"/>
      <c r="Q60" s="15"/>
      <c r="R60" s="15"/>
      <c r="S60" s="15"/>
      <c r="T60" s="15"/>
      <c r="U60" s="15"/>
      <c r="V60" s="15"/>
      <c r="W60" s="15"/>
      <c r="X60" s="15"/>
      <c r="Y60" s="15"/>
      <c r="Z60" s="15"/>
    </row>
    <row r="61" spans="1:26" ht="15.75" customHeight="1" x14ac:dyDescent="0.25">
      <c r="A61" s="44" t="s">
        <v>424</v>
      </c>
      <c r="B61" s="41" t="s">
        <v>335</v>
      </c>
      <c r="C61" s="43">
        <v>14399997.199999999</v>
      </c>
      <c r="D61" s="43">
        <v>0</v>
      </c>
      <c r="E61" s="43">
        <f>F61-D61</f>
        <v>18000000</v>
      </c>
      <c r="F61" s="43">
        <v>18000000</v>
      </c>
      <c r="G61" s="43">
        <v>18000000</v>
      </c>
      <c r="H61" s="15"/>
      <c r="I61" s="15"/>
      <c r="J61" s="15"/>
      <c r="K61" s="167"/>
      <c r="L61" s="15"/>
      <c r="M61" s="15"/>
      <c r="N61" s="15"/>
      <c r="O61" s="15"/>
      <c r="P61" s="15"/>
      <c r="Q61" s="15"/>
      <c r="R61" s="15"/>
      <c r="S61" s="15"/>
      <c r="T61" s="15"/>
      <c r="U61" s="15"/>
      <c r="V61" s="15"/>
      <c r="W61" s="15"/>
      <c r="X61" s="15"/>
      <c r="Y61" s="15"/>
      <c r="Z61" s="15"/>
    </row>
    <row r="62" spans="1:26" ht="15.75" customHeight="1" x14ac:dyDescent="0.25">
      <c r="A62" s="42" t="s">
        <v>466</v>
      </c>
      <c r="B62" s="41"/>
      <c r="C62" s="54">
        <f>C61</f>
        <v>14399997.199999999</v>
      </c>
      <c r="D62" s="54">
        <f t="shared" ref="D62:F62" si="5">SUM(D60:D61)</f>
        <v>0</v>
      </c>
      <c r="E62" s="54">
        <f t="shared" si="5"/>
        <v>18000000</v>
      </c>
      <c r="F62" s="54">
        <f t="shared" si="5"/>
        <v>18000000</v>
      </c>
      <c r="G62" s="54">
        <f>+F62</f>
        <v>18000000</v>
      </c>
      <c r="H62" s="15"/>
      <c r="I62" s="15"/>
      <c r="J62" s="15"/>
      <c r="K62" s="167"/>
      <c r="L62" s="15"/>
      <c r="M62" s="15"/>
      <c r="N62" s="15"/>
      <c r="O62" s="15"/>
      <c r="P62" s="15"/>
      <c r="Q62" s="15"/>
      <c r="R62" s="15"/>
      <c r="S62" s="15"/>
      <c r="T62" s="15"/>
      <c r="U62" s="15"/>
      <c r="V62" s="15"/>
      <c r="W62" s="15"/>
      <c r="X62" s="15"/>
      <c r="Y62" s="15"/>
      <c r="Z62" s="15"/>
    </row>
    <row r="63" spans="1:26" ht="15.75" customHeight="1" x14ac:dyDescent="0.25">
      <c r="A63" s="17"/>
      <c r="B63" s="41"/>
      <c r="C63" s="55"/>
      <c r="D63" s="55"/>
      <c r="E63" s="55"/>
      <c r="F63" s="43"/>
      <c r="G63" s="43"/>
      <c r="H63" s="15"/>
      <c r="I63" s="15"/>
      <c r="J63" s="15"/>
      <c r="K63" s="167"/>
      <c r="L63" s="15"/>
      <c r="M63" s="15"/>
      <c r="N63" s="15"/>
      <c r="O63" s="15"/>
      <c r="P63" s="15"/>
      <c r="Q63" s="15"/>
      <c r="R63" s="15"/>
      <c r="S63" s="15"/>
      <c r="T63" s="15"/>
      <c r="U63" s="15"/>
      <c r="V63" s="15"/>
      <c r="W63" s="15"/>
      <c r="X63" s="15"/>
      <c r="Y63" s="15"/>
      <c r="Z63" s="15"/>
    </row>
    <row r="64" spans="1:26" ht="15.75" customHeight="1" x14ac:dyDescent="0.25">
      <c r="A64" s="17" t="s">
        <v>467</v>
      </c>
      <c r="B64" s="41"/>
      <c r="C64" s="43">
        <f t="shared" ref="C64:G64" si="6">+C62</f>
        <v>14399997.199999999</v>
      </c>
      <c r="D64" s="43">
        <f t="shared" si="6"/>
        <v>0</v>
      </c>
      <c r="E64" s="43">
        <f t="shared" si="6"/>
        <v>18000000</v>
      </c>
      <c r="F64" s="43">
        <f t="shared" si="6"/>
        <v>18000000</v>
      </c>
      <c r="G64" s="43">
        <f t="shared" si="6"/>
        <v>18000000</v>
      </c>
      <c r="H64" s="15"/>
      <c r="I64" s="15"/>
      <c r="J64" s="15"/>
      <c r="K64" s="167"/>
      <c r="L64" s="15"/>
      <c r="M64" s="15"/>
      <c r="N64" s="15"/>
      <c r="O64" s="15"/>
      <c r="P64" s="15"/>
      <c r="Q64" s="15"/>
      <c r="R64" s="15"/>
      <c r="S64" s="15"/>
      <c r="T64" s="15"/>
      <c r="U64" s="15"/>
      <c r="V64" s="15"/>
      <c r="W64" s="15"/>
      <c r="X64" s="15"/>
      <c r="Y64" s="15"/>
      <c r="Z64" s="15"/>
    </row>
    <row r="65" spans="1:26" ht="15.75" customHeight="1" x14ac:dyDescent="0.25">
      <c r="A65" s="17"/>
      <c r="B65" s="41"/>
      <c r="C65" s="43"/>
      <c r="D65" s="43"/>
      <c r="E65" s="43"/>
      <c r="F65" s="43"/>
      <c r="G65" s="43"/>
      <c r="H65" s="15"/>
      <c r="I65" s="15"/>
      <c r="J65" s="15"/>
      <c r="K65" s="167"/>
      <c r="L65" s="15"/>
      <c r="M65" s="15"/>
      <c r="N65" s="15"/>
      <c r="O65" s="15"/>
      <c r="P65" s="15"/>
      <c r="Q65" s="15"/>
      <c r="R65" s="15"/>
      <c r="S65" s="15"/>
      <c r="T65" s="15"/>
      <c r="U65" s="15"/>
      <c r="V65" s="15"/>
      <c r="W65" s="15"/>
      <c r="X65" s="15"/>
      <c r="Y65" s="15"/>
      <c r="Z65" s="15"/>
    </row>
    <row r="66" spans="1:26" ht="15.75" customHeight="1" x14ac:dyDescent="0.25">
      <c r="A66" s="50" t="s">
        <v>487</v>
      </c>
      <c r="B66" s="51" t="s">
        <v>488</v>
      </c>
      <c r="C66" s="54">
        <f t="shared" ref="C66:G66" si="7">+C64</f>
        <v>14399997.199999999</v>
      </c>
      <c r="D66" s="54">
        <f t="shared" si="7"/>
        <v>0</v>
      </c>
      <c r="E66" s="54">
        <f t="shared" si="7"/>
        <v>18000000</v>
      </c>
      <c r="F66" s="54">
        <f t="shared" si="7"/>
        <v>18000000</v>
      </c>
      <c r="G66" s="54">
        <f t="shared" si="7"/>
        <v>18000000</v>
      </c>
      <c r="H66" s="15"/>
      <c r="I66" s="15"/>
      <c r="J66" s="15"/>
      <c r="K66" s="167"/>
      <c r="L66" s="15"/>
      <c r="M66" s="15"/>
      <c r="N66" s="15"/>
      <c r="O66" s="15"/>
      <c r="P66" s="15"/>
      <c r="Q66" s="15"/>
      <c r="R66" s="15"/>
      <c r="S66" s="15"/>
      <c r="T66" s="15"/>
      <c r="U66" s="15"/>
      <c r="V66" s="15"/>
      <c r="W66" s="15"/>
      <c r="X66" s="15"/>
      <c r="Y66" s="15"/>
      <c r="Z66" s="15"/>
    </row>
    <row r="67" spans="1:26" ht="15.75" customHeight="1" x14ac:dyDescent="0.25">
      <c r="A67" s="24"/>
      <c r="B67" s="25"/>
      <c r="C67" s="26"/>
      <c r="D67" s="26"/>
      <c r="E67" s="26"/>
      <c r="F67" s="26"/>
      <c r="G67" s="26"/>
      <c r="H67" s="15"/>
      <c r="I67" s="15"/>
      <c r="J67" s="15"/>
      <c r="K67" s="167"/>
      <c r="L67" s="15"/>
      <c r="M67" s="15"/>
      <c r="N67" s="15"/>
      <c r="O67" s="15"/>
      <c r="P67" s="15"/>
      <c r="Q67" s="15"/>
      <c r="R67" s="15"/>
      <c r="S67" s="15"/>
      <c r="T67" s="15"/>
      <c r="U67" s="15"/>
      <c r="V67" s="15"/>
      <c r="W67" s="15"/>
      <c r="X67" s="15"/>
      <c r="Y67" s="15"/>
      <c r="Z67" s="15"/>
    </row>
    <row r="68" spans="1:26" ht="15.75" customHeight="1" x14ac:dyDescent="0.25">
      <c r="A68" s="24"/>
      <c r="B68" s="25"/>
      <c r="C68" s="24"/>
      <c r="D68" s="24"/>
      <c r="E68" s="24"/>
      <c r="F68" s="15"/>
      <c r="G68" s="15"/>
      <c r="H68" s="15"/>
      <c r="I68" s="15"/>
      <c r="J68" s="15"/>
      <c r="K68" s="167"/>
      <c r="L68" s="15"/>
      <c r="M68" s="15"/>
      <c r="N68" s="15"/>
      <c r="O68" s="15"/>
      <c r="P68" s="15"/>
      <c r="Q68" s="15"/>
      <c r="R68" s="15"/>
      <c r="S68" s="15"/>
      <c r="T68" s="15"/>
      <c r="U68" s="15"/>
      <c r="V68" s="15"/>
      <c r="W68" s="15"/>
      <c r="X68" s="15"/>
      <c r="Y68" s="15"/>
      <c r="Z68" s="15"/>
    </row>
    <row r="69" spans="1:26" ht="15.75" customHeight="1" x14ac:dyDescent="0.25">
      <c r="A69" s="9"/>
      <c r="B69" s="104"/>
      <c r="C69" s="105"/>
      <c r="D69" s="105"/>
      <c r="E69" s="105"/>
      <c r="F69" s="10"/>
      <c r="G69" s="180"/>
      <c r="H69" s="15"/>
      <c r="I69" s="15"/>
      <c r="J69" s="15"/>
      <c r="K69" s="167"/>
      <c r="L69" s="15"/>
      <c r="M69" s="15"/>
      <c r="N69" s="15"/>
      <c r="O69" s="15"/>
      <c r="P69" s="15"/>
      <c r="Q69" s="15"/>
      <c r="R69" s="15"/>
      <c r="S69" s="15"/>
      <c r="T69" s="15"/>
      <c r="U69" s="15"/>
      <c r="V69" s="15"/>
      <c r="W69" s="15"/>
      <c r="X69" s="15"/>
      <c r="Y69" s="15"/>
      <c r="Z69" s="15"/>
    </row>
    <row r="70" spans="1:26" ht="15.75" customHeight="1" x14ac:dyDescent="0.25">
      <c r="A70" s="108" t="s">
        <v>1929</v>
      </c>
      <c r="B70" s="25"/>
      <c r="C70" s="26"/>
      <c r="D70" s="26"/>
      <c r="E70" s="26"/>
      <c r="F70" s="14"/>
      <c r="G70" s="181"/>
      <c r="H70" s="15"/>
      <c r="I70" s="15"/>
      <c r="J70" s="15"/>
      <c r="K70" s="167"/>
      <c r="L70" s="15"/>
      <c r="M70" s="15"/>
      <c r="N70" s="15"/>
      <c r="O70" s="15"/>
      <c r="P70" s="15"/>
      <c r="Q70" s="15"/>
      <c r="R70" s="15"/>
      <c r="S70" s="15"/>
      <c r="T70" s="15"/>
      <c r="U70" s="15"/>
      <c r="V70" s="15"/>
      <c r="W70" s="15"/>
      <c r="X70" s="15"/>
      <c r="Y70" s="15"/>
      <c r="Z70" s="15"/>
    </row>
    <row r="71" spans="1:26" ht="15.75" customHeight="1" x14ac:dyDescent="0.25">
      <c r="A71" s="108"/>
      <c r="B71" s="25"/>
      <c r="C71" s="26"/>
      <c r="D71" s="26"/>
      <c r="E71" s="26"/>
      <c r="F71" s="14"/>
      <c r="G71" s="181"/>
      <c r="H71" s="15"/>
      <c r="I71" s="15"/>
      <c r="J71" s="15"/>
      <c r="K71" s="167"/>
      <c r="L71" s="15"/>
      <c r="M71" s="15"/>
      <c r="N71" s="15"/>
      <c r="O71" s="15"/>
      <c r="P71" s="15"/>
      <c r="Q71" s="15"/>
      <c r="R71" s="15"/>
      <c r="S71" s="15"/>
      <c r="T71" s="15"/>
      <c r="U71" s="15"/>
      <c r="V71" s="15"/>
      <c r="W71" s="15"/>
      <c r="X71" s="15"/>
      <c r="Y71" s="15"/>
      <c r="Z71" s="15"/>
    </row>
    <row r="72" spans="1:26" ht="15.75" customHeight="1" x14ac:dyDescent="0.25">
      <c r="A72" s="865" t="s">
        <v>352</v>
      </c>
      <c r="B72" s="866"/>
      <c r="C72" s="866"/>
      <c r="D72" s="866"/>
      <c r="E72" s="866"/>
      <c r="F72" s="866"/>
      <c r="G72" s="867"/>
      <c r="H72" s="15"/>
      <c r="I72" s="15"/>
      <c r="J72" s="15"/>
      <c r="K72" s="167"/>
      <c r="L72" s="15"/>
      <c r="M72" s="15"/>
      <c r="N72" s="15"/>
      <c r="O72" s="15"/>
      <c r="P72" s="15"/>
      <c r="Q72" s="15"/>
      <c r="R72" s="15"/>
      <c r="S72" s="15"/>
      <c r="T72" s="15"/>
      <c r="U72" s="15"/>
      <c r="V72" s="15"/>
      <c r="W72" s="15"/>
      <c r="X72" s="15"/>
      <c r="Y72" s="15"/>
      <c r="Z72" s="15"/>
    </row>
    <row r="73" spans="1:26" ht="15.75" customHeight="1" x14ac:dyDescent="0.25">
      <c r="A73" s="868" t="s">
        <v>1194</v>
      </c>
      <c r="B73" s="857" t="s">
        <v>354</v>
      </c>
      <c r="C73" s="857" t="s">
        <v>355</v>
      </c>
      <c r="D73" s="884" t="s">
        <v>356</v>
      </c>
      <c r="E73" s="885"/>
      <c r="F73" s="886"/>
      <c r="G73" s="857" t="s">
        <v>357</v>
      </c>
      <c r="H73" s="15"/>
      <c r="I73" s="15"/>
      <c r="J73" s="15"/>
      <c r="K73" s="167"/>
      <c r="L73" s="15"/>
      <c r="M73" s="15"/>
      <c r="N73" s="15"/>
      <c r="O73" s="15"/>
      <c r="P73" s="15"/>
      <c r="Q73" s="15"/>
      <c r="R73" s="15"/>
      <c r="S73" s="15"/>
      <c r="T73" s="15"/>
      <c r="U73" s="15"/>
      <c r="V73" s="15"/>
      <c r="W73" s="15"/>
      <c r="X73" s="15"/>
      <c r="Y73" s="15"/>
      <c r="Z73" s="15"/>
    </row>
    <row r="74" spans="1:26" ht="15.75" customHeight="1" x14ac:dyDescent="0.25">
      <c r="A74" s="858"/>
      <c r="B74" s="858"/>
      <c r="C74" s="858"/>
      <c r="D74" s="28" t="s">
        <v>358</v>
      </c>
      <c r="E74" s="29" t="s">
        <v>359</v>
      </c>
      <c r="F74" s="857" t="s">
        <v>360</v>
      </c>
      <c r="G74" s="858"/>
      <c r="H74" s="15"/>
      <c r="I74" s="15"/>
      <c r="J74" s="15"/>
      <c r="K74" s="167"/>
      <c r="L74" s="15"/>
      <c r="M74" s="15"/>
      <c r="N74" s="15"/>
      <c r="O74" s="15"/>
      <c r="P74" s="15"/>
      <c r="Q74" s="15"/>
      <c r="R74" s="15"/>
      <c r="S74" s="15"/>
      <c r="T74" s="15"/>
      <c r="U74" s="15"/>
      <c r="V74" s="15"/>
      <c r="W74" s="15"/>
      <c r="X74" s="15"/>
      <c r="Y74" s="15"/>
      <c r="Z74" s="15"/>
    </row>
    <row r="75" spans="1:26" ht="15.75" customHeight="1" x14ac:dyDescent="0.25">
      <c r="A75" s="858"/>
      <c r="B75" s="858"/>
      <c r="C75" s="30" t="s">
        <v>361</v>
      </c>
      <c r="D75" s="31" t="s">
        <v>361</v>
      </c>
      <c r="E75" s="32" t="s">
        <v>362</v>
      </c>
      <c r="F75" s="858"/>
      <c r="G75" s="442" t="s">
        <v>2669</v>
      </c>
      <c r="H75" s="15"/>
      <c r="I75" s="15"/>
      <c r="J75" s="15"/>
      <c r="K75" s="167"/>
      <c r="L75" s="15"/>
      <c r="M75" s="15"/>
      <c r="N75" s="15"/>
      <c r="O75" s="15"/>
      <c r="P75" s="15"/>
      <c r="Q75" s="15"/>
      <c r="R75" s="15"/>
      <c r="S75" s="15"/>
      <c r="T75" s="15"/>
      <c r="U75" s="15"/>
      <c r="V75" s="15"/>
      <c r="W75" s="15"/>
      <c r="X75" s="15"/>
      <c r="Y75" s="15"/>
      <c r="Z75" s="15"/>
    </row>
    <row r="76" spans="1:26" ht="15.75" customHeight="1" x14ac:dyDescent="0.25">
      <c r="A76" s="869"/>
      <c r="B76" s="869"/>
      <c r="C76" s="33">
        <v>2024</v>
      </c>
      <c r="D76" s="34">
        <v>2025</v>
      </c>
      <c r="E76" s="35">
        <v>2025</v>
      </c>
      <c r="F76" s="34">
        <v>2025</v>
      </c>
      <c r="G76" s="36" t="s">
        <v>2668</v>
      </c>
      <c r="H76" s="15"/>
      <c r="I76" s="15"/>
      <c r="J76" s="15"/>
      <c r="K76" s="167"/>
      <c r="L76" s="15"/>
      <c r="M76" s="15"/>
      <c r="N76" s="15"/>
      <c r="O76" s="15"/>
      <c r="P76" s="15"/>
      <c r="Q76" s="15"/>
      <c r="R76" s="15"/>
      <c r="S76" s="15"/>
      <c r="T76" s="15"/>
      <c r="U76" s="15"/>
      <c r="V76" s="15"/>
      <c r="W76" s="15"/>
      <c r="X76" s="15"/>
      <c r="Y76" s="15"/>
      <c r="Z76" s="15"/>
    </row>
    <row r="77" spans="1:26" ht="15.75" customHeight="1" x14ac:dyDescent="0.25">
      <c r="A77" s="17" t="s">
        <v>364</v>
      </c>
      <c r="B77" s="172"/>
      <c r="C77" s="42"/>
      <c r="D77" s="42"/>
      <c r="E77" s="42"/>
      <c r="F77" s="42"/>
      <c r="G77" s="42"/>
      <c r="H77" s="15"/>
      <c r="I77" s="15"/>
      <c r="J77" s="15"/>
      <c r="K77" s="167"/>
      <c r="L77" s="15"/>
      <c r="M77" s="15"/>
      <c r="N77" s="15"/>
      <c r="O77" s="15"/>
      <c r="P77" s="15"/>
      <c r="Q77" s="15"/>
      <c r="R77" s="15"/>
      <c r="S77" s="15"/>
      <c r="T77" s="15"/>
      <c r="U77" s="15"/>
      <c r="V77" s="15"/>
      <c r="W77" s="15"/>
      <c r="X77" s="15"/>
      <c r="Y77" s="15"/>
      <c r="Z77" s="15"/>
    </row>
    <row r="78" spans="1:26" ht="15.75" customHeight="1" x14ac:dyDescent="0.25">
      <c r="A78" s="42" t="s">
        <v>1463</v>
      </c>
      <c r="B78" s="199"/>
      <c r="C78" s="42"/>
      <c r="D78" s="42"/>
      <c r="E78" s="42"/>
      <c r="F78" s="42"/>
      <c r="G78" s="42"/>
      <c r="H78" s="15"/>
      <c r="I78" s="15"/>
      <c r="J78" s="15"/>
      <c r="K78" s="167"/>
      <c r="L78" s="15"/>
      <c r="M78" s="15"/>
      <c r="N78" s="15"/>
      <c r="O78" s="15"/>
      <c r="P78" s="15"/>
      <c r="Q78" s="15"/>
      <c r="R78" s="15"/>
      <c r="S78" s="15"/>
      <c r="T78" s="15"/>
      <c r="U78" s="15"/>
      <c r="V78" s="15"/>
      <c r="W78" s="15"/>
      <c r="X78" s="15"/>
      <c r="Y78" s="15"/>
      <c r="Z78" s="15"/>
    </row>
    <row r="79" spans="1:26" ht="15.75" customHeight="1" x14ac:dyDescent="0.25">
      <c r="A79" s="17" t="s">
        <v>642</v>
      </c>
      <c r="B79" s="172"/>
      <c r="C79" s="41"/>
      <c r="D79" s="41"/>
      <c r="E79" s="20"/>
      <c r="F79" s="120"/>
      <c r="G79" s="61"/>
      <c r="H79" s="15"/>
      <c r="I79" s="15"/>
      <c r="J79" s="15"/>
      <c r="K79" s="167"/>
      <c r="L79" s="15"/>
      <c r="M79" s="15"/>
      <c r="N79" s="15"/>
      <c r="O79" s="15"/>
      <c r="P79" s="15"/>
      <c r="Q79" s="15"/>
      <c r="R79" s="15"/>
      <c r="S79" s="15"/>
      <c r="T79" s="15"/>
      <c r="U79" s="15"/>
      <c r="V79" s="15"/>
      <c r="W79" s="15"/>
      <c r="X79" s="15"/>
      <c r="Y79" s="15"/>
      <c r="Z79" s="15"/>
    </row>
    <row r="80" spans="1:26" ht="15.75" customHeight="1" x14ac:dyDescent="0.25">
      <c r="A80" s="44" t="s">
        <v>393</v>
      </c>
      <c r="B80" s="41" t="s">
        <v>187</v>
      </c>
      <c r="C80" s="43">
        <v>49995.5</v>
      </c>
      <c r="D80" s="43">
        <v>0</v>
      </c>
      <c r="E80" s="43">
        <f>F80-D80</f>
        <v>50000</v>
      </c>
      <c r="F80" s="43">
        <v>50000</v>
      </c>
      <c r="G80" s="440">
        <v>50000</v>
      </c>
      <c r="H80" s="15"/>
      <c r="I80" s="15"/>
      <c r="J80" s="15"/>
      <c r="K80" s="167"/>
      <c r="L80" s="15"/>
      <c r="M80" s="15"/>
      <c r="N80" s="15"/>
      <c r="O80" s="15"/>
      <c r="P80" s="15"/>
      <c r="Q80" s="15"/>
      <c r="R80" s="15"/>
      <c r="S80" s="15"/>
      <c r="T80" s="15"/>
      <c r="U80" s="15"/>
      <c r="V80" s="15"/>
      <c r="W80" s="15"/>
      <c r="X80" s="15"/>
      <c r="Y80" s="15"/>
      <c r="Z80" s="15"/>
    </row>
    <row r="81" spans="1:26" ht="15.75" customHeight="1" x14ac:dyDescent="0.25">
      <c r="A81" s="42" t="s">
        <v>493</v>
      </c>
      <c r="B81" s="41"/>
      <c r="C81" s="43"/>
      <c r="D81" s="43"/>
      <c r="E81" s="43"/>
      <c r="F81" s="43"/>
      <c r="G81" s="440"/>
      <c r="H81" s="15"/>
      <c r="I81" s="15"/>
      <c r="J81" s="15"/>
      <c r="K81" s="167"/>
      <c r="L81" s="15"/>
      <c r="M81" s="15"/>
      <c r="N81" s="15"/>
      <c r="O81" s="15"/>
      <c r="P81" s="15"/>
      <c r="Q81" s="15"/>
      <c r="R81" s="15"/>
      <c r="S81" s="15"/>
      <c r="T81" s="15"/>
      <c r="U81" s="15"/>
      <c r="V81" s="15"/>
      <c r="W81" s="15"/>
      <c r="X81" s="15"/>
      <c r="Y81" s="15"/>
      <c r="Z81" s="15"/>
    </row>
    <row r="82" spans="1:26" ht="15.75" customHeight="1" x14ac:dyDescent="0.25">
      <c r="A82" s="44" t="s">
        <v>396</v>
      </c>
      <c r="B82" s="41" t="s">
        <v>191</v>
      </c>
      <c r="C82" s="43">
        <v>184500</v>
      </c>
      <c r="D82" s="43">
        <v>0</v>
      </c>
      <c r="E82" s="43">
        <f>F82-D82</f>
        <v>185000</v>
      </c>
      <c r="F82" s="43">
        <v>185000</v>
      </c>
      <c r="G82" s="440">
        <v>185000</v>
      </c>
      <c r="H82" s="15"/>
      <c r="I82" s="15"/>
      <c r="J82" s="15"/>
      <c r="K82" s="167"/>
      <c r="L82" s="15"/>
      <c r="M82" s="15"/>
      <c r="N82" s="15"/>
      <c r="O82" s="15"/>
      <c r="P82" s="15"/>
      <c r="Q82" s="15"/>
      <c r="R82" s="15"/>
      <c r="S82" s="15"/>
      <c r="T82" s="15"/>
      <c r="U82" s="15"/>
      <c r="V82" s="15"/>
      <c r="W82" s="15"/>
      <c r="X82" s="15"/>
      <c r="Y82" s="15"/>
      <c r="Z82" s="15"/>
    </row>
    <row r="83" spans="1:26" ht="15.75" customHeight="1" x14ac:dyDescent="0.25">
      <c r="A83" s="17" t="s">
        <v>511</v>
      </c>
      <c r="B83" s="41"/>
      <c r="C83" s="43"/>
      <c r="D83" s="43"/>
      <c r="E83" s="43"/>
      <c r="F83" s="43"/>
      <c r="G83" s="440"/>
      <c r="H83" s="15"/>
      <c r="I83" s="15"/>
      <c r="J83" s="15"/>
      <c r="K83" s="167"/>
      <c r="L83" s="15"/>
      <c r="M83" s="15"/>
      <c r="N83" s="15"/>
      <c r="O83" s="15"/>
      <c r="P83" s="15"/>
      <c r="Q83" s="15"/>
      <c r="R83" s="15"/>
      <c r="S83" s="15"/>
      <c r="T83" s="15"/>
      <c r="U83" s="15"/>
      <c r="V83" s="15"/>
      <c r="W83" s="15"/>
      <c r="X83" s="15"/>
      <c r="Y83" s="15"/>
      <c r="Z83" s="15"/>
    </row>
    <row r="84" spans="1:26" ht="15.75" customHeight="1" x14ac:dyDescent="0.25">
      <c r="A84" s="44" t="s">
        <v>837</v>
      </c>
      <c r="B84" s="41" t="s">
        <v>333</v>
      </c>
      <c r="C84" s="43">
        <v>0</v>
      </c>
      <c r="D84" s="43">
        <v>0</v>
      </c>
      <c r="E84" s="43">
        <f t="shared" ref="E84:E85" si="8">F84-D84</f>
        <v>0</v>
      </c>
      <c r="F84" s="43">
        <v>0</v>
      </c>
      <c r="G84" s="440">
        <v>150000</v>
      </c>
      <c r="H84" s="15"/>
      <c r="I84" s="15"/>
      <c r="J84" s="15"/>
      <c r="K84" s="167"/>
      <c r="L84" s="15"/>
      <c r="M84" s="15"/>
      <c r="N84" s="15"/>
      <c r="O84" s="15"/>
      <c r="P84" s="15"/>
      <c r="Q84" s="15"/>
      <c r="R84" s="15"/>
      <c r="S84" s="15"/>
      <c r="T84" s="15"/>
      <c r="U84" s="15"/>
      <c r="V84" s="15"/>
      <c r="W84" s="15"/>
      <c r="X84" s="15"/>
      <c r="Y84" s="15"/>
      <c r="Z84" s="15"/>
    </row>
    <row r="85" spans="1:26" ht="15.75" customHeight="1" x14ac:dyDescent="0.25">
      <c r="A85" s="44" t="s">
        <v>424</v>
      </c>
      <c r="B85" s="41" t="s">
        <v>335</v>
      </c>
      <c r="C85" s="43">
        <v>0</v>
      </c>
      <c r="D85" s="43">
        <v>69703.5</v>
      </c>
      <c r="E85" s="43">
        <f t="shared" si="8"/>
        <v>131176.5</v>
      </c>
      <c r="F85" s="43">
        <v>200880</v>
      </c>
      <c r="G85" s="440">
        <v>763224</v>
      </c>
      <c r="H85" s="167">
        <f>SUM(K87:K88)</f>
        <v>763224</v>
      </c>
      <c r="I85" s="15"/>
      <c r="J85" s="15"/>
      <c r="K85" s="167"/>
      <c r="L85" s="15"/>
      <c r="M85" s="15"/>
      <c r="N85" s="15"/>
      <c r="O85" s="15"/>
      <c r="P85" s="15"/>
      <c r="Q85" s="15"/>
      <c r="R85" s="15"/>
      <c r="S85" s="15"/>
      <c r="T85" s="15"/>
      <c r="U85" s="15"/>
      <c r="V85" s="15"/>
      <c r="W85" s="15"/>
      <c r="X85" s="15"/>
      <c r="Y85" s="15"/>
      <c r="Z85" s="15"/>
    </row>
    <row r="86" spans="1:26" ht="15.75" customHeight="1" x14ac:dyDescent="0.25">
      <c r="A86" s="17" t="s">
        <v>1930</v>
      </c>
      <c r="B86" s="41"/>
      <c r="C86" s="43"/>
      <c r="D86" s="43"/>
      <c r="E86" s="43"/>
      <c r="F86" s="43"/>
      <c r="G86" s="440"/>
      <c r="H86" s="15"/>
      <c r="I86" s="15"/>
      <c r="J86" s="15"/>
      <c r="K86" s="167"/>
      <c r="L86" s="15"/>
      <c r="M86" s="15"/>
      <c r="N86" s="15"/>
      <c r="O86" s="15"/>
      <c r="P86" s="15"/>
      <c r="Q86" s="15"/>
      <c r="R86" s="15"/>
      <c r="S86" s="15"/>
      <c r="T86" s="15"/>
      <c r="U86" s="15"/>
      <c r="V86" s="15"/>
      <c r="W86" s="15"/>
      <c r="X86" s="15"/>
      <c r="Y86" s="15"/>
      <c r="Z86" s="15"/>
    </row>
    <row r="87" spans="1:26" ht="15.75" customHeight="1" x14ac:dyDescent="0.25">
      <c r="A87" s="17" t="s">
        <v>1931</v>
      </c>
      <c r="B87" s="41"/>
      <c r="C87" s="43"/>
      <c r="D87" s="43"/>
      <c r="E87" s="43"/>
      <c r="F87" s="43"/>
      <c r="G87" s="440"/>
      <c r="H87" s="15">
        <v>264</v>
      </c>
      <c r="I87" s="15">
        <v>974</v>
      </c>
      <c r="J87" s="15">
        <v>1</v>
      </c>
      <c r="K87" s="167">
        <f t="shared" ref="K87:K88" si="9">H87*I87*J87</f>
        <v>257136</v>
      </c>
      <c r="L87" s="15"/>
      <c r="M87" s="15"/>
      <c r="N87" s="15"/>
      <c r="O87" s="15"/>
      <c r="P87" s="15"/>
      <c r="Q87" s="15"/>
      <c r="R87" s="15"/>
      <c r="S87" s="15"/>
      <c r="T87" s="15"/>
      <c r="U87" s="15"/>
      <c r="V87" s="15"/>
      <c r="W87" s="15"/>
      <c r="X87" s="15"/>
      <c r="Y87" s="15"/>
      <c r="Z87" s="15"/>
    </row>
    <row r="88" spans="1:26" ht="15.75" customHeight="1" x14ac:dyDescent="0.25">
      <c r="A88" s="17" t="s">
        <v>1932</v>
      </c>
      <c r="B88" s="41"/>
      <c r="C88" s="43"/>
      <c r="D88" s="43"/>
      <c r="E88" s="43"/>
      <c r="F88" s="43"/>
      <c r="G88" s="43"/>
      <c r="H88" s="15">
        <v>264</v>
      </c>
      <c r="I88" s="15">
        <v>639</v>
      </c>
      <c r="J88" s="15">
        <v>3</v>
      </c>
      <c r="K88" s="167">
        <f t="shared" si="9"/>
        <v>506088</v>
      </c>
      <c r="L88" s="15"/>
      <c r="M88" s="15"/>
      <c r="N88" s="15"/>
      <c r="O88" s="15"/>
      <c r="P88" s="15"/>
      <c r="Q88" s="15"/>
      <c r="R88" s="15"/>
      <c r="S88" s="15"/>
      <c r="T88" s="15"/>
      <c r="U88" s="15"/>
      <c r="V88" s="15"/>
      <c r="W88" s="15"/>
      <c r="X88" s="15"/>
      <c r="Y88" s="15"/>
      <c r="Z88" s="15"/>
    </row>
    <row r="89" spans="1:26" ht="15.75" customHeight="1" x14ac:dyDescent="0.25">
      <c r="A89" s="42" t="s">
        <v>466</v>
      </c>
      <c r="B89" s="41"/>
      <c r="C89" s="54">
        <f>SUM(C80:C85)</f>
        <v>234495.5</v>
      </c>
      <c r="D89" s="54">
        <f>SUM(D80:D85)</f>
        <v>69703.5</v>
      </c>
      <c r="E89" s="54">
        <f>SUM(E80:E85)</f>
        <v>366176.5</v>
      </c>
      <c r="F89" s="54">
        <f>SUM(F80:F85)</f>
        <v>435880</v>
      </c>
      <c r="G89" s="54">
        <f>SUM(G80:G85)</f>
        <v>1148224</v>
      </c>
      <c r="H89" s="15"/>
      <c r="I89" s="15"/>
      <c r="J89" s="15"/>
      <c r="K89" s="167"/>
      <c r="L89" s="15"/>
      <c r="M89" s="15"/>
      <c r="N89" s="15"/>
      <c r="O89" s="15"/>
      <c r="P89" s="15"/>
      <c r="Q89" s="15"/>
      <c r="R89" s="15"/>
      <c r="S89" s="15"/>
      <c r="T89" s="15"/>
      <c r="U89" s="15"/>
      <c r="V89" s="15"/>
      <c r="W89" s="15"/>
      <c r="X89" s="15"/>
      <c r="Y89" s="15"/>
      <c r="Z89" s="15"/>
    </row>
    <row r="90" spans="1:26" ht="15.75" customHeight="1" x14ac:dyDescent="0.25">
      <c r="A90" s="17"/>
      <c r="B90" s="41"/>
      <c r="C90" s="43"/>
      <c r="D90" s="43"/>
      <c r="E90" s="43"/>
      <c r="F90" s="43"/>
      <c r="G90" s="43"/>
      <c r="H90" s="15"/>
      <c r="I90" s="15"/>
      <c r="J90" s="15"/>
      <c r="K90" s="167"/>
      <c r="L90" s="15"/>
      <c r="M90" s="15"/>
      <c r="N90" s="15"/>
      <c r="O90" s="15"/>
      <c r="P90" s="15"/>
      <c r="Q90" s="15"/>
      <c r="R90" s="15"/>
      <c r="S90" s="15"/>
      <c r="T90" s="15"/>
      <c r="U90" s="15"/>
      <c r="V90" s="15"/>
      <c r="W90" s="15"/>
      <c r="X90" s="15"/>
      <c r="Y90" s="15"/>
      <c r="Z90" s="15"/>
    </row>
    <row r="91" spans="1:26" ht="15.75" customHeight="1" x14ac:dyDescent="0.25">
      <c r="A91" s="17" t="s">
        <v>467</v>
      </c>
      <c r="B91" s="41"/>
      <c r="C91" s="43">
        <f t="shared" ref="C91:G91" si="10">C89</f>
        <v>234495.5</v>
      </c>
      <c r="D91" s="45">
        <f t="shared" si="10"/>
        <v>69703.5</v>
      </c>
      <c r="E91" s="45">
        <f t="shared" si="10"/>
        <v>366176.5</v>
      </c>
      <c r="F91" s="45">
        <f t="shared" si="10"/>
        <v>435880</v>
      </c>
      <c r="G91" s="45">
        <f t="shared" si="10"/>
        <v>1148224</v>
      </c>
      <c r="H91" s="15"/>
      <c r="I91" s="15"/>
      <c r="J91" s="15"/>
      <c r="K91" s="167"/>
      <c r="L91" s="15"/>
      <c r="M91" s="15"/>
      <c r="N91" s="15"/>
      <c r="O91" s="15"/>
      <c r="P91" s="15"/>
      <c r="Q91" s="15"/>
      <c r="R91" s="15"/>
      <c r="S91" s="15"/>
      <c r="T91" s="15"/>
      <c r="U91" s="15"/>
      <c r="V91" s="15"/>
      <c r="W91" s="15"/>
      <c r="X91" s="15"/>
      <c r="Y91" s="15"/>
      <c r="Z91" s="15"/>
    </row>
    <row r="92" spans="1:26" ht="15.75" customHeight="1" x14ac:dyDescent="0.25">
      <c r="A92" s="44"/>
      <c r="B92" s="41"/>
      <c r="C92" s="43"/>
      <c r="D92" s="43"/>
      <c r="E92" s="43"/>
      <c r="F92" s="43"/>
      <c r="G92" s="43"/>
      <c r="H92" s="15"/>
      <c r="I92" s="15"/>
      <c r="J92" s="15"/>
      <c r="K92" s="167"/>
      <c r="L92" s="15"/>
      <c r="M92" s="15"/>
      <c r="N92" s="15"/>
      <c r="O92" s="15"/>
      <c r="P92" s="15"/>
      <c r="Q92" s="15"/>
      <c r="R92" s="15"/>
      <c r="S92" s="15"/>
      <c r="T92" s="15"/>
      <c r="U92" s="15"/>
      <c r="V92" s="15"/>
      <c r="W92" s="15"/>
      <c r="X92" s="15"/>
      <c r="Y92" s="15"/>
      <c r="Z92" s="15"/>
    </row>
    <row r="93" spans="1:26" ht="15.75" customHeight="1" x14ac:dyDescent="0.25">
      <c r="A93" s="50" t="s">
        <v>487</v>
      </c>
      <c r="B93" s="51" t="s">
        <v>488</v>
      </c>
      <c r="C93" s="54">
        <f t="shared" ref="C93:G93" si="11">+C91</f>
        <v>234495.5</v>
      </c>
      <c r="D93" s="54">
        <f t="shared" si="11"/>
        <v>69703.5</v>
      </c>
      <c r="E93" s="54">
        <f t="shared" si="11"/>
        <v>366176.5</v>
      </c>
      <c r="F93" s="54">
        <f t="shared" si="11"/>
        <v>435880</v>
      </c>
      <c r="G93" s="54">
        <f t="shared" si="11"/>
        <v>1148224</v>
      </c>
      <c r="H93" s="15"/>
      <c r="I93" s="15"/>
      <c r="J93" s="15"/>
      <c r="K93" s="167"/>
      <c r="L93" s="15"/>
      <c r="M93" s="15"/>
      <c r="N93" s="15"/>
      <c r="O93" s="15"/>
      <c r="P93" s="15"/>
      <c r="Q93" s="15"/>
      <c r="R93" s="15"/>
      <c r="S93" s="15"/>
      <c r="T93" s="15"/>
      <c r="U93" s="15"/>
      <c r="V93" s="15"/>
      <c r="W93" s="15"/>
      <c r="X93" s="15"/>
      <c r="Y93" s="15"/>
      <c r="Z93" s="15"/>
    </row>
    <row r="94" spans="1:26" ht="15.75" customHeight="1" x14ac:dyDescent="0.25">
      <c r="A94" s="24"/>
      <c r="B94" s="25"/>
      <c r="C94" s="26"/>
      <c r="D94" s="26"/>
      <c r="E94" s="26"/>
      <c r="F94" s="26"/>
      <c r="G94" s="26"/>
      <c r="H94" s="15"/>
      <c r="I94" s="15"/>
      <c r="J94" s="15"/>
      <c r="K94" s="167"/>
      <c r="L94" s="15"/>
      <c r="M94" s="15"/>
      <c r="N94" s="15"/>
      <c r="O94" s="15"/>
      <c r="P94" s="15"/>
      <c r="Q94" s="15"/>
      <c r="R94" s="15"/>
      <c r="S94" s="15"/>
      <c r="T94" s="15"/>
      <c r="U94" s="15"/>
      <c r="V94" s="15"/>
      <c r="W94" s="15"/>
      <c r="X94" s="15"/>
      <c r="Y94" s="15"/>
      <c r="Z94" s="15"/>
    </row>
    <row r="95" spans="1:26" ht="15.75" customHeight="1" x14ac:dyDescent="0.25">
      <c r="A95" s="24"/>
      <c r="B95" s="25"/>
      <c r="C95" s="24"/>
      <c r="D95" s="24"/>
      <c r="E95" s="24"/>
      <c r="F95" s="15"/>
      <c r="G95" s="15"/>
      <c r="H95" s="15"/>
      <c r="I95" s="15"/>
      <c r="J95" s="15"/>
      <c r="K95" s="167"/>
      <c r="L95" s="15"/>
      <c r="M95" s="15"/>
      <c r="N95" s="15"/>
      <c r="O95" s="15"/>
      <c r="P95" s="15"/>
      <c r="Q95" s="15"/>
      <c r="R95" s="15"/>
      <c r="S95" s="15"/>
      <c r="T95" s="15"/>
      <c r="U95" s="15"/>
      <c r="V95" s="15"/>
      <c r="W95" s="15"/>
      <c r="X95" s="15"/>
      <c r="Y95" s="15"/>
      <c r="Z95" s="15"/>
    </row>
    <row r="96" spans="1:26" ht="15.75" customHeight="1" x14ac:dyDescent="0.25">
      <c r="A96" s="9"/>
      <c r="B96" s="104"/>
      <c r="C96" s="105"/>
      <c r="D96" s="105"/>
      <c r="E96" s="105"/>
      <c r="F96" s="10"/>
      <c r="G96" s="180"/>
      <c r="H96" s="15"/>
      <c r="I96" s="15"/>
      <c r="J96" s="15"/>
      <c r="K96" s="167"/>
      <c r="L96" s="15"/>
      <c r="M96" s="15"/>
      <c r="N96" s="15"/>
      <c r="O96" s="15"/>
      <c r="P96" s="15"/>
      <c r="Q96" s="15"/>
      <c r="R96" s="15"/>
      <c r="S96" s="15"/>
      <c r="T96" s="15"/>
      <c r="U96" s="15"/>
      <c r="V96" s="15"/>
      <c r="W96" s="15"/>
      <c r="X96" s="15"/>
      <c r="Y96" s="15"/>
      <c r="Z96" s="15"/>
    </row>
    <row r="97" spans="1:26" ht="15.75" customHeight="1" x14ac:dyDescent="0.25">
      <c r="A97" s="108" t="s">
        <v>1933</v>
      </c>
      <c r="B97" s="25"/>
      <c r="C97" s="26"/>
      <c r="D97" s="26"/>
      <c r="E97" s="26"/>
      <c r="F97" s="14"/>
      <c r="G97" s="181"/>
      <c r="H97" s="15"/>
      <c r="I97" s="15"/>
      <c r="J97" s="15"/>
      <c r="K97" s="167"/>
      <c r="L97" s="15"/>
      <c r="M97" s="15"/>
      <c r="N97" s="15"/>
      <c r="O97" s="15"/>
      <c r="P97" s="15"/>
      <c r="Q97" s="15"/>
      <c r="R97" s="15"/>
      <c r="S97" s="15"/>
      <c r="T97" s="15"/>
      <c r="U97" s="15"/>
      <c r="V97" s="15"/>
      <c r="W97" s="15"/>
      <c r="X97" s="15"/>
      <c r="Y97" s="15"/>
      <c r="Z97" s="15"/>
    </row>
    <row r="98" spans="1:26" ht="15.75" customHeight="1" x14ac:dyDescent="0.25">
      <c r="A98" s="108"/>
      <c r="B98" s="25"/>
      <c r="C98" s="26"/>
      <c r="D98" s="26"/>
      <c r="E98" s="26"/>
      <c r="F98" s="14"/>
      <c r="G98" s="181"/>
      <c r="H98" s="15"/>
      <c r="I98" s="15"/>
      <c r="J98" s="15"/>
      <c r="K98" s="167"/>
      <c r="L98" s="15"/>
      <c r="M98" s="15"/>
      <c r="N98" s="15"/>
      <c r="O98" s="15"/>
      <c r="P98" s="15"/>
      <c r="Q98" s="15"/>
      <c r="R98" s="15"/>
      <c r="S98" s="15"/>
      <c r="T98" s="15"/>
      <c r="U98" s="15"/>
      <c r="V98" s="15"/>
      <c r="W98" s="15"/>
      <c r="X98" s="15"/>
      <c r="Y98" s="15"/>
      <c r="Z98" s="15"/>
    </row>
    <row r="99" spans="1:26" ht="15.75" customHeight="1" x14ac:dyDescent="0.25">
      <c r="A99" s="865" t="s">
        <v>352</v>
      </c>
      <c r="B99" s="866"/>
      <c r="C99" s="866"/>
      <c r="D99" s="866"/>
      <c r="E99" s="866"/>
      <c r="F99" s="866"/>
      <c r="G99" s="867"/>
      <c r="H99" s="15"/>
      <c r="I99" s="15"/>
      <c r="J99" s="15"/>
      <c r="K99" s="167"/>
      <c r="L99" s="15"/>
      <c r="M99" s="15"/>
      <c r="N99" s="15"/>
      <c r="O99" s="15"/>
      <c r="P99" s="15"/>
      <c r="Q99" s="15"/>
      <c r="R99" s="15"/>
      <c r="S99" s="15"/>
      <c r="T99" s="15"/>
      <c r="U99" s="15"/>
      <c r="V99" s="15"/>
      <c r="W99" s="15"/>
      <c r="X99" s="15"/>
      <c r="Y99" s="15"/>
      <c r="Z99" s="15"/>
    </row>
    <row r="100" spans="1:26" ht="15.75" customHeight="1" x14ac:dyDescent="0.25">
      <c r="A100" s="868" t="s">
        <v>1194</v>
      </c>
      <c r="B100" s="857" t="s">
        <v>354</v>
      </c>
      <c r="C100" s="857" t="s">
        <v>355</v>
      </c>
      <c r="D100" s="884" t="s">
        <v>356</v>
      </c>
      <c r="E100" s="885"/>
      <c r="F100" s="886"/>
      <c r="G100" s="857" t="s">
        <v>357</v>
      </c>
      <c r="H100" s="15"/>
      <c r="I100" s="15"/>
      <c r="J100" s="15"/>
      <c r="K100" s="167"/>
      <c r="L100" s="15"/>
      <c r="M100" s="15"/>
      <c r="N100" s="15"/>
      <c r="O100" s="15"/>
      <c r="P100" s="15"/>
      <c r="Q100" s="15"/>
      <c r="R100" s="15"/>
      <c r="S100" s="15"/>
      <c r="T100" s="15"/>
      <c r="U100" s="15"/>
      <c r="V100" s="15"/>
      <c r="W100" s="15"/>
      <c r="X100" s="15"/>
      <c r="Y100" s="15"/>
      <c r="Z100" s="15"/>
    </row>
    <row r="101" spans="1:26" ht="15.75" customHeight="1" x14ac:dyDescent="0.25">
      <c r="A101" s="858"/>
      <c r="B101" s="858"/>
      <c r="C101" s="858"/>
      <c r="D101" s="28" t="s">
        <v>358</v>
      </c>
      <c r="E101" s="29" t="s">
        <v>359</v>
      </c>
      <c r="F101" s="857" t="s">
        <v>360</v>
      </c>
      <c r="G101" s="858"/>
      <c r="H101" s="15"/>
      <c r="I101" s="15"/>
      <c r="J101" s="15"/>
      <c r="K101" s="167"/>
      <c r="L101" s="15"/>
      <c r="M101" s="15"/>
      <c r="N101" s="15"/>
      <c r="O101" s="15"/>
      <c r="P101" s="15"/>
      <c r="Q101" s="15"/>
      <c r="R101" s="15"/>
      <c r="S101" s="15"/>
      <c r="T101" s="15"/>
      <c r="U101" s="15"/>
      <c r="V101" s="15"/>
      <c r="W101" s="15"/>
      <c r="X101" s="15"/>
      <c r="Y101" s="15"/>
      <c r="Z101" s="15"/>
    </row>
    <row r="102" spans="1:26" ht="15.75" customHeight="1" x14ac:dyDescent="0.25">
      <c r="A102" s="858"/>
      <c r="B102" s="858"/>
      <c r="C102" s="30" t="s">
        <v>361</v>
      </c>
      <c r="D102" s="31" t="s">
        <v>361</v>
      </c>
      <c r="E102" s="32" t="s">
        <v>362</v>
      </c>
      <c r="F102" s="858"/>
      <c r="G102" s="442" t="s">
        <v>2669</v>
      </c>
      <c r="H102" s="15"/>
      <c r="I102" s="15"/>
      <c r="J102" s="15"/>
      <c r="K102" s="167"/>
      <c r="L102" s="15"/>
      <c r="M102" s="15"/>
      <c r="N102" s="15"/>
      <c r="O102" s="15"/>
      <c r="P102" s="15"/>
      <c r="Q102" s="15"/>
      <c r="R102" s="15"/>
      <c r="S102" s="15"/>
      <c r="T102" s="15"/>
      <c r="U102" s="15"/>
      <c r="V102" s="15"/>
      <c r="W102" s="15"/>
      <c r="X102" s="15"/>
      <c r="Y102" s="15"/>
      <c r="Z102" s="15"/>
    </row>
    <row r="103" spans="1:26" ht="15.75" customHeight="1" x14ac:dyDescent="0.25">
      <c r="A103" s="869"/>
      <c r="B103" s="869"/>
      <c r="C103" s="33">
        <v>2024</v>
      </c>
      <c r="D103" s="34">
        <v>2025</v>
      </c>
      <c r="E103" s="35">
        <v>2025</v>
      </c>
      <c r="F103" s="34">
        <v>2025</v>
      </c>
      <c r="G103" s="36" t="s">
        <v>2668</v>
      </c>
      <c r="H103" s="15"/>
      <c r="I103" s="15"/>
      <c r="J103" s="15"/>
      <c r="K103" s="167"/>
      <c r="L103" s="15"/>
      <c r="M103" s="15"/>
      <c r="N103" s="15"/>
      <c r="O103" s="15"/>
      <c r="P103" s="15"/>
      <c r="Q103" s="15"/>
      <c r="R103" s="15"/>
      <c r="S103" s="15"/>
      <c r="T103" s="15"/>
      <c r="U103" s="15"/>
      <c r="V103" s="15"/>
      <c r="W103" s="15"/>
      <c r="X103" s="15"/>
      <c r="Y103" s="15"/>
      <c r="Z103" s="15"/>
    </row>
    <row r="104" spans="1:26" ht="15.75" customHeight="1" x14ac:dyDescent="0.25">
      <c r="A104" s="317" t="s">
        <v>364</v>
      </c>
      <c r="B104" s="318"/>
      <c r="C104" s="171"/>
      <c r="D104" s="171"/>
      <c r="E104" s="171"/>
      <c r="F104" s="171"/>
      <c r="G104" s="171"/>
      <c r="H104" s="15"/>
      <c r="I104" s="15"/>
      <c r="J104" s="15"/>
      <c r="K104" s="167"/>
      <c r="L104" s="15"/>
      <c r="M104" s="15"/>
      <c r="N104" s="15"/>
      <c r="O104" s="15"/>
      <c r="P104" s="15"/>
      <c r="Q104" s="15"/>
      <c r="R104" s="15"/>
      <c r="S104" s="15"/>
      <c r="T104" s="15"/>
      <c r="U104" s="15"/>
      <c r="V104" s="15"/>
      <c r="W104" s="15"/>
      <c r="X104" s="15"/>
      <c r="Y104" s="15"/>
      <c r="Z104" s="15"/>
    </row>
    <row r="105" spans="1:26" ht="15.75" customHeight="1" x14ac:dyDescent="0.25">
      <c r="A105" s="171" t="s">
        <v>1463</v>
      </c>
      <c r="B105" s="319"/>
      <c r="C105" s="171"/>
      <c r="D105" s="171"/>
      <c r="E105" s="171"/>
      <c r="F105" s="171"/>
      <c r="G105" s="171"/>
      <c r="H105" s="15"/>
      <c r="I105" s="15"/>
      <c r="J105" s="15"/>
      <c r="K105" s="167"/>
      <c r="L105" s="15"/>
      <c r="M105" s="15"/>
      <c r="N105" s="15"/>
      <c r="O105" s="15"/>
      <c r="P105" s="15"/>
      <c r="Q105" s="15"/>
      <c r="R105" s="15"/>
      <c r="S105" s="15"/>
      <c r="T105" s="15"/>
      <c r="U105" s="15"/>
      <c r="V105" s="15"/>
      <c r="W105" s="15"/>
      <c r="X105" s="15"/>
      <c r="Y105" s="15"/>
      <c r="Z105" s="15"/>
    </row>
    <row r="106" spans="1:26" ht="15.75" customHeight="1" x14ac:dyDescent="0.25">
      <c r="A106" s="317" t="s">
        <v>642</v>
      </c>
      <c r="B106" s="318"/>
      <c r="C106" s="320"/>
      <c r="D106" s="320"/>
      <c r="E106" s="358"/>
      <c r="F106" s="359"/>
      <c r="G106" s="360"/>
      <c r="H106" s="15"/>
      <c r="I106" s="15"/>
      <c r="J106" s="15"/>
      <c r="K106" s="167"/>
      <c r="L106" s="15"/>
      <c r="M106" s="15"/>
      <c r="N106" s="15"/>
      <c r="O106" s="15"/>
      <c r="P106" s="15"/>
      <c r="Q106" s="15"/>
      <c r="R106" s="15"/>
      <c r="S106" s="15"/>
      <c r="T106" s="15"/>
      <c r="U106" s="15"/>
      <c r="V106" s="15"/>
      <c r="W106" s="15"/>
      <c r="X106" s="15"/>
      <c r="Y106" s="15"/>
      <c r="Z106" s="15"/>
    </row>
    <row r="107" spans="1:26" ht="15.75" customHeight="1" x14ac:dyDescent="0.25">
      <c r="A107" s="266" t="s">
        <v>393</v>
      </c>
      <c r="B107" s="320" t="s">
        <v>187</v>
      </c>
      <c r="C107" s="165">
        <v>58921.919999999998</v>
      </c>
      <c r="D107" s="165">
        <v>18006.72</v>
      </c>
      <c r="E107" s="165">
        <f>F107-D107</f>
        <v>31993.279999999999</v>
      </c>
      <c r="F107" s="165">
        <v>50000</v>
      </c>
      <c r="G107" s="165">
        <v>40000</v>
      </c>
      <c r="H107" s="15"/>
      <c r="I107" s="15"/>
      <c r="J107" s="15"/>
      <c r="K107" s="167"/>
      <c r="L107" s="15"/>
      <c r="M107" s="15"/>
      <c r="N107" s="15"/>
      <c r="O107" s="15"/>
      <c r="P107" s="15"/>
      <c r="Q107" s="15"/>
      <c r="R107" s="15"/>
      <c r="S107" s="15"/>
      <c r="T107" s="15"/>
      <c r="U107" s="15"/>
      <c r="V107" s="15"/>
      <c r="W107" s="15"/>
      <c r="X107" s="15"/>
      <c r="Y107" s="15"/>
      <c r="Z107" s="15"/>
    </row>
    <row r="108" spans="1:26" ht="15.75" customHeight="1" x14ac:dyDescent="0.25">
      <c r="A108" s="171" t="s">
        <v>493</v>
      </c>
      <c r="B108" s="320"/>
      <c r="C108" s="165"/>
      <c r="D108" s="165"/>
      <c r="E108" s="165"/>
      <c r="F108" s="165"/>
      <c r="G108" s="165"/>
      <c r="H108" s="15"/>
      <c r="I108" s="15"/>
      <c r="J108" s="15"/>
      <c r="K108" s="167"/>
      <c r="L108" s="15"/>
      <c r="M108" s="15"/>
      <c r="N108" s="15"/>
      <c r="O108" s="15"/>
      <c r="P108" s="15"/>
      <c r="Q108" s="15"/>
      <c r="R108" s="15"/>
      <c r="S108" s="15"/>
      <c r="T108" s="15"/>
      <c r="U108" s="15"/>
      <c r="V108" s="15"/>
      <c r="W108" s="15"/>
      <c r="X108" s="15"/>
      <c r="Y108" s="15"/>
      <c r="Z108" s="15"/>
    </row>
    <row r="109" spans="1:26" ht="15.75" customHeight="1" x14ac:dyDescent="0.25">
      <c r="A109" s="266" t="s">
        <v>396</v>
      </c>
      <c r="B109" s="320" t="s">
        <v>191</v>
      </c>
      <c r="C109" s="165">
        <v>272680.68</v>
      </c>
      <c r="D109" s="165">
        <v>134871</v>
      </c>
      <c r="E109" s="165">
        <f>F109-D109</f>
        <v>139129</v>
      </c>
      <c r="F109" s="165">
        <v>274000</v>
      </c>
      <c r="G109" s="165">
        <v>273060</v>
      </c>
      <c r="H109" s="15"/>
      <c r="I109" s="15"/>
      <c r="J109" s="15"/>
      <c r="K109" s="167"/>
      <c r="L109" s="15"/>
      <c r="M109" s="15"/>
      <c r="N109" s="15"/>
      <c r="O109" s="15"/>
      <c r="P109" s="15"/>
      <c r="Q109" s="15"/>
      <c r="R109" s="15"/>
      <c r="S109" s="15"/>
      <c r="T109" s="15"/>
      <c r="U109" s="15"/>
      <c r="V109" s="15"/>
      <c r="W109" s="15"/>
      <c r="X109" s="15"/>
      <c r="Y109" s="15"/>
      <c r="Z109" s="15"/>
    </row>
    <row r="110" spans="1:26" ht="15.75" customHeight="1" x14ac:dyDescent="0.25">
      <c r="A110" s="171" t="s">
        <v>499</v>
      </c>
      <c r="B110" s="320"/>
      <c r="C110" s="165"/>
      <c r="D110" s="165"/>
      <c r="E110" s="165"/>
      <c r="F110" s="165"/>
      <c r="G110" s="165"/>
      <c r="H110" s="15"/>
      <c r="I110" s="15"/>
      <c r="J110" s="15"/>
      <c r="K110" s="167"/>
      <c r="L110" s="15"/>
      <c r="M110" s="15"/>
      <c r="N110" s="15"/>
      <c r="O110" s="15"/>
      <c r="P110" s="15"/>
      <c r="Q110" s="15"/>
      <c r="R110" s="15"/>
      <c r="S110" s="15"/>
      <c r="T110" s="15"/>
      <c r="U110" s="15"/>
      <c r="V110" s="15"/>
      <c r="W110" s="15"/>
      <c r="X110" s="15"/>
      <c r="Y110" s="15"/>
      <c r="Z110" s="15"/>
    </row>
    <row r="111" spans="1:26" ht="15.75" customHeight="1" x14ac:dyDescent="0.25">
      <c r="A111" s="266" t="s">
        <v>819</v>
      </c>
      <c r="B111" s="320" t="s">
        <v>203</v>
      </c>
      <c r="C111" s="165">
        <v>1125000</v>
      </c>
      <c r="D111" s="165">
        <v>525000</v>
      </c>
      <c r="E111" s="165">
        <f t="shared" ref="E111:E112" si="12">F111-D111</f>
        <v>720500</v>
      </c>
      <c r="F111" s="165">
        <v>1245500</v>
      </c>
      <c r="G111" s="165">
        <v>1245500</v>
      </c>
      <c r="H111" s="15"/>
      <c r="I111" s="15"/>
      <c r="J111" s="15"/>
      <c r="K111" s="167"/>
      <c r="L111" s="15"/>
      <c r="M111" s="15"/>
      <c r="N111" s="15"/>
      <c r="O111" s="15"/>
      <c r="P111" s="15"/>
      <c r="Q111" s="15"/>
      <c r="R111" s="15"/>
      <c r="S111" s="15"/>
      <c r="T111" s="15"/>
      <c r="U111" s="15"/>
      <c r="V111" s="15"/>
      <c r="W111" s="15"/>
      <c r="X111" s="15"/>
      <c r="Y111" s="15"/>
      <c r="Z111" s="15"/>
    </row>
    <row r="112" spans="1:26" ht="15.75" customHeight="1" x14ac:dyDescent="0.25">
      <c r="A112" s="266" t="s">
        <v>1934</v>
      </c>
      <c r="B112" s="320" t="s">
        <v>205</v>
      </c>
      <c r="C112" s="165">
        <v>2639384.5</v>
      </c>
      <c r="D112" s="165">
        <v>1285657</v>
      </c>
      <c r="E112" s="165">
        <f t="shared" si="12"/>
        <v>1299320</v>
      </c>
      <c r="F112" s="165">
        <v>2584977</v>
      </c>
      <c r="G112" s="165">
        <v>2587974</v>
      </c>
      <c r="H112" s="15"/>
      <c r="I112" s="15"/>
      <c r="J112" s="15"/>
      <c r="K112" s="167"/>
      <c r="L112" s="15"/>
      <c r="M112" s="15"/>
      <c r="N112" s="15"/>
      <c r="O112" s="15"/>
      <c r="P112" s="15"/>
      <c r="Q112" s="15"/>
      <c r="R112" s="15"/>
      <c r="S112" s="15"/>
      <c r="T112" s="15"/>
      <c r="U112" s="15"/>
      <c r="V112" s="15"/>
      <c r="W112" s="15"/>
      <c r="X112" s="15"/>
      <c r="Y112" s="15"/>
      <c r="Z112" s="15"/>
    </row>
    <row r="113" spans="1:26" ht="15.75" customHeight="1" x14ac:dyDescent="0.25">
      <c r="A113" s="361" t="s">
        <v>400</v>
      </c>
      <c r="B113" s="362" t="s">
        <v>221</v>
      </c>
      <c r="C113" s="165">
        <v>0</v>
      </c>
      <c r="D113" s="165">
        <v>0</v>
      </c>
      <c r="E113" s="165">
        <v>105000</v>
      </c>
      <c r="F113" s="165">
        <v>105000</v>
      </c>
      <c r="G113" s="165">
        <v>139000</v>
      </c>
      <c r="H113" s="15"/>
      <c r="I113" s="15"/>
      <c r="J113" s="15"/>
      <c r="K113" s="167"/>
      <c r="L113" s="15"/>
      <c r="M113" s="15"/>
      <c r="N113" s="15"/>
      <c r="O113" s="15"/>
      <c r="P113" s="15"/>
      <c r="Q113" s="15"/>
      <c r="R113" s="15"/>
      <c r="S113" s="15"/>
      <c r="T113" s="15"/>
      <c r="U113" s="15"/>
      <c r="V113" s="15"/>
      <c r="W113" s="15"/>
      <c r="X113" s="15"/>
      <c r="Y113" s="15"/>
      <c r="Z113" s="15"/>
    </row>
    <row r="114" spans="1:26" ht="15.75" customHeight="1" x14ac:dyDescent="0.25">
      <c r="A114" s="317" t="s">
        <v>511</v>
      </c>
      <c r="B114" s="320"/>
      <c r="C114" s="165"/>
      <c r="D114" s="165"/>
      <c r="E114" s="165"/>
      <c r="F114" s="165"/>
      <c r="G114" s="165"/>
      <c r="H114" s="15"/>
      <c r="I114" s="15"/>
      <c r="J114" s="15"/>
      <c r="K114" s="167"/>
      <c r="L114" s="15"/>
      <c r="M114" s="15"/>
      <c r="N114" s="15"/>
      <c r="O114" s="15"/>
      <c r="P114" s="15"/>
      <c r="Q114" s="15"/>
      <c r="R114" s="15"/>
      <c r="S114" s="15"/>
      <c r="T114" s="15"/>
      <c r="U114" s="15"/>
      <c r="V114" s="15"/>
      <c r="W114" s="15"/>
      <c r="X114" s="15"/>
      <c r="Y114" s="15"/>
      <c r="Z114" s="15"/>
    </row>
    <row r="115" spans="1:26" ht="15.75" customHeight="1" x14ac:dyDescent="0.25">
      <c r="A115" s="266" t="s">
        <v>424</v>
      </c>
      <c r="B115" s="320" t="s">
        <v>335</v>
      </c>
      <c r="C115" s="165">
        <v>2195372</v>
      </c>
      <c r="D115" s="165">
        <v>1240334.96</v>
      </c>
      <c r="E115" s="165">
        <f>F115-D115</f>
        <v>1875285.04</v>
      </c>
      <c r="F115" s="165">
        <v>3115620</v>
      </c>
      <c r="G115" s="545">
        <v>4629924</v>
      </c>
      <c r="H115" s="167">
        <f>SUM(K116:K123)</f>
        <v>4629924</v>
      </c>
      <c r="I115" s="15"/>
      <c r="J115" s="15"/>
      <c r="K115" s="167"/>
      <c r="L115" s="15"/>
      <c r="M115" s="15"/>
      <c r="N115" s="15"/>
      <c r="O115" s="15"/>
      <c r="P115" s="15"/>
      <c r="Q115" s="15"/>
      <c r="R115" s="15"/>
      <c r="S115" s="15"/>
      <c r="T115" s="15"/>
      <c r="U115" s="15"/>
      <c r="V115" s="15"/>
      <c r="W115" s="15"/>
      <c r="X115" s="15"/>
      <c r="Y115" s="15"/>
      <c r="Z115" s="15"/>
    </row>
    <row r="116" spans="1:26" ht="15.75" customHeight="1" x14ac:dyDescent="0.25">
      <c r="A116" s="17" t="s">
        <v>1935</v>
      </c>
      <c r="B116" s="320"/>
      <c r="C116" s="165"/>
      <c r="D116" s="165"/>
      <c r="E116" s="165"/>
      <c r="F116" s="165"/>
      <c r="G116" s="165"/>
      <c r="H116" s="15"/>
      <c r="I116" s="15"/>
      <c r="J116" s="15"/>
      <c r="K116" s="167"/>
      <c r="L116" s="15"/>
      <c r="M116" s="15"/>
      <c r="N116" s="15"/>
      <c r="O116" s="15"/>
      <c r="P116" s="15"/>
      <c r="Q116" s="15"/>
      <c r="R116" s="15"/>
      <c r="S116" s="15"/>
      <c r="T116" s="15"/>
      <c r="U116" s="15"/>
      <c r="V116" s="15"/>
      <c r="W116" s="15"/>
      <c r="X116" s="15"/>
      <c r="Y116" s="15"/>
      <c r="Z116" s="15"/>
    </row>
    <row r="117" spans="1:26" ht="15.75" customHeight="1" x14ac:dyDescent="0.25">
      <c r="A117" s="266" t="s">
        <v>1936</v>
      </c>
      <c r="B117" s="320"/>
      <c r="C117" s="165"/>
      <c r="D117" s="165"/>
      <c r="E117" s="165"/>
      <c r="F117" s="165"/>
      <c r="G117" s="165"/>
      <c r="H117" s="15">
        <v>312</v>
      </c>
      <c r="I117" s="15">
        <v>974</v>
      </c>
      <c r="J117" s="15">
        <v>3</v>
      </c>
      <c r="K117" s="167">
        <f t="shared" ref="K117:K119" si="13">H117*I117*J117</f>
        <v>911664</v>
      </c>
      <c r="L117" s="15"/>
      <c r="M117" s="15"/>
      <c r="N117" s="15"/>
      <c r="O117" s="15"/>
      <c r="P117" s="15"/>
      <c r="Q117" s="15"/>
      <c r="R117" s="15"/>
      <c r="S117" s="15"/>
      <c r="T117" s="15"/>
      <c r="U117" s="15"/>
      <c r="V117" s="15"/>
      <c r="W117" s="15"/>
      <c r="X117" s="15"/>
      <c r="Y117" s="15"/>
      <c r="Z117" s="15"/>
    </row>
    <row r="118" spans="1:26" ht="15.75" customHeight="1" x14ac:dyDescent="0.25">
      <c r="A118" s="266" t="s">
        <v>1937</v>
      </c>
      <c r="B118" s="320"/>
      <c r="C118" s="165"/>
      <c r="D118" s="165"/>
      <c r="E118" s="165"/>
      <c r="F118" s="165"/>
      <c r="G118" s="165"/>
      <c r="H118" s="15">
        <v>312</v>
      </c>
      <c r="I118" s="15">
        <v>678</v>
      </c>
      <c r="J118" s="15">
        <v>2</v>
      </c>
      <c r="K118" s="167">
        <f t="shared" si="13"/>
        <v>423072</v>
      </c>
      <c r="L118" s="15"/>
      <c r="M118" s="15"/>
      <c r="N118" s="15"/>
      <c r="O118" s="15"/>
      <c r="P118" s="15"/>
      <c r="Q118" s="15"/>
      <c r="R118" s="15"/>
      <c r="S118" s="15"/>
      <c r="T118" s="15"/>
      <c r="U118" s="15"/>
      <c r="V118" s="15"/>
      <c r="W118" s="15"/>
      <c r="X118" s="15"/>
      <c r="Y118" s="15"/>
      <c r="Z118" s="15"/>
    </row>
    <row r="119" spans="1:26" ht="15.75" customHeight="1" x14ac:dyDescent="0.25">
      <c r="A119" s="266" t="s">
        <v>1938</v>
      </c>
      <c r="B119" s="320"/>
      <c r="C119" s="165"/>
      <c r="D119" s="165"/>
      <c r="E119" s="165"/>
      <c r="F119" s="165"/>
      <c r="G119" s="165"/>
      <c r="H119" s="15">
        <v>312</v>
      </c>
      <c r="I119" s="15">
        <v>639</v>
      </c>
      <c r="J119" s="15">
        <v>16</v>
      </c>
      <c r="K119" s="167">
        <f t="shared" si="13"/>
        <v>3189888</v>
      </c>
      <c r="L119" s="15"/>
      <c r="M119" s="15"/>
      <c r="N119" s="15"/>
      <c r="O119" s="15"/>
      <c r="P119" s="15"/>
      <c r="Q119" s="15"/>
      <c r="R119" s="15"/>
      <c r="S119" s="15"/>
      <c r="T119" s="15"/>
      <c r="U119" s="15"/>
      <c r="V119" s="15"/>
      <c r="W119" s="15"/>
      <c r="X119" s="15"/>
      <c r="Y119" s="15"/>
      <c r="Z119" s="15"/>
    </row>
    <row r="120" spans="1:26" ht="15.75" customHeight="1" x14ac:dyDescent="0.25">
      <c r="A120" s="266" t="s">
        <v>1939</v>
      </c>
      <c r="B120" s="320"/>
      <c r="C120" s="165"/>
      <c r="D120" s="165"/>
      <c r="E120" s="165"/>
      <c r="F120" s="165"/>
      <c r="G120" s="165"/>
      <c r="H120" s="15"/>
      <c r="I120" s="15"/>
      <c r="J120" s="15"/>
      <c r="K120" s="167"/>
      <c r="L120" s="15"/>
      <c r="M120" s="15"/>
      <c r="N120" s="15"/>
      <c r="O120" s="15"/>
      <c r="P120" s="15"/>
      <c r="Q120" s="15"/>
      <c r="R120" s="15"/>
      <c r="S120" s="15"/>
      <c r="T120" s="15"/>
      <c r="U120" s="15"/>
      <c r="V120" s="15"/>
      <c r="W120" s="15"/>
      <c r="X120" s="15"/>
      <c r="Y120" s="15"/>
      <c r="Z120" s="15"/>
    </row>
    <row r="121" spans="1:26" ht="15.75" customHeight="1" x14ac:dyDescent="0.25">
      <c r="A121" s="266" t="s">
        <v>1940</v>
      </c>
      <c r="B121" s="320"/>
      <c r="C121" s="165"/>
      <c r="D121" s="165"/>
      <c r="E121" s="165"/>
      <c r="F121" s="165"/>
      <c r="G121" s="165"/>
      <c r="H121" s="15"/>
      <c r="I121" s="15"/>
      <c r="J121" s="15"/>
      <c r="K121" s="167">
        <v>33300</v>
      </c>
      <c r="L121" s="15"/>
      <c r="M121" s="15"/>
      <c r="N121" s="15"/>
      <c r="O121" s="15"/>
      <c r="P121" s="15"/>
      <c r="Q121" s="15"/>
      <c r="R121" s="15"/>
      <c r="S121" s="15"/>
      <c r="T121" s="15"/>
      <c r="U121" s="15"/>
      <c r="V121" s="15"/>
      <c r="W121" s="15"/>
      <c r="X121" s="15"/>
      <c r="Y121" s="15"/>
      <c r="Z121" s="15"/>
    </row>
    <row r="122" spans="1:26" ht="15.75" customHeight="1" x14ac:dyDescent="0.25">
      <c r="A122" s="266" t="s">
        <v>1941</v>
      </c>
      <c r="B122" s="320"/>
      <c r="C122" s="165"/>
      <c r="D122" s="165"/>
      <c r="E122" s="165"/>
      <c r="F122" s="165"/>
      <c r="G122" s="165"/>
      <c r="H122" s="15"/>
      <c r="I122" s="15"/>
      <c r="J122" s="15"/>
      <c r="K122" s="167">
        <v>72000</v>
      </c>
      <c r="L122" s="15"/>
      <c r="M122" s="15"/>
      <c r="N122" s="15"/>
      <c r="O122" s="15"/>
      <c r="P122" s="15"/>
      <c r="Q122" s="15"/>
      <c r="R122" s="15"/>
      <c r="S122" s="15"/>
      <c r="T122" s="15"/>
      <c r="U122" s="15"/>
      <c r="V122" s="15"/>
      <c r="W122" s="15"/>
      <c r="X122" s="15"/>
      <c r="Y122" s="15"/>
      <c r="Z122" s="15"/>
    </row>
    <row r="123" spans="1:26" ht="15.75" customHeight="1" x14ac:dyDescent="0.25">
      <c r="A123" s="266" t="s">
        <v>1942</v>
      </c>
      <c r="B123" s="320"/>
      <c r="C123" s="165"/>
      <c r="D123" s="165"/>
      <c r="E123" s="165"/>
      <c r="F123" s="165"/>
      <c r="G123" s="165"/>
      <c r="H123" s="15"/>
      <c r="I123" s="15"/>
      <c r="J123" s="15"/>
      <c r="K123" s="167"/>
      <c r="L123" s="15"/>
      <c r="M123" s="15"/>
      <c r="N123" s="15"/>
      <c r="O123" s="15"/>
      <c r="P123" s="15"/>
      <c r="Q123" s="15"/>
      <c r="R123" s="15"/>
      <c r="S123" s="15"/>
      <c r="T123" s="15"/>
      <c r="U123" s="15"/>
      <c r="V123" s="15"/>
      <c r="W123" s="15"/>
      <c r="X123" s="15"/>
      <c r="Y123" s="15"/>
      <c r="Z123" s="15"/>
    </row>
    <row r="124" spans="1:26" ht="15.75" customHeight="1" x14ac:dyDescent="0.25">
      <c r="A124" s="171" t="s">
        <v>466</v>
      </c>
      <c r="B124" s="320"/>
      <c r="C124" s="166">
        <f>SUM(C107:C115)</f>
        <v>6291359.0999999996</v>
      </c>
      <c r="D124" s="166">
        <f>SUM(D107:D115)</f>
        <v>3203869.6799999997</v>
      </c>
      <c r="E124" s="166">
        <f>SUM(E107:E115)</f>
        <v>4171227.3200000003</v>
      </c>
      <c r="F124" s="166">
        <f>SUM(F107:F115)</f>
        <v>7375097</v>
      </c>
      <c r="G124" s="166">
        <f>SUM(G107:G115)</f>
        <v>8915458</v>
      </c>
      <c r="H124" s="15"/>
      <c r="I124" s="15"/>
      <c r="J124" s="15"/>
      <c r="K124" s="167"/>
      <c r="L124" s="15"/>
      <c r="M124" s="15"/>
      <c r="N124" s="15"/>
      <c r="O124" s="15"/>
      <c r="P124" s="15"/>
      <c r="Q124" s="15"/>
      <c r="R124" s="15"/>
      <c r="S124" s="15"/>
      <c r="T124" s="15"/>
      <c r="U124" s="15"/>
      <c r="V124" s="15"/>
      <c r="W124" s="15"/>
      <c r="X124" s="15"/>
      <c r="Y124" s="15"/>
      <c r="Z124" s="15"/>
    </row>
    <row r="125" spans="1:26" ht="15.75" customHeight="1" x14ac:dyDescent="0.25">
      <c r="A125" s="317"/>
      <c r="B125" s="320"/>
      <c r="C125" s="322"/>
      <c r="D125" s="165"/>
      <c r="E125" s="165"/>
      <c r="F125" s="165"/>
      <c r="G125" s="165"/>
      <c r="H125" s="15"/>
      <c r="I125" s="15"/>
      <c r="J125" s="15"/>
      <c r="K125" s="167"/>
      <c r="L125" s="15"/>
      <c r="M125" s="15"/>
      <c r="N125" s="15"/>
      <c r="O125" s="15"/>
      <c r="P125" s="15"/>
      <c r="Q125" s="15"/>
      <c r="R125" s="15"/>
      <c r="S125" s="15"/>
      <c r="T125" s="15"/>
      <c r="U125" s="15"/>
      <c r="V125" s="15"/>
      <c r="W125" s="15"/>
      <c r="X125" s="15"/>
      <c r="Y125" s="15"/>
      <c r="Z125" s="15"/>
    </row>
    <row r="126" spans="1:26" ht="15.75" customHeight="1" x14ac:dyDescent="0.25">
      <c r="A126" s="317" t="s">
        <v>467</v>
      </c>
      <c r="B126" s="320"/>
      <c r="C126" s="165">
        <f t="shared" ref="C126:G126" si="14">C124</f>
        <v>6291359.0999999996</v>
      </c>
      <c r="D126" s="165">
        <f t="shared" si="14"/>
        <v>3203869.6799999997</v>
      </c>
      <c r="E126" s="165">
        <f t="shared" si="14"/>
        <v>4171227.3200000003</v>
      </c>
      <c r="F126" s="165">
        <f t="shared" si="14"/>
        <v>7375097</v>
      </c>
      <c r="G126" s="165">
        <f t="shared" si="14"/>
        <v>8915458</v>
      </c>
      <c r="H126" s="15"/>
      <c r="I126" s="15"/>
      <c r="J126" s="15"/>
      <c r="K126" s="167"/>
      <c r="L126" s="15"/>
      <c r="M126" s="15"/>
      <c r="N126" s="15"/>
      <c r="O126" s="15"/>
      <c r="P126" s="15"/>
      <c r="Q126" s="15"/>
      <c r="R126" s="15"/>
      <c r="S126" s="15"/>
      <c r="T126" s="15"/>
      <c r="U126" s="15"/>
      <c r="V126" s="15"/>
      <c r="W126" s="15"/>
      <c r="X126" s="15"/>
      <c r="Y126" s="15"/>
      <c r="Z126" s="15"/>
    </row>
    <row r="127" spans="1:26" ht="15.75" customHeight="1" x14ac:dyDescent="0.25">
      <c r="A127" s="171"/>
      <c r="B127" s="320"/>
      <c r="C127" s="165"/>
      <c r="D127" s="165"/>
      <c r="E127" s="165"/>
      <c r="F127" s="165"/>
      <c r="G127" s="165"/>
      <c r="H127" s="15"/>
      <c r="I127" s="15"/>
      <c r="J127" s="15"/>
      <c r="K127" s="167"/>
      <c r="L127" s="15"/>
      <c r="M127" s="15"/>
      <c r="N127" s="15"/>
      <c r="O127" s="15"/>
      <c r="P127" s="15"/>
      <c r="Q127" s="15"/>
      <c r="R127" s="15"/>
      <c r="S127" s="15"/>
      <c r="T127" s="15"/>
      <c r="U127" s="15"/>
      <c r="V127" s="15"/>
      <c r="W127" s="15"/>
      <c r="X127" s="15"/>
      <c r="Y127" s="15"/>
      <c r="Z127" s="15"/>
    </row>
    <row r="128" spans="1:26" ht="15.75" customHeight="1" x14ac:dyDescent="0.25">
      <c r="A128" s="579" t="s">
        <v>529</v>
      </c>
      <c r="B128" s="580"/>
      <c r="C128" s="578"/>
      <c r="D128" s="578"/>
      <c r="E128" s="578"/>
      <c r="F128" s="578"/>
      <c r="G128" s="581"/>
      <c r="H128" s="515"/>
      <c r="I128" s="15"/>
      <c r="J128" s="15"/>
      <c r="K128" s="167"/>
      <c r="L128" s="15"/>
      <c r="M128" s="15"/>
      <c r="N128" s="15"/>
      <c r="O128" s="15"/>
      <c r="P128" s="15"/>
      <c r="Q128" s="15"/>
      <c r="R128" s="15"/>
      <c r="S128" s="15"/>
      <c r="T128" s="15"/>
      <c r="U128" s="15"/>
      <c r="V128" s="15"/>
      <c r="W128" s="15"/>
      <c r="X128" s="15"/>
      <c r="Y128" s="15"/>
      <c r="Z128" s="15"/>
    </row>
    <row r="129" spans="1:26" ht="15.75" customHeight="1" x14ac:dyDescent="0.25">
      <c r="A129" s="574" t="s">
        <v>541</v>
      </c>
      <c r="B129" s="575"/>
      <c r="C129" s="576"/>
      <c r="D129" s="577"/>
      <c r="E129" s="577"/>
      <c r="F129" s="577"/>
      <c r="G129" s="577"/>
      <c r="H129" s="15"/>
      <c r="I129" s="15"/>
      <c r="J129" s="15"/>
      <c r="K129" s="167"/>
      <c r="L129" s="15"/>
      <c r="M129" s="15"/>
      <c r="N129" s="15"/>
      <c r="O129" s="15"/>
      <c r="P129" s="15"/>
      <c r="Q129" s="15"/>
      <c r="R129" s="15"/>
      <c r="S129" s="15"/>
      <c r="T129" s="15"/>
      <c r="U129" s="15"/>
      <c r="V129" s="15"/>
      <c r="W129" s="15"/>
      <c r="X129" s="15"/>
      <c r="Y129" s="15"/>
      <c r="Z129" s="15"/>
    </row>
    <row r="130" spans="1:26" ht="15.75" customHeight="1" x14ac:dyDescent="0.25">
      <c r="A130" s="266" t="s">
        <v>531</v>
      </c>
      <c r="B130" s="358" t="s">
        <v>29</v>
      </c>
      <c r="C130" s="165">
        <v>0</v>
      </c>
      <c r="D130" s="165">
        <v>0</v>
      </c>
      <c r="E130" s="165">
        <f>F130-D130</f>
        <v>0</v>
      </c>
      <c r="F130" s="165">
        <v>0</v>
      </c>
      <c r="G130" s="165">
        <v>4499947</v>
      </c>
      <c r="H130" s="15"/>
      <c r="I130" s="15"/>
      <c r="J130" s="15"/>
      <c r="K130" s="167"/>
      <c r="L130" s="15"/>
      <c r="M130" s="15"/>
      <c r="N130" s="15"/>
      <c r="O130" s="15"/>
      <c r="P130" s="15"/>
      <c r="Q130" s="15"/>
      <c r="R130" s="15"/>
      <c r="S130" s="15"/>
      <c r="T130" s="15"/>
      <c r="U130" s="15"/>
      <c r="V130" s="15"/>
      <c r="W130" s="15"/>
      <c r="X130" s="15"/>
      <c r="Y130" s="15"/>
      <c r="Z130" s="15"/>
    </row>
    <row r="131" spans="1:26" ht="15.75" customHeight="1" x14ac:dyDescent="0.25">
      <c r="A131" s="266" t="s">
        <v>1944</v>
      </c>
      <c r="B131" s="358"/>
      <c r="C131" s="364"/>
      <c r="D131" s="165"/>
      <c r="E131" s="165"/>
      <c r="F131" s="165"/>
      <c r="G131" s="165"/>
      <c r="H131" s="15"/>
      <c r="I131" s="15"/>
      <c r="J131" s="15"/>
      <c r="K131" s="167"/>
      <c r="L131" s="15"/>
      <c r="M131" s="15"/>
      <c r="N131" s="15"/>
      <c r="O131" s="15"/>
      <c r="P131" s="15"/>
      <c r="Q131" s="15"/>
      <c r="R131" s="15"/>
      <c r="S131" s="15"/>
      <c r="T131" s="15"/>
      <c r="U131" s="15"/>
      <c r="V131" s="15"/>
      <c r="W131" s="15"/>
      <c r="X131" s="15"/>
      <c r="Y131" s="15"/>
      <c r="Z131" s="15"/>
    </row>
    <row r="132" spans="1:26" ht="15.75" customHeight="1" x14ac:dyDescent="0.25">
      <c r="A132" s="171" t="s">
        <v>536</v>
      </c>
      <c r="B132" s="320"/>
      <c r="C132" s="166">
        <f>SUM(C129:C131)</f>
        <v>0</v>
      </c>
      <c r="D132" s="166">
        <f>SUM(D129:D131)</f>
        <v>0</v>
      </c>
      <c r="E132" s="166">
        <f>SUM(E129:E131)</f>
        <v>0</v>
      </c>
      <c r="F132" s="166">
        <f>SUM(F129:F131)</f>
        <v>0</v>
      </c>
      <c r="G132" s="166">
        <f>SUM(G129:G131)</f>
        <v>4499947</v>
      </c>
      <c r="H132" s="15"/>
      <c r="I132" s="15"/>
      <c r="J132" s="15"/>
      <c r="K132" s="167"/>
      <c r="L132" s="15"/>
      <c r="M132" s="15"/>
      <c r="N132" s="15"/>
      <c r="O132" s="15"/>
      <c r="P132" s="15"/>
      <c r="Q132" s="15"/>
      <c r="R132" s="15"/>
      <c r="S132" s="15"/>
      <c r="T132" s="15"/>
      <c r="U132" s="15"/>
      <c r="V132" s="15"/>
      <c r="W132" s="15"/>
      <c r="X132" s="15"/>
      <c r="Y132" s="15"/>
      <c r="Z132" s="15"/>
    </row>
    <row r="133" spans="1:26" ht="15.75" customHeight="1" x14ac:dyDescent="0.25">
      <c r="A133" s="171"/>
      <c r="B133" s="320"/>
      <c r="C133" s="165"/>
      <c r="D133" s="165"/>
      <c r="E133" s="165"/>
      <c r="F133" s="165"/>
      <c r="G133" s="165"/>
      <c r="H133" s="15"/>
      <c r="I133" s="15"/>
      <c r="J133" s="15"/>
      <c r="K133" s="167"/>
      <c r="L133" s="15"/>
      <c r="M133" s="15"/>
      <c r="N133" s="15"/>
      <c r="O133" s="15"/>
      <c r="P133" s="15"/>
      <c r="Q133" s="15"/>
      <c r="R133" s="15"/>
      <c r="S133" s="15"/>
      <c r="T133" s="15"/>
      <c r="U133" s="15"/>
      <c r="V133" s="15"/>
      <c r="W133" s="15"/>
      <c r="X133" s="15"/>
      <c r="Y133" s="15"/>
      <c r="Z133" s="15"/>
    </row>
    <row r="134" spans="1:26" ht="15.75" customHeight="1" x14ac:dyDescent="0.25">
      <c r="A134" s="365" t="s">
        <v>487</v>
      </c>
      <c r="B134" s="324" t="s">
        <v>488</v>
      </c>
      <c r="C134" s="166">
        <f>C126+C132</f>
        <v>6291359.0999999996</v>
      </c>
      <c r="D134" s="166">
        <f>D126+D132</f>
        <v>3203869.6799999997</v>
      </c>
      <c r="E134" s="166">
        <f>E126+E132</f>
        <v>4171227.3200000003</v>
      </c>
      <c r="F134" s="166">
        <f>F126+F132</f>
        <v>7375097</v>
      </c>
      <c r="G134" s="166">
        <f>G126+G132</f>
        <v>13415405</v>
      </c>
      <c r="H134" s="15"/>
      <c r="I134" s="15"/>
      <c r="J134" s="15"/>
      <c r="K134" s="167"/>
      <c r="L134" s="15"/>
      <c r="M134" s="15"/>
      <c r="N134" s="15"/>
      <c r="O134" s="15"/>
      <c r="P134" s="15"/>
      <c r="Q134" s="15"/>
      <c r="R134" s="15"/>
      <c r="S134" s="15"/>
      <c r="T134" s="15"/>
      <c r="U134" s="15"/>
      <c r="V134" s="15"/>
      <c r="W134" s="15"/>
      <c r="X134" s="15"/>
      <c r="Y134" s="15"/>
      <c r="Z134" s="15"/>
    </row>
    <row r="135" spans="1:26" ht="15.75" customHeight="1" x14ac:dyDescent="0.25">
      <c r="A135" s="24"/>
      <c r="B135" s="25"/>
      <c r="C135" s="26"/>
      <c r="D135" s="26"/>
      <c r="E135" s="26"/>
      <c r="F135" s="26"/>
      <c r="G135" s="26"/>
      <c r="H135" s="15"/>
      <c r="I135" s="15"/>
      <c r="J135" s="15"/>
      <c r="K135" s="167"/>
      <c r="L135" s="15"/>
      <c r="M135" s="15"/>
      <c r="N135" s="15"/>
      <c r="O135" s="15"/>
      <c r="P135" s="15"/>
      <c r="Q135" s="15"/>
      <c r="R135" s="15"/>
      <c r="S135" s="15"/>
      <c r="T135" s="15"/>
      <c r="U135" s="15"/>
      <c r="V135" s="15"/>
      <c r="W135" s="15"/>
      <c r="X135" s="15"/>
      <c r="Y135" s="15"/>
      <c r="Z135" s="15"/>
    </row>
    <row r="136" spans="1:26" ht="15.75" customHeight="1" x14ac:dyDescent="0.25">
      <c r="A136" s="24"/>
      <c r="B136" s="25"/>
      <c r="C136" s="24"/>
      <c r="D136" s="24"/>
      <c r="E136" s="24"/>
      <c r="F136" s="15"/>
      <c r="G136" s="15"/>
      <c r="H136" s="15"/>
      <c r="I136" s="15"/>
      <c r="J136" s="15"/>
      <c r="K136" s="167"/>
      <c r="L136" s="15"/>
      <c r="M136" s="15"/>
      <c r="N136" s="15"/>
      <c r="O136" s="15"/>
      <c r="P136" s="15"/>
      <c r="Q136" s="15"/>
      <c r="R136" s="15"/>
      <c r="S136" s="15"/>
      <c r="T136" s="15"/>
      <c r="U136" s="15"/>
      <c r="V136" s="15"/>
      <c r="W136" s="15"/>
      <c r="X136" s="15"/>
      <c r="Y136" s="15"/>
      <c r="Z136" s="15"/>
    </row>
    <row r="137" spans="1:26" ht="15.75" customHeight="1" x14ac:dyDescent="0.25">
      <c r="A137" s="9"/>
      <c r="B137" s="104"/>
      <c r="C137" s="105"/>
      <c r="D137" s="105"/>
      <c r="E137" s="105"/>
      <c r="F137" s="10"/>
      <c r="G137" s="180"/>
      <c r="H137" s="15"/>
      <c r="I137" s="15"/>
      <c r="J137" s="15"/>
      <c r="K137" s="167"/>
      <c r="L137" s="15"/>
      <c r="M137" s="15"/>
      <c r="N137" s="15"/>
      <c r="O137" s="15"/>
      <c r="P137" s="15"/>
      <c r="Q137" s="15"/>
      <c r="R137" s="15"/>
      <c r="S137" s="15"/>
      <c r="T137" s="15"/>
      <c r="U137" s="15"/>
      <c r="V137" s="15"/>
      <c r="W137" s="15"/>
      <c r="X137" s="15"/>
      <c r="Y137" s="15"/>
      <c r="Z137" s="15"/>
    </row>
    <row r="138" spans="1:26" ht="15.75" customHeight="1" x14ac:dyDescent="0.25">
      <c r="A138" s="108" t="s">
        <v>1945</v>
      </c>
      <c r="B138" s="25"/>
      <c r="C138" s="26"/>
      <c r="D138" s="26"/>
      <c r="E138" s="26"/>
      <c r="F138" s="14"/>
      <c r="G138" s="181"/>
      <c r="H138" s="15"/>
      <c r="I138" s="15"/>
      <c r="J138" s="15"/>
      <c r="K138" s="167"/>
      <c r="L138" s="15"/>
      <c r="M138" s="15"/>
      <c r="N138" s="15"/>
      <c r="O138" s="15"/>
      <c r="P138" s="15"/>
      <c r="Q138" s="15"/>
      <c r="R138" s="15"/>
      <c r="S138" s="15"/>
      <c r="T138" s="15"/>
      <c r="U138" s="15"/>
      <c r="V138" s="15"/>
      <c r="W138" s="15"/>
      <c r="X138" s="15"/>
      <c r="Y138" s="15"/>
      <c r="Z138" s="15"/>
    </row>
    <row r="139" spans="1:26" ht="15.75" customHeight="1" x14ac:dyDescent="0.25">
      <c r="A139" s="108"/>
      <c r="B139" s="25"/>
      <c r="C139" s="26"/>
      <c r="D139" s="26"/>
      <c r="E139" s="26"/>
      <c r="F139" s="14"/>
      <c r="G139" s="181"/>
      <c r="H139" s="15"/>
      <c r="I139" s="15"/>
      <c r="J139" s="15"/>
      <c r="K139" s="167"/>
      <c r="L139" s="15"/>
      <c r="M139" s="15"/>
      <c r="N139" s="15"/>
      <c r="O139" s="15"/>
      <c r="P139" s="15"/>
      <c r="Q139" s="15"/>
      <c r="R139" s="15"/>
      <c r="S139" s="15"/>
      <c r="T139" s="15"/>
      <c r="U139" s="15"/>
      <c r="V139" s="15"/>
      <c r="W139" s="15"/>
      <c r="X139" s="15"/>
      <c r="Y139" s="15"/>
      <c r="Z139" s="15"/>
    </row>
    <row r="140" spans="1:26" ht="15.75" customHeight="1" x14ac:dyDescent="0.25">
      <c r="A140" s="865" t="s">
        <v>352</v>
      </c>
      <c r="B140" s="866"/>
      <c r="C140" s="866"/>
      <c r="D140" s="866"/>
      <c r="E140" s="866"/>
      <c r="F140" s="866"/>
      <c r="G140" s="867"/>
      <c r="H140" s="15"/>
      <c r="I140" s="15"/>
      <c r="J140" s="15"/>
      <c r="K140" s="167"/>
      <c r="L140" s="15"/>
      <c r="M140" s="15"/>
      <c r="N140" s="15"/>
      <c r="O140" s="15"/>
      <c r="P140" s="15"/>
      <c r="Q140" s="15"/>
      <c r="R140" s="15"/>
      <c r="S140" s="15"/>
      <c r="T140" s="15"/>
      <c r="U140" s="15"/>
      <c r="V140" s="15"/>
      <c r="W140" s="15"/>
      <c r="X140" s="15"/>
      <c r="Y140" s="15"/>
      <c r="Z140" s="15"/>
    </row>
    <row r="141" spans="1:26" ht="15.75" customHeight="1" x14ac:dyDescent="0.25">
      <c r="A141" s="868" t="s">
        <v>1194</v>
      </c>
      <c r="B141" s="857" t="s">
        <v>354</v>
      </c>
      <c r="C141" s="857" t="s">
        <v>355</v>
      </c>
      <c r="D141" s="884" t="s">
        <v>356</v>
      </c>
      <c r="E141" s="885"/>
      <c r="F141" s="886"/>
      <c r="G141" s="857" t="s">
        <v>357</v>
      </c>
      <c r="H141" s="15"/>
      <c r="I141" s="15"/>
      <c r="J141" s="15"/>
      <c r="K141" s="167"/>
      <c r="L141" s="15"/>
      <c r="M141" s="15"/>
      <c r="N141" s="15"/>
      <c r="O141" s="15"/>
      <c r="P141" s="15"/>
      <c r="Q141" s="15"/>
      <c r="R141" s="15"/>
      <c r="S141" s="15"/>
      <c r="T141" s="15"/>
      <c r="U141" s="15"/>
      <c r="V141" s="15"/>
      <c r="W141" s="15"/>
      <c r="X141" s="15"/>
      <c r="Y141" s="15"/>
      <c r="Z141" s="15"/>
    </row>
    <row r="142" spans="1:26" ht="15.75" customHeight="1" x14ac:dyDescent="0.25">
      <c r="A142" s="858"/>
      <c r="B142" s="858"/>
      <c r="C142" s="858"/>
      <c r="D142" s="28" t="s">
        <v>358</v>
      </c>
      <c r="E142" s="29" t="s">
        <v>359</v>
      </c>
      <c r="F142" s="857" t="s">
        <v>360</v>
      </c>
      <c r="G142" s="858"/>
      <c r="H142" s="15"/>
      <c r="I142" s="15"/>
      <c r="J142" s="15"/>
      <c r="K142" s="167"/>
      <c r="L142" s="15"/>
      <c r="M142" s="15"/>
      <c r="N142" s="15"/>
      <c r="O142" s="15"/>
      <c r="P142" s="15"/>
      <c r="Q142" s="15"/>
      <c r="R142" s="15"/>
      <c r="S142" s="15"/>
      <c r="T142" s="15"/>
      <c r="U142" s="15"/>
      <c r="V142" s="15"/>
      <c r="W142" s="15"/>
      <c r="X142" s="15"/>
      <c r="Y142" s="15"/>
      <c r="Z142" s="15"/>
    </row>
    <row r="143" spans="1:26" ht="15.75" customHeight="1" x14ac:dyDescent="0.25">
      <c r="A143" s="858"/>
      <c r="B143" s="858"/>
      <c r="C143" s="30" t="s">
        <v>361</v>
      </c>
      <c r="D143" s="31" t="s">
        <v>361</v>
      </c>
      <c r="E143" s="32" t="s">
        <v>362</v>
      </c>
      <c r="F143" s="858"/>
      <c r="G143" s="442" t="s">
        <v>2669</v>
      </c>
      <c r="H143" s="15"/>
      <c r="I143" s="15"/>
      <c r="J143" s="15"/>
      <c r="K143" s="167"/>
      <c r="L143" s="15"/>
      <c r="M143" s="15"/>
      <c r="N143" s="15"/>
      <c r="O143" s="15"/>
      <c r="P143" s="15"/>
      <c r="Q143" s="15"/>
      <c r="R143" s="15"/>
      <c r="S143" s="15"/>
      <c r="T143" s="15"/>
      <c r="U143" s="15"/>
      <c r="V143" s="15"/>
      <c r="W143" s="15"/>
      <c r="X143" s="15"/>
      <c r="Y143" s="15"/>
      <c r="Z143" s="15"/>
    </row>
    <row r="144" spans="1:26" ht="15.75" customHeight="1" x14ac:dyDescent="0.25">
      <c r="A144" s="869"/>
      <c r="B144" s="869"/>
      <c r="C144" s="33">
        <v>2024</v>
      </c>
      <c r="D144" s="34">
        <v>2025</v>
      </c>
      <c r="E144" s="35">
        <v>2025</v>
      </c>
      <c r="F144" s="34">
        <v>2025</v>
      </c>
      <c r="G144" s="36" t="s">
        <v>2668</v>
      </c>
      <c r="H144" s="15"/>
      <c r="I144" s="15"/>
      <c r="J144" s="15"/>
      <c r="K144" s="167"/>
      <c r="L144" s="15"/>
      <c r="M144" s="15"/>
      <c r="N144" s="15"/>
      <c r="O144" s="15"/>
      <c r="P144" s="15"/>
      <c r="Q144" s="15"/>
      <c r="R144" s="15"/>
      <c r="S144" s="15"/>
      <c r="T144" s="15"/>
      <c r="U144" s="15"/>
      <c r="V144" s="15"/>
      <c r="W144" s="15"/>
      <c r="X144" s="15"/>
      <c r="Y144" s="15"/>
      <c r="Z144" s="15"/>
    </row>
    <row r="145" spans="1:26" ht="15.75" customHeight="1" x14ac:dyDescent="0.25">
      <c r="A145" s="17" t="s">
        <v>364</v>
      </c>
      <c r="B145" s="172"/>
      <c r="C145" s="42"/>
      <c r="D145" s="42"/>
      <c r="E145" s="42"/>
      <c r="F145" s="42"/>
      <c r="G145" s="42"/>
      <c r="H145" s="15"/>
      <c r="I145" s="15"/>
      <c r="J145" s="15"/>
      <c r="K145" s="167"/>
      <c r="L145" s="15"/>
      <c r="M145" s="15"/>
      <c r="N145" s="15"/>
      <c r="O145" s="15"/>
      <c r="P145" s="15"/>
      <c r="Q145" s="15"/>
      <c r="R145" s="15"/>
      <c r="S145" s="15"/>
      <c r="T145" s="15"/>
      <c r="U145" s="15"/>
      <c r="V145" s="15"/>
      <c r="W145" s="15"/>
      <c r="X145" s="15"/>
      <c r="Y145" s="15"/>
      <c r="Z145" s="15"/>
    </row>
    <row r="146" spans="1:26" ht="15.75" customHeight="1" x14ac:dyDescent="0.25">
      <c r="A146" s="42" t="s">
        <v>1463</v>
      </c>
      <c r="B146" s="199"/>
      <c r="C146" s="42"/>
      <c r="D146" s="42"/>
      <c r="E146" s="42"/>
      <c r="F146" s="42"/>
      <c r="G146" s="42"/>
      <c r="H146" s="15"/>
      <c r="I146" s="15"/>
      <c r="J146" s="15"/>
      <c r="K146" s="167"/>
      <c r="L146" s="15"/>
      <c r="M146" s="15"/>
      <c r="N146" s="15"/>
      <c r="O146" s="15"/>
      <c r="P146" s="15"/>
      <c r="Q146" s="15"/>
      <c r="R146" s="15"/>
      <c r="S146" s="15"/>
      <c r="T146" s="15"/>
      <c r="U146" s="15"/>
      <c r="V146" s="15"/>
      <c r="W146" s="15"/>
      <c r="X146" s="15"/>
      <c r="Y146" s="15"/>
      <c r="Z146" s="15"/>
    </row>
    <row r="147" spans="1:26" ht="15.75" customHeight="1" x14ac:dyDescent="0.25">
      <c r="A147" s="17" t="s">
        <v>642</v>
      </c>
      <c r="B147" s="172"/>
      <c r="C147" s="41"/>
      <c r="D147" s="41"/>
      <c r="E147" s="20"/>
      <c r="F147" s="120"/>
      <c r="G147" s="49"/>
      <c r="H147" s="15"/>
      <c r="I147" s="15"/>
      <c r="J147" s="15"/>
      <c r="K147" s="167"/>
      <c r="L147" s="15"/>
      <c r="M147" s="15"/>
      <c r="N147" s="15"/>
      <c r="O147" s="15"/>
      <c r="P147" s="15"/>
      <c r="Q147" s="15"/>
      <c r="R147" s="15"/>
      <c r="S147" s="15"/>
      <c r="T147" s="15"/>
      <c r="U147" s="15"/>
      <c r="V147" s="15"/>
      <c r="W147" s="15"/>
      <c r="X147" s="15"/>
      <c r="Y147" s="15"/>
      <c r="Z147" s="15"/>
    </row>
    <row r="148" spans="1:26" ht="15.75" customHeight="1" x14ac:dyDescent="0.25">
      <c r="A148" s="44" t="s">
        <v>393</v>
      </c>
      <c r="B148" s="41" t="s">
        <v>187</v>
      </c>
      <c r="C148" s="43">
        <v>74494.460000000006</v>
      </c>
      <c r="D148" s="43">
        <v>35560</v>
      </c>
      <c r="E148" s="43">
        <f>F148-D148</f>
        <v>39440</v>
      </c>
      <c r="F148" s="43">
        <v>75000</v>
      </c>
      <c r="G148" s="43">
        <v>75000</v>
      </c>
      <c r="H148" s="15"/>
      <c r="I148" s="15"/>
      <c r="J148" s="15"/>
      <c r="K148" s="167"/>
      <c r="L148" s="15"/>
      <c r="M148" s="15"/>
      <c r="N148" s="15"/>
      <c r="O148" s="15"/>
      <c r="P148" s="15"/>
      <c r="Q148" s="15"/>
      <c r="R148" s="15"/>
      <c r="S148" s="15"/>
      <c r="T148" s="15"/>
      <c r="U148" s="15"/>
      <c r="V148" s="15"/>
      <c r="W148" s="15"/>
      <c r="X148" s="15"/>
      <c r="Y148" s="15"/>
      <c r="Z148" s="15"/>
    </row>
    <row r="149" spans="1:26" ht="15.75" customHeight="1" x14ac:dyDescent="0.25">
      <c r="A149" s="17" t="s">
        <v>493</v>
      </c>
      <c r="B149" s="41"/>
      <c r="C149" s="43"/>
      <c r="D149" s="43"/>
      <c r="E149" s="43"/>
      <c r="F149" s="43"/>
      <c r="G149" s="43"/>
      <c r="H149" s="15"/>
      <c r="I149" s="15"/>
      <c r="J149" s="15"/>
      <c r="K149" s="167"/>
      <c r="L149" s="15"/>
      <c r="M149" s="15"/>
      <c r="N149" s="15"/>
      <c r="O149" s="15"/>
      <c r="P149" s="15"/>
      <c r="Q149" s="15"/>
      <c r="R149" s="15"/>
      <c r="S149" s="15"/>
      <c r="T149" s="15"/>
      <c r="U149" s="15"/>
      <c r="V149" s="15"/>
      <c r="W149" s="15"/>
      <c r="X149" s="15"/>
      <c r="Y149" s="15"/>
      <c r="Z149" s="15"/>
    </row>
    <row r="150" spans="1:26" ht="15.75" customHeight="1" x14ac:dyDescent="0.25">
      <c r="A150" s="44" t="s">
        <v>396</v>
      </c>
      <c r="B150" s="41" t="s">
        <v>191</v>
      </c>
      <c r="C150" s="43">
        <v>293024.15999999997</v>
      </c>
      <c r="D150" s="43">
        <v>293040</v>
      </c>
      <c r="E150" s="43">
        <f>F150-D150</f>
        <v>0</v>
      </c>
      <c r="F150" s="43">
        <v>293040</v>
      </c>
      <c r="G150" s="43">
        <v>293040</v>
      </c>
      <c r="H150" s="15"/>
      <c r="I150" s="15"/>
      <c r="J150" s="15"/>
      <c r="K150" s="167"/>
      <c r="L150" s="15"/>
      <c r="M150" s="15"/>
      <c r="N150" s="15"/>
      <c r="O150" s="15"/>
      <c r="P150" s="15"/>
      <c r="Q150" s="15"/>
      <c r="R150" s="15"/>
      <c r="S150" s="15"/>
      <c r="T150" s="15"/>
      <c r="U150" s="15"/>
      <c r="V150" s="15"/>
      <c r="W150" s="15"/>
      <c r="X150" s="15"/>
      <c r="Y150" s="15"/>
      <c r="Z150" s="15"/>
    </row>
    <row r="151" spans="1:26" ht="15.75" customHeight="1" x14ac:dyDescent="0.25">
      <c r="A151" s="17" t="s">
        <v>424</v>
      </c>
      <c r="B151" s="41"/>
      <c r="C151" s="43"/>
      <c r="D151" s="43"/>
      <c r="E151" s="43"/>
      <c r="F151" s="43"/>
      <c r="G151" s="43"/>
      <c r="H151" s="15"/>
      <c r="I151" s="15"/>
      <c r="J151" s="15"/>
      <c r="K151" s="167"/>
      <c r="L151" s="15"/>
      <c r="M151" s="15"/>
      <c r="N151" s="15"/>
      <c r="O151" s="15"/>
      <c r="P151" s="15"/>
      <c r="Q151" s="15"/>
      <c r="R151" s="15"/>
      <c r="S151" s="15"/>
      <c r="T151" s="15"/>
      <c r="U151" s="15"/>
      <c r="V151" s="15"/>
      <c r="W151" s="15"/>
      <c r="X151" s="15"/>
      <c r="Y151" s="15"/>
      <c r="Z151" s="15"/>
    </row>
    <row r="152" spans="1:26" ht="15.75" customHeight="1" x14ac:dyDescent="0.25">
      <c r="A152" s="44" t="s">
        <v>424</v>
      </c>
      <c r="B152" s="41" t="s">
        <v>335</v>
      </c>
      <c r="C152" s="43">
        <v>900255</v>
      </c>
      <c r="D152" s="43">
        <v>283226.06</v>
      </c>
      <c r="E152" s="43">
        <f>F152-D152</f>
        <v>693213.94</v>
      </c>
      <c r="F152" s="43">
        <v>976440</v>
      </c>
      <c r="G152" s="440">
        <v>1176120</v>
      </c>
      <c r="H152" s="167">
        <f>SUM(K154:K156)</f>
        <v>1176120</v>
      </c>
      <c r="I152" s="15"/>
      <c r="J152" s="15"/>
      <c r="K152" s="167"/>
      <c r="L152" s="15"/>
      <c r="M152" s="15"/>
      <c r="N152" s="15"/>
      <c r="O152" s="15"/>
      <c r="P152" s="15"/>
      <c r="Q152" s="15"/>
      <c r="R152" s="15"/>
      <c r="S152" s="15"/>
      <c r="T152" s="15"/>
      <c r="U152" s="15"/>
      <c r="V152" s="15"/>
      <c r="W152" s="15"/>
      <c r="X152" s="15"/>
      <c r="Y152" s="15"/>
      <c r="Z152" s="15"/>
    </row>
    <row r="153" spans="1:26" ht="15.75" customHeight="1" x14ac:dyDescent="0.25">
      <c r="A153" s="17" t="s">
        <v>1946</v>
      </c>
      <c r="B153" s="41"/>
      <c r="C153" s="43"/>
      <c r="D153" s="43"/>
      <c r="E153" s="43"/>
      <c r="F153" s="43"/>
      <c r="G153" s="43"/>
      <c r="H153" s="15"/>
      <c r="I153" s="15"/>
      <c r="J153" s="15"/>
      <c r="K153" s="167"/>
      <c r="L153" s="15"/>
      <c r="M153" s="15"/>
      <c r="N153" s="15"/>
      <c r="O153" s="15"/>
      <c r="P153" s="15"/>
      <c r="Q153" s="15"/>
      <c r="R153" s="15"/>
      <c r="S153" s="15"/>
      <c r="T153" s="15"/>
      <c r="U153" s="15"/>
      <c r="V153" s="15"/>
      <c r="W153" s="15"/>
      <c r="X153" s="15"/>
      <c r="Y153" s="15"/>
      <c r="Z153" s="15"/>
    </row>
    <row r="154" spans="1:26" ht="15.75" customHeight="1" x14ac:dyDescent="0.25">
      <c r="A154" s="17" t="s">
        <v>1947</v>
      </c>
      <c r="B154" s="41"/>
      <c r="C154" s="43"/>
      <c r="D154" s="43"/>
      <c r="E154" s="43"/>
      <c r="F154" s="43"/>
      <c r="G154" s="43"/>
      <c r="H154" s="15"/>
      <c r="I154" s="15"/>
      <c r="J154" s="15"/>
      <c r="K154" s="167">
        <v>244200</v>
      </c>
      <c r="L154" s="15"/>
      <c r="M154" s="15"/>
      <c r="N154" s="15"/>
      <c r="O154" s="15"/>
      <c r="P154" s="15"/>
      <c r="Q154" s="15"/>
      <c r="R154" s="15"/>
      <c r="S154" s="15"/>
      <c r="T154" s="15"/>
      <c r="U154" s="15"/>
      <c r="V154" s="15"/>
      <c r="W154" s="15"/>
      <c r="X154" s="15"/>
      <c r="Y154" s="15"/>
      <c r="Z154" s="15"/>
    </row>
    <row r="155" spans="1:26" ht="15.75" customHeight="1" x14ac:dyDescent="0.25">
      <c r="A155" s="17" t="s">
        <v>1948</v>
      </c>
      <c r="B155" s="41"/>
      <c r="C155" s="43"/>
      <c r="D155" s="43"/>
      <c r="E155" s="43"/>
      <c r="F155" s="43"/>
      <c r="G155" s="43"/>
      <c r="H155" s="15">
        <v>264</v>
      </c>
      <c r="I155" s="15">
        <v>974</v>
      </c>
      <c r="J155" s="15">
        <v>1</v>
      </c>
      <c r="K155" s="167">
        <f t="shared" ref="K155:K156" si="15">H155*I155*J155</f>
        <v>257136</v>
      </c>
      <c r="L155" s="15"/>
      <c r="M155" s="15"/>
      <c r="N155" s="15"/>
      <c r="O155" s="15"/>
      <c r="P155" s="15"/>
      <c r="Q155" s="15"/>
      <c r="R155" s="15"/>
      <c r="S155" s="15"/>
      <c r="T155" s="15"/>
      <c r="U155" s="15"/>
      <c r="V155" s="15"/>
      <c r="W155" s="15"/>
      <c r="X155" s="15"/>
      <c r="Y155" s="15"/>
      <c r="Z155" s="15"/>
    </row>
    <row r="156" spans="1:26" ht="15.75" customHeight="1" x14ac:dyDescent="0.25">
      <c r="A156" s="44" t="s">
        <v>1949</v>
      </c>
      <c r="B156" s="41"/>
      <c r="C156" s="43"/>
      <c r="D156" s="43"/>
      <c r="E156" s="43"/>
      <c r="F156" s="43"/>
      <c r="G156" s="43"/>
      <c r="H156" s="15">
        <v>264</v>
      </c>
      <c r="I156" s="15">
        <v>639</v>
      </c>
      <c r="J156" s="15">
        <v>4</v>
      </c>
      <c r="K156" s="167">
        <f t="shared" si="15"/>
        <v>674784</v>
      </c>
      <c r="L156" s="15"/>
      <c r="M156" s="15"/>
      <c r="N156" s="15"/>
      <c r="O156" s="15"/>
      <c r="P156" s="15"/>
      <c r="Q156" s="15"/>
      <c r="R156" s="15"/>
      <c r="S156" s="15"/>
      <c r="T156" s="15"/>
      <c r="U156" s="15"/>
      <c r="V156" s="15"/>
      <c r="W156" s="15"/>
      <c r="X156" s="15"/>
      <c r="Y156" s="15"/>
      <c r="Z156" s="15"/>
    </row>
    <row r="157" spans="1:26" ht="15.75" customHeight="1" x14ac:dyDescent="0.25">
      <c r="A157" s="42" t="s">
        <v>466</v>
      </c>
      <c r="B157" s="41"/>
      <c r="C157" s="54">
        <f>SUM(C148:C152)</f>
        <v>1267773.6200000001</v>
      </c>
      <c r="D157" s="54">
        <v>611826.06000000006</v>
      </c>
      <c r="E157" s="54">
        <f t="shared" ref="E157:G157" si="16">SUM(E148:E152)</f>
        <v>732653.94</v>
      </c>
      <c r="F157" s="54">
        <f t="shared" si="16"/>
        <v>1344480</v>
      </c>
      <c r="G157" s="54">
        <f t="shared" si="16"/>
        <v>1544160</v>
      </c>
      <c r="H157" s="15"/>
      <c r="I157" s="15"/>
      <c r="J157" s="15"/>
      <c r="K157" s="167"/>
      <c r="L157" s="15"/>
      <c r="M157" s="15"/>
      <c r="N157" s="15"/>
      <c r="O157" s="15"/>
      <c r="P157" s="15"/>
      <c r="Q157" s="15"/>
      <c r="R157" s="15"/>
      <c r="S157" s="15"/>
      <c r="T157" s="15"/>
      <c r="U157" s="15"/>
      <c r="V157" s="15"/>
      <c r="W157" s="15"/>
      <c r="X157" s="15"/>
      <c r="Y157" s="15"/>
      <c r="Z157" s="15"/>
    </row>
    <row r="158" spans="1:26" ht="15.75" customHeight="1" x14ac:dyDescent="0.25">
      <c r="A158" s="17"/>
      <c r="B158" s="41"/>
      <c r="C158" s="55"/>
      <c r="D158" s="43"/>
      <c r="E158" s="43"/>
      <c r="F158" s="43"/>
      <c r="G158" s="43"/>
      <c r="H158" s="15"/>
      <c r="I158" s="15"/>
      <c r="J158" s="15"/>
      <c r="K158" s="167"/>
      <c r="L158" s="15"/>
      <c r="M158" s="15"/>
      <c r="N158" s="15"/>
      <c r="O158" s="15"/>
      <c r="P158" s="15"/>
      <c r="Q158" s="15"/>
      <c r="R158" s="15"/>
      <c r="S158" s="15"/>
      <c r="T158" s="15"/>
      <c r="U158" s="15"/>
      <c r="V158" s="15"/>
      <c r="W158" s="15"/>
      <c r="X158" s="15"/>
      <c r="Y158" s="15"/>
      <c r="Z158" s="15"/>
    </row>
    <row r="159" spans="1:26" ht="15.75" customHeight="1" x14ac:dyDescent="0.25">
      <c r="A159" s="17" t="s">
        <v>467</v>
      </c>
      <c r="B159" s="41"/>
      <c r="C159" s="43">
        <f t="shared" ref="C159:G159" si="17">C157</f>
        <v>1267773.6200000001</v>
      </c>
      <c r="D159" s="43">
        <f t="shared" si="17"/>
        <v>611826.06000000006</v>
      </c>
      <c r="E159" s="43">
        <f t="shared" si="17"/>
        <v>732653.94</v>
      </c>
      <c r="F159" s="43">
        <f t="shared" si="17"/>
        <v>1344480</v>
      </c>
      <c r="G159" s="43">
        <f t="shared" si="17"/>
        <v>1544160</v>
      </c>
      <c r="H159" s="15"/>
      <c r="I159" s="15"/>
      <c r="J159" s="15"/>
      <c r="K159" s="167"/>
      <c r="L159" s="15"/>
      <c r="M159" s="15"/>
      <c r="N159" s="15"/>
      <c r="O159" s="15"/>
      <c r="P159" s="15"/>
      <c r="Q159" s="15"/>
      <c r="R159" s="15"/>
      <c r="S159" s="15"/>
      <c r="T159" s="15"/>
      <c r="U159" s="15"/>
      <c r="V159" s="15"/>
      <c r="W159" s="15"/>
      <c r="X159" s="15"/>
      <c r="Y159" s="15"/>
      <c r="Z159" s="15"/>
    </row>
    <row r="160" spans="1:26" ht="15.75" customHeight="1" x14ac:dyDescent="0.25">
      <c r="A160" s="17"/>
      <c r="B160" s="41"/>
      <c r="C160" s="43"/>
      <c r="D160" s="43"/>
      <c r="E160" s="43"/>
      <c r="F160" s="43"/>
      <c r="G160" s="43"/>
      <c r="H160" s="15"/>
      <c r="I160" s="15"/>
      <c r="J160" s="15"/>
      <c r="K160" s="167"/>
      <c r="L160" s="15"/>
      <c r="M160" s="15"/>
      <c r="N160" s="15"/>
      <c r="O160" s="15"/>
      <c r="P160" s="15"/>
      <c r="Q160" s="15"/>
      <c r="R160" s="15"/>
      <c r="S160" s="15"/>
      <c r="T160" s="15"/>
      <c r="U160" s="15"/>
      <c r="V160" s="15"/>
      <c r="W160" s="15"/>
      <c r="X160" s="15"/>
      <c r="Y160" s="15"/>
      <c r="Z160" s="15"/>
    </row>
    <row r="161" spans="1:26" ht="15.75" customHeight="1" x14ac:dyDescent="0.25">
      <c r="A161" s="50" t="s">
        <v>487</v>
      </c>
      <c r="B161" s="51" t="s">
        <v>488</v>
      </c>
      <c r="C161" s="54">
        <f t="shared" ref="C161:G161" si="18">+C159</f>
        <v>1267773.6200000001</v>
      </c>
      <c r="D161" s="54">
        <f t="shared" si="18"/>
        <v>611826.06000000006</v>
      </c>
      <c r="E161" s="54">
        <f t="shared" si="18"/>
        <v>732653.94</v>
      </c>
      <c r="F161" s="54">
        <f t="shared" si="18"/>
        <v>1344480</v>
      </c>
      <c r="G161" s="54">
        <f t="shared" si="18"/>
        <v>1544160</v>
      </c>
      <c r="H161" s="15"/>
      <c r="I161" s="15"/>
      <c r="J161" s="15"/>
      <c r="K161" s="167"/>
      <c r="L161" s="15"/>
      <c r="M161" s="15"/>
      <c r="N161" s="15"/>
      <c r="O161" s="15"/>
      <c r="P161" s="15"/>
      <c r="Q161" s="15"/>
      <c r="R161" s="15"/>
      <c r="S161" s="15"/>
      <c r="T161" s="15"/>
      <c r="U161" s="15"/>
      <c r="V161" s="15"/>
      <c r="W161" s="15"/>
      <c r="X161" s="15"/>
      <c r="Y161" s="15"/>
      <c r="Z161" s="15"/>
    </row>
    <row r="162" spans="1:26" ht="15.75" customHeight="1" x14ac:dyDescent="0.25">
      <c r="A162" s="24"/>
      <c r="B162" s="25"/>
      <c r="C162" s="26"/>
      <c r="D162" s="26"/>
      <c r="E162" s="26"/>
      <c r="F162" s="26"/>
      <c r="G162" s="26"/>
      <c r="H162" s="15"/>
      <c r="I162" s="15"/>
      <c r="J162" s="15"/>
      <c r="K162" s="167"/>
      <c r="L162" s="15"/>
      <c r="M162" s="15"/>
      <c r="N162" s="15"/>
      <c r="O162" s="15"/>
      <c r="P162" s="15"/>
      <c r="Q162" s="15"/>
      <c r="R162" s="15"/>
      <c r="S162" s="15"/>
      <c r="T162" s="15"/>
      <c r="U162" s="15"/>
      <c r="V162" s="15"/>
      <c r="W162" s="15"/>
      <c r="X162" s="15"/>
      <c r="Y162" s="15"/>
      <c r="Z162" s="15"/>
    </row>
    <row r="163" spans="1:26" ht="15.75" customHeight="1" x14ac:dyDescent="0.25">
      <c r="A163" s="24"/>
      <c r="B163" s="25"/>
      <c r="C163" s="24"/>
      <c r="D163" s="24"/>
      <c r="E163" s="24"/>
      <c r="F163" s="15"/>
      <c r="G163" s="15"/>
      <c r="H163" s="15"/>
      <c r="I163" s="15"/>
      <c r="J163" s="15"/>
      <c r="K163" s="167"/>
      <c r="L163" s="15"/>
      <c r="M163" s="15"/>
      <c r="N163" s="15"/>
      <c r="O163" s="15"/>
      <c r="P163" s="15"/>
      <c r="Q163" s="15"/>
      <c r="R163" s="15"/>
      <c r="S163" s="15"/>
      <c r="T163" s="15"/>
      <c r="U163" s="15"/>
      <c r="V163" s="15"/>
      <c r="W163" s="15"/>
      <c r="X163" s="15"/>
      <c r="Y163" s="15"/>
      <c r="Z163" s="15"/>
    </row>
    <row r="164" spans="1:26" ht="14.45" customHeight="1" x14ac:dyDescent="0.25">
      <c r="A164" s="9"/>
      <c r="B164" s="104"/>
      <c r="C164" s="105"/>
      <c r="D164" s="105"/>
      <c r="E164" s="105"/>
      <c r="F164" s="10"/>
      <c r="G164" s="180"/>
      <c r="H164" s="15"/>
      <c r="I164" s="15"/>
      <c r="J164" s="15"/>
      <c r="K164" s="167"/>
      <c r="L164" s="15"/>
      <c r="M164" s="15"/>
      <c r="N164" s="15"/>
      <c r="O164" s="15"/>
      <c r="P164" s="15"/>
      <c r="Q164" s="15"/>
      <c r="R164" s="15"/>
      <c r="S164" s="15"/>
      <c r="T164" s="15"/>
      <c r="U164" s="15"/>
      <c r="V164" s="15"/>
      <c r="W164" s="15"/>
      <c r="X164" s="15"/>
      <c r="Y164" s="15"/>
      <c r="Z164" s="15"/>
    </row>
    <row r="165" spans="1:26" ht="14.45" customHeight="1" x14ac:dyDescent="0.25">
      <c r="A165" s="108" t="s">
        <v>1950</v>
      </c>
      <c r="B165" s="25"/>
      <c r="C165" s="26"/>
      <c r="D165" s="26"/>
      <c r="E165" s="26"/>
      <c r="F165" s="14"/>
      <c r="G165" s="181"/>
      <c r="H165" s="15"/>
      <c r="I165" s="15"/>
      <c r="J165" s="15"/>
      <c r="K165" s="167"/>
      <c r="L165" s="15"/>
      <c r="M165" s="15"/>
      <c r="N165" s="15"/>
      <c r="O165" s="15"/>
      <c r="P165" s="15"/>
      <c r="Q165" s="15"/>
      <c r="R165" s="15"/>
      <c r="S165" s="15"/>
      <c r="T165" s="15"/>
      <c r="U165" s="15"/>
      <c r="V165" s="15"/>
      <c r="W165" s="15"/>
      <c r="X165" s="15"/>
      <c r="Y165" s="15"/>
      <c r="Z165" s="15"/>
    </row>
    <row r="166" spans="1:26" ht="14.45" customHeight="1" x14ac:dyDescent="0.25">
      <c r="A166" s="108"/>
      <c r="B166" s="25"/>
      <c r="C166" s="26"/>
      <c r="D166" s="26"/>
      <c r="E166" s="26"/>
      <c r="F166" s="14"/>
      <c r="G166" s="181"/>
      <c r="H166" s="15"/>
      <c r="I166" s="15"/>
      <c r="J166" s="15"/>
      <c r="K166" s="167"/>
      <c r="L166" s="15"/>
      <c r="M166" s="15"/>
      <c r="N166" s="15"/>
      <c r="O166" s="15"/>
      <c r="P166" s="15"/>
      <c r="Q166" s="15"/>
      <c r="R166" s="15"/>
      <c r="S166" s="15"/>
      <c r="T166" s="15"/>
      <c r="U166" s="15"/>
      <c r="V166" s="15"/>
      <c r="W166" s="15"/>
      <c r="X166" s="15"/>
      <c r="Y166" s="15"/>
      <c r="Z166" s="15"/>
    </row>
    <row r="167" spans="1:26" ht="14.45" customHeight="1" x14ac:dyDescent="0.25">
      <c r="A167" s="865" t="s">
        <v>352</v>
      </c>
      <c r="B167" s="866"/>
      <c r="C167" s="866"/>
      <c r="D167" s="866"/>
      <c r="E167" s="866"/>
      <c r="F167" s="866"/>
      <c r="G167" s="867"/>
      <c r="H167" s="15"/>
      <c r="I167" s="15"/>
      <c r="J167" s="15"/>
      <c r="K167" s="167"/>
      <c r="L167" s="15"/>
      <c r="M167" s="15"/>
      <c r="N167" s="15"/>
      <c r="O167" s="15"/>
      <c r="P167" s="15"/>
      <c r="Q167" s="15"/>
      <c r="R167" s="15"/>
      <c r="S167" s="15"/>
      <c r="T167" s="15"/>
      <c r="U167" s="15"/>
      <c r="V167" s="15"/>
      <c r="W167" s="15"/>
      <c r="X167" s="15"/>
      <c r="Y167" s="15"/>
      <c r="Z167" s="15"/>
    </row>
    <row r="168" spans="1:26" ht="14.45" customHeight="1" x14ac:dyDescent="0.25">
      <c r="A168" s="868" t="s">
        <v>1194</v>
      </c>
      <c r="B168" s="857" t="s">
        <v>354</v>
      </c>
      <c r="C168" s="857" t="s">
        <v>355</v>
      </c>
      <c r="D168" s="884" t="s">
        <v>356</v>
      </c>
      <c r="E168" s="885"/>
      <c r="F168" s="886"/>
      <c r="G168" s="857" t="s">
        <v>357</v>
      </c>
      <c r="H168" s="15"/>
      <c r="I168" s="15"/>
      <c r="J168" s="15"/>
      <c r="K168" s="167"/>
      <c r="L168" s="15"/>
      <c r="M168" s="15"/>
      <c r="N168" s="15"/>
      <c r="O168" s="15"/>
      <c r="P168" s="15"/>
      <c r="Q168" s="15"/>
      <c r="R168" s="15"/>
      <c r="S168" s="15"/>
      <c r="T168" s="15"/>
      <c r="U168" s="15"/>
      <c r="V168" s="15"/>
      <c r="W168" s="15"/>
      <c r="X168" s="15"/>
      <c r="Y168" s="15"/>
      <c r="Z168" s="15"/>
    </row>
    <row r="169" spans="1:26" ht="14.45" customHeight="1" x14ac:dyDescent="0.25">
      <c r="A169" s="858"/>
      <c r="B169" s="858"/>
      <c r="C169" s="858"/>
      <c r="D169" s="28" t="s">
        <v>358</v>
      </c>
      <c r="E169" s="29" t="s">
        <v>359</v>
      </c>
      <c r="F169" s="857" t="s">
        <v>360</v>
      </c>
      <c r="G169" s="858"/>
      <c r="H169" s="15"/>
      <c r="I169" s="15"/>
      <c r="J169" s="15"/>
      <c r="K169" s="167"/>
      <c r="L169" s="15"/>
      <c r="M169" s="15"/>
      <c r="N169" s="15"/>
      <c r="O169" s="15"/>
      <c r="P169" s="15"/>
      <c r="Q169" s="15"/>
      <c r="R169" s="15"/>
      <c r="S169" s="15"/>
      <c r="T169" s="15"/>
      <c r="U169" s="15"/>
      <c r="V169" s="15"/>
      <c r="W169" s="15"/>
      <c r="X169" s="15"/>
      <c r="Y169" s="15"/>
      <c r="Z169" s="15"/>
    </row>
    <row r="170" spans="1:26" ht="14.45" customHeight="1" x14ac:dyDescent="0.25">
      <c r="A170" s="858"/>
      <c r="B170" s="858"/>
      <c r="C170" s="30" t="s">
        <v>361</v>
      </c>
      <c r="D170" s="31" t="s">
        <v>361</v>
      </c>
      <c r="E170" s="32" t="s">
        <v>362</v>
      </c>
      <c r="F170" s="858"/>
      <c r="G170" s="442" t="s">
        <v>2669</v>
      </c>
      <c r="H170" s="15"/>
      <c r="I170" s="15"/>
      <c r="J170" s="15"/>
      <c r="K170" s="167"/>
      <c r="L170" s="15"/>
      <c r="M170" s="15"/>
      <c r="N170" s="15"/>
      <c r="O170" s="15"/>
      <c r="P170" s="15"/>
      <c r="Q170" s="15"/>
      <c r="R170" s="15"/>
      <c r="S170" s="15"/>
      <c r="T170" s="15"/>
      <c r="U170" s="15"/>
      <c r="V170" s="15"/>
      <c r="W170" s="15"/>
      <c r="X170" s="15"/>
      <c r="Y170" s="15"/>
      <c r="Z170" s="15"/>
    </row>
    <row r="171" spans="1:26" ht="14.45" customHeight="1" x14ac:dyDescent="0.25">
      <c r="A171" s="869"/>
      <c r="B171" s="869"/>
      <c r="C171" s="33">
        <v>2024</v>
      </c>
      <c r="D171" s="34">
        <v>2025</v>
      </c>
      <c r="E171" s="35">
        <v>2025</v>
      </c>
      <c r="F171" s="34">
        <v>2025</v>
      </c>
      <c r="G171" s="36" t="s">
        <v>2668</v>
      </c>
      <c r="H171" s="15"/>
      <c r="I171" s="15"/>
      <c r="J171" s="15"/>
      <c r="K171" s="167"/>
      <c r="L171" s="15"/>
      <c r="M171" s="15"/>
      <c r="N171" s="15"/>
      <c r="O171" s="15"/>
      <c r="P171" s="15"/>
      <c r="Q171" s="15"/>
      <c r="R171" s="15"/>
      <c r="S171" s="15"/>
      <c r="T171" s="15"/>
      <c r="U171" s="15"/>
      <c r="V171" s="15"/>
      <c r="W171" s="15"/>
      <c r="X171" s="15"/>
      <c r="Y171" s="15"/>
      <c r="Z171" s="15"/>
    </row>
    <row r="172" spans="1:26" ht="14.45" customHeight="1" x14ac:dyDescent="0.25">
      <c r="A172" s="17" t="s">
        <v>364</v>
      </c>
      <c r="B172" s="172"/>
      <c r="C172" s="42"/>
      <c r="D172" s="42"/>
      <c r="E172" s="42"/>
      <c r="F172" s="42"/>
      <c r="G172" s="42"/>
      <c r="H172" s="15"/>
      <c r="I172" s="15"/>
      <c r="J172" s="15"/>
      <c r="K172" s="167"/>
      <c r="L172" s="15"/>
      <c r="M172" s="15"/>
      <c r="N172" s="15"/>
      <c r="O172" s="15"/>
      <c r="P172" s="15"/>
      <c r="Q172" s="15"/>
      <c r="R172" s="15"/>
      <c r="S172" s="15"/>
      <c r="T172" s="15"/>
      <c r="U172" s="15"/>
      <c r="V172" s="15"/>
      <c r="W172" s="15"/>
      <c r="X172" s="15"/>
      <c r="Y172" s="15"/>
      <c r="Z172" s="15"/>
    </row>
    <row r="173" spans="1:26" ht="14.45" customHeight="1" x14ac:dyDescent="0.25">
      <c r="A173" s="42" t="s">
        <v>1463</v>
      </c>
      <c r="B173" s="199"/>
      <c r="C173" s="42"/>
      <c r="D173" s="42"/>
      <c r="E173" s="42"/>
      <c r="F173" s="42"/>
      <c r="G173" s="42"/>
      <c r="H173" s="15"/>
      <c r="I173" s="15"/>
      <c r="J173" s="15"/>
      <c r="K173" s="167"/>
      <c r="L173" s="15"/>
      <c r="M173" s="15"/>
      <c r="N173" s="15"/>
      <c r="O173" s="15"/>
      <c r="P173" s="15"/>
      <c r="Q173" s="15"/>
      <c r="R173" s="15"/>
      <c r="S173" s="15"/>
      <c r="T173" s="15"/>
      <c r="U173" s="15"/>
      <c r="V173" s="15"/>
      <c r="W173" s="15"/>
      <c r="X173" s="15"/>
      <c r="Y173" s="15"/>
      <c r="Z173" s="15"/>
    </row>
    <row r="174" spans="1:26" ht="14.45" customHeight="1" x14ac:dyDescent="0.25">
      <c r="A174" s="17" t="s">
        <v>493</v>
      </c>
      <c r="B174" s="172"/>
      <c r="C174" s="42"/>
      <c r="D174" s="42"/>
      <c r="E174" s="42"/>
      <c r="F174" s="42"/>
      <c r="G174" s="42"/>
      <c r="H174" s="15"/>
      <c r="I174" s="15"/>
      <c r="J174" s="15"/>
      <c r="K174" s="167"/>
      <c r="L174" s="15"/>
      <c r="M174" s="15"/>
      <c r="N174" s="15"/>
      <c r="O174" s="15"/>
      <c r="P174" s="15"/>
      <c r="Q174" s="15"/>
      <c r="R174" s="15"/>
      <c r="S174" s="15"/>
      <c r="T174" s="15"/>
      <c r="U174" s="15"/>
      <c r="V174" s="15"/>
      <c r="W174" s="15"/>
      <c r="X174" s="15"/>
      <c r="Y174" s="15"/>
      <c r="Z174" s="15"/>
    </row>
    <row r="175" spans="1:26" ht="14.45" customHeight="1" x14ac:dyDescent="0.25">
      <c r="A175" s="44" t="s">
        <v>396</v>
      </c>
      <c r="B175" s="41" t="s">
        <v>191</v>
      </c>
      <c r="C175" s="43">
        <v>633886</v>
      </c>
      <c r="D175" s="43">
        <v>375899.68</v>
      </c>
      <c r="E175" s="43">
        <f>F175-D175</f>
        <v>376500.32</v>
      </c>
      <c r="F175" s="43">
        <v>752400</v>
      </c>
      <c r="G175" s="43">
        <v>427350</v>
      </c>
      <c r="H175" s="167">
        <f>SUM(K176:K179)</f>
        <v>427350</v>
      </c>
      <c r="I175" s="15"/>
      <c r="J175" s="15"/>
      <c r="K175" s="167"/>
      <c r="L175" s="15"/>
      <c r="M175" s="15"/>
      <c r="N175" s="15"/>
      <c r="O175" s="15"/>
      <c r="P175" s="15"/>
      <c r="Q175" s="15"/>
      <c r="R175" s="15"/>
      <c r="S175" s="15"/>
      <c r="T175" s="15"/>
      <c r="U175" s="15"/>
      <c r="V175" s="15"/>
      <c r="W175" s="15"/>
      <c r="X175" s="15"/>
      <c r="Y175" s="15"/>
      <c r="Z175" s="15"/>
    </row>
    <row r="176" spans="1:26" ht="14.45" customHeight="1" x14ac:dyDescent="0.25">
      <c r="A176" s="44" t="s">
        <v>1951</v>
      </c>
      <c r="B176" s="41"/>
      <c r="C176" s="42"/>
      <c r="D176" s="42"/>
      <c r="E176" s="42"/>
      <c r="F176" s="43"/>
      <c r="G176" s="43"/>
      <c r="H176" s="15"/>
      <c r="I176" s="15"/>
      <c r="J176" s="15"/>
      <c r="K176" s="167">
        <v>259000</v>
      </c>
      <c r="L176" s="15"/>
      <c r="M176" s="15"/>
      <c r="N176" s="15"/>
      <c r="O176" s="15"/>
      <c r="P176" s="15"/>
      <c r="Q176" s="15"/>
      <c r="R176" s="15"/>
      <c r="S176" s="15"/>
      <c r="T176" s="15"/>
      <c r="U176" s="15"/>
      <c r="V176" s="15"/>
      <c r="W176" s="15"/>
      <c r="X176" s="15"/>
      <c r="Y176" s="15"/>
      <c r="Z176" s="15"/>
    </row>
    <row r="177" spans="1:26" ht="14.45" customHeight="1" x14ac:dyDescent="0.25">
      <c r="A177" s="44" t="s">
        <v>1952</v>
      </c>
      <c r="B177" s="41"/>
      <c r="C177" s="42"/>
      <c r="D177" s="42"/>
      <c r="E177" s="42"/>
      <c r="F177" s="43"/>
      <c r="G177" s="43"/>
      <c r="H177" s="15"/>
      <c r="I177" s="15"/>
      <c r="J177" s="15"/>
      <c r="K177" s="167">
        <v>118400</v>
      </c>
      <c r="L177" s="15"/>
      <c r="M177" s="15"/>
      <c r="N177" s="15"/>
      <c r="O177" s="15"/>
      <c r="P177" s="15"/>
      <c r="Q177" s="15"/>
      <c r="R177" s="15"/>
      <c r="S177" s="15"/>
      <c r="T177" s="15"/>
      <c r="U177" s="15"/>
      <c r="V177" s="15"/>
      <c r="W177" s="15"/>
      <c r="X177" s="15"/>
      <c r="Y177" s="15"/>
      <c r="Z177" s="15"/>
    </row>
    <row r="178" spans="1:26" ht="14.45" customHeight="1" x14ac:dyDescent="0.25">
      <c r="A178" s="44" t="s">
        <v>1953</v>
      </c>
      <c r="B178" s="41"/>
      <c r="C178" s="42"/>
      <c r="D178" s="42"/>
      <c r="E178" s="42"/>
      <c r="F178" s="43"/>
      <c r="G178" s="43"/>
      <c r="H178" s="15"/>
      <c r="I178" s="15"/>
      <c r="J178" s="15"/>
      <c r="K178" s="167"/>
      <c r="L178" s="15"/>
      <c r="M178" s="15"/>
      <c r="N178" s="15"/>
      <c r="O178" s="15"/>
      <c r="P178" s="15"/>
      <c r="Q178" s="15"/>
      <c r="R178" s="15"/>
      <c r="S178" s="15"/>
      <c r="T178" s="15"/>
      <c r="U178" s="15"/>
      <c r="V178" s="15"/>
      <c r="W178" s="15"/>
      <c r="X178" s="15"/>
      <c r="Y178" s="15"/>
      <c r="Z178" s="15"/>
    </row>
    <row r="179" spans="1:26" ht="14.45" customHeight="1" x14ac:dyDescent="0.25">
      <c r="A179" s="44" t="s">
        <v>1954</v>
      </c>
      <c r="B179" s="41"/>
      <c r="C179" s="42"/>
      <c r="D179" s="42"/>
      <c r="E179" s="42"/>
      <c r="F179" s="43"/>
      <c r="G179" s="43"/>
      <c r="H179" s="15"/>
      <c r="I179" s="15"/>
      <c r="J179" s="15"/>
      <c r="K179" s="167">
        <v>49950</v>
      </c>
      <c r="L179" s="15"/>
      <c r="M179" s="15"/>
      <c r="N179" s="15"/>
      <c r="O179" s="15"/>
      <c r="P179" s="15"/>
      <c r="Q179" s="15"/>
      <c r="R179" s="15"/>
      <c r="S179" s="15"/>
      <c r="T179" s="15"/>
      <c r="U179" s="15"/>
      <c r="V179" s="15"/>
      <c r="W179" s="15"/>
      <c r="X179" s="15"/>
      <c r="Y179" s="15"/>
      <c r="Z179" s="15"/>
    </row>
    <row r="180" spans="1:26" ht="14.45" customHeight="1" x14ac:dyDescent="0.25">
      <c r="A180" s="17" t="s">
        <v>499</v>
      </c>
      <c r="B180" s="41"/>
      <c r="C180" s="42"/>
      <c r="D180" s="42"/>
      <c r="E180" s="42"/>
      <c r="F180" s="43"/>
      <c r="G180" s="43"/>
      <c r="H180" s="15"/>
      <c r="I180" s="15"/>
      <c r="J180" s="15"/>
      <c r="K180" s="167"/>
      <c r="L180" s="15"/>
      <c r="M180" s="15"/>
      <c r="N180" s="15"/>
      <c r="O180" s="15"/>
      <c r="P180" s="15"/>
      <c r="Q180" s="15"/>
      <c r="R180" s="15"/>
      <c r="S180" s="15"/>
      <c r="T180" s="15"/>
      <c r="U180" s="15"/>
      <c r="V180" s="15"/>
      <c r="W180" s="15"/>
      <c r="X180" s="15"/>
      <c r="Y180" s="15"/>
      <c r="Z180" s="15"/>
    </row>
    <row r="181" spans="1:26" ht="14.45" customHeight="1" x14ac:dyDescent="0.25">
      <c r="A181" s="44" t="s">
        <v>402</v>
      </c>
      <c r="B181" s="41" t="s">
        <v>225</v>
      </c>
      <c r="C181" s="43">
        <v>38987</v>
      </c>
      <c r="D181" s="43">
        <v>0</v>
      </c>
      <c r="E181" s="43">
        <f>F181-D181</f>
        <v>39000</v>
      </c>
      <c r="F181" s="43">
        <v>39000</v>
      </c>
      <c r="G181" s="43">
        <v>39000</v>
      </c>
      <c r="H181" s="15"/>
      <c r="I181" s="15"/>
      <c r="J181" s="15"/>
      <c r="K181" s="167"/>
      <c r="L181" s="15"/>
      <c r="M181" s="15"/>
      <c r="N181" s="15"/>
      <c r="O181" s="15"/>
      <c r="P181" s="15"/>
      <c r="Q181" s="15"/>
      <c r="R181" s="15"/>
      <c r="S181" s="15"/>
      <c r="T181" s="15"/>
      <c r="U181" s="15"/>
      <c r="V181" s="15"/>
      <c r="W181" s="15"/>
      <c r="X181" s="15"/>
      <c r="Y181" s="15"/>
      <c r="Z181" s="15"/>
    </row>
    <row r="182" spans="1:26" ht="14.45" customHeight="1" x14ac:dyDescent="0.25">
      <c r="A182" s="42" t="s">
        <v>511</v>
      </c>
      <c r="B182" s="41"/>
      <c r="C182" s="43"/>
      <c r="D182" s="43"/>
      <c r="E182" s="43"/>
      <c r="F182" s="43"/>
      <c r="G182" s="43"/>
      <c r="H182" s="15"/>
      <c r="I182" s="15"/>
      <c r="J182" s="15"/>
      <c r="K182" s="167"/>
      <c r="L182" s="15"/>
      <c r="M182" s="15"/>
      <c r="N182" s="15"/>
      <c r="O182" s="15"/>
      <c r="P182" s="15"/>
      <c r="Q182" s="15"/>
      <c r="R182" s="15"/>
      <c r="S182" s="15"/>
      <c r="T182" s="15"/>
      <c r="U182" s="15"/>
      <c r="V182" s="15"/>
      <c r="W182" s="15"/>
      <c r="X182" s="15"/>
      <c r="Y182" s="15"/>
      <c r="Z182" s="15"/>
    </row>
    <row r="183" spans="1:26" ht="14.45" customHeight="1" x14ac:dyDescent="0.25">
      <c r="A183" s="44" t="s">
        <v>424</v>
      </c>
      <c r="B183" s="41" t="s">
        <v>335</v>
      </c>
      <c r="C183" s="43">
        <v>4397845</v>
      </c>
      <c r="D183" s="43">
        <v>2029497</v>
      </c>
      <c r="E183" s="43">
        <f>F183-D183</f>
        <v>3165503</v>
      </c>
      <c r="F183" s="43">
        <v>5195000</v>
      </c>
      <c r="G183" s="440">
        <v>6084272</v>
      </c>
      <c r="H183" s="167">
        <f>SUM(K184:K192)</f>
        <v>6084272</v>
      </c>
      <c r="I183" s="15"/>
      <c r="J183" s="15"/>
      <c r="K183" s="167"/>
      <c r="L183" s="15"/>
      <c r="M183" s="15"/>
      <c r="N183" s="15"/>
      <c r="O183" s="15"/>
      <c r="P183" s="15"/>
      <c r="Q183" s="15"/>
      <c r="R183" s="15"/>
      <c r="S183" s="15"/>
      <c r="T183" s="15"/>
      <c r="U183" s="15"/>
      <c r="V183" s="15"/>
      <c r="W183" s="15"/>
      <c r="X183" s="15"/>
      <c r="Y183" s="15"/>
      <c r="Z183" s="15"/>
    </row>
    <row r="184" spans="1:26" ht="14.45" customHeight="1" x14ac:dyDescent="0.25">
      <c r="A184" s="44" t="s">
        <v>1955</v>
      </c>
      <c r="B184" s="41"/>
      <c r="C184" s="43"/>
      <c r="D184" s="43"/>
      <c r="E184" s="43"/>
      <c r="F184" s="43"/>
      <c r="G184" s="43"/>
      <c r="H184" s="15"/>
      <c r="I184" s="15"/>
      <c r="J184" s="15"/>
      <c r="K184" s="167">
        <v>4752000</v>
      </c>
      <c r="L184" s="15"/>
      <c r="M184" s="15"/>
      <c r="N184" s="15"/>
      <c r="O184" s="15"/>
      <c r="P184" s="15"/>
      <c r="Q184" s="15"/>
      <c r="R184" s="15"/>
      <c r="S184" s="15"/>
      <c r="T184" s="15"/>
      <c r="U184" s="15"/>
      <c r="V184" s="15"/>
      <c r="W184" s="15"/>
      <c r="X184" s="15"/>
      <c r="Y184" s="15"/>
      <c r="Z184" s="15"/>
    </row>
    <row r="185" spans="1:26" ht="14.45" customHeight="1" x14ac:dyDescent="0.25">
      <c r="A185" s="44" t="s">
        <v>1956</v>
      </c>
      <c r="B185" s="41"/>
      <c r="C185" s="43"/>
      <c r="D185" s="43"/>
      <c r="E185" s="43"/>
      <c r="F185" s="43"/>
      <c r="G185" s="43"/>
      <c r="H185" s="15"/>
      <c r="I185" s="15"/>
      <c r="J185" s="15"/>
      <c r="K185" s="167">
        <v>111000</v>
      </c>
      <c r="L185" s="15"/>
      <c r="M185" s="15"/>
      <c r="N185" s="15"/>
      <c r="O185" s="15"/>
      <c r="P185" s="15"/>
      <c r="Q185" s="15"/>
      <c r="R185" s="15"/>
      <c r="S185" s="15"/>
      <c r="T185" s="15"/>
      <c r="U185" s="15"/>
      <c r="V185" s="15"/>
      <c r="W185" s="15"/>
      <c r="X185" s="15"/>
      <c r="Y185" s="15"/>
      <c r="Z185" s="15"/>
    </row>
    <row r="186" spans="1:26" ht="14.45" customHeight="1" x14ac:dyDescent="0.25">
      <c r="A186" s="44" t="s">
        <v>1957</v>
      </c>
      <c r="B186" s="41"/>
      <c r="C186" s="43"/>
      <c r="D186" s="43"/>
      <c r="E186" s="43"/>
      <c r="F186" s="43"/>
      <c r="G186" s="43"/>
      <c r="H186" s="15"/>
      <c r="I186" s="15"/>
      <c r="J186" s="15"/>
      <c r="K186" s="167"/>
      <c r="L186" s="15"/>
      <c r="M186" s="15"/>
      <c r="N186" s="15"/>
      <c r="O186" s="15"/>
      <c r="P186" s="15"/>
      <c r="Q186" s="15"/>
      <c r="R186" s="15"/>
      <c r="S186" s="15"/>
      <c r="T186" s="15"/>
      <c r="U186" s="15"/>
      <c r="V186" s="15"/>
      <c r="W186" s="15"/>
      <c r="X186" s="15"/>
      <c r="Y186" s="15"/>
      <c r="Z186" s="15"/>
    </row>
    <row r="187" spans="1:26" ht="14.45" customHeight="1" x14ac:dyDescent="0.25">
      <c r="A187" s="44" t="s">
        <v>1958</v>
      </c>
      <c r="B187" s="41"/>
      <c r="C187" s="43"/>
      <c r="D187" s="43"/>
      <c r="E187" s="43"/>
      <c r="F187" s="43"/>
      <c r="G187" s="43"/>
      <c r="H187" s="15"/>
      <c r="I187" s="15"/>
      <c r="J187" s="15"/>
      <c r="K187" s="167">
        <v>295000</v>
      </c>
      <c r="L187" s="15"/>
      <c r="M187" s="15"/>
      <c r="N187" s="15"/>
      <c r="O187" s="15"/>
      <c r="P187" s="15"/>
      <c r="Q187" s="15"/>
      <c r="R187" s="15"/>
      <c r="S187" s="15"/>
      <c r="T187" s="15"/>
      <c r="U187" s="15"/>
      <c r="V187" s="15"/>
      <c r="W187" s="15"/>
      <c r="X187" s="15"/>
      <c r="Y187" s="15"/>
      <c r="Z187" s="15"/>
    </row>
    <row r="188" spans="1:26" ht="14.45" customHeight="1" x14ac:dyDescent="0.25">
      <c r="A188" s="44" t="s">
        <v>1959</v>
      </c>
      <c r="B188" s="41"/>
      <c r="C188" s="43"/>
      <c r="D188" s="43"/>
      <c r="E188" s="43"/>
      <c r="F188" s="43"/>
      <c r="G188" s="43"/>
      <c r="H188" s="15"/>
      <c r="I188" s="15"/>
      <c r="J188" s="15"/>
      <c r="K188" s="167">
        <v>375000</v>
      </c>
      <c r="L188" s="15"/>
      <c r="M188" s="15"/>
      <c r="N188" s="15"/>
      <c r="O188" s="15"/>
      <c r="P188" s="15"/>
      <c r="Q188" s="15"/>
      <c r="R188" s="15"/>
      <c r="S188" s="15"/>
      <c r="T188" s="15"/>
      <c r="U188" s="15"/>
      <c r="V188" s="15"/>
      <c r="W188" s="15"/>
      <c r="X188" s="15"/>
      <c r="Y188" s="15"/>
      <c r="Z188" s="15"/>
    </row>
    <row r="189" spans="1:26" ht="14.45" customHeight="1" x14ac:dyDescent="0.25">
      <c r="A189" s="44" t="s">
        <v>1960</v>
      </c>
      <c r="B189" s="41"/>
      <c r="C189" s="43"/>
      <c r="D189" s="43"/>
      <c r="E189" s="43"/>
      <c r="F189" s="43"/>
      <c r="G189" s="43"/>
      <c r="H189" s="15"/>
      <c r="I189" s="15"/>
      <c r="J189" s="15"/>
      <c r="K189" s="167"/>
      <c r="L189" s="15"/>
      <c r="M189" s="15"/>
      <c r="N189" s="15"/>
      <c r="O189" s="15"/>
      <c r="P189" s="15"/>
      <c r="Q189" s="15"/>
      <c r="R189" s="15"/>
      <c r="S189" s="15"/>
      <c r="T189" s="15"/>
      <c r="U189" s="15"/>
      <c r="V189" s="15"/>
      <c r="W189" s="15"/>
      <c r="X189" s="15"/>
      <c r="Y189" s="15"/>
      <c r="Z189" s="15"/>
    </row>
    <row r="190" spans="1:26" ht="14.45" customHeight="1" x14ac:dyDescent="0.25">
      <c r="A190" s="188" t="s">
        <v>1961</v>
      </c>
      <c r="B190" s="41"/>
      <c r="C190" s="43"/>
      <c r="D190" s="43"/>
      <c r="E190" s="43"/>
      <c r="F190" s="43"/>
      <c r="G190" s="43"/>
      <c r="H190" s="15"/>
      <c r="I190" s="15"/>
      <c r="J190" s="15"/>
      <c r="K190" s="167">
        <v>37000</v>
      </c>
      <c r="L190" s="15"/>
      <c r="M190" s="15"/>
      <c r="N190" s="15"/>
      <c r="O190" s="15"/>
      <c r="P190" s="15"/>
      <c r="Q190" s="15"/>
      <c r="R190" s="15"/>
      <c r="S190" s="15"/>
      <c r="T190" s="15"/>
      <c r="U190" s="15"/>
      <c r="V190" s="15"/>
      <c r="W190" s="15"/>
      <c r="X190" s="15"/>
      <c r="Y190" s="15"/>
      <c r="Z190" s="15"/>
    </row>
    <row r="191" spans="1:26" ht="14.45" customHeight="1" x14ac:dyDescent="0.25">
      <c r="A191" s="44" t="s">
        <v>1962</v>
      </c>
      <c r="B191" s="41"/>
      <c r="C191" s="43"/>
      <c r="D191" s="43"/>
      <c r="E191" s="43"/>
      <c r="F191" s="43"/>
      <c r="G191" s="43"/>
      <c r="H191" s="15"/>
      <c r="I191" s="15"/>
      <c r="J191" s="15"/>
      <c r="K191" s="167"/>
      <c r="L191" s="15"/>
      <c r="M191" s="15"/>
      <c r="N191" s="15"/>
      <c r="O191" s="15"/>
      <c r="P191" s="15"/>
      <c r="Q191" s="15"/>
      <c r="R191" s="15"/>
      <c r="S191" s="15"/>
      <c r="T191" s="15"/>
      <c r="U191" s="15"/>
      <c r="V191" s="15"/>
      <c r="W191" s="15"/>
      <c r="X191" s="15"/>
      <c r="Y191" s="15"/>
      <c r="Z191" s="15"/>
    </row>
    <row r="192" spans="1:26" ht="14.45" customHeight="1" x14ac:dyDescent="0.25">
      <c r="A192" s="44" t="s">
        <v>1963</v>
      </c>
      <c r="B192" s="41"/>
      <c r="C192" s="43"/>
      <c r="D192" s="43"/>
      <c r="E192" s="43"/>
      <c r="F192" s="43"/>
      <c r="G192" s="43"/>
      <c r="H192" s="15">
        <v>264</v>
      </c>
      <c r="I192" s="15">
        <v>974</v>
      </c>
      <c r="J192" s="15">
        <v>2</v>
      </c>
      <c r="K192" s="167">
        <f>H192*I192*J192</f>
        <v>514272</v>
      </c>
      <c r="L192" s="15"/>
      <c r="M192" s="15"/>
      <c r="N192" s="15"/>
      <c r="O192" s="15"/>
      <c r="P192" s="15"/>
      <c r="Q192" s="15"/>
      <c r="R192" s="15"/>
      <c r="S192" s="15"/>
      <c r="T192" s="15"/>
      <c r="U192" s="15"/>
      <c r="V192" s="15"/>
      <c r="W192" s="15"/>
      <c r="X192" s="15"/>
      <c r="Y192" s="15"/>
      <c r="Z192" s="15"/>
    </row>
    <row r="193" spans="1:26" ht="14.45" customHeight="1" x14ac:dyDescent="0.25">
      <c r="A193" s="42" t="s">
        <v>466</v>
      </c>
      <c r="B193" s="41"/>
      <c r="C193" s="54">
        <f t="shared" ref="C193:G193" si="19">SUM(C175:C183)</f>
        <v>5070718</v>
      </c>
      <c r="D193" s="54">
        <f t="shared" si="19"/>
        <v>2405396.6800000002</v>
      </c>
      <c r="E193" s="54">
        <f t="shared" si="19"/>
        <v>3581003.32</v>
      </c>
      <c r="F193" s="54">
        <f t="shared" si="19"/>
        <v>5986400</v>
      </c>
      <c r="G193" s="54">
        <f t="shared" si="19"/>
        <v>6550622</v>
      </c>
      <c r="H193" s="15"/>
      <c r="I193" s="15"/>
      <c r="J193" s="15"/>
      <c r="K193" s="167"/>
      <c r="L193" s="15"/>
      <c r="M193" s="15"/>
      <c r="N193" s="15"/>
      <c r="O193" s="15"/>
      <c r="P193" s="15"/>
      <c r="Q193" s="15"/>
      <c r="R193" s="15"/>
      <c r="S193" s="15"/>
      <c r="T193" s="15"/>
      <c r="U193" s="15"/>
      <c r="V193" s="15"/>
      <c r="W193" s="15"/>
      <c r="X193" s="15"/>
      <c r="Y193" s="15"/>
      <c r="Z193" s="15"/>
    </row>
    <row r="194" spans="1:26" ht="14.45" customHeight="1" x14ac:dyDescent="0.25">
      <c r="A194" s="17"/>
      <c r="B194" s="41"/>
      <c r="C194" s="55"/>
      <c r="D194" s="55"/>
      <c r="E194" s="55"/>
      <c r="F194" s="43"/>
      <c r="G194" s="43"/>
      <c r="H194" s="15"/>
      <c r="I194" s="15"/>
      <c r="J194" s="15"/>
      <c r="K194" s="167"/>
      <c r="L194" s="15"/>
      <c r="M194" s="15"/>
      <c r="N194" s="15"/>
      <c r="O194" s="15"/>
      <c r="P194" s="15"/>
      <c r="Q194" s="15"/>
      <c r="R194" s="15"/>
      <c r="S194" s="15"/>
      <c r="T194" s="15"/>
      <c r="U194" s="15"/>
      <c r="V194" s="15"/>
      <c r="W194" s="15"/>
      <c r="X194" s="15"/>
      <c r="Y194" s="15"/>
      <c r="Z194" s="15"/>
    </row>
    <row r="195" spans="1:26" ht="14.45" customHeight="1" x14ac:dyDescent="0.25">
      <c r="A195" s="17" t="s">
        <v>467</v>
      </c>
      <c r="B195" s="41"/>
      <c r="C195" s="43">
        <f t="shared" ref="C195:G195" si="20">C193</f>
        <v>5070718</v>
      </c>
      <c r="D195" s="43">
        <f t="shared" si="20"/>
        <v>2405396.6800000002</v>
      </c>
      <c r="E195" s="43">
        <f t="shared" si="20"/>
        <v>3581003.32</v>
      </c>
      <c r="F195" s="43">
        <f t="shared" si="20"/>
        <v>5986400</v>
      </c>
      <c r="G195" s="43">
        <f t="shared" si="20"/>
        <v>6550622</v>
      </c>
      <c r="H195" s="15"/>
      <c r="I195" s="15"/>
      <c r="J195" s="15"/>
      <c r="K195" s="167"/>
      <c r="L195" s="15"/>
      <c r="M195" s="15"/>
      <c r="N195" s="15"/>
      <c r="O195" s="15"/>
      <c r="P195" s="15"/>
      <c r="Q195" s="15"/>
      <c r="R195" s="15"/>
      <c r="S195" s="15"/>
      <c r="T195" s="15"/>
      <c r="U195" s="15"/>
      <c r="V195" s="15"/>
      <c r="W195" s="15"/>
      <c r="X195" s="15"/>
      <c r="Y195" s="15"/>
      <c r="Z195" s="15"/>
    </row>
    <row r="196" spans="1:26" ht="14.45" customHeight="1" x14ac:dyDescent="0.25">
      <c r="A196" s="17"/>
      <c r="B196" s="41"/>
      <c r="C196" s="43"/>
      <c r="D196" s="43"/>
      <c r="E196" s="43"/>
      <c r="F196" s="43"/>
      <c r="G196" s="43"/>
      <c r="H196" s="15"/>
      <c r="I196" s="15"/>
      <c r="J196" s="15"/>
      <c r="K196" s="167"/>
      <c r="L196" s="15"/>
      <c r="M196" s="15"/>
      <c r="N196" s="15"/>
      <c r="O196" s="15"/>
      <c r="P196" s="15"/>
      <c r="Q196" s="15"/>
      <c r="R196" s="15"/>
      <c r="S196" s="15"/>
      <c r="T196" s="15"/>
      <c r="U196" s="15"/>
      <c r="V196" s="15"/>
      <c r="W196" s="15"/>
      <c r="X196" s="15"/>
      <c r="Y196" s="15"/>
      <c r="Z196" s="15"/>
    </row>
    <row r="197" spans="1:26" ht="14.45" customHeight="1" x14ac:dyDescent="0.25">
      <c r="A197" s="50" t="s">
        <v>487</v>
      </c>
      <c r="B197" s="51" t="s">
        <v>488</v>
      </c>
      <c r="C197" s="54">
        <f t="shared" ref="C197:G197" si="21">+C195</f>
        <v>5070718</v>
      </c>
      <c r="D197" s="54">
        <f t="shared" si="21"/>
        <v>2405396.6800000002</v>
      </c>
      <c r="E197" s="54">
        <f t="shared" si="21"/>
        <v>3581003.32</v>
      </c>
      <c r="F197" s="54">
        <f t="shared" si="21"/>
        <v>5986400</v>
      </c>
      <c r="G197" s="54">
        <f t="shared" si="21"/>
        <v>6550622</v>
      </c>
      <c r="H197" s="15"/>
      <c r="I197" s="15"/>
      <c r="J197" s="15"/>
      <c r="K197" s="167"/>
      <c r="L197" s="15"/>
      <c r="M197" s="15"/>
      <c r="N197" s="15"/>
      <c r="O197" s="15"/>
      <c r="P197" s="15"/>
      <c r="Q197" s="15"/>
      <c r="R197" s="15"/>
      <c r="S197" s="15"/>
      <c r="T197" s="15"/>
      <c r="U197" s="15"/>
      <c r="V197" s="15"/>
      <c r="W197" s="15"/>
      <c r="X197" s="15"/>
      <c r="Y197" s="15"/>
      <c r="Z197" s="15"/>
    </row>
    <row r="198" spans="1:26" ht="14.45" customHeight="1" x14ac:dyDescent="0.25">
      <c r="A198" s="24"/>
      <c r="B198" s="25"/>
      <c r="C198" s="26"/>
      <c r="D198" s="26"/>
      <c r="E198" s="26"/>
      <c r="F198" s="26"/>
      <c r="G198" s="26"/>
      <c r="H198" s="15"/>
      <c r="I198" s="15"/>
      <c r="J198" s="15"/>
      <c r="K198" s="167"/>
      <c r="L198" s="15"/>
      <c r="M198" s="15"/>
      <c r="N198" s="15"/>
      <c r="O198" s="15"/>
      <c r="P198" s="15"/>
      <c r="Q198" s="15"/>
      <c r="R198" s="15"/>
      <c r="S198" s="15"/>
      <c r="T198" s="15"/>
      <c r="U198" s="15"/>
      <c r="V198" s="15"/>
      <c r="W198" s="15"/>
      <c r="X198" s="15"/>
      <c r="Y198" s="15"/>
      <c r="Z198" s="15"/>
    </row>
    <row r="199" spans="1:26" ht="14.45" customHeight="1" x14ac:dyDescent="0.25">
      <c r="A199" s="24"/>
      <c r="B199" s="25"/>
      <c r="C199" s="24"/>
      <c r="D199" s="24"/>
      <c r="E199" s="24"/>
      <c r="F199" s="15"/>
      <c r="G199" s="15"/>
      <c r="H199" s="15"/>
      <c r="I199" s="15"/>
      <c r="J199" s="15"/>
      <c r="K199" s="167"/>
      <c r="L199" s="15"/>
      <c r="M199" s="15"/>
      <c r="N199" s="15"/>
      <c r="O199" s="15"/>
      <c r="P199" s="15"/>
      <c r="Q199" s="15"/>
      <c r="R199" s="15"/>
      <c r="S199" s="15"/>
      <c r="T199" s="15"/>
      <c r="U199" s="15"/>
      <c r="V199" s="15"/>
      <c r="W199" s="15"/>
      <c r="X199" s="15"/>
      <c r="Y199" s="15"/>
      <c r="Z199" s="15"/>
    </row>
    <row r="200" spans="1:26" ht="14.45" customHeight="1" x14ac:dyDescent="0.25">
      <c r="A200" s="9"/>
      <c r="B200" s="104"/>
      <c r="C200" s="105"/>
      <c r="D200" s="105"/>
      <c r="E200" s="105"/>
      <c r="F200" s="10"/>
      <c r="G200" s="180"/>
      <c r="H200" s="15"/>
      <c r="I200" s="15"/>
      <c r="J200" s="15"/>
      <c r="K200" s="167"/>
      <c r="L200" s="15"/>
      <c r="M200" s="15"/>
      <c r="N200" s="15"/>
      <c r="O200" s="15"/>
      <c r="P200" s="15"/>
      <c r="Q200" s="15"/>
      <c r="R200" s="15"/>
      <c r="S200" s="15"/>
      <c r="T200" s="15"/>
      <c r="U200" s="15"/>
      <c r="V200" s="15"/>
      <c r="W200" s="15"/>
      <c r="X200" s="15"/>
      <c r="Y200" s="15"/>
      <c r="Z200" s="15"/>
    </row>
    <row r="201" spans="1:26" ht="14.45" customHeight="1" x14ac:dyDescent="0.25">
      <c r="A201" s="108" t="s">
        <v>1964</v>
      </c>
      <c r="B201" s="25"/>
      <c r="C201" s="26"/>
      <c r="D201" s="26"/>
      <c r="E201" s="26"/>
      <c r="F201" s="14"/>
      <c r="G201" s="181"/>
      <c r="H201" s="15"/>
      <c r="I201" s="15"/>
      <c r="J201" s="15"/>
      <c r="K201" s="167"/>
      <c r="L201" s="15"/>
      <c r="M201" s="15"/>
      <c r="N201" s="15"/>
      <c r="O201" s="15"/>
      <c r="P201" s="15"/>
      <c r="Q201" s="15"/>
      <c r="R201" s="15"/>
      <c r="S201" s="15"/>
      <c r="T201" s="15"/>
      <c r="U201" s="15"/>
      <c r="V201" s="15"/>
      <c r="W201" s="15"/>
      <c r="X201" s="15"/>
      <c r="Y201" s="15"/>
      <c r="Z201" s="15"/>
    </row>
    <row r="202" spans="1:26" ht="14.45" customHeight="1" x14ac:dyDescent="0.25">
      <c r="A202" s="108"/>
      <c r="B202" s="25"/>
      <c r="C202" s="26"/>
      <c r="D202" s="26"/>
      <c r="E202" s="26"/>
      <c r="F202" s="14"/>
      <c r="G202" s="181"/>
      <c r="H202" s="15"/>
      <c r="I202" s="15"/>
      <c r="J202" s="15"/>
      <c r="K202" s="167"/>
      <c r="L202" s="15"/>
      <c r="M202" s="15"/>
      <c r="N202" s="15"/>
      <c r="O202" s="15"/>
      <c r="P202" s="15"/>
      <c r="Q202" s="15"/>
      <c r="R202" s="15"/>
      <c r="S202" s="15"/>
      <c r="T202" s="15"/>
      <c r="U202" s="15"/>
      <c r="V202" s="15"/>
      <c r="W202" s="15"/>
      <c r="X202" s="15"/>
      <c r="Y202" s="15"/>
      <c r="Z202" s="15"/>
    </row>
    <row r="203" spans="1:26" ht="14.45" customHeight="1" x14ac:dyDescent="0.25">
      <c r="A203" s="865" t="s">
        <v>352</v>
      </c>
      <c r="B203" s="866"/>
      <c r="C203" s="866"/>
      <c r="D203" s="866"/>
      <c r="E203" s="866"/>
      <c r="F203" s="866"/>
      <c r="G203" s="867"/>
      <c r="H203" s="15"/>
      <c r="I203" s="15"/>
      <c r="J203" s="15"/>
      <c r="K203" s="167"/>
      <c r="L203" s="15"/>
      <c r="M203" s="15"/>
      <c r="N203" s="15"/>
      <c r="O203" s="15"/>
      <c r="P203" s="15"/>
      <c r="Q203" s="15"/>
      <c r="R203" s="15"/>
      <c r="S203" s="15"/>
      <c r="T203" s="15"/>
      <c r="U203" s="15"/>
      <c r="V203" s="15"/>
      <c r="W203" s="15"/>
      <c r="X203" s="15"/>
      <c r="Y203" s="15"/>
      <c r="Z203" s="15"/>
    </row>
    <row r="204" spans="1:26" ht="14.45" customHeight="1" x14ac:dyDescent="0.25">
      <c r="A204" s="868" t="s">
        <v>1194</v>
      </c>
      <c r="B204" s="857" t="s">
        <v>354</v>
      </c>
      <c r="C204" s="857" t="s">
        <v>355</v>
      </c>
      <c r="D204" s="884" t="s">
        <v>356</v>
      </c>
      <c r="E204" s="885"/>
      <c r="F204" s="886"/>
      <c r="G204" s="857" t="s">
        <v>357</v>
      </c>
      <c r="H204" s="15"/>
      <c r="I204" s="15"/>
      <c r="J204" s="15"/>
      <c r="K204" s="167"/>
      <c r="L204" s="15"/>
      <c r="M204" s="15"/>
      <c r="N204" s="15"/>
      <c r="O204" s="15"/>
      <c r="P204" s="15"/>
      <c r="Q204" s="15"/>
      <c r="R204" s="15"/>
      <c r="S204" s="15"/>
      <c r="T204" s="15"/>
      <c r="U204" s="15"/>
      <c r="V204" s="15"/>
      <c r="W204" s="15"/>
      <c r="X204" s="15"/>
      <c r="Y204" s="15"/>
      <c r="Z204" s="15"/>
    </row>
    <row r="205" spans="1:26" ht="14.45" customHeight="1" x14ac:dyDescent="0.25">
      <c r="A205" s="858"/>
      <c r="B205" s="858"/>
      <c r="C205" s="858"/>
      <c r="D205" s="28" t="s">
        <v>358</v>
      </c>
      <c r="E205" s="29" t="s">
        <v>359</v>
      </c>
      <c r="F205" s="857" t="s">
        <v>360</v>
      </c>
      <c r="G205" s="858"/>
      <c r="H205" s="15"/>
      <c r="I205" s="15"/>
      <c r="J205" s="15"/>
      <c r="K205" s="167"/>
      <c r="L205" s="15"/>
      <c r="M205" s="15"/>
      <c r="N205" s="15"/>
      <c r="O205" s="15"/>
      <c r="P205" s="15"/>
      <c r="Q205" s="15"/>
      <c r="R205" s="15"/>
      <c r="S205" s="15"/>
      <c r="T205" s="15"/>
      <c r="U205" s="15"/>
      <c r="V205" s="15"/>
      <c r="W205" s="15"/>
      <c r="X205" s="15"/>
      <c r="Y205" s="15"/>
      <c r="Z205" s="15"/>
    </row>
    <row r="206" spans="1:26" ht="14.45" customHeight="1" x14ac:dyDescent="0.25">
      <c r="A206" s="858"/>
      <c r="B206" s="858"/>
      <c r="C206" s="30" t="s">
        <v>361</v>
      </c>
      <c r="D206" s="31" t="s">
        <v>361</v>
      </c>
      <c r="E206" s="32" t="s">
        <v>362</v>
      </c>
      <c r="F206" s="858"/>
      <c r="G206" s="442" t="s">
        <v>2669</v>
      </c>
      <c r="H206" s="15"/>
      <c r="I206" s="15"/>
      <c r="J206" s="15"/>
      <c r="K206" s="167"/>
      <c r="L206" s="15"/>
      <c r="M206" s="15"/>
      <c r="N206" s="15"/>
      <c r="O206" s="15"/>
      <c r="P206" s="15"/>
      <c r="Q206" s="15"/>
      <c r="R206" s="15"/>
      <c r="S206" s="15"/>
      <c r="T206" s="15"/>
      <c r="U206" s="15"/>
      <c r="V206" s="15"/>
      <c r="W206" s="15"/>
      <c r="X206" s="15"/>
      <c r="Y206" s="15"/>
      <c r="Z206" s="15"/>
    </row>
    <row r="207" spans="1:26" ht="14.45" customHeight="1" x14ac:dyDescent="0.25">
      <c r="A207" s="869"/>
      <c r="B207" s="869"/>
      <c r="C207" s="33">
        <v>2024</v>
      </c>
      <c r="D207" s="34">
        <v>2025</v>
      </c>
      <c r="E207" s="35">
        <v>2025</v>
      </c>
      <c r="F207" s="34">
        <v>2025</v>
      </c>
      <c r="G207" s="36" t="s">
        <v>2668</v>
      </c>
      <c r="H207" s="15"/>
      <c r="I207" s="15"/>
      <c r="J207" s="15"/>
      <c r="K207" s="167"/>
      <c r="L207" s="15"/>
      <c r="M207" s="15"/>
      <c r="N207" s="15"/>
      <c r="O207" s="15"/>
      <c r="P207" s="15"/>
      <c r="Q207" s="15"/>
      <c r="R207" s="15"/>
      <c r="S207" s="15"/>
      <c r="T207" s="15"/>
      <c r="U207" s="15"/>
      <c r="V207" s="15"/>
      <c r="W207" s="15"/>
      <c r="X207" s="15"/>
      <c r="Y207" s="15"/>
      <c r="Z207" s="15"/>
    </row>
    <row r="208" spans="1:26" ht="14.45" customHeight="1" x14ac:dyDescent="0.25">
      <c r="A208" s="17" t="s">
        <v>364</v>
      </c>
      <c r="B208" s="172"/>
      <c r="C208" s="42"/>
      <c r="D208" s="42"/>
      <c r="E208" s="42"/>
      <c r="F208" s="42"/>
      <c r="G208" s="42"/>
      <c r="H208" s="15"/>
      <c r="I208" s="15"/>
      <c r="J208" s="15"/>
      <c r="K208" s="167"/>
      <c r="L208" s="15"/>
      <c r="M208" s="15"/>
      <c r="N208" s="15"/>
      <c r="O208" s="15"/>
      <c r="P208" s="15"/>
      <c r="Q208" s="15"/>
      <c r="R208" s="15"/>
      <c r="S208" s="15"/>
      <c r="T208" s="15"/>
      <c r="U208" s="15"/>
      <c r="V208" s="15"/>
      <c r="W208" s="15"/>
      <c r="X208" s="15"/>
      <c r="Y208" s="15"/>
      <c r="Z208" s="15"/>
    </row>
    <row r="209" spans="1:26" ht="14.45" customHeight="1" x14ac:dyDescent="0.25">
      <c r="A209" s="42" t="s">
        <v>1463</v>
      </c>
      <c r="B209" s="199"/>
      <c r="C209" s="42"/>
      <c r="D209" s="42"/>
      <c r="E209" s="42"/>
      <c r="F209" s="42"/>
      <c r="G209" s="440"/>
      <c r="H209" s="15"/>
      <c r="I209" s="15"/>
      <c r="J209" s="15"/>
      <c r="K209" s="167"/>
      <c r="L209" s="15"/>
      <c r="M209" s="15"/>
      <c r="N209" s="15"/>
      <c r="O209" s="15"/>
      <c r="P209" s="15"/>
      <c r="Q209" s="15"/>
      <c r="R209" s="15"/>
      <c r="S209" s="15"/>
      <c r="T209" s="15"/>
      <c r="U209" s="15"/>
      <c r="V209" s="15"/>
      <c r="W209" s="15"/>
      <c r="X209" s="15"/>
      <c r="Y209" s="15"/>
      <c r="Z209" s="15"/>
    </row>
    <row r="210" spans="1:26" ht="14.45" customHeight="1" x14ac:dyDescent="0.25">
      <c r="A210" s="42" t="s">
        <v>493</v>
      </c>
      <c r="B210" s="41"/>
      <c r="C210" s="42"/>
      <c r="D210" s="42"/>
      <c r="E210" s="42"/>
      <c r="F210" s="43"/>
      <c r="G210" s="440"/>
      <c r="H210" s="15"/>
      <c r="I210" s="15"/>
      <c r="J210" s="15"/>
      <c r="K210" s="167"/>
      <c r="L210" s="15"/>
      <c r="M210" s="15"/>
      <c r="N210" s="15"/>
      <c r="O210" s="15"/>
      <c r="P210" s="15"/>
      <c r="Q210" s="15"/>
      <c r="R210" s="15"/>
      <c r="S210" s="15"/>
      <c r="T210" s="15"/>
      <c r="U210" s="15"/>
      <c r="V210" s="15"/>
      <c r="W210" s="15"/>
      <c r="X210" s="15"/>
      <c r="Y210" s="15"/>
      <c r="Z210" s="15"/>
    </row>
    <row r="211" spans="1:26" ht="14.45" customHeight="1" x14ac:dyDescent="0.25">
      <c r="A211" s="366" t="s">
        <v>396</v>
      </c>
      <c r="B211" s="89" t="s">
        <v>191</v>
      </c>
      <c r="C211" s="43">
        <v>0</v>
      </c>
      <c r="D211" s="43">
        <v>0</v>
      </c>
      <c r="E211" s="43">
        <f>F211-D211</f>
        <v>0</v>
      </c>
      <c r="F211" s="43">
        <v>0</v>
      </c>
      <c r="G211" s="440">
        <v>200000</v>
      </c>
      <c r="H211" s="167"/>
      <c r="I211" s="167"/>
      <c r="J211" s="167"/>
      <c r="K211" s="167"/>
      <c r="L211" s="167"/>
      <c r="M211" s="167"/>
      <c r="N211" s="167"/>
      <c r="O211" s="167"/>
      <c r="P211" s="167"/>
      <c r="Q211" s="167"/>
      <c r="R211" s="167"/>
      <c r="S211" s="167"/>
      <c r="T211" s="167"/>
      <c r="U211" s="167"/>
      <c r="V211" s="167"/>
      <c r="W211" s="167"/>
      <c r="X211" s="167"/>
      <c r="Y211" s="167"/>
      <c r="Z211" s="167"/>
    </row>
    <row r="212" spans="1:26" ht="14.45" customHeight="1" x14ac:dyDescent="0.25">
      <c r="A212" s="17" t="s">
        <v>499</v>
      </c>
      <c r="B212" s="41"/>
      <c r="C212" s="42"/>
      <c r="D212" s="42"/>
      <c r="E212" s="42"/>
      <c r="F212" s="43"/>
      <c r="G212" s="440"/>
      <c r="H212" s="15"/>
      <c r="I212" s="15"/>
      <c r="J212" s="15"/>
      <c r="K212" s="167"/>
      <c r="L212" s="15"/>
      <c r="M212" s="15"/>
      <c r="N212" s="15"/>
      <c r="O212" s="15"/>
      <c r="P212" s="15"/>
      <c r="Q212" s="15"/>
      <c r="R212" s="15"/>
      <c r="S212" s="15"/>
      <c r="T212" s="15"/>
      <c r="U212" s="15"/>
      <c r="V212" s="15"/>
      <c r="W212" s="15"/>
      <c r="X212" s="15"/>
      <c r="Y212" s="15"/>
      <c r="Z212" s="15"/>
    </row>
    <row r="213" spans="1:26" ht="14.45" customHeight="1" x14ac:dyDescent="0.25">
      <c r="A213" s="44" t="s">
        <v>398</v>
      </c>
      <c r="B213" s="41" t="s">
        <v>195</v>
      </c>
      <c r="C213" s="43">
        <v>0</v>
      </c>
      <c r="D213" s="43">
        <v>0</v>
      </c>
      <c r="E213" s="43">
        <f t="shared" ref="E213:E214" si="22">F213-D213</f>
        <v>28125</v>
      </c>
      <c r="F213" s="43">
        <v>28125</v>
      </c>
      <c r="G213" s="440">
        <v>27640</v>
      </c>
      <c r="H213" s="15"/>
      <c r="I213" s="15"/>
      <c r="J213" s="15"/>
      <c r="K213" s="167"/>
      <c r="L213" s="15"/>
      <c r="M213" s="15"/>
      <c r="N213" s="15"/>
      <c r="O213" s="15"/>
      <c r="P213" s="15"/>
      <c r="Q213" s="15"/>
      <c r="R213" s="15"/>
      <c r="S213" s="15"/>
      <c r="T213" s="15"/>
      <c r="U213" s="15"/>
      <c r="V213" s="15"/>
      <c r="W213" s="15"/>
      <c r="X213" s="15"/>
      <c r="Y213" s="15"/>
      <c r="Z213" s="15"/>
    </row>
    <row r="214" spans="1:26" ht="14.45" customHeight="1" x14ac:dyDescent="0.25">
      <c r="A214" s="44" t="s">
        <v>402</v>
      </c>
      <c r="B214" s="41" t="s">
        <v>225</v>
      </c>
      <c r="C214" s="43">
        <v>0</v>
      </c>
      <c r="D214" s="43">
        <v>0</v>
      </c>
      <c r="E214" s="43">
        <f t="shared" si="22"/>
        <v>0</v>
      </c>
      <c r="F214" s="43">
        <v>0</v>
      </c>
      <c r="G214" s="440">
        <v>16200</v>
      </c>
      <c r="H214" s="15"/>
      <c r="I214" s="15"/>
      <c r="J214" s="15"/>
      <c r="K214" s="167"/>
      <c r="L214" s="15"/>
      <c r="M214" s="15"/>
      <c r="N214" s="15"/>
      <c r="O214" s="15"/>
      <c r="P214" s="15"/>
      <c r="Q214" s="15"/>
      <c r="R214" s="15"/>
      <c r="S214" s="15"/>
      <c r="T214" s="15"/>
      <c r="U214" s="15"/>
      <c r="V214" s="15"/>
      <c r="W214" s="15"/>
      <c r="X214" s="15"/>
      <c r="Y214" s="15"/>
      <c r="Z214" s="15"/>
    </row>
    <row r="215" spans="1:26" ht="14.45" customHeight="1" x14ac:dyDescent="0.25">
      <c r="A215" s="17" t="s">
        <v>511</v>
      </c>
      <c r="B215" s="41"/>
      <c r="C215" s="43"/>
      <c r="D215" s="43"/>
      <c r="E215" s="43"/>
      <c r="F215" s="43"/>
      <c r="G215" s="440"/>
      <c r="H215" s="15"/>
      <c r="I215" s="15"/>
      <c r="J215" s="15"/>
      <c r="K215" s="167"/>
      <c r="L215" s="15"/>
      <c r="M215" s="15"/>
      <c r="N215" s="15"/>
      <c r="O215" s="15"/>
      <c r="P215" s="15"/>
      <c r="Q215" s="15"/>
      <c r="R215" s="15"/>
      <c r="S215" s="15"/>
      <c r="T215" s="15"/>
      <c r="U215" s="15"/>
      <c r="V215" s="15"/>
      <c r="W215" s="15"/>
      <c r="X215" s="15"/>
      <c r="Y215" s="15"/>
      <c r="Z215" s="15"/>
    </row>
    <row r="216" spans="1:26" ht="14.45" customHeight="1" x14ac:dyDescent="0.25">
      <c r="A216" s="44" t="s">
        <v>424</v>
      </c>
      <c r="B216" s="41" t="s">
        <v>335</v>
      </c>
      <c r="C216" s="43">
        <v>329877.59999999998</v>
      </c>
      <c r="D216" s="43">
        <v>109497.60000000001</v>
      </c>
      <c r="E216" s="43">
        <f>F216-D216</f>
        <v>44432.399999999994</v>
      </c>
      <c r="F216" s="43">
        <v>153930</v>
      </c>
      <c r="G216" s="43">
        <v>353430</v>
      </c>
      <c r="H216" s="15"/>
      <c r="I216" s="15"/>
      <c r="J216" s="15"/>
      <c r="K216" s="167"/>
      <c r="L216" s="15"/>
      <c r="M216" s="15"/>
      <c r="N216" s="15"/>
      <c r="O216" s="15"/>
      <c r="P216" s="15"/>
      <c r="Q216" s="15"/>
      <c r="R216" s="15"/>
      <c r="S216" s="15"/>
      <c r="T216" s="15"/>
      <c r="U216" s="15"/>
      <c r="V216" s="15"/>
      <c r="W216" s="15"/>
      <c r="X216" s="15"/>
      <c r="Y216" s="15"/>
      <c r="Z216" s="15"/>
    </row>
    <row r="217" spans="1:26" ht="14.45" customHeight="1" x14ac:dyDescent="0.25">
      <c r="A217" s="44" t="s">
        <v>1965</v>
      </c>
      <c r="B217" s="41"/>
      <c r="C217" s="43"/>
      <c r="D217" s="43"/>
      <c r="E217" s="43"/>
      <c r="F217" s="43"/>
      <c r="G217" s="43"/>
      <c r="H217" s="15"/>
      <c r="I217" s="15"/>
      <c r="J217" s="15"/>
      <c r="K217" s="167"/>
      <c r="L217" s="15"/>
      <c r="M217" s="15"/>
      <c r="N217" s="15"/>
      <c r="O217" s="15"/>
      <c r="P217" s="15"/>
      <c r="Q217" s="15"/>
      <c r="R217" s="15"/>
      <c r="S217" s="15"/>
      <c r="T217" s="15"/>
      <c r="U217" s="15"/>
      <c r="V217" s="15"/>
      <c r="W217" s="15"/>
      <c r="X217" s="15"/>
      <c r="Y217" s="15"/>
      <c r="Z217" s="15"/>
    </row>
    <row r="218" spans="1:26" ht="14.45" customHeight="1" x14ac:dyDescent="0.25">
      <c r="A218" s="44" t="s">
        <v>1966</v>
      </c>
      <c r="B218" s="41"/>
      <c r="C218" s="43"/>
      <c r="D218" s="43"/>
      <c r="E218" s="43"/>
      <c r="F218" s="43"/>
      <c r="G218" s="43"/>
      <c r="H218" s="15"/>
      <c r="I218" s="15"/>
      <c r="J218" s="15"/>
      <c r="K218" s="167"/>
      <c r="L218" s="15"/>
      <c r="M218" s="15"/>
      <c r="N218" s="15"/>
      <c r="O218" s="15"/>
      <c r="P218" s="15"/>
      <c r="Q218" s="15"/>
      <c r="R218" s="15"/>
      <c r="S218" s="15"/>
      <c r="T218" s="15"/>
      <c r="U218" s="15"/>
      <c r="V218" s="15"/>
      <c r="W218" s="15"/>
      <c r="X218" s="15"/>
      <c r="Y218" s="15"/>
      <c r="Z218" s="15"/>
    </row>
    <row r="219" spans="1:26" ht="14.45" customHeight="1" x14ac:dyDescent="0.25">
      <c r="A219" s="42" t="s">
        <v>466</v>
      </c>
      <c r="B219" s="41"/>
      <c r="C219" s="54">
        <f t="shared" ref="C219:G219" si="23">SUM(C211:C216)</f>
        <v>329877.59999999998</v>
      </c>
      <c r="D219" s="54">
        <f t="shared" si="23"/>
        <v>109497.60000000001</v>
      </c>
      <c r="E219" s="54">
        <f t="shared" si="23"/>
        <v>72557.399999999994</v>
      </c>
      <c r="F219" s="54">
        <f t="shared" si="23"/>
        <v>182055</v>
      </c>
      <c r="G219" s="54">
        <f t="shared" si="23"/>
        <v>597270</v>
      </c>
      <c r="H219" s="15"/>
      <c r="I219" s="15"/>
      <c r="J219" s="15"/>
      <c r="K219" s="167"/>
      <c r="L219" s="15"/>
      <c r="M219" s="15"/>
      <c r="N219" s="15"/>
      <c r="O219" s="15"/>
      <c r="P219" s="15"/>
      <c r="Q219" s="15"/>
      <c r="R219" s="15"/>
      <c r="S219" s="15"/>
      <c r="T219" s="15"/>
      <c r="U219" s="15"/>
      <c r="V219" s="15"/>
      <c r="W219" s="15"/>
      <c r="X219" s="15"/>
      <c r="Y219" s="15"/>
      <c r="Z219" s="15"/>
    </row>
    <row r="220" spans="1:26" ht="14.45" customHeight="1" x14ac:dyDescent="0.25">
      <c r="A220" s="17"/>
      <c r="B220" s="41"/>
      <c r="C220" s="55"/>
      <c r="D220" s="55"/>
      <c r="E220" s="55"/>
      <c r="F220" s="43"/>
      <c r="G220" s="43"/>
      <c r="H220" s="15"/>
      <c r="I220" s="15"/>
      <c r="J220" s="15"/>
      <c r="K220" s="167"/>
      <c r="L220" s="15"/>
      <c r="M220" s="15"/>
      <c r="N220" s="15"/>
      <c r="O220" s="15"/>
      <c r="P220" s="15"/>
      <c r="Q220" s="15"/>
      <c r="R220" s="15"/>
      <c r="S220" s="15"/>
      <c r="T220" s="15"/>
      <c r="U220" s="15"/>
      <c r="V220" s="15"/>
      <c r="W220" s="15"/>
      <c r="X220" s="15"/>
      <c r="Y220" s="15"/>
      <c r="Z220" s="15"/>
    </row>
    <row r="221" spans="1:26" ht="14.45" customHeight="1" x14ac:dyDescent="0.25">
      <c r="A221" s="42" t="s">
        <v>467</v>
      </c>
      <c r="B221" s="41"/>
      <c r="C221" s="43">
        <f t="shared" ref="C221:F221" si="24">C219</f>
        <v>329877.59999999998</v>
      </c>
      <c r="D221" s="43">
        <f t="shared" si="24"/>
        <v>109497.60000000001</v>
      </c>
      <c r="E221" s="43">
        <f t="shared" si="24"/>
        <v>72557.399999999994</v>
      </c>
      <c r="F221" s="43">
        <f t="shared" si="24"/>
        <v>182055</v>
      </c>
      <c r="G221" s="43">
        <f>+G219</f>
        <v>597270</v>
      </c>
      <c r="H221" s="15"/>
      <c r="I221" s="15"/>
      <c r="J221" s="15"/>
      <c r="K221" s="167"/>
      <c r="L221" s="15"/>
      <c r="M221" s="15"/>
      <c r="N221" s="15"/>
      <c r="O221" s="15"/>
      <c r="P221" s="15"/>
      <c r="Q221" s="15"/>
      <c r="R221" s="15"/>
      <c r="S221" s="15"/>
      <c r="T221" s="15"/>
      <c r="U221" s="15"/>
      <c r="V221" s="15"/>
      <c r="W221" s="15"/>
      <c r="X221" s="15"/>
      <c r="Y221" s="15"/>
      <c r="Z221" s="15"/>
    </row>
    <row r="222" spans="1:26" ht="14.45" customHeight="1" x14ac:dyDescent="0.25">
      <c r="A222" s="17"/>
      <c r="B222" s="41"/>
      <c r="C222" s="43"/>
      <c r="D222" s="43"/>
      <c r="E222" s="43"/>
      <c r="F222" s="43"/>
      <c r="G222" s="43"/>
      <c r="H222" s="15"/>
      <c r="I222" s="15"/>
      <c r="J222" s="15"/>
      <c r="K222" s="167"/>
      <c r="L222" s="15"/>
      <c r="M222" s="15"/>
      <c r="N222" s="15"/>
      <c r="O222" s="15"/>
      <c r="P222" s="15"/>
      <c r="Q222" s="15"/>
      <c r="R222" s="15"/>
      <c r="S222" s="15"/>
      <c r="T222" s="15"/>
      <c r="U222" s="15"/>
      <c r="V222" s="15"/>
      <c r="W222" s="15"/>
      <c r="X222" s="15"/>
      <c r="Y222" s="15"/>
      <c r="Z222" s="15"/>
    </row>
    <row r="223" spans="1:26" ht="14.45" customHeight="1" x14ac:dyDescent="0.25">
      <c r="A223" s="50" t="s">
        <v>487</v>
      </c>
      <c r="B223" s="51" t="s">
        <v>488</v>
      </c>
      <c r="C223" s="54">
        <f t="shared" ref="C223:G223" si="25">+C221</f>
        <v>329877.59999999998</v>
      </c>
      <c r="D223" s="54">
        <f t="shared" si="25"/>
        <v>109497.60000000001</v>
      </c>
      <c r="E223" s="54">
        <f t="shared" si="25"/>
        <v>72557.399999999994</v>
      </c>
      <c r="F223" s="54">
        <f t="shared" si="25"/>
        <v>182055</v>
      </c>
      <c r="G223" s="54">
        <f t="shared" si="25"/>
        <v>597270</v>
      </c>
      <c r="H223" s="15"/>
      <c r="I223" s="15"/>
      <c r="J223" s="15"/>
      <c r="K223" s="167"/>
      <c r="L223" s="15"/>
      <c r="M223" s="15"/>
      <c r="N223" s="15"/>
      <c r="O223" s="15"/>
      <c r="P223" s="15"/>
      <c r="Q223" s="15"/>
      <c r="R223" s="15"/>
      <c r="S223" s="15"/>
      <c r="T223" s="15"/>
      <c r="U223" s="15"/>
      <c r="V223" s="15"/>
      <c r="W223" s="15"/>
      <c r="X223" s="15"/>
      <c r="Y223" s="15"/>
      <c r="Z223" s="15"/>
    </row>
    <row r="224" spans="1:26" ht="15.75" customHeight="1" x14ac:dyDescent="0.25">
      <c r="A224" s="24"/>
      <c r="B224" s="25"/>
      <c r="C224" s="26"/>
      <c r="D224" s="26"/>
      <c r="E224" s="26"/>
      <c r="F224" s="26"/>
      <c r="G224" s="26"/>
      <c r="H224" s="15"/>
      <c r="I224" s="15"/>
      <c r="J224" s="15"/>
      <c r="K224" s="167"/>
      <c r="L224" s="15"/>
      <c r="M224" s="15"/>
      <c r="N224" s="15"/>
      <c r="O224" s="15"/>
      <c r="P224" s="15"/>
      <c r="Q224" s="15"/>
      <c r="R224" s="15"/>
      <c r="S224" s="15"/>
      <c r="T224" s="15"/>
      <c r="U224" s="15"/>
      <c r="V224" s="15"/>
      <c r="W224" s="15"/>
      <c r="X224" s="15"/>
      <c r="Y224" s="15"/>
      <c r="Z224" s="15"/>
    </row>
    <row r="225" spans="1:26" ht="15.75" customHeight="1" x14ac:dyDescent="0.25">
      <c r="A225" s="24"/>
      <c r="B225" s="98"/>
      <c r="C225" s="24"/>
      <c r="D225" s="24"/>
      <c r="E225" s="24"/>
      <c r="F225" s="15"/>
      <c r="G225" s="24"/>
      <c r="H225" s="7"/>
      <c r="I225" s="15"/>
      <c r="J225" s="15"/>
      <c r="K225" s="167"/>
      <c r="L225" s="15"/>
      <c r="M225" s="15"/>
      <c r="N225" s="15"/>
      <c r="O225" s="15"/>
      <c r="P225" s="15"/>
      <c r="Q225" s="15"/>
      <c r="R225" s="15"/>
      <c r="S225" s="15"/>
      <c r="T225" s="15"/>
      <c r="U225" s="15"/>
      <c r="V225" s="15"/>
      <c r="W225" s="15"/>
      <c r="X225" s="15"/>
      <c r="Y225" s="15"/>
      <c r="Z225" s="15"/>
    </row>
    <row r="226" spans="1:26" ht="15.75" customHeight="1" x14ac:dyDescent="0.25">
      <c r="A226" s="24"/>
      <c r="B226" s="25"/>
      <c r="C226" s="24"/>
      <c r="D226" s="24"/>
      <c r="E226" s="24"/>
      <c r="F226" s="15"/>
      <c r="G226" s="24"/>
      <c r="H226" s="7"/>
      <c r="I226" s="15"/>
      <c r="J226" s="15"/>
      <c r="K226" s="167"/>
      <c r="L226" s="15"/>
      <c r="M226" s="15"/>
      <c r="N226" s="15"/>
      <c r="O226" s="15"/>
      <c r="P226" s="15"/>
      <c r="Q226" s="15"/>
      <c r="R226" s="15"/>
      <c r="S226" s="15"/>
      <c r="T226" s="15"/>
      <c r="U226" s="15"/>
      <c r="V226" s="15"/>
      <c r="W226" s="15"/>
      <c r="X226" s="15"/>
      <c r="Y226" s="15"/>
      <c r="Z226" s="15"/>
    </row>
    <row r="227" spans="1:26" ht="15.75" customHeight="1" x14ac:dyDescent="0.25">
      <c r="A227" s="24"/>
      <c r="B227" s="25"/>
      <c r="C227" s="24"/>
      <c r="D227" s="24"/>
      <c r="E227" s="24"/>
      <c r="F227" s="15"/>
      <c r="G227" s="24"/>
      <c r="H227" s="7"/>
      <c r="I227" s="15"/>
      <c r="J227" s="15"/>
      <c r="K227" s="167"/>
      <c r="L227" s="15"/>
      <c r="M227" s="15"/>
      <c r="N227" s="15"/>
      <c r="O227" s="15"/>
      <c r="P227" s="15"/>
      <c r="Q227" s="15"/>
      <c r="R227" s="15"/>
      <c r="S227" s="15"/>
      <c r="T227" s="15"/>
      <c r="U227" s="15"/>
      <c r="V227" s="15"/>
      <c r="W227" s="15"/>
      <c r="X227" s="15"/>
      <c r="Y227" s="15"/>
      <c r="Z227" s="15"/>
    </row>
    <row r="228" spans="1:26" ht="15.75" customHeight="1" x14ac:dyDescent="0.25">
      <c r="A228" s="24"/>
      <c r="B228" s="25"/>
      <c r="C228" s="24"/>
      <c r="D228" s="24"/>
      <c r="E228" s="24"/>
      <c r="F228" s="15"/>
      <c r="G228" s="24"/>
      <c r="H228" s="7"/>
      <c r="I228" s="15"/>
      <c r="J228" s="15"/>
      <c r="K228" s="167"/>
      <c r="L228" s="15"/>
      <c r="M228" s="15"/>
      <c r="N228" s="15"/>
      <c r="O228" s="15"/>
      <c r="P228" s="15"/>
      <c r="Q228" s="15"/>
      <c r="R228" s="15"/>
      <c r="S228" s="15"/>
      <c r="T228" s="15"/>
      <c r="U228" s="15"/>
      <c r="V228" s="15"/>
      <c r="W228" s="15"/>
      <c r="X228" s="15"/>
      <c r="Y228" s="15"/>
      <c r="Z228" s="15"/>
    </row>
    <row r="229" spans="1:26" ht="15.75" customHeight="1" x14ac:dyDescent="0.25">
      <c r="A229" s="24"/>
      <c r="B229" s="25"/>
      <c r="C229" s="24"/>
      <c r="D229" s="24"/>
      <c r="E229" s="24"/>
      <c r="F229" s="15"/>
      <c r="G229" s="24"/>
      <c r="H229" s="7"/>
      <c r="I229" s="15"/>
      <c r="J229" s="15"/>
      <c r="K229" s="167"/>
      <c r="L229" s="15"/>
      <c r="M229" s="15"/>
      <c r="N229" s="15"/>
      <c r="O229" s="15"/>
      <c r="P229" s="15"/>
      <c r="Q229" s="15"/>
      <c r="R229" s="15"/>
      <c r="S229" s="15"/>
      <c r="T229" s="15"/>
      <c r="U229" s="15"/>
      <c r="V229" s="15"/>
      <c r="W229" s="15"/>
      <c r="X229" s="15"/>
      <c r="Y229" s="15"/>
      <c r="Z229" s="15"/>
    </row>
    <row r="230" spans="1:26" ht="15.75" customHeight="1" x14ac:dyDescent="0.25">
      <c r="A230" s="24"/>
      <c r="B230" s="25"/>
      <c r="C230" s="24"/>
      <c r="D230" s="24"/>
      <c r="E230" s="24"/>
      <c r="F230" s="15"/>
      <c r="G230" s="24"/>
      <c r="H230" s="7"/>
      <c r="I230" s="15"/>
      <c r="J230" s="15"/>
      <c r="K230" s="167"/>
      <c r="L230" s="15"/>
      <c r="M230" s="15"/>
      <c r="N230" s="15"/>
      <c r="O230" s="15"/>
      <c r="P230" s="15"/>
      <c r="Q230" s="15"/>
      <c r="R230" s="15"/>
      <c r="S230" s="15"/>
      <c r="T230" s="15"/>
      <c r="U230" s="15"/>
      <c r="V230" s="15"/>
      <c r="W230" s="15"/>
      <c r="X230" s="15"/>
      <c r="Y230" s="15"/>
      <c r="Z230" s="15"/>
    </row>
    <row r="231" spans="1:26" ht="15.75" customHeight="1" x14ac:dyDescent="0.25">
      <c r="A231" s="24"/>
      <c r="B231" s="25"/>
      <c r="C231" s="24"/>
      <c r="D231" s="24"/>
      <c r="E231" s="24"/>
      <c r="F231" s="15"/>
      <c r="G231" s="24"/>
      <c r="H231" s="7"/>
      <c r="I231" s="15"/>
      <c r="J231" s="15"/>
      <c r="K231" s="167"/>
      <c r="L231" s="15"/>
      <c r="M231" s="15"/>
      <c r="N231" s="15"/>
      <c r="O231" s="15"/>
      <c r="P231" s="15"/>
      <c r="Q231" s="15"/>
      <c r="R231" s="15"/>
      <c r="S231" s="15"/>
      <c r="T231" s="15"/>
      <c r="U231" s="15"/>
      <c r="V231" s="15"/>
      <c r="W231" s="15"/>
      <c r="X231" s="15"/>
      <c r="Y231" s="15"/>
      <c r="Z231" s="15"/>
    </row>
    <row r="232" spans="1:26" ht="15.75" customHeight="1" x14ac:dyDescent="0.25">
      <c r="A232" s="24"/>
      <c r="B232" s="25"/>
      <c r="C232" s="24"/>
      <c r="D232" s="24"/>
      <c r="E232" s="24"/>
      <c r="F232" s="15"/>
      <c r="G232" s="24"/>
      <c r="H232" s="7"/>
      <c r="I232" s="15"/>
      <c r="J232" s="15"/>
      <c r="K232" s="167"/>
      <c r="L232" s="15"/>
      <c r="M232" s="15"/>
      <c r="N232" s="15"/>
      <c r="O232" s="15"/>
      <c r="P232" s="15"/>
      <c r="Q232" s="15"/>
      <c r="R232" s="15"/>
      <c r="S232" s="15"/>
      <c r="T232" s="15"/>
      <c r="U232" s="15"/>
      <c r="V232" s="15"/>
      <c r="W232" s="15"/>
      <c r="X232" s="15"/>
      <c r="Y232" s="15"/>
      <c r="Z232" s="15"/>
    </row>
    <row r="233" spans="1:26" ht="15.75" customHeight="1" x14ac:dyDescent="0.25">
      <c r="A233" s="24"/>
      <c r="B233" s="25"/>
      <c r="C233" s="24"/>
      <c r="D233" s="24"/>
      <c r="E233" s="24"/>
      <c r="F233" s="15"/>
      <c r="G233" s="24"/>
      <c r="H233" s="7"/>
      <c r="I233" s="15"/>
      <c r="J233" s="15"/>
      <c r="K233" s="167"/>
      <c r="L233" s="15"/>
      <c r="M233" s="15"/>
      <c r="N233" s="15"/>
      <c r="O233" s="15"/>
      <c r="P233" s="15"/>
      <c r="Q233" s="15"/>
      <c r="R233" s="15"/>
      <c r="S233" s="15"/>
      <c r="T233" s="15"/>
      <c r="U233" s="15"/>
      <c r="V233" s="15"/>
      <c r="W233" s="15"/>
      <c r="X233" s="15"/>
      <c r="Y233" s="15"/>
      <c r="Z233" s="15"/>
    </row>
    <row r="234" spans="1:26" ht="15.75" customHeight="1" x14ac:dyDescent="0.25">
      <c r="A234" s="24"/>
      <c r="B234" s="25"/>
      <c r="C234" s="24"/>
      <c r="D234" s="24"/>
      <c r="E234" s="24"/>
      <c r="F234" s="15"/>
      <c r="G234" s="24"/>
      <c r="H234" s="7"/>
      <c r="I234" s="15"/>
      <c r="J234" s="15"/>
      <c r="K234" s="167"/>
      <c r="L234" s="15"/>
      <c r="M234" s="15"/>
      <c r="N234" s="15"/>
      <c r="O234" s="15"/>
      <c r="P234" s="15"/>
      <c r="Q234" s="15"/>
      <c r="R234" s="15"/>
      <c r="S234" s="15"/>
      <c r="T234" s="15"/>
      <c r="U234" s="15"/>
      <c r="V234" s="15"/>
      <c r="W234" s="15"/>
      <c r="X234" s="15"/>
      <c r="Y234" s="15"/>
      <c r="Z234" s="15"/>
    </row>
    <row r="235" spans="1:26" ht="15.75" customHeight="1" x14ac:dyDescent="0.25">
      <c r="A235" s="100"/>
      <c r="B235" s="101"/>
      <c r="C235" s="24"/>
      <c r="D235" s="24"/>
      <c r="E235" s="100"/>
      <c r="F235" s="15"/>
      <c r="G235" s="24"/>
      <c r="H235" s="7"/>
      <c r="I235" s="15"/>
      <c r="J235" s="15"/>
      <c r="K235" s="167"/>
      <c r="L235" s="15"/>
      <c r="M235" s="15"/>
      <c r="N235" s="15"/>
      <c r="O235" s="15"/>
      <c r="P235" s="15"/>
      <c r="Q235" s="15"/>
      <c r="R235" s="15"/>
      <c r="S235" s="15"/>
      <c r="T235" s="15"/>
      <c r="U235" s="15"/>
      <c r="V235" s="15"/>
      <c r="W235" s="15"/>
      <c r="X235" s="15"/>
      <c r="Y235" s="15"/>
      <c r="Z235" s="15"/>
    </row>
    <row r="236" spans="1:26" ht="15.75" customHeight="1" x14ac:dyDescent="0.25">
      <c r="A236" s="15"/>
      <c r="B236" s="103"/>
      <c r="C236" s="24"/>
      <c r="D236" s="24"/>
      <c r="E236" s="15"/>
      <c r="F236" s="15"/>
      <c r="G236" s="24"/>
      <c r="H236" s="7"/>
      <c r="I236" s="15"/>
      <c r="J236" s="15"/>
      <c r="K236" s="167"/>
      <c r="L236" s="15"/>
      <c r="M236" s="15"/>
      <c r="N236" s="15"/>
      <c r="O236" s="15"/>
      <c r="P236" s="15"/>
      <c r="Q236" s="15"/>
      <c r="R236" s="15"/>
      <c r="S236" s="15"/>
      <c r="T236" s="15"/>
      <c r="U236" s="15"/>
      <c r="V236" s="15"/>
      <c r="W236" s="15"/>
      <c r="X236" s="15"/>
      <c r="Y236" s="15"/>
      <c r="Z236" s="15"/>
    </row>
    <row r="237" spans="1:26" ht="15.75" customHeight="1" x14ac:dyDescent="0.25">
      <c r="A237" s="15"/>
      <c r="B237" s="25"/>
      <c r="C237" s="24"/>
      <c r="D237" s="24"/>
      <c r="E237" s="24"/>
      <c r="F237" s="26"/>
      <c r="G237" s="15"/>
      <c r="H237" s="15"/>
      <c r="I237" s="15"/>
      <c r="J237" s="15"/>
      <c r="K237" s="167"/>
      <c r="L237" s="15"/>
      <c r="M237" s="15"/>
      <c r="N237" s="15"/>
      <c r="O237" s="15"/>
      <c r="P237" s="15"/>
      <c r="Q237" s="15"/>
      <c r="R237" s="15"/>
      <c r="S237" s="15"/>
      <c r="T237" s="15"/>
      <c r="U237" s="15"/>
      <c r="V237" s="15"/>
      <c r="W237" s="15"/>
      <c r="X237" s="15"/>
      <c r="Y237" s="15"/>
      <c r="Z237" s="15"/>
    </row>
    <row r="238" spans="1:26" ht="15.75" customHeight="1" x14ac:dyDescent="0.25">
      <c r="A238" s="24"/>
      <c r="B238" s="25"/>
      <c r="C238" s="24"/>
      <c r="D238" s="24"/>
      <c r="E238" s="24"/>
      <c r="F238" s="15"/>
      <c r="G238" s="15"/>
      <c r="H238" s="15"/>
      <c r="I238" s="15"/>
      <c r="J238" s="15"/>
      <c r="K238" s="167"/>
      <c r="L238" s="15"/>
      <c r="M238" s="15"/>
      <c r="N238" s="15"/>
      <c r="O238" s="15"/>
      <c r="P238" s="15"/>
      <c r="Q238" s="15"/>
      <c r="R238" s="15"/>
      <c r="S238" s="15"/>
      <c r="T238" s="15"/>
      <c r="U238" s="15"/>
      <c r="V238" s="15"/>
      <c r="W238" s="15"/>
      <c r="X238" s="15"/>
      <c r="Y238" s="15"/>
      <c r="Z238" s="15"/>
    </row>
    <row r="239" spans="1:26" ht="15.75" customHeight="1" x14ac:dyDescent="0.25">
      <c r="A239" s="24"/>
      <c r="B239" s="25"/>
      <c r="C239" s="24"/>
      <c r="D239" s="24"/>
      <c r="E239" s="24"/>
      <c r="F239" s="26"/>
      <c r="G239" s="15"/>
      <c r="H239" s="15"/>
      <c r="I239" s="15"/>
      <c r="J239" s="15"/>
      <c r="K239" s="167"/>
      <c r="L239" s="15"/>
      <c r="M239" s="15"/>
      <c r="N239" s="15"/>
      <c r="O239" s="15"/>
      <c r="P239" s="15"/>
      <c r="Q239" s="15"/>
      <c r="R239" s="15"/>
      <c r="S239" s="15"/>
      <c r="T239" s="15"/>
      <c r="U239" s="15"/>
      <c r="V239" s="15"/>
      <c r="W239" s="15"/>
      <c r="X239" s="15"/>
      <c r="Y239" s="15"/>
      <c r="Z239" s="15"/>
    </row>
    <row r="240" spans="1:26" ht="15.75" customHeight="1" x14ac:dyDescent="0.25">
      <c r="A240" s="24"/>
      <c r="B240" s="25"/>
      <c r="C240" s="24"/>
      <c r="D240" s="24"/>
      <c r="E240" s="24"/>
      <c r="F240" s="26"/>
      <c r="G240" s="15"/>
      <c r="H240" s="15"/>
      <c r="I240" s="15"/>
      <c r="J240" s="15"/>
      <c r="K240" s="167"/>
      <c r="L240" s="15"/>
      <c r="M240" s="15"/>
      <c r="N240" s="15"/>
      <c r="O240" s="15"/>
      <c r="P240" s="15"/>
      <c r="Q240" s="15"/>
      <c r="R240" s="15"/>
      <c r="S240" s="15"/>
      <c r="T240" s="15"/>
      <c r="U240" s="15"/>
      <c r="V240" s="15"/>
      <c r="W240" s="15"/>
      <c r="X240" s="15"/>
      <c r="Y240" s="15"/>
      <c r="Z240" s="15"/>
    </row>
    <row r="241" spans="1:26" ht="15.75" customHeight="1" x14ac:dyDescent="0.25">
      <c r="A241" s="24"/>
      <c r="B241" s="25"/>
      <c r="C241" s="24"/>
      <c r="D241" s="24"/>
      <c r="E241" s="24"/>
      <c r="F241" s="26"/>
      <c r="G241" s="15"/>
      <c r="H241" s="15"/>
      <c r="I241" s="15"/>
      <c r="J241" s="15"/>
      <c r="K241" s="167"/>
      <c r="L241" s="15"/>
      <c r="M241" s="15"/>
      <c r="N241" s="15"/>
      <c r="O241" s="15"/>
      <c r="P241" s="15"/>
      <c r="Q241" s="15"/>
      <c r="R241" s="15"/>
      <c r="S241" s="15"/>
      <c r="T241" s="15"/>
      <c r="U241" s="15"/>
      <c r="V241" s="15"/>
      <c r="W241" s="15"/>
      <c r="X241" s="15"/>
      <c r="Y241" s="15"/>
      <c r="Z241" s="15"/>
    </row>
    <row r="242" spans="1:26" ht="15.75" customHeight="1" x14ac:dyDescent="0.25">
      <c r="A242" s="24"/>
      <c r="B242" s="25"/>
      <c r="C242" s="24"/>
      <c r="D242" s="24"/>
      <c r="E242" s="24"/>
      <c r="F242" s="26"/>
      <c r="G242" s="15"/>
      <c r="H242" s="15"/>
      <c r="I242" s="15"/>
      <c r="J242" s="15"/>
      <c r="K242" s="167"/>
      <c r="L242" s="15"/>
      <c r="M242" s="15"/>
      <c r="N242" s="15"/>
      <c r="O242" s="15"/>
      <c r="P242" s="15"/>
      <c r="Q242" s="15"/>
      <c r="R242" s="15"/>
      <c r="S242" s="15"/>
      <c r="T242" s="15"/>
      <c r="U242" s="15"/>
      <c r="V242" s="15"/>
      <c r="W242" s="15"/>
      <c r="X242" s="15"/>
      <c r="Y242" s="15"/>
      <c r="Z242" s="15"/>
    </row>
    <row r="243" spans="1:26" ht="15.75" customHeight="1" x14ac:dyDescent="0.25">
      <c r="A243" s="24"/>
      <c r="B243" s="25"/>
      <c r="C243" s="24"/>
      <c r="D243" s="24"/>
      <c r="E243" s="24"/>
      <c r="F243" s="26"/>
      <c r="G243" s="15"/>
      <c r="H243" s="15"/>
      <c r="I243" s="15"/>
      <c r="J243" s="15"/>
      <c r="K243" s="167"/>
      <c r="L243" s="15"/>
      <c r="M243" s="15"/>
      <c r="N243" s="15"/>
      <c r="O243" s="15"/>
      <c r="P243" s="15"/>
      <c r="Q243" s="15"/>
      <c r="R243" s="15"/>
      <c r="S243" s="15"/>
      <c r="T243" s="15"/>
      <c r="U243" s="15"/>
      <c r="V243" s="15"/>
      <c r="W243" s="15"/>
      <c r="X243" s="15"/>
      <c r="Y243" s="15"/>
      <c r="Z243" s="15"/>
    </row>
    <row r="244" spans="1:26" ht="15.75" customHeight="1" x14ac:dyDescent="0.25">
      <c r="A244" s="24"/>
      <c r="B244" s="25"/>
      <c r="C244" s="24"/>
      <c r="D244" s="24"/>
      <c r="E244" s="24"/>
      <c r="F244" s="26"/>
      <c r="G244" s="15"/>
      <c r="H244" s="15"/>
      <c r="I244" s="15"/>
      <c r="J244" s="15"/>
      <c r="K244" s="167"/>
      <c r="L244" s="15"/>
      <c r="M244" s="15"/>
      <c r="N244" s="15"/>
      <c r="O244" s="15"/>
      <c r="P244" s="15"/>
      <c r="Q244" s="15"/>
      <c r="R244" s="15"/>
      <c r="S244" s="15"/>
      <c r="T244" s="15"/>
      <c r="U244" s="15"/>
      <c r="V244" s="15"/>
      <c r="W244" s="15"/>
      <c r="X244" s="15"/>
      <c r="Y244" s="15"/>
      <c r="Z244" s="15"/>
    </row>
    <row r="245" spans="1:26" ht="15.75" customHeight="1" x14ac:dyDescent="0.25">
      <c r="A245" s="24"/>
      <c r="B245" s="25"/>
      <c r="C245" s="24"/>
      <c r="D245" s="24"/>
      <c r="E245" s="24"/>
      <c r="F245" s="26"/>
      <c r="G245" s="15"/>
      <c r="H245" s="15"/>
      <c r="I245" s="15"/>
      <c r="J245" s="15"/>
      <c r="K245" s="167"/>
      <c r="L245" s="15"/>
      <c r="M245" s="15"/>
      <c r="N245" s="15"/>
      <c r="O245" s="15"/>
      <c r="P245" s="15"/>
      <c r="Q245" s="15"/>
      <c r="R245" s="15"/>
      <c r="S245" s="15"/>
      <c r="T245" s="15"/>
      <c r="U245" s="15"/>
      <c r="V245" s="15"/>
      <c r="W245" s="15"/>
      <c r="X245" s="15"/>
      <c r="Y245" s="15"/>
      <c r="Z245" s="15"/>
    </row>
    <row r="246" spans="1:26" ht="15.75" customHeight="1" x14ac:dyDescent="0.25">
      <c r="A246" s="24"/>
      <c r="B246" s="25"/>
      <c r="C246" s="24"/>
      <c r="D246" s="24"/>
      <c r="E246" s="24"/>
      <c r="F246" s="26"/>
      <c r="G246" s="15"/>
      <c r="H246" s="15"/>
      <c r="I246" s="15"/>
      <c r="J246" s="15"/>
      <c r="K246" s="167"/>
      <c r="L246" s="15"/>
      <c r="M246" s="15"/>
      <c r="N246" s="15"/>
      <c r="O246" s="15"/>
      <c r="P246" s="15"/>
      <c r="Q246" s="15"/>
      <c r="R246" s="15"/>
      <c r="S246" s="15"/>
      <c r="T246" s="15"/>
      <c r="U246" s="15"/>
      <c r="V246" s="15"/>
      <c r="W246" s="15"/>
      <c r="X246" s="15"/>
      <c r="Y246" s="15"/>
      <c r="Z246" s="15"/>
    </row>
    <row r="247" spans="1:26" ht="15.75" customHeight="1" x14ac:dyDescent="0.25">
      <c r="A247" s="24"/>
      <c r="B247" s="25"/>
      <c r="C247" s="24"/>
      <c r="D247" s="24"/>
      <c r="E247" s="24"/>
      <c r="F247" s="26"/>
      <c r="G247" s="15"/>
      <c r="H247" s="15"/>
      <c r="I247" s="15"/>
      <c r="J247" s="15"/>
      <c r="K247" s="167"/>
      <c r="L247" s="15"/>
      <c r="M247" s="15"/>
      <c r="N247" s="15"/>
      <c r="O247" s="15"/>
      <c r="P247" s="15"/>
      <c r="Q247" s="15"/>
      <c r="R247" s="15"/>
      <c r="S247" s="15"/>
      <c r="T247" s="15"/>
      <c r="U247" s="15"/>
      <c r="V247" s="15"/>
      <c r="W247" s="15"/>
      <c r="X247" s="15"/>
      <c r="Y247" s="15"/>
      <c r="Z247" s="15"/>
    </row>
    <row r="248" spans="1:26" ht="15.75" customHeight="1" x14ac:dyDescent="0.25">
      <c r="A248" s="24"/>
      <c r="B248" s="25"/>
      <c r="C248" s="24"/>
      <c r="D248" s="24"/>
      <c r="E248" s="24"/>
      <c r="F248" s="26"/>
      <c r="G248" s="15"/>
      <c r="H248" s="15"/>
      <c r="I248" s="15"/>
      <c r="J248" s="15"/>
      <c r="K248" s="167"/>
      <c r="L248" s="15"/>
      <c r="M248" s="15"/>
      <c r="N248" s="15"/>
      <c r="O248" s="15"/>
      <c r="P248" s="15"/>
      <c r="Q248" s="15"/>
      <c r="R248" s="15"/>
      <c r="S248" s="15"/>
      <c r="T248" s="15"/>
      <c r="U248" s="15"/>
      <c r="V248" s="15"/>
      <c r="W248" s="15"/>
      <c r="X248" s="15"/>
      <c r="Y248" s="15"/>
      <c r="Z248" s="15"/>
    </row>
    <row r="249" spans="1:26" ht="15.75" customHeight="1" x14ac:dyDescent="0.25">
      <c r="A249" s="24"/>
      <c r="B249" s="25"/>
      <c r="C249" s="24"/>
      <c r="D249" s="24"/>
      <c r="E249" s="24"/>
      <c r="F249" s="26"/>
      <c r="G249" s="15"/>
      <c r="H249" s="15"/>
      <c r="I249" s="15"/>
      <c r="J249" s="15"/>
      <c r="K249" s="167"/>
      <c r="L249" s="15"/>
      <c r="M249" s="15"/>
      <c r="N249" s="15"/>
      <c r="O249" s="15"/>
      <c r="P249" s="15"/>
      <c r="Q249" s="15"/>
      <c r="R249" s="15"/>
      <c r="S249" s="15"/>
      <c r="T249" s="15"/>
      <c r="U249" s="15"/>
      <c r="V249" s="15"/>
      <c r="W249" s="15"/>
      <c r="X249" s="15"/>
      <c r="Y249" s="15"/>
      <c r="Z249" s="15"/>
    </row>
    <row r="250" spans="1:26" ht="15.75" customHeight="1" x14ac:dyDescent="0.25">
      <c r="A250" s="24"/>
      <c r="B250" s="25"/>
      <c r="C250" s="24"/>
      <c r="D250" s="24"/>
      <c r="E250" s="24"/>
      <c r="F250" s="26"/>
      <c r="G250" s="15"/>
      <c r="H250" s="15"/>
      <c r="I250" s="15"/>
      <c r="J250" s="15"/>
      <c r="K250" s="167"/>
      <c r="L250" s="15"/>
      <c r="M250" s="15"/>
      <c r="N250" s="15"/>
      <c r="O250" s="15"/>
      <c r="P250" s="15"/>
      <c r="Q250" s="15"/>
      <c r="R250" s="15"/>
      <c r="S250" s="15"/>
      <c r="T250" s="15"/>
      <c r="U250" s="15"/>
      <c r="V250" s="15"/>
      <c r="W250" s="15"/>
      <c r="X250" s="15"/>
      <c r="Y250" s="15"/>
      <c r="Z250" s="15"/>
    </row>
    <row r="251" spans="1:26" ht="15.75" customHeight="1" x14ac:dyDescent="0.25">
      <c r="A251" s="24"/>
      <c r="B251" s="25"/>
      <c r="C251" s="24"/>
      <c r="D251" s="24"/>
      <c r="E251" s="24"/>
      <c r="F251" s="26"/>
      <c r="G251" s="15"/>
      <c r="H251" s="15"/>
      <c r="I251" s="15"/>
      <c r="J251" s="15"/>
      <c r="K251" s="167"/>
      <c r="L251" s="15"/>
      <c r="M251" s="15"/>
      <c r="N251" s="15"/>
      <c r="O251" s="15"/>
      <c r="P251" s="15"/>
      <c r="Q251" s="15"/>
      <c r="R251" s="15"/>
      <c r="S251" s="15"/>
      <c r="T251" s="15"/>
      <c r="U251" s="15"/>
      <c r="V251" s="15"/>
      <c r="W251" s="15"/>
      <c r="X251" s="15"/>
      <c r="Y251" s="15"/>
      <c r="Z251" s="15"/>
    </row>
    <row r="252" spans="1:26" ht="15.75" customHeight="1" x14ac:dyDescent="0.25">
      <c r="A252" s="24"/>
      <c r="B252" s="25"/>
      <c r="C252" s="24"/>
      <c r="D252" s="24"/>
      <c r="E252" s="24"/>
      <c r="F252" s="26"/>
      <c r="G252" s="15"/>
      <c r="H252" s="15"/>
      <c r="I252" s="15"/>
      <c r="J252" s="15"/>
      <c r="K252" s="167"/>
      <c r="L252" s="15"/>
      <c r="M252" s="15"/>
      <c r="N252" s="15"/>
      <c r="O252" s="15"/>
      <c r="P252" s="15"/>
      <c r="Q252" s="15"/>
      <c r="R252" s="15"/>
      <c r="S252" s="15"/>
      <c r="T252" s="15"/>
      <c r="U252" s="15"/>
      <c r="V252" s="15"/>
      <c r="W252" s="15"/>
      <c r="X252" s="15"/>
      <c r="Y252" s="15"/>
      <c r="Z252" s="15"/>
    </row>
    <row r="253" spans="1:26" ht="15.75" customHeight="1" x14ac:dyDescent="0.25">
      <c r="A253" s="24"/>
      <c r="B253" s="25"/>
      <c r="C253" s="24"/>
      <c r="D253" s="24"/>
      <c r="E253" s="24"/>
      <c r="F253" s="26"/>
      <c r="G253" s="15"/>
      <c r="H253" s="15"/>
      <c r="I253" s="15"/>
      <c r="J253" s="15"/>
      <c r="K253" s="167"/>
      <c r="L253" s="15"/>
      <c r="M253" s="15"/>
      <c r="N253" s="15"/>
      <c r="O253" s="15"/>
      <c r="P253" s="15"/>
      <c r="Q253" s="15"/>
      <c r="R253" s="15"/>
      <c r="S253" s="15"/>
      <c r="T253" s="15"/>
      <c r="U253" s="15"/>
      <c r="V253" s="15"/>
      <c r="W253" s="15"/>
      <c r="X253" s="15"/>
      <c r="Y253" s="15"/>
      <c r="Z253" s="15"/>
    </row>
    <row r="254" spans="1:26" ht="15.75" customHeight="1" x14ac:dyDescent="0.25">
      <c r="A254" s="24"/>
      <c r="B254" s="25"/>
      <c r="C254" s="24"/>
      <c r="D254" s="24"/>
      <c r="E254" s="24"/>
      <c r="F254" s="26"/>
      <c r="G254" s="15"/>
      <c r="H254" s="15"/>
      <c r="I254" s="15"/>
      <c r="J254" s="15"/>
      <c r="K254" s="167"/>
      <c r="L254" s="15"/>
      <c r="M254" s="15"/>
      <c r="N254" s="15"/>
      <c r="O254" s="15"/>
      <c r="P254" s="15"/>
      <c r="Q254" s="15"/>
      <c r="R254" s="15"/>
      <c r="S254" s="15"/>
      <c r="T254" s="15"/>
      <c r="U254" s="15"/>
      <c r="V254" s="15"/>
      <c r="W254" s="15"/>
      <c r="X254" s="15"/>
      <c r="Y254" s="15"/>
      <c r="Z254" s="15"/>
    </row>
    <row r="255" spans="1:26" ht="15.75" customHeight="1" x14ac:dyDescent="0.25">
      <c r="A255" s="24"/>
      <c r="B255" s="25"/>
      <c r="C255" s="24"/>
      <c r="D255" s="24"/>
      <c r="E255" s="24"/>
      <c r="F255" s="26"/>
      <c r="G255" s="15"/>
      <c r="H255" s="15"/>
      <c r="I255" s="15"/>
      <c r="J255" s="15"/>
      <c r="K255" s="167"/>
      <c r="L255" s="15"/>
      <c r="M255" s="15"/>
      <c r="N255" s="15"/>
      <c r="O255" s="15"/>
      <c r="P255" s="15"/>
      <c r="Q255" s="15"/>
      <c r="R255" s="15"/>
      <c r="S255" s="15"/>
      <c r="T255" s="15"/>
      <c r="U255" s="15"/>
      <c r="V255" s="15"/>
      <c r="W255" s="15"/>
      <c r="X255" s="15"/>
      <c r="Y255" s="15"/>
      <c r="Z255" s="15"/>
    </row>
    <row r="256" spans="1:26" ht="15.75" customHeight="1" x14ac:dyDescent="0.25">
      <c r="A256" s="24"/>
      <c r="B256" s="25"/>
      <c r="C256" s="24"/>
      <c r="D256" s="24"/>
      <c r="E256" s="24"/>
      <c r="F256" s="26"/>
      <c r="G256" s="15"/>
      <c r="H256" s="15"/>
      <c r="I256" s="15"/>
      <c r="J256" s="15"/>
      <c r="K256" s="167"/>
      <c r="L256" s="15"/>
      <c r="M256" s="15"/>
      <c r="N256" s="15"/>
      <c r="O256" s="15"/>
      <c r="P256" s="15"/>
      <c r="Q256" s="15"/>
      <c r="R256" s="15"/>
      <c r="S256" s="15"/>
      <c r="T256" s="15"/>
      <c r="U256" s="15"/>
      <c r="V256" s="15"/>
      <c r="W256" s="15"/>
      <c r="X256" s="15"/>
      <c r="Y256" s="15"/>
      <c r="Z256" s="15"/>
    </row>
    <row r="257" spans="1:26" ht="15.75" customHeight="1" x14ac:dyDescent="0.25">
      <c r="A257" s="24"/>
      <c r="B257" s="25"/>
      <c r="C257" s="24"/>
      <c r="D257" s="24"/>
      <c r="E257" s="24"/>
      <c r="F257" s="26"/>
      <c r="G257" s="15"/>
      <c r="H257" s="15"/>
      <c r="I257" s="15"/>
      <c r="J257" s="15"/>
      <c r="K257" s="167"/>
      <c r="L257" s="15"/>
      <c r="M257" s="15"/>
      <c r="N257" s="15"/>
      <c r="O257" s="15"/>
      <c r="P257" s="15"/>
      <c r="Q257" s="15"/>
      <c r="R257" s="15"/>
      <c r="S257" s="15"/>
      <c r="T257" s="15"/>
      <c r="U257" s="15"/>
      <c r="V257" s="15"/>
      <c r="W257" s="15"/>
      <c r="X257" s="15"/>
      <c r="Y257" s="15"/>
      <c r="Z257" s="15"/>
    </row>
    <row r="258" spans="1:26" ht="15.75" customHeight="1" x14ac:dyDescent="0.25">
      <c r="A258" s="24"/>
      <c r="B258" s="25"/>
      <c r="C258" s="24"/>
      <c r="D258" s="24"/>
      <c r="E258" s="24"/>
      <c r="F258" s="26"/>
      <c r="G258" s="15"/>
      <c r="H258" s="15"/>
      <c r="I258" s="15"/>
      <c r="J258" s="15"/>
      <c r="K258" s="167"/>
      <c r="L258" s="15"/>
      <c r="M258" s="15"/>
      <c r="N258" s="15"/>
      <c r="O258" s="15"/>
      <c r="P258" s="15"/>
      <c r="Q258" s="15"/>
      <c r="R258" s="15"/>
      <c r="S258" s="15"/>
      <c r="T258" s="15"/>
      <c r="U258" s="15"/>
      <c r="V258" s="15"/>
      <c r="W258" s="15"/>
      <c r="X258" s="15"/>
      <c r="Y258" s="15"/>
      <c r="Z258" s="15"/>
    </row>
    <row r="259" spans="1:26" ht="15.75" customHeight="1" x14ac:dyDescent="0.25">
      <c r="A259" s="24"/>
      <c r="B259" s="25"/>
      <c r="C259" s="24"/>
      <c r="D259" s="24"/>
      <c r="E259" s="24"/>
      <c r="F259" s="26"/>
      <c r="G259" s="15"/>
      <c r="H259" s="15"/>
      <c r="I259" s="15"/>
      <c r="J259" s="15"/>
      <c r="K259" s="167"/>
      <c r="L259" s="15"/>
      <c r="M259" s="15"/>
      <c r="N259" s="15"/>
      <c r="O259" s="15"/>
      <c r="P259" s="15"/>
      <c r="Q259" s="15"/>
      <c r="R259" s="15"/>
      <c r="S259" s="15"/>
      <c r="T259" s="15"/>
      <c r="U259" s="15"/>
      <c r="V259" s="15"/>
      <c r="W259" s="15"/>
      <c r="X259" s="15"/>
      <c r="Y259" s="15"/>
      <c r="Z259" s="15"/>
    </row>
    <row r="260" spans="1:26" ht="15.75" customHeight="1" x14ac:dyDescent="0.25">
      <c r="A260" s="24"/>
      <c r="B260" s="25"/>
      <c r="C260" s="24"/>
      <c r="D260" s="24"/>
      <c r="E260" s="24"/>
      <c r="F260" s="26"/>
      <c r="G260" s="15"/>
      <c r="H260" s="15"/>
      <c r="I260" s="15"/>
      <c r="J260" s="15"/>
      <c r="K260" s="167"/>
      <c r="L260" s="15"/>
      <c r="M260" s="15"/>
      <c r="N260" s="15"/>
      <c r="O260" s="15"/>
      <c r="P260" s="15"/>
      <c r="Q260" s="15"/>
      <c r="R260" s="15"/>
      <c r="S260" s="15"/>
      <c r="T260" s="15"/>
      <c r="U260" s="15"/>
      <c r="V260" s="15"/>
      <c r="W260" s="15"/>
      <c r="X260" s="15"/>
      <c r="Y260" s="15"/>
      <c r="Z260" s="15"/>
    </row>
    <row r="261" spans="1:26" ht="15.75" customHeight="1" x14ac:dyDescent="0.25">
      <c r="A261" s="24"/>
      <c r="B261" s="25"/>
      <c r="C261" s="24"/>
      <c r="D261" s="24"/>
      <c r="E261" s="24"/>
      <c r="F261" s="26"/>
      <c r="G261" s="15"/>
      <c r="H261" s="15"/>
      <c r="I261" s="15"/>
      <c r="J261" s="15"/>
      <c r="K261" s="167"/>
      <c r="L261" s="15"/>
      <c r="M261" s="15"/>
      <c r="N261" s="15"/>
      <c r="O261" s="15"/>
      <c r="P261" s="15"/>
      <c r="Q261" s="15"/>
      <c r="R261" s="15"/>
      <c r="S261" s="15"/>
      <c r="T261" s="15"/>
      <c r="U261" s="15"/>
      <c r="V261" s="15"/>
      <c r="W261" s="15"/>
      <c r="X261" s="15"/>
      <c r="Y261" s="15"/>
      <c r="Z261" s="15"/>
    </row>
    <row r="262" spans="1:26" ht="15.75" customHeight="1" x14ac:dyDescent="0.25">
      <c r="A262" s="24"/>
      <c r="B262" s="25"/>
      <c r="C262" s="24"/>
      <c r="D262" s="24"/>
      <c r="E262" s="24"/>
      <c r="F262" s="26"/>
      <c r="G262" s="15"/>
      <c r="H262" s="15"/>
      <c r="I262" s="15"/>
      <c r="J262" s="15"/>
      <c r="K262" s="167"/>
      <c r="L262" s="15"/>
      <c r="M262" s="15"/>
      <c r="N262" s="15"/>
      <c r="O262" s="15"/>
      <c r="P262" s="15"/>
      <c r="Q262" s="15"/>
      <c r="R262" s="15"/>
      <c r="S262" s="15"/>
      <c r="T262" s="15"/>
      <c r="U262" s="15"/>
      <c r="V262" s="15"/>
      <c r="W262" s="15"/>
      <c r="X262" s="15"/>
      <c r="Y262" s="15"/>
      <c r="Z262" s="15"/>
    </row>
    <row r="263" spans="1:26" ht="15.75" customHeight="1" x14ac:dyDescent="0.25">
      <c r="A263" s="24"/>
      <c r="B263" s="25"/>
      <c r="C263" s="24"/>
      <c r="D263" s="24"/>
      <c r="E263" s="24"/>
      <c r="F263" s="26"/>
      <c r="G263" s="15"/>
      <c r="H263" s="15"/>
      <c r="I263" s="15"/>
      <c r="J263" s="15"/>
      <c r="K263" s="167"/>
      <c r="L263" s="15"/>
      <c r="M263" s="15"/>
      <c r="N263" s="15"/>
      <c r="O263" s="15"/>
      <c r="P263" s="15"/>
      <c r="Q263" s="15"/>
      <c r="R263" s="15"/>
      <c r="S263" s="15"/>
      <c r="T263" s="15"/>
      <c r="U263" s="15"/>
      <c r="V263" s="15"/>
      <c r="W263" s="15"/>
      <c r="X263" s="15"/>
      <c r="Y263" s="15"/>
      <c r="Z263" s="15"/>
    </row>
    <row r="264" spans="1:26" ht="15.75" customHeight="1" x14ac:dyDescent="0.25">
      <c r="A264" s="24"/>
      <c r="B264" s="25"/>
      <c r="C264" s="24"/>
      <c r="D264" s="24"/>
      <c r="E264" s="24"/>
      <c r="F264" s="26"/>
      <c r="G264" s="15"/>
      <c r="H264" s="15"/>
      <c r="I264" s="15"/>
      <c r="J264" s="15"/>
      <c r="K264" s="167"/>
      <c r="L264" s="15"/>
      <c r="M264" s="15"/>
      <c r="N264" s="15"/>
      <c r="O264" s="15"/>
      <c r="P264" s="15"/>
      <c r="Q264" s="15"/>
      <c r="R264" s="15"/>
      <c r="S264" s="15"/>
      <c r="T264" s="15"/>
      <c r="U264" s="15"/>
      <c r="V264" s="15"/>
      <c r="W264" s="15"/>
      <c r="X264" s="15"/>
      <c r="Y264" s="15"/>
      <c r="Z264" s="15"/>
    </row>
    <row r="265" spans="1:26" ht="15.75" customHeight="1" x14ac:dyDescent="0.25">
      <c r="A265" s="24"/>
      <c r="B265" s="25"/>
      <c r="C265" s="24"/>
      <c r="D265" s="24"/>
      <c r="E265" s="24"/>
      <c r="F265" s="26"/>
      <c r="G265" s="15"/>
      <c r="H265" s="15"/>
      <c r="I265" s="15"/>
      <c r="J265" s="15"/>
      <c r="K265" s="167"/>
      <c r="L265" s="15"/>
      <c r="M265" s="15"/>
      <c r="N265" s="15"/>
      <c r="O265" s="15"/>
      <c r="P265" s="15"/>
      <c r="Q265" s="15"/>
      <c r="R265" s="15"/>
      <c r="S265" s="15"/>
      <c r="T265" s="15"/>
      <c r="U265" s="15"/>
      <c r="V265" s="15"/>
      <c r="W265" s="15"/>
      <c r="X265" s="15"/>
      <c r="Y265" s="15"/>
      <c r="Z265" s="15"/>
    </row>
    <row r="266" spans="1:26" ht="15.75" customHeight="1" x14ac:dyDescent="0.25">
      <c r="A266" s="24"/>
      <c r="B266" s="25"/>
      <c r="C266" s="24"/>
      <c r="D266" s="24"/>
      <c r="E266" s="24"/>
      <c r="F266" s="26"/>
      <c r="G266" s="15"/>
      <c r="H266" s="15"/>
      <c r="I266" s="15"/>
      <c r="J266" s="15"/>
      <c r="K266" s="167"/>
      <c r="L266" s="15"/>
      <c r="M266" s="15"/>
      <c r="N266" s="15"/>
      <c r="O266" s="15"/>
      <c r="P266" s="15"/>
      <c r="Q266" s="15"/>
      <c r="R266" s="15"/>
      <c r="S266" s="15"/>
      <c r="T266" s="15"/>
      <c r="U266" s="15"/>
      <c r="V266" s="15"/>
      <c r="W266" s="15"/>
      <c r="X266" s="15"/>
      <c r="Y266" s="15"/>
      <c r="Z266" s="15"/>
    </row>
    <row r="267" spans="1:26" ht="15.75" customHeight="1" x14ac:dyDescent="0.25">
      <c r="A267" s="24"/>
      <c r="B267" s="25"/>
      <c r="C267" s="24"/>
      <c r="D267" s="24"/>
      <c r="E267" s="24"/>
      <c r="F267" s="26"/>
      <c r="G267" s="15"/>
      <c r="H267" s="15"/>
      <c r="I267" s="15"/>
      <c r="J267" s="15"/>
      <c r="K267" s="167"/>
      <c r="L267" s="15"/>
      <c r="M267" s="15"/>
      <c r="N267" s="15"/>
      <c r="O267" s="15"/>
      <c r="P267" s="15"/>
      <c r="Q267" s="15"/>
      <c r="R267" s="15"/>
      <c r="S267" s="15"/>
      <c r="T267" s="15"/>
      <c r="U267" s="15"/>
      <c r="V267" s="15"/>
      <c r="W267" s="15"/>
      <c r="X267" s="15"/>
      <c r="Y267" s="15"/>
      <c r="Z267" s="15"/>
    </row>
    <row r="268" spans="1:26" ht="15.75" customHeight="1" x14ac:dyDescent="0.25">
      <c r="A268" s="24"/>
      <c r="B268" s="25"/>
      <c r="C268" s="24"/>
      <c r="D268" s="24"/>
      <c r="E268" s="24"/>
      <c r="F268" s="26"/>
      <c r="G268" s="15"/>
      <c r="H268" s="15"/>
      <c r="I268" s="15"/>
      <c r="J268" s="15"/>
      <c r="K268" s="167"/>
      <c r="L268" s="15"/>
      <c r="M268" s="15"/>
      <c r="N268" s="15"/>
      <c r="O268" s="15"/>
      <c r="P268" s="15"/>
      <c r="Q268" s="15"/>
      <c r="R268" s="15"/>
      <c r="S268" s="15"/>
      <c r="T268" s="15"/>
      <c r="U268" s="15"/>
      <c r="V268" s="15"/>
      <c r="W268" s="15"/>
      <c r="X268" s="15"/>
      <c r="Y268" s="15"/>
      <c r="Z268" s="15"/>
    </row>
    <row r="269" spans="1:26" ht="15.75" customHeight="1" x14ac:dyDescent="0.25">
      <c r="A269" s="24"/>
      <c r="B269" s="25"/>
      <c r="C269" s="24"/>
      <c r="D269" s="24"/>
      <c r="E269" s="24"/>
      <c r="F269" s="26"/>
      <c r="G269" s="15"/>
      <c r="H269" s="15"/>
      <c r="I269" s="15"/>
      <c r="J269" s="15"/>
      <c r="K269" s="167"/>
      <c r="L269" s="15"/>
      <c r="M269" s="15"/>
      <c r="N269" s="15"/>
      <c r="O269" s="15"/>
      <c r="P269" s="15"/>
      <c r="Q269" s="15"/>
      <c r="R269" s="15"/>
      <c r="S269" s="15"/>
      <c r="T269" s="15"/>
      <c r="U269" s="15"/>
      <c r="V269" s="15"/>
      <c r="W269" s="15"/>
      <c r="X269" s="15"/>
      <c r="Y269" s="15"/>
      <c r="Z269" s="15"/>
    </row>
    <row r="270" spans="1:26" ht="15.75" customHeight="1" x14ac:dyDescent="0.25">
      <c r="A270" s="24"/>
      <c r="B270" s="25"/>
      <c r="C270" s="24"/>
      <c r="D270" s="24"/>
      <c r="E270" s="24"/>
      <c r="F270" s="26"/>
      <c r="G270" s="15"/>
      <c r="H270" s="15"/>
      <c r="I270" s="15"/>
      <c r="J270" s="15"/>
      <c r="K270" s="167"/>
      <c r="L270" s="15"/>
      <c r="M270" s="15"/>
      <c r="N270" s="15"/>
      <c r="O270" s="15"/>
      <c r="P270" s="15"/>
      <c r="Q270" s="15"/>
      <c r="R270" s="15"/>
      <c r="S270" s="15"/>
      <c r="T270" s="15"/>
      <c r="U270" s="15"/>
      <c r="V270" s="15"/>
      <c r="W270" s="15"/>
      <c r="X270" s="15"/>
      <c r="Y270" s="15"/>
      <c r="Z270" s="15"/>
    </row>
    <row r="271" spans="1:26" ht="15.75" customHeight="1" x14ac:dyDescent="0.25">
      <c r="A271" s="24"/>
      <c r="B271" s="25"/>
      <c r="C271" s="24"/>
      <c r="D271" s="24"/>
      <c r="E271" s="24"/>
      <c r="F271" s="26"/>
      <c r="G271" s="15"/>
      <c r="H271" s="15"/>
      <c r="I271" s="15"/>
      <c r="J271" s="15"/>
      <c r="K271" s="167"/>
      <c r="L271" s="15"/>
      <c r="M271" s="15"/>
      <c r="N271" s="15"/>
      <c r="O271" s="15"/>
      <c r="P271" s="15"/>
      <c r="Q271" s="15"/>
      <c r="R271" s="15"/>
      <c r="S271" s="15"/>
      <c r="T271" s="15"/>
      <c r="U271" s="15"/>
      <c r="V271" s="15"/>
      <c r="W271" s="15"/>
      <c r="X271" s="15"/>
      <c r="Y271" s="15"/>
      <c r="Z271" s="15"/>
    </row>
    <row r="272" spans="1:26" ht="15.75" customHeight="1" x14ac:dyDescent="0.25">
      <c r="A272" s="24"/>
      <c r="B272" s="25"/>
      <c r="C272" s="24"/>
      <c r="D272" s="24"/>
      <c r="E272" s="24"/>
      <c r="F272" s="26"/>
      <c r="G272" s="15"/>
      <c r="H272" s="15"/>
      <c r="I272" s="15"/>
      <c r="J272" s="15"/>
      <c r="K272" s="167"/>
      <c r="L272" s="15"/>
      <c r="M272" s="15"/>
      <c r="N272" s="15"/>
      <c r="O272" s="15"/>
      <c r="P272" s="15"/>
      <c r="Q272" s="15"/>
      <c r="R272" s="15"/>
      <c r="S272" s="15"/>
      <c r="T272" s="15"/>
      <c r="U272" s="15"/>
      <c r="V272" s="15"/>
      <c r="W272" s="15"/>
      <c r="X272" s="15"/>
      <c r="Y272" s="15"/>
      <c r="Z272" s="15"/>
    </row>
    <row r="273" spans="1:26" ht="15.75" customHeight="1" x14ac:dyDescent="0.25">
      <c r="A273" s="24"/>
      <c r="B273" s="25"/>
      <c r="C273" s="24"/>
      <c r="D273" s="24"/>
      <c r="E273" s="24"/>
      <c r="F273" s="26"/>
      <c r="G273" s="15"/>
      <c r="H273" s="15"/>
      <c r="I273" s="15"/>
      <c r="J273" s="15"/>
      <c r="K273" s="167"/>
      <c r="L273" s="15"/>
      <c r="M273" s="15"/>
      <c r="N273" s="15"/>
      <c r="O273" s="15"/>
      <c r="P273" s="15"/>
      <c r="Q273" s="15"/>
      <c r="R273" s="15"/>
      <c r="S273" s="15"/>
      <c r="T273" s="15"/>
      <c r="U273" s="15"/>
      <c r="V273" s="15"/>
      <c r="W273" s="15"/>
      <c r="X273" s="15"/>
      <c r="Y273" s="15"/>
      <c r="Z273" s="15"/>
    </row>
    <row r="274" spans="1:26" ht="15.75" customHeight="1" x14ac:dyDescent="0.25">
      <c r="A274" s="24"/>
      <c r="B274" s="25"/>
      <c r="C274" s="24"/>
      <c r="D274" s="24"/>
      <c r="E274" s="24"/>
      <c r="F274" s="26"/>
      <c r="G274" s="15"/>
      <c r="H274" s="15"/>
      <c r="I274" s="15"/>
      <c r="J274" s="15"/>
      <c r="K274" s="167"/>
      <c r="L274" s="15"/>
      <c r="M274" s="15"/>
      <c r="N274" s="15"/>
      <c r="O274" s="15"/>
      <c r="P274" s="15"/>
      <c r="Q274" s="15"/>
      <c r="R274" s="15"/>
      <c r="S274" s="15"/>
      <c r="T274" s="15"/>
      <c r="U274" s="15"/>
      <c r="V274" s="15"/>
      <c r="W274" s="15"/>
      <c r="X274" s="15"/>
      <c r="Y274" s="15"/>
      <c r="Z274" s="15"/>
    </row>
    <row r="275" spans="1:26" ht="15.75" customHeight="1" x14ac:dyDescent="0.25">
      <c r="A275" s="24"/>
      <c r="B275" s="25"/>
      <c r="C275" s="24"/>
      <c r="D275" s="24"/>
      <c r="E275" s="24"/>
      <c r="F275" s="26"/>
      <c r="G275" s="15"/>
      <c r="H275" s="15"/>
      <c r="I275" s="15"/>
      <c r="J275" s="15"/>
      <c r="K275" s="167"/>
      <c r="L275" s="15"/>
      <c r="M275" s="15"/>
      <c r="N275" s="15"/>
      <c r="O275" s="15"/>
      <c r="P275" s="15"/>
      <c r="Q275" s="15"/>
      <c r="R275" s="15"/>
      <c r="S275" s="15"/>
      <c r="T275" s="15"/>
      <c r="U275" s="15"/>
      <c r="V275" s="15"/>
      <c r="W275" s="15"/>
      <c r="X275" s="15"/>
      <c r="Y275" s="15"/>
      <c r="Z275" s="15"/>
    </row>
    <row r="276" spans="1:26" ht="15.75" customHeight="1" x14ac:dyDescent="0.25">
      <c r="A276" s="24"/>
      <c r="B276" s="25"/>
      <c r="C276" s="24"/>
      <c r="D276" s="24"/>
      <c r="E276" s="24"/>
      <c r="F276" s="26"/>
      <c r="G276" s="15"/>
      <c r="H276" s="15"/>
      <c r="I276" s="15"/>
      <c r="J276" s="15"/>
      <c r="K276" s="167"/>
      <c r="L276" s="15"/>
      <c r="M276" s="15"/>
      <c r="N276" s="15"/>
      <c r="O276" s="15"/>
      <c r="P276" s="15"/>
      <c r="Q276" s="15"/>
      <c r="R276" s="15"/>
      <c r="S276" s="15"/>
      <c r="T276" s="15"/>
      <c r="U276" s="15"/>
      <c r="V276" s="15"/>
      <c r="W276" s="15"/>
      <c r="X276" s="15"/>
      <c r="Y276" s="15"/>
      <c r="Z276" s="15"/>
    </row>
    <row r="277" spans="1:26" ht="15.75" customHeight="1" x14ac:dyDescent="0.25">
      <c r="A277" s="24"/>
      <c r="B277" s="25"/>
      <c r="C277" s="24"/>
      <c r="D277" s="24"/>
      <c r="E277" s="24"/>
      <c r="F277" s="26"/>
      <c r="G277" s="15"/>
      <c r="H277" s="15"/>
      <c r="I277" s="15"/>
      <c r="J277" s="15"/>
      <c r="K277" s="167"/>
      <c r="L277" s="15"/>
      <c r="M277" s="15"/>
      <c r="N277" s="15"/>
      <c r="O277" s="15"/>
      <c r="P277" s="15"/>
      <c r="Q277" s="15"/>
      <c r="R277" s="15"/>
      <c r="S277" s="15"/>
      <c r="T277" s="15"/>
      <c r="U277" s="15"/>
      <c r="V277" s="15"/>
      <c r="W277" s="15"/>
      <c r="X277" s="15"/>
      <c r="Y277" s="15"/>
      <c r="Z277" s="15"/>
    </row>
    <row r="278" spans="1:26" ht="15.75" customHeight="1" x14ac:dyDescent="0.25">
      <c r="A278" s="24"/>
      <c r="B278" s="25"/>
      <c r="C278" s="24"/>
      <c r="D278" s="24"/>
      <c r="E278" s="24"/>
      <c r="F278" s="26"/>
      <c r="G278" s="15"/>
      <c r="H278" s="15"/>
      <c r="I278" s="15"/>
      <c r="J278" s="15"/>
      <c r="K278" s="167"/>
      <c r="L278" s="15"/>
      <c r="M278" s="15"/>
      <c r="N278" s="15"/>
      <c r="O278" s="15"/>
      <c r="P278" s="15"/>
      <c r="Q278" s="15"/>
      <c r="R278" s="15"/>
      <c r="S278" s="15"/>
      <c r="T278" s="15"/>
      <c r="U278" s="15"/>
      <c r="V278" s="15"/>
      <c r="W278" s="15"/>
      <c r="X278" s="15"/>
      <c r="Y278" s="15"/>
      <c r="Z278" s="15"/>
    </row>
    <row r="279" spans="1:26" ht="15.75" customHeight="1" x14ac:dyDescent="0.25">
      <c r="A279" s="24"/>
      <c r="B279" s="25"/>
      <c r="C279" s="24"/>
      <c r="D279" s="24"/>
      <c r="E279" s="24"/>
      <c r="F279" s="26"/>
      <c r="G279" s="15"/>
      <c r="H279" s="15"/>
      <c r="I279" s="15"/>
      <c r="J279" s="15"/>
      <c r="K279" s="167"/>
      <c r="L279" s="15"/>
      <c r="M279" s="15"/>
      <c r="N279" s="15"/>
      <c r="O279" s="15"/>
      <c r="P279" s="15"/>
      <c r="Q279" s="15"/>
      <c r="R279" s="15"/>
      <c r="S279" s="15"/>
      <c r="T279" s="15"/>
      <c r="U279" s="15"/>
      <c r="V279" s="15"/>
      <c r="W279" s="15"/>
      <c r="X279" s="15"/>
      <c r="Y279" s="15"/>
      <c r="Z279" s="15"/>
    </row>
    <row r="280" spans="1:26" ht="15.75" customHeight="1" x14ac:dyDescent="0.25">
      <c r="A280" s="24"/>
      <c r="B280" s="25"/>
      <c r="C280" s="24"/>
      <c r="D280" s="24"/>
      <c r="E280" s="24"/>
      <c r="F280" s="26"/>
      <c r="G280" s="15"/>
      <c r="H280" s="15"/>
      <c r="I280" s="15"/>
      <c r="J280" s="15"/>
      <c r="K280" s="167"/>
      <c r="L280" s="15"/>
      <c r="M280" s="15"/>
      <c r="N280" s="15"/>
      <c r="O280" s="15"/>
      <c r="P280" s="15"/>
      <c r="Q280" s="15"/>
      <c r="R280" s="15"/>
      <c r="S280" s="15"/>
      <c r="T280" s="15"/>
      <c r="U280" s="15"/>
      <c r="V280" s="15"/>
      <c r="W280" s="15"/>
      <c r="X280" s="15"/>
      <c r="Y280" s="15"/>
      <c r="Z280" s="15"/>
    </row>
    <row r="281" spans="1:26" ht="15.75" customHeight="1" x14ac:dyDescent="0.25">
      <c r="A281" s="24"/>
      <c r="B281" s="25"/>
      <c r="C281" s="24"/>
      <c r="D281" s="24"/>
      <c r="E281" s="24"/>
      <c r="F281" s="26"/>
      <c r="G281" s="15"/>
      <c r="H281" s="15"/>
      <c r="I281" s="15"/>
      <c r="J281" s="15"/>
      <c r="K281" s="167"/>
      <c r="L281" s="15"/>
      <c r="M281" s="15"/>
      <c r="N281" s="15"/>
      <c r="O281" s="15"/>
      <c r="P281" s="15"/>
      <c r="Q281" s="15"/>
      <c r="R281" s="15"/>
      <c r="S281" s="15"/>
      <c r="T281" s="15"/>
      <c r="U281" s="15"/>
      <c r="V281" s="15"/>
      <c r="W281" s="15"/>
      <c r="X281" s="15"/>
      <c r="Y281" s="15"/>
      <c r="Z281" s="15"/>
    </row>
    <row r="282" spans="1:26" ht="15.75" customHeight="1" x14ac:dyDescent="0.25">
      <c r="A282" s="24"/>
      <c r="B282" s="25"/>
      <c r="C282" s="24"/>
      <c r="D282" s="24"/>
      <c r="E282" s="24"/>
      <c r="F282" s="26"/>
      <c r="G282" s="15"/>
      <c r="H282" s="15"/>
      <c r="I282" s="15"/>
      <c r="J282" s="15"/>
      <c r="K282" s="167"/>
      <c r="L282" s="15"/>
      <c r="M282" s="15"/>
      <c r="N282" s="15"/>
      <c r="O282" s="15"/>
      <c r="P282" s="15"/>
      <c r="Q282" s="15"/>
      <c r="R282" s="15"/>
      <c r="S282" s="15"/>
      <c r="T282" s="15"/>
      <c r="U282" s="15"/>
      <c r="V282" s="15"/>
      <c r="W282" s="15"/>
      <c r="X282" s="15"/>
      <c r="Y282" s="15"/>
      <c r="Z282" s="15"/>
    </row>
    <row r="283" spans="1:26" ht="15.75" customHeight="1" x14ac:dyDescent="0.25">
      <c r="A283" s="24"/>
      <c r="B283" s="25"/>
      <c r="C283" s="24"/>
      <c r="D283" s="24"/>
      <c r="E283" s="24"/>
      <c r="F283" s="26"/>
      <c r="G283" s="15"/>
      <c r="H283" s="15"/>
      <c r="I283" s="15"/>
      <c r="J283" s="15"/>
      <c r="K283" s="167"/>
      <c r="L283" s="15"/>
      <c r="M283" s="15"/>
      <c r="N283" s="15"/>
      <c r="O283" s="15"/>
      <c r="P283" s="15"/>
      <c r="Q283" s="15"/>
      <c r="R283" s="15"/>
      <c r="S283" s="15"/>
      <c r="T283" s="15"/>
      <c r="U283" s="15"/>
      <c r="V283" s="15"/>
      <c r="W283" s="15"/>
      <c r="X283" s="15"/>
      <c r="Y283" s="15"/>
      <c r="Z283" s="15"/>
    </row>
    <row r="284" spans="1:26" ht="15.75" customHeight="1" x14ac:dyDescent="0.25">
      <c r="A284" s="24"/>
      <c r="B284" s="25"/>
      <c r="C284" s="24"/>
      <c r="D284" s="24"/>
      <c r="E284" s="24"/>
      <c r="F284" s="26"/>
      <c r="G284" s="15"/>
      <c r="H284" s="15"/>
      <c r="I284" s="15"/>
      <c r="J284" s="15"/>
      <c r="K284" s="167"/>
      <c r="L284" s="15"/>
      <c r="M284" s="15"/>
      <c r="N284" s="15"/>
      <c r="O284" s="15"/>
      <c r="P284" s="15"/>
      <c r="Q284" s="15"/>
      <c r="R284" s="15"/>
      <c r="S284" s="15"/>
      <c r="T284" s="15"/>
      <c r="U284" s="15"/>
      <c r="V284" s="15"/>
      <c r="W284" s="15"/>
      <c r="X284" s="15"/>
      <c r="Y284" s="15"/>
      <c r="Z284" s="15"/>
    </row>
    <row r="285" spans="1:26" ht="15.75" customHeight="1" x14ac:dyDescent="0.25">
      <c r="A285" s="24"/>
      <c r="B285" s="25"/>
      <c r="C285" s="24"/>
      <c r="D285" s="24"/>
      <c r="E285" s="24"/>
      <c r="F285" s="26"/>
      <c r="G285" s="15"/>
      <c r="H285" s="15"/>
      <c r="I285" s="15"/>
      <c r="J285" s="15"/>
      <c r="K285" s="167"/>
      <c r="L285" s="15"/>
      <c r="M285" s="15"/>
      <c r="N285" s="15"/>
      <c r="O285" s="15"/>
      <c r="P285" s="15"/>
      <c r="Q285" s="15"/>
      <c r="R285" s="15"/>
      <c r="S285" s="15"/>
      <c r="T285" s="15"/>
      <c r="U285" s="15"/>
      <c r="V285" s="15"/>
      <c r="W285" s="15"/>
      <c r="X285" s="15"/>
      <c r="Y285" s="15"/>
      <c r="Z285" s="15"/>
    </row>
    <row r="286" spans="1:26" ht="15.75" customHeight="1" x14ac:dyDescent="0.25">
      <c r="A286" s="24"/>
      <c r="B286" s="25"/>
      <c r="C286" s="24"/>
      <c r="D286" s="24"/>
      <c r="E286" s="24"/>
      <c r="F286" s="26"/>
      <c r="G286" s="15"/>
      <c r="H286" s="15"/>
      <c r="I286" s="15"/>
      <c r="J286" s="15"/>
      <c r="K286" s="167"/>
      <c r="L286" s="15"/>
      <c r="M286" s="15"/>
      <c r="N286" s="15"/>
      <c r="O286" s="15"/>
      <c r="P286" s="15"/>
      <c r="Q286" s="15"/>
      <c r="R286" s="15"/>
      <c r="S286" s="15"/>
      <c r="T286" s="15"/>
      <c r="U286" s="15"/>
      <c r="V286" s="15"/>
      <c r="W286" s="15"/>
      <c r="X286" s="15"/>
      <c r="Y286" s="15"/>
      <c r="Z286" s="15"/>
    </row>
    <row r="287" spans="1:26" ht="15.75" customHeight="1" x14ac:dyDescent="0.25">
      <c r="A287" s="24"/>
      <c r="B287" s="25"/>
      <c r="C287" s="24"/>
      <c r="D287" s="24"/>
      <c r="E287" s="24"/>
      <c r="F287" s="26"/>
      <c r="G287" s="15"/>
      <c r="H287" s="15"/>
      <c r="I287" s="15"/>
      <c r="J287" s="15"/>
      <c r="K287" s="167"/>
      <c r="L287" s="15"/>
      <c r="M287" s="15"/>
      <c r="N287" s="15"/>
      <c r="O287" s="15"/>
      <c r="P287" s="15"/>
      <c r="Q287" s="15"/>
      <c r="R287" s="15"/>
      <c r="S287" s="15"/>
      <c r="T287" s="15"/>
      <c r="U287" s="15"/>
      <c r="V287" s="15"/>
      <c r="W287" s="15"/>
      <c r="X287" s="15"/>
      <c r="Y287" s="15"/>
      <c r="Z287" s="15"/>
    </row>
    <row r="288" spans="1:26" ht="15.75" customHeight="1" x14ac:dyDescent="0.25">
      <c r="A288" s="24"/>
      <c r="B288" s="25"/>
      <c r="C288" s="24"/>
      <c r="D288" s="24"/>
      <c r="E288" s="24"/>
      <c r="F288" s="26"/>
      <c r="G288" s="15"/>
      <c r="H288" s="15"/>
      <c r="I288" s="15"/>
      <c r="J288" s="15"/>
      <c r="K288" s="167"/>
      <c r="L288" s="15"/>
      <c r="M288" s="15"/>
      <c r="N288" s="15"/>
      <c r="O288" s="15"/>
      <c r="P288" s="15"/>
      <c r="Q288" s="15"/>
      <c r="R288" s="15"/>
      <c r="S288" s="15"/>
      <c r="T288" s="15"/>
      <c r="U288" s="15"/>
      <c r="V288" s="15"/>
      <c r="W288" s="15"/>
      <c r="X288" s="15"/>
      <c r="Y288" s="15"/>
      <c r="Z288" s="15"/>
    </row>
    <row r="289" spans="1:26" ht="15.75" customHeight="1" x14ac:dyDescent="0.25">
      <c r="A289" s="24"/>
      <c r="B289" s="25"/>
      <c r="C289" s="24"/>
      <c r="D289" s="24"/>
      <c r="E289" s="24"/>
      <c r="F289" s="26"/>
      <c r="G289" s="15"/>
      <c r="H289" s="15"/>
      <c r="I289" s="15"/>
      <c r="J289" s="15"/>
      <c r="K289" s="167"/>
      <c r="L289" s="15"/>
      <c r="M289" s="15"/>
      <c r="N289" s="15"/>
      <c r="O289" s="15"/>
      <c r="P289" s="15"/>
      <c r="Q289" s="15"/>
      <c r="R289" s="15"/>
      <c r="S289" s="15"/>
      <c r="T289" s="15"/>
      <c r="U289" s="15"/>
      <c r="V289" s="15"/>
      <c r="W289" s="15"/>
      <c r="X289" s="15"/>
      <c r="Y289" s="15"/>
      <c r="Z289" s="15"/>
    </row>
    <row r="290" spans="1:26" ht="15.75" customHeight="1" x14ac:dyDescent="0.25">
      <c r="A290" s="24"/>
      <c r="B290" s="25"/>
      <c r="C290" s="24"/>
      <c r="D290" s="24"/>
      <c r="E290" s="24"/>
      <c r="F290" s="26"/>
      <c r="G290" s="15"/>
      <c r="H290" s="15"/>
      <c r="I290" s="15"/>
      <c r="J290" s="15"/>
      <c r="K290" s="167"/>
      <c r="L290" s="15"/>
      <c r="M290" s="15"/>
      <c r="N290" s="15"/>
      <c r="O290" s="15"/>
      <c r="P290" s="15"/>
      <c r="Q290" s="15"/>
      <c r="R290" s="15"/>
      <c r="S290" s="15"/>
      <c r="T290" s="15"/>
      <c r="U290" s="15"/>
      <c r="V290" s="15"/>
      <c r="W290" s="15"/>
      <c r="X290" s="15"/>
      <c r="Y290" s="15"/>
      <c r="Z290" s="15"/>
    </row>
    <row r="291" spans="1:26" ht="15.75" customHeight="1" x14ac:dyDescent="0.25">
      <c r="A291" s="24"/>
      <c r="B291" s="25"/>
      <c r="C291" s="24"/>
      <c r="D291" s="24"/>
      <c r="E291" s="24"/>
      <c r="F291" s="26"/>
      <c r="G291" s="15"/>
      <c r="H291" s="15"/>
      <c r="I291" s="15"/>
      <c r="J291" s="15"/>
      <c r="K291" s="167"/>
      <c r="L291" s="15"/>
      <c r="M291" s="15"/>
      <c r="N291" s="15"/>
      <c r="O291" s="15"/>
      <c r="P291" s="15"/>
      <c r="Q291" s="15"/>
      <c r="R291" s="15"/>
      <c r="S291" s="15"/>
      <c r="T291" s="15"/>
      <c r="U291" s="15"/>
      <c r="V291" s="15"/>
      <c r="W291" s="15"/>
      <c r="X291" s="15"/>
      <c r="Y291" s="15"/>
      <c r="Z291" s="15"/>
    </row>
    <row r="292" spans="1:26" ht="15.75" customHeight="1" x14ac:dyDescent="0.25">
      <c r="A292" s="24"/>
      <c r="B292" s="25"/>
      <c r="C292" s="24"/>
      <c r="D292" s="24"/>
      <c r="E292" s="24"/>
      <c r="F292" s="26"/>
      <c r="G292" s="15"/>
      <c r="H292" s="15"/>
      <c r="I292" s="15"/>
      <c r="J292" s="15"/>
      <c r="K292" s="167"/>
      <c r="L292" s="15"/>
      <c r="M292" s="15"/>
      <c r="N292" s="15"/>
      <c r="O292" s="15"/>
      <c r="P292" s="15"/>
      <c r="Q292" s="15"/>
      <c r="R292" s="15"/>
      <c r="S292" s="15"/>
      <c r="T292" s="15"/>
      <c r="U292" s="15"/>
      <c r="V292" s="15"/>
      <c r="W292" s="15"/>
      <c r="X292" s="15"/>
      <c r="Y292" s="15"/>
      <c r="Z292" s="15"/>
    </row>
    <row r="293" spans="1:26" ht="15.75" customHeight="1" x14ac:dyDescent="0.25">
      <c r="A293" s="24"/>
      <c r="B293" s="25"/>
      <c r="C293" s="24"/>
      <c r="D293" s="24"/>
      <c r="E293" s="24"/>
      <c r="F293" s="26"/>
      <c r="G293" s="15"/>
      <c r="H293" s="15"/>
      <c r="I293" s="15"/>
      <c r="J293" s="15"/>
      <c r="K293" s="167"/>
      <c r="L293" s="15"/>
      <c r="M293" s="15"/>
      <c r="N293" s="15"/>
      <c r="O293" s="15"/>
      <c r="P293" s="15"/>
      <c r="Q293" s="15"/>
      <c r="R293" s="15"/>
      <c r="S293" s="15"/>
      <c r="T293" s="15"/>
      <c r="U293" s="15"/>
      <c r="V293" s="15"/>
      <c r="W293" s="15"/>
      <c r="X293" s="15"/>
      <c r="Y293" s="15"/>
      <c r="Z293" s="15"/>
    </row>
    <row r="294" spans="1:26" ht="15.75" customHeight="1" x14ac:dyDescent="0.25">
      <c r="A294" s="24"/>
      <c r="B294" s="25"/>
      <c r="C294" s="24"/>
      <c r="D294" s="24"/>
      <c r="E294" s="24"/>
      <c r="F294" s="26"/>
      <c r="G294" s="15"/>
      <c r="H294" s="15"/>
      <c r="I294" s="15"/>
      <c r="J294" s="15"/>
      <c r="K294" s="167"/>
      <c r="L294" s="15"/>
      <c r="M294" s="15"/>
      <c r="N294" s="15"/>
      <c r="O294" s="15"/>
      <c r="P294" s="15"/>
      <c r="Q294" s="15"/>
      <c r="R294" s="15"/>
      <c r="S294" s="15"/>
      <c r="T294" s="15"/>
      <c r="U294" s="15"/>
      <c r="V294" s="15"/>
      <c r="W294" s="15"/>
      <c r="X294" s="15"/>
      <c r="Y294" s="15"/>
      <c r="Z294" s="15"/>
    </row>
    <row r="295" spans="1:26" ht="15.75" customHeight="1" x14ac:dyDescent="0.25">
      <c r="A295" s="24"/>
      <c r="B295" s="25"/>
      <c r="C295" s="24"/>
      <c r="D295" s="24"/>
      <c r="E295" s="24"/>
      <c r="F295" s="26"/>
      <c r="G295" s="15"/>
      <c r="H295" s="15"/>
      <c r="I295" s="15"/>
      <c r="J295" s="15"/>
      <c r="K295" s="167"/>
      <c r="L295" s="15"/>
      <c r="M295" s="15"/>
      <c r="N295" s="15"/>
      <c r="O295" s="15"/>
      <c r="P295" s="15"/>
      <c r="Q295" s="15"/>
      <c r="R295" s="15"/>
      <c r="S295" s="15"/>
      <c r="T295" s="15"/>
      <c r="U295" s="15"/>
      <c r="V295" s="15"/>
      <c r="W295" s="15"/>
      <c r="X295" s="15"/>
      <c r="Y295" s="15"/>
      <c r="Z295" s="15"/>
    </row>
    <row r="296" spans="1:26" ht="15.75" customHeight="1" x14ac:dyDescent="0.25">
      <c r="A296" s="24"/>
      <c r="B296" s="25"/>
      <c r="C296" s="24"/>
      <c r="D296" s="24"/>
      <c r="E296" s="24"/>
      <c r="F296" s="26"/>
      <c r="G296" s="15"/>
      <c r="H296" s="15"/>
      <c r="I296" s="15"/>
      <c r="J296" s="15"/>
      <c r="K296" s="167"/>
      <c r="L296" s="15"/>
      <c r="M296" s="15"/>
      <c r="N296" s="15"/>
      <c r="O296" s="15"/>
      <c r="P296" s="15"/>
      <c r="Q296" s="15"/>
      <c r="R296" s="15"/>
      <c r="S296" s="15"/>
      <c r="T296" s="15"/>
      <c r="U296" s="15"/>
      <c r="V296" s="15"/>
      <c r="W296" s="15"/>
      <c r="X296" s="15"/>
      <c r="Y296" s="15"/>
      <c r="Z296" s="15"/>
    </row>
    <row r="297" spans="1:26" ht="15.75" customHeight="1" x14ac:dyDescent="0.25">
      <c r="A297" s="24"/>
      <c r="B297" s="25"/>
      <c r="C297" s="24"/>
      <c r="D297" s="24"/>
      <c r="E297" s="24"/>
      <c r="F297" s="26"/>
      <c r="G297" s="15"/>
      <c r="H297" s="15"/>
      <c r="I297" s="15"/>
      <c r="J297" s="15"/>
      <c r="K297" s="167"/>
      <c r="L297" s="15"/>
      <c r="M297" s="15"/>
      <c r="N297" s="15"/>
      <c r="O297" s="15"/>
      <c r="P297" s="15"/>
      <c r="Q297" s="15"/>
      <c r="R297" s="15"/>
      <c r="S297" s="15"/>
      <c r="T297" s="15"/>
      <c r="U297" s="15"/>
      <c r="V297" s="15"/>
      <c r="W297" s="15"/>
      <c r="X297" s="15"/>
      <c r="Y297" s="15"/>
      <c r="Z297" s="15"/>
    </row>
    <row r="298" spans="1:26" ht="15.75" customHeight="1" x14ac:dyDescent="0.25">
      <c r="A298" s="24"/>
      <c r="B298" s="25"/>
      <c r="C298" s="24"/>
      <c r="D298" s="24"/>
      <c r="E298" s="24"/>
      <c r="F298" s="26"/>
      <c r="G298" s="15"/>
      <c r="H298" s="15"/>
      <c r="I298" s="15"/>
      <c r="J298" s="15"/>
      <c r="K298" s="167"/>
      <c r="L298" s="15"/>
      <c r="M298" s="15"/>
      <c r="N298" s="15"/>
      <c r="O298" s="15"/>
      <c r="P298" s="15"/>
      <c r="Q298" s="15"/>
      <c r="R298" s="15"/>
      <c r="S298" s="15"/>
      <c r="T298" s="15"/>
      <c r="U298" s="15"/>
      <c r="V298" s="15"/>
      <c r="W298" s="15"/>
      <c r="X298" s="15"/>
      <c r="Y298" s="15"/>
      <c r="Z298" s="15"/>
    </row>
    <row r="299" spans="1:26" ht="15.75" customHeight="1" x14ac:dyDescent="0.25">
      <c r="A299" s="24"/>
      <c r="B299" s="25"/>
      <c r="C299" s="24"/>
      <c r="D299" s="24"/>
      <c r="E299" s="24"/>
      <c r="F299" s="26"/>
      <c r="G299" s="15"/>
      <c r="H299" s="15"/>
      <c r="I299" s="15"/>
      <c r="J299" s="15"/>
      <c r="K299" s="167"/>
      <c r="L299" s="15"/>
      <c r="M299" s="15"/>
      <c r="N299" s="15"/>
      <c r="O299" s="15"/>
      <c r="P299" s="15"/>
      <c r="Q299" s="15"/>
      <c r="R299" s="15"/>
      <c r="S299" s="15"/>
      <c r="T299" s="15"/>
      <c r="U299" s="15"/>
      <c r="V299" s="15"/>
      <c r="W299" s="15"/>
      <c r="X299" s="15"/>
      <c r="Y299" s="15"/>
      <c r="Z299" s="15"/>
    </row>
    <row r="300" spans="1:26" ht="15.75" customHeight="1" x14ac:dyDescent="0.25">
      <c r="A300" s="24"/>
      <c r="B300" s="25"/>
      <c r="C300" s="24"/>
      <c r="D300" s="24"/>
      <c r="E300" s="24"/>
      <c r="F300" s="26"/>
      <c r="G300" s="15"/>
      <c r="H300" s="15"/>
      <c r="I300" s="15"/>
      <c r="J300" s="15"/>
      <c r="K300" s="167"/>
      <c r="L300" s="15"/>
      <c r="M300" s="15"/>
      <c r="N300" s="15"/>
      <c r="O300" s="15"/>
      <c r="P300" s="15"/>
      <c r="Q300" s="15"/>
      <c r="R300" s="15"/>
      <c r="S300" s="15"/>
      <c r="T300" s="15"/>
      <c r="U300" s="15"/>
      <c r="V300" s="15"/>
      <c r="W300" s="15"/>
      <c r="X300" s="15"/>
      <c r="Y300" s="15"/>
      <c r="Z300" s="15"/>
    </row>
    <row r="301" spans="1:26" ht="15.75" customHeight="1" x14ac:dyDescent="0.25">
      <c r="A301" s="24"/>
      <c r="B301" s="25"/>
      <c r="C301" s="24"/>
      <c r="D301" s="24"/>
      <c r="E301" s="24"/>
      <c r="F301" s="26"/>
      <c r="G301" s="15"/>
      <c r="H301" s="15"/>
      <c r="I301" s="15"/>
      <c r="J301" s="15"/>
      <c r="K301" s="167"/>
      <c r="L301" s="15"/>
      <c r="M301" s="15"/>
      <c r="N301" s="15"/>
      <c r="O301" s="15"/>
      <c r="P301" s="15"/>
      <c r="Q301" s="15"/>
      <c r="R301" s="15"/>
      <c r="S301" s="15"/>
      <c r="T301" s="15"/>
      <c r="U301" s="15"/>
      <c r="V301" s="15"/>
      <c r="W301" s="15"/>
      <c r="X301" s="15"/>
      <c r="Y301" s="15"/>
      <c r="Z301" s="15"/>
    </row>
    <row r="302" spans="1:26" ht="15.75" customHeight="1" x14ac:dyDescent="0.25">
      <c r="A302" s="24"/>
      <c r="B302" s="25"/>
      <c r="C302" s="24"/>
      <c r="D302" s="24"/>
      <c r="E302" s="24"/>
      <c r="F302" s="26"/>
      <c r="G302" s="15"/>
      <c r="H302" s="15"/>
      <c r="I302" s="15"/>
      <c r="J302" s="15"/>
      <c r="K302" s="167"/>
      <c r="L302" s="15"/>
      <c r="M302" s="15"/>
      <c r="N302" s="15"/>
      <c r="O302" s="15"/>
      <c r="P302" s="15"/>
      <c r="Q302" s="15"/>
      <c r="R302" s="15"/>
      <c r="S302" s="15"/>
      <c r="T302" s="15"/>
      <c r="U302" s="15"/>
      <c r="V302" s="15"/>
      <c r="W302" s="15"/>
      <c r="X302" s="15"/>
      <c r="Y302" s="15"/>
      <c r="Z302" s="15"/>
    </row>
    <row r="303" spans="1:26" ht="15.75" customHeight="1" x14ac:dyDescent="0.25">
      <c r="A303" s="24"/>
      <c r="B303" s="25"/>
      <c r="C303" s="24"/>
      <c r="D303" s="24"/>
      <c r="E303" s="24"/>
      <c r="F303" s="26"/>
      <c r="G303" s="15"/>
      <c r="H303" s="15"/>
      <c r="I303" s="15"/>
      <c r="J303" s="15"/>
      <c r="K303" s="167"/>
      <c r="L303" s="15"/>
      <c r="M303" s="15"/>
      <c r="N303" s="15"/>
      <c r="O303" s="15"/>
      <c r="P303" s="15"/>
      <c r="Q303" s="15"/>
      <c r="R303" s="15"/>
      <c r="S303" s="15"/>
      <c r="T303" s="15"/>
      <c r="U303" s="15"/>
      <c r="V303" s="15"/>
      <c r="W303" s="15"/>
      <c r="X303" s="15"/>
      <c r="Y303" s="15"/>
      <c r="Z303" s="15"/>
    </row>
    <row r="304" spans="1:26" ht="15.75" customHeight="1" x14ac:dyDescent="0.25">
      <c r="A304" s="24"/>
      <c r="B304" s="25"/>
      <c r="C304" s="24"/>
      <c r="D304" s="24"/>
      <c r="E304" s="24"/>
      <c r="F304" s="26"/>
      <c r="G304" s="15"/>
      <c r="H304" s="15"/>
      <c r="I304" s="15"/>
      <c r="J304" s="15"/>
      <c r="K304" s="167"/>
      <c r="L304" s="15"/>
      <c r="M304" s="15"/>
      <c r="N304" s="15"/>
      <c r="O304" s="15"/>
      <c r="P304" s="15"/>
      <c r="Q304" s="15"/>
      <c r="R304" s="15"/>
      <c r="S304" s="15"/>
      <c r="T304" s="15"/>
      <c r="U304" s="15"/>
      <c r="V304" s="15"/>
      <c r="W304" s="15"/>
      <c r="X304" s="15"/>
      <c r="Y304" s="15"/>
      <c r="Z304" s="15"/>
    </row>
    <row r="305" spans="1:26" ht="15.75" customHeight="1" x14ac:dyDescent="0.25">
      <c r="A305" s="24"/>
      <c r="B305" s="25"/>
      <c r="C305" s="24"/>
      <c r="D305" s="24"/>
      <c r="E305" s="24"/>
      <c r="F305" s="26"/>
      <c r="G305" s="15"/>
      <c r="H305" s="15"/>
      <c r="I305" s="15"/>
      <c r="J305" s="15"/>
      <c r="K305" s="167"/>
      <c r="L305" s="15"/>
      <c r="M305" s="15"/>
      <c r="N305" s="15"/>
      <c r="O305" s="15"/>
      <c r="P305" s="15"/>
      <c r="Q305" s="15"/>
      <c r="R305" s="15"/>
      <c r="S305" s="15"/>
      <c r="T305" s="15"/>
      <c r="U305" s="15"/>
      <c r="V305" s="15"/>
      <c r="W305" s="15"/>
      <c r="X305" s="15"/>
      <c r="Y305" s="15"/>
      <c r="Z305" s="15"/>
    </row>
    <row r="306" spans="1:26" ht="15.75" customHeight="1" x14ac:dyDescent="0.25">
      <c r="A306" s="24"/>
      <c r="B306" s="25"/>
      <c r="C306" s="24"/>
      <c r="D306" s="24"/>
      <c r="E306" s="24"/>
      <c r="F306" s="26"/>
      <c r="G306" s="15"/>
      <c r="H306" s="15"/>
      <c r="I306" s="15"/>
      <c r="J306" s="15"/>
      <c r="K306" s="167"/>
      <c r="L306" s="15"/>
      <c r="M306" s="15"/>
      <c r="N306" s="15"/>
      <c r="O306" s="15"/>
      <c r="P306" s="15"/>
      <c r="Q306" s="15"/>
      <c r="R306" s="15"/>
      <c r="S306" s="15"/>
      <c r="T306" s="15"/>
      <c r="U306" s="15"/>
      <c r="V306" s="15"/>
      <c r="W306" s="15"/>
      <c r="X306" s="15"/>
      <c r="Y306" s="15"/>
      <c r="Z306" s="15"/>
    </row>
    <row r="307" spans="1:26" ht="15.75" customHeight="1" x14ac:dyDescent="0.25">
      <c r="A307" s="24"/>
      <c r="B307" s="25"/>
      <c r="C307" s="24"/>
      <c r="D307" s="24"/>
      <c r="E307" s="24"/>
      <c r="F307" s="26"/>
      <c r="G307" s="15"/>
      <c r="H307" s="15"/>
      <c r="I307" s="15"/>
      <c r="J307" s="15"/>
      <c r="K307" s="167"/>
      <c r="L307" s="15"/>
      <c r="M307" s="15"/>
      <c r="N307" s="15"/>
      <c r="O307" s="15"/>
      <c r="P307" s="15"/>
      <c r="Q307" s="15"/>
      <c r="R307" s="15"/>
      <c r="S307" s="15"/>
      <c r="T307" s="15"/>
      <c r="U307" s="15"/>
      <c r="V307" s="15"/>
      <c r="W307" s="15"/>
      <c r="X307" s="15"/>
      <c r="Y307" s="15"/>
      <c r="Z307" s="15"/>
    </row>
    <row r="308" spans="1:26" ht="15.75" customHeight="1" x14ac:dyDescent="0.25">
      <c r="A308" s="24"/>
      <c r="B308" s="25"/>
      <c r="C308" s="24"/>
      <c r="D308" s="24"/>
      <c r="E308" s="24"/>
      <c r="F308" s="26"/>
      <c r="G308" s="15"/>
      <c r="H308" s="15"/>
      <c r="I308" s="15"/>
      <c r="J308" s="15"/>
      <c r="K308" s="167"/>
      <c r="L308" s="15"/>
      <c r="M308" s="15"/>
      <c r="N308" s="15"/>
      <c r="O308" s="15"/>
      <c r="P308" s="15"/>
      <c r="Q308" s="15"/>
      <c r="R308" s="15"/>
      <c r="S308" s="15"/>
      <c r="T308" s="15"/>
      <c r="U308" s="15"/>
      <c r="V308" s="15"/>
      <c r="W308" s="15"/>
      <c r="X308" s="15"/>
      <c r="Y308" s="15"/>
      <c r="Z308" s="15"/>
    </row>
    <row r="309" spans="1:26" ht="15.75" customHeight="1" x14ac:dyDescent="0.25">
      <c r="A309" s="24"/>
      <c r="B309" s="25"/>
      <c r="C309" s="24"/>
      <c r="D309" s="24"/>
      <c r="E309" s="24"/>
      <c r="F309" s="26"/>
      <c r="G309" s="15"/>
      <c r="H309" s="15"/>
      <c r="I309" s="15"/>
      <c r="J309" s="15"/>
      <c r="K309" s="167"/>
      <c r="L309" s="15"/>
      <c r="M309" s="15"/>
      <c r="N309" s="15"/>
      <c r="O309" s="15"/>
      <c r="P309" s="15"/>
      <c r="Q309" s="15"/>
      <c r="R309" s="15"/>
      <c r="S309" s="15"/>
      <c r="T309" s="15"/>
      <c r="U309" s="15"/>
      <c r="V309" s="15"/>
      <c r="W309" s="15"/>
      <c r="X309" s="15"/>
      <c r="Y309" s="15"/>
      <c r="Z309" s="15"/>
    </row>
    <row r="310" spans="1:26" ht="15.75" customHeight="1" x14ac:dyDescent="0.25">
      <c r="A310" s="24"/>
      <c r="B310" s="25"/>
      <c r="C310" s="24"/>
      <c r="D310" s="24"/>
      <c r="E310" s="24"/>
      <c r="F310" s="26"/>
      <c r="G310" s="15"/>
      <c r="H310" s="15"/>
      <c r="I310" s="15"/>
      <c r="J310" s="15"/>
      <c r="K310" s="167"/>
      <c r="L310" s="15"/>
      <c r="M310" s="15"/>
      <c r="N310" s="15"/>
      <c r="O310" s="15"/>
      <c r="P310" s="15"/>
      <c r="Q310" s="15"/>
      <c r="R310" s="15"/>
      <c r="S310" s="15"/>
      <c r="T310" s="15"/>
      <c r="U310" s="15"/>
      <c r="V310" s="15"/>
      <c r="W310" s="15"/>
      <c r="X310" s="15"/>
      <c r="Y310" s="15"/>
      <c r="Z310" s="15"/>
    </row>
    <row r="311" spans="1:26" ht="15.75" customHeight="1" x14ac:dyDescent="0.25">
      <c r="A311" s="24"/>
      <c r="B311" s="25"/>
      <c r="C311" s="24"/>
      <c r="D311" s="24"/>
      <c r="E311" s="24"/>
      <c r="F311" s="26"/>
      <c r="G311" s="15"/>
      <c r="H311" s="15"/>
      <c r="I311" s="15"/>
      <c r="J311" s="15"/>
      <c r="K311" s="167"/>
      <c r="L311" s="15"/>
      <c r="M311" s="15"/>
      <c r="N311" s="15"/>
      <c r="O311" s="15"/>
      <c r="P311" s="15"/>
      <c r="Q311" s="15"/>
      <c r="R311" s="15"/>
      <c r="S311" s="15"/>
      <c r="T311" s="15"/>
      <c r="U311" s="15"/>
      <c r="V311" s="15"/>
      <c r="W311" s="15"/>
      <c r="X311" s="15"/>
      <c r="Y311" s="15"/>
      <c r="Z311" s="15"/>
    </row>
    <row r="312" spans="1:26" ht="15.75" customHeight="1" x14ac:dyDescent="0.25">
      <c r="A312" s="24"/>
      <c r="B312" s="25"/>
      <c r="C312" s="24"/>
      <c r="D312" s="24"/>
      <c r="E312" s="24"/>
      <c r="F312" s="26"/>
      <c r="G312" s="15"/>
      <c r="H312" s="15"/>
      <c r="I312" s="15"/>
      <c r="J312" s="15"/>
      <c r="K312" s="167"/>
      <c r="L312" s="15"/>
      <c r="M312" s="15"/>
      <c r="N312" s="15"/>
      <c r="O312" s="15"/>
      <c r="P312" s="15"/>
      <c r="Q312" s="15"/>
      <c r="R312" s="15"/>
      <c r="S312" s="15"/>
      <c r="T312" s="15"/>
      <c r="U312" s="15"/>
      <c r="V312" s="15"/>
      <c r="W312" s="15"/>
      <c r="X312" s="15"/>
      <c r="Y312" s="15"/>
      <c r="Z312" s="15"/>
    </row>
    <row r="313" spans="1:26" ht="15.75" customHeight="1" x14ac:dyDescent="0.25">
      <c r="A313" s="24"/>
      <c r="B313" s="25"/>
      <c r="C313" s="24"/>
      <c r="D313" s="24"/>
      <c r="E313" s="24"/>
      <c r="F313" s="26"/>
      <c r="G313" s="15"/>
      <c r="H313" s="15"/>
      <c r="I313" s="15"/>
      <c r="J313" s="15"/>
      <c r="K313" s="167"/>
      <c r="L313" s="15"/>
      <c r="M313" s="15"/>
      <c r="N313" s="15"/>
      <c r="O313" s="15"/>
      <c r="P313" s="15"/>
      <c r="Q313" s="15"/>
      <c r="R313" s="15"/>
      <c r="S313" s="15"/>
      <c r="T313" s="15"/>
      <c r="U313" s="15"/>
      <c r="V313" s="15"/>
      <c r="W313" s="15"/>
      <c r="X313" s="15"/>
      <c r="Y313" s="15"/>
      <c r="Z313" s="15"/>
    </row>
    <row r="314" spans="1:26" ht="15.75" customHeight="1" x14ac:dyDescent="0.25">
      <c r="A314" s="24"/>
      <c r="B314" s="25"/>
      <c r="C314" s="24"/>
      <c r="D314" s="24"/>
      <c r="E314" s="24"/>
      <c r="F314" s="26"/>
      <c r="G314" s="15"/>
      <c r="H314" s="15"/>
      <c r="I314" s="15"/>
      <c r="J314" s="15"/>
      <c r="K314" s="167"/>
      <c r="L314" s="15"/>
      <c r="M314" s="15"/>
      <c r="N314" s="15"/>
      <c r="O314" s="15"/>
      <c r="P314" s="15"/>
      <c r="Q314" s="15"/>
      <c r="R314" s="15"/>
      <c r="S314" s="15"/>
      <c r="T314" s="15"/>
      <c r="U314" s="15"/>
      <c r="V314" s="15"/>
      <c r="W314" s="15"/>
      <c r="X314" s="15"/>
      <c r="Y314" s="15"/>
      <c r="Z314" s="15"/>
    </row>
    <row r="315" spans="1:26" ht="15.75" customHeight="1" x14ac:dyDescent="0.25">
      <c r="A315" s="24"/>
      <c r="B315" s="25"/>
      <c r="C315" s="24"/>
      <c r="D315" s="24"/>
      <c r="E315" s="24"/>
      <c r="F315" s="26"/>
      <c r="G315" s="15"/>
      <c r="H315" s="15"/>
      <c r="I315" s="15"/>
      <c r="J315" s="15"/>
      <c r="K315" s="167"/>
      <c r="L315" s="15"/>
      <c r="M315" s="15"/>
      <c r="N315" s="15"/>
      <c r="O315" s="15"/>
      <c r="P315" s="15"/>
      <c r="Q315" s="15"/>
      <c r="R315" s="15"/>
      <c r="S315" s="15"/>
      <c r="T315" s="15"/>
      <c r="U315" s="15"/>
      <c r="V315" s="15"/>
      <c r="W315" s="15"/>
      <c r="X315" s="15"/>
      <c r="Y315" s="15"/>
      <c r="Z315" s="15"/>
    </row>
    <row r="316" spans="1:26" ht="15.75" customHeight="1" x14ac:dyDescent="0.25">
      <c r="A316" s="24"/>
      <c r="B316" s="25"/>
      <c r="C316" s="24"/>
      <c r="D316" s="24"/>
      <c r="E316" s="24"/>
      <c r="F316" s="26"/>
      <c r="G316" s="15"/>
      <c r="H316" s="15"/>
      <c r="I316" s="15"/>
      <c r="J316" s="15"/>
      <c r="K316" s="167"/>
      <c r="L316" s="15"/>
      <c r="M316" s="15"/>
      <c r="N316" s="15"/>
      <c r="O316" s="15"/>
      <c r="P316" s="15"/>
      <c r="Q316" s="15"/>
      <c r="R316" s="15"/>
      <c r="S316" s="15"/>
      <c r="T316" s="15"/>
      <c r="U316" s="15"/>
      <c r="V316" s="15"/>
      <c r="W316" s="15"/>
      <c r="X316" s="15"/>
      <c r="Y316" s="15"/>
      <c r="Z316" s="15"/>
    </row>
    <row r="317" spans="1:26" ht="15.75" customHeight="1" x14ac:dyDescent="0.25">
      <c r="A317" s="24"/>
      <c r="B317" s="25"/>
      <c r="C317" s="24"/>
      <c r="D317" s="24"/>
      <c r="E317" s="24"/>
      <c r="F317" s="26"/>
      <c r="G317" s="15"/>
      <c r="H317" s="15"/>
      <c r="I317" s="15"/>
      <c r="J317" s="15"/>
      <c r="K317" s="167"/>
      <c r="L317" s="15"/>
      <c r="M317" s="15"/>
      <c r="N317" s="15"/>
      <c r="O317" s="15"/>
      <c r="P317" s="15"/>
      <c r="Q317" s="15"/>
      <c r="R317" s="15"/>
      <c r="S317" s="15"/>
      <c r="T317" s="15"/>
      <c r="U317" s="15"/>
      <c r="V317" s="15"/>
      <c r="W317" s="15"/>
      <c r="X317" s="15"/>
      <c r="Y317" s="15"/>
      <c r="Z317" s="15"/>
    </row>
    <row r="318" spans="1:26" ht="15.75" customHeight="1" x14ac:dyDescent="0.25">
      <c r="A318" s="24"/>
      <c r="B318" s="25"/>
      <c r="C318" s="24"/>
      <c r="D318" s="24"/>
      <c r="E318" s="24"/>
      <c r="F318" s="26"/>
      <c r="G318" s="15"/>
      <c r="H318" s="15"/>
      <c r="I318" s="15"/>
      <c r="J318" s="15"/>
      <c r="K318" s="167"/>
      <c r="L318" s="15"/>
      <c r="M318" s="15"/>
      <c r="N318" s="15"/>
      <c r="O318" s="15"/>
      <c r="P318" s="15"/>
      <c r="Q318" s="15"/>
      <c r="R318" s="15"/>
      <c r="S318" s="15"/>
      <c r="T318" s="15"/>
      <c r="U318" s="15"/>
      <c r="V318" s="15"/>
      <c r="W318" s="15"/>
      <c r="X318" s="15"/>
      <c r="Y318" s="15"/>
      <c r="Z318" s="15"/>
    </row>
    <row r="319" spans="1:26" ht="15.75" customHeight="1" x14ac:dyDescent="0.25">
      <c r="A319" s="24"/>
      <c r="B319" s="25"/>
      <c r="C319" s="24"/>
      <c r="D319" s="24"/>
      <c r="E319" s="24"/>
      <c r="F319" s="26"/>
      <c r="G319" s="15"/>
      <c r="H319" s="15"/>
      <c r="I319" s="15"/>
      <c r="J319" s="15"/>
      <c r="K319" s="167"/>
      <c r="L319" s="15"/>
      <c r="M319" s="15"/>
      <c r="N319" s="15"/>
      <c r="O319" s="15"/>
      <c r="P319" s="15"/>
      <c r="Q319" s="15"/>
      <c r="R319" s="15"/>
      <c r="S319" s="15"/>
      <c r="T319" s="15"/>
      <c r="U319" s="15"/>
      <c r="V319" s="15"/>
      <c r="W319" s="15"/>
      <c r="X319" s="15"/>
      <c r="Y319" s="15"/>
      <c r="Z319" s="15"/>
    </row>
    <row r="320" spans="1:26" ht="15.75" customHeight="1" x14ac:dyDescent="0.25">
      <c r="A320" s="24"/>
      <c r="B320" s="25"/>
      <c r="C320" s="24"/>
      <c r="D320" s="24"/>
      <c r="E320" s="24"/>
      <c r="F320" s="26"/>
      <c r="G320" s="15"/>
      <c r="H320" s="15"/>
      <c r="I320" s="15"/>
      <c r="J320" s="15"/>
      <c r="K320" s="167"/>
      <c r="L320" s="15"/>
      <c r="M320" s="15"/>
      <c r="N320" s="15"/>
      <c r="O320" s="15"/>
      <c r="P320" s="15"/>
      <c r="Q320" s="15"/>
      <c r="R320" s="15"/>
      <c r="S320" s="15"/>
      <c r="T320" s="15"/>
      <c r="U320" s="15"/>
      <c r="V320" s="15"/>
      <c r="W320" s="15"/>
      <c r="X320" s="15"/>
      <c r="Y320" s="15"/>
      <c r="Z320" s="15"/>
    </row>
    <row r="321" spans="1:26" ht="15.75" customHeight="1" x14ac:dyDescent="0.25">
      <c r="A321" s="24"/>
      <c r="B321" s="25"/>
      <c r="C321" s="24"/>
      <c r="D321" s="24"/>
      <c r="E321" s="24"/>
      <c r="F321" s="26"/>
      <c r="G321" s="15"/>
      <c r="H321" s="15"/>
      <c r="I321" s="15"/>
      <c r="J321" s="15"/>
      <c r="K321" s="167"/>
      <c r="L321" s="15"/>
      <c r="M321" s="15"/>
      <c r="N321" s="15"/>
      <c r="O321" s="15"/>
      <c r="P321" s="15"/>
      <c r="Q321" s="15"/>
      <c r="R321" s="15"/>
      <c r="S321" s="15"/>
      <c r="T321" s="15"/>
      <c r="U321" s="15"/>
      <c r="V321" s="15"/>
      <c r="W321" s="15"/>
      <c r="X321" s="15"/>
      <c r="Y321" s="15"/>
      <c r="Z321" s="15"/>
    </row>
    <row r="322" spans="1:26" ht="15.75" customHeight="1" x14ac:dyDescent="0.25">
      <c r="A322" s="24"/>
      <c r="B322" s="25"/>
      <c r="C322" s="24"/>
      <c r="D322" s="24"/>
      <c r="E322" s="24"/>
      <c r="F322" s="26"/>
      <c r="G322" s="15"/>
      <c r="H322" s="15"/>
      <c r="I322" s="15"/>
      <c r="J322" s="15"/>
      <c r="K322" s="167"/>
      <c r="L322" s="15"/>
      <c r="M322" s="15"/>
      <c r="N322" s="15"/>
      <c r="O322" s="15"/>
      <c r="P322" s="15"/>
      <c r="Q322" s="15"/>
      <c r="R322" s="15"/>
      <c r="S322" s="15"/>
      <c r="T322" s="15"/>
      <c r="U322" s="15"/>
      <c r="V322" s="15"/>
      <c r="W322" s="15"/>
      <c r="X322" s="15"/>
      <c r="Y322" s="15"/>
      <c r="Z322" s="15"/>
    </row>
    <row r="323" spans="1:26" ht="15.75" customHeight="1" x14ac:dyDescent="0.25">
      <c r="A323" s="24"/>
      <c r="B323" s="25"/>
      <c r="C323" s="24"/>
      <c r="D323" s="24"/>
      <c r="E323" s="24"/>
      <c r="F323" s="26"/>
      <c r="G323" s="15"/>
      <c r="H323" s="15"/>
      <c r="I323" s="15"/>
      <c r="J323" s="15"/>
      <c r="K323" s="167"/>
      <c r="L323" s="15"/>
      <c r="M323" s="15"/>
      <c r="N323" s="15"/>
      <c r="O323" s="15"/>
      <c r="P323" s="15"/>
      <c r="Q323" s="15"/>
      <c r="R323" s="15"/>
      <c r="S323" s="15"/>
      <c r="T323" s="15"/>
      <c r="U323" s="15"/>
      <c r="V323" s="15"/>
      <c r="W323" s="15"/>
      <c r="X323" s="15"/>
      <c r="Y323" s="15"/>
      <c r="Z323" s="15"/>
    </row>
    <row r="324" spans="1:26" ht="15.75" customHeight="1" x14ac:dyDescent="0.25">
      <c r="A324" s="24"/>
      <c r="B324" s="25"/>
      <c r="C324" s="24"/>
      <c r="D324" s="24"/>
      <c r="E324" s="24"/>
      <c r="F324" s="26"/>
      <c r="G324" s="15"/>
      <c r="H324" s="15"/>
      <c r="I324" s="15"/>
      <c r="J324" s="15"/>
      <c r="K324" s="167"/>
      <c r="L324" s="15"/>
      <c r="M324" s="15"/>
      <c r="N324" s="15"/>
      <c r="O324" s="15"/>
      <c r="P324" s="15"/>
      <c r="Q324" s="15"/>
      <c r="R324" s="15"/>
      <c r="S324" s="15"/>
      <c r="T324" s="15"/>
      <c r="U324" s="15"/>
      <c r="V324" s="15"/>
      <c r="W324" s="15"/>
      <c r="X324" s="15"/>
      <c r="Y324" s="15"/>
      <c r="Z324" s="15"/>
    </row>
    <row r="325" spans="1:26" ht="15.75" customHeight="1" x14ac:dyDescent="0.25">
      <c r="A325" s="24"/>
      <c r="B325" s="25"/>
      <c r="C325" s="24"/>
      <c r="D325" s="24"/>
      <c r="E325" s="24"/>
      <c r="F325" s="26"/>
      <c r="G325" s="15"/>
      <c r="H325" s="15"/>
      <c r="I325" s="15"/>
      <c r="J325" s="15"/>
      <c r="K325" s="167"/>
      <c r="L325" s="15"/>
      <c r="M325" s="15"/>
      <c r="N325" s="15"/>
      <c r="O325" s="15"/>
      <c r="P325" s="15"/>
      <c r="Q325" s="15"/>
      <c r="R325" s="15"/>
      <c r="S325" s="15"/>
      <c r="T325" s="15"/>
      <c r="U325" s="15"/>
      <c r="V325" s="15"/>
      <c r="W325" s="15"/>
      <c r="X325" s="15"/>
      <c r="Y325" s="15"/>
      <c r="Z325" s="15"/>
    </row>
    <row r="326" spans="1:26" ht="15.75" customHeight="1" x14ac:dyDescent="0.25">
      <c r="A326" s="24"/>
      <c r="B326" s="25"/>
      <c r="C326" s="24"/>
      <c r="D326" s="24"/>
      <c r="E326" s="24"/>
      <c r="F326" s="26"/>
      <c r="G326" s="15"/>
      <c r="H326" s="15"/>
      <c r="I326" s="15"/>
      <c r="J326" s="15"/>
      <c r="K326" s="167"/>
      <c r="L326" s="15"/>
      <c r="M326" s="15"/>
      <c r="N326" s="15"/>
      <c r="O326" s="15"/>
      <c r="P326" s="15"/>
      <c r="Q326" s="15"/>
      <c r="R326" s="15"/>
      <c r="S326" s="15"/>
      <c r="T326" s="15"/>
      <c r="U326" s="15"/>
      <c r="V326" s="15"/>
      <c r="W326" s="15"/>
      <c r="X326" s="15"/>
      <c r="Y326" s="15"/>
      <c r="Z326" s="15"/>
    </row>
    <row r="327" spans="1:26" ht="15.75" customHeight="1" x14ac:dyDescent="0.25">
      <c r="A327" s="24"/>
      <c r="B327" s="25"/>
      <c r="C327" s="24"/>
      <c r="D327" s="24"/>
      <c r="E327" s="24"/>
      <c r="F327" s="26"/>
      <c r="G327" s="15"/>
      <c r="H327" s="15"/>
      <c r="I327" s="15"/>
      <c r="J327" s="15"/>
      <c r="K327" s="167"/>
      <c r="L327" s="15"/>
      <c r="M327" s="15"/>
      <c r="N327" s="15"/>
      <c r="O327" s="15"/>
      <c r="P327" s="15"/>
      <c r="Q327" s="15"/>
      <c r="R327" s="15"/>
      <c r="S327" s="15"/>
      <c r="T327" s="15"/>
      <c r="U327" s="15"/>
      <c r="V327" s="15"/>
      <c r="W327" s="15"/>
      <c r="X327" s="15"/>
      <c r="Y327" s="15"/>
      <c r="Z327" s="15"/>
    </row>
    <row r="328" spans="1:26" ht="15.75" customHeight="1" x14ac:dyDescent="0.25">
      <c r="A328" s="24"/>
      <c r="B328" s="25"/>
      <c r="C328" s="24"/>
      <c r="D328" s="24"/>
      <c r="E328" s="24"/>
      <c r="F328" s="26"/>
      <c r="G328" s="15"/>
      <c r="H328" s="15"/>
      <c r="I328" s="15"/>
      <c r="J328" s="15"/>
      <c r="K328" s="167"/>
      <c r="L328" s="15"/>
      <c r="M328" s="15"/>
      <c r="N328" s="15"/>
      <c r="O328" s="15"/>
      <c r="P328" s="15"/>
      <c r="Q328" s="15"/>
      <c r="R328" s="15"/>
      <c r="S328" s="15"/>
      <c r="T328" s="15"/>
      <c r="U328" s="15"/>
      <c r="V328" s="15"/>
      <c r="W328" s="15"/>
      <c r="X328" s="15"/>
      <c r="Y328" s="15"/>
      <c r="Z328" s="15"/>
    </row>
    <row r="329" spans="1:26" ht="15.75" customHeight="1" x14ac:dyDescent="0.25">
      <c r="A329" s="24"/>
      <c r="B329" s="25"/>
      <c r="C329" s="24"/>
      <c r="D329" s="24"/>
      <c r="E329" s="24"/>
      <c r="F329" s="26"/>
      <c r="G329" s="15"/>
      <c r="H329" s="15"/>
      <c r="I329" s="15"/>
      <c r="J329" s="15"/>
      <c r="K329" s="167"/>
      <c r="L329" s="15"/>
      <c r="M329" s="15"/>
      <c r="N329" s="15"/>
      <c r="O329" s="15"/>
      <c r="P329" s="15"/>
      <c r="Q329" s="15"/>
      <c r="R329" s="15"/>
      <c r="S329" s="15"/>
      <c r="T329" s="15"/>
      <c r="U329" s="15"/>
      <c r="V329" s="15"/>
      <c r="W329" s="15"/>
      <c r="X329" s="15"/>
      <c r="Y329" s="15"/>
      <c r="Z329" s="15"/>
    </row>
    <row r="330" spans="1:26" ht="15.75" customHeight="1" x14ac:dyDescent="0.25">
      <c r="A330" s="24"/>
      <c r="B330" s="25"/>
      <c r="C330" s="24"/>
      <c r="D330" s="24"/>
      <c r="E330" s="24"/>
      <c r="F330" s="26"/>
      <c r="G330" s="15"/>
      <c r="H330" s="15"/>
      <c r="I330" s="15"/>
      <c r="J330" s="15"/>
      <c r="K330" s="167"/>
      <c r="L330" s="15"/>
      <c r="M330" s="15"/>
      <c r="N330" s="15"/>
      <c r="O330" s="15"/>
      <c r="P330" s="15"/>
      <c r="Q330" s="15"/>
      <c r="R330" s="15"/>
      <c r="S330" s="15"/>
      <c r="T330" s="15"/>
      <c r="U330" s="15"/>
      <c r="V330" s="15"/>
      <c r="W330" s="15"/>
      <c r="X330" s="15"/>
      <c r="Y330" s="15"/>
      <c r="Z330" s="15"/>
    </row>
    <row r="331" spans="1:26" ht="15.75" customHeight="1" x14ac:dyDescent="0.25">
      <c r="A331" s="24"/>
      <c r="B331" s="25"/>
      <c r="C331" s="24"/>
      <c r="D331" s="24"/>
      <c r="E331" s="24"/>
      <c r="F331" s="26"/>
      <c r="G331" s="15"/>
      <c r="H331" s="15"/>
      <c r="I331" s="15"/>
      <c r="J331" s="15"/>
      <c r="K331" s="167"/>
      <c r="L331" s="15"/>
      <c r="M331" s="15"/>
      <c r="N331" s="15"/>
      <c r="O331" s="15"/>
      <c r="P331" s="15"/>
      <c r="Q331" s="15"/>
      <c r="R331" s="15"/>
      <c r="S331" s="15"/>
      <c r="T331" s="15"/>
      <c r="U331" s="15"/>
      <c r="V331" s="15"/>
      <c r="W331" s="15"/>
      <c r="X331" s="15"/>
      <c r="Y331" s="15"/>
      <c r="Z331" s="15"/>
    </row>
    <row r="332" spans="1:26" ht="15.75" customHeight="1" x14ac:dyDescent="0.25">
      <c r="A332" s="24"/>
      <c r="B332" s="25"/>
      <c r="C332" s="24"/>
      <c r="D332" s="24"/>
      <c r="E332" s="24"/>
      <c r="F332" s="26"/>
      <c r="G332" s="15"/>
      <c r="H332" s="15"/>
      <c r="I332" s="15"/>
      <c r="J332" s="15"/>
      <c r="K332" s="167"/>
      <c r="L332" s="15"/>
      <c r="M332" s="15"/>
      <c r="N332" s="15"/>
      <c r="O332" s="15"/>
      <c r="P332" s="15"/>
      <c r="Q332" s="15"/>
      <c r="R332" s="15"/>
      <c r="S332" s="15"/>
      <c r="T332" s="15"/>
      <c r="U332" s="15"/>
      <c r="V332" s="15"/>
      <c r="W332" s="15"/>
      <c r="X332" s="15"/>
      <c r="Y332" s="15"/>
      <c r="Z332" s="15"/>
    </row>
    <row r="333" spans="1:26" ht="15.75" customHeight="1" x14ac:dyDescent="0.25">
      <c r="A333" s="24"/>
      <c r="B333" s="25"/>
      <c r="C333" s="24"/>
      <c r="D333" s="24"/>
      <c r="E333" s="24"/>
      <c r="F333" s="26"/>
      <c r="G333" s="15"/>
      <c r="H333" s="15"/>
      <c r="I333" s="15"/>
      <c r="J333" s="15"/>
      <c r="K333" s="167"/>
      <c r="L333" s="15"/>
      <c r="M333" s="15"/>
      <c r="N333" s="15"/>
      <c r="O333" s="15"/>
      <c r="P333" s="15"/>
      <c r="Q333" s="15"/>
      <c r="R333" s="15"/>
      <c r="S333" s="15"/>
      <c r="T333" s="15"/>
      <c r="U333" s="15"/>
      <c r="V333" s="15"/>
      <c r="W333" s="15"/>
      <c r="X333" s="15"/>
      <c r="Y333" s="15"/>
      <c r="Z333" s="15"/>
    </row>
    <row r="334" spans="1:26" ht="15.75" customHeight="1" x14ac:dyDescent="0.25">
      <c r="A334" s="24"/>
      <c r="B334" s="25"/>
      <c r="C334" s="24"/>
      <c r="D334" s="24"/>
      <c r="E334" s="24"/>
      <c r="F334" s="26"/>
      <c r="G334" s="15"/>
      <c r="H334" s="15"/>
      <c r="I334" s="15"/>
      <c r="J334" s="15"/>
      <c r="K334" s="167"/>
      <c r="L334" s="15"/>
      <c r="M334" s="15"/>
      <c r="N334" s="15"/>
      <c r="O334" s="15"/>
      <c r="P334" s="15"/>
      <c r="Q334" s="15"/>
      <c r="R334" s="15"/>
      <c r="S334" s="15"/>
      <c r="T334" s="15"/>
      <c r="U334" s="15"/>
      <c r="V334" s="15"/>
      <c r="W334" s="15"/>
      <c r="X334" s="15"/>
      <c r="Y334" s="15"/>
      <c r="Z334" s="15"/>
    </row>
    <row r="335" spans="1:26" ht="15.75" customHeight="1" x14ac:dyDescent="0.25">
      <c r="A335" s="24"/>
      <c r="B335" s="25"/>
      <c r="C335" s="24"/>
      <c r="D335" s="24"/>
      <c r="E335" s="24"/>
      <c r="F335" s="26"/>
      <c r="G335" s="15"/>
      <c r="H335" s="15"/>
      <c r="I335" s="15"/>
      <c r="J335" s="15"/>
      <c r="K335" s="167"/>
      <c r="L335" s="15"/>
      <c r="M335" s="15"/>
      <c r="N335" s="15"/>
      <c r="O335" s="15"/>
      <c r="P335" s="15"/>
      <c r="Q335" s="15"/>
      <c r="R335" s="15"/>
      <c r="S335" s="15"/>
      <c r="T335" s="15"/>
      <c r="U335" s="15"/>
      <c r="V335" s="15"/>
      <c r="W335" s="15"/>
      <c r="X335" s="15"/>
      <c r="Y335" s="15"/>
      <c r="Z335" s="15"/>
    </row>
    <row r="336" spans="1:26" ht="15.75" customHeight="1" x14ac:dyDescent="0.25">
      <c r="A336" s="24"/>
      <c r="B336" s="25"/>
      <c r="C336" s="24"/>
      <c r="D336" s="24"/>
      <c r="E336" s="24"/>
      <c r="F336" s="26"/>
      <c r="G336" s="15"/>
      <c r="H336" s="15"/>
      <c r="I336" s="15"/>
      <c r="J336" s="15"/>
      <c r="K336" s="167"/>
      <c r="L336" s="15"/>
      <c r="M336" s="15"/>
      <c r="N336" s="15"/>
      <c r="O336" s="15"/>
      <c r="P336" s="15"/>
      <c r="Q336" s="15"/>
      <c r="R336" s="15"/>
      <c r="S336" s="15"/>
      <c r="T336" s="15"/>
      <c r="U336" s="15"/>
      <c r="V336" s="15"/>
      <c r="W336" s="15"/>
      <c r="X336" s="15"/>
      <c r="Y336" s="15"/>
      <c r="Z336" s="15"/>
    </row>
    <row r="337" spans="1:26" ht="15.75" customHeight="1" x14ac:dyDescent="0.25">
      <c r="A337" s="24"/>
      <c r="B337" s="25"/>
      <c r="C337" s="24"/>
      <c r="D337" s="24"/>
      <c r="E337" s="24"/>
      <c r="F337" s="26"/>
      <c r="G337" s="15"/>
      <c r="H337" s="15"/>
      <c r="I337" s="15"/>
      <c r="J337" s="15"/>
      <c r="K337" s="167"/>
      <c r="L337" s="15"/>
      <c r="M337" s="15"/>
      <c r="N337" s="15"/>
      <c r="O337" s="15"/>
      <c r="P337" s="15"/>
      <c r="Q337" s="15"/>
      <c r="R337" s="15"/>
      <c r="S337" s="15"/>
      <c r="T337" s="15"/>
      <c r="U337" s="15"/>
      <c r="V337" s="15"/>
      <c r="W337" s="15"/>
      <c r="X337" s="15"/>
      <c r="Y337" s="15"/>
      <c r="Z337" s="15"/>
    </row>
    <row r="338" spans="1:26" ht="15.75" customHeight="1" x14ac:dyDescent="0.25">
      <c r="A338" s="24"/>
      <c r="B338" s="25"/>
      <c r="C338" s="24"/>
      <c r="D338" s="24"/>
      <c r="E338" s="24"/>
      <c r="F338" s="26"/>
      <c r="G338" s="15"/>
      <c r="H338" s="15"/>
      <c r="I338" s="15"/>
      <c r="J338" s="15"/>
      <c r="K338" s="167"/>
      <c r="L338" s="15"/>
      <c r="M338" s="15"/>
      <c r="N338" s="15"/>
      <c r="O338" s="15"/>
      <c r="P338" s="15"/>
      <c r="Q338" s="15"/>
      <c r="R338" s="15"/>
      <c r="S338" s="15"/>
      <c r="T338" s="15"/>
      <c r="U338" s="15"/>
      <c r="V338" s="15"/>
      <c r="W338" s="15"/>
      <c r="X338" s="15"/>
      <c r="Y338" s="15"/>
      <c r="Z338" s="15"/>
    </row>
    <row r="339" spans="1:26" ht="15.75" customHeight="1" x14ac:dyDescent="0.25">
      <c r="A339" s="24"/>
      <c r="B339" s="25"/>
      <c r="C339" s="24"/>
      <c r="D339" s="24"/>
      <c r="E339" s="24"/>
      <c r="F339" s="26"/>
      <c r="G339" s="15"/>
      <c r="H339" s="15"/>
      <c r="I339" s="15"/>
      <c r="J339" s="15"/>
      <c r="K339" s="167"/>
      <c r="L339" s="15"/>
      <c r="M339" s="15"/>
      <c r="N339" s="15"/>
      <c r="O339" s="15"/>
      <c r="P339" s="15"/>
      <c r="Q339" s="15"/>
      <c r="R339" s="15"/>
      <c r="S339" s="15"/>
      <c r="T339" s="15"/>
      <c r="U339" s="15"/>
      <c r="V339" s="15"/>
      <c r="W339" s="15"/>
      <c r="X339" s="15"/>
      <c r="Y339" s="15"/>
      <c r="Z339" s="15"/>
    </row>
    <row r="340" spans="1:26" ht="15.75" customHeight="1" x14ac:dyDescent="0.25">
      <c r="A340" s="24"/>
      <c r="B340" s="25"/>
      <c r="C340" s="24"/>
      <c r="D340" s="24"/>
      <c r="E340" s="24"/>
      <c r="F340" s="26"/>
      <c r="G340" s="15"/>
      <c r="H340" s="15"/>
      <c r="I340" s="15"/>
      <c r="J340" s="15"/>
      <c r="K340" s="167"/>
      <c r="L340" s="15"/>
      <c r="M340" s="15"/>
      <c r="N340" s="15"/>
      <c r="O340" s="15"/>
      <c r="P340" s="15"/>
      <c r="Q340" s="15"/>
      <c r="R340" s="15"/>
      <c r="S340" s="15"/>
      <c r="T340" s="15"/>
      <c r="U340" s="15"/>
      <c r="V340" s="15"/>
      <c r="W340" s="15"/>
      <c r="X340" s="15"/>
      <c r="Y340" s="15"/>
      <c r="Z340" s="15"/>
    </row>
    <row r="341" spans="1:26" ht="15.75" customHeight="1" x14ac:dyDescent="0.25">
      <c r="A341" s="24"/>
      <c r="B341" s="25"/>
      <c r="C341" s="24"/>
      <c r="D341" s="24"/>
      <c r="E341" s="24"/>
      <c r="F341" s="26"/>
      <c r="G341" s="15"/>
      <c r="H341" s="15"/>
      <c r="I341" s="15"/>
      <c r="J341" s="15"/>
      <c r="K341" s="167"/>
      <c r="L341" s="15"/>
      <c r="M341" s="15"/>
      <c r="N341" s="15"/>
      <c r="O341" s="15"/>
      <c r="P341" s="15"/>
      <c r="Q341" s="15"/>
      <c r="R341" s="15"/>
      <c r="S341" s="15"/>
      <c r="T341" s="15"/>
      <c r="U341" s="15"/>
      <c r="V341" s="15"/>
      <c r="W341" s="15"/>
      <c r="X341" s="15"/>
      <c r="Y341" s="15"/>
      <c r="Z341" s="15"/>
    </row>
    <row r="342" spans="1:26" ht="15.75" customHeight="1" x14ac:dyDescent="0.25">
      <c r="A342" s="24"/>
      <c r="B342" s="25"/>
      <c r="C342" s="24"/>
      <c r="D342" s="24"/>
      <c r="E342" s="24"/>
      <c r="F342" s="26"/>
      <c r="G342" s="15"/>
      <c r="H342" s="15"/>
      <c r="I342" s="15"/>
      <c r="J342" s="15"/>
      <c r="K342" s="167"/>
      <c r="L342" s="15"/>
      <c r="M342" s="15"/>
      <c r="N342" s="15"/>
      <c r="O342" s="15"/>
      <c r="P342" s="15"/>
      <c r="Q342" s="15"/>
      <c r="R342" s="15"/>
      <c r="S342" s="15"/>
      <c r="T342" s="15"/>
      <c r="U342" s="15"/>
      <c r="V342" s="15"/>
      <c r="W342" s="15"/>
      <c r="X342" s="15"/>
      <c r="Y342" s="15"/>
      <c r="Z342" s="15"/>
    </row>
    <row r="343" spans="1:26" ht="15.75" customHeight="1" x14ac:dyDescent="0.25">
      <c r="A343" s="24"/>
      <c r="B343" s="25"/>
      <c r="C343" s="24"/>
      <c r="D343" s="24"/>
      <c r="E343" s="24"/>
      <c r="F343" s="26"/>
      <c r="G343" s="15"/>
      <c r="H343" s="15"/>
      <c r="I343" s="15"/>
      <c r="J343" s="15"/>
      <c r="K343" s="167"/>
      <c r="L343" s="15"/>
      <c r="M343" s="15"/>
      <c r="N343" s="15"/>
      <c r="O343" s="15"/>
      <c r="P343" s="15"/>
      <c r="Q343" s="15"/>
      <c r="R343" s="15"/>
      <c r="S343" s="15"/>
      <c r="T343" s="15"/>
      <c r="U343" s="15"/>
      <c r="V343" s="15"/>
      <c r="W343" s="15"/>
      <c r="X343" s="15"/>
      <c r="Y343" s="15"/>
      <c r="Z343" s="15"/>
    </row>
    <row r="344" spans="1:26" ht="15.75" customHeight="1" x14ac:dyDescent="0.25">
      <c r="A344" s="24"/>
      <c r="B344" s="25"/>
      <c r="C344" s="24"/>
      <c r="D344" s="24"/>
      <c r="E344" s="24"/>
      <c r="F344" s="26"/>
      <c r="G344" s="15"/>
      <c r="H344" s="15"/>
      <c r="I344" s="15"/>
      <c r="J344" s="15"/>
      <c r="K344" s="167"/>
      <c r="L344" s="15"/>
      <c r="M344" s="15"/>
      <c r="N344" s="15"/>
      <c r="O344" s="15"/>
      <c r="P344" s="15"/>
      <c r="Q344" s="15"/>
      <c r="R344" s="15"/>
      <c r="S344" s="15"/>
      <c r="T344" s="15"/>
      <c r="U344" s="15"/>
      <c r="V344" s="15"/>
      <c r="W344" s="15"/>
      <c r="X344" s="15"/>
      <c r="Y344" s="15"/>
      <c r="Z344" s="15"/>
    </row>
    <row r="345" spans="1:26" ht="15.75" customHeight="1" x14ac:dyDescent="0.25">
      <c r="A345" s="24"/>
      <c r="B345" s="25"/>
      <c r="C345" s="24"/>
      <c r="D345" s="24"/>
      <c r="E345" s="24"/>
      <c r="F345" s="26"/>
      <c r="G345" s="15"/>
      <c r="H345" s="15"/>
      <c r="I345" s="15"/>
      <c r="J345" s="15"/>
      <c r="K345" s="167"/>
      <c r="L345" s="15"/>
      <c r="M345" s="15"/>
      <c r="N345" s="15"/>
      <c r="O345" s="15"/>
      <c r="P345" s="15"/>
      <c r="Q345" s="15"/>
      <c r="R345" s="15"/>
      <c r="S345" s="15"/>
      <c r="T345" s="15"/>
      <c r="U345" s="15"/>
      <c r="V345" s="15"/>
      <c r="W345" s="15"/>
      <c r="X345" s="15"/>
      <c r="Y345" s="15"/>
      <c r="Z345" s="15"/>
    </row>
    <row r="346" spans="1:26" ht="15.75" customHeight="1" x14ac:dyDescent="0.25">
      <c r="A346" s="24"/>
      <c r="B346" s="25"/>
      <c r="C346" s="24"/>
      <c r="D346" s="24"/>
      <c r="E346" s="24"/>
      <c r="F346" s="26"/>
      <c r="G346" s="15"/>
      <c r="H346" s="15"/>
      <c r="I346" s="15"/>
      <c r="J346" s="15"/>
      <c r="K346" s="167"/>
      <c r="L346" s="15"/>
      <c r="M346" s="15"/>
      <c r="N346" s="15"/>
      <c r="O346" s="15"/>
      <c r="P346" s="15"/>
      <c r="Q346" s="15"/>
      <c r="R346" s="15"/>
      <c r="S346" s="15"/>
      <c r="T346" s="15"/>
      <c r="U346" s="15"/>
      <c r="V346" s="15"/>
      <c r="W346" s="15"/>
      <c r="X346" s="15"/>
      <c r="Y346" s="15"/>
      <c r="Z346" s="15"/>
    </row>
    <row r="347" spans="1:26" ht="15.75" customHeight="1" x14ac:dyDescent="0.25">
      <c r="A347" s="24"/>
      <c r="B347" s="25"/>
      <c r="C347" s="24"/>
      <c r="D347" s="24"/>
      <c r="E347" s="24"/>
      <c r="F347" s="26"/>
      <c r="G347" s="15"/>
      <c r="H347" s="15"/>
      <c r="I347" s="15"/>
      <c r="J347" s="15"/>
      <c r="K347" s="167"/>
      <c r="L347" s="15"/>
      <c r="M347" s="15"/>
      <c r="N347" s="15"/>
      <c r="O347" s="15"/>
      <c r="P347" s="15"/>
      <c r="Q347" s="15"/>
      <c r="R347" s="15"/>
      <c r="S347" s="15"/>
      <c r="T347" s="15"/>
      <c r="U347" s="15"/>
      <c r="V347" s="15"/>
      <c r="W347" s="15"/>
      <c r="X347" s="15"/>
      <c r="Y347" s="15"/>
      <c r="Z347" s="15"/>
    </row>
    <row r="348" spans="1:26" ht="15.75" customHeight="1" x14ac:dyDescent="0.25">
      <c r="A348" s="24"/>
      <c r="B348" s="25"/>
      <c r="C348" s="24"/>
      <c r="D348" s="24"/>
      <c r="E348" s="24"/>
      <c r="F348" s="26"/>
      <c r="G348" s="15"/>
      <c r="H348" s="15"/>
      <c r="I348" s="15"/>
      <c r="J348" s="15"/>
      <c r="K348" s="167"/>
      <c r="L348" s="15"/>
      <c r="M348" s="15"/>
      <c r="N348" s="15"/>
      <c r="O348" s="15"/>
      <c r="P348" s="15"/>
      <c r="Q348" s="15"/>
      <c r="R348" s="15"/>
      <c r="S348" s="15"/>
      <c r="T348" s="15"/>
      <c r="U348" s="15"/>
      <c r="V348" s="15"/>
      <c r="W348" s="15"/>
      <c r="X348" s="15"/>
      <c r="Y348" s="15"/>
      <c r="Z348" s="15"/>
    </row>
    <row r="349" spans="1:26" ht="15.75" customHeight="1" x14ac:dyDescent="0.25">
      <c r="A349" s="24"/>
      <c r="B349" s="25"/>
      <c r="C349" s="24"/>
      <c r="D349" s="24"/>
      <c r="E349" s="24"/>
      <c r="F349" s="26"/>
      <c r="G349" s="15"/>
      <c r="H349" s="15"/>
      <c r="I349" s="15"/>
      <c r="J349" s="15"/>
      <c r="K349" s="167"/>
      <c r="L349" s="15"/>
      <c r="M349" s="15"/>
      <c r="N349" s="15"/>
      <c r="O349" s="15"/>
      <c r="P349" s="15"/>
      <c r="Q349" s="15"/>
      <c r="R349" s="15"/>
      <c r="S349" s="15"/>
      <c r="T349" s="15"/>
      <c r="U349" s="15"/>
      <c r="V349" s="15"/>
      <c r="W349" s="15"/>
      <c r="X349" s="15"/>
      <c r="Y349" s="15"/>
      <c r="Z349" s="15"/>
    </row>
    <row r="350" spans="1:26" ht="15.75" customHeight="1" x14ac:dyDescent="0.25">
      <c r="A350" s="24"/>
      <c r="B350" s="25"/>
      <c r="C350" s="24"/>
      <c r="D350" s="24"/>
      <c r="E350" s="24"/>
      <c r="F350" s="26"/>
      <c r="G350" s="15"/>
      <c r="H350" s="15"/>
      <c r="I350" s="15"/>
      <c r="J350" s="15"/>
      <c r="K350" s="167"/>
      <c r="L350" s="15"/>
      <c r="M350" s="15"/>
      <c r="N350" s="15"/>
      <c r="O350" s="15"/>
      <c r="P350" s="15"/>
      <c r="Q350" s="15"/>
      <c r="R350" s="15"/>
      <c r="S350" s="15"/>
      <c r="T350" s="15"/>
      <c r="U350" s="15"/>
      <c r="V350" s="15"/>
      <c r="W350" s="15"/>
      <c r="X350" s="15"/>
      <c r="Y350" s="15"/>
      <c r="Z350" s="15"/>
    </row>
    <row r="351" spans="1:26" ht="15.75" customHeight="1" x14ac:dyDescent="0.25">
      <c r="A351" s="24"/>
      <c r="B351" s="25"/>
      <c r="C351" s="24"/>
      <c r="D351" s="24"/>
      <c r="E351" s="24"/>
      <c r="F351" s="26"/>
      <c r="G351" s="15"/>
      <c r="H351" s="15"/>
      <c r="I351" s="15"/>
      <c r="J351" s="15"/>
      <c r="K351" s="167"/>
      <c r="L351" s="15"/>
      <c r="M351" s="15"/>
      <c r="N351" s="15"/>
      <c r="O351" s="15"/>
      <c r="P351" s="15"/>
      <c r="Q351" s="15"/>
      <c r="R351" s="15"/>
      <c r="S351" s="15"/>
      <c r="T351" s="15"/>
      <c r="U351" s="15"/>
      <c r="V351" s="15"/>
      <c r="W351" s="15"/>
      <c r="X351" s="15"/>
      <c r="Y351" s="15"/>
      <c r="Z351" s="15"/>
    </row>
    <row r="352" spans="1:26" ht="15.75" customHeight="1" x14ac:dyDescent="0.25">
      <c r="A352" s="24"/>
      <c r="B352" s="25"/>
      <c r="C352" s="24"/>
      <c r="D352" s="24"/>
      <c r="E352" s="24"/>
      <c r="F352" s="26"/>
      <c r="G352" s="15"/>
      <c r="H352" s="15"/>
      <c r="I352" s="15"/>
      <c r="J352" s="15"/>
      <c r="K352" s="167"/>
      <c r="L352" s="15"/>
      <c r="M352" s="15"/>
      <c r="N352" s="15"/>
      <c r="O352" s="15"/>
      <c r="P352" s="15"/>
      <c r="Q352" s="15"/>
      <c r="R352" s="15"/>
      <c r="S352" s="15"/>
      <c r="T352" s="15"/>
      <c r="U352" s="15"/>
      <c r="V352" s="15"/>
      <c r="W352" s="15"/>
      <c r="X352" s="15"/>
      <c r="Y352" s="15"/>
      <c r="Z352" s="15"/>
    </row>
    <row r="353" spans="1:26" ht="15.75" customHeight="1" x14ac:dyDescent="0.25">
      <c r="A353" s="24"/>
      <c r="B353" s="25"/>
      <c r="C353" s="24"/>
      <c r="D353" s="24"/>
      <c r="E353" s="24"/>
      <c r="F353" s="26"/>
      <c r="G353" s="15"/>
      <c r="H353" s="15"/>
      <c r="I353" s="15"/>
      <c r="J353" s="15"/>
      <c r="K353" s="167"/>
      <c r="L353" s="15"/>
      <c r="M353" s="15"/>
      <c r="N353" s="15"/>
      <c r="O353" s="15"/>
      <c r="P353" s="15"/>
      <c r="Q353" s="15"/>
      <c r="R353" s="15"/>
      <c r="S353" s="15"/>
      <c r="T353" s="15"/>
      <c r="U353" s="15"/>
      <c r="V353" s="15"/>
      <c r="W353" s="15"/>
      <c r="X353" s="15"/>
      <c r="Y353" s="15"/>
      <c r="Z353" s="15"/>
    </row>
    <row r="354" spans="1:26" ht="15.75" customHeight="1" x14ac:dyDescent="0.25">
      <c r="A354" s="24"/>
      <c r="B354" s="25"/>
      <c r="C354" s="24"/>
      <c r="D354" s="24"/>
      <c r="E354" s="24"/>
      <c r="F354" s="26"/>
      <c r="G354" s="15"/>
      <c r="H354" s="15"/>
      <c r="I354" s="15"/>
      <c r="J354" s="15"/>
      <c r="K354" s="167"/>
      <c r="L354" s="15"/>
      <c r="M354" s="15"/>
      <c r="N354" s="15"/>
      <c r="O354" s="15"/>
      <c r="P354" s="15"/>
      <c r="Q354" s="15"/>
      <c r="R354" s="15"/>
      <c r="S354" s="15"/>
      <c r="T354" s="15"/>
      <c r="U354" s="15"/>
      <c r="V354" s="15"/>
      <c r="W354" s="15"/>
      <c r="X354" s="15"/>
      <c r="Y354" s="15"/>
      <c r="Z354" s="15"/>
    </row>
    <row r="355" spans="1:26" ht="15.75" customHeight="1" x14ac:dyDescent="0.25">
      <c r="A355" s="24"/>
      <c r="B355" s="25"/>
      <c r="C355" s="24"/>
      <c r="D355" s="24"/>
      <c r="E355" s="24"/>
      <c r="F355" s="26"/>
      <c r="G355" s="15"/>
      <c r="H355" s="15"/>
      <c r="I355" s="15"/>
      <c r="J355" s="15"/>
      <c r="K355" s="167"/>
      <c r="L355" s="15"/>
      <c r="M355" s="15"/>
      <c r="N355" s="15"/>
      <c r="O355" s="15"/>
      <c r="P355" s="15"/>
      <c r="Q355" s="15"/>
      <c r="R355" s="15"/>
      <c r="S355" s="15"/>
      <c r="T355" s="15"/>
      <c r="U355" s="15"/>
      <c r="V355" s="15"/>
      <c r="W355" s="15"/>
      <c r="X355" s="15"/>
      <c r="Y355" s="15"/>
      <c r="Z355" s="15"/>
    </row>
    <row r="356" spans="1:26" ht="15.75" customHeight="1" x14ac:dyDescent="0.25">
      <c r="A356" s="24"/>
      <c r="B356" s="25"/>
      <c r="C356" s="24"/>
      <c r="D356" s="24"/>
      <c r="E356" s="24"/>
      <c r="F356" s="26"/>
      <c r="G356" s="15"/>
      <c r="H356" s="15"/>
      <c r="I356" s="15"/>
      <c r="J356" s="15"/>
      <c r="K356" s="167"/>
      <c r="L356" s="15"/>
      <c r="M356" s="15"/>
      <c r="N356" s="15"/>
      <c r="O356" s="15"/>
      <c r="P356" s="15"/>
      <c r="Q356" s="15"/>
      <c r="R356" s="15"/>
      <c r="S356" s="15"/>
      <c r="T356" s="15"/>
      <c r="U356" s="15"/>
      <c r="V356" s="15"/>
      <c r="W356" s="15"/>
      <c r="X356" s="15"/>
      <c r="Y356" s="15"/>
      <c r="Z356" s="15"/>
    </row>
    <row r="357" spans="1:26" ht="15.75" customHeight="1" x14ac:dyDescent="0.25">
      <c r="A357" s="24"/>
      <c r="B357" s="25"/>
      <c r="C357" s="24"/>
      <c r="D357" s="24"/>
      <c r="E357" s="24"/>
      <c r="F357" s="26"/>
      <c r="G357" s="15"/>
      <c r="H357" s="15"/>
      <c r="I357" s="15"/>
      <c r="J357" s="15"/>
      <c r="K357" s="167"/>
      <c r="L357" s="15"/>
      <c r="M357" s="15"/>
      <c r="N357" s="15"/>
      <c r="O357" s="15"/>
      <c r="P357" s="15"/>
      <c r="Q357" s="15"/>
      <c r="R357" s="15"/>
      <c r="S357" s="15"/>
      <c r="T357" s="15"/>
      <c r="U357" s="15"/>
      <c r="V357" s="15"/>
      <c r="W357" s="15"/>
      <c r="X357" s="15"/>
      <c r="Y357" s="15"/>
      <c r="Z357" s="15"/>
    </row>
    <row r="358" spans="1:26" ht="15.75" customHeight="1" x14ac:dyDescent="0.25">
      <c r="A358" s="24"/>
      <c r="B358" s="25"/>
      <c r="C358" s="24"/>
      <c r="D358" s="24"/>
      <c r="E358" s="24"/>
      <c r="F358" s="26"/>
      <c r="G358" s="15"/>
      <c r="H358" s="15"/>
      <c r="I358" s="15"/>
      <c r="J358" s="15"/>
      <c r="K358" s="167"/>
      <c r="L358" s="15"/>
      <c r="M358" s="15"/>
      <c r="N358" s="15"/>
      <c r="O358" s="15"/>
      <c r="P358" s="15"/>
      <c r="Q358" s="15"/>
      <c r="R358" s="15"/>
      <c r="S358" s="15"/>
      <c r="T358" s="15"/>
      <c r="U358" s="15"/>
      <c r="V358" s="15"/>
      <c r="W358" s="15"/>
      <c r="X358" s="15"/>
      <c r="Y358" s="15"/>
      <c r="Z358" s="15"/>
    </row>
    <row r="359" spans="1:26" ht="15.75" customHeight="1" x14ac:dyDescent="0.25">
      <c r="A359" s="24"/>
      <c r="B359" s="25"/>
      <c r="C359" s="24"/>
      <c r="D359" s="24"/>
      <c r="E359" s="24"/>
      <c r="F359" s="26"/>
      <c r="G359" s="15"/>
      <c r="H359" s="15"/>
      <c r="I359" s="15"/>
      <c r="J359" s="15"/>
      <c r="K359" s="167"/>
      <c r="L359" s="15"/>
      <c r="M359" s="15"/>
      <c r="N359" s="15"/>
      <c r="O359" s="15"/>
      <c r="P359" s="15"/>
      <c r="Q359" s="15"/>
      <c r="R359" s="15"/>
      <c r="S359" s="15"/>
      <c r="T359" s="15"/>
      <c r="U359" s="15"/>
      <c r="V359" s="15"/>
      <c r="W359" s="15"/>
      <c r="X359" s="15"/>
      <c r="Y359" s="15"/>
      <c r="Z359" s="15"/>
    </row>
    <row r="360" spans="1:26" ht="15.75" customHeight="1" x14ac:dyDescent="0.25">
      <c r="A360" s="24"/>
      <c r="B360" s="25"/>
      <c r="C360" s="24"/>
      <c r="D360" s="24"/>
      <c r="E360" s="24"/>
      <c r="F360" s="26"/>
      <c r="G360" s="15"/>
      <c r="H360" s="15"/>
      <c r="I360" s="15"/>
      <c r="J360" s="15"/>
      <c r="K360" s="167"/>
      <c r="L360" s="15"/>
      <c r="M360" s="15"/>
      <c r="N360" s="15"/>
      <c r="O360" s="15"/>
      <c r="P360" s="15"/>
      <c r="Q360" s="15"/>
      <c r="R360" s="15"/>
      <c r="S360" s="15"/>
      <c r="T360" s="15"/>
      <c r="U360" s="15"/>
      <c r="V360" s="15"/>
      <c r="W360" s="15"/>
      <c r="X360" s="15"/>
      <c r="Y360" s="15"/>
      <c r="Z360" s="15"/>
    </row>
    <row r="361" spans="1:26" ht="15.75" customHeight="1" x14ac:dyDescent="0.25">
      <c r="A361" s="24"/>
      <c r="B361" s="25"/>
      <c r="C361" s="24"/>
      <c r="D361" s="24"/>
      <c r="E361" s="24"/>
      <c r="F361" s="26"/>
      <c r="G361" s="15"/>
      <c r="H361" s="15"/>
      <c r="I361" s="15"/>
      <c r="J361" s="15"/>
      <c r="K361" s="167"/>
      <c r="L361" s="15"/>
      <c r="M361" s="15"/>
      <c r="N361" s="15"/>
      <c r="O361" s="15"/>
      <c r="P361" s="15"/>
      <c r="Q361" s="15"/>
      <c r="R361" s="15"/>
      <c r="S361" s="15"/>
      <c r="T361" s="15"/>
      <c r="U361" s="15"/>
      <c r="V361" s="15"/>
      <c r="W361" s="15"/>
      <c r="X361" s="15"/>
      <c r="Y361" s="15"/>
      <c r="Z361" s="15"/>
    </row>
    <row r="362" spans="1:26" ht="15.75" customHeight="1" x14ac:dyDescent="0.25">
      <c r="A362" s="24"/>
      <c r="B362" s="25"/>
      <c r="C362" s="24"/>
      <c r="D362" s="24"/>
      <c r="E362" s="24"/>
      <c r="F362" s="26"/>
      <c r="G362" s="15"/>
      <c r="H362" s="15"/>
      <c r="I362" s="15"/>
      <c r="J362" s="15"/>
      <c r="K362" s="167"/>
      <c r="L362" s="15"/>
      <c r="M362" s="15"/>
      <c r="N362" s="15"/>
      <c r="O362" s="15"/>
      <c r="P362" s="15"/>
      <c r="Q362" s="15"/>
      <c r="R362" s="15"/>
      <c r="S362" s="15"/>
      <c r="T362" s="15"/>
      <c r="U362" s="15"/>
      <c r="V362" s="15"/>
      <c r="W362" s="15"/>
      <c r="X362" s="15"/>
      <c r="Y362" s="15"/>
      <c r="Z362" s="15"/>
    </row>
    <row r="363" spans="1:26" ht="15.75" customHeight="1" x14ac:dyDescent="0.25">
      <c r="A363" s="24"/>
      <c r="B363" s="25"/>
      <c r="C363" s="24"/>
      <c r="D363" s="24"/>
      <c r="E363" s="24"/>
      <c r="F363" s="26"/>
      <c r="G363" s="15"/>
      <c r="H363" s="15"/>
      <c r="I363" s="15"/>
      <c r="J363" s="15"/>
      <c r="K363" s="167"/>
      <c r="L363" s="15"/>
      <c r="M363" s="15"/>
      <c r="N363" s="15"/>
      <c r="O363" s="15"/>
      <c r="P363" s="15"/>
      <c r="Q363" s="15"/>
      <c r="R363" s="15"/>
      <c r="S363" s="15"/>
      <c r="T363" s="15"/>
      <c r="U363" s="15"/>
      <c r="V363" s="15"/>
      <c r="W363" s="15"/>
      <c r="X363" s="15"/>
      <c r="Y363" s="15"/>
      <c r="Z363" s="15"/>
    </row>
    <row r="364" spans="1:26" ht="15.75" customHeight="1" x14ac:dyDescent="0.25">
      <c r="A364" s="24"/>
      <c r="B364" s="25"/>
      <c r="C364" s="24"/>
      <c r="D364" s="24"/>
      <c r="E364" s="24"/>
      <c r="F364" s="26"/>
      <c r="G364" s="15"/>
      <c r="H364" s="15"/>
      <c r="I364" s="15"/>
      <c r="J364" s="15"/>
      <c r="K364" s="167"/>
      <c r="L364" s="15"/>
      <c r="M364" s="15"/>
      <c r="N364" s="15"/>
      <c r="O364" s="15"/>
      <c r="P364" s="15"/>
      <c r="Q364" s="15"/>
      <c r="R364" s="15"/>
      <c r="S364" s="15"/>
      <c r="T364" s="15"/>
      <c r="U364" s="15"/>
      <c r="V364" s="15"/>
      <c r="W364" s="15"/>
      <c r="X364" s="15"/>
      <c r="Y364" s="15"/>
      <c r="Z364" s="15"/>
    </row>
    <row r="365" spans="1:26" ht="15.75" customHeight="1" x14ac:dyDescent="0.25">
      <c r="A365" s="24"/>
      <c r="B365" s="25"/>
      <c r="C365" s="24"/>
      <c r="D365" s="24"/>
      <c r="E365" s="24"/>
      <c r="F365" s="26"/>
      <c r="G365" s="15"/>
      <c r="H365" s="15"/>
      <c r="I365" s="15"/>
      <c r="J365" s="15"/>
      <c r="K365" s="167"/>
      <c r="L365" s="15"/>
      <c r="M365" s="15"/>
      <c r="N365" s="15"/>
      <c r="O365" s="15"/>
      <c r="P365" s="15"/>
      <c r="Q365" s="15"/>
      <c r="R365" s="15"/>
      <c r="S365" s="15"/>
      <c r="T365" s="15"/>
      <c r="U365" s="15"/>
      <c r="V365" s="15"/>
      <c r="W365" s="15"/>
      <c r="X365" s="15"/>
      <c r="Y365" s="15"/>
      <c r="Z365" s="15"/>
    </row>
    <row r="366" spans="1:26" ht="15.75" customHeight="1" x14ac:dyDescent="0.25">
      <c r="A366" s="24"/>
      <c r="B366" s="25"/>
      <c r="C366" s="24"/>
      <c r="D366" s="24"/>
      <c r="E366" s="24"/>
      <c r="F366" s="26"/>
      <c r="G366" s="15"/>
      <c r="H366" s="15"/>
      <c r="I366" s="15"/>
      <c r="J366" s="15"/>
      <c r="K366" s="167"/>
      <c r="L366" s="15"/>
      <c r="M366" s="15"/>
      <c r="N366" s="15"/>
      <c r="O366" s="15"/>
      <c r="P366" s="15"/>
      <c r="Q366" s="15"/>
      <c r="R366" s="15"/>
      <c r="S366" s="15"/>
      <c r="T366" s="15"/>
      <c r="U366" s="15"/>
      <c r="V366" s="15"/>
      <c r="W366" s="15"/>
      <c r="X366" s="15"/>
      <c r="Y366" s="15"/>
      <c r="Z366" s="15"/>
    </row>
    <row r="367" spans="1:26" ht="15.75" customHeight="1" x14ac:dyDescent="0.25">
      <c r="A367" s="24"/>
      <c r="B367" s="25"/>
      <c r="C367" s="24"/>
      <c r="D367" s="24"/>
      <c r="E367" s="24"/>
      <c r="F367" s="26"/>
      <c r="G367" s="15"/>
      <c r="H367" s="15"/>
      <c r="I367" s="15"/>
      <c r="J367" s="15"/>
      <c r="K367" s="167"/>
      <c r="L367" s="15"/>
      <c r="M367" s="15"/>
      <c r="N367" s="15"/>
      <c r="O367" s="15"/>
      <c r="P367" s="15"/>
      <c r="Q367" s="15"/>
      <c r="R367" s="15"/>
      <c r="S367" s="15"/>
      <c r="T367" s="15"/>
      <c r="U367" s="15"/>
      <c r="V367" s="15"/>
      <c r="W367" s="15"/>
      <c r="X367" s="15"/>
      <c r="Y367" s="15"/>
      <c r="Z367" s="15"/>
    </row>
    <row r="368" spans="1:26" ht="15.75" customHeight="1" x14ac:dyDescent="0.25">
      <c r="A368" s="24"/>
      <c r="B368" s="25"/>
      <c r="C368" s="24"/>
      <c r="D368" s="24"/>
      <c r="E368" s="24"/>
      <c r="F368" s="26"/>
      <c r="G368" s="15"/>
      <c r="H368" s="15"/>
      <c r="I368" s="15"/>
      <c r="J368" s="15"/>
      <c r="K368" s="167"/>
      <c r="L368" s="15"/>
      <c r="M368" s="15"/>
      <c r="N368" s="15"/>
      <c r="O368" s="15"/>
      <c r="P368" s="15"/>
      <c r="Q368" s="15"/>
      <c r="R368" s="15"/>
      <c r="S368" s="15"/>
      <c r="T368" s="15"/>
      <c r="U368" s="15"/>
      <c r="V368" s="15"/>
      <c r="W368" s="15"/>
      <c r="X368" s="15"/>
      <c r="Y368" s="15"/>
      <c r="Z368" s="15"/>
    </row>
    <row r="369" spans="1:26" ht="15.75" customHeight="1" x14ac:dyDescent="0.25">
      <c r="A369" s="24"/>
      <c r="B369" s="25"/>
      <c r="C369" s="24"/>
      <c r="D369" s="24"/>
      <c r="E369" s="24"/>
      <c r="F369" s="26"/>
      <c r="G369" s="15"/>
      <c r="H369" s="15"/>
      <c r="I369" s="15"/>
      <c r="J369" s="15"/>
      <c r="K369" s="167"/>
      <c r="L369" s="15"/>
      <c r="M369" s="15"/>
      <c r="N369" s="15"/>
      <c r="O369" s="15"/>
      <c r="P369" s="15"/>
      <c r="Q369" s="15"/>
      <c r="R369" s="15"/>
      <c r="S369" s="15"/>
      <c r="T369" s="15"/>
      <c r="U369" s="15"/>
      <c r="V369" s="15"/>
      <c r="W369" s="15"/>
      <c r="X369" s="15"/>
      <c r="Y369" s="15"/>
      <c r="Z369" s="15"/>
    </row>
    <row r="370" spans="1:26" ht="15.75" customHeight="1" x14ac:dyDescent="0.25">
      <c r="A370" s="24"/>
      <c r="B370" s="25"/>
      <c r="C370" s="24"/>
      <c r="D370" s="24"/>
      <c r="E370" s="24"/>
      <c r="F370" s="26"/>
      <c r="G370" s="15"/>
      <c r="H370" s="15"/>
      <c r="I370" s="15"/>
      <c r="J370" s="15"/>
      <c r="K370" s="167"/>
      <c r="L370" s="15"/>
      <c r="M370" s="15"/>
      <c r="N370" s="15"/>
      <c r="O370" s="15"/>
      <c r="P370" s="15"/>
      <c r="Q370" s="15"/>
      <c r="R370" s="15"/>
      <c r="S370" s="15"/>
      <c r="T370" s="15"/>
      <c r="U370" s="15"/>
      <c r="V370" s="15"/>
      <c r="W370" s="15"/>
      <c r="X370" s="15"/>
      <c r="Y370" s="15"/>
      <c r="Z370" s="15"/>
    </row>
    <row r="371" spans="1:26" ht="15.75" customHeight="1" x14ac:dyDescent="0.25">
      <c r="A371" s="24"/>
      <c r="B371" s="25"/>
      <c r="C371" s="24"/>
      <c r="D371" s="24"/>
      <c r="E371" s="24"/>
      <c r="F371" s="26"/>
      <c r="G371" s="15"/>
      <c r="H371" s="15"/>
      <c r="I371" s="15"/>
      <c r="J371" s="15"/>
      <c r="K371" s="167"/>
      <c r="L371" s="15"/>
      <c r="M371" s="15"/>
      <c r="N371" s="15"/>
      <c r="O371" s="15"/>
      <c r="P371" s="15"/>
      <c r="Q371" s="15"/>
      <c r="R371" s="15"/>
      <c r="S371" s="15"/>
      <c r="T371" s="15"/>
      <c r="U371" s="15"/>
      <c r="V371" s="15"/>
      <c r="W371" s="15"/>
      <c r="X371" s="15"/>
      <c r="Y371" s="15"/>
      <c r="Z371" s="15"/>
    </row>
    <row r="372" spans="1:26" ht="15.75" customHeight="1" x14ac:dyDescent="0.25">
      <c r="A372" s="24"/>
      <c r="B372" s="25"/>
      <c r="C372" s="24"/>
      <c r="D372" s="24"/>
      <c r="E372" s="24"/>
      <c r="F372" s="26"/>
      <c r="G372" s="15"/>
      <c r="H372" s="15"/>
      <c r="I372" s="15"/>
      <c r="J372" s="15"/>
      <c r="K372" s="167"/>
      <c r="L372" s="15"/>
      <c r="M372" s="15"/>
      <c r="N372" s="15"/>
      <c r="O372" s="15"/>
      <c r="P372" s="15"/>
      <c r="Q372" s="15"/>
      <c r="R372" s="15"/>
      <c r="S372" s="15"/>
      <c r="T372" s="15"/>
      <c r="U372" s="15"/>
      <c r="V372" s="15"/>
      <c r="W372" s="15"/>
      <c r="X372" s="15"/>
      <c r="Y372" s="15"/>
      <c r="Z372" s="15"/>
    </row>
    <row r="373" spans="1:26" ht="15.75" customHeight="1" x14ac:dyDescent="0.25">
      <c r="A373" s="24"/>
      <c r="B373" s="25"/>
      <c r="C373" s="24"/>
      <c r="D373" s="24"/>
      <c r="E373" s="24"/>
      <c r="F373" s="26"/>
      <c r="G373" s="15"/>
      <c r="H373" s="15"/>
      <c r="I373" s="15"/>
      <c r="J373" s="15"/>
      <c r="K373" s="167"/>
      <c r="L373" s="15"/>
      <c r="M373" s="15"/>
      <c r="N373" s="15"/>
      <c r="O373" s="15"/>
      <c r="P373" s="15"/>
      <c r="Q373" s="15"/>
      <c r="R373" s="15"/>
      <c r="S373" s="15"/>
      <c r="T373" s="15"/>
      <c r="U373" s="15"/>
      <c r="V373" s="15"/>
      <c r="W373" s="15"/>
      <c r="X373" s="15"/>
      <c r="Y373" s="15"/>
      <c r="Z373" s="15"/>
    </row>
    <row r="374" spans="1:26" ht="15.75" customHeight="1" x14ac:dyDescent="0.25">
      <c r="A374" s="24"/>
      <c r="B374" s="25"/>
      <c r="C374" s="24"/>
      <c r="D374" s="24"/>
      <c r="E374" s="24"/>
      <c r="F374" s="26"/>
      <c r="G374" s="15"/>
      <c r="H374" s="15"/>
      <c r="I374" s="15"/>
      <c r="J374" s="15"/>
      <c r="K374" s="167"/>
      <c r="L374" s="15"/>
      <c r="M374" s="15"/>
      <c r="N374" s="15"/>
      <c r="O374" s="15"/>
      <c r="P374" s="15"/>
      <c r="Q374" s="15"/>
      <c r="R374" s="15"/>
      <c r="S374" s="15"/>
      <c r="T374" s="15"/>
      <c r="U374" s="15"/>
      <c r="V374" s="15"/>
      <c r="W374" s="15"/>
      <c r="X374" s="15"/>
      <c r="Y374" s="15"/>
      <c r="Z374" s="15"/>
    </row>
    <row r="375" spans="1:26" ht="15.75" customHeight="1" x14ac:dyDescent="0.25">
      <c r="A375" s="24"/>
      <c r="B375" s="25"/>
      <c r="C375" s="24"/>
      <c r="D375" s="24"/>
      <c r="E375" s="24"/>
      <c r="F375" s="26"/>
      <c r="G375" s="15"/>
      <c r="H375" s="15"/>
      <c r="I375" s="15"/>
      <c r="J375" s="15"/>
      <c r="K375" s="167"/>
      <c r="L375" s="15"/>
      <c r="M375" s="15"/>
      <c r="N375" s="15"/>
      <c r="O375" s="15"/>
      <c r="P375" s="15"/>
      <c r="Q375" s="15"/>
      <c r="R375" s="15"/>
      <c r="S375" s="15"/>
      <c r="T375" s="15"/>
      <c r="U375" s="15"/>
      <c r="V375" s="15"/>
      <c r="W375" s="15"/>
      <c r="X375" s="15"/>
      <c r="Y375" s="15"/>
      <c r="Z375" s="15"/>
    </row>
    <row r="376" spans="1:26" ht="15.75" customHeight="1" x14ac:dyDescent="0.25">
      <c r="A376" s="24"/>
      <c r="B376" s="25"/>
      <c r="C376" s="24"/>
      <c r="D376" s="24"/>
      <c r="E376" s="24"/>
      <c r="F376" s="26"/>
      <c r="G376" s="15"/>
      <c r="H376" s="15"/>
      <c r="I376" s="15"/>
      <c r="J376" s="15"/>
      <c r="K376" s="167"/>
      <c r="L376" s="15"/>
      <c r="M376" s="15"/>
      <c r="N376" s="15"/>
      <c r="O376" s="15"/>
      <c r="P376" s="15"/>
      <c r="Q376" s="15"/>
      <c r="R376" s="15"/>
      <c r="S376" s="15"/>
      <c r="T376" s="15"/>
      <c r="U376" s="15"/>
      <c r="V376" s="15"/>
      <c r="W376" s="15"/>
      <c r="X376" s="15"/>
      <c r="Y376" s="15"/>
      <c r="Z376" s="15"/>
    </row>
    <row r="377" spans="1:26" ht="15.75" customHeight="1" x14ac:dyDescent="0.25">
      <c r="A377" s="24"/>
      <c r="B377" s="25"/>
      <c r="C377" s="24"/>
      <c r="D377" s="24"/>
      <c r="E377" s="24"/>
      <c r="F377" s="26"/>
      <c r="G377" s="15"/>
      <c r="H377" s="15"/>
      <c r="I377" s="15"/>
      <c r="J377" s="15"/>
      <c r="K377" s="167"/>
      <c r="L377" s="15"/>
      <c r="M377" s="15"/>
      <c r="N377" s="15"/>
      <c r="O377" s="15"/>
      <c r="P377" s="15"/>
      <c r="Q377" s="15"/>
      <c r="R377" s="15"/>
      <c r="S377" s="15"/>
      <c r="T377" s="15"/>
      <c r="U377" s="15"/>
      <c r="V377" s="15"/>
      <c r="W377" s="15"/>
      <c r="X377" s="15"/>
      <c r="Y377" s="15"/>
      <c r="Z377" s="15"/>
    </row>
    <row r="378" spans="1:26" ht="15.75" customHeight="1" x14ac:dyDescent="0.25">
      <c r="A378" s="24"/>
      <c r="B378" s="25"/>
      <c r="C378" s="24"/>
      <c r="D378" s="24"/>
      <c r="E378" s="24"/>
      <c r="F378" s="26"/>
      <c r="G378" s="15"/>
      <c r="H378" s="15"/>
      <c r="I378" s="15"/>
      <c r="J378" s="15"/>
      <c r="K378" s="167"/>
      <c r="L378" s="15"/>
      <c r="M378" s="15"/>
      <c r="N378" s="15"/>
      <c r="O378" s="15"/>
      <c r="P378" s="15"/>
      <c r="Q378" s="15"/>
      <c r="R378" s="15"/>
      <c r="S378" s="15"/>
      <c r="T378" s="15"/>
      <c r="U378" s="15"/>
      <c r="V378" s="15"/>
      <c r="W378" s="15"/>
      <c r="X378" s="15"/>
      <c r="Y378" s="15"/>
      <c r="Z378" s="15"/>
    </row>
    <row r="379" spans="1:26" ht="15.75" customHeight="1" x14ac:dyDescent="0.25">
      <c r="A379" s="24"/>
      <c r="B379" s="25"/>
      <c r="C379" s="24"/>
      <c r="D379" s="24"/>
      <c r="E379" s="24"/>
      <c r="F379" s="26"/>
      <c r="G379" s="15"/>
      <c r="H379" s="15"/>
      <c r="I379" s="15"/>
      <c r="J379" s="15"/>
      <c r="K379" s="167"/>
      <c r="L379" s="15"/>
      <c r="M379" s="15"/>
      <c r="N379" s="15"/>
      <c r="O379" s="15"/>
      <c r="P379" s="15"/>
      <c r="Q379" s="15"/>
      <c r="R379" s="15"/>
      <c r="S379" s="15"/>
      <c r="T379" s="15"/>
      <c r="U379" s="15"/>
      <c r="V379" s="15"/>
      <c r="W379" s="15"/>
      <c r="X379" s="15"/>
      <c r="Y379" s="15"/>
      <c r="Z379" s="15"/>
    </row>
    <row r="380" spans="1:26" ht="15.75" customHeight="1" x14ac:dyDescent="0.25">
      <c r="A380" s="24"/>
      <c r="B380" s="25"/>
      <c r="C380" s="24"/>
      <c r="D380" s="24"/>
      <c r="E380" s="24"/>
      <c r="F380" s="26"/>
      <c r="G380" s="15"/>
      <c r="H380" s="15"/>
      <c r="I380" s="15"/>
      <c r="J380" s="15"/>
      <c r="K380" s="167"/>
      <c r="L380" s="15"/>
      <c r="M380" s="15"/>
      <c r="N380" s="15"/>
      <c r="O380" s="15"/>
      <c r="P380" s="15"/>
      <c r="Q380" s="15"/>
      <c r="R380" s="15"/>
      <c r="S380" s="15"/>
      <c r="T380" s="15"/>
      <c r="U380" s="15"/>
      <c r="V380" s="15"/>
      <c r="W380" s="15"/>
      <c r="X380" s="15"/>
      <c r="Y380" s="15"/>
      <c r="Z380" s="15"/>
    </row>
    <row r="381" spans="1:26" ht="15.75" customHeight="1" x14ac:dyDescent="0.25">
      <c r="A381" s="24"/>
      <c r="B381" s="25"/>
      <c r="C381" s="24"/>
      <c r="D381" s="24"/>
      <c r="E381" s="24"/>
      <c r="F381" s="26"/>
      <c r="G381" s="15"/>
      <c r="H381" s="15"/>
      <c r="I381" s="15"/>
      <c r="J381" s="15"/>
      <c r="K381" s="167"/>
      <c r="L381" s="15"/>
      <c r="M381" s="15"/>
      <c r="N381" s="15"/>
      <c r="O381" s="15"/>
      <c r="P381" s="15"/>
      <c r="Q381" s="15"/>
      <c r="R381" s="15"/>
      <c r="S381" s="15"/>
      <c r="T381" s="15"/>
      <c r="U381" s="15"/>
      <c r="V381" s="15"/>
      <c r="W381" s="15"/>
      <c r="X381" s="15"/>
      <c r="Y381" s="15"/>
      <c r="Z381" s="15"/>
    </row>
    <row r="382" spans="1:26" ht="15.75" customHeight="1" x14ac:dyDescent="0.25">
      <c r="A382" s="24"/>
      <c r="B382" s="25"/>
      <c r="C382" s="24"/>
      <c r="D382" s="24"/>
      <c r="E382" s="24"/>
      <c r="F382" s="26"/>
      <c r="G382" s="15"/>
      <c r="H382" s="15"/>
      <c r="I382" s="15"/>
      <c r="J382" s="15"/>
      <c r="K382" s="167"/>
      <c r="L382" s="15"/>
      <c r="M382" s="15"/>
      <c r="N382" s="15"/>
      <c r="O382" s="15"/>
      <c r="P382" s="15"/>
      <c r="Q382" s="15"/>
      <c r="R382" s="15"/>
      <c r="S382" s="15"/>
      <c r="T382" s="15"/>
      <c r="U382" s="15"/>
      <c r="V382" s="15"/>
      <c r="W382" s="15"/>
      <c r="X382" s="15"/>
      <c r="Y382" s="15"/>
      <c r="Z382" s="15"/>
    </row>
    <row r="383" spans="1:26" ht="15.75" customHeight="1" x14ac:dyDescent="0.25">
      <c r="A383" s="24"/>
      <c r="B383" s="25"/>
      <c r="C383" s="24"/>
      <c r="D383" s="24"/>
      <c r="E383" s="24"/>
      <c r="F383" s="26"/>
      <c r="G383" s="15"/>
      <c r="H383" s="15"/>
      <c r="I383" s="15"/>
      <c r="J383" s="15"/>
      <c r="K383" s="167"/>
      <c r="L383" s="15"/>
      <c r="M383" s="15"/>
      <c r="N383" s="15"/>
      <c r="O383" s="15"/>
      <c r="P383" s="15"/>
      <c r="Q383" s="15"/>
      <c r="R383" s="15"/>
      <c r="S383" s="15"/>
      <c r="T383" s="15"/>
      <c r="U383" s="15"/>
      <c r="V383" s="15"/>
      <c r="W383" s="15"/>
      <c r="X383" s="15"/>
      <c r="Y383" s="15"/>
      <c r="Z383" s="15"/>
    </row>
    <row r="384" spans="1:26" ht="15.75" customHeight="1" x14ac:dyDescent="0.25">
      <c r="A384" s="24"/>
      <c r="B384" s="25"/>
      <c r="C384" s="24"/>
      <c r="D384" s="24"/>
      <c r="E384" s="24"/>
      <c r="F384" s="26"/>
      <c r="G384" s="15"/>
      <c r="H384" s="15"/>
      <c r="I384" s="15"/>
      <c r="J384" s="15"/>
      <c r="K384" s="167"/>
      <c r="L384" s="15"/>
      <c r="M384" s="15"/>
      <c r="N384" s="15"/>
      <c r="O384" s="15"/>
      <c r="P384" s="15"/>
      <c r="Q384" s="15"/>
      <c r="R384" s="15"/>
      <c r="S384" s="15"/>
      <c r="T384" s="15"/>
      <c r="U384" s="15"/>
      <c r="V384" s="15"/>
      <c r="W384" s="15"/>
      <c r="X384" s="15"/>
      <c r="Y384" s="15"/>
      <c r="Z384" s="15"/>
    </row>
    <row r="385" spans="1:26" ht="15.75" customHeight="1" x14ac:dyDescent="0.25">
      <c r="A385" s="24"/>
      <c r="B385" s="25"/>
      <c r="C385" s="24"/>
      <c r="D385" s="24"/>
      <c r="E385" s="24"/>
      <c r="F385" s="26"/>
      <c r="G385" s="15"/>
      <c r="H385" s="15"/>
      <c r="I385" s="15"/>
      <c r="J385" s="15"/>
      <c r="K385" s="167"/>
      <c r="L385" s="15"/>
      <c r="M385" s="15"/>
      <c r="N385" s="15"/>
      <c r="O385" s="15"/>
      <c r="P385" s="15"/>
      <c r="Q385" s="15"/>
      <c r="R385" s="15"/>
      <c r="S385" s="15"/>
      <c r="T385" s="15"/>
      <c r="U385" s="15"/>
      <c r="V385" s="15"/>
      <c r="W385" s="15"/>
      <c r="X385" s="15"/>
      <c r="Y385" s="15"/>
      <c r="Z385" s="15"/>
    </row>
    <row r="386" spans="1:26" ht="15.75" customHeight="1" x14ac:dyDescent="0.25">
      <c r="A386" s="24"/>
      <c r="B386" s="25"/>
      <c r="C386" s="24"/>
      <c r="D386" s="24"/>
      <c r="E386" s="24"/>
      <c r="F386" s="26"/>
      <c r="G386" s="15"/>
      <c r="H386" s="15"/>
      <c r="I386" s="15"/>
      <c r="J386" s="15"/>
      <c r="K386" s="167"/>
      <c r="L386" s="15"/>
      <c r="M386" s="15"/>
      <c r="N386" s="15"/>
      <c r="O386" s="15"/>
      <c r="P386" s="15"/>
      <c r="Q386" s="15"/>
      <c r="R386" s="15"/>
      <c r="S386" s="15"/>
      <c r="T386" s="15"/>
      <c r="U386" s="15"/>
      <c r="V386" s="15"/>
      <c r="W386" s="15"/>
      <c r="X386" s="15"/>
      <c r="Y386" s="15"/>
      <c r="Z386" s="15"/>
    </row>
    <row r="387" spans="1:26" ht="15.75" customHeight="1" x14ac:dyDescent="0.25">
      <c r="A387" s="24"/>
      <c r="B387" s="25"/>
      <c r="C387" s="24"/>
      <c r="D387" s="24"/>
      <c r="E387" s="24"/>
      <c r="F387" s="26"/>
      <c r="G387" s="15"/>
      <c r="H387" s="15"/>
      <c r="I387" s="15"/>
      <c r="J387" s="15"/>
      <c r="K387" s="167"/>
      <c r="L387" s="15"/>
      <c r="M387" s="15"/>
      <c r="N387" s="15"/>
      <c r="O387" s="15"/>
      <c r="P387" s="15"/>
      <c r="Q387" s="15"/>
      <c r="R387" s="15"/>
      <c r="S387" s="15"/>
      <c r="T387" s="15"/>
      <c r="U387" s="15"/>
      <c r="V387" s="15"/>
      <c r="W387" s="15"/>
      <c r="X387" s="15"/>
      <c r="Y387" s="15"/>
      <c r="Z387" s="15"/>
    </row>
    <row r="388" spans="1:26" ht="15.75" customHeight="1" x14ac:dyDescent="0.25">
      <c r="A388" s="24"/>
      <c r="B388" s="25"/>
      <c r="C388" s="24"/>
      <c r="D388" s="24"/>
      <c r="E388" s="24"/>
      <c r="F388" s="26"/>
      <c r="G388" s="15"/>
      <c r="H388" s="15"/>
      <c r="I388" s="15"/>
      <c r="J388" s="15"/>
      <c r="K388" s="167"/>
      <c r="L388" s="15"/>
      <c r="M388" s="15"/>
      <c r="N388" s="15"/>
      <c r="O388" s="15"/>
      <c r="P388" s="15"/>
      <c r="Q388" s="15"/>
      <c r="R388" s="15"/>
      <c r="S388" s="15"/>
      <c r="T388" s="15"/>
      <c r="U388" s="15"/>
      <c r="V388" s="15"/>
      <c r="W388" s="15"/>
      <c r="X388" s="15"/>
      <c r="Y388" s="15"/>
      <c r="Z388" s="15"/>
    </row>
    <row r="389" spans="1:26" ht="15.75" customHeight="1" x14ac:dyDescent="0.25">
      <c r="A389" s="24"/>
      <c r="B389" s="25"/>
      <c r="C389" s="24"/>
      <c r="D389" s="24"/>
      <c r="E389" s="24"/>
      <c r="F389" s="26"/>
      <c r="G389" s="15"/>
      <c r="H389" s="15"/>
      <c r="I389" s="15"/>
      <c r="J389" s="15"/>
      <c r="K389" s="167"/>
      <c r="L389" s="15"/>
      <c r="M389" s="15"/>
      <c r="N389" s="15"/>
      <c r="O389" s="15"/>
      <c r="P389" s="15"/>
      <c r="Q389" s="15"/>
      <c r="R389" s="15"/>
      <c r="S389" s="15"/>
      <c r="T389" s="15"/>
      <c r="U389" s="15"/>
      <c r="V389" s="15"/>
      <c r="W389" s="15"/>
      <c r="X389" s="15"/>
      <c r="Y389" s="15"/>
      <c r="Z389" s="15"/>
    </row>
    <row r="390" spans="1:26" ht="15.75" customHeight="1" x14ac:dyDescent="0.25">
      <c r="A390" s="24"/>
      <c r="B390" s="25"/>
      <c r="C390" s="24"/>
      <c r="D390" s="24"/>
      <c r="E390" s="24"/>
      <c r="F390" s="26"/>
      <c r="G390" s="15"/>
      <c r="H390" s="15"/>
      <c r="I390" s="15"/>
      <c r="J390" s="15"/>
      <c r="K390" s="167"/>
      <c r="L390" s="15"/>
      <c r="M390" s="15"/>
      <c r="N390" s="15"/>
      <c r="O390" s="15"/>
      <c r="P390" s="15"/>
      <c r="Q390" s="15"/>
      <c r="R390" s="15"/>
      <c r="S390" s="15"/>
      <c r="T390" s="15"/>
      <c r="U390" s="15"/>
      <c r="V390" s="15"/>
      <c r="W390" s="15"/>
      <c r="X390" s="15"/>
      <c r="Y390" s="15"/>
      <c r="Z390" s="15"/>
    </row>
    <row r="391" spans="1:26" ht="15.75" customHeight="1" x14ac:dyDescent="0.25">
      <c r="A391" s="24"/>
      <c r="B391" s="25"/>
      <c r="C391" s="24"/>
      <c r="D391" s="24"/>
      <c r="E391" s="24"/>
      <c r="F391" s="26"/>
      <c r="G391" s="15"/>
      <c r="H391" s="15"/>
      <c r="I391" s="15"/>
      <c r="J391" s="15"/>
      <c r="K391" s="167"/>
      <c r="L391" s="15"/>
      <c r="M391" s="15"/>
      <c r="N391" s="15"/>
      <c r="O391" s="15"/>
      <c r="P391" s="15"/>
      <c r="Q391" s="15"/>
      <c r="R391" s="15"/>
      <c r="S391" s="15"/>
      <c r="T391" s="15"/>
      <c r="U391" s="15"/>
      <c r="V391" s="15"/>
      <c r="W391" s="15"/>
      <c r="X391" s="15"/>
      <c r="Y391" s="15"/>
      <c r="Z391" s="15"/>
    </row>
    <row r="392" spans="1:26" ht="15.75" customHeight="1" x14ac:dyDescent="0.25">
      <c r="A392" s="24"/>
      <c r="B392" s="25"/>
      <c r="C392" s="24"/>
      <c r="D392" s="24"/>
      <c r="E392" s="24"/>
      <c r="F392" s="26"/>
      <c r="G392" s="15"/>
      <c r="H392" s="15"/>
      <c r="I392" s="15"/>
      <c r="J392" s="15"/>
      <c r="K392" s="167"/>
      <c r="L392" s="15"/>
      <c r="M392" s="15"/>
      <c r="N392" s="15"/>
      <c r="O392" s="15"/>
      <c r="P392" s="15"/>
      <c r="Q392" s="15"/>
      <c r="R392" s="15"/>
      <c r="S392" s="15"/>
      <c r="T392" s="15"/>
      <c r="U392" s="15"/>
      <c r="V392" s="15"/>
      <c r="W392" s="15"/>
      <c r="X392" s="15"/>
      <c r="Y392" s="15"/>
      <c r="Z392" s="15"/>
    </row>
    <row r="393" spans="1:26" ht="15.75" customHeight="1" x14ac:dyDescent="0.25">
      <c r="A393" s="24"/>
      <c r="B393" s="25"/>
      <c r="C393" s="24"/>
      <c r="D393" s="24"/>
      <c r="E393" s="24"/>
      <c r="F393" s="26"/>
      <c r="G393" s="15"/>
      <c r="H393" s="15"/>
      <c r="I393" s="15"/>
      <c r="J393" s="15"/>
      <c r="K393" s="167"/>
      <c r="L393" s="15"/>
      <c r="M393" s="15"/>
      <c r="N393" s="15"/>
      <c r="O393" s="15"/>
      <c r="P393" s="15"/>
      <c r="Q393" s="15"/>
      <c r="R393" s="15"/>
      <c r="S393" s="15"/>
      <c r="T393" s="15"/>
      <c r="U393" s="15"/>
      <c r="V393" s="15"/>
      <c r="W393" s="15"/>
      <c r="X393" s="15"/>
      <c r="Y393" s="15"/>
      <c r="Z393" s="15"/>
    </row>
    <row r="394" spans="1:26" ht="15.75" customHeight="1" x14ac:dyDescent="0.25">
      <c r="A394" s="24"/>
      <c r="B394" s="25"/>
      <c r="C394" s="24"/>
      <c r="D394" s="24"/>
      <c r="E394" s="24"/>
      <c r="F394" s="26"/>
      <c r="G394" s="15"/>
      <c r="H394" s="15"/>
      <c r="I394" s="15"/>
      <c r="J394" s="15"/>
      <c r="K394" s="167"/>
      <c r="L394" s="15"/>
      <c r="M394" s="15"/>
      <c r="N394" s="15"/>
      <c r="O394" s="15"/>
      <c r="P394" s="15"/>
      <c r="Q394" s="15"/>
      <c r="R394" s="15"/>
      <c r="S394" s="15"/>
      <c r="T394" s="15"/>
      <c r="U394" s="15"/>
      <c r="V394" s="15"/>
      <c r="W394" s="15"/>
      <c r="X394" s="15"/>
      <c r="Y394" s="15"/>
      <c r="Z394" s="15"/>
    </row>
    <row r="395" spans="1:26" ht="15.75" customHeight="1" x14ac:dyDescent="0.25">
      <c r="A395" s="24"/>
      <c r="B395" s="25"/>
      <c r="C395" s="24"/>
      <c r="D395" s="24"/>
      <c r="E395" s="24"/>
      <c r="F395" s="26"/>
      <c r="G395" s="15"/>
      <c r="H395" s="15"/>
      <c r="I395" s="15"/>
      <c r="J395" s="15"/>
      <c r="K395" s="167"/>
      <c r="L395" s="15"/>
      <c r="M395" s="15"/>
      <c r="N395" s="15"/>
      <c r="O395" s="15"/>
      <c r="P395" s="15"/>
      <c r="Q395" s="15"/>
      <c r="R395" s="15"/>
      <c r="S395" s="15"/>
      <c r="T395" s="15"/>
      <c r="U395" s="15"/>
      <c r="V395" s="15"/>
      <c r="W395" s="15"/>
      <c r="X395" s="15"/>
      <c r="Y395" s="15"/>
      <c r="Z395" s="15"/>
    </row>
    <row r="396" spans="1:26" ht="15.75" customHeight="1" x14ac:dyDescent="0.25">
      <c r="K396" s="168"/>
    </row>
    <row r="397" spans="1:26" ht="15.75" customHeight="1" x14ac:dyDescent="0.25">
      <c r="K397" s="168"/>
    </row>
    <row r="398" spans="1:26" ht="15.75" customHeight="1" x14ac:dyDescent="0.25">
      <c r="K398" s="168"/>
    </row>
    <row r="399" spans="1:26" ht="15.75" customHeight="1" x14ac:dyDescent="0.25">
      <c r="K399" s="168"/>
    </row>
    <row r="400" spans="1:26"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sheetData>
  <mergeCells count="49">
    <mergeCell ref="A140:G140"/>
    <mergeCell ref="A141:A144"/>
    <mergeCell ref="B141:B144"/>
    <mergeCell ref="C141:C142"/>
    <mergeCell ref="D141:F141"/>
    <mergeCell ref="G141:G142"/>
    <mergeCell ref="F142:F143"/>
    <mergeCell ref="D100:F100"/>
    <mergeCell ref="G100:G101"/>
    <mergeCell ref="D73:F73"/>
    <mergeCell ref="G73:G74"/>
    <mergeCell ref="F74:F75"/>
    <mergeCell ref="A99:G99"/>
    <mergeCell ref="A100:A103"/>
    <mergeCell ref="B100:B103"/>
    <mergeCell ref="C100:C101"/>
    <mergeCell ref="F101:F102"/>
    <mergeCell ref="A54:A57"/>
    <mergeCell ref="A73:A76"/>
    <mergeCell ref="B73:B76"/>
    <mergeCell ref="C73:C74"/>
    <mergeCell ref="A53:G53"/>
    <mergeCell ref="B54:B57"/>
    <mergeCell ref="C54:C55"/>
    <mergeCell ref="D54:F54"/>
    <mergeCell ref="G54:G55"/>
    <mergeCell ref="F55:F56"/>
    <mergeCell ref="A72:G72"/>
    <mergeCell ref="A6:G6"/>
    <mergeCell ref="A7:A10"/>
    <mergeCell ref="B7:B10"/>
    <mergeCell ref="C7:C8"/>
    <mergeCell ref="D7:F7"/>
    <mergeCell ref="G7:G8"/>
    <mergeCell ref="F8:F9"/>
    <mergeCell ref="A203:G203"/>
    <mergeCell ref="A204:A207"/>
    <mergeCell ref="B204:B207"/>
    <mergeCell ref="C204:C205"/>
    <mergeCell ref="D204:F204"/>
    <mergeCell ref="G204:G205"/>
    <mergeCell ref="F205:F206"/>
    <mergeCell ref="A167:G167"/>
    <mergeCell ref="A168:A171"/>
    <mergeCell ref="B168:B171"/>
    <mergeCell ref="C168:C169"/>
    <mergeCell ref="D168:F168"/>
    <mergeCell ref="G168:G169"/>
    <mergeCell ref="F169:F170"/>
  </mergeCells>
  <pageMargins left="0.39370078740157483" right="0.39370078740157483" top="0.39370078740157483" bottom="0.39370078740157483" header="0" footer="0"/>
  <pageSetup paperSize="9" scale="87" fitToHeight="0" orientation="portrait" r:id="rId1"/>
  <rowBreaks count="4" manualBreakCount="4">
    <brk id="48" max="6" man="1"/>
    <brk id="94" max="6" man="1"/>
    <brk id="135" max="6" man="1"/>
    <brk id="162"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sheetPr>
  <dimension ref="A1:Z989"/>
  <sheetViews>
    <sheetView view="pageBreakPreview" topLeftCell="A21" zoomScale="115" zoomScaleNormal="100" zoomScaleSheetLayoutView="115" workbookViewId="0">
      <selection activeCell="A9" sqref="A9"/>
    </sheetView>
  </sheetViews>
  <sheetFormatPr defaultColWidth="14.42578125" defaultRowHeight="15" customHeight="1" x14ac:dyDescent="0.25"/>
  <cols>
    <col min="1" max="1" width="80.140625" customWidth="1"/>
    <col min="2" max="2" width="15.7109375" customWidth="1"/>
    <col min="3" max="3" width="17.85546875" hidden="1" customWidth="1"/>
    <col min="4" max="4" width="17.5703125" hidden="1" customWidth="1"/>
    <col min="5" max="5" width="17.7109375" hidden="1" customWidth="1"/>
    <col min="6" max="6" width="17.5703125" hidden="1" customWidth="1"/>
    <col min="7" max="7" width="17.85546875" customWidth="1"/>
    <col min="8" max="8" width="15.7109375" customWidth="1"/>
    <col min="9" max="10" width="10.28515625" customWidth="1"/>
    <col min="11" max="11" width="13.28515625" customWidth="1"/>
    <col min="12" max="26" width="10.28515625" customWidth="1"/>
  </cols>
  <sheetData>
    <row r="1" spans="1:26" ht="15.75" customHeight="1" x14ac:dyDescent="0.25">
      <c r="A1" s="9"/>
      <c r="B1" s="104"/>
      <c r="C1" s="105"/>
      <c r="D1" s="105"/>
      <c r="E1" s="105"/>
      <c r="F1" s="10"/>
      <c r="G1" s="180"/>
      <c r="H1" s="15"/>
      <c r="I1" s="15"/>
      <c r="J1" s="15"/>
      <c r="K1" s="167"/>
      <c r="L1" s="15"/>
      <c r="M1" s="15"/>
      <c r="N1" s="15"/>
      <c r="O1" s="15"/>
      <c r="P1" s="15"/>
      <c r="Q1" s="15"/>
      <c r="R1" s="15"/>
      <c r="S1" s="15"/>
      <c r="T1" s="15"/>
      <c r="U1" s="15"/>
      <c r="V1" s="15"/>
      <c r="W1" s="15"/>
      <c r="X1" s="15"/>
      <c r="Y1" s="15"/>
      <c r="Z1" s="15"/>
    </row>
    <row r="2" spans="1:26" ht="15.75" customHeight="1" x14ac:dyDescent="0.25">
      <c r="A2" s="108" t="s">
        <v>1967</v>
      </c>
      <c r="B2" s="25"/>
      <c r="C2" s="26"/>
      <c r="D2" s="26"/>
      <c r="E2" s="26"/>
      <c r="F2" s="14"/>
      <c r="G2" s="181"/>
      <c r="H2" s="15"/>
      <c r="I2" s="15"/>
      <c r="J2" s="15"/>
      <c r="K2" s="167"/>
      <c r="L2" s="15"/>
      <c r="M2" s="15"/>
      <c r="N2" s="15"/>
      <c r="O2" s="15"/>
      <c r="P2" s="15"/>
      <c r="Q2" s="15"/>
      <c r="R2" s="15"/>
      <c r="S2" s="15"/>
      <c r="T2" s="15"/>
      <c r="U2" s="15"/>
      <c r="V2" s="15"/>
      <c r="W2" s="15"/>
      <c r="X2" s="15"/>
      <c r="Y2" s="15"/>
      <c r="Z2" s="15"/>
    </row>
    <row r="3" spans="1:26" ht="15.75" customHeight="1" x14ac:dyDescent="0.25">
      <c r="A3" s="108"/>
      <c r="B3" s="25"/>
      <c r="C3" s="26"/>
      <c r="D3" s="26"/>
      <c r="E3" s="26"/>
      <c r="F3" s="14"/>
      <c r="G3" s="181"/>
      <c r="H3" s="15"/>
      <c r="I3" s="15"/>
      <c r="J3" s="15"/>
      <c r="K3" s="167"/>
      <c r="L3" s="15"/>
      <c r="M3" s="15"/>
      <c r="N3" s="15"/>
      <c r="O3" s="15"/>
      <c r="P3" s="15"/>
      <c r="Q3" s="15"/>
      <c r="R3" s="15"/>
      <c r="S3" s="15"/>
      <c r="T3" s="15"/>
      <c r="U3" s="15"/>
      <c r="V3" s="15"/>
      <c r="W3" s="15"/>
      <c r="X3" s="15"/>
      <c r="Y3" s="15"/>
      <c r="Z3" s="15"/>
    </row>
    <row r="4" spans="1:26" ht="15.75" customHeight="1" x14ac:dyDescent="0.25">
      <c r="A4" s="865" t="s">
        <v>352</v>
      </c>
      <c r="B4" s="866"/>
      <c r="C4" s="866"/>
      <c r="D4" s="866"/>
      <c r="E4" s="866"/>
      <c r="F4" s="866"/>
      <c r="G4" s="867"/>
      <c r="H4" s="15"/>
      <c r="I4" s="15"/>
      <c r="J4" s="15"/>
      <c r="K4" s="167"/>
      <c r="L4" s="15"/>
      <c r="M4" s="15"/>
      <c r="N4" s="15"/>
      <c r="O4" s="15"/>
      <c r="P4" s="15"/>
      <c r="Q4" s="15"/>
      <c r="R4" s="15"/>
      <c r="S4" s="15"/>
      <c r="T4" s="15"/>
      <c r="U4" s="15"/>
      <c r="V4" s="15"/>
      <c r="W4" s="15"/>
      <c r="X4" s="15"/>
      <c r="Y4" s="15"/>
      <c r="Z4" s="15"/>
    </row>
    <row r="5" spans="1:26" ht="15.75" customHeight="1" x14ac:dyDescent="0.25">
      <c r="A5" s="868" t="s">
        <v>1194</v>
      </c>
      <c r="B5" s="857" t="s">
        <v>354</v>
      </c>
      <c r="C5" s="857" t="s">
        <v>355</v>
      </c>
      <c r="D5" s="884" t="s">
        <v>356</v>
      </c>
      <c r="E5" s="885"/>
      <c r="F5" s="886"/>
      <c r="G5" s="857" t="s">
        <v>357</v>
      </c>
      <c r="H5" s="15"/>
      <c r="I5" s="15"/>
      <c r="J5" s="15"/>
      <c r="K5" s="167"/>
      <c r="L5" s="15"/>
      <c r="M5" s="15"/>
      <c r="N5" s="15"/>
      <c r="O5" s="15"/>
      <c r="P5" s="15"/>
      <c r="Q5" s="15"/>
      <c r="R5" s="15"/>
      <c r="S5" s="15"/>
      <c r="T5" s="15"/>
      <c r="U5" s="15"/>
      <c r="V5" s="15"/>
      <c r="W5" s="15"/>
      <c r="X5" s="15"/>
      <c r="Y5" s="15"/>
      <c r="Z5" s="15"/>
    </row>
    <row r="6" spans="1:26" ht="15.75" customHeight="1" x14ac:dyDescent="0.25">
      <c r="A6" s="858"/>
      <c r="B6" s="858"/>
      <c r="C6" s="858"/>
      <c r="D6" s="28" t="s">
        <v>358</v>
      </c>
      <c r="E6" s="29" t="s">
        <v>359</v>
      </c>
      <c r="F6" s="857" t="s">
        <v>360</v>
      </c>
      <c r="G6" s="858"/>
      <c r="H6" s="15"/>
      <c r="I6" s="15"/>
      <c r="J6" s="15"/>
      <c r="K6" s="167"/>
      <c r="L6" s="15"/>
      <c r="M6" s="15"/>
      <c r="N6" s="15"/>
      <c r="O6" s="15"/>
      <c r="P6" s="15"/>
      <c r="Q6" s="15"/>
      <c r="R6" s="15"/>
      <c r="S6" s="15"/>
      <c r="T6" s="15"/>
      <c r="U6" s="15"/>
      <c r="V6" s="15"/>
      <c r="W6" s="15"/>
      <c r="X6" s="15"/>
      <c r="Y6" s="15"/>
      <c r="Z6" s="15"/>
    </row>
    <row r="7" spans="1:26" ht="15.75" customHeight="1" x14ac:dyDescent="0.25">
      <c r="A7" s="858"/>
      <c r="B7" s="858"/>
      <c r="C7" s="30" t="s">
        <v>361</v>
      </c>
      <c r="D7" s="31" t="s">
        <v>361</v>
      </c>
      <c r="E7" s="32" t="s">
        <v>362</v>
      </c>
      <c r="F7" s="858"/>
      <c r="G7" s="442" t="s">
        <v>2669</v>
      </c>
      <c r="H7" s="15"/>
      <c r="I7" s="15"/>
      <c r="J7" s="15"/>
      <c r="K7" s="167"/>
      <c r="L7" s="15"/>
      <c r="M7" s="15"/>
      <c r="N7" s="15"/>
      <c r="O7" s="15"/>
      <c r="P7" s="15"/>
      <c r="Q7" s="15"/>
      <c r="R7" s="15"/>
      <c r="S7" s="15"/>
      <c r="T7" s="15"/>
      <c r="U7" s="15"/>
      <c r="V7" s="15"/>
      <c r="W7" s="15"/>
      <c r="X7" s="15"/>
      <c r="Y7" s="15"/>
      <c r="Z7" s="15"/>
    </row>
    <row r="8" spans="1:26" ht="15.75" customHeight="1" x14ac:dyDescent="0.25">
      <c r="A8" s="869"/>
      <c r="B8" s="869"/>
      <c r="C8" s="33">
        <v>2024</v>
      </c>
      <c r="D8" s="34">
        <v>2025</v>
      </c>
      <c r="E8" s="35">
        <v>2025</v>
      </c>
      <c r="F8" s="34">
        <v>2025</v>
      </c>
      <c r="G8" s="36" t="s">
        <v>2668</v>
      </c>
      <c r="H8" s="15"/>
      <c r="I8" s="15"/>
      <c r="J8" s="15"/>
      <c r="K8" s="167"/>
      <c r="L8" s="15"/>
      <c r="M8" s="15"/>
      <c r="N8" s="15"/>
      <c r="O8" s="15"/>
      <c r="P8" s="15"/>
      <c r="Q8" s="15"/>
      <c r="R8" s="15"/>
      <c r="S8" s="15"/>
      <c r="T8" s="15"/>
      <c r="U8" s="15"/>
      <c r="V8" s="15"/>
      <c r="W8" s="15"/>
      <c r="X8" s="15"/>
      <c r="Y8" s="15"/>
      <c r="Z8" s="15"/>
    </row>
    <row r="9" spans="1:26" ht="15.75" customHeight="1" x14ac:dyDescent="0.25">
      <c r="A9" s="17" t="s">
        <v>364</v>
      </c>
      <c r="B9" s="172"/>
      <c r="C9" s="42"/>
      <c r="D9" s="42"/>
      <c r="E9" s="42"/>
      <c r="F9" s="42"/>
      <c r="G9" s="42"/>
      <c r="H9" s="15"/>
      <c r="I9" s="15"/>
      <c r="J9" s="15"/>
      <c r="K9" s="167"/>
      <c r="L9" s="15"/>
      <c r="M9" s="15"/>
      <c r="N9" s="15"/>
      <c r="O9" s="15"/>
      <c r="P9" s="15"/>
      <c r="Q9" s="15"/>
      <c r="R9" s="15"/>
      <c r="S9" s="15"/>
      <c r="T9" s="15"/>
      <c r="U9" s="15"/>
      <c r="V9" s="15"/>
      <c r="W9" s="15"/>
      <c r="X9" s="15"/>
      <c r="Y9" s="15"/>
      <c r="Z9" s="15"/>
    </row>
    <row r="10" spans="1:26" ht="15.75" customHeight="1" x14ac:dyDescent="0.25">
      <c r="A10" s="42" t="s">
        <v>1463</v>
      </c>
      <c r="B10" s="199"/>
      <c r="C10" s="42"/>
      <c r="D10" s="42"/>
      <c r="E10" s="42"/>
      <c r="F10" s="43"/>
      <c r="G10" s="42"/>
      <c r="H10" s="15"/>
      <c r="I10" s="15"/>
      <c r="J10" s="15"/>
      <c r="K10" s="167"/>
      <c r="L10" s="15"/>
      <c r="M10" s="15"/>
      <c r="N10" s="15"/>
      <c r="O10" s="15"/>
      <c r="P10" s="15"/>
      <c r="Q10" s="15"/>
      <c r="R10" s="15"/>
      <c r="S10" s="15"/>
      <c r="T10" s="15"/>
      <c r="U10" s="15"/>
      <c r="V10" s="15"/>
      <c r="W10" s="15"/>
      <c r="X10" s="15"/>
      <c r="Y10" s="15"/>
      <c r="Z10" s="15"/>
    </row>
    <row r="11" spans="1:26" ht="15.75" customHeight="1" x14ac:dyDescent="0.25">
      <c r="A11" s="17" t="s">
        <v>642</v>
      </c>
      <c r="B11" s="172"/>
      <c r="C11" s="43"/>
      <c r="D11" s="43"/>
      <c r="E11" s="43"/>
      <c r="F11" s="43"/>
      <c r="G11" s="43"/>
      <c r="H11" s="15"/>
      <c r="I11" s="15"/>
      <c r="J11" s="15"/>
      <c r="K11" s="167"/>
      <c r="L11" s="15"/>
      <c r="M11" s="15"/>
      <c r="N11" s="15"/>
      <c r="O11" s="15"/>
      <c r="P11" s="15"/>
      <c r="Q11" s="15"/>
      <c r="R11" s="15"/>
      <c r="S11" s="15"/>
      <c r="T11" s="15"/>
      <c r="U11" s="15"/>
      <c r="V11" s="15"/>
      <c r="W11" s="15"/>
      <c r="X11" s="15"/>
      <c r="Y11" s="15"/>
      <c r="Z11" s="15"/>
    </row>
    <row r="12" spans="1:26" ht="15.75" customHeight="1" x14ac:dyDescent="0.25">
      <c r="A12" s="44" t="s">
        <v>393</v>
      </c>
      <c r="B12" s="41" t="s">
        <v>187</v>
      </c>
      <c r="C12" s="43">
        <v>199241.19</v>
      </c>
      <c r="D12" s="43">
        <v>0</v>
      </c>
      <c r="E12" s="43">
        <f>F12-D12</f>
        <v>300000</v>
      </c>
      <c r="F12" s="43">
        <v>300000</v>
      </c>
      <c r="G12" s="43">
        <v>300000</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493</v>
      </c>
      <c r="B13" s="41"/>
      <c r="C13" s="43"/>
      <c r="D13" s="43"/>
      <c r="E13" s="43"/>
      <c r="F13" s="43"/>
      <c r="G13" s="43"/>
      <c r="H13" s="15"/>
      <c r="I13" s="15"/>
      <c r="J13" s="15"/>
      <c r="K13" s="167"/>
      <c r="L13" s="15"/>
      <c r="M13" s="15"/>
      <c r="N13" s="15"/>
      <c r="O13" s="15"/>
      <c r="P13" s="15"/>
      <c r="Q13" s="15"/>
      <c r="R13" s="15"/>
      <c r="S13" s="15"/>
      <c r="T13" s="15"/>
      <c r="U13" s="15"/>
      <c r="V13" s="15"/>
      <c r="W13" s="15"/>
      <c r="X13" s="15"/>
      <c r="Y13" s="15"/>
      <c r="Z13" s="15"/>
    </row>
    <row r="14" spans="1:26" ht="15.75" customHeight="1" x14ac:dyDescent="0.25">
      <c r="A14" s="44" t="s">
        <v>396</v>
      </c>
      <c r="B14" s="41" t="s">
        <v>191</v>
      </c>
      <c r="C14" s="43">
        <v>52497</v>
      </c>
      <c r="D14" s="43">
        <v>48100</v>
      </c>
      <c r="E14" s="43">
        <f>F14-D14</f>
        <v>2000</v>
      </c>
      <c r="F14" s="43">
        <v>50100</v>
      </c>
      <c r="G14" s="43">
        <v>207500</v>
      </c>
      <c r="H14" s="15"/>
      <c r="I14" s="15"/>
      <c r="J14" s="15"/>
      <c r="K14" s="167"/>
      <c r="L14" s="15"/>
      <c r="M14" s="15"/>
      <c r="N14" s="15"/>
      <c r="O14" s="15"/>
      <c r="P14" s="15"/>
      <c r="Q14" s="15"/>
      <c r="R14" s="15"/>
      <c r="S14" s="15"/>
      <c r="T14" s="15"/>
      <c r="U14" s="15"/>
      <c r="V14" s="15"/>
      <c r="W14" s="15"/>
      <c r="X14" s="15"/>
      <c r="Y14" s="15"/>
      <c r="Z14" s="15"/>
    </row>
    <row r="15" spans="1:26" ht="15.75" customHeight="1" x14ac:dyDescent="0.25">
      <c r="A15" s="17" t="s">
        <v>499</v>
      </c>
      <c r="B15" s="41"/>
      <c r="C15" s="43"/>
      <c r="D15" s="43"/>
      <c r="E15" s="43"/>
      <c r="F15" s="43"/>
      <c r="G15" s="43"/>
      <c r="H15" s="15"/>
      <c r="I15" s="15"/>
      <c r="J15" s="15"/>
      <c r="K15" s="167"/>
      <c r="L15" s="15"/>
      <c r="M15" s="15"/>
      <c r="N15" s="15"/>
      <c r="O15" s="15"/>
      <c r="P15" s="15"/>
      <c r="Q15" s="15"/>
      <c r="R15" s="15"/>
      <c r="S15" s="15"/>
      <c r="T15" s="15"/>
      <c r="U15" s="15"/>
      <c r="V15" s="15"/>
      <c r="W15" s="15"/>
      <c r="X15" s="15"/>
      <c r="Y15" s="15"/>
      <c r="Z15" s="15"/>
    </row>
    <row r="16" spans="1:26" ht="15.75" customHeight="1" x14ac:dyDescent="0.25">
      <c r="A16" s="44" t="s">
        <v>398</v>
      </c>
      <c r="B16" s="41" t="s">
        <v>195</v>
      </c>
      <c r="C16" s="43">
        <v>240506.96</v>
      </c>
      <c r="D16" s="43">
        <v>0</v>
      </c>
      <c r="E16" s="43">
        <f>F16-D16</f>
        <v>199960</v>
      </c>
      <c r="F16" s="43">
        <v>199960</v>
      </c>
      <c r="G16" s="43">
        <v>468846</v>
      </c>
      <c r="H16" s="15"/>
      <c r="I16" s="15"/>
      <c r="J16" s="15"/>
      <c r="K16" s="167"/>
      <c r="L16" s="15"/>
      <c r="M16" s="15"/>
      <c r="N16" s="15"/>
      <c r="O16" s="15"/>
      <c r="P16" s="15"/>
      <c r="Q16" s="15"/>
      <c r="R16" s="15"/>
      <c r="S16" s="15"/>
      <c r="T16" s="15"/>
      <c r="U16" s="15"/>
      <c r="V16" s="15"/>
      <c r="W16" s="15"/>
      <c r="X16" s="15"/>
      <c r="Y16" s="15"/>
      <c r="Z16" s="15"/>
    </row>
    <row r="17" spans="1:26" ht="15.75" customHeight="1" x14ac:dyDescent="0.25">
      <c r="A17" s="96" t="s">
        <v>400</v>
      </c>
      <c r="B17" s="41" t="s">
        <v>221</v>
      </c>
      <c r="C17" s="43">
        <v>0</v>
      </c>
      <c r="D17" s="43">
        <v>80000</v>
      </c>
      <c r="E17" s="43"/>
      <c r="F17" s="43">
        <v>80000</v>
      </c>
      <c r="G17" s="43">
        <v>65500</v>
      </c>
      <c r="H17" s="15"/>
      <c r="I17" s="15"/>
      <c r="J17" s="15"/>
      <c r="K17" s="167"/>
      <c r="L17" s="15"/>
      <c r="M17" s="15"/>
      <c r="N17" s="15"/>
      <c r="O17" s="15"/>
      <c r="P17" s="15"/>
      <c r="Q17" s="15"/>
      <c r="R17" s="15"/>
      <c r="S17" s="15"/>
      <c r="T17" s="15"/>
      <c r="U17" s="15"/>
      <c r="V17" s="15"/>
      <c r="W17" s="15"/>
      <c r="X17" s="15"/>
      <c r="Y17" s="15"/>
      <c r="Z17" s="15"/>
    </row>
    <row r="18" spans="1:26" ht="15.75" customHeight="1" x14ac:dyDescent="0.25">
      <c r="A18" s="44" t="s">
        <v>402</v>
      </c>
      <c r="B18" s="41" t="s">
        <v>225</v>
      </c>
      <c r="C18" s="43">
        <v>139901.31</v>
      </c>
      <c r="D18" s="43">
        <v>112140</v>
      </c>
      <c r="E18" s="43">
        <f>F18-D18</f>
        <v>62347</v>
      </c>
      <c r="F18" s="43">
        <v>174487</v>
      </c>
      <c r="G18" s="43">
        <v>130129</v>
      </c>
      <c r="H18" s="15"/>
      <c r="I18" s="15"/>
      <c r="J18" s="15"/>
      <c r="K18" s="167"/>
      <c r="L18" s="15"/>
      <c r="M18" s="15"/>
      <c r="N18" s="15"/>
      <c r="O18" s="15"/>
      <c r="P18" s="15"/>
      <c r="Q18" s="15"/>
      <c r="R18" s="15"/>
      <c r="S18" s="15"/>
      <c r="T18" s="15"/>
      <c r="U18" s="15"/>
      <c r="V18" s="15"/>
      <c r="W18" s="15"/>
      <c r="X18" s="15"/>
      <c r="Y18" s="15"/>
      <c r="Z18" s="15"/>
    </row>
    <row r="19" spans="1:26" ht="15.75" customHeight="1" x14ac:dyDescent="0.25">
      <c r="A19" s="17" t="s">
        <v>1380</v>
      </c>
      <c r="B19" s="41"/>
      <c r="C19" s="43"/>
      <c r="D19" s="43"/>
      <c r="E19" s="43"/>
      <c r="F19" s="43"/>
      <c r="G19" s="43"/>
      <c r="H19" s="15"/>
      <c r="I19" s="15"/>
      <c r="J19" s="15"/>
      <c r="K19" s="167"/>
      <c r="L19" s="15"/>
      <c r="M19" s="15"/>
      <c r="N19" s="15"/>
      <c r="O19" s="15"/>
      <c r="P19" s="15"/>
      <c r="Q19" s="15"/>
      <c r="R19" s="15"/>
      <c r="S19" s="15"/>
      <c r="T19" s="15"/>
      <c r="U19" s="15"/>
      <c r="V19" s="15"/>
      <c r="W19" s="15"/>
      <c r="X19" s="15"/>
      <c r="Y19" s="15"/>
      <c r="Z19" s="15"/>
    </row>
    <row r="20" spans="1:26" ht="15.75" customHeight="1" x14ac:dyDescent="0.25">
      <c r="A20" s="44" t="s">
        <v>1452</v>
      </c>
      <c r="B20" s="41" t="s">
        <v>315</v>
      </c>
      <c r="C20" s="43">
        <v>50000</v>
      </c>
      <c r="D20" s="43">
        <v>52500</v>
      </c>
      <c r="E20" s="43">
        <f>F20-D20</f>
        <v>7500</v>
      </c>
      <c r="F20" s="43">
        <v>60000</v>
      </c>
      <c r="G20" s="43">
        <v>100000</v>
      </c>
      <c r="H20" s="15"/>
      <c r="I20" s="15"/>
      <c r="J20" s="15"/>
      <c r="K20" s="167"/>
      <c r="L20" s="15"/>
      <c r="M20" s="15"/>
      <c r="N20" s="15"/>
      <c r="O20" s="15"/>
      <c r="P20" s="15"/>
      <c r="Q20" s="15"/>
      <c r="R20" s="15"/>
      <c r="S20" s="15"/>
      <c r="T20" s="15"/>
      <c r="U20" s="15"/>
      <c r="V20" s="15"/>
      <c r="W20" s="15"/>
      <c r="X20" s="15"/>
      <c r="Y20" s="15"/>
      <c r="Z20" s="15"/>
    </row>
    <row r="21" spans="1:26" ht="15.75" customHeight="1" x14ac:dyDescent="0.25">
      <c r="A21" s="17" t="s">
        <v>511</v>
      </c>
      <c r="B21" s="41"/>
      <c r="C21" s="42"/>
      <c r="D21" s="42"/>
      <c r="E21" s="42"/>
      <c r="F21" s="43"/>
      <c r="G21" s="43"/>
      <c r="H21" s="15"/>
      <c r="I21" s="15"/>
      <c r="J21" s="15"/>
      <c r="K21" s="167"/>
      <c r="L21" s="15"/>
      <c r="M21" s="15"/>
      <c r="N21" s="15"/>
      <c r="O21" s="15"/>
      <c r="P21" s="15"/>
      <c r="Q21" s="15"/>
      <c r="R21" s="15"/>
      <c r="S21" s="15"/>
      <c r="T21" s="15"/>
      <c r="U21" s="15"/>
      <c r="V21" s="15"/>
      <c r="W21" s="15"/>
      <c r="X21" s="15"/>
      <c r="Y21" s="15"/>
      <c r="Z21" s="15"/>
    </row>
    <row r="22" spans="1:26" ht="15.75" customHeight="1" x14ac:dyDescent="0.25">
      <c r="A22" s="44" t="s">
        <v>794</v>
      </c>
      <c r="B22" s="41" t="s">
        <v>321</v>
      </c>
      <c r="C22" s="43">
        <v>109000</v>
      </c>
      <c r="D22" s="43">
        <v>739000</v>
      </c>
      <c r="E22" s="43">
        <f t="shared" ref="E22:E23" si="0">F22-D22</f>
        <v>6000</v>
      </c>
      <c r="F22" s="43">
        <v>745000</v>
      </c>
      <c r="G22" s="43">
        <v>630000</v>
      </c>
      <c r="H22" s="15"/>
      <c r="I22" s="15"/>
      <c r="J22" s="15"/>
      <c r="K22" s="167"/>
      <c r="L22" s="15"/>
      <c r="M22" s="15"/>
      <c r="N22" s="15"/>
      <c r="O22" s="15"/>
      <c r="P22" s="15"/>
      <c r="Q22" s="15"/>
      <c r="R22" s="15"/>
      <c r="S22" s="15"/>
      <c r="T22" s="15"/>
      <c r="U22" s="15"/>
      <c r="V22" s="15"/>
      <c r="W22" s="15"/>
      <c r="X22" s="15"/>
      <c r="Y22" s="15"/>
      <c r="Z22" s="15"/>
    </row>
    <row r="23" spans="1:26" ht="15.75" customHeight="1" x14ac:dyDescent="0.25">
      <c r="A23" s="44" t="s">
        <v>837</v>
      </c>
      <c r="B23" s="41" t="s">
        <v>333</v>
      </c>
      <c r="C23" s="43">
        <v>119359020</v>
      </c>
      <c r="D23" s="43">
        <v>64671000</v>
      </c>
      <c r="E23" s="43">
        <f t="shared" si="0"/>
        <v>80104000</v>
      </c>
      <c r="F23" s="43">
        <v>144775000</v>
      </c>
      <c r="G23" s="43">
        <v>144834000</v>
      </c>
      <c r="H23" s="15"/>
      <c r="I23" s="15"/>
      <c r="J23" s="15"/>
      <c r="K23" s="167"/>
      <c r="L23" s="15"/>
      <c r="M23" s="15"/>
      <c r="N23" s="15"/>
      <c r="O23" s="15"/>
      <c r="P23" s="15"/>
      <c r="Q23" s="15"/>
      <c r="R23" s="15"/>
      <c r="S23" s="15"/>
      <c r="T23" s="15"/>
      <c r="U23" s="15"/>
      <c r="V23" s="15"/>
      <c r="W23" s="15"/>
      <c r="X23" s="15"/>
      <c r="Y23" s="15"/>
      <c r="Z23" s="15"/>
    </row>
    <row r="24" spans="1:26" ht="15.75" customHeight="1" x14ac:dyDescent="0.25">
      <c r="A24" s="48" t="s">
        <v>1968</v>
      </c>
      <c r="B24" s="41"/>
      <c r="C24" s="43"/>
      <c r="D24" s="43"/>
      <c r="E24" s="43"/>
      <c r="F24" s="43"/>
      <c r="G24" s="43"/>
      <c r="H24" s="15"/>
      <c r="I24" s="15"/>
      <c r="J24" s="15"/>
      <c r="K24" s="167"/>
      <c r="L24" s="15"/>
      <c r="M24" s="15"/>
      <c r="N24" s="15"/>
      <c r="O24" s="15"/>
      <c r="P24" s="15"/>
      <c r="Q24" s="15"/>
      <c r="R24" s="15"/>
      <c r="S24" s="15"/>
      <c r="T24" s="15"/>
      <c r="U24" s="15"/>
      <c r="V24" s="15"/>
      <c r="W24" s="15"/>
      <c r="X24" s="15"/>
      <c r="Y24" s="15"/>
      <c r="Z24" s="15"/>
    </row>
    <row r="25" spans="1:26" ht="15.75" customHeight="1" x14ac:dyDescent="0.25">
      <c r="A25" s="42" t="s">
        <v>1969</v>
      </c>
      <c r="B25" s="41"/>
      <c r="C25" s="43"/>
      <c r="D25" s="43"/>
      <c r="E25" s="43"/>
      <c r="F25" s="43"/>
      <c r="G25" s="43"/>
      <c r="H25" s="15"/>
      <c r="I25" s="15"/>
      <c r="J25" s="15"/>
      <c r="K25" s="167"/>
      <c r="L25" s="15"/>
      <c r="M25" s="15"/>
      <c r="N25" s="15"/>
      <c r="O25" s="15"/>
      <c r="P25" s="15"/>
      <c r="Q25" s="15"/>
      <c r="R25" s="15"/>
      <c r="S25" s="15"/>
      <c r="T25" s="15"/>
      <c r="U25" s="15"/>
      <c r="V25" s="15"/>
      <c r="W25" s="15"/>
      <c r="X25" s="15"/>
      <c r="Y25" s="15"/>
      <c r="Z25" s="15"/>
    </row>
    <row r="26" spans="1:26" ht="15.75" customHeight="1" x14ac:dyDescent="0.25">
      <c r="A26" s="48" t="s">
        <v>424</v>
      </c>
      <c r="B26" s="41" t="s">
        <v>335</v>
      </c>
      <c r="C26" s="43">
        <v>2414263.7999999998</v>
      </c>
      <c r="D26" s="43">
        <v>2405582</v>
      </c>
      <c r="E26" s="43">
        <f>F26-D26</f>
        <v>1560718</v>
      </c>
      <c r="F26" s="43">
        <v>3966300</v>
      </c>
      <c r="G26" s="440">
        <v>3408920</v>
      </c>
      <c r="H26" s="167">
        <f>SUM(K28:K40)</f>
        <v>3408920</v>
      </c>
      <c r="I26" s="15"/>
      <c r="J26" s="15"/>
      <c r="K26" s="167"/>
      <c r="L26" s="15"/>
      <c r="M26" s="15"/>
      <c r="N26" s="15"/>
      <c r="O26" s="15"/>
      <c r="P26" s="15"/>
      <c r="Q26" s="15"/>
      <c r="R26" s="15"/>
      <c r="S26" s="15"/>
      <c r="T26" s="15"/>
      <c r="U26" s="15"/>
      <c r="V26" s="15"/>
      <c r="W26" s="15"/>
      <c r="X26" s="15"/>
      <c r="Y26" s="15"/>
      <c r="Z26" s="15"/>
    </row>
    <row r="27" spans="1:26" ht="15.75" customHeight="1" x14ac:dyDescent="0.25">
      <c r="A27" s="17" t="s">
        <v>1970</v>
      </c>
      <c r="B27" s="172"/>
      <c r="C27" s="43"/>
      <c r="D27" s="43"/>
      <c r="E27" s="43"/>
      <c r="F27" s="43"/>
      <c r="G27" s="43"/>
      <c r="H27" s="15"/>
      <c r="I27" s="15"/>
      <c r="J27" s="15"/>
      <c r="K27" s="167"/>
      <c r="L27" s="15"/>
      <c r="M27" s="15"/>
      <c r="N27" s="15"/>
      <c r="O27" s="15"/>
      <c r="P27" s="15"/>
      <c r="Q27" s="15"/>
      <c r="R27" s="15"/>
      <c r="S27" s="15"/>
      <c r="T27" s="15"/>
      <c r="U27" s="15"/>
      <c r="V27" s="15"/>
      <c r="W27" s="15"/>
      <c r="X27" s="15"/>
      <c r="Y27" s="15"/>
      <c r="Z27" s="15"/>
    </row>
    <row r="28" spans="1:26" ht="15.75" customHeight="1" x14ac:dyDescent="0.25">
      <c r="A28" s="48" t="s">
        <v>1971</v>
      </c>
      <c r="B28" s="172"/>
      <c r="C28" s="43"/>
      <c r="D28" s="43"/>
      <c r="E28" s="43"/>
      <c r="F28" s="43"/>
      <c r="G28" s="43"/>
      <c r="H28" s="15">
        <v>264</v>
      </c>
      <c r="I28" s="15">
        <v>639</v>
      </c>
      <c r="J28" s="15">
        <v>10</v>
      </c>
      <c r="K28" s="167">
        <f t="shared" ref="K28:K29" si="1">H28*I28*J28</f>
        <v>1686960</v>
      </c>
      <c r="L28" s="15"/>
      <c r="M28" s="15"/>
      <c r="N28" s="15"/>
      <c r="O28" s="15"/>
      <c r="P28" s="15"/>
      <c r="Q28" s="15"/>
      <c r="R28" s="15"/>
      <c r="S28" s="15"/>
      <c r="T28" s="15"/>
      <c r="U28" s="15"/>
      <c r="V28" s="15"/>
      <c r="W28" s="15"/>
      <c r="X28" s="15"/>
      <c r="Y28" s="15"/>
      <c r="Z28" s="15"/>
    </row>
    <row r="29" spans="1:26" ht="15.75" customHeight="1" x14ac:dyDescent="0.25">
      <c r="A29" s="48" t="s">
        <v>1972</v>
      </c>
      <c r="B29" s="172"/>
      <c r="C29" s="43"/>
      <c r="D29" s="43"/>
      <c r="E29" s="43"/>
      <c r="F29" s="43"/>
      <c r="G29" s="43"/>
      <c r="H29" s="15">
        <v>264</v>
      </c>
      <c r="I29" s="15">
        <v>765</v>
      </c>
      <c r="J29" s="15">
        <v>1</v>
      </c>
      <c r="K29" s="167">
        <f t="shared" si="1"/>
        <v>201960</v>
      </c>
      <c r="L29" s="15"/>
      <c r="M29" s="15"/>
      <c r="N29" s="15"/>
      <c r="O29" s="15"/>
      <c r="P29" s="15"/>
      <c r="Q29" s="15"/>
      <c r="R29" s="15"/>
      <c r="S29" s="15"/>
      <c r="T29" s="15"/>
      <c r="U29" s="15"/>
      <c r="V29" s="15"/>
      <c r="W29" s="15"/>
      <c r="X29" s="15"/>
      <c r="Y29" s="15"/>
      <c r="Z29" s="15"/>
    </row>
    <row r="30" spans="1:26" ht="15.75" customHeight="1" x14ac:dyDescent="0.25">
      <c r="A30" s="48" t="s">
        <v>1973</v>
      </c>
      <c r="B30" s="172"/>
      <c r="C30" s="43"/>
      <c r="D30" s="43"/>
      <c r="E30" s="43"/>
      <c r="F30" s="43"/>
      <c r="G30" s="43"/>
      <c r="H30" s="15"/>
      <c r="I30" s="15"/>
      <c r="J30" s="15"/>
      <c r="K30" s="167"/>
      <c r="L30" s="15"/>
      <c r="M30" s="15"/>
      <c r="N30" s="15"/>
      <c r="O30" s="15"/>
      <c r="P30" s="15"/>
      <c r="Q30" s="15"/>
      <c r="R30" s="15"/>
      <c r="S30" s="15"/>
      <c r="T30" s="15"/>
      <c r="U30" s="15"/>
      <c r="V30" s="15"/>
      <c r="W30" s="15"/>
      <c r="X30" s="15"/>
      <c r="Y30" s="15"/>
      <c r="Z30" s="15"/>
    </row>
    <row r="31" spans="1:26" ht="15.75" customHeight="1" x14ac:dyDescent="0.25">
      <c r="A31" s="48" t="s">
        <v>1974</v>
      </c>
      <c r="B31" s="172"/>
      <c r="C31" s="43"/>
      <c r="D31" s="43"/>
      <c r="E31" s="43"/>
      <c r="F31" s="43"/>
      <c r="G31" s="43"/>
      <c r="H31" s="15"/>
      <c r="I31" s="15"/>
      <c r="J31" s="15"/>
      <c r="K31" s="167">
        <v>55500</v>
      </c>
      <c r="L31" s="15"/>
      <c r="M31" s="15"/>
      <c r="N31" s="15"/>
      <c r="O31" s="15"/>
      <c r="P31" s="15"/>
      <c r="Q31" s="15"/>
      <c r="R31" s="15"/>
      <c r="S31" s="15"/>
      <c r="T31" s="15"/>
      <c r="U31" s="15"/>
      <c r="V31" s="15"/>
      <c r="W31" s="15"/>
      <c r="X31" s="15"/>
      <c r="Y31" s="15"/>
      <c r="Z31" s="15"/>
    </row>
    <row r="32" spans="1:26" ht="15.75" customHeight="1" x14ac:dyDescent="0.25">
      <c r="A32" s="48" t="s">
        <v>1975</v>
      </c>
      <c r="B32" s="172"/>
      <c r="C32" s="43"/>
      <c r="D32" s="43"/>
      <c r="E32" s="43"/>
      <c r="F32" s="43"/>
      <c r="G32" s="43"/>
      <c r="H32" s="15"/>
      <c r="I32" s="15"/>
      <c r="J32" s="15"/>
      <c r="K32" s="167">
        <v>444000</v>
      </c>
      <c r="L32" s="15"/>
      <c r="M32" s="15"/>
      <c r="N32" s="15"/>
      <c r="O32" s="15"/>
      <c r="P32" s="15"/>
      <c r="Q32" s="15"/>
      <c r="R32" s="15"/>
      <c r="S32" s="15"/>
      <c r="T32" s="15"/>
      <c r="U32" s="15"/>
      <c r="V32" s="15"/>
      <c r="W32" s="15"/>
      <c r="X32" s="15"/>
      <c r="Y32" s="15"/>
      <c r="Z32" s="15"/>
    </row>
    <row r="33" spans="1:26" ht="15.75" customHeight="1" x14ac:dyDescent="0.25">
      <c r="A33" s="48" t="s">
        <v>1976</v>
      </c>
      <c r="B33" s="172"/>
      <c r="C33" s="43"/>
      <c r="D33" s="43"/>
      <c r="E33" s="43"/>
      <c r="F33" s="43"/>
      <c r="G33" s="43"/>
      <c r="H33" s="15"/>
      <c r="I33" s="15"/>
      <c r="J33" s="15"/>
      <c r="K33" s="167">
        <v>55500</v>
      </c>
      <c r="L33" s="15"/>
      <c r="M33" s="15"/>
      <c r="N33" s="15"/>
      <c r="O33" s="15"/>
      <c r="P33" s="15"/>
      <c r="Q33" s="15"/>
      <c r="R33" s="15"/>
      <c r="S33" s="15"/>
      <c r="T33" s="15"/>
      <c r="U33" s="15"/>
      <c r="V33" s="15"/>
      <c r="W33" s="15"/>
      <c r="X33" s="15"/>
      <c r="Y33" s="15"/>
      <c r="Z33" s="15"/>
    </row>
    <row r="34" spans="1:26" ht="15.75" customHeight="1" x14ac:dyDescent="0.25">
      <c r="A34" s="48" t="s">
        <v>1977</v>
      </c>
      <c r="B34" s="172"/>
      <c r="C34" s="43"/>
      <c r="D34" s="43"/>
      <c r="E34" s="43"/>
      <c r="F34" s="43"/>
      <c r="G34" s="43"/>
      <c r="H34" s="15"/>
      <c r="I34" s="15"/>
      <c r="J34" s="15"/>
      <c r="K34" s="167">
        <v>55500</v>
      </c>
      <c r="L34" s="15"/>
      <c r="M34" s="15"/>
      <c r="N34" s="15"/>
      <c r="O34" s="15"/>
      <c r="P34" s="15"/>
      <c r="Q34" s="15"/>
      <c r="R34" s="15"/>
      <c r="S34" s="15"/>
      <c r="T34" s="15"/>
      <c r="U34" s="15"/>
      <c r="V34" s="15"/>
      <c r="W34" s="15"/>
      <c r="X34" s="15"/>
      <c r="Y34" s="15"/>
      <c r="Z34" s="15"/>
    </row>
    <row r="35" spans="1:26" ht="15.75" customHeight="1" x14ac:dyDescent="0.25">
      <c r="A35" s="48" t="s">
        <v>1978</v>
      </c>
      <c r="B35" s="172"/>
      <c r="C35" s="43"/>
      <c r="D35" s="43"/>
      <c r="E35" s="43"/>
      <c r="F35" s="43"/>
      <c r="G35" s="43"/>
      <c r="H35" s="15"/>
      <c r="I35" s="15"/>
      <c r="J35" s="15"/>
      <c r="K35" s="167"/>
      <c r="L35" s="15"/>
      <c r="M35" s="15"/>
      <c r="N35" s="15"/>
      <c r="O35" s="15"/>
      <c r="P35" s="15"/>
      <c r="Q35" s="15"/>
      <c r="R35" s="15"/>
      <c r="S35" s="15"/>
      <c r="T35" s="15"/>
      <c r="U35" s="15"/>
      <c r="V35" s="15"/>
      <c r="W35" s="15"/>
      <c r="X35" s="15"/>
      <c r="Y35" s="15"/>
      <c r="Z35" s="15"/>
    </row>
    <row r="36" spans="1:26" ht="15.75" customHeight="1" x14ac:dyDescent="0.25">
      <c r="A36" s="48" t="s">
        <v>1979</v>
      </c>
      <c r="B36" s="172"/>
      <c r="C36" s="43"/>
      <c r="D36" s="43"/>
      <c r="E36" s="43"/>
      <c r="F36" s="43"/>
      <c r="G36" s="43"/>
      <c r="H36" s="15"/>
      <c r="I36" s="15"/>
      <c r="J36" s="15"/>
      <c r="K36" s="167">
        <v>185000</v>
      </c>
      <c r="L36" s="15"/>
      <c r="M36" s="15"/>
      <c r="N36" s="15"/>
      <c r="O36" s="15"/>
      <c r="P36" s="15"/>
      <c r="Q36" s="15"/>
      <c r="R36" s="15"/>
      <c r="S36" s="15"/>
      <c r="T36" s="15"/>
      <c r="U36" s="15"/>
      <c r="V36" s="15"/>
      <c r="W36" s="15"/>
      <c r="X36" s="15"/>
      <c r="Y36" s="15"/>
      <c r="Z36" s="15"/>
    </row>
    <row r="37" spans="1:26" ht="15.75" customHeight="1" x14ac:dyDescent="0.25">
      <c r="A37" s="48" t="s">
        <v>1980</v>
      </c>
      <c r="B37" s="172"/>
      <c r="C37" s="43"/>
      <c r="D37" s="43"/>
      <c r="E37" s="43"/>
      <c r="F37" s="43"/>
      <c r="G37" s="43"/>
      <c r="H37" s="15"/>
      <c r="I37" s="15"/>
      <c r="J37" s="15"/>
      <c r="K37" s="167">
        <v>55500</v>
      </c>
      <c r="L37" s="15"/>
      <c r="M37" s="15"/>
      <c r="N37" s="15"/>
      <c r="O37" s="15"/>
      <c r="P37" s="15"/>
      <c r="Q37" s="15"/>
      <c r="R37" s="15"/>
      <c r="S37" s="15"/>
      <c r="T37" s="15"/>
      <c r="U37" s="15"/>
      <c r="V37" s="15"/>
      <c r="W37" s="15"/>
      <c r="X37" s="15"/>
      <c r="Y37" s="15"/>
      <c r="Z37" s="15"/>
    </row>
    <row r="38" spans="1:26" ht="15.75" customHeight="1" x14ac:dyDescent="0.25">
      <c r="A38" s="460" t="s">
        <v>1981</v>
      </c>
      <c r="B38" s="519"/>
      <c r="C38" s="443"/>
      <c r="D38" s="443"/>
      <c r="E38" s="443"/>
      <c r="F38" s="443"/>
      <c r="G38" s="462"/>
      <c r="H38" s="15"/>
      <c r="I38" s="15"/>
      <c r="J38" s="15"/>
      <c r="K38" s="167">
        <v>74000</v>
      </c>
      <c r="L38" s="15"/>
      <c r="M38" s="15"/>
      <c r="N38" s="15"/>
      <c r="O38" s="15"/>
      <c r="P38" s="15"/>
      <c r="Q38" s="15"/>
      <c r="R38" s="15"/>
      <c r="S38" s="15"/>
      <c r="T38" s="15"/>
      <c r="U38" s="15"/>
      <c r="V38" s="15"/>
      <c r="W38" s="15"/>
      <c r="X38" s="15"/>
      <c r="Y38" s="15"/>
      <c r="Z38" s="15"/>
    </row>
    <row r="39" spans="1:26" ht="15.75" customHeight="1" x14ac:dyDescent="0.25">
      <c r="A39" s="460" t="s">
        <v>1982</v>
      </c>
      <c r="B39" s="519"/>
      <c r="C39" s="443"/>
      <c r="D39" s="443"/>
      <c r="E39" s="443"/>
      <c r="F39" s="443"/>
      <c r="G39" s="462"/>
      <c r="H39" s="15"/>
      <c r="I39" s="15"/>
      <c r="J39" s="15"/>
      <c r="K39" s="167">
        <v>75000</v>
      </c>
      <c r="L39" s="15"/>
      <c r="M39" s="15"/>
      <c r="N39" s="15"/>
      <c r="O39" s="15"/>
      <c r="P39" s="15"/>
      <c r="Q39" s="15"/>
      <c r="R39" s="15"/>
      <c r="S39" s="15"/>
      <c r="T39" s="15"/>
      <c r="U39" s="15"/>
      <c r="V39" s="15"/>
      <c r="W39" s="15"/>
      <c r="X39" s="15"/>
      <c r="Y39" s="15"/>
      <c r="Z39" s="15"/>
    </row>
    <row r="40" spans="1:26" ht="15.75" customHeight="1" x14ac:dyDescent="0.25">
      <c r="A40" s="48" t="s">
        <v>1983</v>
      </c>
      <c r="B40" s="199"/>
      <c r="C40" s="43"/>
      <c r="D40" s="43"/>
      <c r="E40" s="43"/>
      <c r="F40" s="43"/>
      <c r="G40" s="43"/>
      <c r="H40" s="15"/>
      <c r="I40" s="15"/>
      <c r="J40" s="15"/>
      <c r="K40" s="167">
        <v>520000</v>
      </c>
      <c r="L40" s="15"/>
      <c r="M40" s="15"/>
      <c r="N40" s="15"/>
      <c r="O40" s="15"/>
      <c r="P40" s="15"/>
      <c r="Q40" s="15"/>
      <c r="R40" s="15"/>
      <c r="S40" s="15"/>
      <c r="T40" s="15"/>
      <c r="U40" s="15"/>
      <c r="V40" s="15"/>
      <c r="W40" s="15"/>
      <c r="X40" s="15"/>
      <c r="Y40" s="15"/>
      <c r="Z40" s="15"/>
    </row>
    <row r="41" spans="1:26" ht="15.75" customHeight="1" x14ac:dyDescent="0.25">
      <c r="A41" s="42" t="s">
        <v>466</v>
      </c>
      <c r="B41" s="172"/>
      <c r="C41" s="54">
        <f t="shared" ref="C41:G41" si="2">SUM(C12:C26)</f>
        <v>122564430.25999999</v>
      </c>
      <c r="D41" s="54">
        <f t="shared" si="2"/>
        <v>68108322</v>
      </c>
      <c r="E41" s="54">
        <f t="shared" si="2"/>
        <v>82242525</v>
      </c>
      <c r="F41" s="54">
        <f t="shared" si="2"/>
        <v>150350847</v>
      </c>
      <c r="G41" s="54">
        <f t="shared" si="2"/>
        <v>150144895</v>
      </c>
      <c r="H41" s="15"/>
      <c r="I41" s="15"/>
      <c r="J41" s="15"/>
      <c r="K41" s="167"/>
      <c r="L41" s="15"/>
      <c r="M41" s="15"/>
      <c r="N41" s="15"/>
      <c r="O41" s="15"/>
      <c r="P41" s="15"/>
      <c r="Q41" s="15"/>
      <c r="R41" s="15"/>
      <c r="S41" s="15"/>
      <c r="T41" s="15"/>
      <c r="U41" s="15"/>
      <c r="V41" s="15"/>
      <c r="W41" s="15"/>
      <c r="X41" s="15"/>
      <c r="Y41" s="15"/>
      <c r="Z41" s="15"/>
    </row>
    <row r="42" spans="1:26" ht="15.75" customHeight="1" x14ac:dyDescent="0.25">
      <c r="A42" s="17"/>
      <c r="B42" s="172"/>
      <c r="C42" s="43"/>
      <c r="D42" s="43"/>
      <c r="E42" s="43"/>
      <c r="F42" s="43"/>
      <c r="G42" s="43"/>
      <c r="H42" s="15"/>
      <c r="I42" s="15"/>
      <c r="J42" s="15"/>
      <c r="K42" s="167"/>
      <c r="L42" s="15"/>
      <c r="M42" s="15"/>
      <c r="N42" s="15"/>
      <c r="O42" s="15"/>
      <c r="P42" s="15"/>
      <c r="Q42" s="15"/>
      <c r="R42" s="15"/>
      <c r="S42" s="15"/>
      <c r="T42" s="15"/>
      <c r="U42" s="15"/>
      <c r="V42" s="15"/>
      <c r="W42" s="15"/>
      <c r="X42" s="15"/>
      <c r="Y42" s="15"/>
      <c r="Z42" s="15"/>
    </row>
    <row r="43" spans="1:26" ht="15.75" customHeight="1" x14ac:dyDescent="0.25">
      <c r="A43" s="42" t="s">
        <v>467</v>
      </c>
      <c r="B43" s="172"/>
      <c r="C43" s="43">
        <f t="shared" ref="C43:G43" si="3">C41</f>
        <v>122564430.25999999</v>
      </c>
      <c r="D43" s="43">
        <f t="shared" si="3"/>
        <v>68108322</v>
      </c>
      <c r="E43" s="43">
        <f t="shared" si="3"/>
        <v>82242525</v>
      </c>
      <c r="F43" s="43">
        <f t="shared" si="3"/>
        <v>150350847</v>
      </c>
      <c r="G43" s="43">
        <f t="shared" si="3"/>
        <v>150144895</v>
      </c>
      <c r="H43" s="15"/>
      <c r="I43" s="15"/>
      <c r="J43" s="15"/>
      <c r="K43" s="167"/>
      <c r="L43" s="15"/>
      <c r="M43" s="15"/>
      <c r="N43" s="15"/>
      <c r="O43" s="15"/>
      <c r="P43" s="15"/>
      <c r="Q43" s="15"/>
      <c r="R43" s="15"/>
      <c r="S43" s="15"/>
      <c r="T43" s="15"/>
      <c r="U43" s="15"/>
      <c r="V43" s="15"/>
      <c r="W43" s="15"/>
      <c r="X43" s="15"/>
      <c r="Y43" s="15"/>
      <c r="Z43" s="15"/>
    </row>
    <row r="44" spans="1:26" ht="15.75" customHeight="1" x14ac:dyDescent="0.25">
      <c r="A44" s="17"/>
      <c r="B44" s="172"/>
      <c r="C44" s="43"/>
      <c r="D44" s="43"/>
      <c r="E44" s="43"/>
      <c r="F44" s="43"/>
      <c r="G44" s="43"/>
      <c r="H44" s="15"/>
      <c r="I44" s="15"/>
      <c r="J44" s="15"/>
      <c r="K44" s="167"/>
      <c r="L44" s="15"/>
      <c r="M44" s="15"/>
      <c r="N44" s="15"/>
      <c r="O44" s="15"/>
      <c r="P44" s="15"/>
      <c r="Q44" s="15"/>
      <c r="R44" s="15"/>
      <c r="S44" s="15"/>
      <c r="T44" s="15"/>
      <c r="U44" s="15"/>
      <c r="V44" s="15"/>
      <c r="W44" s="15"/>
      <c r="X44" s="15"/>
      <c r="Y44" s="15"/>
      <c r="Z44" s="15"/>
    </row>
    <row r="45" spans="1:26" ht="15.75" customHeight="1" x14ac:dyDescent="0.25">
      <c r="A45" s="50" t="s">
        <v>487</v>
      </c>
      <c r="B45" s="51" t="s">
        <v>488</v>
      </c>
      <c r="C45" s="54">
        <f t="shared" ref="C45:D45" si="4">C43</f>
        <v>122564430.25999999</v>
      </c>
      <c r="D45" s="54">
        <f t="shared" si="4"/>
        <v>68108322</v>
      </c>
      <c r="E45" s="54">
        <f>F45-D45</f>
        <v>82242525</v>
      </c>
      <c r="F45" s="54">
        <f t="shared" ref="F45:G45" si="5">F43</f>
        <v>150350847</v>
      </c>
      <c r="G45" s="54">
        <f t="shared" si="5"/>
        <v>150144895</v>
      </c>
      <c r="H45" s="15"/>
      <c r="I45" s="15"/>
      <c r="J45" s="15"/>
      <c r="K45" s="167"/>
      <c r="L45" s="15"/>
      <c r="M45" s="15"/>
      <c r="N45" s="15"/>
      <c r="O45" s="15"/>
      <c r="P45" s="15"/>
      <c r="Q45" s="15"/>
      <c r="R45" s="15"/>
      <c r="S45" s="15"/>
      <c r="T45" s="15"/>
      <c r="U45" s="15"/>
      <c r="V45" s="15"/>
      <c r="W45" s="15"/>
      <c r="X45" s="15"/>
      <c r="Y45" s="15"/>
      <c r="Z45" s="15"/>
    </row>
    <row r="46" spans="1:26" ht="15.75" customHeight="1" x14ac:dyDescent="0.25">
      <c r="A46" s="24"/>
      <c r="B46" s="25"/>
      <c r="C46" s="26"/>
      <c r="D46" s="26"/>
      <c r="E46" s="26"/>
      <c r="F46" s="26"/>
      <c r="G46" s="26"/>
      <c r="H46" s="15"/>
      <c r="I46" s="15"/>
      <c r="J46" s="15"/>
      <c r="K46" s="167"/>
      <c r="L46" s="15"/>
      <c r="M46" s="15"/>
      <c r="N46" s="15"/>
      <c r="O46" s="15"/>
      <c r="P46" s="15"/>
      <c r="Q46" s="15"/>
      <c r="R46" s="15"/>
      <c r="S46" s="15"/>
      <c r="T46" s="15"/>
      <c r="U46" s="15"/>
      <c r="V46" s="15"/>
      <c r="W46" s="15"/>
      <c r="X46" s="15"/>
      <c r="Y46" s="15"/>
      <c r="Z46" s="15"/>
    </row>
    <row r="47" spans="1:26" ht="15.75" customHeight="1" x14ac:dyDescent="0.25">
      <c r="A47" s="24"/>
      <c r="B47" s="25"/>
      <c r="C47" s="24"/>
      <c r="D47" s="24"/>
      <c r="E47" s="24"/>
      <c r="F47" s="15"/>
      <c r="G47" s="15"/>
      <c r="H47" s="15"/>
      <c r="I47" s="15"/>
      <c r="J47" s="15"/>
      <c r="K47" s="167"/>
      <c r="L47" s="15"/>
      <c r="M47" s="15"/>
      <c r="N47" s="15"/>
      <c r="O47" s="15"/>
      <c r="P47" s="15"/>
      <c r="Q47" s="15"/>
      <c r="R47" s="15"/>
      <c r="S47" s="15"/>
      <c r="T47" s="15"/>
      <c r="U47" s="15"/>
      <c r="V47" s="15"/>
      <c r="W47" s="15"/>
      <c r="X47" s="15"/>
      <c r="Y47" s="15"/>
      <c r="Z47" s="15"/>
    </row>
    <row r="48" spans="1:26" ht="15.75" customHeight="1" x14ac:dyDescent="0.25">
      <c r="A48" s="9"/>
      <c r="B48" s="104"/>
      <c r="C48" s="105"/>
      <c r="D48" s="105"/>
      <c r="E48" s="105"/>
      <c r="F48" s="10"/>
      <c r="G48" s="180"/>
      <c r="H48" s="15"/>
      <c r="I48" s="15"/>
      <c r="J48" s="15"/>
      <c r="K48" s="167"/>
      <c r="L48" s="15"/>
      <c r="M48" s="15"/>
      <c r="N48" s="15"/>
      <c r="O48" s="15"/>
      <c r="P48" s="15"/>
      <c r="Q48" s="15"/>
      <c r="R48" s="15"/>
      <c r="S48" s="15"/>
      <c r="T48" s="15"/>
      <c r="U48" s="15"/>
      <c r="V48" s="15"/>
      <c r="W48" s="15"/>
      <c r="X48" s="15"/>
      <c r="Y48" s="15"/>
      <c r="Z48" s="15"/>
    </row>
    <row r="49" spans="1:26" ht="15.75" customHeight="1" x14ac:dyDescent="0.25">
      <c r="A49" s="108" t="s">
        <v>1984</v>
      </c>
      <c r="B49" s="25"/>
      <c r="C49" s="26"/>
      <c r="D49" s="26"/>
      <c r="E49" s="26"/>
      <c r="F49" s="14"/>
      <c r="G49" s="181"/>
      <c r="H49" s="15"/>
      <c r="I49" s="15"/>
      <c r="J49" s="15"/>
      <c r="K49" s="167"/>
      <c r="L49" s="15"/>
      <c r="M49" s="15"/>
      <c r="N49" s="15"/>
      <c r="O49" s="15"/>
      <c r="P49" s="15"/>
      <c r="Q49" s="15"/>
      <c r="R49" s="15"/>
      <c r="S49" s="15"/>
      <c r="T49" s="15"/>
      <c r="U49" s="15"/>
      <c r="V49" s="15"/>
      <c r="W49" s="15"/>
      <c r="X49" s="15"/>
      <c r="Y49" s="15"/>
      <c r="Z49" s="15"/>
    </row>
    <row r="50" spans="1:26" ht="15.75" customHeight="1" x14ac:dyDescent="0.25">
      <c r="A50" s="108"/>
      <c r="B50" s="25"/>
      <c r="C50" s="26"/>
      <c r="D50" s="26"/>
      <c r="E50" s="26"/>
      <c r="F50" s="14"/>
      <c r="G50" s="181"/>
      <c r="H50" s="15"/>
      <c r="I50" s="15"/>
      <c r="J50" s="15"/>
      <c r="K50" s="167"/>
      <c r="L50" s="15"/>
      <c r="M50" s="15"/>
      <c r="N50" s="15"/>
      <c r="O50" s="15"/>
      <c r="P50" s="15"/>
      <c r="Q50" s="15"/>
      <c r="R50" s="15"/>
      <c r="S50" s="15"/>
      <c r="T50" s="15"/>
      <c r="U50" s="15"/>
      <c r="V50" s="15"/>
      <c r="W50" s="15"/>
      <c r="X50" s="15"/>
      <c r="Y50" s="15"/>
      <c r="Z50" s="15"/>
    </row>
    <row r="51" spans="1:26" ht="15.75" customHeight="1" x14ac:dyDescent="0.25">
      <c r="A51" s="865" t="s">
        <v>352</v>
      </c>
      <c r="B51" s="866"/>
      <c r="C51" s="866"/>
      <c r="D51" s="866"/>
      <c r="E51" s="866"/>
      <c r="F51" s="866"/>
      <c r="G51" s="867"/>
      <c r="H51" s="15"/>
      <c r="I51" s="15"/>
      <c r="J51" s="15"/>
      <c r="K51" s="167"/>
      <c r="L51" s="15"/>
      <c r="M51" s="15"/>
      <c r="N51" s="15"/>
      <c r="O51" s="15"/>
      <c r="P51" s="15"/>
      <c r="Q51" s="15"/>
      <c r="R51" s="15"/>
      <c r="S51" s="15"/>
      <c r="T51" s="15"/>
      <c r="U51" s="15"/>
      <c r="V51" s="15"/>
      <c r="W51" s="15"/>
      <c r="X51" s="15"/>
      <c r="Y51" s="15"/>
      <c r="Z51" s="15"/>
    </row>
    <row r="52" spans="1:26" ht="15.75" customHeight="1" x14ac:dyDescent="0.25">
      <c r="A52" s="868" t="s">
        <v>1194</v>
      </c>
      <c r="B52" s="857" t="s">
        <v>354</v>
      </c>
      <c r="C52" s="857" t="s">
        <v>355</v>
      </c>
      <c r="D52" s="884" t="s">
        <v>356</v>
      </c>
      <c r="E52" s="885"/>
      <c r="F52" s="886"/>
      <c r="G52" s="857" t="s">
        <v>357</v>
      </c>
      <c r="H52" s="15"/>
      <c r="I52" s="15"/>
      <c r="J52" s="15"/>
      <c r="K52" s="167"/>
      <c r="L52" s="15"/>
      <c r="M52" s="15"/>
      <c r="N52" s="15"/>
      <c r="O52" s="15"/>
      <c r="P52" s="15"/>
      <c r="Q52" s="15"/>
      <c r="R52" s="15"/>
      <c r="S52" s="15"/>
      <c r="T52" s="15"/>
      <c r="U52" s="15"/>
      <c r="V52" s="15"/>
      <c r="W52" s="15"/>
      <c r="X52" s="15"/>
      <c r="Y52" s="15"/>
      <c r="Z52" s="15"/>
    </row>
    <row r="53" spans="1:26" ht="15.75" customHeight="1" x14ac:dyDescent="0.25">
      <c r="A53" s="858"/>
      <c r="B53" s="858"/>
      <c r="C53" s="858"/>
      <c r="D53" s="28" t="s">
        <v>358</v>
      </c>
      <c r="E53" s="29" t="s">
        <v>359</v>
      </c>
      <c r="F53" s="857" t="s">
        <v>360</v>
      </c>
      <c r="G53" s="858"/>
      <c r="H53" s="15"/>
      <c r="I53" s="15"/>
      <c r="J53" s="15"/>
      <c r="K53" s="167"/>
      <c r="L53" s="15"/>
      <c r="M53" s="15"/>
      <c r="N53" s="15"/>
      <c r="O53" s="15"/>
      <c r="P53" s="15"/>
      <c r="Q53" s="15"/>
      <c r="R53" s="15"/>
      <c r="S53" s="15"/>
      <c r="T53" s="15"/>
      <c r="U53" s="15"/>
      <c r="V53" s="15"/>
      <c r="W53" s="15"/>
      <c r="X53" s="15"/>
      <c r="Y53" s="15"/>
      <c r="Z53" s="15"/>
    </row>
    <row r="54" spans="1:26" ht="15.75" customHeight="1" x14ac:dyDescent="0.25">
      <c r="A54" s="858"/>
      <c r="B54" s="858"/>
      <c r="C54" s="30" t="s">
        <v>361</v>
      </c>
      <c r="D54" s="31" t="s">
        <v>361</v>
      </c>
      <c r="E54" s="32" t="s">
        <v>362</v>
      </c>
      <c r="F54" s="858"/>
      <c r="G54" s="442" t="s">
        <v>2669</v>
      </c>
      <c r="H54" s="15"/>
      <c r="I54" s="15"/>
      <c r="J54" s="15"/>
      <c r="K54" s="167"/>
      <c r="L54" s="15"/>
      <c r="M54" s="15"/>
      <c r="N54" s="15"/>
      <c r="O54" s="15"/>
      <c r="P54" s="15"/>
      <c r="Q54" s="15"/>
      <c r="R54" s="15"/>
      <c r="S54" s="15"/>
      <c r="T54" s="15"/>
      <c r="U54" s="15"/>
      <c r="V54" s="15"/>
      <c r="W54" s="15"/>
      <c r="X54" s="15"/>
      <c r="Y54" s="15"/>
      <c r="Z54" s="15"/>
    </row>
    <row r="55" spans="1:26" ht="15.75" customHeight="1" x14ac:dyDescent="0.25">
      <c r="A55" s="869"/>
      <c r="B55" s="869"/>
      <c r="C55" s="33">
        <v>2024</v>
      </c>
      <c r="D55" s="34">
        <v>2025</v>
      </c>
      <c r="E55" s="35">
        <v>2025</v>
      </c>
      <c r="F55" s="34">
        <v>2025</v>
      </c>
      <c r="G55" s="36" t="s">
        <v>2668</v>
      </c>
      <c r="H55" s="15"/>
      <c r="I55" s="15"/>
      <c r="J55" s="15"/>
      <c r="K55" s="167"/>
      <c r="L55" s="15"/>
      <c r="M55" s="15"/>
      <c r="N55" s="15"/>
      <c r="O55" s="15"/>
      <c r="P55" s="15"/>
      <c r="Q55" s="15"/>
      <c r="R55" s="15"/>
      <c r="S55" s="15"/>
      <c r="T55" s="15"/>
      <c r="U55" s="15"/>
      <c r="V55" s="15"/>
      <c r="W55" s="15"/>
      <c r="X55" s="15"/>
      <c r="Y55" s="15"/>
      <c r="Z55" s="15"/>
    </row>
    <row r="56" spans="1:26" ht="15.75" customHeight="1" x14ac:dyDescent="0.25">
      <c r="A56" s="17" t="s">
        <v>364</v>
      </c>
      <c r="B56" s="172"/>
      <c r="C56" s="42"/>
      <c r="D56" s="42"/>
      <c r="E56" s="42"/>
      <c r="F56" s="42"/>
      <c r="G56" s="42"/>
      <c r="H56" s="15"/>
      <c r="I56" s="15"/>
      <c r="J56" s="15"/>
      <c r="K56" s="167"/>
      <c r="L56" s="15"/>
      <c r="M56" s="15"/>
      <c r="N56" s="15"/>
      <c r="O56" s="15"/>
      <c r="P56" s="15"/>
      <c r="Q56" s="15"/>
      <c r="R56" s="15"/>
      <c r="S56" s="15"/>
      <c r="T56" s="15"/>
      <c r="U56" s="15"/>
      <c r="V56" s="15"/>
      <c r="W56" s="15"/>
      <c r="X56" s="15"/>
      <c r="Y56" s="15"/>
      <c r="Z56" s="15"/>
    </row>
    <row r="57" spans="1:26" ht="15.75" customHeight="1" x14ac:dyDescent="0.25">
      <c r="A57" s="42" t="s">
        <v>1463</v>
      </c>
      <c r="B57" s="199"/>
      <c r="C57" s="42"/>
      <c r="D57" s="42"/>
      <c r="E57" s="42"/>
      <c r="F57" s="43"/>
      <c r="G57" s="42"/>
      <c r="H57" s="15"/>
      <c r="I57" s="15"/>
      <c r="J57" s="15"/>
      <c r="K57" s="167"/>
      <c r="L57" s="15"/>
      <c r="M57" s="15"/>
      <c r="N57" s="15"/>
      <c r="O57" s="15"/>
      <c r="P57" s="15"/>
      <c r="Q57" s="15"/>
      <c r="R57" s="15"/>
      <c r="S57" s="15"/>
      <c r="T57" s="15"/>
      <c r="U57" s="15"/>
      <c r="V57" s="15"/>
      <c r="W57" s="15"/>
      <c r="X57" s="15"/>
      <c r="Y57" s="15"/>
      <c r="Z57" s="15"/>
    </row>
    <row r="58" spans="1:26" ht="15.75" customHeight="1" x14ac:dyDescent="0.25">
      <c r="A58" s="17" t="s">
        <v>642</v>
      </c>
      <c r="B58" s="172"/>
      <c r="C58" s="41"/>
      <c r="D58" s="41"/>
      <c r="E58" s="20"/>
      <c r="F58" s="120"/>
      <c r="G58" s="49"/>
      <c r="H58" s="15"/>
      <c r="I58" s="15"/>
      <c r="J58" s="15"/>
      <c r="K58" s="167"/>
      <c r="L58" s="15"/>
      <c r="M58" s="15"/>
      <c r="N58" s="15"/>
      <c r="O58" s="15"/>
      <c r="P58" s="15"/>
      <c r="Q58" s="15"/>
      <c r="R58" s="15"/>
      <c r="S58" s="15"/>
      <c r="T58" s="15"/>
      <c r="U58" s="15"/>
      <c r="V58" s="15"/>
      <c r="W58" s="15"/>
      <c r="X58" s="15"/>
      <c r="Y58" s="15"/>
      <c r="Z58" s="15"/>
    </row>
    <row r="59" spans="1:26" ht="15.75" customHeight="1" x14ac:dyDescent="0.25">
      <c r="A59" s="48" t="s">
        <v>393</v>
      </c>
      <c r="B59" s="41" t="s">
        <v>187</v>
      </c>
      <c r="C59" s="43">
        <v>49970</v>
      </c>
      <c r="D59" s="43">
        <v>12895</v>
      </c>
      <c r="E59" s="43">
        <f>F59-D59</f>
        <v>37105</v>
      </c>
      <c r="F59" s="43">
        <v>50000</v>
      </c>
      <c r="G59" s="43">
        <v>50000</v>
      </c>
      <c r="H59" s="15"/>
      <c r="I59" s="15"/>
      <c r="J59" s="15"/>
      <c r="K59" s="167"/>
      <c r="L59" s="15"/>
      <c r="M59" s="15"/>
      <c r="N59" s="15"/>
      <c r="O59" s="15"/>
      <c r="P59" s="15"/>
      <c r="Q59" s="15"/>
      <c r="R59" s="15"/>
      <c r="S59" s="15"/>
      <c r="T59" s="15"/>
      <c r="U59" s="15"/>
      <c r="V59" s="15"/>
      <c r="W59" s="15"/>
      <c r="X59" s="15"/>
      <c r="Y59" s="15"/>
      <c r="Z59" s="15"/>
    </row>
    <row r="60" spans="1:26" ht="15.75" customHeight="1" x14ac:dyDescent="0.25">
      <c r="A60" s="17" t="s">
        <v>493</v>
      </c>
      <c r="B60" s="41"/>
      <c r="C60" s="43"/>
      <c r="D60" s="43"/>
      <c r="E60" s="43"/>
      <c r="F60" s="43"/>
      <c r="G60" s="43"/>
      <c r="H60" s="15"/>
      <c r="I60" s="15"/>
      <c r="J60" s="15"/>
      <c r="K60" s="167"/>
      <c r="L60" s="15"/>
      <c r="M60" s="15"/>
      <c r="N60" s="15"/>
      <c r="O60" s="15"/>
      <c r="P60" s="15"/>
      <c r="Q60" s="15"/>
      <c r="R60" s="15"/>
      <c r="S60" s="15"/>
      <c r="T60" s="15"/>
      <c r="U60" s="15"/>
      <c r="V60" s="15"/>
      <c r="W60" s="15"/>
      <c r="X60" s="15"/>
      <c r="Y60" s="15"/>
      <c r="Z60" s="15"/>
    </row>
    <row r="61" spans="1:26" ht="15.75" customHeight="1" x14ac:dyDescent="0.25">
      <c r="A61" s="48" t="s">
        <v>396</v>
      </c>
      <c r="B61" s="41" t="s">
        <v>191</v>
      </c>
      <c r="C61" s="43">
        <v>99630</v>
      </c>
      <c r="D61" s="43">
        <v>0</v>
      </c>
      <c r="E61" s="43">
        <f>F61-D61</f>
        <v>217500</v>
      </c>
      <c r="F61" s="43">
        <v>217500</v>
      </c>
      <c r="G61" s="165">
        <v>247000</v>
      </c>
      <c r="H61" s="15"/>
      <c r="I61" s="15"/>
      <c r="J61" s="15"/>
      <c r="K61" s="167"/>
      <c r="L61" s="15"/>
      <c r="M61" s="15"/>
      <c r="N61" s="15"/>
      <c r="O61" s="15"/>
      <c r="P61" s="15"/>
      <c r="Q61" s="15"/>
      <c r="R61" s="15"/>
      <c r="S61" s="15"/>
      <c r="T61" s="15"/>
      <c r="U61" s="15"/>
      <c r="V61" s="15"/>
      <c r="W61" s="15"/>
      <c r="X61" s="15"/>
      <c r="Y61" s="15"/>
      <c r="Z61" s="15"/>
    </row>
    <row r="62" spans="1:26" ht="15.75" customHeight="1" x14ac:dyDescent="0.25">
      <c r="A62" s="44" t="s">
        <v>1985</v>
      </c>
      <c r="B62" s="41"/>
      <c r="C62" s="43"/>
      <c r="D62" s="43"/>
      <c r="E62" s="43"/>
      <c r="F62" s="43"/>
      <c r="G62" s="43"/>
      <c r="H62" s="15"/>
      <c r="I62" s="15"/>
      <c r="J62" s="15"/>
      <c r="K62" s="167"/>
      <c r="L62" s="15"/>
      <c r="M62" s="15"/>
      <c r="N62" s="15"/>
      <c r="O62" s="15"/>
      <c r="P62" s="15"/>
      <c r="Q62" s="15"/>
      <c r="R62" s="15"/>
      <c r="S62" s="15"/>
      <c r="T62" s="15"/>
      <c r="U62" s="15"/>
      <c r="V62" s="15"/>
      <c r="W62" s="15"/>
      <c r="X62" s="15"/>
      <c r="Y62" s="15"/>
      <c r="Z62" s="15"/>
    </row>
    <row r="63" spans="1:26" ht="15.75" customHeight="1" x14ac:dyDescent="0.25">
      <c r="A63" s="44" t="s">
        <v>1986</v>
      </c>
      <c r="B63" s="41"/>
      <c r="C63" s="43"/>
      <c r="D63" s="43"/>
      <c r="E63" s="43"/>
      <c r="F63" s="43"/>
      <c r="G63" s="43"/>
      <c r="H63" s="15"/>
      <c r="I63" s="15"/>
      <c r="J63" s="15"/>
      <c r="K63" s="167"/>
      <c r="L63" s="15"/>
      <c r="M63" s="15"/>
      <c r="N63" s="15"/>
      <c r="O63" s="15"/>
      <c r="P63" s="15"/>
      <c r="Q63" s="15"/>
      <c r="R63" s="15"/>
      <c r="S63" s="15"/>
      <c r="T63" s="15"/>
      <c r="U63" s="15"/>
      <c r="V63" s="15"/>
      <c r="W63" s="15"/>
      <c r="X63" s="15"/>
      <c r="Y63" s="15"/>
      <c r="Z63" s="15"/>
    </row>
    <row r="64" spans="1:26" ht="15.75" customHeight="1" x14ac:dyDescent="0.25">
      <c r="A64" s="44" t="s">
        <v>1987</v>
      </c>
      <c r="B64" s="41"/>
      <c r="C64" s="43"/>
      <c r="D64" s="43"/>
      <c r="E64" s="43"/>
      <c r="F64" s="43"/>
      <c r="G64" s="43"/>
      <c r="H64" s="15"/>
      <c r="I64" s="15"/>
      <c r="J64" s="15"/>
      <c r="K64" s="167"/>
      <c r="L64" s="15"/>
      <c r="M64" s="15"/>
      <c r="N64" s="15"/>
      <c r="O64" s="15"/>
      <c r="P64" s="15"/>
      <c r="Q64" s="15"/>
      <c r="R64" s="15"/>
      <c r="S64" s="15"/>
      <c r="T64" s="15"/>
      <c r="U64" s="15"/>
      <c r="V64" s="15"/>
      <c r="W64" s="15"/>
      <c r="X64" s="15"/>
      <c r="Y64" s="15"/>
      <c r="Z64" s="15"/>
    </row>
    <row r="65" spans="1:26" ht="15.75" customHeight="1" x14ac:dyDescent="0.25">
      <c r="A65" s="44" t="s">
        <v>1988</v>
      </c>
      <c r="B65" s="41"/>
      <c r="C65" s="43"/>
      <c r="D65" s="43"/>
      <c r="E65" s="43"/>
      <c r="F65" s="43"/>
      <c r="G65" s="43"/>
      <c r="H65" s="15"/>
      <c r="I65" s="15"/>
      <c r="J65" s="15"/>
      <c r="K65" s="167"/>
      <c r="L65" s="15"/>
      <c r="M65" s="15"/>
      <c r="N65" s="15"/>
      <c r="O65" s="15"/>
      <c r="P65" s="15"/>
      <c r="Q65" s="15"/>
      <c r="R65" s="15"/>
      <c r="S65" s="15"/>
      <c r="T65" s="15"/>
      <c r="U65" s="15"/>
      <c r="V65" s="15"/>
      <c r="W65" s="15"/>
      <c r="X65" s="15"/>
      <c r="Y65" s="15"/>
      <c r="Z65" s="15"/>
    </row>
    <row r="66" spans="1:26" ht="15.75" customHeight="1" x14ac:dyDescent="0.25">
      <c r="A66" s="17" t="s">
        <v>511</v>
      </c>
      <c r="B66" s="41"/>
      <c r="C66" s="43"/>
      <c r="D66" s="43"/>
      <c r="E66" s="43"/>
      <c r="F66" s="43"/>
      <c r="G66" s="43"/>
      <c r="H66" s="15"/>
      <c r="I66" s="15"/>
      <c r="J66" s="15"/>
      <c r="K66" s="167"/>
      <c r="L66" s="15"/>
      <c r="M66" s="15"/>
      <c r="N66" s="15"/>
      <c r="O66" s="15"/>
      <c r="P66" s="15"/>
      <c r="Q66" s="15"/>
      <c r="R66" s="15"/>
      <c r="S66" s="15"/>
      <c r="T66" s="15"/>
      <c r="U66" s="15"/>
      <c r="V66" s="15"/>
      <c r="W66" s="15"/>
      <c r="X66" s="15"/>
      <c r="Y66" s="15"/>
      <c r="Z66" s="15"/>
    </row>
    <row r="67" spans="1:26" ht="15.75" customHeight="1" x14ac:dyDescent="0.25">
      <c r="A67" s="48" t="s">
        <v>837</v>
      </c>
      <c r="B67" s="41" t="s">
        <v>333</v>
      </c>
      <c r="C67" s="43">
        <v>217000</v>
      </c>
      <c r="D67" s="43">
        <v>18000</v>
      </c>
      <c r="E67" s="43">
        <f t="shared" ref="E67:E68" si="6">F67-D67</f>
        <v>282000</v>
      </c>
      <c r="F67" s="43">
        <v>300000</v>
      </c>
      <c r="G67" s="43">
        <v>1500000</v>
      </c>
      <c r="H67" s="15"/>
      <c r="I67" s="15"/>
      <c r="J67" s="15"/>
      <c r="K67" s="167"/>
      <c r="L67" s="15"/>
      <c r="M67" s="15"/>
      <c r="N67" s="15"/>
      <c r="O67" s="15"/>
      <c r="P67" s="15"/>
      <c r="Q67" s="15"/>
      <c r="R67" s="15"/>
      <c r="S67" s="15"/>
      <c r="T67" s="15"/>
      <c r="U67" s="15"/>
      <c r="V67" s="15"/>
      <c r="W67" s="15"/>
      <c r="X67" s="15"/>
      <c r="Y67" s="15"/>
      <c r="Z67" s="15"/>
    </row>
    <row r="68" spans="1:26" ht="15.75" customHeight="1" x14ac:dyDescent="0.25">
      <c r="A68" s="48" t="s">
        <v>424</v>
      </c>
      <c r="B68" s="41" t="s">
        <v>335</v>
      </c>
      <c r="C68" s="43">
        <v>500139</v>
      </c>
      <c r="D68" s="43">
        <v>260604</v>
      </c>
      <c r="E68" s="43">
        <f t="shared" si="6"/>
        <v>241156</v>
      </c>
      <c r="F68" s="43">
        <v>501760</v>
      </c>
      <c r="G68" s="43">
        <v>614272</v>
      </c>
      <c r="H68" s="15"/>
      <c r="I68" s="15"/>
      <c r="J68" s="15"/>
      <c r="K68" s="167"/>
      <c r="L68" s="15"/>
      <c r="M68" s="15"/>
      <c r="N68" s="15"/>
      <c r="O68" s="15"/>
      <c r="P68" s="15"/>
      <c r="Q68" s="15"/>
      <c r="R68" s="15"/>
      <c r="S68" s="15"/>
      <c r="T68" s="15"/>
      <c r="U68" s="15"/>
      <c r="V68" s="15"/>
      <c r="W68" s="15"/>
      <c r="X68" s="15"/>
      <c r="Y68" s="15"/>
      <c r="Z68" s="15"/>
    </row>
    <row r="69" spans="1:26" ht="15.75" customHeight="1" x14ac:dyDescent="0.25">
      <c r="A69" s="17" t="s">
        <v>1989</v>
      </c>
      <c r="B69" s="41"/>
      <c r="C69" s="43"/>
      <c r="D69" s="43"/>
      <c r="E69" s="43"/>
      <c r="F69" s="43"/>
      <c r="G69" s="43"/>
      <c r="H69" s="15"/>
      <c r="I69" s="15"/>
      <c r="J69" s="15"/>
      <c r="K69" s="167"/>
      <c r="L69" s="15"/>
      <c r="M69" s="15"/>
      <c r="N69" s="15"/>
      <c r="O69" s="15"/>
      <c r="P69" s="15"/>
      <c r="Q69" s="15"/>
      <c r="R69" s="15"/>
      <c r="S69" s="15"/>
      <c r="T69" s="15"/>
      <c r="U69" s="15"/>
      <c r="V69" s="15"/>
      <c r="W69" s="15"/>
      <c r="X69" s="15"/>
      <c r="Y69" s="15"/>
      <c r="Z69" s="15"/>
    </row>
    <row r="70" spans="1:26" ht="15.75" customHeight="1" x14ac:dyDescent="0.25">
      <c r="A70" s="48" t="s">
        <v>1990</v>
      </c>
      <c r="B70" s="41"/>
      <c r="C70" s="43"/>
      <c r="D70" s="43"/>
      <c r="E70" s="43"/>
      <c r="F70" s="43"/>
      <c r="G70" s="43"/>
      <c r="H70" s="15">
        <v>264</v>
      </c>
      <c r="I70" s="15">
        <v>974</v>
      </c>
      <c r="J70" s="15">
        <v>2</v>
      </c>
      <c r="K70" s="167">
        <f>H70*I70*J70</f>
        <v>514272</v>
      </c>
      <c r="L70" s="15"/>
      <c r="M70" s="15"/>
      <c r="N70" s="15"/>
      <c r="O70" s="15"/>
      <c r="P70" s="15"/>
      <c r="Q70" s="15"/>
      <c r="R70" s="15"/>
      <c r="S70" s="15"/>
      <c r="T70" s="15"/>
      <c r="U70" s="15"/>
      <c r="V70" s="15"/>
      <c r="W70" s="15"/>
      <c r="X70" s="15"/>
      <c r="Y70" s="15"/>
      <c r="Z70" s="15"/>
    </row>
    <row r="71" spans="1:26" ht="15.75" customHeight="1" x14ac:dyDescent="0.25">
      <c r="A71" s="17" t="s">
        <v>1991</v>
      </c>
      <c r="B71" s="41"/>
      <c r="C71" s="43"/>
      <c r="D71" s="43"/>
      <c r="E71" s="43"/>
      <c r="F71" s="43"/>
      <c r="G71" s="43"/>
      <c r="H71" s="15"/>
      <c r="I71" s="15"/>
      <c r="J71" s="15"/>
      <c r="K71" s="167"/>
      <c r="L71" s="15"/>
      <c r="M71" s="15"/>
      <c r="N71" s="15"/>
      <c r="O71" s="15"/>
      <c r="P71" s="15"/>
      <c r="Q71" s="15"/>
      <c r="R71" s="15"/>
      <c r="S71" s="15"/>
      <c r="T71" s="15"/>
      <c r="U71" s="15"/>
      <c r="V71" s="15"/>
      <c r="W71" s="15"/>
      <c r="X71" s="15"/>
      <c r="Y71" s="15"/>
      <c r="Z71" s="15"/>
    </row>
    <row r="72" spans="1:26" ht="15.75" customHeight="1" x14ac:dyDescent="0.25">
      <c r="A72" s="42" t="s">
        <v>466</v>
      </c>
      <c r="B72" s="41"/>
      <c r="C72" s="54">
        <f>SUM(C59:C68)</f>
        <v>866739</v>
      </c>
      <c r="D72" s="54">
        <f>SUM(D59:D68)</f>
        <v>291499</v>
      </c>
      <c r="E72" s="54">
        <f>SUM(E59:E68)</f>
        <v>777761</v>
      </c>
      <c r="F72" s="54">
        <f>SUM(F59:F68)</f>
        <v>1069260</v>
      </c>
      <c r="G72" s="54">
        <f>SUM(G59:G68)</f>
        <v>2411272</v>
      </c>
      <c r="H72" s="15"/>
      <c r="I72" s="15"/>
      <c r="J72" s="15"/>
      <c r="K72" s="167"/>
      <c r="L72" s="15"/>
      <c r="M72" s="15"/>
      <c r="N72" s="15"/>
      <c r="O72" s="15"/>
      <c r="P72" s="15"/>
      <c r="Q72" s="15"/>
      <c r="R72" s="15"/>
      <c r="S72" s="15"/>
      <c r="T72" s="15"/>
      <c r="U72" s="15"/>
      <c r="V72" s="15"/>
      <c r="W72" s="15"/>
      <c r="X72" s="15"/>
      <c r="Y72" s="15"/>
      <c r="Z72" s="15"/>
    </row>
    <row r="73" spans="1:26" ht="15.75" customHeight="1" x14ac:dyDescent="0.25">
      <c r="A73" s="17"/>
      <c r="B73" s="41"/>
      <c r="C73" s="55"/>
      <c r="D73" s="55"/>
      <c r="E73" s="55"/>
      <c r="F73" s="43"/>
      <c r="G73" s="43"/>
      <c r="H73" s="15"/>
      <c r="I73" s="15"/>
      <c r="J73" s="15"/>
      <c r="K73" s="167"/>
      <c r="L73" s="15"/>
      <c r="M73" s="15"/>
      <c r="N73" s="15"/>
      <c r="O73" s="15"/>
      <c r="P73" s="15"/>
      <c r="Q73" s="15"/>
      <c r="R73" s="15"/>
      <c r="S73" s="15"/>
      <c r="T73" s="15"/>
      <c r="U73" s="15"/>
      <c r="V73" s="15"/>
      <c r="W73" s="15"/>
      <c r="X73" s="15"/>
      <c r="Y73" s="15"/>
      <c r="Z73" s="15"/>
    </row>
    <row r="74" spans="1:26" ht="15.75" customHeight="1" x14ac:dyDescent="0.25">
      <c r="A74" s="42" t="s">
        <v>467</v>
      </c>
      <c r="B74" s="41"/>
      <c r="C74" s="43">
        <f t="shared" ref="C74:G74" si="7">C72</f>
        <v>866739</v>
      </c>
      <c r="D74" s="43">
        <f t="shared" si="7"/>
        <v>291499</v>
      </c>
      <c r="E74" s="43">
        <f t="shared" si="7"/>
        <v>777761</v>
      </c>
      <c r="F74" s="43">
        <f t="shared" si="7"/>
        <v>1069260</v>
      </c>
      <c r="G74" s="43">
        <f t="shared" si="7"/>
        <v>2411272</v>
      </c>
      <c r="H74" s="15"/>
      <c r="I74" s="15"/>
      <c r="J74" s="15"/>
      <c r="K74" s="167"/>
      <c r="L74" s="15"/>
      <c r="M74" s="15"/>
      <c r="N74" s="15"/>
      <c r="O74" s="15"/>
      <c r="P74" s="15"/>
      <c r="Q74" s="15"/>
      <c r="R74" s="15"/>
      <c r="S74" s="15"/>
      <c r="T74" s="15"/>
      <c r="U74" s="15"/>
      <c r="V74" s="15"/>
      <c r="W74" s="15"/>
      <c r="X74" s="15"/>
      <c r="Y74" s="15"/>
      <c r="Z74" s="15"/>
    </row>
    <row r="75" spans="1:26" ht="15.75" customHeight="1" x14ac:dyDescent="0.25">
      <c r="A75" s="17"/>
      <c r="B75" s="41"/>
      <c r="C75" s="43"/>
      <c r="D75" s="43"/>
      <c r="E75" s="43"/>
      <c r="F75" s="43"/>
      <c r="G75" s="43"/>
      <c r="H75" s="15"/>
      <c r="I75" s="15"/>
      <c r="J75" s="15"/>
      <c r="K75" s="167"/>
      <c r="L75" s="15"/>
      <c r="M75" s="15"/>
      <c r="N75" s="15"/>
      <c r="O75" s="15"/>
      <c r="P75" s="15"/>
      <c r="Q75" s="15"/>
      <c r="R75" s="15"/>
      <c r="S75" s="15"/>
      <c r="T75" s="15"/>
      <c r="U75" s="15"/>
      <c r="V75" s="15"/>
      <c r="W75" s="15"/>
      <c r="X75" s="15"/>
      <c r="Y75" s="15"/>
      <c r="Z75" s="15"/>
    </row>
    <row r="76" spans="1:26" ht="15.75" customHeight="1" x14ac:dyDescent="0.25">
      <c r="A76" s="50" t="s">
        <v>487</v>
      </c>
      <c r="B76" s="51" t="s">
        <v>488</v>
      </c>
      <c r="C76" s="54">
        <f t="shared" ref="C76:G76" si="8">+C74</f>
        <v>866739</v>
      </c>
      <c r="D76" s="54">
        <f t="shared" si="8"/>
        <v>291499</v>
      </c>
      <c r="E76" s="54">
        <f t="shared" si="8"/>
        <v>777761</v>
      </c>
      <c r="F76" s="54">
        <f t="shared" si="8"/>
        <v>1069260</v>
      </c>
      <c r="G76" s="54">
        <f t="shared" si="8"/>
        <v>2411272</v>
      </c>
      <c r="H76" s="15"/>
      <c r="I76" s="15"/>
      <c r="J76" s="15"/>
      <c r="K76" s="167"/>
      <c r="L76" s="15"/>
      <c r="M76" s="15"/>
      <c r="N76" s="15"/>
      <c r="O76" s="15"/>
      <c r="P76" s="15"/>
      <c r="Q76" s="15"/>
      <c r="R76" s="15"/>
      <c r="S76" s="15"/>
      <c r="T76" s="15"/>
      <c r="U76" s="15"/>
      <c r="V76" s="15"/>
      <c r="W76" s="15"/>
      <c r="X76" s="15"/>
      <c r="Y76" s="15"/>
      <c r="Z76" s="15"/>
    </row>
    <row r="77" spans="1:26" ht="15.75" customHeight="1" x14ac:dyDescent="0.25">
      <c r="A77" s="24"/>
      <c r="B77" s="25"/>
      <c r="C77" s="26"/>
      <c r="D77" s="26"/>
      <c r="E77" s="26"/>
      <c r="F77" s="26"/>
      <c r="G77" s="26"/>
      <c r="H77" s="15"/>
      <c r="I77" s="15"/>
      <c r="J77" s="15"/>
      <c r="K77" s="167"/>
      <c r="L77" s="15"/>
      <c r="M77" s="15"/>
      <c r="N77" s="15"/>
      <c r="O77" s="15"/>
      <c r="P77" s="15"/>
      <c r="Q77" s="15"/>
      <c r="R77" s="15"/>
      <c r="S77" s="15"/>
      <c r="T77" s="15"/>
      <c r="U77" s="15"/>
      <c r="V77" s="15"/>
      <c r="W77" s="15"/>
      <c r="X77" s="15"/>
      <c r="Y77" s="15"/>
      <c r="Z77" s="15"/>
    </row>
    <row r="78" spans="1:26" ht="15.75" customHeight="1" x14ac:dyDescent="0.25">
      <c r="A78" s="24"/>
      <c r="B78" s="25"/>
      <c r="C78" s="24"/>
      <c r="D78" s="24"/>
      <c r="E78" s="24"/>
      <c r="F78" s="15"/>
      <c r="G78" s="15"/>
      <c r="H78" s="15"/>
      <c r="I78" s="15"/>
      <c r="J78" s="15"/>
      <c r="K78" s="167"/>
      <c r="L78" s="15"/>
      <c r="M78" s="15"/>
      <c r="N78" s="15"/>
      <c r="O78" s="15"/>
      <c r="P78" s="15"/>
      <c r="Q78" s="15"/>
      <c r="R78" s="15"/>
      <c r="S78" s="15"/>
      <c r="T78" s="15"/>
      <c r="U78" s="15"/>
      <c r="V78" s="15"/>
      <c r="W78" s="15"/>
      <c r="X78" s="15"/>
      <c r="Y78" s="15"/>
      <c r="Z78" s="15"/>
    </row>
    <row r="79" spans="1:26" ht="15.75" customHeight="1" x14ac:dyDescent="0.25">
      <c r="A79" s="9"/>
      <c r="B79" s="104"/>
      <c r="C79" s="105"/>
      <c r="D79" s="105"/>
      <c r="E79" s="105"/>
      <c r="F79" s="10"/>
      <c r="G79" s="180"/>
      <c r="H79" s="15"/>
      <c r="I79" s="15"/>
      <c r="J79" s="15"/>
      <c r="K79" s="167"/>
      <c r="L79" s="15"/>
      <c r="M79" s="15"/>
      <c r="N79" s="15"/>
      <c r="O79" s="15"/>
      <c r="P79" s="15"/>
      <c r="Q79" s="15"/>
      <c r="R79" s="15"/>
      <c r="S79" s="15"/>
      <c r="T79" s="15"/>
      <c r="U79" s="15"/>
      <c r="V79" s="15"/>
      <c r="W79" s="15"/>
      <c r="X79" s="15"/>
      <c r="Y79" s="15"/>
      <c r="Z79" s="15"/>
    </row>
    <row r="80" spans="1:26" ht="15.75" customHeight="1" x14ac:dyDescent="0.25">
      <c r="A80" s="108" t="s">
        <v>1992</v>
      </c>
      <c r="B80" s="25"/>
      <c r="C80" s="26"/>
      <c r="D80" s="26"/>
      <c r="E80" s="26"/>
      <c r="F80" s="14"/>
      <c r="G80" s="181"/>
      <c r="H80" s="15"/>
      <c r="I80" s="15"/>
      <c r="J80" s="15"/>
      <c r="K80" s="167"/>
      <c r="L80" s="15"/>
      <c r="M80" s="15"/>
      <c r="N80" s="15"/>
      <c r="O80" s="15"/>
      <c r="P80" s="15"/>
      <c r="Q80" s="15"/>
      <c r="R80" s="15"/>
      <c r="S80" s="15"/>
      <c r="T80" s="15"/>
      <c r="U80" s="15"/>
      <c r="V80" s="15"/>
      <c r="W80" s="15"/>
      <c r="X80" s="15"/>
      <c r="Y80" s="15"/>
      <c r="Z80" s="15"/>
    </row>
    <row r="81" spans="1:26" ht="15.75" customHeight="1" x14ac:dyDescent="0.25">
      <c r="A81" s="108"/>
      <c r="B81" s="25"/>
      <c r="C81" s="26"/>
      <c r="D81" s="26"/>
      <c r="E81" s="26"/>
      <c r="F81" s="14"/>
      <c r="G81" s="181"/>
      <c r="H81" s="15"/>
      <c r="I81" s="15"/>
      <c r="J81" s="15"/>
      <c r="K81" s="167"/>
      <c r="L81" s="15"/>
      <c r="M81" s="15"/>
      <c r="N81" s="15"/>
      <c r="O81" s="15"/>
      <c r="P81" s="15"/>
      <c r="Q81" s="15"/>
      <c r="R81" s="15"/>
      <c r="S81" s="15"/>
      <c r="T81" s="15"/>
      <c r="U81" s="15"/>
      <c r="V81" s="15"/>
      <c r="W81" s="15"/>
      <c r="X81" s="15"/>
      <c r="Y81" s="15"/>
      <c r="Z81" s="15"/>
    </row>
    <row r="82" spans="1:26" ht="15.75" customHeight="1" x14ac:dyDescent="0.25">
      <c r="A82" s="865" t="s">
        <v>352</v>
      </c>
      <c r="B82" s="866"/>
      <c r="C82" s="866"/>
      <c r="D82" s="866"/>
      <c r="E82" s="866"/>
      <c r="F82" s="866"/>
      <c r="G82" s="867"/>
      <c r="H82" s="15"/>
      <c r="I82" s="15"/>
      <c r="J82" s="15"/>
      <c r="K82" s="167"/>
      <c r="L82" s="15"/>
      <c r="M82" s="15"/>
      <c r="N82" s="15"/>
      <c r="O82" s="15"/>
      <c r="P82" s="15"/>
      <c r="Q82" s="15"/>
      <c r="R82" s="15"/>
      <c r="S82" s="15"/>
      <c r="T82" s="15"/>
      <c r="U82" s="15"/>
      <c r="V82" s="15"/>
      <c r="W82" s="15"/>
      <c r="X82" s="15"/>
      <c r="Y82" s="15"/>
      <c r="Z82" s="15"/>
    </row>
    <row r="83" spans="1:26" ht="15.75" customHeight="1" x14ac:dyDescent="0.25">
      <c r="A83" s="868" t="s">
        <v>1194</v>
      </c>
      <c r="B83" s="857" t="s">
        <v>354</v>
      </c>
      <c r="C83" s="857" t="s">
        <v>355</v>
      </c>
      <c r="D83" s="884" t="s">
        <v>356</v>
      </c>
      <c r="E83" s="885"/>
      <c r="F83" s="886"/>
      <c r="G83" s="857" t="s">
        <v>357</v>
      </c>
      <c r="H83" s="15"/>
      <c r="I83" s="15"/>
      <c r="J83" s="15"/>
      <c r="K83" s="167"/>
      <c r="L83" s="15"/>
      <c r="M83" s="15"/>
      <c r="N83" s="15"/>
      <c r="O83" s="15"/>
      <c r="P83" s="15"/>
      <c r="Q83" s="15"/>
      <c r="R83" s="15"/>
      <c r="S83" s="15"/>
      <c r="T83" s="15"/>
      <c r="U83" s="15"/>
      <c r="V83" s="15"/>
      <c r="W83" s="15"/>
      <c r="X83" s="15"/>
      <c r="Y83" s="15"/>
      <c r="Z83" s="15"/>
    </row>
    <row r="84" spans="1:26" ht="15.75" customHeight="1" x14ac:dyDescent="0.25">
      <c r="A84" s="858"/>
      <c r="B84" s="858"/>
      <c r="C84" s="858"/>
      <c r="D84" s="28" t="s">
        <v>358</v>
      </c>
      <c r="E84" s="29" t="s">
        <v>359</v>
      </c>
      <c r="F84" s="857" t="s">
        <v>360</v>
      </c>
      <c r="G84" s="858"/>
      <c r="H84" s="15"/>
      <c r="I84" s="15"/>
      <c r="J84" s="15"/>
      <c r="K84" s="167"/>
      <c r="L84" s="15"/>
      <c r="M84" s="15"/>
      <c r="N84" s="15"/>
      <c r="O84" s="15"/>
      <c r="P84" s="15"/>
      <c r="Q84" s="15"/>
      <c r="R84" s="15"/>
      <c r="S84" s="15"/>
      <c r="T84" s="15"/>
      <c r="U84" s="15"/>
      <c r="V84" s="15"/>
      <c r="W84" s="15"/>
      <c r="X84" s="15"/>
      <c r="Y84" s="15"/>
      <c r="Z84" s="15"/>
    </row>
    <row r="85" spans="1:26" ht="15.75" customHeight="1" x14ac:dyDescent="0.25">
      <c r="A85" s="858"/>
      <c r="B85" s="858"/>
      <c r="C85" s="30" t="s">
        <v>361</v>
      </c>
      <c r="D85" s="31" t="s">
        <v>361</v>
      </c>
      <c r="E85" s="32" t="s">
        <v>362</v>
      </c>
      <c r="F85" s="858"/>
      <c r="G85" s="442" t="s">
        <v>2669</v>
      </c>
      <c r="H85" s="15"/>
      <c r="I85" s="15"/>
      <c r="J85" s="15"/>
      <c r="K85" s="167"/>
      <c r="L85" s="15"/>
      <c r="M85" s="15"/>
      <c r="N85" s="15"/>
      <c r="O85" s="15"/>
      <c r="P85" s="15"/>
      <c r="Q85" s="15"/>
      <c r="R85" s="15"/>
      <c r="S85" s="15"/>
      <c r="T85" s="15"/>
      <c r="U85" s="15"/>
      <c r="V85" s="15"/>
      <c r="W85" s="15"/>
      <c r="X85" s="15"/>
      <c r="Y85" s="15"/>
      <c r="Z85" s="15"/>
    </row>
    <row r="86" spans="1:26" ht="15.75" customHeight="1" x14ac:dyDescent="0.25">
      <c r="A86" s="869"/>
      <c r="B86" s="869"/>
      <c r="C86" s="33">
        <v>2024</v>
      </c>
      <c r="D86" s="34">
        <v>2025</v>
      </c>
      <c r="E86" s="35">
        <v>2025</v>
      </c>
      <c r="F86" s="34">
        <v>2025</v>
      </c>
      <c r="G86" s="36" t="s">
        <v>2668</v>
      </c>
      <c r="H86" s="15"/>
      <c r="I86" s="15"/>
      <c r="J86" s="15"/>
      <c r="K86" s="167"/>
      <c r="L86" s="15"/>
      <c r="M86" s="15"/>
      <c r="N86" s="15"/>
      <c r="O86" s="15"/>
      <c r="P86" s="15"/>
      <c r="Q86" s="15"/>
      <c r="R86" s="15"/>
      <c r="S86" s="15"/>
      <c r="T86" s="15"/>
      <c r="U86" s="15"/>
      <c r="V86" s="15"/>
      <c r="W86" s="15"/>
      <c r="X86" s="15"/>
      <c r="Y86" s="15"/>
      <c r="Z86" s="15"/>
    </row>
    <row r="87" spans="1:26" ht="15.75" customHeight="1" x14ac:dyDescent="0.25">
      <c r="A87" s="17" t="s">
        <v>364</v>
      </c>
      <c r="B87" s="172"/>
      <c r="C87" s="42"/>
      <c r="D87" s="42"/>
      <c r="E87" s="42"/>
      <c r="F87" s="42"/>
      <c r="G87" s="42"/>
      <c r="H87" s="15"/>
      <c r="I87" s="15"/>
      <c r="J87" s="15"/>
      <c r="K87" s="167"/>
      <c r="L87" s="15"/>
      <c r="M87" s="15"/>
      <c r="N87" s="15"/>
      <c r="O87" s="15"/>
      <c r="P87" s="15"/>
      <c r="Q87" s="15"/>
      <c r="R87" s="15"/>
      <c r="S87" s="15"/>
      <c r="T87" s="15"/>
      <c r="U87" s="15"/>
      <c r="V87" s="15"/>
      <c r="W87" s="15"/>
      <c r="X87" s="15"/>
      <c r="Y87" s="15"/>
      <c r="Z87" s="15"/>
    </row>
    <row r="88" spans="1:26" ht="15.75" customHeight="1" x14ac:dyDescent="0.25">
      <c r="A88" s="42" t="s">
        <v>391</v>
      </c>
      <c r="B88" s="199"/>
      <c r="C88" s="42"/>
      <c r="D88" s="42"/>
      <c r="E88" s="42"/>
      <c r="F88" s="43"/>
      <c r="G88" s="42"/>
      <c r="H88" s="15"/>
      <c r="I88" s="15"/>
      <c r="J88" s="15"/>
      <c r="K88" s="167"/>
      <c r="L88" s="15"/>
      <c r="M88" s="15"/>
      <c r="N88" s="15"/>
      <c r="O88" s="15"/>
      <c r="P88" s="15"/>
      <c r="Q88" s="15"/>
      <c r="R88" s="15"/>
      <c r="S88" s="15"/>
      <c r="T88" s="15"/>
      <c r="U88" s="15"/>
      <c r="V88" s="15"/>
      <c r="W88" s="15"/>
      <c r="X88" s="15"/>
      <c r="Y88" s="15"/>
      <c r="Z88" s="15"/>
    </row>
    <row r="89" spans="1:26" ht="15.75" customHeight="1" x14ac:dyDescent="0.25">
      <c r="A89" s="17" t="s">
        <v>493</v>
      </c>
      <c r="B89" s="172"/>
      <c r="C89" s="41"/>
      <c r="D89" s="41"/>
      <c r="E89" s="20"/>
      <c r="F89" s="120"/>
      <c r="G89" s="49"/>
      <c r="H89" s="15"/>
      <c r="I89" s="15"/>
      <c r="J89" s="15"/>
      <c r="K89" s="167"/>
      <c r="L89" s="15"/>
      <c r="M89" s="15"/>
      <c r="N89" s="15"/>
      <c r="O89" s="15"/>
      <c r="P89" s="15"/>
      <c r="Q89" s="15"/>
      <c r="R89" s="15"/>
      <c r="S89" s="15"/>
      <c r="T89" s="15"/>
      <c r="U89" s="15"/>
      <c r="V89" s="15"/>
      <c r="W89" s="15"/>
      <c r="X89" s="15"/>
      <c r="Y89" s="15"/>
      <c r="Z89" s="15"/>
    </row>
    <row r="90" spans="1:26" ht="15.75" customHeight="1" x14ac:dyDescent="0.25">
      <c r="A90" s="48" t="s">
        <v>396</v>
      </c>
      <c r="B90" s="41" t="s">
        <v>191</v>
      </c>
      <c r="C90" s="43">
        <v>110700</v>
      </c>
      <c r="D90" s="43">
        <v>0</v>
      </c>
      <c r="E90" s="43">
        <f>F90-D90</f>
        <v>185000</v>
      </c>
      <c r="F90" s="43">
        <v>185000</v>
      </c>
      <c r="G90" s="43">
        <v>166500</v>
      </c>
      <c r="H90" s="15"/>
      <c r="I90" s="15"/>
      <c r="J90" s="15"/>
      <c r="K90" s="167"/>
      <c r="L90" s="15"/>
      <c r="M90" s="15"/>
      <c r="N90" s="15"/>
      <c r="O90" s="15"/>
      <c r="P90" s="15"/>
      <c r="Q90" s="15"/>
      <c r="R90" s="15"/>
      <c r="S90" s="15"/>
      <c r="T90" s="15"/>
      <c r="U90" s="15"/>
      <c r="V90" s="15"/>
      <c r="W90" s="15"/>
      <c r="X90" s="15"/>
      <c r="Y90" s="15"/>
      <c r="Z90" s="15"/>
    </row>
    <row r="91" spans="1:26" ht="15.75" customHeight="1" x14ac:dyDescent="0.25">
      <c r="A91" s="48" t="s">
        <v>1993</v>
      </c>
      <c r="B91" s="41"/>
      <c r="C91" s="43"/>
      <c r="D91" s="43"/>
      <c r="E91" s="43"/>
      <c r="F91" s="43"/>
      <c r="G91" s="43"/>
      <c r="H91" s="15"/>
      <c r="I91" s="15"/>
      <c r="J91" s="15"/>
      <c r="K91" s="167"/>
      <c r="L91" s="15"/>
      <c r="M91" s="15"/>
      <c r="N91" s="15"/>
      <c r="O91" s="15"/>
      <c r="P91" s="15"/>
      <c r="Q91" s="15"/>
      <c r="R91" s="15"/>
      <c r="S91" s="15"/>
      <c r="T91" s="15"/>
      <c r="U91" s="15"/>
      <c r="V91" s="15"/>
      <c r="W91" s="15"/>
      <c r="X91" s="15"/>
      <c r="Y91" s="15"/>
      <c r="Z91" s="15"/>
    </row>
    <row r="92" spans="1:26" ht="15.75" customHeight="1" x14ac:dyDescent="0.25">
      <c r="A92" s="48" t="s">
        <v>1994</v>
      </c>
      <c r="B92" s="41"/>
      <c r="C92" s="43"/>
      <c r="D92" s="43"/>
      <c r="E92" s="43"/>
      <c r="F92" s="43"/>
      <c r="G92" s="43"/>
      <c r="H92" s="15"/>
      <c r="I92" s="15"/>
      <c r="J92" s="15"/>
      <c r="K92" s="167"/>
      <c r="L92" s="15"/>
      <c r="M92" s="15"/>
      <c r="N92" s="15"/>
      <c r="O92" s="15"/>
      <c r="P92" s="15"/>
      <c r="Q92" s="15"/>
      <c r="R92" s="15"/>
      <c r="S92" s="15"/>
      <c r="T92" s="15"/>
      <c r="U92" s="15"/>
      <c r="V92" s="15"/>
      <c r="W92" s="15"/>
      <c r="X92" s="15"/>
      <c r="Y92" s="15"/>
      <c r="Z92" s="15"/>
    </row>
    <row r="93" spans="1:26" ht="15.75" customHeight="1" x14ac:dyDescent="0.25">
      <c r="A93" s="42" t="s">
        <v>466</v>
      </c>
      <c r="B93" s="41"/>
      <c r="C93" s="54">
        <f t="shared" ref="C93:G93" si="9">SUM(C90)</f>
        <v>110700</v>
      </c>
      <c r="D93" s="54">
        <f t="shared" si="9"/>
        <v>0</v>
      </c>
      <c r="E93" s="54">
        <f t="shared" si="9"/>
        <v>185000</v>
      </c>
      <c r="F93" s="54">
        <f t="shared" si="9"/>
        <v>185000</v>
      </c>
      <c r="G93" s="54">
        <f t="shared" si="9"/>
        <v>166500</v>
      </c>
      <c r="H93" s="15"/>
      <c r="I93" s="15"/>
      <c r="J93" s="15"/>
      <c r="K93" s="167"/>
      <c r="L93" s="15"/>
      <c r="M93" s="15"/>
      <c r="N93" s="15"/>
      <c r="O93" s="15"/>
      <c r="P93" s="15"/>
      <c r="Q93" s="15"/>
      <c r="R93" s="15"/>
      <c r="S93" s="15"/>
      <c r="T93" s="15"/>
      <c r="U93" s="15"/>
      <c r="V93" s="15"/>
      <c r="W93" s="15"/>
      <c r="X93" s="15"/>
      <c r="Y93" s="15"/>
      <c r="Z93" s="15"/>
    </row>
    <row r="94" spans="1:26" ht="15.75" customHeight="1" x14ac:dyDescent="0.25">
      <c r="A94" s="17"/>
      <c r="B94" s="41"/>
      <c r="C94" s="55"/>
      <c r="D94" s="55"/>
      <c r="E94" s="55"/>
      <c r="F94" s="43"/>
      <c r="G94" s="43"/>
      <c r="H94" s="15"/>
      <c r="I94" s="15"/>
      <c r="J94" s="15"/>
      <c r="K94" s="167"/>
      <c r="L94" s="15"/>
      <c r="M94" s="15"/>
      <c r="N94" s="15"/>
      <c r="O94" s="15"/>
      <c r="P94" s="15"/>
      <c r="Q94" s="15"/>
      <c r="R94" s="15"/>
      <c r="S94" s="15"/>
      <c r="T94" s="15"/>
      <c r="U94" s="15"/>
      <c r="V94" s="15"/>
      <c r="W94" s="15"/>
      <c r="X94" s="15"/>
      <c r="Y94" s="15"/>
      <c r="Z94" s="15"/>
    </row>
    <row r="95" spans="1:26" ht="15.75" customHeight="1" x14ac:dyDescent="0.25">
      <c r="A95" s="42" t="s">
        <v>467</v>
      </c>
      <c r="B95" s="41"/>
      <c r="C95" s="43">
        <f t="shared" ref="C95:G95" si="10">C93</f>
        <v>110700</v>
      </c>
      <c r="D95" s="43">
        <f t="shared" si="10"/>
        <v>0</v>
      </c>
      <c r="E95" s="43">
        <f t="shared" si="10"/>
        <v>185000</v>
      </c>
      <c r="F95" s="43">
        <f t="shared" si="10"/>
        <v>185000</v>
      </c>
      <c r="G95" s="43">
        <f t="shared" si="10"/>
        <v>166500</v>
      </c>
      <c r="H95" s="15"/>
      <c r="I95" s="15"/>
      <c r="J95" s="15"/>
      <c r="K95" s="167"/>
      <c r="L95" s="15"/>
      <c r="M95" s="15"/>
      <c r="N95" s="15"/>
      <c r="O95" s="15"/>
      <c r="P95" s="15"/>
      <c r="Q95" s="15"/>
      <c r="R95" s="15"/>
      <c r="S95" s="15"/>
      <c r="T95" s="15"/>
      <c r="U95" s="15"/>
      <c r="V95" s="15"/>
      <c r="W95" s="15"/>
      <c r="X95" s="15"/>
      <c r="Y95" s="15"/>
      <c r="Z95" s="15"/>
    </row>
    <row r="96" spans="1:26" ht="15.75" customHeight="1" x14ac:dyDescent="0.25">
      <c r="A96" s="17"/>
      <c r="B96" s="41"/>
      <c r="C96" s="43"/>
      <c r="D96" s="43"/>
      <c r="E96" s="43"/>
      <c r="F96" s="43"/>
      <c r="G96" s="43"/>
      <c r="H96" s="15"/>
      <c r="I96" s="15"/>
      <c r="J96" s="15"/>
      <c r="K96" s="167"/>
      <c r="L96" s="15"/>
      <c r="M96" s="15"/>
      <c r="N96" s="15"/>
      <c r="O96" s="15"/>
      <c r="P96" s="15"/>
      <c r="Q96" s="15"/>
      <c r="R96" s="15"/>
      <c r="S96" s="15"/>
      <c r="T96" s="15"/>
      <c r="U96" s="15"/>
      <c r="V96" s="15"/>
      <c r="W96" s="15"/>
      <c r="X96" s="15"/>
      <c r="Y96" s="15"/>
      <c r="Z96" s="15"/>
    </row>
    <row r="97" spans="1:26" ht="15.75" customHeight="1" x14ac:dyDescent="0.25">
      <c r="A97" s="50" t="s">
        <v>487</v>
      </c>
      <c r="B97" s="51" t="s">
        <v>488</v>
      </c>
      <c r="C97" s="54">
        <f t="shared" ref="C97:G97" si="11">C95</f>
        <v>110700</v>
      </c>
      <c r="D97" s="54">
        <f t="shared" si="11"/>
        <v>0</v>
      </c>
      <c r="E97" s="54">
        <f t="shared" si="11"/>
        <v>185000</v>
      </c>
      <c r="F97" s="54">
        <f t="shared" si="11"/>
        <v>185000</v>
      </c>
      <c r="G97" s="54">
        <f t="shared" si="11"/>
        <v>166500</v>
      </c>
      <c r="H97" s="15"/>
      <c r="I97" s="15"/>
      <c r="J97" s="15"/>
      <c r="K97" s="167"/>
      <c r="L97" s="15"/>
      <c r="M97" s="15"/>
      <c r="N97" s="15"/>
      <c r="O97" s="15"/>
      <c r="P97" s="15"/>
      <c r="Q97" s="15"/>
      <c r="R97" s="15"/>
      <c r="S97" s="15"/>
      <c r="T97" s="15"/>
      <c r="U97" s="15"/>
      <c r="V97" s="15"/>
      <c r="W97" s="15"/>
      <c r="X97" s="15"/>
      <c r="Y97" s="15"/>
      <c r="Z97" s="15"/>
    </row>
    <row r="98" spans="1:26" ht="15.75" customHeight="1" x14ac:dyDescent="0.25">
      <c r="A98" s="15"/>
      <c r="B98" s="18"/>
      <c r="C98" s="15"/>
      <c r="D98" s="15"/>
      <c r="E98" s="15"/>
      <c r="F98" s="15"/>
      <c r="G98" s="15"/>
      <c r="H98" s="15"/>
      <c r="I98" s="15"/>
      <c r="J98" s="15"/>
      <c r="K98" s="167"/>
      <c r="L98" s="15"/>
      <c r="M98" s="15"/>
      <c r="N98" s="15"/>
      <c r="O98" s="15"/>
      <c r="P98" s="15"/>
      <c r="Q98" s="15"/>
      <c r="R98" s="15"/>
      <c r="S98" s="15"/>
      <c r="T98" s="15"/>
      <c r="U98" s="15"/>
      <c r="V98" s="15"/>
      <c r="W98" s="15"/>
      <c r="X98" s="15"/>
      <c r="Y98" s="15"/>
      <c r="Z98" s="15"/>
    </row>
    <row r="99" spans="1:26" ht="15.75" customHeight="1" x14ac:dyDescent="0.25">
      <c r="A99" s="24"/>
      <c r="B99" s="25"/>
      <c r="C99" s="24"/>
      <c r="D99" s="24"/>
      <c r="E99" s="24"/>
      <c r="F99" s="26"/>
      <c r="G99" s="15"/>
      <c r="H99" s="15"/>
      <c r="I99" s="15"/>
      <c r="J99" s="15"/>
      <c r="K99" s="167"/>
      <c r="L99" s="15"/>
      <c r="M99" s="15"/>
      <c r="N99" s="15"/>
      <c r="O99" s="15"/>
      <c r="P99" s="15"/>
      <c r="Q99" s="15"/>
      <c r="R99" s="15"/>
      <c r="S99" s="15"/>
      <c r="T99" s="15"/>
      <c r="U99" s="15"/>
      <c r="V99" s="15"/>
      <c r="W99" s="15"/>
      <c r="X99" s="15"/>
      <c r="Y99" s="15"/>
      <c r="Z99" s="15"/>
    </row>
    <row r="100" spans="1:26" ht="15.75" customHeight="1" x14ac:dyDescent="0.25">
      <c r="A100" s="24"/>
      <c r="B100" s="25"/>
      <c r="C100" s="24"/>
      <c r="D100" s="24"/>
      <c r="E100" s="24"/>
      <c r="F100" s="26"/>
      <c r="G100" s="15"/>
      <c r="H100" s="15"/>
      <c r="I100" s="15"/>
      <c r="J100" s="15"/>
      <c r="K100" s="167"/>
      <c r="L100" s="15"/>
      <c r="M100" s="15"/>
      <c r="N100" s="15"/>
      <c r="O100" s="15"/>
      <c r="P100" s="15"/>
      <c r="Q100" s="15"/>
      <c r="R100" s="15"/>
      <c r="S100" s="15"/>
      <c r="T100" s="15"/>
      <c r="U100" s="15"/>
      <c r="V100" s="15"/>
      <c r="W100" s="15"/>
      <c r="X100" s="15"/>
      <c r="Y100" s="15"/>
      <c r="Z100" s="15"/>
    </row>
    <row r="101" spans="1:26" ht="15.75" customHeight="1" x14ac:dyDescent="0.25">
      <c r="A101" s="24"/>
      <c r="B101" s="25"/>
      <c r="C101" s="24"/>
      <c r="D101" s="24"/>
      <c r="E101" s="24"/>
      <c r="F101" s="26"/>
      <c r="G101" s="15"/>
      <c r="H101" s="15"/>
      <c r="I101" s="15"/>
      <c r="J101" s="15"/>
      <c r="K101" s="167"/>
      <c r="L101" s="15"/>
      <c r="M101" s="15"/>
      <c r="N101" s="15"/>
      <c r="O101" s="15"/>
      <c r="P101" s="15"/>
      <c r="Q101" s="15"/>
      <c r="R101" s="15"/>
      <c r="S101" s="15"/>
      <c r="T101" s="15"/>
      <c r="U101" s="15"/>
      <c r="V101" s="15"/>
      <c r="W101" s="15"/>
      <c r="X101" s="15"/>
      <c r="Y101" s="15"/>
      <c r="Z101" s="15"/>
    </row>
    <row r="102" spans="1:26" ht="15.75" customHeight="1" x14ac:dyDescent="0.25">
      <c r="A102" s="24"/>
      <c r="B102" s="25"/>
      <c r="C102" s="24"/>
      <c r="D102" s="24"/>
      <c r="E102" s="24"/>
      <c r="F102" s="26"/>
      <c r="G102" s="15"/>
      <c r="H102" s="15"/>
      <c r="I102" s="15"/>
      <c r="J102" s="15"/>
      <c r="K102" s="167"/>
      <c r="L102" s="15"/>
      <c r="M102" s="15"/>
      <c r="N102" s="15"/>
      <c r="O102" s="15"/>
      <c r="P102" s="15"/>
      <c r="Q102" s="15"/>
      <c r="R102" s="15"/>
      <c r="S102" s="15"/>
      <c r="T102" s="15"/>
      <c r="U102" s="15"/>
      <c r="V102" s="15"/>
      <c r="W102" s="15"/>
      <c r="X102" s="15"/>
      <c r="Y102" s="15"/>
      <c r="Z102" s="15"/>
    </row>
    <row r="103" spans="1:26" ht="15.75" customHeight="1" x14ac:dyDescent="0.25">
      <c r="A103" s="24"/>
      <c r="B103" s="25"/>
      <c r="C103" s="24"/>
      <c r="D103" s="24"/>
      <c r="E103" s="24"/>
      <c r="F103" s="26"/>
      <c r="G103" s="15"/>
      <c r="H103" s="15"/>
      <c r="I103" s="15"/>
      <c r="J103" s="15"/>
      <c r="K103" s="167"/>
      <c r="L103" s="15"/>
      <c r="M103" s="15"/>
      <c r="N103" s="15"/>
      <c r="O103" s="15"/>
      <c r="P103" s="15"/>
      <c r="Q103" s="15"/>
      <c r="R103" s="15"/>
      <c r="S103" s="15"/>
      <c r="T103" s="15"/>
      <c r="U103" s="15"/>
      <c r="V103" s="15"/>
      <c r="W103" s="15"/>
      <c r="X103" s="15"/>
      <c r="Y103" s="15"/>
      <c r="Z103" s="15"/>
    </row>
    <row r="104" spans="1:26" ht="15.75" customHeight="1" x14ac:dyDescent="0.25">
      <c r="A104" s="24"/>
      <c r="B104" s="25"/>
      <c r="C104" s="24"/>
      <c r="D104" s="24"/>
      <c r="E104" s="24"/>
      <c r="F104" s="26"/>
      <c r="G104" s="15"/>
      <c r="H104" s="15"/>
      <c r="I104" s="15"/>
      <c r="J104" s="15"/>
      <c r="K104" s="167"/>
      <c r="L104" s="15"/>
      <c r="M104" s="15"/>
      <c r="N104" s="15"/>
      <c r="O104" s="15"/>
      <c r="P104" s="15"/>
      <c r="Q104" s="15"/>
      <c r="R104" s="15"/>
      <c r="S104" s="15"/>
      <c r="T104" s="15"/>
      <c r="U104" s="15"/>
      <c r="V104" s="15"/>
      <c r="W104" s="15"/>
      <c r="X104" s="15"/>
      <c r="Y104" s="15"/>
      <c r="Z104" s="15"/>
    </row>
    <row r="105" spans="1:26" ht="15.75" customHeight="1" x14ac:dyDescent="0.25">
      <c r="A105" s="24"/>
      <c r="B105" s="25"/>
      <c r="C105" s="24"/>
      <c r="D105" s="24"/>
      <c r="E105" s="24"/>
      <c r="F105" s="26"/>
      <c r="G105" s="15"/>
      <c r="H105" s="15"/>
      <c r="I105" s="15"/>
      <c r="J105" s="15"/>
      <c r="K105" s="167"/>
      <c r="L105" s="15"/>
      <c r="M105" s="15"/>
      <c r="N105" s="15"/>
      <c r="O105" s="15"/>
      <c r="P105" s="15"/>
      <c r="Q105" s="15"/>
      <c r="R105" s="15"/>
      <c r="S105" s="15"/>
      <c r="T105" s="15"/>
      <c r="U105" s="15"/>
      <c r="V105" s="15"/>
      <c r="W105" s="15"/>
      <c r="X105" s="15"/>
      <c r="Y105" s="15"/>
      <c r="Z105" s="15"/>
    </row>
    <row r="106" spans="1:26" ht="15.75" customHeight="1" x14ac:dyDescent="0.25">
      <c r="A106" s="24"/>
      <c r="B106" s="25"/>
      <c r="C106" s="24"/>
      <c r="D106" s="24"/>
      <c r="E106" s="24"/>
      <c r="F106" s="26"/>
      <c r="G106" s="15"/>
      <c r="H106" s="15"/>
      <c r="I106" s="15"/>
      <c r="J106" s="15"/>
      <c r="K106" s="167"/>
      <c r="L106" s="15"/>
      <c r="M106" s="15"/>
      <c r="N106" s="15"/>
      <c r="O106" s="15"/>
      <c r="P106" s="15"/>
      <c r="Q106" s="15"/>
      <c r="R106" s="15"/>
      <c r="S106" s="15"/>
      <c r="T106" s="15"/>
      <c r="U106" s="15"/>
      <c r="V106" s="15"/>
      <c r="W106" s="15"/>
      <c r="X106" s="15"/>
      <c r="Y106" s="15"/>
      <c r="Z106" s="15"/>
    </row>
    <row r="107" spans="1:26" ht="15.75" customHeight="1" x14ac:dyDescent="0.25">
      <c r="A107" s="24"/>
      <c r="B107" s="25"/>
      <c r="C107" s="24"/>
      <c r="D107" s="24"/>
      <c r="E107" s="24"/>
      <c r="F107" s="26"/>
      <c r="G107" s="15"/>
      <c r="H107" s="15"/>
      <c r="I107" s="15"/>
      <c r="J107" s="15"/>
      <c r="K107" s="167"/>
      <c r="L107" s="15"/>
      <c r="M107" s="15"/>
      <c r="N107" s="15"/>
      <c r="O107" s="15"/>
      <c r="P107" s="15"/>
      <c r="Q107" s="15"/>
      <c r="R107" s="15"/>
      <c r="S107" s="15"/>
      <c r="T107" s="15"/>
      <c r="U107" s="15"/>
      <c r="V107" s="15"/>
      <c r="W107" s="15"/>
      <c r="X107" s="15"/>
      <c r="Y107" s="15"/>
      <c r="Z107" s="15"/>
    </row>
    <row r="108" spans="1:26" ht="15.75" customHeight="1" x14ac:dyDescent="0.25">
      <c r="A108" s="24"/>
      <c r="B108" s="25"/>
      <c r="C108" s="24"/>
      <c r="D108" s="24"/>
      <c r="E108" s="24"/>
      <c r="F108" s="26"/>
      <c r="G108" s="15"/>
      <c r="H108" s="15"/>
      <c r="I108" s="15"/>
      <c r="J108" s="15"/>
      <c r="K108" s="167"/>
      <c r="L108" s="15"/>
      <c r="M108" s="15"/>
      <c r="N108" s="15"/>
      <c r="O108" s="15"/>
      <c r="P108" s="15"/>
      <c r="Q108" s="15"/>
      <c r="R108" s="15"/>
      <c r="S108" s="15"/>
      <c r="T108" s="15"/>
      <c r="U108" s="15"/>
      <c r="V108" s="15"/>
      <c r="W108" s="15"/>
      <c r="X108" s="15"/>
      <c r="Y108" s="15"/>
      <c r="Z108" s="15"/>
    </row>
    <row r="109" spans="1:26" ht="15.75" customHeight="1" x14ac:dyDescent="0.25">
      <c r="A109" s="24"/>
      <c r="B109" s="25"/>
      <c r="C109" s="24"/>
      <c r="D109" s="24"/>
      <c r="E109" s="24"/>
      <c r="F109" s="26"/>
      <c r="G109" s="15"/>
      <c r="H109" s="15"/>
      <c r="I109" s="15"/>
      <c r="J109" s="15"/>
      <c r="K109" s="167"/>
      <c r="L109" s="15"/>
      <c r="M109" s="15"/>
      <c r="N109" s="15"/>
      <c r="O109" s="15"/>
      <c r="P109" s="15"/>
      <c r="Q109" s="15"/>
      <c r="R109" s="15"/>
      <c r="S109" s="15"/>
      <c r="T109" s="15"/>
      <c r="U109" s="15"/>
      <c r="V109" s="15"/>
      <c r="W109" s="15"/>
      <c r="X109" s="15"/>
      <c r="Y109" s="15"/>
      <c r="Z109" s="15"/>
    </row>
    <row r="110" spans="1:26" ht="15.75" customHeight="1" x14ac:dyDescent="0.25">
      <c r="A110" s="24"/>
      <c r="B110" s="25"/>
      <c r="C110" s="24"/>
      <c r="D110" s="24"/>
      <c r="E110" s="24"/>
      <c r="F110" s="26"/>
      <c r="G110" s="15"/>
      <c r="H110" s="15"/>
      <c r="I110" s="15"/>
      <c r="J110" s="15"/>
      <c r="K110" s="167"/>
      <c r="L110" s="15"/>
      <c r="M110" s="15"/>
      <c r="N110" s="15"/>
      <c r="O110" s="15"/>
      <c r="P110" s="15"/>
      <c r="Q110" s="15"/>
      <c r="R110" s="15"/>
      <c r="S110" s="15"/>
      <c r="T110" s="15"/>
      <c r="U110" s="15"/>
      <c r="V110" s="15"/>
      <c r="W110" s="15"/>
      <c r="X110" s="15"/>
      <c r="Y110" s="15"/>
      <c r="Z110" s="15"/>
    </row>
    <row r="111" spans="1:26" ht="15.75" customHeight="1" x14ac:dyDescent="0.25">
      <c r="A111" s="24"/>
      <c r="B111" s="25"/>
      <c r="C111" s="24"/>
      <c r="D111" s="24"/>
      <c r="E111" s="24"/>
      <c r="F111" s="26"/>
      <c r="G111" s="15"/>
      <c r="H111" s="15"/>
      <c r="I111" s="15"/>
      <c r="J111" s="15"/>
      <c r="K111" s="167"/>
      <c r="L111" s="15"/>
      <c r="M111" s="15"/>
      <c r="N111" s="15"/>
      <c r="O111" s="15"/>
      <c r="P111" s="15"/>
      <c r="Q111" s="15"/>
      <c r="R111" s="15"/>
      <c r="S111" s="15"/>
      <c r="T111" s="15"/>
      <c r="U111" s="15"/>
      <c r="V111" s="15"/>
      <c r="W111" s="15"/>
      <c r="X111" s="15"/>
      <c r="Y111" s="15"/>
      <c r="Z111" s="15"/>
    </row>
    <row r="112" spans="1:26" ht="15.75" customHeight="1" x14ac:dyDescent="0.25">
      <c r="A112" s="24"/>
      <c r="B112" s="25"/>
      <c r="C112" s="24"/>
      <c r="D112" s="24"/>
      <c r="E112" s="24"/>
      <c r="F112" s="26"/>
      <c r="G112" s="15"/>
      <c r="H112" s="15"/>
      <c r="I112" s="15"/>
      <c r="J112" s="15"/>
      <c r="K112" s="167"/>
      <c r="L112" s="15"/>
      <c r="M112" s="15"/>
      <c r="N112" s="15"/>
      <c r="O112" s="15"/>
      <c r="P112" s="15"/>
      <c r="Q112" s="15"/>
      <c r="R112" s="15"/>
      <c r="S112" s="15"/>
      <c r="T112" s="15"/>
      <c r="U112" s="15"/>
      <c r="V112" s="15"/>
      <c r="W112" s="15"/>
      <c r="X112" s="15"/>
      <c r="Y112" s="15"/>
      <c r="Z112" s="15"/>
    </row>
    <row r="113" spans="1:26" ht="15.75" customHeight="1" x14ac:dyDescent="0.25">
      <c r="A113" s="24"/>
      <c r="B113" s="25"/>
      <c r="C113" s="24"/>
      <c r="D113" s="24"/>
      <c r="E113" s="24"/>
      <c r="F113" s="26"/>
      <c r="G113" s="15"/>
      <c r="H113" s="15"/>
      <c r="I113" s="15"/>
      <c r="J113" s="15"/>
      <c r="K113" s="167"/>
      <c r="L113" s="15"/>
      <c r="M113" s="15"/>
      <c r="N113" s="15"/>
      <c r="O113" s="15"/>
      <c r="P113" s="15"/>
      <c r="Q113" s="15"/>
      <c r="R113" s="15"/>
      <c r="S113" s="15"/>
      <c r="T113" s="15"/>
      <c r="U113" s="15"/>
      <c r="V113" s="15"/>
      <c r="W113" s="15"/>
      <c r="X113" s="15"/>
      <c r="Y113" s="15"/>
      <c r="Z113" s="15"/>
    </row>
    <row r="114" spans="1:26" ht="15.75" customHeight="1" x14ac:dyDescent="0.25">
      <c r="A114" s="24"/>
      <c r="B114" s="25"/>
      <c r="C114" s="24"/>
      <c r="D114" s="24"/>
      <c r="E114" s="24"/>
      <c r="F114" s="26"/>
      <c r="G114" s="15"/>
      <c r="H114" s="15"/>
      <c r="I114" s="15"/>
      <c r="J114" s="15"/>
      <c r="K114" s="167"/>
      <c r="L114" s="15"/>
      <c r="M114" s="15"/>
      <c r="N114" s="15"/>
      <c r="O114" s="15"/>
      <c r="P114" s="15"/>
      <c r="Q114" s="15"/>
      <c r="R114" s="15"/>
      <c r="S114" s="15"/>
      <c r="T114" s="15"/>
      <c r="U114" s="15"/>
      <c r="V114" s="15"/>
      <c r="W114" s="15"/>
      <c r="X114" s="15"/>
      <c r="Y114" s="15"/>
      <c r="Z114" s="15"/>
    </row>
    <row r="115" spans="1:26" ht="15.75" customHeight="1" x14ac:dyDescent="0.25">
      <c r="A115" s="24"/>
      <c r="B115" s="25"/>
      <c r="C115" s="24"/>
      <c r="D115" s="24"/>
      <c r="E115" s="24"/>
      <c r="F115" s="26"/>
      <c r="G115" s="15"/>
      <c r="H115" s="15"/>
      <c r="I115" s="15"/>
      <c r="J115" s="15"/>
      <c r="K115" s="167"/>
      <c r="L115" s="15"/>
      <c r="M115" s="15"/>
      <c r="N115" s="15"/>
      <c r="O115" s="15"/>
      <c r="P115" s="15"/>
      <c r="Q115" s="15"/>
      <c r="R115" s="15"/>
      <c r="S115" s="15"/>
      <c r="T115" s="15"/>
      <c r="U115" s="15"/>
      <c r="V115" s="15"/>
      <c r="W115" s="15"/>
      <c r="X115" s="15"/>
      <c r="Y115" s="15"/>
      <c r="Z115" s="15"/>
    </row>
    <row r="116" spans="1:26" ht="15.75" customHeight="1" x14ac:dyDescent="0.25">
      <c r="A116" s="24"/>
      <c r="B116" s="25"/>
      <c r="C116" s="24"/>
      <c r="D116" s="24"/>
      <c r="E116" s="24"/>
      <c r="F116" s="26"/>
      <c r="G116" s="15"/>
      <c r="H116" s="15"/>
      <c r="I116" s="15"/>
      <c r="J116" s="15"/>
      <c r="K116" s="167"/>
      <c r="L116" s="15"/>
      <c r="M116" s="15"/>
      <c r="N116" s="15"/>
      <c r="O116" s="15"/>
      <c r="P116" s="15"/>
      <c r="Q116" s="15"/>
      <c r="R116" s="15"/>
      <c r="S116" s="15"/>
      <c r="T116" s="15"/>
      <c r="U116" s="15"/>
      <c r="V116" s="15"/>
      <c r="W116" s="15"/>
      <c r="X116" s="15"/>
      <c r="Y116" s="15"/>
      <c r="Z116" s="15"/>
    </row>
    <row r="117" spans="1:26" ht="15.75" customHeight="1" x14ac:dyDescent="0.25">
      <c r="A117" s="24"/>
      <c r="B117" s="25"/>
      <c r="C117" s="24"/>
      <c r="D117" s="24"/>
      <c r="E117" s="24"/>
      <c r="F117" s="26"/>
      <c r="G117" s="15"/>
      <c r="H117" s="15"/>
      <c r="I117" s="15"/>
      <c r="J117" s="15"/>
      <c r="K117" s="167"/>
      <c r="L117" s="15"/>
      <c r="M117" s="15"/>
      <c r="N117" s="15"/>
      <c r="O117" s="15"/>
      <c r="P117" s="15"/>
      <c r="Q117" s="15"/>
      <c r="R117" s="15"/>
      <c r="S117" s="15"/>
      <c r="T117" s="15"/>
      <c r="U117" s="15"/>
      <c r="V117" s="15"/>
      <c r="W117" s="15"/>
      <c r="X117" s="15"/>
      <c r="Y117" s="15"/>
      <c r="Z117" s="15"/>
    </row>
    <row r="118" spans="1:26" ht="15.75" customHeight="1" x14ac:dyDescent="0.25">
      <c r="A118" s="24"/>
      <c r="B118" s="25"/>
      <c r="C118" s="24"/>
      <c r="D118" s="24"/>
      <c r="E118" s="24"/>
      <c r="F118" s="26"/>
      <c r="G118" s="15"/>
      <c r="H118" s="15"/>
      <c r="I118" s="15"/>
      <c r="J118" s="15"/>
      <c r="K118" s="167"/>
      <c r="L118" s="15"/>
      <c r="M118" s="15"/>
      <c r="N118" s="15"/>
      <c r="O118" s="15"/>
      <c r="P118" s="15"/>
      <c r="Q118" s="15"/>
      <c r="R118" s="15"/>
      <c r="S118" s="15"/>
      <c r="T118" s="15"/>
      <c r="U118" s="15"/>
      <c r="V118" s="15"/>
      <c r="W118" s="15"/>
      <c r="X118" s="15"/>
      <c r="Y118" s="15"/>
      <c r="Z118" s="15"/>
    </row>
    <row r="119" spans="1:26" ht="15.75" customHeight="1" x14ac:dyDescent="0.25">
      <c r="A119" s="24"/>
      <c r="B119" s="25"/>
      <c r="C119" s="24"/>
      <c r="D119" s="24"/>
      <c r="E119" s="24"/>
      <c r="F119" s="26"/>
      <c r="G119" s="15"/>
      <c r="H119" s="15"/>
      <c r="I119" s="15"/>
      <c r="J119" s="15"/>
      <c r="K119" s="167"/>
      <c r="L119" s="15"/>
      <c r="M119" s="15"/>
      <c r="N119" s="15"/>
      <c r="O119" s="15"/>
      <c r="P119" s="15"/>
      <c r="Q119" s="15"/>
      <c r="R119" s="15"/>
      <c r="S119" s="15"/>
      <c r="T119" s="15"/>
      <c r="U119" s="15"/>
      <c r="V119" s="15"/>
      <c r="W119" s="15"/>
      <c r="X119" s="15"/>
      <c r="Y119" s="15"/>
      <c r="Z119" s="15"/>
    </row>
    <row r="120" spans="1:26" ht="15.75" customHeight="1" x14ac:dyDescent="0.25">
      <c r="A120" s="24"/>
      <c r="B120" s="25"/>
      <c r="C120" s="24"/>
      <c r="D120" s="24"/>
      <c r="E120" s="24"/>
      <c r="F120" s="26"/>
      <c r="G120" s="15"/>
      <c r="H120" s="15"/>
      <c r="I120" s="15"/>
      <c r="J120" s="15"/>
      <c r="K120" s="167"/>
      <c r="L120" s="15"/>
      <c r="M120" s="15"/>
      <c r="N120" s="15"/>
      <c r="O120" s="15"/>
      <c r="P120" s="15"/>
      <c r="Q120" s="15"/>
      <c r="R120" s="15"/>
      <c r="S120" s="15"/>
      <c r="T120" s="15"/>
      <c r="U120" s="15"/>
      <c r="V120" s="15"/>
      <c r="W120" s="15"/>
      <c r="X120" s="15"/>
      <c r="Y120" s="15"/>
      <c r="Z120" s="15"/>
    </row>
    <row r="121" spans="1:26" ht="15.75" customHeight="1" x14ac:dyDescent="0.25">
      <c r="A121" s="24"/>
      <c r="B121" s="25"/>
      <c r="C121" s="24"/>
      <c r="D121" s="24"/>
      <c r="E121" s="24"/>
      <c r="F121" s="26"/>
      <c r="G121" s="15"/>
      <c r="H121" s="15"/>
      <c r="I121" s="15"/>
      <c r="J121" s="15"/>
      <c r="K121" s="167"/>
      <c r="L121" s="15"/>
      <c r="M121" s="15"/>
      <c r="N121" s="15"/>
      <c r="O121" s="15"/>
      <c r="P121" s="15"/>
      <c r="Q121" s="15"/>
      <c r="R121" s="15"/>
      <c r="S121" s="15"/>
      <c r="T121" s="15"/>
      <c r="U121" s="15"/>
      <c r="V121" s="15"/>
      <c r="W121" s="15"/>
      <c r="X121" s="15"/>
      <c r="Y121" s="15"/>
      <c r="Z121" s="15"/>
    </row>
    <row r="122" spans="1:26" ht="15.75" customHeight="1" x14ac:dyDescent="0.25">
      <c r="A122" s="24"/>
      <c r="B122" s="25"/>
      <c r="C122" s="24"/>
      <c r="D122" s="24"/>
      <c r="E122" s="24"/>
      <c r="F122" s="26"/>
      <c r="G122" s="15"/>
      <c r="H122" s="15"/>
      <c r="I122" s="15"/>
      <c r="J122" s="15"/>
      <c r="K122" s="167"/>
      <c r="L122" s="15"/>
      <c r="M122" s="15"/>
      <c r="N122" s="15"/>
      <c r="O122" s="15"/>
      <c r="P122" s="15"/>
      <c r="Q122" s="15"/>
      <c r="R122" s="15"/>
      <c r="S122" s="15"/>
      <c r="T122" s="15"/>
      <c r="U122" s="15"/>
      <c r="V122" s="15"/>
      <c r="W122" s="15"/>
      <c r="X122" s="15"/>
      <c r="Y122" s="15"/>
      <c r="Z122" s="15"/>
    </row>
    <row r="123" spans="1:26" ht="15.75" customHeight="1" x14ac:dyDescent="0.25">
      <c r="A123" s="24"/>
      <c r="B123" s="25"/>
      <c r="C123" s="24"/>
      <c r="D123" s="24"/>
      <c r="E123" s="24"/>
      <c r="F123" s="26"/>
      <c r="G123" s="15"/>
      <c r="H123" s="15"/>
      <c r="I123" s="15"/>
      <c r="J123" s="15"/>
      <c r="K123" s="167"/>
      <c r="L123" s="15"/>
      <c r="M123" s="15"/>
      <c r="N123" s="15"/>
      <c r="O123" s="15"/>
      <c r="P123" s="15"/>
      <c r="Q123" s="15"/>
      <c r="R123" s="15"/>
      <c r="S123" s="15"/>
      <c r="T123" s="15"/>
      <c r="U123" s="15"/>
      <c r="V123" s="15"/>
      <c r="W123" s="15"/>
      <c r="X123" s="15"/>
      <c r="Y123" s="15"/>
      <c r="Z123" s="15"/>
    </row>
    <row r="124" spans="1:26" ht="15.75" customHeight="1" x14ac:dyDescent="0.25">
      <c r="A124" s="24"/>
      <c r="B124" s="25"/>
      <c r="C124" s="24"/>
      <c r="D124" s="24"/>
      <c r="E124" s="24"/>
      <c r="F124" s="26"/>
      <c r="G124" s="15"/>
      <c r="H124" s="15"/>
      <c r="I124" s="15"/>
      <c r="J124" s="15"/>
      <c r="K124" s="167"/>
      <c r="L124" s="15"/>
      <c r="M124" s="15"/>
      <c r="N124" s="15"/>
      <c r="O124" s="15"/>
      <c r="P124" s="15"/>
      <c r="Q124" s="15"/>
      <c r="R124" s="15"/>
      <c r="S124" s="15"/>
      <c r="T124" s="15"/>
      <c r="U124" s="15"/>
      <c r="V124" s="15"/>
      <c r="W124" s="15"/>
      <c r="X124" s="15"/>
      <c r="Y124" s="15"/>
      <c r="Z124" s="15"/>
    </row>
    <row r="125" spans="1:26" ht="15.75" customHeight="1" x14ac:dyDescent="0.25">
      <c r="A125" s="24"/>
      <c r="B125" s="25"/>
      <c r="C125" s="24"/>
      <c r="D125" s="24"/>
      <c r="E125" s="24"/>
      <c r="F125" s="26"/>
      <c r="G125" s="15"/>
      <c r="H125" s="15"/>
      <c r="I125" s="15"/>
      <c r="J125" s="15"/>
      <c r="K125" s="167"/>
      <c r="L125" s="15"/>
      <c r="M125" s="15"/>
      <c r="N125" s="15"/>
      <c r="O125" s="15"/>
      <c r="P125" s="15"/>
      <c r="Q125" s="15"/>
      <c r="R125" s="15"/>
      <c r="S125" s="15"/>
      <c r="T125" s="15"/>
      <c r="U125" s="15"/>
      <c r="V125" s="15"/>
      <c r="W125" s="15"/>
      <c r="X125" s="15"/>
      <c r="Y125" s="15"/>
      <c r="Z125" s="15"/>
    </row>
    <row r="126" spans="1:26" ht="15.75" customHeight="1" x14ac:dyDescent="0.25">
      <c r="A126" s="24"/>
      <c r="B126" s="25"/>
      <c r="C126" s="24"/>
      <c r="D126" s="24"/>
      <c r="E126" s="24"/>
      <c r="F126" s="26"/>
      <c r="G126" s="15"/>
      <c r="H126" s="15"/>
      <c r="I126" s="15"/>
      <c r="J126" s="15"/>
      <c r="K126" s="167"/>
      <c r="L126" s="15"/>
      <c r="M126" s="15"/>
      <c r="N126" s="15"/>
      <c r="O126" s="15"/>
      <c r="P126" s="15"/>
      <c r="Q126" s="15"/>
      <c r="R126" s="15"/>
      <c r="S126" s="15"/>
      <c r="T126" s="15"/>
      <c r="U126" s="15"/>
      <c r="V126" s="15"/>
      <c r="W126" s="15"/>
      <c r="X126" s="15"/>
      <c r="Y126" s="15"/>
      <c r="Z126" s="15"/>
    </row>
    <row r="127" spans="1:26" ht="15.75" customHeight="1" x14ac:dyDescent="0.25">
      <c r="A127" s="24"/>
      <c r="B127" s="25"/>
      <c r="C127" s="24"/>
      <c r="D127" s="24"/>
      <c r="E127" s="24"/>
      <c r="F127" s="26"/>
      <c r="G127" s="15"/>
      <c r="H127" s="15"/>
      <c r="I127" s="15"/>
      <c r="J127" s="15"/>
      <c r="K127" s="167"/>
      <c r="L127" s="15"/>
      <c r="M127" s="15"/>
      <c r="N127" s="15"/>
      <c r="O127" s="15"/>
      <c r="P127" s="15"/>
      <c r="Q127" s="15"/>
      <c r="R127" s="15"/>
      <c r="S127" s="15"/>
      <c r="T127" s="15"/>
      <c r="U127" s="15"/>
      <c r="V127" s="15"/>
      <c r="W127" s="15"/>
      <c r="X127" s="15"/>
      <c r="Y127" s="15"/>
      <c r="Z127" s="15"/>
    </row>
    <row r="128" spans="1:26" ht="15.75" customHeight="1" x14ac:dyDescent="0.25">
      <c r="A128" s="24"/>
      <c r="B128" s="25"/>
      <c r="C128" s="24"/>
      <c r="D128" s="24"/>
      <c r="E128" s="24"/>
      <c r="F128" s="26"/>
      <c r="G128" s="15"/>
      <c r="H128" s="15"/>
      <c r="I128" s="15"/>
      <c r="J128" s="15"/>
      <c r="K128" s="167"/>
      <c r="L128" s="15"/>
      <c r="M128" s="15"/>
      <c r="N128" s="15"/>
      <c r="O128" s="15"/>
      <c r="P128" s="15"/>
      <c r="Q128" s="15"/>
      <c r="R128" s="15"/>
      <c r="S128" s="15"/>
      <c r="T128" s="15"/>
      <c r="U128" s="15"/>
      <c r="V128" s="15"/>
      <c r="W128" s="15"/>
      <c r="X128" s="15"/>
      <c r="Y128" s="15"/>
      <c r="Z128" s="15"/>
    </row>
    <row r="129" spans="1:26" ht="15.75" customHeight="1" x14ac:dyDescent="0.25">
      <c r="A129" s="24"/>
      <c r="B129" s="25"/>
      <c r="C129" s="24"/>
      <c r="D129" s="24"/>
      <c r="E129" s="24"/>
      <c r="F129" s="26"/>
      <c r="G129" s="15"/>
      <c r="H129" s="15"/>
      <c r="I129" s="15"/>
      <c r="J129" s="15"/>
      <c r="K129" s="167"/>
      <c r="L129" s="15"/>
      <c r="M129" s="15"/>
      <c r="N129" s="15"/>
      <c r="O129" s="15"/>
      <c r="P129" s="15"/>
      <c r="Q129" s="15"/>
      <c r="R129" s="15"/>
      <c r="S129" s="15"/>
      <c r="T129" s="15"/>
      <c r="U129" s="15"/>
      <c r="V129" s="15"/>
      <c r="W129" s="15"/>
      <c r="X129" s="15"/>
      <c r="Y129" s="15"/>
      <c r="Z129" s="15"/>
    </row>
    <row r="130" spans="1:26" ht="15.75" customHeight="1" x14ac:dyDescent="0.25">
      <c r="A130" s="24"/>
      <c r="B130" s="25"/>
      <c r="C130" s="24"/>
      <c r="D130" s="24"/>
      <c r="E130" s="24"/>
      <c r="F130" s="26"/>
      <c r="G130" s="15"/>
      <c r="H130" s="15"/>
      <c r="I130" s="15"/>
      <c r="J130" s="15"/>
      <c r="K130" s="167"/>
      <c r="L130" s="15"/>
      <c r="M130" s="15"/>
      <c r="N130" s="15"/>
      <c r="O130" s="15"/>
      <c r="P130" s="15"/>
      <c r="Q130" s="15"/>
      <c r="R130" s="15"/>
      <c r="S130" s="15"/>
      <c r="T130" s="15"/>
      <c r="U130" s="15"/>
      <c r="V130" s="15"/>
      <c r="W130" s="15"/>
      <c r="X130" s="15"/>
      <c r="Y130" s="15"/>
      <c r="Z130" s="15"/>
    </row>
    <row r="131" spans="1:26" ht="15.75" customHeight="1" x14ac:dyDescent="0.25">
      <c r="A131" s="24"/>
      <c r="B131" s="25"/>
      <c r="C131" s="24"/>
      <c r="D131" s="24"/>
      <c r="E131" s="24"/>
      <c r="F131" s="26"/>
      <c r="G131" s="15"/>
      <c r="H131" s="15"/>
      <c r="I131" s="15"/>
      <c r="J131" s="15"/>
      <c r="K131" s="167"/>
      <c r="L131" s="15"/>
      <c r="M131" s="15"/>
      <c r="N131" s="15"/>
      <c r="O131" s="15"/>
      <c r="P131" s="15"/>
      <c r="Q131" s="15"/>
      <c r="R131" s="15"/>
      <c r="S131" s="15"/>
      <c r="T131" s="15"/>
      <c r="U131" s="15"/>
      <c r="V131" s="15"/>
      <c r="W131" s="15"/>
      <c r="X131" s="15"/>
      <c r="Y131" s="15"/>
      <c r="Z131" s="15"/>
    </row>
    <row r="132" spans="1:26" ht="15.75" customHeight="1" x14ac:dyDescent="0.25">
      <c r="A132" s="24"/>
      <c r="B132" s="25"/>
      <c r="C132" s="24"/>
      <c r="D132" s="24"/>
      <c r="E132" s="24"/>
      <c r="F132" s="26"/>
      <c r="G132" s="15"/>
      <c r="H132" s="15"/>
      <c r="I132" s="15"/>
      <c r="J132" s="15"/>
      <c r="K132" s="167"/>
      <c r="L132" s="15"/>
      <c r="M132" s="15"/>
      <c r="N132" s="15"/>
      <c r="O132" s="15"/>
      <c r="P132" s="15"/>
      <c r="Q132" s="15"/>
      <c r="R132" s="15"/>
      <c r="S132" s="15"/>
      <c r="T132" s="15"/>
      <c r="U132" s="15"/>
      <c r="V132" s="15"/>
      <c r="W132" s="15"/>
      <c r="X132" s="15"/>
      <c r="Y132" s="15"/>
      <c r="Z132" s="15"/>
    </row>
    <row r="133" spans="1:26" ht="15.75" customHeight="1" x14ac:dyDescent="0.25">
      <c r="A133" s="24"/>
      <c r="B133" s="25"/>
      <c r="C133" s="24"/>
      <c r="D133" s="24"/>
      <c r="E133" s="24"/>
      <c r="F133" s="26"/>
      <c r="G133" s="15"/>
      <c r="H133" s="15"/>
      <c r="I133" s="15"/>
      <c r="J133" s="15"/>
      <c r="K133" s="167"/>
      <c r="L133" s="15"/>
      <c r="M133" s="15"/>
      <c r="N133" s="15"/>
      <c r="O133" s="15"/>
      <c r="P133" s="15"/>
      <c r="Q133" s="15"/>
      <c r="R133" s="15"/>
      <c r="S133" s="15"/>
      <c r="T133" s="15"/>
      <c r="U133" s="15"/>
      <c r="V133" s="15"/>
      <c r="W133" s="15"/>
      <c r="X133" s="15"/>
      <c r="Y133" s="15"/>
      <c r="Z133" s="15"/>
    </row>
    <row r="134" spans="1:26" ht="15.75" customHeight="1" x14ac:dyDescent="0.25">
      <c r="A134" s="24"/>
      <c r="B134" s="25"/>
      <c r="C134" s="24"/>
      <c r="D134" s="24"/>
      <c r="E134" s="24"/>
      <c r="F134" s="26"/>
      <c r="G134" s="15"/>
      <c r="H134" s="15"/>
      <c r="I134" s="15"/>
      <c r="J134" s="15"/>
      <c r="K134" s="167"/>
      <c r="L134" s="15"/>
      <c r="M134" s="15"/>
      <c r="N134" s="15"/>
      <c r="O134" s="15"/>
      <c r="P134" s="15"/>
      <c r="Q134" s="15"/>
      <c r="R134" s="15"/>
      <c r="S134" s="15"/>
      <c r="T134" s="15"/>
      <c r="U134" s="15"/>
      <c r="V134" s="15"/>
      <c r="W134" s="15"/>
      <c r="X134" s="15"/>
      <c r="Y134" s="15"/>
      <c r="Z134" s="15"/>
    </row>
    <row r="135" spans="1:26" ht="15.75" customHeight="1" x14ac:dyDescent="0.25">
      <c r="A135" s="24"/>
      <c r="B135" s="25"/>
      <c r="C135" s="24"/>
      <c r="D135" s="24"/>
      <c r="E135" s="24"/>
      <c r="F135" s="26"/>
      <c r="G135" s="15"/>
      <c r="H135" s="15"/>
      <c r="I135" s="15"/>
      <c r="J135" s="15"/>
      <c r="K135" s="167"/>
      <c r="L135" s="15"/>
      <c r="M135" s="15"/>
      <c r="N135" s="15"/>
      <c r="O135" s="15"/>
      <c r="P135" s="15"/>
      <c r="Q135" s="15"/>
      <c r="R135" s="15"/>
      <c r="S135" s="15"/>
      <c r="T135" s="15"/>
      <c r="U135" s="15"/>
      <c r="V135" s="15"/>
      <c r="W135" s="15"/>
      <c r="X135" s="15"/>
      <c r="Y135" s="15"/>
      <c r="Z135" s="15"/>
    </row>
    <row r="136" spans="1:26" ht="15.75" customHeight="1" x14ac:dyDescent="0.25">
      <c r="A136" s="24"/>
      <c r="B136" s="25"/>
      <c r="C136" s="24"/>
      <c r="D136" s="24"/>
      <c r="E136" s="24"/>
      <c r="F136" s="26"/>
      <c r="G136" s="15"/>
      <c r="H136" s="15"/>
      <c r="I136" s="15"/>
      <c r="J136" s="15"/>
      <c r="K136" s="167"/>
      <c r="L136" s="15"/>
      <c r="M136" s="15"/>
      <c r="N136" s="15"/>
      <c r="O136" s="15"/>
      <c r="P136" s="15"/>
      <c r="Q136" s="15"/>
      <c r="R136" s="15"/>
      <c r="S136" s="15"/>
      <c r="T136" s="15"/>
      <c r="U136" s="15"/>
      <c r="V136" s="15"/>
      <c r="W136" s="15"/>
      <c r="X136" s="15"/>
      <c r="Y136" s="15"/>
      <c r="Z136" s="15"/>
    </row>
    <row r="137" spans="1:26" ht="15.75" customHeight="1" x14ac:dyDescent="0.25">
      <c r="A137" s="24"/>
      <c r="B137" s="25"/>
      <c r="C137" s="24"/>
      <c r="D137" s="24"/>
      <c r="E137" s="24"/>
      <c r="F137" s="26"/>
      <c r="G137" s="15"/>
      <c r="H137" s="15"/>
      <c r="I137" s="15"/>
      <c r="J137" s="15"/>
      <c r="K137" s="167"/>
      <c r="L137" s="15"/>
      <c r="M137" s="15"/>
      <c r="N137" s="15"/>
      <c r="O137" s="15"/>
      <c r="P137" s="15"/>
      <c r="Q137" s="15"/>
      <c r="R137" s="15"/>
      <c r="S137" s="15"/>
      <c r="T137" s="15"/>
      <c r="U137" s="15"/>
      <c r="V137" s="15"/>
      <c r="W137" s="15"/>
      <c r="X137" s="15"/>
      <c r="Y137" s="15"/>
      <c r="Z137" s="15"/>
    </row>
    <row r="138" spans="1:26" ht="15.75" customHeight="1" x14ac:dyDescent="0.25">
      <c r="A138" s="24"/>
      <c r="B138" s="25"/>
      <c r="C138" s="24"/>
      <c r="D138" s="24"/>
      <c r="E138" s="24"/>
      <c r="F138" s="26"/>
      <c r="G138" s="15"/>
      <c r="H138" s="15"/>
      <c r="I138" s="15"/>
      <c r="J138" s="15"/>
      <c r="K138" s="167"/>
      <c r="L138" s="15"/>
      <c r="M138" s="15"/>
      <c r="N138" s="15"/>
      <c r="O138" s="15"/>
      <c r="P138" s="15"/>
      <c r="Q138" s="15"/>
      <c r="R138" s="15"/>
      <c r="S138" s="15"/>
      <c r="T138" s="15"/>
      <c r="U138" s="15"/>
      <c r="V138" s="15"/>
      <c r="W138" s="15"/>
      <c r="X138" s="15"/>
      <c r="Y138" s="15"/>
      <c r="Z138" s="15"/>
    </row>
    <row r="139" spans="1:26" ht="15.75" customHeight="1" x14ac:dyDescent="0.25">
      <c r="A139" s="24"/>
      <c r="B139" s="25"/>
      <c r="C139" s="24"/>
      <c r="D139" s="24"/>
      <c r="E139" s="24"/>
      <c r="F139" s="26"/>
      <c r="G139" s="15"/>
      <c r="H139" s="15"/>
      <c r="I139" s="15"/>
      <c r="J139" s="15"/>
      <c r="K139" s="167"/>
      <c r="L139" s="15"/>
      <c r="M139" s="15"/>
      <c r="N139" s="15"/>
      <c r="O139" s="15"/>
      <c r="P139" s="15"/>
      <c r="Q139" s="15"/>
      <c r="R139" s="15"/>
      <c r="S139" s="15"/>
      <c r="T139" s="15"/>
      <c r="U139" s="15"/>
      <c r="V139" s="15"/>
      <c r="W139" s="15"/>
      <c r="X139" s="15"/>
      <c r="Y139" s="15"/>
      <c r="Z139" s="15"/>
    </row>
    <row r="140" spans="1:26" ht="15.75" customHeight="1" x14ac:dyDescent="0.25">
      <c r="A140" s="24"/>
      <c r="B140" s="25"/>
      <c r="C140" s="24"/>
      <c r="D140" s="24"/>
      <c r="E140" s="24"/>
      <c r="F140" s="26"/>
      <c r="G140" s="15"/>
      <c r="H140" s="15"/>
      <c r="I140" s="15"/>
      <c r="J140" s="15"/>
      <c r="K140" s="167"/>
      <c r="L140" s="15"/>
      <c r="M140" s="15"/>
      <c r="N140" s="15"/>
      <c r="O140" s="15"/>
      <c r="P140" s="15"/>
      <c r="Q140" s="15"/>
      <c r="R140" s="15"/>
      <c r="S140" s="15"/>
      <c r="T140" s="15"/>
      <c r="U140" s="15"/>
      <c r="V140" s="15"/>
      <c r="W140" s="15"/>
      <c r="X140" s="15"/>
      <c r="Y140" s="15"/>
      <c r="Z140" s="15"/>
    </row>
    <row r="141" spans="1:26" ht="15.75" customHeight="1" x14ac:dyDescent="0.25">
      <c r="A141" s="24"/>
      <c r="B141" s="25"/>
      <c r="C141" s="24"/>
      <c r="D141" s="24"/>
      <c r="E141" s="24"/>
      <c r="F141" s="26"/>
      <c r="G141" s="15"/>
      <c r="H141" s="15"/>
      <c r="I141" s="15"/>
      <c r="J141" s="15"/>
      <c r="K141" s="167"/>
      <c r="L141" s="15"/>
      <c r="M141" s="15"/>
      <c r="N141" s="15"/>
      <c r="O141" s="15"/>
      <c r="P141" s="15"/>
      <c r="Q141" s="15"/>
      <c r="R141" s="15"/>
      <c r="S141" s="15"/>
      <c r="T141" s="15"/>
      <c r="U141" s="15"/>
      <c r="V141" s="15"/>
      <c r="W141" s="15"/>
      <c r="X141" s="15"/>
      <c r="Y141" s="15"/>
      <c r="Z141" s="15"/>
    </row>
    <row r="142" spans="1:26" ht="15.75" customHeight="1" x14ac:dyDescent="0.25">
      <c r="A142" s="24"/>
      <c r="B142" s="25"/>
      <c r="C142" s="24"/>
      <c r="D142" s="24"/>
      <c r="E142" s="24"/>
      <c r="F142" s="26"/>
      <c r="G142" s="15"/>
      <c r="H142" s="15"/>
      <c r="I142" s="15"/>
      <c r="J142" s="15"/>
      <c r="K142" s="167"/>
      <c r="L142" s="15"/>
      <c r="M142" s="15"/>
      <c r="N142" s="15"/>
      <c r="O142" s="15"/>
      <c r="P142" s="15"/>
      <c r="Q142" s="15"/>
      <c r="R142" s="15"/>
      <c r="S142" s="15"/>
      <c r="T142" s="15"/>
      <c r="U142" s="15"/>
      <c r="V142" s="15"/>
      <c r="W142" s="15"/>
      <c r="X142" s="15"/>
      <c r="Y142" s="15"/>
      <c r="Z142" s="15"/>
    </row>
    <row r="143" spans="1:26" ht="15.75" customHeight="1" x14ac:dyDescent="0.25">
      <c r="A143" s="24"/>
      <c r="B143" s="25"/>
      <c r="C143" s="24"/>
      <c r="D143" s="24"/>
      <c r="E143" s="24"/>
      <c r="F143" s="26"/>
      <c r="G143" s="15"/>
      <c r="H143" s="15"/>
      <c r="I143" s="15"/>
      <c r="J143" s="15"/>
      <c r="K143" s="167"/>
      <c r="L143" s="15"/>
      <c r="M143" s="15"/>
      <c r="N143" s="15"/>
      <c r="O143" s="15"/>
      <c r="P143" s="15"/>
      <c r="Q143" s="15"/>
      <c r="R143" s="15"/>
      <c r="S143" s="15"/>
      <c r="T143" s="15"/>
      <c r="U143" s="15"/>
      <c r="V143" s="15"/>
      <c r="W143" s="15"/>
      <c r="X143" s="15"/>
      <c r="Y143" s="15"/>
      <c r="Z143" s="15"/>
    </row>
    <row r="144" spans="1:26" ht="15.75" customHeight="1" x14ac:dyDescent="0.25">
      <c r="A144" s="24"/>
      <c r="B144" s="25"/>
      <c r="C144" s="24"/>
      <c r="D144" s="24"/>
      <c r="E144" s="24"/>
      <c r="F144" s="26"/>
      <c r="G144" s="15"/>
      <c r="H144" s="15"/>
      <c r="I144" s="15"/>
      <c r="J144" s="15"/>
      <c r="K144" s="167"/>
      <c r="L144" s="15"/>
      <c r="M144" s="15"/>
      <c r="N144" s="15"/>
      <c r="O144" s="15"/>
      <c r="P144" s="15"/>
      <c r="Q144" s="15"/>
      <c r="R144" s="15"/>
      <c r="S144" s="15"/>
      <c r="T144" s="15"/>
      <c r="U144" s="15"/>
      <c r="V144" s="15"/>
      <c r="W144" s="15"/>
      <c r="X144" s="15"/>
      <c r="Y144" s="15"/>
      <c r="Z144" s="15"/>
    </row>
    <row r="145" spans="1:26" ht="15.75" customHeight="1" x14ac:dyDescent="0.25">
      <c r="A145" s="24"/>
      <c r="B145" s="25"/>
      <c r="C145" s="24"/>
      <c r="D145" s="24"/>
      <c r="E145" s="24"/>
      <c r="F145" s="26"/>
      <c r="G145" s="15"/>
      <c r="H145" s="15"/>
      <c r="I145" s="15"/>
      <c r="J145" s="15"/>
      <c r="K145" s="167"/>
      <c r="L145" s="15"/>
      <c r="M145" s="15"/>
      <c r="N145" s="15"/>
      <c r="O145" s="15"/>
      <c r="P145" s="15"/>
      <c r="Q145" s="15"/>
      <c r="R145" s="15"/>
      <c r="S145" s="15"/>
      <c r="T145" s="15"/>
      <c r="U145" s="15"/>
      <c r="V145" s="15"/>
      <c r="W145" s="15"/>
      <c r="X145" s="15"/>
      <c r="Y145" s="15"/>
      <c r="Z145" s="15"/>
    </row>
    <row r="146" spans="1:26" ht="15.75" customHeight="1" x14ac:dyDescent="0.25">
      <c r="A146" s="24"/>
      <c r="B146" s="25"/>
      <c r="C146" s="24"/>
      <c r="D146" s="24"/>
      <c r="E146" s="24"/>
      <c r="F146" s="26"/>
      <c r="G146" s="15"/>
      <c r="H146" s="15"/>
      <c r="I146" s="15"/>
      <c r="J146" s="15"/>
      <c r="K146" s="167"/>
      <c r="L146" s="15"/>
      <c r="M146" s="15"/>
      <c r="N146" s="15"/>
      <c r="O146" s="15"/>
      <c r="P146" s="15"/>
      <c r="Q146" s="15"/>
      <c r="R146" s="15"/>
      <c r="S146" s="15"/>
      <c r="T146" s="15"/>
      <c r="U146" s="15"/>
      <c r="V146" s="15"/>
      <c r="W146" s="15"/>
      <c r="X146" s="15"/>
      <c r="Y146" s="15"/>
      <c r="Z146" s="15"/>
    </row>
    <row r="147" spans="1:26" ht="15.75" customHeight="1" x14ac:dyDescent="0.25">
      <c r="A147" s="24"/>
      <c r="B147" s="25"/>
      <c r="C147" s="24"/>
      <c r="D147" s="24"/>
      <c r="E147" s="24"/>
      <c r="F147" s="26"/>
      <c r="G147" s="15"/>
      <c r="H147" s="15"/>
      <c r="I147" s="15"/>
      <c r="J147" s="15"/>
      <c r="K147" s="167"/>
      <c r="L147" s="15"/>
      <c r="M147" s="15"/>
      <c r="N147" s="15"/>
      <c r="O147" s="15"/>
      <c r="P147" s="15"/>
      <c r="Q147" s="15"/>
      <c r="R147" s="15"/>
      <c r="S147" s="15"/>
      <c r="T147" s="15"/>
      <c r="U147" s="15"/>
      <c r="V147" s="15"/>
      <c r="W147" s="15"/>
      <c r="X147" s="15"/>
      <c r="Y147" s="15"/>
      <c r="Z147" s="15"/>
    </row>
    <row r="148" spans="1:26" ht="15.75" customHeight="1" x14ac:dyDescent="0.25">
      <c r="A148" s="24"/>
      <c r="B148" s="25"/>
      <c r="C148" s="24"/>
      <c r="D148" s="24"/>
      <c r="E148" s="24"/>
      <c r="F148" s="26"/>
      <c r="G148" s="15"/>
      <c r="H148" s="15"/>
      <c r="I148" s="15"/>
      <c r="J148" s="15"/>
      <c r="K148" s="167"/>
      <c r="L148" s="15"/>
      <c r="M148" s="15"/>
      <c r="N148" s="15"/>
      <c r="O148" s="15"/>
      <c r="P148" s="15"/>
      <c r="Q148" s="15"/>
      <c r="R148" s="15"/>
      <c r="S148" s="15"/>
      <c r="T148" s="15"/>
      <c r="U148" s="15"/>
      <c r="V148" s="15"/>
      <c r="W148" s="15"/>
      <c r="X148" s="15"/>
      <c r="Y148" s="15"/>
      <c r="Z148" s="15"/>
    </row>
    <row r="149" spans="1:26" ht="15.75" customHeight="1" x14ac:dyDescent="0.25">
      <c r="A149" s="24"/>
      <c r="B149" s="25"/>
      <c r="C149" s="24"/>
      <c r="D149" s="24"/>
      <c r="E149" s="24"/>
      <c r="F149" s="26"/>
      <c r="G149" s="15"/>
      <c r="H149" s="15"/>
      <c r="I149" s="15"/>
      <c r="J149" s="15"/>
      <c r="K149" s="167"/>
      <c r="L149" s="15"/>
      <c r="M149" s="15"/>
      <c r="N149" s="15"/>
      <c r="O149" s="15"/>
      <c r="P149" s="15"/>
      <c r="Q149" s="15"/>
      <c r="R149" s="15"/>
      <c r="S149" s="15"/>
      <c r="T149" s="15"/>
      <c r="U149" s="15"/>
      <c r="V149" s="15"/>
      <c r="W149" s="15"/>
      <c r="X149" s="15"/>
      <c r="Y149" s="15"/>
      <c r="Z149" s="15"/>
    </row>
    <row r="150" spans="1:26" ht="15.75" customHeight="1" x14ac:dyDescent="0.25">
      <c r="A150" s="24"/>
      <c r="B150" s="25"/>
      <c r="C150" s="24"/>
      <c r="D150" s="24"/>
      <c r="E150" s="24"/>
      <c r="F150" s="26"/>
      <c r="G150" s="15"/>
      <c r="H150" s="15"/>
      <c r="I150" s="15"/>
      <c r="J150" s="15"/>
      <c r="K150" s="167"/>
      <c r="L150" s="15"/>
      <c r="M150" s="15"/>
      <c r="N150" s="15"/>
      <c r="O150" s="15"/>
      <c r="P150" s="15"/>
      <c r="Q150" s="15"/>
      <c r="R150" s="15"/>
      <c r="S150" s="15"/>
      <c r="T150" s="15"/>
      <c r="U150" s="15"/>
      <c r="V150" s="15"/>
      <c r="W150" s="15"/>
      <c r="X150" s="15"/>
      <c r="Y150" s="15"/>
      <c r="Z150" s="15"/>
    </row>
    <row r="151" spans="1:26" ht="15.75" customHeight="1" x14ac:dyDescent="0.25">
      <c r="A151" s="24"/>
      <c r="B151" s="25"/>
      <c r="C151" s="24"/>
      <c r="D151" s="24"/>
      <c r="E151" s="24"/>
      <c r="F151" s="26"/>
      <c r="G151" s="15"/>
      <c r="H151" s="15"/>
      <c r="I151" s="15"/>
      <c r="J151" s="15"/>
      <c r="K151" s="167"/>
      <c r="L151" s="15"/>
      <c r="M151" s="15"/>
      <c r="N151" s="15"/>
      <c r="O151" s="15"/>
      <c r="P151" s="15"/>
      <c r="Q151" s="15"/>
      <c r="R151" s="15"/>
      <c r="S151" s="15"/>
      <c r="T151" s="15"/>
      <c r="U151" s="15"/>
      <c r="V151" s="15"/>
      <c r="W151" s="15"/>
      <c r="X151" s="15"/>
      <c r="Y151" s="15"/>
      <c r="Z151" s="15"/>
    </row>
    <row r="152" spans="1:26" ht="15.75" customHeight="1" x14ac:dyDescent="0.25">
      <c r="A152" s="24"/>
      <c r="B152" s="25"/>
      <c r="C152" s="24"/>
      <c r="D152" s="24"/>
      <c r="E152" s="24"/>
      <c r="F152" s="26"/>
      <c r="G152" s="15"/>
      <c r="H152" s="15"/>
      <c r="I152" s="15"/>
      <c r="J152" s="15"/>
      <c r="K152" s="167"/>
      <c r="L152" s="15"/>
      <c r="M152" s="15"/>
      <c r="N152" s="15"/>
      <c r="O152" s="15"/>
      <c r="P152" s="15"/>
      <c r="Q152" s="15"/>
      <c r="R152" s="15"/>
      <c r="S152" s="15"/>
      <c r="T152" s="15"/>
      <c r="U152" s="15"/>
      <c r="V152" s="15"/>
      <c r="W152" s="15"/>
      <c r="X152" s="15"/>
      <c r="Y152" s="15"/>
      <c r="Z152" s="15"/>
    </row>
    <row r="153" spans="1:26" ht="15.75" customHeight="1" x14ac:dyDescent="0.25">
      <c r="A153" s="24"/>
      <c r="B153" s="25"/>
      <c r="C153" s="24"/>
      <c r="D153" s="24"/>
      <c r="E153" s="24"/>
      <c r="F153" s="26"/>
      <c r="G153" s="15"/>
      <c r="H153" s="15"/>
      <c r="I153" s="15"/>
      <c r="J153" s="15"/>
      <c r="K153" s="167"/>
      <c r="L153" s="15"/>
      <c r="M153" s="15"/>
      <c r="N153" s="15"/>
      <c r="O153" s="15"/>
      <c r="P153" s="15"/>
      <c r="Q153" s="15"/>
      <c r="R153" s="15"/>
      <c r="S153" s="15"/>
      <c r="T153" s="15"/>
      <c r="U153" s="15"/>
      <c r="V153" s="15"/>
      <c r="W153" s="15"/>
      <c r="X153" s="15"/>
      <c r="Y153" s="15"/>
      <c r="Z153" s="15"/>
    </row>
    <row r="154" spans="1:26" ht="15.75" customHeight="1" x14ac:dyDescent="0.25">
      <c r="A154" s="24"/>
      <c r="B154" s="25"/>
      <c r="C154" s="24"/>
      <c r="D154" s="24"/>
      <c r="E154" s="24"/>
      <c r="F154" s="26"/>
      <c r="G154" s="15"/>
      <c r="H154" s="15"/>
      <c r="I154" s="15"/>
      <c r="J154" s="15"/>
      <c r="K154" s="167"/>
      <c r="L154" s="15"/>
      <c r="M154" s="15"/>
      <c r="N154" s="15"/>
      <c r="O154" s="15"/>
      <c r="P154" s="15"/>
      <c r="Q154" s="15"/>
      <c r="R154" s="15"/>
      <c r="S154" s="15"/>
      <c r="T154" s="15"/>
      <c r="U154" s="15"/>
      <c r="V154" s="15"/>
      <c r="W154" s="15"/>
      <c r="X154" s="15"/>
      <c r="Y154" s="15"/>
      <c r="Z154" s="15"/>
    </row>
    <row r="155" spans="1:26" ht="15.75" customHeight="1" x14ac:dyDescent="0.25">
      <c r="A155" s="24"/>
      <c r="B155" s="25"/>
      <c r="C155" s="24"/>
      <c r="D155" s="24"/>
      <c r="E155" s="24"/>
      <c r="F155" s="26"/>
      <c r="G155" s="15"/>
      <c r="H155" s="15"/>
      <c r="I155" s="15"/>
      <c r="J155" s="15"/>
      <c r="K155" s="167"/>
      <c r="L155" s="15"/>
      <c r="M155" s="15"/>
      <c r="N155" s="15"/>
      <c r="O155" s="15"/>
      <c r="P155" s="15"/>
      <c r="Q155" s="15"/>
      <c r="R155" s="15"/>
      <c r="S155" s="15"/>
      <c r="T155" s="15"/>
      <c r="U155" s="15"/>
      <c r="V155" s="15"/>
      <c r="W155" s="15"/>
      <c r="X155" s="15"/>
      <c r="Y155" s="15"/>
      <c r="Z155" s="15"/>
    </row>
    <row r="156" spans="1:26" ht="15.75" customHeight="1" x14ac:dyDescent="0.25">
      <c r="A156" s="24"/>
      <c r="B156" s="25"/>
      <c r="C156" s="24"/>
      <c r="D156" s="24"/>
      <c r="E156" s="24"/>
      <c r="F156" s="26"/>
      <c r="G156" s="15"/>
      <c r="H156" s="15"/>
      <c r="I156" s="15"/>
      <c r="J156" s="15"/>
      <c r="K156" s="167"/>
      <c r="L156" s="15"/>
      <c r="M156" s="15"/>
      <c r="N156" s="15"/>
      <c r="O156" s="15"/>
      <c r="P156" s="15"/>
      <c r="Q156" s="15"/>
      <c r="R156" s="15"/>
      <c r="S156" s="15"/>
      <c r="T156" s="15"/>
      <c r="U156" s="15"/>
      <c r="V156" s="15"/>
      <c r="W156" s="15"/>
      <c r="X156" s="15"/>
      <c r="Y156" s="15"/>
      <c r="Z156" s="15"/>
    </row>
    <row r="157" spans="1:26" ht="15.75" customHeight="1" x14ac:dyDescent="0.25">
      <c r="A157" s="24"/>
      <c r="B157" s="25"/>
      <c r="C157" s="24"/>
      <c r="D157" s="24"/>
      <c r="E157" s="24"/>
      <c r="F157" s="26"/>
      <c r="G157" s="15"/>
      <c r="H157" s="15"/>
      <c r="I157" s="15"/>
      <c r="J157" s="15"/>
      <c r="K157" s="167"/>
      <c r="L157" s="15"/>
      <c r="M157" s="15"/>
      <c r="N157" s="15"/>
      <c r="O157" s="15"/>
      <c r="P157" s="15"/>
      <c r="Q157" s="15"/>
      <c r="R157" s="15"/>
      <c r="S157" s="15"/>
      <c r="T157" s="15"/>
      <c r="U157" s="15"/>
      <c r="V157" s="15"/>
      <c r="W157" s="15"/>
      <c r="X157" s="15"/>
      <c r="Y157" s="15"/>
      <c r="Z157" s="15"/>
    </row>
    <row r="158" spans="1:26" ht="15.75" customHeight="1" x14ac:dyDescent="0.25">
      <c r="A158" s="24"/>
      <c r="B158" s="25"/>
      <c r="C158" s="24"/>
      <c r="D158" s="24"/>
      <c r="E158" s="24"/>
      <c r="F158" s="26"/>
      <c r="G158" s="15"/>
      <c r="H158" s="15"/>
      <c r="I158" s="15"/>
      <c r="J158" s="15"/>
      <c r="K158" s="167"/>
      <c r="L158" s="15"/>
      <c r="M158" s="15"/>
      <c r="N158" s="15"/>
      <c r="O158" s="15"/>
      <c r="P158" s="15"/>
      <c r="Q158" s="15"/>
      <c r="R158" s="15"/>
      <c r="S158" s="15"/>
      <c r="T158" s="15"/>
      <c r="U158" s="15"/>
      <c r="V158" s="15"/>
      <c r="W158" s="15"/>
      <c r="X158" s="15"/>
      <c r="Y158" s="15"/>
      <c r="Z158" s="15"/>
    </row>
    <row r="159" spans="1:26" ht="15.75" customHeight="1" x14ac:dyDescent="0.25">
      <c r="A159" s="24"/>
      <c r="B159" s="25"/>
      <c r="C159" s="24"/>
      <c r="D159" s="24"/>
      <c r="E159" s="24"/>
      <c r="F159" s="26"/>
      <c r="G159" s="15"/>
      <c r="H159" s="15"/>
      <c r="I159" s="15"/>
      <c r="J159" s="15"/>
      <c r="K159" s="167"/>
      <c r="L159" s="15"/>
      <c r="M159" s="15"/>
      <c r="N159" s="15"/>
      <c r="O159" s="15"/>
      <c r="P159" s="15"/>
      <c r="Q159" s="15"/>
      <c r="R159" s="15"/>
      <c r="S159" s="15"/>
      <c r="T159" s="15"/>
      <c r="U159" s="15"/>
      <c r="V159" s="15"/>
      <c r="W159" s="15"/>
      <c r="X159" s="15"/>
      <c r="Y159" s="15"/>
      <c r="Z159" s="15"/>
    </row>
    <row r="160" spans="1:26" ht="15.75" customHeight="1" x14ac:dyDescent="0.25">
      <c r="A160" s="24"/>
      <c r="B160" s="25"/>
      <c r="C160" s="24"/>
      <c r="D160" s="24"/>
      <c r="E160" s="24"/>
      <c r="F160" s="26"/>
      <c r="G160" s="15"/>
      <c r="H160" s="15"/>
      <c r="I160" s="15"/>
      <c r="J160" s="15"/>
      <c r="K160" s="167"/>
      <c r="L160" s="15"/>
      <c r="M160" s="15"/>
      <c r="N160" s="15"/>
      <c r="O160" s="15"/>
      <c r="P160" s="15"/>
      <c r="Q160" s="15"/>
      <c r="R160" s="15"/>
      <c r="S160" s="15"/>
      <c r="T160" s="15"/>
      <c r="U160" s="15"/>
      <c r="V160" s="15"/>
      <c r="W160" s="15"/>
      <c r="X160" s="15"/>
      <c r="Y160" s="15"/>
      <c r="Z160" s="15"/>
    </row>
    <row r="161" spans="1:26" ht="15.75" customHeight="1" x14ac:dyDescent="0.25">
      <c r="A161" s="24"/>
      <c r="B161" s="25"/>
      <c r="C161" s="24"/>
      <c r="D161" s="24"/>
      <c r="E161" s="24"/>
      <c r="F161" s="26"/>
      <c r="G161" s="15"/>
      <c r="H161" s="15"/>
      <c r="I161" s="15"/>
      <c r="J161" s="15"/>
      <c r="K161" s="167"/>
      <c r="L161" s="15"/>
      <c r="M161" s="15"/>
      <c r="N161" s="15"/>
      <c r="O161" s="15"/>
      <c r="P161" s="15"/>
      <c r="Q161" s="15"/>
      <c r="R161" s="15"/>
      <c r="S161" s="15"/>
      <c r="T161" s="15"/>
      <c r="U161" s="15"/>
      <c r="V161" s="15"/>
      <c r="W161" s="15"/>
      <c r="X161" s="15"/>
      <c r="Y161" s="15"/>
      <c r="Z161" s="15"/>
    </row>
    <row r="162" spans="1:26" ht="15.75" customHeight="1" x14ac:dyDescent="0.25">
      <c r="A162" s="24"/>
      <c r="B162" s="25"/>
      <c r="C162" s="24"/>
      <c r="D162" s="24"/>
      <c r="E162" s="24"/>
      <c r="F162" s="26"/>
      <c r="G162" s="15"/>
      <c r="H162" s="15"/>
      <c r="I162" s="15"/>
      <c r="J162" s="15"/>
      <c r="K162" s="167"/>
      <c r="L162" s="15"/>
      <c r="M162" s="15"/>
      <c r="N162" s="15"/>
      <c r="O162" s="15"/>
      <c r="P162" s="15"/>
      <c r="Q162" s="15"/>
      <c r="R162" s="15"/>
      <c r="S162" s="15"/>
      <c r="T162" s="15"/>
      <c r="U162" s="15"/>
      <c r="V162" s="15"/>
      <c r="W162" s="15"/>
      <c r="X162" s="15"/>
      <c r="Y162" s="15"/>
      <c r="Z162" s="15"/>
    </row>
    <row r="163" spans="1:26" ht="15.75" customHeight="1" x14ac:dyDescent="0.25">
      <c r="A163" s="24"/>
      <c r="B163" s="25"/>
      <c r="C163" s="24"/>
      <c r="D163" s="24"/>
      <c r="E163" s="24"/>
      <c r="F163" s="26"/>
      <c r="G163" s="15"/>
      <c r="H163" s="15"/>
      <c r="I163" s="15"/>
      <c r="J163" s="15"/>
      <c r="K163" s="167"/>
      <c r="L163" s="15"/>
      <c r="M163" s="15"/>
      <c r="N163" s="15"/>
      <c r="O163" s="15"/>
      <c r="P163" s="15"/>
      <c r="Q163" s="15"/>
      <c r="R163" s="15"/>
      <c r="S163" s="15"/>
      <c r="T163" s="15"/>
      <c r="U163" s="15"/>
      <c r="V163" s="15"/>
      <c r="W163" s="15"/>
      <c r="X163" s="15"/>
      <c r="Y163" s="15"/>
      <c r="Z163" s="15"/>
    </row>
    <row r="164" spans="1:26" ht="15.75" customHeight="1" x14ac:dyDescent="0.25">
      <c r="A164" s="24"/>
      <c r="B164" s="25"/>
      <c r="C164" s="24"/>
      <c r="D164" s="24"/>
      <c r="E164" s="24"/>
      <c r="F164" s="26"/>
      <c r="G164" s="15"/>
      <c r="H164" s="15"/>
      <c r="I164" s="15"/>
      <c r="J164" s="15"/>
      <c r="K164" s="167"/>
      <c r="L164" s="15"/>
      <c r="M164" s="15"/>
      <c r="N164" s="15"/>
      <c r="O164" s="15"/>
      <c r="P164" s="15"/>
      <c r="Q164" s="15"/>
      <c r="R164" s="15"/>
      <c r="S164" s="15"/>
      <c r="T164" s="15"/>
      <c r="U164" s="15"/>
      <c r="V164" s="15"/>
      <c r="W164" s="15"/>
      <c r="X164" s="15"/>
      <c r="Y164" s="15"/>
      <c r="Z164" s="15"/>
    </row>
    <row r="165" spans="1:26" ht="15.75" customHeight="1" x14ac:dyDescent="0.25">
      <c r="A165" s="24"/>
      <c r="B165" s="25"/>
      <c r="C165" s="24"/>
      <c r="D165" s="24"/>
      <c r="E165" s="24"/>
      <c r="F165" s="26"/>
      <c r="G165" s="15"/>
      <c r="H165" s="15"/>
      <c r="I165" s="15"/>
      <c r="J165" s="15"/>
      <c r="K165" s="167"/>
      <c r="L165" s="15"/>
      <c r="M165" s="15"/>
      <c r="N165" s="15"/>
      <c r="O165" s="15"/>
      <c r="P165" s="15"/>
      <c r="Q165" s="15"/>
      <c r="R165" s="15"/>
      <c r="S165" s="15"/>
      <c r="T165" s="15"/>
      <c r="U165" s="15"/>
      <c r="V165" s="15"/>
      <c r="W165" s="15"/>
      <c r="X165" s="15"/>
      <c r="Y165" s="15"/>
      <c r="Z165" s="15"/>
    </row>
    <row r="166" spans="1:26" ht="15.75" customHeight="1" x14ac:dyDescent="0.25">
      <c r="A166" s="24"/>
      <c r="B166" s="25"/>
      <c r="C166" s="24"/>
      <c r="D166" s="24"/>
      <c r="E166" s="24"/>
      <c r="F166" s="26"/>
      <c r="G166" s="15"/>
      <c r="H166" s="15"/>
      <c r="I166" s="15"/>
      <c r="J166" s="15"/>
      <c r="K166" s="167"/>
      <c r="L166" s="15"/>
      <c r="M166" s="15"/>
      <c r="N166" s="15"/>
      <c r="O166" s="15"/>
      <c r="P166" s="15"/>
      <c r="Q166" s="15"/>
      <c r="R166" s="15"/>
      <c r="S166" s="15"/>
      <c r="T166" s="15"/>
      <c r="U166" s="15"/>
      <c r="V166" s="15"/>
      <c r="W166" s="15"/>
      <c r="X166" s="15"/>
      <c r="Y166" s="15"/>
      <c r="Z166" s="15"/>
    </row>
    <row r="167" spans="1:26" ht="15.75" customHeight="1" x14ac:dyDescent="0.25">
      <c r="A167" s="24"/>
      <c r="B167" s="25"/>
      <c r="C167" s="24"/>
      <c r="D167" s="24"/>
      <c r="E167" s="24"/>
      <c r="F167" s="26"/>
      <c r="G167" s="15"/>
      <c r="H167" s="15"/>
      <c r="I167" s="15"/>
      <c r="J167" s="15"/>
      <c r="K167" s="167"/>
      <c r="L167" s="15"/>
      <c r="M167" s="15"/>
      <c r="N167" s="15"/>
      <c r="O167" s="15"/>
      <c r="P167" s="15"/>
      <c r="Q167" s="15"/>
      <c r="R167" s="15"/>
      <c r="S167" s="15"/>
      <c r="T167" s="15"/>
      <c r="U167" s="15"/>
      <c r="V167" s="15"/>
      <c r="W167" s="15"/>
      <c r="X167" s="15"/>
      <c r="Y167" s="15"/>
      <c r="Z167" s="15"/>
    </row>
    <row r="168" spans="1:26" ht="15.75" customHeight="1" x14ac:dyDescent="0.25">
      <c r="A168" s="24"/>
      <c r="B168" s="25"/>
      <c r="C168" s="24"/>
      <c r="D168" s="24"/>
      <c r="E168" s="24"/>
      <c r="F168" s="26"/>
      <c r="G168" s="15"/>
      <c r="H168" s="15"/>
      <c r="I168" s="15"/>
      <c r="J168" s="15"/>
      <c r="K168" s="167"/>
      <c r="L168" s="15"/>
      <c r="M168" s="15"/>
      <c r="N168" s="15"/>
      <c r="O168" s="15"/>
      <c r="P168" s="15"/>
      <c r="Q168" s="15"/>
      <c r="R168" s="15"/>
      <c r="S168" s="15"/>
      <c r="T168" s="15"/>
      <c r="U168" s="15"/>
      <c r="V168" s="15"/>
      <c r="W168" s="15"/>
      <c r="X168" s="15"/>
      <c r="Y168" s="15"/>
      <c r="Z168" s="15"/>
    </row>
    <row r="169" spans="1:26" ht="15.75" customHeight="1" x14ac:dyDescent="0.25">
      <c r="A169" s="24"/>
      <c r="B169" s="25"/>
      <c r="C169" s="24"/>
      <c r="D169" s="24"/>
      <c r="E169" s="24"/>
      <c r="F169" s="26"/>
      <c r="G169" s="15"/>
      <c r="H169" s="15"/>
      <c r="I169" s="15"/>
      <c r="J169" s="15"/>
      <c r="K169" s="167"/>
      <c r="L169" s="15"/>
      <c r="M169" s="15"/>
      <c r="N169" s="15"/>
      <c r="O169" s="15"/>
      <c r="P169" s="15"/>
      <c r="Q169" s="15"/>
      <c r="R169" s="15"/>
      <c r="S169" s="15"/>
      <c r="T169" s="15"/>
      <c r="U169" s="15"/>
      <c r="V169" s="15"/>
      <c r="W169" s="15"/>
      <c r="X169" s="15"/>
      <c r="Y169" s="15"/>
      <c r="Z169" s="15"/>
    </row>
    <row r="170" spans="1:26" ht="15.75" customHeight="1" x14ac:dyDescent="0.25">
      <c r="A170" s="24"/>
      <c r="B170" s="25"/>
      <c r="C170" s="24"/>
      <c r="D170" s="24"/>
      <c r="E170" s="24"/>
      <c r="F170" s="26"/>
      <c r="G170" s="15"/>
      <c r="H170" s="15"/>
      <c r="I170" s="15"/>
      <c r="J170" s="15"/>
      <c r="K170" s="167"/>
      <c r="L170" s="15"/>
      <c r="M170" s="15"/>
      <c r="N170" s="15"/>
      <c r="O170" s="15"/>
      <c r="P170" s="15"/>
      <c r="Q170" s="15"/>
      <c r="R170" s="15"/>
      <c r="S170" s="15"/>
      <c r="T170" s="15"/>
      <c r="U170" s="15"/>
      <c r="V170" s="15"/>
      <c r="W170" s="15"/>
      <c r="X170" s="15"/>
      <c r="Y170" s="15"/>
      <c r="Z170" s="15"/>
    </row>
    <row r="171" spans="1:26" ht="15.75" customHeight="1" x14ac:dyDescent="0.25">
      <c r="A171" s="24"/>
      <c r="B171" s="25"/>
      <c r="C171" s="24"/>
      <c r="D171" s="24"/>
      <c r="E171" s="24"/>
      <c r="F171" s="26"/>
      <c r="G171" s="15"/>
      <c r="H171" s="15"/>
      <c r="I171" s="15"/>
      <c r="J171" s="15"/>
      <c r="K171" s="167"/>
      <c r="L171" s="15"/>
      <c r="M171" s="15"/>
      <c r="N171" s="15"/>
      <c r="O171" s="15"/>
      <c r="P171" s="15"/>
      <c r="Q171" s="15"/>
      <c r="R171" s="15"/>
      <c r="S171" s="15"/>
      <c r="T171" s="15"/>
      <c r="U171" s="15"/>
      <c r="V171" s="15"/>
      <c r="W171" s="15"/>
      <c r="X171" s="15"/>
      <c r="Y171" s="15"/>
      <c r="Z171" s="15"/>
    </row>
    <row r="172" spans="1:26" ht="15.75" customHeight="1" x14ac:dyDescent="0.25">
      <c r="A172" s="24"/>
      <c r="B172" s="25"/>
      <c r="C172" s="24"/>
      <c r="D172" s="24"/>
      <c r="E172" s="24"/>
      <c r="F172" s="26"/>
      <c r="G172" s="15"/>
      <c r="H172" s="15"/>
      <c r="I172" s="15"/>
      <c r="J172" s="15"/>
      <c r="K172" s="167"/>
      <c r="L172" s="15"/>
      <c r="M172" s="15"/>
      <c r="N172" s="15"/>
      <c r="O172" s="15"/>
      <c r="P172" s="15"/>
      <c r="Q172" s="15"/>
      <c r="R172" s="15"/>
      <c r="S172" s="15"/>
      <c r="T172" s="15"/>
      <c r="U172" s="15"/>
      <c r="V172" s="15"/>
      <c r="W172" s="15"/>
      <c r="X172" s="15"/>
      <c r="Y172" s="15"/>
      <c r="Z172" s="15"/>
    </row>
    <row r="173" spans="1:26" ht="15.75" customHeight="1" x14ac:dyDescent="0.25">
      <c r="A173" s="24"/>
      <c r="B173" s="25"/>
      <c r="C173" s="24"/>
      <c r="D173" s="24"/>
      <c r="E173" s="24"/>
      <c r="F173" s="26"/>
      <c r="G173" s="15"/>
      <c r="H173" s="15"/>
      <c r="I173" s="15"/>
      <c r="J173" s="15"/>
      <c r="K173" s="167"/>
      <c r="L173" s="15"/>
      <c r="M173" s="15"/>
      <c r="N173" s="15"/>
      <c r="O173" s="15"/>
      <c r="P173" s="15"/>
      <c r="Q173" s="15"/>
      <c r="R173" s="15"/>
      <c r="S173" s="15"/>
      <c r="T173" s="15"/>
      <c r="U173" s="15"/>
      <c r="V173" s="15"/>
      <c r="W173" s="15"/>
      <c r="X173" s="15"/>
      <c r="Y173" s="15"/>
      <c r="Z173" s="15"/>
    </row>
    <row r="174" spans="1:26" ht="15.75" customHeight="1" x14ac:dyDescent="0.25">
      <c r="A174" s="24"/>
      <c r="B174" s="25"/>
      <c r="C174" s="24"/>
      <c r="D174" s="24"/>
      <c r="E174" s="24"/>
      <c r="F174" s="26"/>
      <c r="G174" s="15"/>
      <c r="H174" s="15"/>
      <c r="I174" s="15"/>
      <c r="J174" s="15"/>
      <c r="K174" s="167"/>
      <c r="L174" s="15"/>
      <c r="M174" s="15"/>
      <c r="N174" s="15"/>
      <c r="O174" s="15"/>
      <c r="P174" s="15"/>
      <c r="Q174" s="15"/>
      <c r="R174" s="15"/>
      <c r="S174" s="15"/>
      <c r="T174" s="15"/>
      <c r="U174" s="15"/>
      <c r="V174" s="15"/>
      <c r="W174" s="15"/>
      <c r="X174" s="15"/>
      <c r="Y174" s="15"/>
      <c r="Z174" s="15"/>
    </row>
    <row r="175" spans="1:26" ht="15.75" customHeight="1" x14ac:dyDescent="0.25">
      <c r="A175" s="24"/>
      <c r="B175" s="25"/>
      <c r="C175" s="24"/>
      <c r="D175" s="24"/>
      <c r="E175" s="24"/>
      <c r="F175" s="26"/>
      <c r="G175" s="15"/>
      <c r="H175" s="15"/>
      <c r="I175" s="15"/>
      <c r="J175" s="15"/>
      <c r="K175" s="167"/>
      <c r="L175" s="15"/>
      <c r="M175" s="15"/>
      <c r="N175" s="15"/>
      <c r="O175" s="15"/>
      <c r="P175" s="15"/>
      <c r="Q175" s="15"/>
      <c r="R175" s="15"/>
      <c r="S175" s="15"/>
      <c r="T175" s="15"/>
      <c r="U175" s="15"/>
      <c r="V175" s="15"/>
      <c r="W175" s="15"/>
      <c r="X175" s="15"/>
      <c r="Y175" s="15"/>
      <c r="Z175" s="15"/>
    </row>
    <row r="176" spans="1:26" ht="15.75" customHeight="1" x14ac:dyDescent="0.25">
      <c r="A176" s="24"/>
      <c r="B176" s="25"/>
      <c r="C176" s="24"/>
      <c r="D176" s="24"/>
      <c r="E176" s="24"/>
      <c r="F176" s="26"/>
      <c r="G176" s="15"/>
      <c r="H176" s="15"/>
      <c r="I176" s="15"/>
      <c r="J176" s="15"/>
      <c r="K176" s="167"/>
      <c r="L176" s="15"/>
      <c r="M176" s="15"/>
      <c r="N176" s="15"/>
      <c r="O176" s="15"/>
      <c r="P176" s="15"/>
      <c r="Q176" s="15"/>
      <c r="R176" s="15"/>
      <c r="S176" s="15"/>
      <c r="T176" s="15"/>
      <c r="U176" s="15"/>
      <c r="V176" s="15"/>
      <c r="W176" s="15"/>
      <c r="X176" s="15"/>
      <c r="Y176" s="15"/>
      <c r="Z176" s="15"/>
    </row>
    <row r="177" spans="1:26" ht="15.75" customHeight="1" x14ac:dyDescent="0.25">
      <c r="A177" s="24"/>
      <c r="B177" s="25"/>
      <c r="C177" s="24"/>
      <c r="D177" s="24"/>
      <c r="E177" s="24"/>
      <c r="F177" s="26"/>
      <c r="G177" s="15"/>
      <c r="H177" s="15"/>
      <c r="I177" s="15"/>
      <c r="J177" s="15"/>
      <c r="K177" s="167"/>
      <c r="L177" s="15"/>
      <c r="M177" s="15"/>
      <c r="N177" s="15"/>
      <c r="O177" s="15"/>
      <c r="P177" s="15"/>
      <c r="Q177" s="15"/>
      <c r="R177" s="15"/>
      <c r="S177" s="15"/>
      <c r="T177" s="15"/>
      <c r="U177" s="15"/>
      <c r="V177" s="15"/>
      <c r="W177" s="15"/>
      <c r="X177" s="15"/>
      <c r="Y177" s="15"/>
      <c r="Z177" s="15"/>
    </row>
    <row r="178" spans="1:26" ht="15.75" customHeight="1" x14ac:dyDescent="0.25">
      <c r="A178" s="24"/>
      <c r="B178" s="25"/>
      <c r="C178" s="24"/>
      <c r="D178" s="24"/>
      <c r="E178" s="24"/>
      <c r="F178" s="26"/>
      <c r="G178" s="15"/>
      <c r="H178" s="15"/>
      <c r="I178" s="15"/>
      <c r="J178" s="15"/>
      <c r="K178" s="167"/>
      <c r="L178" s="15"/>
      <c r="M178" s="15"/>
      <c r="N178" s="15"/>
      <c r="O178" s="15"/>
      <c r="P178" s="15"/>
      <c r="Q178" s="15"/>
      <c r="R178" s="15"/>
      <c r="S178" s="15"/>
      <c r="T178" s="15"/>
      <c r="U178" s="15"/>
      <c r="V178" s="15"/>
      <c r="W178" s="15"/>
      <c r="X178" s="15"/>
      <c r="Y178" s="15"/>
      <c r="Z178" s="15"/>
    </row>
    <row r="179" spans="1:26" ht="15.75" customHeight="1" x14ac:dyDescent="0.25">
      <c r="A179" s="24"/>
      <c r="B179" s="25"/>
      <c r="C179" s="24"/>
      <c r="D179" s="24"/>
      <c r="E179" s="24"/>
      <c r="F179" s="26"/>
      <c r="G179" s="15"/>
      <c r="H179" s="15"/>
      <c r="I179" s="15"/>
      <c r="J179" s="15"/>
      <c r="K179" s="167"/>
      <c r="L179" s="15"/>
      <c r="M179" s="15"/>
      <c r="N179" s="15"/>
      <c r="O179" s="15"/>
      <c r="P179" s="15"/>
      <c r="Q179" s="15"/>
      <c r="R179" s="15"/>
      <c r="S179" s="15"/>
      <c r="T179" s="15"/>
      <c r="U179" s="15"/>
      <c r="V179" s="15"/>
      <c r="W179" s="15"/>
      <c r="X179" s="15"/>
      <c r="Y179" s="15"/>
      <c r="Z179" s="15"/>
    </row>
    <row r="180" spans="1:26" ht="15.75" customHeight="1" x14ac:dyDescent="0.25">
      <c r="A180" s="24"/>
      <c r="B180" s="25"/>
      <c r="C180" s="24"/>
      <c r="D180" s="24"/>
      <c r="E180" s="24"/>
      <c r="F180" s="26"/>
      <c r="G180" s="15"/>
      <c r="H180" s="15"/>
      <c r="I180" s="15"/>
      <c r="J180" s="15"/>
      <c r="K180" s="167"/>
      <c r="L180" s="15"/>
      <c r="M180" s="15"/>
      <c r="N180" s="15"/>
      <c r="O180" s="15"/>
      <c r="P180" s="15"/>
      <c r="Q180" s="15"/>
      <c r="R180" s="15"/>
      <c r="S180" s="15"/>
      <c r="T180" s="15"/>
      <c r="U180" s="15"/>
      <c r="V180" s="15"/>
      <c r="W180" s="15"/>
      <c r="X180" s="15"/>
      <c r="Y180" s="15"/>
      <c r="Z180" s="15"/>
    </row>
    <row r="181" spans="1:26" ht="15.75" customHeight="1" x14ac:dyDescent="0.25">
      <c r="A181" s="24"/>
      <c r="B181" s="25"/>
      <c r="C181" s="24"/>
      <c r="D181" s="24"/>
      <c r="E181" s="24"/>
      <c r="F181" s="26"/>
      <c r="G181" s="15"/>
      <c r="H181" s="15"/>
      <c r="I181" s="15"/>
      <c r="J181" s="15"/>
      <c r="K181" s="167"/>
      <c r="L181" s="15"/>
      <c r="M181" s="15"/>
      <c r="N181" s="15"/>
      <c r="O181" s="15"/>
      <c r="P181" s="15"/>
      <c r="Q181" s="15"/>
      <c r="R181" s="15"/>
      <c r="S181" s="15"/>
      <c r="T181" s="15"/>
      <c r="U181" s="15"/>
      <c r="V181" s="15"/>
      <c r="W181" s="15"/>
      <c r="X181" s="15"/>
      <c r="Y181" s="15"/>
      <c r="Z181" s="15"/>
    </row>
    <row r="182" spans="1:26" ht="15.75" customHeight="1" x14ac:dyDescent="0.25">
      <c r="A182" s="24"/>
      <c r="B182" s="25"/>
      <c r="C182" s="24"/>
      <c r="D182" s="24"/>
      <c r="E182" s="24"/>
      <c r="F182" s="26"/>
      <c r="G182" s="15"/>
      <c r="H182" s="15"/>
      <c r="I182" s="15"/>
      <c r="J182" s="15"/>
      <c r="K182" s="167"/>
      <c r="L182" s="15"/>
      <c r="M182" s="15"/>
      <c r="N182" s="15"/>
      <c r="O182" s="15"/>
      <c r="P182" s="15"/>
      <c r="Q182" s="15"/>
      <c r="R182" s="15"/>
      <c r="S182" s="15"/>
      <c r="T182" s="15"/>
      <c r="U182" s="15"/>
      <c r="V182" s="15"/>
      <c r="W182" s="15"/>
      <c r="X182" s="15"/>
      <c r="Y182" s="15"/>
      <c r="Z182" s="15"/>
    </row>
    <row r="183" spans="1:26" ht="15.75" customHeight="1" x14ac:dyDescent="0.25">
      <c r="A183" s="24"/>
      <c r="B183" s="25"/>
      <c r="C183" s="24"/>
      <c r="D183" s="24"/>
      <c r="E183" s="24"/>
      <c r="F183" s="26"/>
      <c r="G183" s="15"/>
      <c r="H183" s="15"/>
      <c r="I183" s="15"/>
      <c r="J183" s="15"/>
      <c r="K183" s="167"/>
      <c r="L183" s="15"/>
      <c r="M183" s="15"/>
      <c r="N183" s="15"/>
      <c r="O183" s="15"/>
      <c r="P183" s="15"/>
      <c r="Q183" s="15"/>
      <c r="R183" s="15"/>
      <c r="S183" s="15"/>
      <c r="T183" s="15"/>
      <c r="U183" s="15"/>
      <c r="V183" s="15"/>
      <c r="W183" s="15"/>
      <c r="X183" s="15"/>
      <c r="Y183" s="15"/>
      <c r="Z183" s="15"/>
    </row>
    <row r="184" spans="1:26" ht="15.75" customHeight="1" x14ac:dyDescent="0.25">
      <c r="A184" s="24"/>
      <c r="B184" s="25"/>
      <c r="C184" s="24"/>
      <c r="D184" s="24"/>
      <c r="E184" s="24"/>
      <c r="F184" s="26"/>
      <c r="G184" s="15"/>
      <c r="H184" s="15"/>
      <c r="I184" s="15"/>
      <c r="J184" s="15"/>
      <c r="K184" s="167"/>
      <c r="L184" s="15"/>
      <c r="M184" s="15"/>
      <c r="N184" s="15"/>
      <c r="O184" s="15"/>
      <c r="P184" s="15"/>
      <c r="Q184" s="15"/>
      <c r="R184" s="15"/>
      <c r="S184" s="15"/>
      <c r="T184" s="15"/>
      <c r="U184" s="15"/>
      <c r="V184" s="15"/>
      <c r="W184" s="15"/>
      <c r="X184" s="15"/>
      <c r="Y184" s="15"/>
      <c r="Z184" s="15"/>
    </row>
    <row r="185" spans="1:26" ht="15.75" customHeight="1" x14ac:dyDescent="0.25">
      <c r="A185" s="24"/>
      <c r="B185" s="25"/>
      <c r="C185" s="24"/>
      <c r="D185" s="24"/>
      <c r="E185" s="24"/>
      <c r="F185" s="26"/>
      <c r="G185" s="15"/>
      <c r="H185" s="15"/>
      <c r="I185" s="15"/>
      <c r="J185" s="15"/>
      <c r="K185" s="167"/>
      <c r="L185" s="15"/>
      <c r="M185" s="15"/>
      <c r="N185" s="15"/>
      <c r="O185" s="15"/>
      <c r="P185" s="15"/>
      <c r="Q185" s="15"/>
      <c r="R185" s="15"/>
      <c r="S185" s="15"/>
      <c r="T185" s="15"/>
      <c r="U185" s="15"/>
      <c r="V185" s="15"/>
      <c r="W185" s="15"/>
      <c r="X185" s="15"/>
      <c r="Y185" s="15"/>
      <c r="Z185" s="15"/>
    </row>
    <row r="186" spans="1:26" ht="15.75" customHeight="1" x14ac:dyDescent="0.25">
      <c r="A186" s="24"/>
      <c r="B186" s="25"/>
      <c r="C186" s="24"/>
      <c r="D186" s="24"/>
      <c r="E186" s="24"/>
      <c r="F186" s="26"/>
      <c r="G186" s="15"/>
      <c r="H186" s="15"/>
      <c r="I186" s="15"/>
      <c r="J186" s="15"/>
      <c r="K186" s="167"/>
      <c r="L186" s="15"/>
      <c r="M186" s="15"/>
      <c r="N186" s="15"/>
      <c r="O186" s="15"/>
      <c r="P186" s="15"/>
      <c r="Q186" s="15"/>
      <c r="R186" s="15"/>
      <c r="S186" s="15"/>
      <c r="T186" s="15"/>
      <c r="U186" s="15"/>
      <c r="V186" s="15"/>
      <c r="W186" s="15"/>
      <c r="X186" s="15"/>
      <c r="Y186" s="15"/>
      <c r="Z186" s="15"/>
    </row>
    <row r="187" spans="1:26" ht="15.75" customHeight="1" x14ac:dyDescent="0.25">
      <c r="A187" s="24"/>
      <c r="B187" s="25"/>
      <c r="C187" s="24"/>
      <c r="D187" s="24"/>
      <c r="E187" s="24"/>
      <c r="F187" s="26"/>
      <c r="G187" s="15"/>
      <c r="H187" s="15"/>
      <c r="I187" s="15"/>
      <c r="J187" s="15"/>
      <c r="K187" s="167"/>
      <c r="L187" s="15"/>
      <c r="M187" s="15"/>
      <c r="N187" s="15"/>
      <c r="O187" s="15"/>
      <c r="P187" s="15"/>
      <c r="Q187" s="15"/>
      <c r="R187" s="15"/>
      <c r="S187" s="15"/>
      <c r="T187" s="15"/>
      <c r="U187" s="15"/>
      <c r="V187" s="15"/>
      <c r="W187" s="15"/>
      <c r="X187" s="15"/>
      <c r="Y187" s="15"/>
      <c r="Z187" s="15"/>
    </row>
    <row r="188" spans="1:26" ht="15.75" customHeight="1" x14ac:dyDescent="0.25">
      <c r="A188" s="24"/>
      <c r="B188" s="25"/>
      <c r="C188" s="24"/>
      <c r="D188" s="24"/>
      <c r="E188" s="24"/>
      <c r="F188" s="26"/>
      <c r="G188" s="15"/>
      <c r="H188" s="15"/>
      <c r="I188" s="15"/>
      <c r="J188" s="15"/>
      <c r="K188" s="167"/>
      <c r="L188" s="15"/>
      <c r="M188" s="15"/>
      <c r="N188" s="15"/>
      <c r="O188" s="15"/>
      <c r="P188" s="15"/>
      <c r="Q188" s="15"/>
      <c r="R188" s="15"/>
      <c r="S188" s="15"/>
      <c r="T188" s="15"/>
      <c r="U188" s="15"/>
      <c r="V188" s="15"/>
      <c r="W188" s="15"/>
      <c r="X188" s="15"/>
      <c r="Y188" s="15"/>
      <c r="Z188" s="15"/>
    </row>
    <row r="189" spans="1:26" ht="15.75" customHeight="1" x14ac:dyDescent="0.25">
      <c r="A189" s="24"/>
      <c r="B189" s="25"/>
      <c r="C189" s="24"/>
      <c r="D189" s="24"/>
      <c r="E189" s="24"/>
      <c r="F189" s="26"/>
      <c r="G189" s="15"/>
      <c r="H189" s="15"/>
      <c r="I189" s="15"/>
      <c r="J189" s="15"/>
      <c r="K189" s="167"/>
      <c r="L189" s="15"/>
      <c r="M189" s="15"/>
      <c r="N189" s="15"/>
      <c r="O189" s="15"/>
      <c r="P189" s="15"/>
      <c r="Q189" s="15"/>
      <c r="R189" s="15"/>
      <c r="S189" s="15"/>
      <c r="T189" s="15"/>
      <c r="U189" s="15"/>
      <c r="V189" s="15"/>
      <c r="W189" s="15"/>
      <c r="X189" s="15"/>
      <c r="Y189" s="15"/>
      <c r="Z189" s="15"/>
    </row>
    <row r="190" spans="1:26" ht="15.75" customHeight="1" x14ac:dyDescent="0.25">
      <c r="A190" s="24"/>
      <c r="B190" s="25"/>
      <c r="C190" s="24"/>
      <c r="D190" s="24"/>
      <c r="E190" s="24"/>
      <c r="F190" s="26"/>
      <c r="G190" s="15"/>
      <c r="H190" s="15"/>
      <c r="I190" s="15"/>
      <c r="J190" s="15"/>
      <c r="K190" s="167"/>
      <c r="L190" s="15"/>
      <c r="M190" s="15"/>
      <c r="N190" s="15"/>
      <c r="O190" s="15"/>
      <c r="P190" s="15"/>
      <c r="Q190" s="15"/>
      <c r="R190" s="15"/>
      <c r="S190" s="15"/>
      <c r="T190" s="15"/>
      <c r="U190" s="15"/>
      <c r="V190" s="15"/>
      <c r="W190" s="15"/>
      <c r="X190" s="15"/>
      <c r="Y190" s="15"/>
      <c r="Z190" s="15"/>
    </row>
    <row r="191" spans="1:26" ht="15.75" customHeight="1" x14ac:dyDescent="0.25">
      <c r="A191" s="24"/>
      <c r="B191" s="25"/>
      <c r="C191" s="24"/>
      <c r="D191" s="24"/>
      <c r="E191" s="24"/>
      <c r="F191" s="26"/>
      <c r="G191" s="15"/>
      <c r="H191" s="15"/>
      <c r="I191" s="15"/>
      <c r="J191" s="15"/>
      <c r="K191" s="167"/>
      <c r="L191" s="15"/>
      <c r="M191" s="15"/>
      <c r="N191" s="15"/>
      <c r="O191" s="15"/>
      <c r="P191" s="15"/>
      <c r="Q191" s="15"/>
      <c r="R191" s="15"/>
      <c r="S191" s="15"/>
      <c r="T191" s="15"/>
      <c r="U191" s="15"/>
      <c r="V191" s="15"/>
      <c r="W191" s="15"/>
      <c r="X191" s="15"/>
      <c r="Y191" s="15"/>
      <c r="Z191" s="15"/>
    </row>
    <row r="192" spans="1:26" ht="15.75" customHeight="1" x14ac:dyDescent="0.25">
      <c r="A192" s="24"/>
      <c r="B192" s="25"/>
      <c r="C192" s="24"/>
      <c r="D192" s="24"/>
      <c r="E192" s="24"/>
      <c r="F192" s="26"/>
      <c r="G192" s="15"/>
      <c r="H192" s="15"/>
      <c r="I192" s="15"/>
      <c r="J192" s="15"/>
      <c r="K192" s="167"/>
      <c r="L192" s="15"/>
      <c r="M192" s="15"/>
      <c r="N192" s="15"/>
      <c r="O192" s="15"/>
      <c r="P192" s="15"/>
      <c r="Q192" s="15"/>
      <c r="R192" s="15"/>
      <c r="S192" s="15"/>
      <c r="T192" s="15"/>
      <c r="U192" s="15"/>
      <c r="V192" s="15"/>
      <c r="W192" s="15"/>
      <c r="X192" s="15"/>
      <c r="Y192" s="15"/>
      <c r="Z192" s="15"/>
    </row>
    <row r="193" spans="1:26" ht="15.75" customHeight="1" x14ac:dyDescent="0.25">
      <c r="A193" s="24"/>
      <c r="B193" s="25"/>
      <c r="C193" s="24"/>
      <c r="D193" s="24"/>
      <c r="E193" s="24"/>
      <c r="F193" s="26"/>
      <c r="G193" s="15"/>
      <c r="H193" s="15"/>
      <c r="I193" s="15"/>
      <c r="J193" s="15"/>
      <c r="K193" s="167"/>
      <c r="L193" s="15"/>
      <c r="M193" s="15"/>
      <c r="N193" s="15"/>
      <c r="O193" s="15"/>
      <c r="P193" s="15"/>
      <c r="Q193" s="15"/>
      <c r="R193" s="15"/>
      <c r="S193" s="15"/>
      <c r="T193" s="15"/>
      <c r="U193" s="15"/>
      <c r="V193" s="15"/>
      <c r="W193" s="15"/>
      <c r="X193" s="15"/>
      <c r="Y193" s="15"/>
      <c r="Z193" s="15"/>
    </row>
    <row r="194" spans="1:26" ht="15.75" customHeight="1" x14ac:dyDescent="0.25">
      <c r="A194" s="24"/>
      <c r="B194" s="25"/>
      <c r="C194" s="24"/>
      <c r="D194" s="24"/>
      <c r="E194" s="24"/>
      <c r="F194" s="26"/>
      <c r="G194" s="15"/>
      <c r="H194" s="15"/>
      <c r="I194" s="15"/>
      <c r="J194" s="15"/>
      <c r="K194" s="167"/>
      <c r="L194" s="15"/>
      <c r="M194" s="15"/>
      <c r="N194" s="15"/>
      <c r="O194" s="15"/>
      <c r="P194" s="15"/>
      <c r="Q194" s="15"/>
      <c r="R194" s="15"/>
      <c r="S194" s="15"/>
      <c r="T194" s="15"/>
      <c r="U194" s="15"/>
      <c r="V194" s="15"/>
      <c r="W194" s="15"/>
      <c r="X194" s="15"/>
      <c r="Y194" s="15"/>
      <c r="Z194" s="15"/>
    </row>
    <row r="195" spans="1:26" ht="15.75" customHeight="1" x14ac:dyDescent="0.25">
      <c r="A195" s="24"/>
      <c r="B195" s="25"/>
      <c r="C195" s="24"/>
      <c r="D195" s="24"/>
      <c r="E195" s="24"/>
      <c r="F195" s="26"/>
      <c r="G195" s="15"/>
      <c r="H195" s="15"/>
      <c r="I195" s="15"/>
      <c r="J195" s="15"/>
      <c r="K195" s="167"/>
      <c r="L195" s="15"/>
      <c r="M195" s="15"/>
      <c r="N195" s="15"/>
      <c r="O195" s="15"/>
      <c r="P195" s="15"/>
      <c r="Q195" s="15"/>
      <c r="R195" s="15"/>
      <c r="S195" s="15"/>
      <c r="T195" s="15"/>
      <c r="U195" s="15"/>
      <c r="V195" s="15"/>
      <c r="W195" s="15"/>
      <c r="X195" s="15"/>
      <c r="Y195" s="15"/>
      <c r="Z195" s="15"/>
    </row>
    <row r="196" spans="1:26" ht="15.75" customHeight="1" x14ac:dyDescent="0.25">
      <c r="A196" s="24"/>
      <c r="B196" s="25"/>
      <c r="C196" s="24"/>
      <c r="D196" s="24"/>
      <c r="E196" s="24"/>
      <c r="F196" s="26"/>
      <c r="G196" s="15"/>
      <c r="H196" s="15"/>
      <c r="I196" s="15"/>
      <c r="J196" s="15"/>
      <c r="K196" s="167"/>
      <c r="L196" s="15"/>
      <c r="M196" s="15"/>
      <c r="N196" s="15"/>
      <c r="O196" s="15"/>
      <c r="P196" s="15"/>
      <c r="Q196" s="15"/>
      <c r="R196" s="15"/>
      <c r="S196" s="15"/>
      <c r="T196" s="15"/>
      <c r="U196" s="15"/>
      <c r="V196" s="15"/>
      <c r="W196" s="15"/>
      <c r="X196" s="15"/>
      <c r="Y196" s="15"/>
      <c r="Z196" s="15"/>
    </row>
    <row r="197" spans="1:26" ht="15.75" customHeight="1" x14ac:dyDescent="0.25">
      <c r="A197" s="24"/>
      <c r="B197" s="25"/>
      <c r="C197" s="24"/>
      <c r="D197" s="24"/>
      <c r="E197" s="24"/>
      <c r="F197" s="26"/>
      <c r="G197" s="15"/>
      <c r="H197" s="15"/>
      <c r="I197" s="15"/>
      <c r="J197" s="15"/>
      <c r="K197" s="167"/>
      <c r="L197" s="15"/>
      <c r="M197" s="15"/>
      <c r="N197" s="15"/>
      <c r="O197" s="15"/>
      <c r="P197" s="15"/>
      <c r="Q197" s="15"/>
      <c r="R197" s="15"/>
      <c r="S197" s="15"/>
      <c r="T197" s="15"/>
      <c r="U197" s="15"/>
      <c r="V197" s="15"/>
      <c r="W197" s="15"/>
      <c r="X197" s="15"/>
      <c r="Y197" s="15"/>
      <c r="Z197" s="15"/>
    </row>
    <row r="198" spans="1:26" ht="15.75" customHeight="1" x14ac:dyDescent="0.25">
      <c r="A198" s="24"/>
      <c r="B198" s="25"/>
      <c r="C198" s="24"/>
      <c r="D198" s="24"/>
      <c r="E198" s="24"/>
      <c r="F198" s="26"/>
      <c r="G198" s="15"/>
      <c r="H198" s="15"/>
      <c r="I198" s="15"/>
      <c r="J198" s="15"/>
      <c r="K198" s="167"/>
      <c r="L198" s="15"/>
      <c r="M198" s="15"/>
      <c r="N198" s="15"/>
      <c r="O198" s="15"/>
      <c r="P198" s="15"/>
      <c r="Q198" s="15"/>
      <c r="R198" s="15"/>
      <c r="S198" s="15"/>
      <c r="T198" s="15"/>
      <c r="U198" s="15"/>
      <c r="V198" s="15"/>
      <c r="W198" s="15"/>
      <c r="X198" s="15"/>
      <c r="Y198" s="15"/>
      <c r="Z198" s="15"/>
    </row>
    <row r="199" spans="1:26" ht="15.75" customHeight="1" x14ac:dyDescent="0.25">
      <c r="A199" s="24"/>
      <c r="B199" s="25"/>
      <c r="C199" s="24"/>
      <c r="D199" s="24"/>
      <c r="E199" s="24"/>
      <c r="F199" s="26"/>
      <c r="G199" s="15"/>
      <c r="H199" s="15"/>
      <c r="I199" s="15"/>
      <c r="J199" s="15"/>
      <c r="K199" s="167"/>
      <c r="L199" s="15"/>
      <c r="M199" s="15"/>
      <c r="N199" s="15"/>
      <c r="O199" s="15"/>
      <c r="P199" s="15"/>
      <c r="Q199" s="15"/>
      <c r="R199" s="15"/>
      <c r="S199" s="15"/>
      <c r="T199" s="15"/>
      <c r="U199" s="15"/>
      <c r="V199" s="15"/>
      <c r="W199" s="15"/>
      <c r="X199" s="15"/>
      <c r="Y199" s="15"/>
      <c r="Z199" s="15"/>
    </row>
    <row r="200" spans="1:26" ht="15.75" customHeight="1" x14ac:dyDescent="0.25">
      <c r="A200" s="24"/>
      <c r="B200" s="25"/>
      <c r="C200" s="24"/>
      <c r="D200" s="24"/>
      <c r="E200" s="24"/>
      <c r="F200" s="26"/>
      <c r="G200" s="15"/>
      <c r="H200" s="15"/>
      <c r="I200" s="15"/>
      <c r="J200" s="15"/>
      <c r="K200" s="167"/>
      <c r="L200" s="15"/>
      <c r="M200" s="15"/>
      <c r="N200" s="15"/>
      <c r="O200" s="15"/>
      <c r="P200" s="15"/>
      <c r="Q200" s="15"/>
      <c r="R200" s="15"/>
      <c r="S200" s="15"/>
      <c r="T200" s="15"/>
      <c r="U200" s="15"/>
      <c r="V200" s="15"/>
      <c r="W200" s="15"/>
      <c r="X200" s="15"/>
      <c r="Y200" s="15"/>
      <c r="Z200" s="15"/>
    </row>
    <row r="201" spans="1:26" ht="15.75" customHeight="1" x14ac:dyDescent="0.25">
      <c r="A201" s="24"/>
      <c r="B201" s="25"/>
      <c r="C201" s="24"/>
      <c r="D201" s="24"/>
      <c r="E201" s="24"/>
      <c r="F201" s="26"/>
      <c r="G201" s="15"/>
      <c r="H201" s="15"/>
      <c r="I201" s="15"/>
      <c r="J201" s="15"/>
      <c r="K201" s="167"/>
      <c r="L201" s="15"/>
      <c r="M201" s="15"/>
      <c r="N201" s="15"/>
      <c r="O201" s="15"/>
      <c r="P201" s="15"/>
      <c r="Q201" s="15"/>
      <c r="R201" s="15"/>
      <c r="S201" s="15"/>
      <c r="T201" s="15"/>
      <c r="U201" s="15"/>
      <c r="V201" s="15"/>
      <c r="W201" s="15"/>
      <c r="X201" s="15"/>
      <c r="Y201" s="15"/>
      <c r="Z201" s="15"/>
    </row>
    <row r="202" spans="1:26" ht="15.75" customHeight="1" x14ac:dyDescent="0.25">
      <c r="A202" s="24"/>
      <c r="B202" s="25"/>
      <c r="C202" s="24"/>
      <c r="D202" s="24"/>
      <c r="E202" s="24"/>
      <c r="F202" s="26"/>
      <c r="G202" s="15"/>
      <c r="H202" s="15"/>
      <c r="I202" s="15"/>
      <c r="J202" s="15"/>
      <c r="K202" s="167"/>
      <c r="L202" s="15"/>
      <c r="M202" s="15"/>
      <c r="N202" s="15"/>
      <c r="O202" s="15"/>
      <c r="P202" s="15"/>
      <c r="Q202" s="15"/>
      <c r="R202" s="15"/>
      <c r="S202" s="15"/>
      <c r="T202" s="15"/>
      <c r="U202" s="15"/>
      <c r="V202" s="15"/>
      <c r="W202" s="15"/>
      <c r="X202" s="15"/>
      <c r="Y202" s="15"/>
      <c r="Z202" s="15"/>
    </row>
    <row r="203" spans="1:26" ht="15.75" customHeight="1" x14ac:dyDescent="0.25">
      <c r="A203" s="24"/>
      <c r="B203" s="25"/>
      <c r="C203" s="24"/>
      <c r="D203" s="24"/>
      <c r="E203" s="24"/>
      <c r="F203" s="26"/>
      <c r="G203" s="15"/>
      <c r="H203" s="15"/>
      <c r="I203" s="15"/>
      <c r="J203" s="15"/>
      <c r="K203" s="167"/>
      <c r="L203" s="15"/>
      <c r="M203" s="15"/>
      <c r="N203" s="15"/>
      <c r="O203" s="15"/>
      <c r="P203" s="15"/>
      <c r="Q203" s="15"/>
      <c r="R203" s="15"/>
      <c r="S203" s="15"/>
      <c r="T203" s="15"/>
      <c r="U203" s="15"/>
      <c r="V203" s="15"/>
      <c r="W203" s="15"/>
      <c r="X203" s="15"/>
      <c r="Y203" s="15"/>
      <c r="Z203" s="15"/>
    </row>
    <row r="204" spans="1:26" ht="15.75" customHeight="1" x14ac:dyDescent="0.25">
      <c r="A204" s="24"/>
      <c r="B204" s="25"/>
      <c r="C204" s="24"/>
      <c r="D204" s="24"/>
      <c r="E204" s="24"/>
      <c r="F204" s="26"/>
      <c r="G204" s="15"/>
      <c r="H204" s="15"/>
      <c r="I204" s="15"/>
      <c r="J204" s="15"/>
      <c r="K204" s="167"/>
      <c r="L204" s="15"/>
      <c r="M204" s="15"/>
      <c r="N204" s="15"/>
      <c r="O204" s="15"/>
      <c r="P204" s="15"/>
      <c r="Q204" s="15"/>
      <c r="R204" s="15"/>
      <c r="S204" s="15"/>
      <c r="T204" s="15"/>
      <c r="U204" s="15"/>
      <c r="V204" s="15"/>
      <c r="W204" s="15"/>
      <c r="X204" s="15"/>
      <c r="Y204" s="15"/>
      <c r="Z204" s="15"/>
    </row>
    <row r="205" spans="1:26" ht="15.75" customHeight="1" x14ac:dyDescent="0.25">
      <c r="A205" s="24"/>
      <c r="B205" s="25"/>
      <c r="C205" s="24"/>
      <c r="D205" s="24"/>
      <c r="E205" s="24"/>
      <c r="F205" s="26"/>
      <c r="G205" s="15"/>
      <c r="H205" s="15"/>
      <c r="I205" s="15"/>
      <c r="J205" s="15"/>
      <c r="K205" s="167"/>
      <c r="L205" s="15"/>
      <c r="M205" s="15"/>
      <c r="N205" s="15"/>
      <c r="O205" s="15"/>
      <c r="P205" s="15"/>
      <c r="Q205" s="15"/>
      <c r="R205" s="15"/>
      <c r="S205" s="15"/>
      <c r="T205" s="15"/>
      <c r="U205" s="15"/>
      <c r="V205" s="15"/>
      <c r="W205" s="15"/>
      <c r="X205" s="15"/>
      <c r="Y205" s="15"/>
      <c r="Z205" s="15"/>
    </row>
    <row r="206" spans="1:26" ht="15.75" customHeight="1" x14ac:dyDescent="0.25">
      <c r="A206" s="24"/>
      <c r="B206" s="25"/>
      <c r="C206" s="24"/>
      <c r="D206" s="24"/>
      <c r="E206" s="24"/>
      <c r="F206" s="26"/>
      <c r="G206" s="15"/>
      <c r="H206" s="15"/>
      <c r="I206" s="15"/>
      <c r="J206" s="15"/>
      <c r="K206" s="167"/>
      <c r="L206" s="15"/>
      <c r="M206" s="15"/>
      <c r="N206" s="15"/>
      <c r="O206" s="15"/>
      <c r="P206" s="15"/>
      <c r="Q206" s="15"/>
      <c r="R206" s="15"/>
      <c r="S206" s="15"/>
      <c r="T206" s="15"/>
      <c r="U206" s="15"/>
      <c r="V206" s="15"/>
      <c r="W206" s="15"/>
      <c r="X206" s="15"/>
      <c r="Y206" s="15"/>
      <c r="Z206" s="15"/>
    </row>
    <row r="207" spans="1:26" ht="15.75" customHeight="1" x14ac:dyDescent="0.25">
      <c r="A207" s="24"/>
      <c r="B207" s="25"/>
      <c r="C207" s="24"/>
      <c r="D207" s="24"/>
      <c r="E207" s="24"/>
      <c r="F207" s="26"/>
      <c r="G207" s="15"/>
      <c r="H207" s="15"/>
      <c r="I207" s="15"/>
      <c r="J207" s="15"/>
      <c r="K207" s="167"/>
      <c r="L207" s="15"/>
      <c r="M207" s="15"/>
      <c r="N207" s="15"/>
      <c r="O207" s="15"/>
      <c r="P207" s="15"/>
      <c r="Q207" s="15"/>
      <c r="R207" s="15"/>
      <c r="S207" s="15"/>
      <c r="T207" s="15"/>
      <c r="U207" s="15"/>
      <c r="V207" s="15"/>
      <c r="W207" s="15"/>
      <c r="X207" s="15"/>
      <c r="Y207" s="15"/>
      <c r="Z207" s="15"/>
    </row>
    <row r="208" spans="1:26" ht="15.75" customHeight="1" x14ac:dyDescent="0.25">
      <c r="A208" s="24"/>
      <c r="B208" s="25"/>
      <c r="C208" s="24"/>
      <c r="D208" s="24"/>
      <c r="E208" s="24"/>
      <c r="F208" s="26"/>
      <c r="G208" s="15"/>
      <c r="H208" s="15"/>
      <c r="I208" s="15"/>
      <c r="J208" s="15"/>
      <c r="K208" s="167"/>
      <c r="L208" s="15"/>
      <c r="M208" s="15"/>
      <c r="N208" s="15"/>
      <c r="O208" s="15"/>
      <c r="P208" s="15"/>
      <c r="Q208" s="15"/>
      <c r="R208" s="15"/>
      <c r="S208" s="15"/>
      <c r="T208" s="15"/>
      <c r="U208" s="15"/>
      <c r="V208" s="15"/>
      <c r="W208" s="15"/>
      <c r="X208" s="15"/>
      <c r="Y208" s="15"/>
      <c r="Z208" s="15"/>
    </row>
    <row r="209" spans="1:26" ht="15.75" customHeight="1" x14ac:dyDescent="0.25">
      <c r="A209" s="24"/>
      <c r="B209" s="25"/>
      <c r="C209" s="24"/>
      <c r="D209" s="24"/>
      <c r="E209" s="24"/>
      <c r="F209" s="26"/>
      <c r="G209" s="15"/>
      <c r="H209" s="15"/>
      <c r="I209" s="15"/>
      <c r="J209" s="15"/>
      <c r="K209" s="167"/>
      <c r="L209" s="15"/>
      <c r="M209" s="15"/>
      <c r="N209" s="15"/>
      <c r="O209" s="15"/>
      <c r="P209" s="15"/>
      <c r="Q209" s="15"/>
      <c r="R209" s="15"/>
      <c r="S209" s="15"/>
      <c r="T209" s="15"/>
      <c r="U209" s="15"/>
      <c r="V209" s="15"/>
      <c r="W209" s="15"/>
      <c r="X209" s="15"/>
      <c r="Y209" s="15"/>
      <c r="Z209" s="15"/>
    </row>
    <row r="210" spans="1:26" ht="15.75" customHeight="1" x14ac:dyDescent="0.25">
      <c r="A210" s="24"/>
      <c r="B210" s="25"/>
      <c r="C210" s="24"/>
      <c r="D210" s="24"/>
      <c r="E210" s="24"/>
      <c r="F210" s="26"/>
      <c r="G210" s="15"/>
      <c r="H210" s="15"/>
      <c r="I210" s="15"/>
      <c r="J210" s="15"/>
      <c r="K210" s="167"/>
      <c r="L210" s="15"/>
      <c r="M210" s="15"/>
      <c r="N210" s="15"/>
      <c r="O210" s="15"/>
      <c r="P210" s="15"/>
      <c r="Q210" s="15"/>
      <c r="R210" s="15"/>
      <c r="S210" s="15"/>
      <c r="T210" s="15"/>
      <c r="U210" s="15"/>
      <c r="V210" s="15"/>
      <c r="W210" s="15"/>
      <c r="X210" s="15"/>
      <c r="Y210" s="15"/>
      <c r="Z210" s="15"/>
    </row>
    <row r="211" spans="1:26" ht="15.75" customHeight="1" x14ac:dyDescent="0.25">
      <c r="A211" s="24"/>
      <c r="B211" s="25"/>
      <c r="C211" s="24"/>
      <c r="D211" s="24"/>
      <c r="E211" s="24"/>
      <c r="F211" s="26"/>
      <c r="G211" s="15"/>
      <c r="H211" s="15"/>
      <c r="I211" s="15"/>
      <c r="J211" s="15"/>
      <c r="K211" s="167"/>
      <c r="L211" s="15"/>
      <c r="M211" s="15"/>
      <c r="N211" s="15"/>
      <c r="O211" s="15"/>
      <c r="P211" s="15"/>
      <c r="Q211" s="15"/>
      <c r="R211" s="15"/>
      <c r="S211" s="15"/>
      <c r="T211" s="15"/>
      <c r="U211" s="15"/>
      <c r="V211" s="15"/>
      <c r="W211" s="15"/>
      <c r="X211" s="15"/>
      <c r="Y211" s="15"/>
      <c r="Z211" s="15"/>
    </row>
    <row r="212" spans="1:26" ht="15.75" customHeight="1" x14ac:dyDescent="0.25">
      <c r="A212" s="24"/>
      <c r="B212" s="25"/>
      <c r="C212" s="24"/>
      <c r="D212" s="24"/>
      <c r="E212" s="24"/>
      <c r="F212" s="26"/>
      <c r="G212" s="15"/>
      <c r="H212" s="15"/>
      <c r="I212" s="15"/>
      <c r="J212" s="15"/>
      <c r="K212" s="167"/>
      <c r="L212" s="15"/>
      <c r="M212" s="15"/>
      <c r="N212" s="15"/>
      <c r="O212" s="15"/>
      <c r="P212" s="15"/>
      <c r="Q212" s="15"/>
      <c r="R212" s="15"/>
      <c r="S212" s="15"/>
      <c r="T212" s="15"/>
      <c r="U212" s="15"/>
      <c r="V212" s="15"/>
      <c r="W212" s="15"/>
      <c r="X212" s="15"/>
      <c r="Y212" s="15"/>
      <c r="Z212" s="15"/>
    </row>
    <row r="213" spans="1:26" ht="15.75" customHeight="1" x14ac:dyDescent="0.25">
      <c r="A213" s="24"/>
      <c r="B213" s="25"/>
      <c r="C213" s="24"/>
      <c r="D213" s="24"/>
      <c r="E213" s="24"/>
      <c r="F213" s="26"/>
      <c r="G213" s="15"/>
      <c r="H213" s="15"/>
      <c r="I213" s="15"/>
      <c r="J213" s="15"/>
      <c r="K213" s="167"/>
      <c r="L213" s="15"/>
      <c r="M213" s="15"/>
      <c r="N213" s="15"/>
      <c r="O213" s="15"/>
      <c r="P213" s="15"/>
      <c r="Q213" s="15"/>
      <c r="R213" s="15"/>
      <c r="S213" s="15"/>
      <c r="T213" s="15"/>
      <c r="U213" s="15"/>
      <c r="V213" s="15"/>
      <c r="W213" s="15"/>
      <c r="X213" s="15"/>
      <c r="Y213" s="15"/>
      <c r="Z213" s="15"/>
    </row>
    <row r="214" spans="1:26" ht="15.75" customHeight="1" x14ac:dyDescent="0.25">
      <c r="A214" s="24"/>
      <c r="B214" s="25"/>
      <c r="C214" s="24"/>
      <c r="D214" s="24"/>
      <c r="E214" s="24"/>
      <c r="F214" s="26"/>
      <c r="G214" s="15"/>
      <c r="H214" s="15"/>
      <c r="I214" s="15"/>
      <c r="J214" s="15"/>
      <c r="K214" s="167"/>
      <c r="L214" s="15"/>
      <c r="M214" s="15"/>
      <c r="N214" s="15"/>
      <c r="O214" s="15"/>
      <c r="P214" s="15"/>
      <c r="Q214" s="15"/>
      <c r="R214" s="15"/>
      <c r="S214" s="15"/>
      <c r="T214" s="15"/>
      <c r="U214" s="15"/>
      <c r="V214" s="15"/>
      <c r="W214" s="15"/>
      <c r="X214" s="15"/>
      <c r="Y214" s="15"/>
      <c r="Z214" s="15"/>
    </row>
    <row r="215" spans="1:26" ht="15.75" customHeight="1" x14ac:dyDescent="0.25">
      <c r="A215" s="24"/>
      <c r="B215" s="25"/>
      <c r="C215" s="24"/>
      <c r="D215" s="24"/>
      <c r="E215" s="24"/>
      <c r="F215" s="26"/>
      <c r="G215" s="15"/>
      <c r="H215" s="15"/>
      <c r="I215" s="15"/>
      <c r="J215" s="15"/>
      <c r="K215" s="167"/>
      <c r="L215" s="15"/>
      <c r="M215" s="15"/>
      <c r="N215" s="15"/>
      <c r="O215" s="15"/>
      <c r="P215" s="15"/>
      <c r="Q215" s="15"/>
      <c r="R215" s="15"/>
      <c r="S215" s="15"/>
      <c r="T215" s="15"/>
      <c r="U215" s="15"/>
      <c r="V215" s="15"/>
      <c r="W215" s="15"/>
      <c r="X215" s="15"/>
      <c r="Y215" s="15"/>
      <c r="Z215" s="15"/>
    </row>
    <row r="216" spans="1:26" ht="15.75" customHeight="1" x14ac:dyDescent="0.25">
      <c r="A216" s="24"/>
      <c r="B216" s="25"/>
      <c r="C216" s="24"/>
      <c r="D216" s="24"/>
      <c r="E216" s="24"/>
      <c r="F216" s="26"/>
      <c r="G216" s="15"/>
      <c r="H216" s="15"/>
      <c r="I216" s="15"/>
      <c r="J216" s="15"/>
      <c r="K216" s="167"/>
      <c r="L216" s="15"/>
      <c r="M216" s="15"/>
      <c r="N216" s="15"/>
      <c r="O216" s="15"/>
      <c r="P216" s="15"/>
      <c r="Q216" s="15"/>
      <c r="R216" s="15"/>
      <c r="S216" s="15"/>
      <c r="T216" s="15"/>
      <c r="U216" s="15"/>
      <c r="V216" s="15"/>
      <c r="W216" s="15"/>
      <c r="X216" s="15"/>
      <c r="Y216" s="15"/>
      <c r="Z216" s="15"/>
    </row>
    <row r="217" spans="1:26" ht="15.75" customHeight="1" x14ac:dyDescent="0.25">
      <c r="A217" s="24"/>
      <c r="B217" s="25"/>
      <c r="C217" s="24"/>
      <c r="D217" s="24"/>
      <c r="E217" s="24"/>
      <c r="F217" s="26"/>
      <c r="G217" s="15"/>
      <c r="H217" s="15"/>
      <c r="I217" s="15"/>
      <c r="J217" s="15"/>
      <c r="K217" s="167"/>
      <c r="L217" s="15"/>
      <c r="M217" s="15"/>
      <c r="N217" s="15"/>
      <c r="O217" s="15"/>
      <c r="P217" s="15"/>
      <c r="Q217" s="15"/>
      <c r="R217" s="15"/>
      <c r="S217" s="15"/>
      <c r="T217" s="15"/>
      <c r="U217" s="15"/>
      <c r="V217" s="15"/>
      <c r="W217" s="15"/>
      <c r="X217" s="15"/>
      <c r="Y217" s="15"/>
      <c r="Z217" s="15"/>
    </row>
    <row r="218" spans="1:26" ht="15.75" customHeight="1" x14ac:dyDescent="0.25">
      <c r="A218" s="24"/>
      <c r="B218" s="25"/>
      <c r="C218" s="24"/>
      <c r="D218" s="24"/>
      <c r="E218" s="24"/>
      <c r="F218" s="26"/>
      <c r="G218" s="15"/>
      <c r="H218" s="15"/>
      <c r="I218" s="15"/>
      <c r="J218" s="15"/>
      <c r="K218" s="167"/>
      <c r="L218" s="15"/>
      <c r="M218" s="15"/>
      <c r="N218" s="15"/>
      <c r="O218" s="15"/>
      <c r="P218" s="15"/>
      <c r="Q218" s="15"/>
      <c r="R218" s="15"/>
      <c r="S218" s="15"/>
      <c r="T218" s="15"/>
      <c r="U218" s="15"/>
      <c r="V218" s="15"/>
      <c r="W218" s="15"/>
      <c r="X218" s="15"/>
      <c r="Y218" s="15"/>
      <c r="Z218" s="15"/>
    </row>
    <row r="219" spans="1:26" ht="15.75" customHeight="1" x14ac:dyDescent="0.25">
      <c r="A219" s="24"/>
      <c r="B219" s="25"/>
      <c r="C219" s="24"/>
      <c r="D219" s="24"/>
      <c r="E219" s="24"/>
      <c r="F219" s="26"/>
      <c r="G219" s="15"/>
      <c r="H219" s="15"/>
      <c r="I219" s="15"/>
      <c r="J219" s="15"/>
      <c r="K219" s="167"/>
      <c r="L219" s="15"/>
      <c r="M219" s="15"/>
      <c r="N219" s="15"/>
      <c r="O219" s="15"/>
      <c r="P219" s="15"/>
      <c r="Q219" s="15"/>
      <c r="R219" s="15"/>
      <c r="S219" s="15"/>
      <c r="T219" s="15"/>
      <c r="U219" s="15"/>
      <c r="V219" s="15"/>
      <c r="W219" s="15"/>
      <c r="X219" s="15"/>
      <c r="Y219" s="15"/>
      <c r="Z219" s="15"/>
    </row>
    <row r="220" spans="1:26" ht="15.75" customHeight="1" x14ac:dyDescent="0.25">
      <c r="A220" s="24"/>
      <c r="B220" s="25"/>
      <c r="C220" s="24"/>
      <c r="D220" s="24"/>
      <c r="E220" s="24"/>
      <c r="F220" s="26"/>
      <c r="G220" s="15"/>
      <c r="H220" s="15"/>
      <c r="I220" s="15"/>
      <c r="J220" s="15"/>
      <c r="K220" s="167"/>
      <c r="L220" s="15"/>
      <c r="M220" s="15"/>
      <c r="N220" s="15"/>
      <c r="O220" s="15"/>
      <c r="P220" s="15"/>
      <c r="Q220" s="15"/>
      <c r="R220" s="15"/>
      <c r="S220" s="15"/>
      <c r="T220" s="15"/>
      <c r="U220" s="15"/>
      <c r="V220" s="15"/>
      <c r="W220" s="15"/>
      <c r="X220" s="15"/>
      <c r="Y220" s="15"/>
      <c r="Z220" s="15"/>
    </row>
    <row r="221" spans="1:26" ht="15.75" customHeight="1" x14ac:dyDescent="0.25">
      <c r="A221" s="24"/>
      <c r="B221" s="25"/>
      <c r="C221" s="24"/>
      <c r="D221" s="24"/>
      <c r="E221" s="24"/>
      <c r="F221" s="26"/>
      <c r="G221" s="15"/>
      <c r="H221" s="15"/>
      <c r="I221" s="15"/>
      <c r="J221" s="15"/>
      <c r="K221" s="167"/>
      <c r="L221" s="15"/>
      <c r="M221" s="15"/>
      <c r="N221" s="15"/>
      <c r="O221" s="15"/>
      <c r="P221" s="15"/>
      <c r="Q221" s="15"/>
      <c r="R221" s="15"/>
      <c r="S221" s="15"/>
      <c r="T221" s="15"/>
      <c r="U221" s="15"/>
      <c r="V221" s="15"/>
      <c r="W221" s="15"/>
      <c r="X221" s="15"/>
      <c r="Y221" s="15"/>
      <c r="Z221" s="15"/>
    </row>
    <row r="222" spans="1:26" ht="15.75" customHeight="1" x14ac:dyDescent="0.25">
      <c r="A222" s="24"/>
      <c r="B222" s="25"/>
      <c r="C222" s="24"/>
      <c r="D222" s="24"/>
      <c r="E222" s="24"/>
      <c r="F222" s="26"/>
      <c r="G222" s="15"/>
      <c r="H222" s="15"/>
      <c r="I222" s="15"/>
      <c r="J222" s="15"/>
      <c r="K222" s="167"/>
      <c r="L222" s="15"/>
      <c r="M222" s="15"/>
      <c r="N222" s="15"/>
      <c r="O222" s="15"/>
      <c r="P222" s="15"/>
      <c r="Q222" s="15"/>
      <c r="R222" s="15"/>
      <c r="S222" s="15"/>
      <c r="T222" s="15"/>
      <c r="U222" s="15"/>
      <c r="V222" s="15"/>
      <c r="W222" s="15"/>
      <c r="X222" s="15"/>
      <c r="Y222" s="15"/>
      <c r="Z222" s="15"/>
    </row>
    <row r="223" spans="1:26" ht="15.75" customHeight="1" x14ac:dyDescent="0.25">
      <c r="A223" s="24"/>
      <c r="B223" s="25"/>
      <c r="C223" s="24"/>
      <c r="D223" s="24"/>
      <c r="E223" s="24"/>
      <c r="F223" s="26"/>
      <c r="G223" s="15"/>
      <c r="H223" s="15"/>
      <c r="I223" s="15"/>
      <c r="J223" s="15"/>
      <c r="K223" s="167"/>
      <c r="L223" s="15"/>
      <c r="M223" s="15"/>
      <c r="N223" s="15"/>
      <c r="O223" s="15"/>
      <c r="P223" s="15"/>
      <c r="Q223" s="15"/>
      <c r="R223" s="15"/>
      <c r="S223" s="15"/>
      <c r="T223" s="15"/>
      <c r="U223" s="15"/>
      <c r="V223" s="15"/>
      <c r="W223" s="15"/>
      <c r="X223" s="15"/>
      <c r="Y223" s="15"/>
      <c r="Z223" s="15"/>
    </row>
    <row r="224" spans="1:26" ht="15.75" customHeight="1" x14ac:dyDescent="0.25">
      <c r="A224" s="24"/>
      <c r="B224" s="25"/>
      <c r="C224" s="24"/>
      <c r="D224" s="24"/>
      <c r="E224" s="24"/>
      <c r="F224" s="26"/>
      <c r="G224" s="15"/>
      <c r="H224" s="15"/>
      <c r="I224" s="15"/>
      <c r="J224" s="15"/>
      <c r="K224" s="167"/>
      <c r="L224" s="15"/>
      <c r="M224" s="15"/>
      <c r="N224" s="15"/>
      <c r="O224" s="15"/>
      <c r="P224" s="15"/>
      <c r="Q224" s="15"/>
      <c r="R224" s="15"/>
      <c r="S224" s="15"/>
      <c r="T224" s="15"/>
      <c r="U224" s="15"/>
      <c r="V224" s="15"/>
      <c r="W224" s="15"/>
      <c r="X224" s="15"/>
      <c r="Y224" s="15"/>
      <c r="Z224" s="15"/>
    </row>
    <row r="225" spans="1:26" ht="15.75" customHeight="1" x14ac:dyDescent="0.25">
      <c r="A225" s="24"/>
      <c r="B225" s="25"/>
      <c r="C225" s="24"/>
      <c r="D225" s="24"/>
      <c r="E225" s="24"/>
      <c r="F225" s="26"/>
      <c r="G225" s="15"/>
      <c r="H225" s="15"/>
      <c r="I225" s="15"/>
      <c r="J225" s="15"/>
      <c r="K225" s="167"/>
      <c r="L225" s="15"/>
      <c r="M225" s="15"/>
      <c r="N225" s="15"/>
      <c r="O225" s="15"/>
      <c r="P225" s="15"/>
      <c r="Q225" s="15"/>
      <c r="R225" s="15"/>
      <c r="S225" s="15"/>
      <c r="T225" s="15"/>
      <c r="U225" s="15"/>
      <c r="V225" s="15"/>
      <c r="W225" s="15"/>
      <c r="X225" s="15"/>
      <c r="Y225" s="15"/>
      <c r="Z225" s="15"/>
    </row>
    <row r="226" spans="1:26" ht="15.75" customHeight="1" x14ac:dyDescent="0.25">
      <c r="A226" s="24"/>
      <c r="B226" s="25"/>
      <c r="C226" s="24"/>
      <c r="D226" s="24"/>
      <c r="E226" s="24"/>
      <c r="F226" s="26"/>
      <c r="G226" s="15"/>
      <c r="H226" s="15"/>
      <c r="I226" s="15"/>
      <c r="J226" s="15"/>
      <c r="K226" s="167"/>
      <c r="L226" s="15"/>
      <c r="M226" s="15"/>
      <c r="N226" s="15"/>
      <c r="O226" s="15"/>
      <c r="P226" s="15"/>
      <c r="Q226" s="15"/>
      <c r="R226" s="15"/>
      <c r="S226" s="15"/>
      <c r="T226" s="15"/>
      <c r="U226" s="15"/>
      <c r="V226" s="15"/>
      <c r="W226" s="15"/>
      <c r="X226" s="15"/>
      <c r="Y226" s="15"/>
      <c r="Z226" s="15"/>
    </row>
    <row r="227" spans="1:26" ht="15.75" customHeight="1" x14ac:dyDescent="0.25">
      <c r="A227" s="24"/>
      <c r="B227" s="25"/>
      <c r="C227" s="24"/>
      <c r="D227" s="24"/>
      <c r="E227" s="24"/>
      <c r="F227" s="26"/>
      <c r="G227" s="15"/>
      <c r="H227" s="15"/>
      <c r="I227" s="15"/>
      <c r="J227" s="15"/>
      <c r="K227" s="167"/>
      <c r="L227" s="15"/>
      <c r="M227" s="15"/>
      <c r="N227" s="15"/>
      <c r="O227" s="15"/>
      <c r="P227" s="15"/>
      <c r="Q227" s="15"/>
      <c r="R227" s="15"/>
      <c r="S227" s="15"/>
      <c r="T227" s="15"/>
      <c r="U227" s="15"/>
      <c r="V227" s="15"/>
      <c r="W227" s="15"/>
      <c r="X227" s="15"/>
      <c r="Y227" s="15"/>
      <c r="Z227" s="15"/>
    </row>
    <row r="228" spans="1:26" ht="15.75" customHeight="1" x14ac:dyDescent="0.25">
      <c r="A228" s="24"/>
      <c r="B228" s="25"/>
      <c r="C228" s="24"/>
      <c r="D228" s="24"/>
      <c r="E228" s="24"/>
      <c r="F228" s="26"/>
      <c r="G228" s="15"/>
      <c r="H228" s="15"/>
      <c r="I228" s="15"/>
      <c r="J228" s="15"/>
      <c r="K228" s="167"/>
      <c r="L228" s="15"/>
      <c r="M228" s="15"/>
      <c r="N228" s="15"/>
      <c r="O228" s="15"/>
      <c r="P228" s="15"/>
      <c r="Q228" s="15"/>
      <c r="R228" s="15"/>
      <c r="S228" s="15"/>
      <c r="T228" s="15"/>
      <c r="U228" s="15"/>
      <c r="V228" s="15"/>
      <c r="W228" s="15"/>
      <c r="X228" s="15"/>
      <c r="Y228" s="15"/>
      <c r="Z228" s="15"/>
    </row>
    <row r="229" spans="1:26" ht="15.75" customHeight="1" x14ac:dyDescent="0.25">
      <c r="A229" s="24"/>
      <c r="B229" s="25"/>
      <c r="C229" s="24"/>
      <c r="D229" s="24"/>
      <c r="E229" s="24"/>
      <c r="F229" s="26"/>
      <c r="G229" s="15"/>
      <c r="H229" s="15"/>
      <c r="I229" s="15"/>
      <c r="J229" s="15"/>
      <c r="K229" s="167"/>
      <c r="L229" s="15"/>
      <c r="M229" s="15"/>
      <c r="N229" s="15"/>
      <c r="O229" s="15"/>
      <c r="P229" s="15"/>
      <c r="Q229" s="15"/>
      <c r="R229" s="15"/>
      <c r="S229" s="15"/>
      <c r="T229" s="15"/>
      <c r="U229" s="15"/>
      <c r="V229" s="15"/>
      <c r="W229" s="15"/>
      <c r="X229" s="15"/>
      <c r="Y229" s="15"/>
      <c r="Z229" s="15"/>
    </row>
    <row r="230" spans="1:26" ht="15.75" customHeight="1" x14ac:dyDescent="0.25">
      <c r="A230" s="24"/>
      <c r="B230" s="25"/>
      <c r="C230" s="24"/>
      <c r="D230" s="24"/>
      <c r="E230" s="24"/>
      <c r="F230" s="26"/>
      <c r="G230" s="15"/>
      <c r="H230" s="15"/>
      <c r="I230" s="15"/>
      <c r="J230" s="15"/>
      <c r="K230" s="167"/>
      <c r="L230" s="15"/>
      <c r="M230" s="15"/>
      <c r="N230" s="15"/>
      <c r="O230" s="15"/>
      <c r="P230" s="15"/>
      <c r="Q230" s="15"/>
      <c r="R230" s="15"/>
      <c r="S230" s="15"/>
      <c r="T230" s="15"/>
      <c r="U230" s="15"/>
      <c r="V230" s="15"/>
      <c r="W230" s="15"/>
      <c r="X230" s="15"/>
      <c r="Y230" s="15"/>
      <c r="Z230" s="15"/>
    </row>
    <row r="231" spans="1:26" ht="15.75" customHeight="1" x14ac:dyDescent="0.25">
      <c r="A231" s="24"/>
      <c r="B231" s="25"/>
      <c r="C231" s="24"/>
      <c r="D231" s="24"/>
      <c r="E231" s="24"/>
      <c r="F231" s="26"/>
      <c r="G231" s="15"/>
      <c r="H231" s="15"/>
      <c r="I231" s="15"/>
      <c r="J231" s="15"/>
      <c r="K231" s="167"/>
      <c r="L231" s="15"/>
      <c r="M231" s="15"/>
      <c r="N231" s="15"/>
      <c r="O231" s="15"/>
      <c r="P231" s="15"/>
      <c r="Q231" s="15"/>
      <c r="R231" s="15"/>
      <c r="S231" s="15"/>
      <c r="T231" s="15"/>
      <c r="U231" s="15"/>
      <c r="V231" s="15"/>
      <c r="W231" s="15"/>
      <c r="X231" s="15"/>
      <c r="Y231" s="15"/>
      <c r="Z231" s="15"/>
    </row>
    <row r="232" spans="1:26" ht="15.75" customHeight="1" x14ac:dyDescent="0.25">
      <c r="A232" s="24"/>
      <c r="B232" s="25"/>
      <c r="C232" s="24"/>
      <c r="D232" s="24"/>
      <c r="E232" s="24"/>
      <c r="F232" s="26"/>
      <c r="G232" s="15"/>
      <c r="H232" s="15"/>
      <c r="I232" s="15"/>
      <c r="J232" s="15"/>
      <c r="K232" s="167"/>
      <c r="L232" s="15"/>
      <c r="M232" s="15"/>
      <c r="N232" s="15"/>
      <c r="O232" s="15"/>
      <c r="P232" s="15"/>
      <c r="Q232" s="15"/>
      <c r="R232" s="15"/>
      <c r="S232" s="15"/>
      <c r="T232" s="15"/>
      <c r="U232" s="15"/>
      <c r="V232" s="15"/>
      <c r="W232" s="15"/>
      <c r="X232" s="15"/>
      <c r="Y232" s="15"/>
      <c r="Z232" s="15"/>
    </row>
    <row r="233" spans="1:26" ht="15.75" customHeight="1" x14ac:dyDescent="0.25">
      <c r="A233" s="24"/>
      <c r="B233" s="25"/>
      <c r="C233" s="24"/>
      <c r="D233" s="24"/>
      <c r="E233" s="24"/>
      <c r="F233" s="26"/>
      <c r="G233" s="15"/>
      <c r="H233" s="15"/>
      <c r="I233" s="15"/>
      <c r="J233" s="15"/>
      <c r="K233" s="167"/>
      <c r="L233" s="15"/>
      <c r="M233" s="15"/>
      <c r="N233" s="15"/>
      <c r="O233" s="15"/>
      <c r="P233" s="15"/>
      <c r="Q233" s="15"/>
      <c r="R233" s="15"/>
      <c r="S233" s="15"/>
      <c r="T233" s="15"/>
      <c r="U233" s="15"/>
      <c r="V233" s="15"/>
      <c r="W233" s="15"/>
      <c r="X233" s="15"/>
      <c r="Y233" s="15"/>
      <c r="Z233" s="15"/>
    </row>
    <row r="234" spans="1:26" ht="15.75" customHeight="1" x14ac:dyDescent="0.25">
      <c r="A234" s="24"/>
      <c r="B234" s="25"/>
      <c r="C234" s="24"/>
      <c r="D234" s="24"/>
      <c r="E234" s="24"/>
      <c r="F234" s="26"/>
      <c r="G234" s="15"/>
      <c r="H234" s="15"/>
      <c r="I234" s="15"/>
      <c r="J234" s="15"/>
      <c r="K234" s="167"/>
      <c r="L234" s="15"/>
      <c r="M234" s="15"/>
      <c r="N234" s="15"/>
      <c r="O234" s="15"/>
      <c r="P234" s="15"/>
      <c r="Q234" s="15"/>
      <c r="R234" s="15"/>
      <c r="S234" s="15"/>
      <c r="T234" s="15"/>
      <c r="U234" s="15"/>
      <c r="V234" s="15"/>
      <c r="W234" s="15"/>
      <c r="X234" s="15"/>
      <c r="Y234" s="15"/>
      <c r="Z234" s="15"/>
    </row>
    <row r="235" spans="1:26" ht="15.75" customHeight="1" x14ac:dyDescent="0.25">
      <c r="A235" s="24"/>
      <c r="B235" s="25"/>
      <c r="C235" s="24"/>
      <c r="D235" s="24"/>
      <c r="E235" s="24"/>
      <c r="F235" s="26"/>
      <c r="G235" s="15"/>
      <c r="H235" s="15"/>
      <c r="I235" s="15"/>
      <c r="J235" s="15"/>
      <c r="K235" s="167"/>
      <c r="L235" s="15"/>
      <c r="M235" s="15"/>
      <c r="N235" s="15"/>
      <c r="O235" s="15"/>
      <c r="P235" s="15"/>
      <c r="Q235" s="15"/>
      <c r="R235" s="15"/>
      <c r="S235" s="15"/>
      <c r="T235" s="15"/>
      <c r="U235" s="15"/>
      <c r="V235" s="15"/>
      <c r="W235" s="15"/>
      <c r="X235" s="15"/>
      <c r="Y235" s="15"/>
      <c r="Z235" s="15"/>
    </row>
    <row r="236" spans="1:26" ht="15.75" customHeight="1" x14ac:dyDescent="0.25">
      <c r="A236" s="24"/>
      <c r="B236" s="25"/>
      <c r="C236" s="24"/>
      <c r="D236" s="24"/>
      <c r="E236" s="24"/>
      <c r="F236" s="26"/>
      <c r="G236" s="15"/>
      <c r="H236" s="15"/>
      <c r="I236" s="15"/>
      <c r="J236" s="15"/>
      <c r="K236" s="167"/>
      <c r="L236" s="15"/>
      <c r="M236" s="15"/>
      <c r="N236" s="15"/>
      <c r="O236" s="15"/>
      <c r="P236" s="15"/>
      <c r="Q236" s="15"/>
      <c r="R236" s="15"/>
      <c r="S236" s="15"/>
      <c r="T236" s="15"/>
      <c r="U236" s="15"/>
      <c r="V236" s="15"/>
      <c r="W236" s="15"/>
      <c r="X236" s="15"/>
      <c r="Y236" s="15"/>
      <c r="Z236" s="15"/>
    </row>
    <row r="237" spans="1:26" ht="15.75" customHeight="1" x14ac:dyDescent="0.25">
      <c r="A237" s="24"/>
      <c r="B237" s="25"/>
      <c r="C237" s="24"/>
      <c r="D237" s="24"/>
      <c r="E237" s="24"/>
      <c r="F237" s="26"/>
      <c r="G237" s="15"/>
      <c r="H237" s="15"/>
      <c r="I237" s="15"/>
      <c r="J237" s="15"/>
      <c r="K237" s="167"/>
      <c r="L237" s="15"/>
      <c r="M237" s="15"/>
      <c r="N237" s="15"/>
      <c r="O237" s="15"/>
      <c r="P237" s="15"/>
      <c r="Q237" s="15"/>
      <c r="R237" s="15"/>
      <c r="S237" s="15"/>
      <c r="T237" s="15"/>
      <c r="U237" s="15"/>
      <c r="V237" s="15"/>
      <c r="W237" s="15"/>
      <c r="X237" s="15"/>
      <c r="Y237" s="15"/>
      <c r="Z237" s="15"/>
    </row>
    <row r="238" spans="1:26" ht="15.75" customHeight="1" x14ac:dyDescent="0.25">
      <c r="A238" s="24"/>
      <c r="B238" s="25"/>
      <c r="C238" s="24"/>
      <c r="D238" s="24"/>
      <c r="E238" s="24"/>
      <c r="F238" s="26"/>
      <c r="G238" s="15"/>
      <c r="H238" s="15"/>
      <c r="I238" s="15"/>
      <c r="J238" s="15"/>
      <c r="K238" s="167"/>
      <c r="L238" s="15"/>
      <c r="M238" s="15"/>
      <c r="N238" s="15"/>
      <c r="O238" s="15"/>
      <c r="P238" s="15"/>
      <c r="Q238" s="15"/>
      <c r="R238" s="15"/>
      <c r="S238" s="15"/>
      <c r="T238" s="15"/>
      <c r="U238" s="15"/>
      <c r="V238" s="15"/>
      <c r="W238" s="15"/>
      <c r="X238" s="15"/>
      <c r="Y238" s="15"/>
      <c r="Z238" s="15"/>
    </row>
    <row r="239" spans="1:26" ht="15.75" customHeight="1" x14ac:dyDescent="0.25">
      <c r="A239" s="24"/>
      <c r="B239" s="25"/>
      <c r="C239" s="24"/>
      <c r="D239" s="24"/>
      <c r="E239" s="24"/>
      <c r="F239" s="26"/>
      <c r="G239" s="15"/>
      <c r="H239" s="15"/>
      <c r="I239" s="15"/>
      <c r="J239" s="15"/>
      <c r="K239" s="167"/>
      <c r="L239" s="15"/>
      <c r="M239" s="15"/>
      <c r="N239" s="15"/>
      <c r="O239" s="15"/>
      <c r="P239" s="15"/>
      <c r="Q239" s="15"/>
      <c r="R239" s="15"/>
      <c r="S239" s="15"/>
      <c r="T239" s="15"/>
      <c r="U239" s="15"/>
      <c r="V239" s="15"/>
      <c r="W239" s="15"/>
      <c r="X239" s="15"/>
      <c r="Y239" s="15"/>
      <c r="Z239" s="15"/>
    </row>
    <row r="240" spans="1:26" ht="15.75" customHeight="1" x14ac:dyDescent="0.25">
      <c r="A240" s="24"/>
      <c r="B240" s="25"/>
      <c r="C240" s="24"/>
      <c r="D240" s="24"/>
      <c r="E240" s="24"/>
      <c r="F240" s="26"/>
      <c r="G240" s="15"/>
      <c r="H240" s="15"/>
      <c r="I240" s="15"/>
      <c r="J240" s="15"/>
      <c r="K240" s="167"/>
      <c r="L240" s="15"/>
      <c r="M240" s="15"/>
      <c r="N240" s="15"/>
      <c r="O240" s="15"/>
      <c r="P240" s="15"/>
      <c r="Q240" s="15"/>
      <c r="R240" s="15"/>
      <c r="S240" s="15"/>
      <c r="T240" s="15"/>
      <c r="U240" s="15"/>
      <c r="V240" s="15"/>
      <c r="W240" s="15"/>
      <c r="X240" s="15"/>
      <c r="Y240" s="15"/>
      <c r="Z240" s="15"/>
    </row>
    <row r="241" spans="1:26" ht="15.75" customHeight="1" x14ac:dyDescent="0.25">
      <c r="A241" s="24"/>
      <c r="B241" s="25"/>
      <c r="C241" s="24"/>
      <c r="D241" s="24"/>
      <c r="E241" s="24"/>
      <c r="F241" s="26"/>
      <c r="G241" s="15"/>
      <c r="H241" s="15"/>
      <c r="I241" s="15"/>
      <c r="J241" s="15"/>
      <c r="K241" s="167"/>
      <c r="L241" s="15"/>
      <c r="M241" s="15"/>
      <c r="N241" s="15"/>
      <c r="O241" s="15"/>
      <c r="P241" s="15"/>
      <c r="Q241" s="15"/>
      <c r="R241" s="15"/>
      <c r="S241" s="15"/>
      <c r="T241" s="15"/>
      <c r="U241" s="15"/>
      <c r="V241" s="15"/>
      <c r="W241" s="15"/>
      <c r="X241" s="15"/>
      <c r="Y241" s="15"/>
      <c r="Z241" s="15"/>
    </row>
    <row r="242" spans="1:26" ht="15.75" customHeight="1" x14ac:dyDescent="0.25">
      <c r="A242" s="24"/>
      <c r="B242" s="25"/>
      <c r="C242" s="24"/>
      <c r="D242" s="24"/>
      <c r="E242" s="24"/>
      <c r="F242" s="26"/>
      <c r="G242" s="15"/>
      <c r="H242" s="15"/>
      <c r="I242" s="15"/>
      <c r="J242" s="15"/>
      <c r="K242" s="167"/>
      <c r="L242" s="15"/>
      <c r="M242" s="15"/>
      <c r="N242" s="15"/>
      <c r="O242" s="15"/>
      <c r="P242" s="15"/>
      <c r="Q242" s="15"/>
      <c r="R242" s="15"/>
      <c r="S242" s="15"/>
      <c r="T242" s="15"/>
      <c r="U242" s="15"/>
      <c r="V242" s="15"/>
      <c r="W242" s="15"/>
      <c r="X242" s="15"/>
      <c r="Y242" s="15"/>
      <c r="Z242" s="15"/>
    </row>
    <row r="243" spans="1:26" ht="15.75" customHeight="1" x14ac:dyDescent="0.25">
      <c r="A243" s="24"/>
      <c r="B243" s="25"/>
      <c r="C243" s="24"/>
      <c r="D243" s="24"/>
      <c r="E243" s="24"/>
      <c r="F243" s="26"/>
      <c r="G243" s="15"/>
      <c r="H243" s="15"/>
      <c r="I243" s="15"/>
      <c r="J243" s="15"/>
      <c r="K243" s="167"/>
      <c r="L243" s="15"/>
      <c r="M243" s="15"/>
      <c r="N243" s="15"/>
      <c r="O243" s="15"/>
      <c r="P243" s="15"/>
      <c r="Q243" s="15"/>
      <c r="R243" s="15"/>
      <c r="S243" s="15"/>
      <c r="T243" s="15"/>
      <c r="U243" s="15"/>
      <c r="V243" s="15"/>
      <c r="W243" s="15"/>
      <c r="X243" s="15"/>
      <c r="Y243" s="15"/>
      <c r="Z243" s="15"/>
    </row>
    <row r="244" spans="1:26" ht="15.75" customHeight="1" x14ac:dyDescent="0.25">
      <c r="A244" s="24"/>
      <c r="B244" s="25"/>
      <c r="C244" s="24"/>
      <c r="D244" s="24"/>
      <c r="E244" s="24"/>
      <c r="F244" s="26"/>
      <c r="G244" s="15"/>
      <c r="H244" s="15"/>
      <c r="I244" s="15"/>
      <c r="J244" s="15"/>
      <c r="K244" s="167"/>
      <c r="L244" s="15"/>
      <c r="M244" s="15"/>
      <c r="N244" s="15"/>
      <c r="O244" s="15"/>
      <c r="P244" s="15"/>
      <c r="Q244" s="15"/>
      <c r="R244" s="15"/>
      <c r="S244" s="15"/>
      <c r="T244" s="15"/>
      <c r="U244" s="15"/>
      <c r="V244" s="15"/>
      <c r="W244" s="15"/>
      <c r="X244" s="15"/>
      <c r="Y244" s="15"/>
      <c r="Z244" s="15"/>
    </row>
    <row r="245" spans="1:26" ht="15.75" customHeight="1" x14ac:dyDescent="0.25">
      <c r="A245" s="24"/>
      <c r="B245" s="25"/>
      <c r="C245" s="24"/>
      <c r="D245" s="24"/>
      <c r="E245" s="24"/>
      <c r="F245" s="26"/>
      <c r="G245" s="15"/>
      <c r="H245" s="15"/>
      <c r="I245" s="15"/>
      <c r="J245" s="15"/>
      <c r="K245" s="167"/>
      <c r="L245" s="15"/>
      <c r="M245" s="15"/>
      <c r="N245" s="15"/>
      <c r="O245" s="15"/>
      <c r="P245" s="15"/>
      <c r="Q245" s="15"/>
      <c r="R245" s="15"/>
      <c r="S245" s="15"/>
      <c r="T245" s="15"/>
      <c r="U245" s="15"/>
      <c r="V245" s="15"/>
      <c r="W245" s="15"/>
      <c r="X245" s="15"/>
      <c r="Y245" s="15"/>
      <c r="Z245" s="15"/>
    </row>
    <row r="246" spans="1:26" ht="15.75" customHeight="1" x14ac:dyDescent="0.25">
      <c r="A246" s="24"/>
      <c r="B246" s="25"/>
      <c r="C246" s="24"/>
      <c r="D246" s="24"/>
      <c r="E246" s="24"/>
      <c r="F246" s="26"/>
      <c r="G246" s="15"/>
      <c r="H246" s="15"/>
      <c r="I246" s="15"/>
      <c r="J246" s="15"/>
      <c r="K246" s="167"/>
      <c r="L246" s="15"/>
      <c r="M246" s="15"/>
      <c r="N246" s="15"/>
      <c r="O246" s="15"/>
      <c r="P246" s="15"/>
      <c r="Q246" s="15"/>
      <c r="R246" s="15"/>
      <c r="S246" s="15"/>
      <c r="T246" s="15"/>
      <c r="U246" s="15"/>
      <c r="V246" s="15"/>
      <c r="W246" s="15"/>
      <c r="X246" s="15"/>
      <c r="Y246" s="15"/>
      <c r="Z246" s="15"/>
    </row>
    <row r="247" spans="1:26" ht="15.75" customHeight="1" x14ac:dyDescent="0.25">
      <c r="A247" s="24"/>
      <c r="B247" s="25"/>
      <c r="C247" s="24"/>
      <c r="D247" s="24"/>
      <c r="E247" s="24"/>
      <c r="F247" s="26"/>
      <c r="G247" s="15"/>
      <c r="H247" s="15"/>
      <c r="I247" s="15"/>
      <c r="J247" s="15"/>
      <c r="K247" s="167"/>
      <c r="L247" s="15"/>
      <c r="M247" s="15"/>
      <c r="N247" s="15"/>
      <c r="O247" s="15"/>
      <c r="P247" s="15"/>
      <c r="Q247" s="15"/>
      <c r="R247" s="15"/>
      <c r="S247" s="15"/>
      <c r="T247" s="15"/>
      <c r="U247" s="15"/>
      <c r="V247" s="15"/>
      <c r="W247" s="15"/>
      <c r="X247" s="15"/>
      <c r="Y247" s="15"/>
      <c r="Z247" s="15"/>
    </row>
    <row r="248" spans="1:26" ht="15.75" customHeight="1" x14ac:dyDescent="0.25">
      <c r="A248" s="24"/>
      <c r="B248" s="25"/>
      <c r="C248" s="24"/>
      <c r="D248" s="24"/>
      <c r="E248" s="24"/>
      <c r="F248" s="26"/>
      <c r="G248" s="15"/>
      <c r="H248" s="15"/>
      <c r="I248" s="15"/>
      <c r="J248" s="15"/>
      <c r="K248" s="167"/>
      <c r="L248" s="15"/>
      <c r="M248" s="15"/>
      <c r="N248" s="15"/>
      <c r="O248" s="15"/>
      <c r="P248" s="15"/>
      <c r="Q248" s="15"/>
      <c r="R248" s="15"/>
      <c r="S248" s="15"/>
      <c r="T248" s="15"/>
      <c r="U248" s="15"/>
      <c r="V248" s="15"/>
      <c r="W248" s="15"/>
      <c r="X248" s="15"/>
      <c r="Y248" s="15"/>
      <c r="Z248" s="15"/>
    </row>
    <row r="249" spans="1:26" ht="15.75" customHeight="1" x14ac:dyDescent="0.25">
      <c r="A249" s="24"/>
      <c r="B249" s="25"/>
      <c r="C249" s="24"/>
      <c r="D249" s="24"/>
      <c r="E249" s="24"/>
      <c r="F249" s="26"/>
      <c r="G249" s="15"/>
      <c r="H249" s="15"/>
      <c r="I249" s="15"/>
      <c r="J249" s="15"/>
      <c r="K249" s="167"/>
      <c r="L249" s="15"/>
      <c r="M249" s="15"/>
      <c r="N249" s="15"/>
      <c r="O249" s="15"/>
      <c r="P249" s="15"/>
      <c r="Q249" s="15"/>
      <c r="R249" s="15"/>
      <c r="S249" s="15"/>
      <c r="T249" s="15"/>
      <c r="U249" s="15"/>
      <c r="V249" s="15"/>
      <c r="W249" s="15"/>
      <c r="X249" s="15"/>
      <c r="Y249" s="15"/>
      <c r="Z249" s="15"/>
    </row>
    <row r="250" spans="1:26" ht="15.75" customHeight="1" x14ac:dyDescent="0.25">
      <c r="A250" s="24"/>
      <c r="B250" s="25"/>
      <c r="C250" s="24"/>
      <c r="D250" s="24"/>
      <c r="E250" s="24"/>
      <c r="F250" s="26"/>
      <c r="G250" s="15"/>
      <c r="H250" s="15"/>
      <c r="I250" s="15"/>
      <c r="J250" s="15"/>
      <c r="K250" s="167"/>
      <c r="L250" s="15"/>
      <c r="M250" s="15"/>
      <c r="N250" s="15"/>
      <c r="O250" s="15"/>
      <c r="P250" s="15"/>
      <c r="Q250" s="15"/>
      <c r="R250" s="15"/>
      <c r="S250" s="15"/>
      <c r="T250" s="15"/>
      <c r="U250" s="15"/>
      <c r="V250" s="15"/>
      <c r="W250" s="15"/>
      <c r="X250" s="15"/>
      <c r="Y250" s="15"/>
      <c r="Z250" s="15"/>
    </row>
    <row r="251" spans="1:26" ht="15.75" customHeight="1" x14ac:dyDescent="0.25">
      <c r="A251" s="24"/>
      <c r="B251" s="25"/>
      <c r="C251" s="24"/>
      <c r="D251" s="24"/>
      <c r="E251" s="24"/>
      <c r="F251" s="26"/>
      <c r="G251" s="15"/>
      <c r="H251" s="15"/>
      <c r="I251" s="15"/>
      <c r="J251" s="15"/>
      <c r="K251" s="167"/>
      <c r="L251" s="15"/>
      <c r="M251" s="15"/>
      <c r="N251" s="15"/>
      <c r="O251" s="15"/>
      <c r="P251" s="15"/>
      <c r="Q251" s="15"/>
      <c r="R251" s="15"/>
      <c r="S251" s="15"/>
      <c r="T251" s="15"/>
      <c r="U251" s="15"/>
      <c r="V251" s="15"/>
      <c r="W251" s="15"/>
      <c r="X251" s="15"/>
      <c r="Y251" s="15"/>
      <c r="Z251" s="15"/>
    </row>
    <row r="252" spans="1:26" ht="15.75" customHeight="1" x14ac:dyDescent="0.25">
      <c r="A252" s="24"/>
      <c r="B252" s="25"/>
      <c r="C252" s="24"/>
      <c r="D252" s="24"/>
      <c r="E252" s="24"/>
      <c r="F252" s="26"/>
      <c r="G252" s="15"/>
      <c r="H252" s="15"/>
      <c r="I252" s="15"/>
      <c r="J252" s="15"/>
      <c r="K252" s="167"/>
      <c r="L252" s="15"/>
      <c r="M252" s="15"/>
      <c r="N252" s="15"/>
      <c r="O252" s="15"/>
      <c r="P252" s="15"/>
      <c r="Q252" s="15"/>
      <c r="R252" s="15"/>
      <c r="S252" s="15"/>
      <c r="T252" s="15"/>
      <c r="U252" s="15"/>
      <c r="V252" s="15"/>
      <c r="W252" s="15"/>
      <c r="X252" s="15"/>
      <c r="Y252" s="15"/>
      <c r="Z252" s="15"/>
    </row>
    <row r="253" spans="1:26" ht="15.75" customHeight="1" x14ac:dyDescent="0.25">
      <c r="A253" s="24"/>
      <c r="B253" s="25"/>
      <c r="C253" s="24"/>
      <c r="D253" s="24"/>
      <c r="E253" s="24"/>
      <c r="F253" s="26"/>
      <c r="G253" s="15"/>
      <c r="H253" s="15"/>
      <c r="I253" s="15"/>
      <c r="J253" s="15"/>
      <c r="K253" s="167"/>
      <c r="L253" s="15"/>
      <c r="M253" s="15"/>
      <c r="N253" s="15"/>
      <c r="O253" s="15"/>
      <c r="P253" s="15"/>
      <c r="Q253" s="15"/>
      <c r="R253" s="15"/>
      <c r="S253" s="15"/>
      <c r="T253" s="15"/>
      <c r="U253" s="15"/>
      <c r="V253" s="15"/>
      <c r="W253" s="15"/>
      <c r="X253" s="15"/>
      <c r="Y253" s="15"/>
      <c r="Z253" s="15"/>
    </row>
    <row r="254" spans="1:26" ht="15.75" customHeight="1" x14ac:dyDescent="0.25">
      <c r="A254" s="24"/>
      <c r="B254" s="25"/>
      <c r="C254" s="24"/>
      <c r="D254" s="24"/>
      <c r="E254" s="24"/>
      <c r="F254" s="26"/>
      <c r="G254" s="15"/>
      <c r="H254" s="15"/>
      <c r="I254" s="15"/>
      <c r="J254" s="15"/>
      <c r="K254" s="167"/>
      <c r="L254" s="15"/>
      <c r="M254" s="15"/>
      <c r="N254" s="15"/>
      <c r="O254" s="15"/>
      <c r="P254" s="15"/>
      <c r="Q254" s="15"/>
      <c r="R254" s="15"/>
      <c r="S254" s="15"/>
      <c r="T254" s="15"/>
      <c r="U254" s="15"/>
      <c r="V254" s="15"/>
      <c r="W254" s="15"/>
      <c r="X254" s="15"/>
      <c r="Y254" s="15"/>
      <c r="Z254" s="15"/>
    </row>
    <row r="255" spans="1:26" ht="15.75" customHeight="1" x14ac:dyDescent="0.25">
      <c r="A255" s="24"/>
      <c r="B255" s="25"/>
      <c r="C255" s="24"/>
      <c r="D255" s="24"/>
      <c r="E255" s="24"/>
      <c r="F255" s="26"/>
      <c r="G255" s="15"/>
      <c r="H255" s="15"/>
      <c r="I255" s="15"/>
      <c r="J255" s="15"/>
      <c r="K255" s="167"/>
      <c r="L255" s="15"/>
      <c r="M255" s="15"/>
      <c r="N255" s="15"/>
      <c r="O255" s="15"/>
      <c r="P255" s="15"/>
      <c r="Q255" s="15"/>
      <c r="R255" s="15"/>
      <c r="S255" s="15"/>
      <c r="T255" s="15"/>
      <c r="U255" s="15"/>
      <c r="V255" s="15"/>
      <c r="W255" s="15"/>
      <c r="X255" s="15"/>
      <c r="Y255" s="15"/>
      <c r="Z255" s="15"/>
    </row>
    <row r="256" spans="1:26" ht="15.75" customHeight="1" x14ac:dyDescent="0.25">
      <c r="A256" s="24"/>
      <c r="B256" s="25"/>
      <c r="C256" s="24"/>
      <c r="D256" s="24"/>
      <c r="E256" s="24"/>
      <c r="F256" s="26"/>
      <c r="G256" s="15"/>
      <c r="H256" s="15"/>
      <c r="I256" s="15"/>
      <c r="J256" s="15"/>
      <c r="K256" s="167"/>
      <c r="L256" s="15"/>
      <c r="M256" s="15"/>
      <c r="N256" s="15"/>
      <c r="O256" s="15"/>
      <c r="P256" s="15"/>
      <c r="Q256" s="15"/>
      <c r="R256" s="15"/>
      <c r="S256" s="15"/>
      <c r="T256" s="15"/>
      <c r="U256" s="15"/>
      <c r="V256" s="15"/>
      <c r="W256" s="15"/>
      <c r="X256" s="15"/>
      <c r="Y256" s="15"/>
      <c r="Z256" s="15"/>
    </row>
    <row r="257" spans="1:26" ht="15.75" customHeight="1" x14ac:dyDescent="0.25">
      <c r="A257" s="24"/>
      <c r="B257" s="25"/>
      <c r="C257" s="24"/>
      <c r="D257" s="24"/>
      <c r="E257" s="24"/>
      <c r="F257" s="26"/>
      <c r="G257" s="15"/>
      <c r="H257" s="15"/>
      <c r="I257" s="15"/>
      <c r="J257" s="15"/>
      <c r="K257" s="167"/>
      <c r="L257" s="15"/>
      <c r="M257" s="15"/>
      <c r="N257" s="15"/>
      <c r="O257" s="15"/>
      <c r="P257" s="15"/>
      <c r="Q257" s="15"/>
      <c r="R257" s="15"/>
      <c r="S257" s="15"/>
      <c r="T257" s="15"/>
      <c r="U257" s="15"/>
      <c r="V257" s="15"/>
      <c r="W257" s="15"/>
      <c r="X257" s="15"/>
      <c r="Y257" s="15"/>
      <c r="Z257" s="15"/>
    </row>
    <row r="258" spans="1:26" ht="15.75" customHeight="1" x14ac:dyDescent="0.25">
      <c r="A258" s="24"/>
      <c r="B258" s="25"/>
      <c r="C258" s="24"/>
      <c r="D258" s="24"/>
      <c r="E258" s="24"/>
      <c r="F258" s="26"/>
      <c r="G258" s="15"/>
      <c r="H258" s="15"/>
      <c r="I258" s="15"/>
      <c r="J258" s="15"/>
      <c r="K258" s="167"/>
      <c r="L258" s="15"/>
      <c r="M258" s="15"/>
      <c r="N258" s="15"/>
      <c r="O258" s="15"/>
      <c r="P258" s="15"/>
      <c r="Q258" s="15"/>
      <c r="R258" s="15"/>
      <c r="S258" s="15"/>
      <c r="T258" s="15"/>
      <c r="U258" s="15"/>
      <c r="V258" s="15"/>
      <c r="W258" s="15"/>
      <c r="X258" s="15"/>
      <c r="Y258" s="15"/>
      <c r="Z258" s="15"/>
    </row>
    <row r="259" spans="1:26" ht="15.75" customHeight="1" x14ac:dyDescent="0.25">
      <c r="A259" s="24"/>
      <c r="B259" s="25"/>
      <c r="C259" s="24"/>
      <c r="D259" s="24"/>
      <c r="E259" s="24"/>
      <c r="F259" s="26"/>
      <c r="G259" s="15"/>
      <c r="H259" s="15"/>
      <c r="I259" s="15"/>
      <c r="J259" s="15"/>
      <c r="K259" s="167"/>
      <c r="L259" s="15"/>
      <c r="M259" s="15"/>
      <c r="N259" s="15"/>
      <c r="O259" s="15"/>
      <c r="P259" s="15"/>
      <c r="Q259" s="15"/>
      <c r="R259" s="15"/>
      <c r="S259" s="15"/>
      <c r="T259" s="15"/>
      <c r="U259" s="15"/>
      <c r="V259" s="15"/>
      <c r="W259" s="15"/>
      <c r="X259" s="15"/>
      <c r="Y259" s="15"/>
      <c r="Z259" s="15"/>
    </row>
    <row r="260" spans="1:26" ht="15.75" customHeight="1" x14ac:dyDescent="0.25">
      <c r="A260" s="24"/>
      <c r="B260" s="25"/>
      <c r="C260" s="24"/>
      <c r="D260" s="24"/>
      <c r="E260" s="24"/>
      <c r="F260" s="26"/>
      <c r="G260" s="15"/>
      <c r="H260" s="15"/>
      <c r="I260" s="15"/>
      <c r="J260" s="15"/>
      <c r="K260" s="167"/>
      <c r="L260" s="15"/>
      <c r="M260" s="15"/>
      <c r="N260" s="15"/>
      <c r="O260" s="15"/>
      <c r="P260" s="15"/>
      <c r="Q260" s="15"/>
      <c r="R260" s="15"/>
      <c r="S260" s="15"/>
      <c r="T260" s="15"/>
      <c r="U260" s="15"/>
      <c r="V260" s="15"/>
      <c r="W260" s="15"/>
      <c r="X260" s="15"/>
      <c r="Y260" s="15"/>
      <c r="Z260" s="15"/>
    </row>
    <row r="261" spans="1:26" ht="15.75" customHeight="1" x14ac:dyDescent="0.25">
      <c r="A261" s="24"/>
      <c r="B261" s="25"/>
      <c r="C261" s="24"/>
      <c r="D261" s="24"/>
      <c r="E261" s="24"/>
      <c r="F261" s="26"/>
      <c r="G261" s="15"/>
      <c r="H261" s="15"/>
      <c r="I261" s="15"/>
      <c r="J261" s="15"/>
      <c r="K261" s="167"/>
      <c r="L261" s="15"/>
      <c r="M261" s="15"/>
      <c r="N261" s="15"/>
      <c r="O261" s="15"/>
      <c r="P261" s="15"/>
      <c r="Q261" s="15"/>
      <c r="R261" s="15"/>
      <c r="S261" s="15"/>
      <c r="T261" s="15"/>
      <c r="U261" s="15"/>
      <c r="V261" s="15"/>
      <c r="W261" s="15"/>
      <c r="X261" s="15"/>
      <c r="Y261" s="15"/>
      <c r="Z261" s="15"/>
    </row>
    <row r="262" spans="1:26" ht="15.75" customHeight="1" x14ac:dyDescent="0.25">
      <c r="A262" s="24"/>
      <c r="B262" s="25"/>
      <c r="C262" s="24"/>
      <c r="D262" s="24"/>
      <c r="E262" s="24"/>
      <c r="F262" s="26"/>
      <c r="G262" s="15"/>
      <c r="H262" s="15"/>
      <c r="I262" s="15"/>
      <c r="J262" s="15"/>
      <c r="K262" s="167"/>
      <c r="L262" s="15"/>
      <c r="M262" s="15"/>
      <c r="N262" s="15"/>
      <c r="O262" s="15"/>
      <c r="P262" s="15"/>
      <c r="Q262" s="15"/>
      <c r="R262" s="15"/>
      <c r="S262" s="15"/>
      <c r="T262" s="15"/>
      <c r="U262" s="15"/>
      <c r="V262" s="15"/>
      <c r="W262" s="15"/>
      <c r="X262" s="15"/>
      <c r="Y262" s="15"/>
      <c r="Z262" s="15"/>
    </row>
    <row r="263" spans="1:26" ht="15.75" customHeight="1" x14ac:dyDescent="0.25">
      <c r="A263" s="24"/>
      <c r="B263" s="25"/>
      <c r="C263" s="24"/>
      <c r="D263" s="24"/>
      <c r="E263" s="24"/>
      <c r="F263" s="26"/>
      <c r="G263" s="15"/>
      <c r="H263" s="15"/>
      <c r="I263" s="15"/>
      <c r="J263" s="15"/>
      <c r="K263" s="167"/>
      <c r="L263" s="15"/>
      <c r="M263" s="15"/>
      <c r="N263" s="15"/>
      <c r="O263" s="15"/>
      <c r="P263" s="15"/>
      <c r="Q263" s="15"/>
      <c r="R263" s="15"/>
      <c r="S263" s="15"/>
      <c r="T263" s="15"/>
      <c r="U263" s="15"/>
      <c r="V263" s="15"/>
      <c r="W263" s="15"/>
      <c r="X263" s="15"/>
      <c r="Y263" s="15"/>
      <c r="Z263" s="15"/>
    </row>
    <row r="264" spans="1:26" ht="15.75" customHeight="1" x14ac:dyDescent="0.25">
      <c r="A264" s="24"/>
      <c r="B264" s="25"/>
      <c r="C264" s="24"/>
      <c r="D264" s="24"/>
      <c r="E264" s="24"/>
      <c r="F264" s="26"/>
      <c r="G264" s="15"/>
      <c r="H264" s="15"/>
      <c r="I264" s="15"/>
      <c r="J264" s="15"/>
      <c r="K264" s="167"/>
      <c r="L264" s="15"/>
      <c r="M264" s="15"/>
      <c r="N264" s="15"/>
      <c r="O264" s="15"/>
      <c r="P264" s="15"/>
      <c r="Q264" s="15"/>
      <c r="R264" s="15"/>
      <c r="S264" s="15"/>
      <c r="T264" s="15"/>
      <c r="U264" s="15"/>
      <c r="V264" s="15"/>
      <c r="W264" s="15"/>
      <c r="X264" s="15"/>
      <c r="Y264" s="15"/>
      <c r="Z264" s="15"/>
    </row>
    <row r="265" spans="1:26" ht="15.75" customHeight="1" x14ac:dyDescent="0.25">
      <c r="A265" s="24"/>
      <c r="B265" s="25"/>
      <c r="C265" s="24"/>
      <c r="D265" s="24"/>
      <c r="E265" s="24"/>
      <c r="F265" s="26"/>
      <c r="G265" s="15"/>
      <c r="H265" s="15"/>
      <c r="I265" s="15"/>
      <c r="J265" s="15"/>
      <c r="K265" s="167"/>
      <c r="L265" s="15"/>
      <c r="M265" s="15"/>
      <c r="N265" s="15"/>
      <c r="O265" s="15"/>
      <c r="P265" s="15"/>
      <c r="Q265" s="15"/>
      <c r="R265" s="15"/>
      <c r="S265" s="15"/>
      <c r="T265" s="15"/>
      <c r="U265" s="15"/>
      <c r="V265" s="15"/>
      <c r="W265" s="15"/>
      <c r="X265" s="15"/>
      <c r="Y265" s="15"/>
      <c r="Z265" s="15"/>
    </row>
    <row r="266" spans="1:26" ht="15.75" customHeight="1" x14ac:dyDescent="0.25">
      <c r="A266" s="24"/>
      <c r="B266" s="25"/>
      <c r="C266" s="24"/>
      <c r="D266" s="24"/>
      <c r="E266" s="24"/>
      <c r="F266" s="26"/>
      <c r="G266" s="15"/>
      <c r="H266" s="15"/>
      <c r="I266" s="15"/>
      <c r="J266" s="15"/>
      <c r="K266" s="167"/>
      <c r="L266" s="15"/>
      <c r="M266" s="15"/>
      <c r="N266" s="15"/>
      <c r="O266" s="15"/>
      <c r="P266" s="15"/>
      <c r="Q266" s="15"/>
      <c r="R266" s="15"/>
      <c r="S266" s="15"/>
      <c r="T266" s="15"/>
      <c r="U266" s="15"/>
      <c r="V266" s="15"/>
      <c r="W266" s="15"/>
      <c r="X266" s="15"/>
      <c r="Y266" s="15"/>
      <c r="Z266" s="15"/>
    </row>
    <row r="267" spans="1:26" ht="15.75" customHeight="1" x14ac:dyDescent="0.25">
      <c r="A267" s="24"/>
      <c r="B267" s="25"/>
      <c r="C267" s="24"/>
      <c r="D267" s="24"/>
      <c r="E267" s="24"/>
      <c r="F267" s="26"/>
      <c r="G267" s="15"/>
      <c r="H267" s="15"/>
      <c r="I267" s="15"/>
      <c r="J267" s="15"/>
      <c r="K267" s="167"/>
      <c r="L267" s="15"/>
      <c r="M267" s="15"/>
      <c r="N267" s="15"/>
      <c r="O267" s="15"/>
      <c r="P267" s="15"/>
      <c r="Q267" s="15"/>
      <c r="R267" s="15"/>
      <c r="S267" s="15"/>
      <c r="T267" s="15"/>
      <c r="U267" s="15"/>
      <c r="V267" s="15"/>
      <c r="W267" s="15"/>
      <c r="X267" s="15"/>
      <c r="Y267" s="15"/>
      <c r="Z267" s="15"/>
    </row>
    <row r="268" spans="1:26" ht="15.75" customHeight="1" x14ac:dyDescent="0.25">
      <c r="A268" s="24"/>
      <c r="B268" s="25"/>
      <c r="C268" s="24"/>
      <c r="D268" s="24"/>
      <c r="E268" s="24"/>
      <c r="F268" s="26"/>
      <c r="G268" s="15"/>
      <c r="H268" s="15"/>
      <c r="I268" s="15"/>
      <c r="J268" s="15"/>
      <c r="K268" s="167"/>
      <c r="L268" s="15"/>
      <c r="M268" s="15"/>
      <c r="N268" s="15"/>
      <c r="O268" s="15"/>
      <c r="P268" s="15"/>
      <c r="Q268" s="15"/>
      <c r="R268" s="15"/>
      <c r="S268" s="15"/>
      <c r="T268" s="15"/>
      <c r="U268" s="15"/>
      <c r="V268" s="15"/>
      <c r="W268" s="15"/>
      <c r="X268" s="15"/>
      <c r="Y268" s="15"/>
      <c r="Z268" s="15"/>
    </row>
    <row r="269" spans="1:26" ht="15.75" customHeight="1" x14ac:dyDescent="0.25">
      <c r="A269" s="24"/>
      <c r="B269" s="25"/>
      <c r="C269" s="24"/>
      <c r="D269" s="24"/>
      <c r="E269" s="24"/>
      <c r="F269" s="26"/>
      <c r="G269" s="15"/>
      <c r="H269" s="15"/>
      <c r="I269" s="15"/>
      <c r="J269" s="15"/>
      <c r="K269" s="167"/>
      <c r="L269" s="15"/>
      <c r="M269" s="15"/>
      <c r="N269" s="15"/>
      <c r="O269" s="15"/>
      <c r="P269" s="15"/>
      <c r="Q269" s="15"/>
      <c r="R269" s="15"/>
      <c r="S269" s="15"/>
      <c r="T269" s="15"/>
      <c r="U269" s="15"/>
      <c r="V269" s="15"/>
      <c r="W269" s="15"/>
      <c r="X269" s="15"/>
      <c r="Y269" s="15"/>
      <c r="Z269" s="15"/>
    </row>
    <row r="270" spans="1:26" ht="15.75" customHeight="1" x14ac:dyDescent="0.25">
      <c r="A270" s="24"/>
      <c r="B270" s="25"/>
      <c r="C270" s="24"/>
      <c r="D270" s="24"/>
      <c r="E270" s="24"/>
      <c r="F270" s="26"/>
      <c r="G270" s="15"/>
      <c r="H270" s="15"/>
      <c r="I270" s="15"/>
      <c r="J270" s="15"/>
      <c r="K270" s="167"/>
      <c r="L270" s="15"/>
      <c r="M270" s="15"/>
      <c r="N270" s="15"/>
      <c r="O270" s="15"/>
      <c r="P270" s="15"/>
      <c r="Q270" s="15"/>
      <c r="R270" s="15"/>
      <c r="S270" s="15"/>
      <c r="T270" s="15"/>
      <c r="U270" s="15"/>
      <c r="V270" s="15"/>
      <c r="W270" s="15"/>
      <c r="X270" s="15"/>
      <c r="Y270" s="15"/>
      <c r="Z270" s="15"/>
    </row>
    <row r="271" spans="1:26" ht="15.75" customHeight="1" x14ac:dyDescent="0.25">
      <c r="A271" s="24"/>
      <c r="B271" s="25"/>
      <c r="C271" s="24"/>
      <c r="D271" s="24"/>
      <c r="E271" s="24"/>
      <c r="F271" s="26"/>
      <c r="G271" s="15"/>
      <c r="H271" s="15"/>
      <c r="I271" s="15"/>
      <c r="J271" s="15"/>
      <c r="K271" s="167"/>
      <c r="L271" s="15"/>
      <c r="M271" s="15"/>
      <c r="N271" s="15"/>
      <c r="O271" s="15"/>
      <c r="P271" s="15"/>
      <c r="Q271" s="15"/>
      <c r="R271" s="15"/>
      <c r="S271" s="15"/>
      <c r="T271" s="15"/>
      <c r="U271" s="15"/>
      <c r="V271" s="15"/>
      <c r="W271" s="15"/>
      <c r="X271" s="15"/>
      <c r="Y271" s="15"/>
      <c r="Z271" s="15"/>
    </row>
    <row r="272" spans="1:26" ht="15.75" customHeight="1" x14ac:dyDescent="0.25">
      <c r="A272" s="24"/>
      <c r="B272" s="25"/>
      <c r="C272" s="24"/>
      <c r="D272" s="24"/>
      <c r="E272" s="24"/>
      <c r="F272" s="26"/>
      <c r="G272" s="15"/>
      <c r="H272" s="15"/>
      <c r="I272" s="15"/>
      <c r="J272" s="15"/>
      <c r="K272" s="167"/>
      <c r="L272" s="15"/>
      <c r="M272" s="15"/>
      <c r="N272" s="15"/>
      <c r="O272" s="15"/>
      <c r="P272" s="15"/>
      <c r="Q272" s="15"/>
      <c r="R272" s="15"/>
      <c r="S272" s="15"/>
      <c r="T272" s="15"/>
      <c r="U272" s="15"/>
      <c r="V272" s="15"/>
      <c r="W272" s="15"/>
      <c r="X272" s="15"/>
      <c r="Y272" s="15"/>
      <c r="Z272" s="15"/>
    </row>
    <row r="273" spans="1:26" ht="15.75" customHeight="1" x14ac:dyDescent="0.25">
      <c r="A273" s="24"/>
      <c r="B273" s="25"/>
      <c r="C273" s="24"/>
      <c r="D273" s="24"/>
      <c r="E273" s="24"/>
      <c r="F273" s="26"/>
      <c r="G273" s="15"/>
      <c r="H273" s="15"/>
      <c r="I273" s="15"/>
      <c r="J273" s="15"/>
      <c r="K273" s="167"/>
      <c r="L273" s="15"/>
      <c r="M273" s="15"/>
      <c r="N273" s="15"/>
      <c r="O273" s="15"/>
      <c r="P273" s="15"/>
      <c r="Q273" s="15"/>
      <c r="R273" s="15"/>
      <c r="S273" s="15"/>
      <c r="T273" s="15"/>
      <c r="U273" s="15"/>
      <c r="V273" s="15"/>
      <c r="W273" s="15"/>
      <c r="X273" s="15"/>
      <c r="Y273" s="15"/>
      <c r="Z273" s="15"/>
    </row>
    <row r="274" spans="1:26" ht="15.75" customHeight="1" x14ac:dyDescent="0.25">
      <c r="A274" s="24"/>
      <c r="B274" s="25"/>
      <c r="C274" s="24"/>
      <c r="D274" s="24"/>
      <c r="E274" s="24"/>
      <c r="F274" s="26"/>
      <c r="G274" s="15"/>
      <c r="H274" s="15"/>
      <c r="I274" s="15"/>
      <c r="J274" s="15"/>
      <c r="K274" s="167"/>
      <c r="L274" s="15"/>
      <c r="M274" s="15"/>
      <c r="N274" s="15"/>
      <c r="O274" s="15"/>
      <c r="P274" s="15"/>
      <c r="Q274" s="15"/>
      <c r="R274" s="15"/>
      <c r="S274" s="15"/>
      <c r="T274" s="15"/>
      <c r="U274" s="15"/>
      <c r="V274" s="15"/>
      <c r="W274" s="15"/>
      <c r="X274" s="15"/>
      <c r="Y274" s="15"/>
      <c r="Z274" s="15"/>
    </row>
    <row r="275" spans="1:26" ht="15.75" customHeight="1" x14ac:dyDescent="0.25">
      <c r="A275" s="24"/>
      <c r="B275" s="25"/>
      <c r="C275" s="24"/>
      <c r="D275" s="24"/>
      <c r="E275" s="24"/>
      <c r="F275" s="26"/>
      <c r="G275" s="15"/>
      <c r="H275" s="15"/>
      <c r="I275" s="15"/>
      <c r="J275" s="15"/>
      <c r="K275" s="167"/>
      <c r="L275" s="15"/>
      <c r="M275" s="15"/>
      <c r="N275" s="15"/>
      <c r="O275" s="15"/>
      <c r="P275" s="15"/>
      <c r="Q275" s="15"/>
      <c r="R275" s="15"/>
      <c r="S275" s="15"/>
      <c r="T275" s="15"/>
      <c r="U275" s="15"/>
      <c r="V275" s="15"/>
      <c r="W275" s="15"/>
      <c r="X275" s="15"/>
      <c r="Y275" s="15"/>
      <c r="Z275" s="15"/>
    </row>
    <row r="276" spans="1:26" ht="15.75" customHeight="1" x14ac:dyDescent="0.25">
      <c r="A276" s="24"/>
      <c r="B276" s="25"/>
      <c r="C276" s="24"/>
      <c r="D276" s="24"/>
      <c r="E276" s="24"/>
      <c r="F276" s="26"/>
      <c r="G276" s="15"/>
      <c r="H276" s="15"/>
      <c r="I276" s="15"/>
      <c r="J276" s="15"/>
      <c r="K276" s="167"/>
      <c r="L276" s="15"/>
      <c r="M276" s="15"/>
      <c r="N276" s="15"/>
      <c r="O276" s="15"/>
      <c r="P276" s="15"/>
      <c r="Q276" s="15"/>
      <c r="R276" s="15"/>
      <c r="S276" s="15"/>
      <c r="T276" s="15"/>
      <c r="U276" s="15"/>
      <c r="V276" s="15"/>
      <c r="W276" s="15"/>
      <c r="X276" s="15"/>
      <c r="Y276" s="15"/>
      <c r="Z276" s="15"/>
    </row>
    <row r="277" spans="1:26" ht="15.75" customHeight="1" x14ac:dyDescent="0.25">
      <c r="A277" s="24"/>
      <c r="B277" s="25"/>
      <c r="C277" s="24"/>
      <c r="D277" s="24"/>
      <c r="E277" s="24"/>
      <c r="F277" s="26"/>
      <c r="G277" s="15"/>
      <c r="H277" s="15"/>
      <c r="I277" s="15"/>
      <c r="J277" s="15"/>
      <c r="K277" s="167"/>
      <c r="L277" s="15"/>
      <c r="M277" s="15"/>
      <c r="N277" s="15"/>
      <c r="O277" s="15"/>
      <c r="P277" s="15"/>
      <c r="Q277" s="15"/>
      <c r="R277" s="15"/>
      <c r="S277" s="15"/>
      <c r="T277" s="15"/>
      <c r="U277" s="15"/>
      <c r="V277" s="15"/>
      <c r="W277" s="15"/>
      <c r="X277" s="15"/>
      <c r="Y277" s="15"/>
      <c r="Z277" s="15"/>
    </row>
    <row r="278" spans="1:26" ht="15.75" customHeight="1" x14ac:dyDescent="0.25">
      <c r="A278" s="24"/>
      <c r="B278" s="25"/>
      <c r="C278" s="24"/>
      <c r="D278" s="24"/>
      <c r="E278" s="24"/>
      <c r="F278" s="26"/>
      <c r="G278" s="15"/>
      <c r="H278" s="15"/>
      <c r="I278" s="15"/>
      <c r="J278" s="15"/>
      <c r="K278" s="167"/>
      <c r="L278" s="15"/>
      <c r="M278" s="15"/>
      <c r="N278" s="15"/>
      <c r="O278" s="15"/>
      <c r="P278" s="15"/>
      <c r="Q278" s="15"/>
      <c r="R278" s="15"/>
      <c r="S278" s="15"/>
      <c r="T278" s="15"/>
      <c r="U278" s="15"/>
      <c r="V278" s="15"/>
      <c r="W278" s="15"/>
      <c r="X278" s="15"/>
      <c r="Y278" s="15"/>
      <c r="Z278" s="15"/>
    </row>
    <row r="279" spans="1:26" ht="15.75" customHeight="1" x14ac:dyDescent="0.25">
      <c r="A279" s="24"/>
      <c r="B279" s="25"/>
      <c r="C279" s="24"/>
      <c r="D279" s="24"/>
      <c r="E279" s="24"/>
      <c r="F279" s="26"/>
      <c r="G279" s="15"/>
      <c r="H279" s="15"/>
      <c r="I279" s="15"/>
      <c r="J279" s="15"/>
      <c r="K279" s="167"/>
      <c r="L279" s="15"/>
      <c r="M279" s="15"/>
      <c r="N279" s="15"/>
      <c r="O279" s="15"/>
      <c r="P279" s="15"/>
      <c r="Q279" s="15"/>
      <c r="R279" s="15"/>
      <c r="S279" s="15"/>
      <c r="T279" s="15"/>
      <c r="U279" s="15"/>
      <c r="V279" s="15"/>
      <c r="W279" s="15"/>
      <c r="X279" s="15"/>
      <c r="Y279" s="15"/>
      <c r="Z279" s="15"/>
    </row>
    <row r="280" spans="1:26" ht="15.75" customHeight="1" x14ac:dyDescent="0.25">
      <c r="A280" s="24"/>
      <c r="B280" s="25"/>
      <c r="C280" s="24"/>
      <c r="D280" s="24"/>
      <c r="E280" s="24"/>
      <c r="F280" s="26"/>
      <c r="G280" s="15"/>
      <c r="H280" s="15"/>
      <c r="I280" s="15"/>
      <c r="J280" s="15"/>
      <c r="K280" s="167"/>
      <c r="L280" s="15"/>
      <c r="M280" s="15"/>
      <c r="N280" s="15"/>
      <c r="O280" s="15"/>
      <c r="P280" s="15"/>
      <c r="Q280" s="15"/>
      <c r="R280" s="15"/>
      <c r="S280" s="15"/>
      <c r="T280" s="15"/>
      <c r="U280" s="15"/>
      <c r="V280" s="15"/>
      <c r="W280" s="15"/>
      <c r="X280" s="15"/>
      <c r="Y280" s="15"/>
      <c r="Z280" s="15"/>
    </row>
    <row r="281" spans="1:26" ht="15.75" customHeight="1" x14ac:dyDescent="0.25">
      <c r="A281" s="24"/>
      <c r="B281" s="25"/>
      <c r="C281" s="24"/>
      <c r="D281" s="24"/>
      <c r="E281" s="24"/>
      <c r="F281" s="26"/>
      <c r="G281" s="15"/>
      <c r="H281" s="15"/>
      <c r="I281" s="15"/>
      <c r="J281" s="15"/>
      <c r="K281" s="167"/>
      <c r="L281" s="15"/>
      <c r="M281" s="15"/>
      <c r="N281" s="15"/>
      <c r="O281" s="15"/>
      <c r="P281" s="15"/>
      <c r="Q281" s="15"/>
      <c r="R281" s="15"/>
      <c r="S281" s="15"/>
      <c r="T281" s="15"/>
      <c r="U281" s="15"/>
      <c r="V281" s="15"/>
      <c r="W281" s="15"/>
      <c r="X281" s="15"/>
      <c r="Y281" s="15"/>
      <c r="Z281" s="15"/>
    </row>
    <row r="282" spans="1:26" ht="15.75" customHeight="1" x14ac:dyDescent="0.25">
      <c r="A282" s="24"/>
      <c r="B282" s="25"/>
      <c r="C282" s="24"/>
      <c r="D282" s="24"/>
      <c r="E282" s="24"/>
      <c r="F282" s="26"/>
      <c r="G282" s="15"/>
      <c r="H282" s="15"/>
      <c r="I282" s="15"/>
      <c r="J282" s="15"/>
      <c r="K282" s="167"/>
      <c r="L282" s="15"/>
      <c r="M282" s="15"/>
      <c r="N282" s="15"/>
      <c r="O282" s="15"/>
      <c r="P282" s="15"/>
      <c r="Q282" s="15"/>
      <c r="R282" s="15"/>
      <c r="S282" s="15"/>
      <c r="T282" s="15"/>
      <c r="U282" s="15"/>
      <c r="V282" s="15"/>
      <c r="W282" s="15"/>
      <c r="X282" s="15"/>
      <c r="Y282" s="15"/>
      <c r="Z282" s="15"/>
    </row>
    <row r="283" spans="1:26" ht="15.75" customHeight="1" x14ac:dyDescent="0.25">
      <c r="A283" s="24"/>
      <c r="B283" s="25"/>
      <c r="C283" s="24"/>
      <c r="D283" s="24"/>
      <c r="E283" s="24"/>
      <c r="F283" s="26"/>
      <c r="G283" s="15"/>
      <c r="H283" s="15"/>
      <c r="I283" s="15"/>
      <c r="J283" s="15"/>
      <c r="K283" s="167"/>
      <c r="L283" s="15"/>
      <c r="M283" s="15"/>
      <c r="N283" s="15"/>
      <c r="O283" s="15"/>
      <c r="P283" s="15"/>
      <c r="Q283" s="15"/>
      <c r="R283" s="15"/>
      <c r="S283" s="15"/>
      <c r="T283" s="15"/>
      <c r="U283" s="15"/>
      <c r="V283" s="15"/>
      <c r="W283" s="15"/>
      <c r="X283" s="15"/>
      <c r="Y283" s="15"/>
      <c r="Z283" s="15"/>
    </row>
    <row r="284" spans="1:26" ht="15.75" customHeight="1" x14ac:dyDescent="0.25">
      <c r="A284" s="24"/>
      <c r="B284" s="25"/>
      <c r="C284" s="24"/>
      <c r="D284" s="24"/>
      <c r="E284" s="24"/>
      <c r="F284" s="26"/>
      <c r="G284" s="15"/>
      <c r="H284" s="15"/>
      <c r="I284" s="15"/>
      <c r="J284" s="15"/>
      <c r="K284" s="167"/>
      <c r="L284" s="15"/>
      <c r="M284" s="15"/>
      <c r="N284" s="15"/>
      <c r="O284" s="15"/>
      <c r="P284" s="15"/>
      <c r="Q284" s="15"/>
      <c r="R284" s="15"/>
      <c r="S284" s="15"/>
      <c r="T284" s="15"/>
      <c r="U284" s="15"/>
      <c r="V284" s="15"/>
      <c r="W284" s="15"/>
      <c r="X284" s="15"/>
      <c r="Y284" s="15"/>
      <c r="Z284" s="15"/>
    </row>
    <row r="285" spans="1:26" ht="15.75" customHeight="1" x14ac:dyDescent="0.25">
      <c r="A285" s="24"/>
      <c r="B285" s="25"/>
      <c r="C285" s="24"/>
      <c r="D285" s="24"/>
      <c r="E285" s="24"/>
      <c r="F285" s="26"/>
      <c r="G285" s="15"/>
      <c r="H285" s="15"/>
      <c r="I285" s="15"/>
      <c r="J285" s="15"/>
      <c r="K285" s="167"/>
      <c r="L285" s="15"/>
      <c r="M285" s="15"/>
      <c r="N285" s="15"/>
      <c r="O285" s="15"/>
      <c r="P285" s="15"/>
      <c r="Q285" s="15"/>
      <c r="R285" s="15"/>
      <c r="S285" s="15"/>
      <c r="T285" s="15"/>
      <c r="U285" s="15"/>
      <c r="V285" s="15"/>
      <c r="W285" s="15"/>
      <c r="X285" s="15"/>
      <c r="Y285" s="15"/>
      <c r="Z285" s="15"/>
    </row>
    <row r="286" spans="1:26" ht="15.75" customHeight="1" x14ac:dyDescent="0.25">
      <c r="A286" s="24"/>
      <c r="B286" s="25"/>
      <c r="C286" s="24"/>
      <c r="D286" s="24"/>
      <c r="E286" s="24"/>
      <c r="F286" s="26"/>
      <c r="G286" s="15"/>
      <c r="H286" s="15"/>
      <c r="I286" s="15"/>
      <c r="J286" s="15"/>
      <c r="K286" s="167"/>
      <c r="L286" s="15"/>
      <c r="M286" s="15"/>
      <c r="N286" s="15"/>
      <c r="O286" s="15"/>
      <c r="P286" s="15"/>
      <c r="Q286" s="15"/>
      <c r="R286" s="15"/>
      <c r="S286" s="15"/>
      <c r="T286" s="15"/>
      <c r="U286" s="15"/>
      <c r="V286" s="15"/>
      <c r="W286" s="15"/>
      <c r="X286" s="15"/>
      <c r="Y286" s="15"/>
      <c r="Z286" s="15"/>
    </row>
    <row r="287" spans="1:26" ht="15.75" customHeight="1" x14ac:dyDescent="0.25">
      <c r="A287" s="24"/>
      <c r="B287" s="25"/>
      <c r="C287" s="24"/>
      <c r="D287" s="24"/>
      <c r="E287" s="24"/>
      <c r="F287" s="26"/>
      <c r="G287" s="15"/>
      <c r="H287" s="15"/>
      <c r="I287" s="15"/>
      <c r="J287" s="15"/>
      <c r="K287" s="167"/>
      <c r="L287" s="15"/>
      <c r="M287" s="15"/>
      <c r="N287" s="15"/>
      <c r="O287" s="15"/>
      <c r="P287" s="15"/>
      <c r="Q287" s="15"/>
      <c r="R287" s="15"/>
      <c r="S287" s="15"/>
      <c r="T287" s="15"/>
      <c r="U287" s="15"/>
      <c r="V287" s="15"/>
      <c r="W287" s="15"/>
      <c r="X287" s="15"/>
      <c r="Y287" s="15"/>
      <c r="Z287" s="15"/>
    </row>
    <row r="288" spans="1:26" ht="15.75" customHeight="1" x14ac:dyDescent="0.25">
      <c r="A288" s="24"/>
      <c r="B288" s="25"/>
      <c r="C288" s="24"/>
      <c r="D288" s="24"/>
      <c r="E288" s="24"/>
      <c r="F288" s="26"/>
      <c r="G288" s="15"/>
      <c r="H288" s="15"/>
      <c r="I288" s="15"/>
      <c r="J288" s="15"/>
      <c r="K288" s="167"/>
      <c r="L288" s="15"/>
      <c r="M288" s="15"/>
      <c r="N288" s="15"/>
      <c r="O288" s="15"/>
      <c r="P288" s="15"/>
      <c r="Q288" s="15"/>
      <c r="R288" s="15"/>
      <c r="S288" s="15"/>
      <c r="T288" s="15"/>
      <c r="U288" s="15"/>
      <c r="V288" s="15"/>
      <c r="W288" s="15"/>
      <c r="X288" s="15"/>
      <c r="Y288" s="15"/>
      <c r="Z288" s="15"/>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sheetData>
  <mergeCells count="21">
    <mergeCell ref="A51:G51"/>
    <mergeCell ref="A52:A55"/>
    <mergeCell ref="B52:B55"/>
    <mergeCell ref="C52:C53"/>
    <mergeCell ref="D52:F52"/>
    <mergeCell ref="G52:G53"/>
    <mergeCell ref="F53:F54"/>
    <mergeCell ref="A82:G82"/>
    <mergeCell ref="A83:A86"/>
    <mergeCell ref="B83:B86"/>
    <mergeCell ref="C83:C84"/>
    <mergeCell ref="D83:F83"/>
    <mergeCell ref="G83:G84"/>
    <mergeCell ref="F84:F85"/>
    <mergeCell ref="A4:G4"/>
    <mergeCell ref="A5:A8"/>
    <mergeCell ref="B5:B8"/>
    <mergeCell ref="C5:C6"/>
    <mergeCell ref="D5:F5"/>
    <mergeCell ref="G5:G6"/>
    <mergeCell ref="F6:F7"/>
  </mergeCells>
  <pageMargins left="0.39370078740157483" right="0.39370078740157483" top="0.39370078740157483" bottom="0.39370078740157483" header="0" footer="0"/>
  <pageSetup paperSize="9" scale="83" orientation="portrait" r:id="rId1"/>
  <rowBreaks count="1" manualBreakCount="1">
    <brk id="46"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8"/>
  <sheetViews>
    <sheetView view="pageBreakPreview" topLeftCell="A44" zoomScale="130" zoomScaleNormal="100" zoomScaleSheetLayoutView="130" workbookViewId="0">
      <selection activeCell="A53" sqref="A53"/>
    </sheetView>
  </sheetViews>
  <sheetFormatPr defaultColWidth="14.42578125" defaultRowHeight="15" customHeight="1" x14ac:dyDescent="0.25"/>
  <cols>
    <col min="1" max="1" width="70.28515625" customWidth="1"/>
    <col min="2" max="2" width="15.42578125" customWidth="1"/>
    <col min="3" max="3" width="17.85546875" hidden="1" customWidth="1"/>
    <col min="4" max="4" width="17.5703125" hidden="1" customWidth="1"/>
    <col min="5" max="5" width="17.7109375" hidden="1" customWidth="1"/>
    <col min="6" max="6" width="17.5703125" hidden="1" customWidth="1"/>
    <col min="7" max="7" width="17.85546875" customWidth="1"/>
    <col min="8" max="8" width="15.7109375" customWidth="1"/>
    <col min="9" max="10" width="10.28515625" customWidth="1"/>
    <col min="11" max="11" width="13.28515625" customWidth="1"/>
    <col min="12" max="26" width="10.28515625" customWidth="1"/>
  </cols>
  <sheetData>
    <row r="1" spans="1:26" ht="15.75" customHeight="1" x14ac:dyDescent="0.25">
      <c r="A1" s="9"/>
      <c r="B1" s="104"/>
      <c r="C1" s="105"/>
      <c r="D1" s="105"/>
      <c r="E1" s="105"/>
      <c r="F1" s="10"/>
      <c r="G1" s="180"/>
      <c r="H1" s="15"/>
      <c r="I1" s="15"/>
      <c r="J1" s="15"/>
      <c r="K1" s="167"/>
      <c r="L1" s="15"/>
      <c r="M1" s="15"/>
      <c r="N1" s="15"/>
      <c r="O1" s="15"/>
      <c r="P1" s="15"/>
      <c r="Q1" s="15"/>
      <c r="R1" s="15"/>
      <c r="S1" s="15"/>
      <c r="T1" s="15"/>
      <c r="U1" s="15"/>
      <c r="V1" s="15"/>
      <c r="W1" s="15"/>
      <c r="X1" s="15"/>
      <c r="Y1" s="15"/>
      <c r="Z1" s="15"/>
    </row>
    <row r="2" spans="1:26" ht="15.75" customHeight="1" x14ac:dyDescent="0.25">
      <c r="A2" s="108" t="s">
        <v>1995</v>
      </c>
      <c r="B2" s="25"/>
      <c r="C2" s="26"/>
      <c r="D2" s="26"/>
      <c r="E2" s="26"/>
      <c r="F2" s="14"/>
      <c r="G2" s="181"/>
      <c r="H2" s="15"/>
      <c r="I2" s="15"/>
      <c r="J2" s="15"/>
      <c r="K2" s="167"/>
      <c r="L2" s="15"/>
      <c r="M2" s="15"/>
      <c r="N2" s="15"/>
      <c r="O2" s="15"/>
      <c r="P2" s="15"/>
      <c r="Q2" s="15"/>
      <c r="R2" s="15"/>
      <c r="S2" s="15"/>
      <c r="T2" s="15"/>
      <c r="U2" s="15"/>
      <c r="V2" s="15"/>
      <c r="W2" s="15"/>
      <c r="X2" s="15"/>
      <c r="Y2" s="15"/>
      <c r="Z2" s="15"/>
    </row>
    <row r="3" spans="1:26" ht="15.75" customHeight="1" x14ac:dyDescent="0.25">
      <c r="A3" s="108"/>
      <c r="B3" s="25"/>
      <c r="C3" s="26"/>
      <c r="D3" s="26"/>
      <c r="E3" s="26"/>
      <c r="F3" s="14"/>
      <c r="G3" s="181"/>
      <c r="H3" s="15"/>
      <c r="I3" s="15"/>
      <c r="J3" s="15"/>
      <c r="K3" s="167"/>
      <c r="L3" s="15"/>
      <c r="M3" s="15"/>
      <c r="N3" s="15"/>
      <c r="O3" s="15"/>
      <c r="P3" s="15"/>
      <c r="Q3" s="15"/>
      <c r="R3" s="15"/>
      <c r="S3" s="15"/>
      <c r="T3" s="15"/>
      <c r="U3" s="15"/>
      <c r="V3" s="15"/>
      <c r="W3" s="15"/>
      <c r="X3" s="15"/>
      <c r="Y3" s="15"/>
      <c r="Z3" s="15"/>
    </row>
    <row r="4" spans="1:26" ht="15.75" customHeight="1" x14ac:dyDescent="0.25">
      <c r="A4" s="865" t="s">
        <v>352</v>
      </c>
      <c r="B4" s="866"/>
      <c r="C4" s="866"/>
      <c r="D4" s="866"/>
      <c r="E4" s="866"/>
      <c r="F4" s="866"/>
      <c r="G4" s="867"/>
      <c r="H4" s="15"/>
      <c r="I4" s="15"/>
      <c r="J4" s="15"/>
      <c r="K4" s="167"/>
      <c r="L4" s="15"/>
      <c r="M4" s="15"/>
      <c r="N4" s="15"/>
      <c r="O4" s="15"/>
      <c r="P4" s="15"/>
      <c r="Q4" s="15"/>
      <c r="R4" s="15"/>
      <c r="S4" s="15"/>
      <c r="T4" s="15"/>
      <c r="U4" s="15"/>
      <c r="V4" s="15"/>
      <c r="W4" s="15"/>
      <c r="X4" s="15"/>
      <c r="Y4" s="15"/>
      <c r="Z4" s="15"/>
    </row>
    <row r="5" spans="1:26" ht="15.75" customHeight="1" x14ac:dyDescent="0.25">
      <c r="A5" s="868" t="s">
        <v>1194</v>
      </c>
      <c r="B5" s="857" t="s">
        <v>354</v>
      </c>
      <c r="C5" s="857" t="s">
        <v>355</v>
      </c>
      <c r="D5" s="884" t="s">
        <v>356</v>
      </c>
      <c r="E5" s="885"/>
      <c r="F5" s="886"/>
      <c r="G5" s="857" t="s">
        <v>357</v>
      </c>
      <c r="H5" s="15"/>
      <c r="I5" s="15"/>
      <c r="J5" s="15"/>
      <c r="K5" s="167"/>
      <c r="L5" s="15"/>
      <c r="M5" s="15"/>
      <c r="N5" s="15"/>
      <c r="O5" s="15"/>
      <c r="P5" s="15"/>
      <c r="Q5" s="15"/>
      <c r="R5" s="15"/>
      <c r="S5" s="15"/>
      <c r="T5" s="15"/>
      <c r="U5" s="15"/>
      <c r="V5" s="15"/>
      <c r="W5" s="15"/>
      <c r="X5" s="15"/>
      <c r="Y5" s="15"/>
      <c r="Z5" s="15"/>
    </row>
    <row r="6" spans="1:26" ht="15.75" customHeight="1" x14ac:dyDescent="0.25">
      <c r="A6" s="858"/>
      <c r="B6" s="858"/>
      <c r="C6" s="858"/>
      <c r="D6" s="28" t="s">
        <v>358</v>
      </c>
      <c r="E6" s="29" t="s">
        <v>359</v>
      </c>
      <c r="F6" s="857" t="s">
        <v>360</v>
      </c>
      <c r="G6" s="858"/>
      <c r="H6" s="15"/>
      <c r="I6" s="15"/>
      <c r="J6" s="15"/>
      <c r="K6" s="167"/>
      <c r="L6" s="15"/>
      <c r="M6" s="15"/>
      <c r="N6" s="15"/>
      <c r="O6" s="15"/>
      <c r="P6" s="15"/>
      <c r="Q6" s="15"/>
      <c r="R6" s="15"/>
      <c r="S6" s="15"/>
      <c r="T6" s="15"/>
      <c r="U6" s="15"/>
      <c r="V6" s="15"/>
      <c r="W6" s="15"/>
      <c r="X6" s="15"/>
      <c r="Y6" s="15"/>
      <c r="Z6" s="15"/>
    </row>
    <row r="7" spans="1:26" ht="15.75" customHeight="1" x14ac:dyDescent="0.25">
      <c r="A7" s="858"/>
      <c r="B7" s="858"/>
      <c r="C7" s="30" t="s">
        <v>361</v>
      </c>
      <c r="D7" s="31" t="s">
        <v>361</v>
      </c>
      <c r="E7" s="32" t="s">
        <v>362</v>
      </c>
      <c r="F7" s="858"/>
      <c r="G7" s="442" t="s">
        <v>2669</v>
      </c>
      <c r="H7" s="15"/>
      <c r="I7" s="15"/>
      <c r="J7" s="15"/>
      <c r="K7" s="167"/>
      <c r="L7" s="15"/>
      <c r="M7" s="15"/>
      <c r="N7" s="15"/>
      <c r="O7" s="15"/>
      <c r="P7" s="15"/>
      <c r="Q7" s="15"/>
      <c r="R7" s="15"/>
      <c r="S7" s="15"/>
      <c r="T7" s="15"/>
      <c r="U7" s="15"/>
      <c r="V7" s="15"/>
      <c r="W7" s="15"/>
      <c r="X7" s="15"/>
      <c r="Y7" s="15"/>
      <c r="Z7" s="15"/>
    </row>
    <row r="8" spans="1:26" ht="15.75" customHeight="1" x14ac:dyDescent="0.25">
      <c r="A8" s="869"/>
      <c r="B8" s="869"/>
      <c r="C8" s="33">
        <v>2024</v>
      </c>
      <c r="D8" s="34">
        <v>2025</v>
      </c>
      <c r="E8" s="35">
        <v>2025</v>
      </c>
      <c r="F8" s="34">
        <v>2025</v>
      </c>
      <c r="G8" s="36" t="s">
        <v>2668</v>
      </c>
      <c r="H8" s="15"/>
      <c r="I8" s="15"/>
      <c r="J8" s="15"/>
      <c r="K8" s="167"/>
      <c r="L8" s="15"/>
      <c r="M8" s="15"/>
      <c r="N8" s="15"/>
      <c r="O8" s="15"/>
      <c r="P8" s="15"/>
      <c r="Q8" s="15"/>
      <c r="R8" s="15"/>
      <c r="S8" s="15"/>
      <c r="T8" s="15"/>
      <c r="U8" s="15"/>
      <c r="V8" s="15"/>
      <c r="W8" s="15"/>
      <c r="X8" s="15"/>
      <c r="Y8" s="15"/>
      <c r="Z8" s="15"/>
    </row>
    <row r="9" spans="1:26" ht="15.75" customHeight="1" x14ac:dyDescent="0.25">
      <c r="A9" s="17" t="s">
        <v>364</v>
      </c>
      <c r="B9" s="41"/>
      <c r="C9" s="42"/>
      <c r="D9" s="42"/>
      <c r="E9" s="42"/>
      <c r="F9" s="42"/>
      <c r="G9" s="93"/>
      <c r="H9" s="15"/>
      <c r="I9" s="15"/>
      <c r="J9" s="15"/>
      <c r="K9" s="167"/>
      <c r="L9" s="15"/>
      <c r="M9" s="15"/>
      <c r="N9" s="15"/>
      <c r="O9" s="15"/>
      <c r="P9" s="15"/>
      <c r="Q9" s="15"/>
      <c r="R9" s="15"/>
      <c r="S9" s="15"/>
      <c r="T9" s="15"/>
      <c r="U9" s="15"/>
      <c r="V9" s="15"/>
      <c r="W9" s="15"/>
      <c r="X9" s="15"/>
      <c r="Y9" s="15"/>
      <c r="Z9" s="15"/>
    </row>
    <row r="10" spans="1:26" ht="15.75" customHeight="1" x14ac:dyDescent="0.25">
      <c r="A10" s="42" t="s">
        <v>1463</v>
      </c>
      <c r="B10" s="49"/>
      <c r="C10" s="42"/>
      <c r="D10" s="42"/>
      <c r="E10" s="42"/>
      <c r="F10" s="43"/>
      <c r="G10" s="93"/>
      <c r="H10" s="15"/>
      <c r="I10" s="15"/>
      <c r="J10" s="15"/>
      <c r="K10" s="167"/>
      <c r="L10" s="15"/>
      <c r="M10" s="15"/>
      <c r="N10" s="15"/>
      <c r="O10" s="15"/>
      <c r="P10" s="15"/>
      <c r="Q10" s="15"/>
      <c r="R10" s="15"/>
      <c r="S10" s="15"/>
      <c r="T10" s="15"/>
      <c r="U10" s="15"/>
      <c r="V10" s="15"/>
      <c r="W10" s="15"/>
      <c r="X10" s="15"/>
      <c r="Y10" s="15"/>
      <c r="Z10" s="15"/>
    </row>
    <row r="11" spans="1:26" ht="15.75" customHeight="1" x14ac:dyDescent="0.25">
      <c r="A11" s="146" t="s">
        <v>642</v>
      </c>
      <c r="B11" s="49"/>
      <c r="C11" s="42"/>
      <c r="D11" s="42"/>
      <c r="E11" s="42"/>
      <c r="F11" s="43"/>
      <c r="G11" s="440"/>
      <c r="H11" s="15"/>
      <c r="I11" s="15"/>
      <c r="J11" s="15"/>
      <c r="K11" s="167"/>
      <c r="L11" s="15"/>
      <c r="M11" s="15"/>
      <c r="N11" s="15"/>
      <c r="O11" s="15"/>
      <c r="P11" s="15"/>
      <c r="Q11" s="15"/>
      <c r="R11" s="15"/>
      <c r="S11" s="15"/>
      <c r="T11" s="15"/>
      <c r="U11" s="15"/>
      <c r="V11" s="15"/>
      <c r="W11" s="15"/>
      <c r="X11" s="15"/>
      <c r="Y11" s="15"/>
      <c r="Z11" s="15"/>
    </row>
    <row r="12" spans="1:26" ht="15.75" customHeight="1" x14ac:dyDescent="0.25">
      <c r="A12" s="74" t="s">
        <v>870</v>
      </c>
      <c r="B12" s="49" t="s">
        <v>187</v>
      </c>
      <c r="C12" s="43">
        <v>0</v>
      </c>
      <c r="D12" s="43">
        <v>5000</v>
      </c>
      <c r="E12" s="43">
        <f>F12-D12</f>
        <v>45000</v>
      </c>
      <c r="F12" s="43">
        <v>50000</v>
      </c>
      <c r="G12" s="440">
        <v>50000</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493</v>
      </c>
      <c r="B13" s="41"/>
      <c r="C13" s="42"/>
      <c r="D13" s="42"/>
      <c r="E13" s="42"/>
      <c r="F13" s="43"/>
      <c r="G13" s="440"/>
      <c r="H13" s="15"/>
      <c r="I13" s="15"/>
      <c r="J13" s="15"/>
      <c r="K13" s="167"/>
      <c r="L13" s="15"/>
      <c r="M13" s="15"/>
      <c r="N13" s="15"/>
      <c r="O13" s="15"/>
      <c r="P13" s="15"/>
      <c r="Q13" s="15"/>
      <c r="R13" s="15"/>
      <c r="S13" s="15"/>
      <c r="T13" s="15"/>
      <c r="U13" s="15"/>
      <c r="V13" s="15"/>
      <c r="W13" s="15"/>
      <c r="X13" s="15"/>
      <c r="Y13" s="15"/>
      <c r="Z13" s="15"/>
    </row>
    <row r="14" spans="1:26" ht="15.75" customHeight="1" x14ac:dyDescent="0.25">
      <c r="A14" s="48" t="s">
        <v>396</v>
      </c>
      <c r="B14" s="41" t="s">
        <v>191</v>
      </c>
      <c r="C14" s="43">
        <v>99318.6</v>
      </c>
      <c r="D14" s="43">
        <v>0</v>
      </c>
      <c r="E14" s="43">
        <f>F14-D14</f>
        <v>99360</v>
      </c>
      <c r="F14" s="43">
        <v>99360</v>
      </c>
      <c r="G14" s="440">
        <v>99360</v>
      </c>
      <c r="H14" s="15"/>
      <c r="I14" s="15"/>
      <c r="J14" s="15"/>
      <c r="K14" s="167"/>
      <c r="L14" s="15"/>
      <c r="M14" s="15"/>
      <c r="N14" s="15"/>
      <c r="O14" s="15"/>
      <c r="P14" s="15"/>
      <c r="Q14" s="15"/>
      <c r="R14" s="15"/>
      <c r="S14" s="15"/>
      <c r="T14" s="15"/>
      <c r="U14" s="15"/>
      <c r="V14" s="15"/>
      <c r="W14" s="15"/>
      <c r="X14" s="15"/>
      <c r="Y14" s="15"/>
      <c r="Z14" s="15"/>
    </row>
    <row r="15" spans="1:26" ht="15.75" customHeight="1" x14ac:dyDescent="0.25">
      <c r="A15" s="44" t="s">
        <v>1996</v>
      </c>
      <c r="B15" s="41"/>
      <c r="C15" s="43"/>
      <c r="D15" s="43"/>
      <c r="E15" s="43"/>
      <c r="F15" s="43"/>
      <c r="G15" s="440"/>
      <c r="H15" s="15"/>
      <c r="I15" s="15"/>
      <c r="J15" s="15"/>
      <c r="K15" s="167"/>
      <c r="L15" s="15"/>
      <c r="M15" s="15"/>
      <c r="N15" s="15"/>
      <c r="O15" s="15"/>
      <c r="P15" s="15"/>
      <c r="Q15" s="15"/>
      <c r="R15" s="15"/>
      <c r="S15" s="15"/>
      <c r="T15" s="15"/>
      <c r="U15" s="15"/>
      <c r="V15" s="15"/>
      <c r="W15" s="15"/>
      <c r="X15" s="15"/>
      <c r="Y15" s="15"/>
      <c r="Z15" s="15"/>
    </row>
    <row r="16" spans="1:26" ht="15.75" customHeight="1" x14ac:dyDescent="0.25">
      <c r="A16" s="44" t="s">
        <v>1997</v>
      </c>
      <c r="B16" s="41"/>
      <c r="C16" s="43"/>
      <c r="D16" s="43"/>
      <c r="E16" s="43"/>
      <c r="F16" s="43"/>
      <c r="G16" s="440"/>
      <c r="H16" s="15"/>
      <c r="I16" s="15"/>
      <c r="J16" s="15"/>
      <c r="K16" s="167"/>
      <c r="L16" s="15"/>
      <c r="M16" s="15"/>
      <c r="N16" s="15"/>
      <c r="O16" s="15"/>
      <c r="P16" s="15"/>
      <c r="Q16" s="15"/>
      <c r="R16" s="15"/>
      <c r="S16" s="15"/>
      <c r="T16" s="15"/>
      <c r="U16" s="15"/>
      <c r="V16" s="15"/>
      <c r="W16" s="15"/>
      <c r="X16" s="15"/>
      <c r="Y16" s="15"/>
      <c r="Z16" s="15"/>
    </row>
    <row r="17" spans="1:26" ht="15.75" customHeight="1" x14ac:dyDescent="0.25">
      <c r="A17" s="188" t="s">
        <v>1998</v>
      </c>
      <c r="B17" s="41"/>
      <c r="C17" s="43"/>
      <c r="D17" s="43"/>
      <c r="E17" s="43"/>
      <c r="F17" s="43"/>
      <c r="G17" s="440"/>
      <c r="H17" s="15"/>
      <c r="I17" s="15"/>
      <c r="J17" s="15"/>
      <c r="K17" s="167"/>
      <c r="L17" s="15"/>
      <c r="M17" s="15"/>
      <c r="N17" s="15"/>
      <c r="O17" s="15"/>
      <c r="P17" s="15"/>
      <c r="Q17" s="15"/>
      <c r="R17" s="15"/>
      <c r="S17" s="15"/>
      <c r="T17" s="15"/>
      <c r="U17" s="15"/>
      <c r="V17" s="15"/>
      <c r="W17" s="15"/>
      <c r="X17" s="15"/>
      <c r="Y17" s="15"/>
      <c r="Z17" s="15"/>
    </row>
    <row r="18" spans="1:26" ht="15.75" customHeight="1" x14ac:dyDescent="0.25">
      <c r="A18" s="17" t="s">
        <v>499</v>
      </c>
      <c r="B18" s="41"/>
      <c r="C18" s="43"/>
      <c r="D18" s="43"/>
      <c r="E18" s="43"/>
      <c r="F18" s="43"/>
      <c r="G18" s="440"/>
      <c r="H18" s="15"/>
      <c r="I18" s="15"/>
      <c r="J18" s="15"/>
      <c r="K18" s="167"/>
      <c r="L18" s="15"/>
      <c r="M18" s="15"/>
      <c r="N18" s="15"/>
      <c r="O18" s="15"/>
      <c r="P18" s="15"/>
      <c r="Q18" s="15"/>
      <c r="R18" s="15"/>
      <c r="S18" s="15"/>
      <c r="T18" s="15"/>
      <c r="U18" s="15"/>
      <c r="V18" s="15"/>
      <c r="W18" s="15"/>
      <c r="X18" s="15"/>
      <c r="Y18" s="15"/>
      <c r="Z18" s="15"/>
    </row>
    <row r="19" spans="1:26" ht="15.75" customHeight="1" x14ac:dyDescent="0.25">
      <c r="A19" s="48" t="s">
        <v>398</v>
      </c>
      <c r="B19" s="41" t="s">
        <v>195</v>
      </c>
      <c r="C19" s="43">
        <v>207782.56</v>
      </c>
      <c r="D19" s="43">
        <v>125667.55</v>
      </c>
      <c r="E19" s="43">
        <f t="shared" ref="E19:E20" si="0">F19-D19</f>
        <v>141620.45000000001</v>
      </c>
      <c r="F19" s="43">
        <v>267288</v>
      </c>
      <c r="G19" s="440">
        <v>315320</v>
      </c>
      <c r="H19" s="15"/>
      <c r="I19" s="15"/>
      <c r="J19" s="15"/>
      <c r="K19" s="167"/>
      <c r="L19" s="15"/>
      <c r="M19" s="15"/>
      <c r="N19" s="15"/>
      <c r="O19" s="15"/>
      <c r="P19" s="15"/>
      <c r="Q19" s="15"/>
      <c r="R19" s="15"/>
      <c r="S19" s="15"/>
      <c r="T19" s="15"/>
      <c r="U19" s="15"/>
      <c r="V19" s="15"/>
      <c r="W19" s="15"/>
      <c r="X19" s="15"/>
      <c r="Y19" s="15"/>
      <c r="Z19" s="15"/>
    </row>
    <row r="20" spans="1:26" ht="15.75" customHeight="1" x14ac:dyDescent="0.25">
      <c r="A20" s="74" t="s">
        <v>400</v>
      </c>
      <c r="B20" s="41" t="s">
        <v>221</v>
      </c>
      <c r="C20" s="43">
        <v>0</v>
      </c>
      <c r="D20" s="43">
        <v>0</v>
      </c>
      <c r="E20" s="43">
        <f t="shared" si="0"/>
        <v>39208</v>
      </c>
      <c r="F20" s="43">
        <v>39208</v>
      </c>
      <c r="G20" s="440">
        <v>188565</v>
      </c>
      <c r="H20" s="15"/>
      <c r="I20" s="15"/>
      <c r="J20" s="15"/>
      <c r="K20" s="167"/>
      <c r="L20" s="15"/>
      <c r="M20" s="15"/>
      <c r="N20" s="15"/>
      <c r="O20" s="15"/>
      <c r="P20" s="15"/>
      <c r="Q20" s="15"/>
      <c r="R20" s="15"/>
      <c r="S20" s="15"/>
      <c r="T20" s="15"/>
      <c r="U20" s="15"/>
      <c r="V20" s="15"/>
      <c r="W20" s="15"/>
      <c r="X20" s="15"/>
      <c r="Y20" s="15"/>
      <c r="Z20" s="15"/>
    </row>
    <row r="21" spans="1:26" ht="15.75" customHeight="1" x14ac:dyDescent="0.25">
      <c r="A21" s="48" t="s">
        <v>1999</v>
      </c>
      <c r="B21" s="41"/>
      <c r="C21" s="43"/>
      <c r="D21" s="43"/>
      <c r="E21" s="43"/>
      <c r="F21" s="43"/>
      <c r="G21" s="440"/>
      <c r="H21" s="15"/>
      <c r="I21" s="15"/>
      <c r="J21" s="15"/>
      <c r="K21" s="167"/>
      <c r="L21" s="15"/>
      <c r="M21" s="15"/>
      <c r="N21" s="15"/>
      <c r="O21" s="15"/>
      <c r="P21" s="15"/>
      <c r="Q21" s="15"/>
      <c r="R21" s="15"/>
      <c r="S21" s="15"/>
      <c r="T21" s="15"/>
      <c r="U21" s="15"/>
      <c r="V21" s="15"/>
      <c r="W21" s="15"/>
      <c r="X21" s="15"/>
      <c r="Y21" s="15"/>
      <c r="Z21" s="15"/>
    </row>
    <row r="22" spans="1:26" ht="15.75" customHeight="1" x14ac:dyDescent="0.25">
      <c r="A22" s="48" t="s">
        <v>2000</v>
      </c>
      <c r="B22" s="41"/>
      <c r="C22" s="43"/>
      <c r="D22" s="43"/>
      <c r="E22" s="43"/>
      <c r="F22" s="43"/>
      <c r="G22" s="440"/>
      <c r="H22" s="15"/>
      <c r="I22" s="15"/>
      <c r="J22" s="15"/>
      <c r="K22" s="167"/>
      <c r="L22" s="15"/>
      <c r="M22" s="15"/>
      <c r="N22" s="15"/>
      <c r="O22" s="15"/>
      <c r="P22" s="15"/>
      <c r="Q22" s="15"/>
      <c r="R22" s="15"/>
      <c r="S22" s="15"/>
      <c r="T22" s="15"/>
      <c r="U22" s="15"/>
      <c r="V22" s="15"/>
      <c r="W22" s="15"/>
      <c r="X22" s="15"/>
      <c r="Y22" s="15"/>
      <c r="Z22" s="15"/>
    </row>
    <row r="23" spans="1:26" ht="15.75" customHeight="1" x14ac:dyDescent="0.25">
      <c r="A23" s="48" t="s">
        <v>2001</v>
      </c>
      <c r="B23" s="41"/>
      <c r="C23" s="43"/>
      <c r="D23" s="43"/>
      <c r="E23" s="43"/>
      <c r="F23" s="43"/>
      <c r="G23" s="440"/>
      <c r="H23" s="15"/>
      <c r="I23" s="15"/>
      <c r="J23" s="15"/>
      <c r="K23" s="167"/>
      <c r="L23" s="15"/>
      <c r="M23" s="15"/>
      <c r="N23" s="15"/>
      <c r="O23" s="15"/>
      <c r="P23" s="15"/>
      <c r="Q23" s="15"/>
      <c r="R23" s="15"/>
      <c r="S23" s="15"/>
      <c r="T23" s="15"/>
      <c r="U23" s="15"/>
      <c r="V23" s="15"/>
      <c r="W23" s="15"/>
      <c r="X23" s="15"/>
      <c r="Y23" s="15"/>
      <c r="Z23" s="15"/>
    </row>
    <row r="24" spans="1:26" ht="15.75" customHeight="1" x14ac:dyDescent="0.25">
      <c r="A24" s="48" t="s">
        <v>402</v>
      </c>
      <c r="B24" s="41" t="s">
        <v>225</v>
      </c>
      <c r="C24" s="43">
        <v>27272.68</v>
      </c>
      <c r="D24" s="43">
        <v>13708.64</v>
      </c>
      <c r="E24" s="43">
        <f>F24-D24</f>
        <v>588732.36</v>
      </c>
      <c r="F24" s="43">
        <v>602441</v>
      </c>
      <c r="G24" s="440">
        <v>2976075</v>
      </c>
      <c r="H24" s="15"/>
      <c r="I24" s="15"/>
      <c r="J24" s="15"/>
      <c r="K24" s="167"/>
      <c r="L24" s="15"/>
      <c r="M24" s="15"/>
      <c r="N24" s="15"/>
      <c r="O24" s="15"/>
      <c r="P24" s="15"/>
      <c r="Q24" s="15"/>
      <c r="R24" s="15"/>
      <c r="S24" s="15"/>
      <c r="T24" s="15"/>
      <c r="U24" s="15"/>
      <c r="V24" s="15"/>
      <c r="W24" s="15"/>
      <c r="X24" s="15"/>
      <c r="Y24" s="15"/>
      <c r="Z24" s="15"/>
    </row>
    <row r="25" spans="1:26" ht="15.75" customHeight="1" x14ac:dyDescent="0.25">
      <c r="A25" s="17" t="s">
        <v>511</v>
      </c>
      <c r="B25" s="41"/>
      <c r="C25" s="43"/>
      <c r="D25" s="43"/>
      <c r="E25" s="43"/>
      <c r="F25" s="43"/>
      <c r="G25" s="440"/>
      <c r="H25" s="15"/>
      <c r="I25" s="15"/>
      <c r="J25" s="15"/>
      <c r="K25" s="167"/>
      <c r="L25" s="15"/>
      <c r="M25" s="15"/>
      <c r="N25" s="15"/>
      <c r="O25" s="15"/>
      <c r="P25" s="15"/>
      <c r="Q25" s="15"/>
      <c r="R25" s="15"/>
      <c r="S25" s="15"/>
      <c r="T25" s="15"/>
      <c r="U25" s="15"/>
      <c r="V25" s="15"/>
      <c r="W25" s="15"/>
      <c r="X25" s="15"/>
      <c r="Y25" s="15"/>
      <c r="Z25" s="15"/>
    </row>
    <row r="26" spans="1:26" ht="15.75" customHeight="1" x14ac:dyDescent="0.25">
      <c r="A26" s="48" t="s">
        <v>837</v>
      </c>
      <c r="B26" s="41" t="s">
        <v>333</v>
      </c>
      <c r="C26" s="43">
        <v>317006746</v>
      </c>
      <c r="D26" s="43">
        <v>159642312.5</v>
      </c>
      <c r="E26" s="43">
        <f>F26-D26</f>
        <v>188588687.5</v>
      </c>
      <c r="F26" s="43">
        <v>348231000</v>
      </c>
      <c r="G26" s="440">
        <v>348275000</v>
      </c>
      <c r="H26" s="15"/>
      <c r="I26" s="15"/>
      <c r="J26" s="15"/>
      <c r="K26" s="167"/>
      <c r="L26" s="15"/>
      <c r="M26" s="15"/>
      <c r="N26" s="15"/>
      <c r="O26" s="15"/>
      <c r="P26" s="15"/>
      <c r="Q26" s="15"/>
      <c r="R26" s="15"/>
      <c r="S26" s="15"/>
      <c r="T26" s="15"/>
      <c r="U26" s="15"/>
      <c r="V26" s="15"/>
      <c r="W26" s="15"/>
      <c r="X26" s="15"/>
      <c r="Y26" s="15"/>
      <c r="Z26" s="15"/>
    </row>
    <row r="27" spans="1:26" ht="15.75" customHeight="1" x14ac:dyDescent="0.25">
      <c r="A27" s="48" t="s">
        <v>2002</v>
      </c>
      <c r="B27" s="41"/>
      <c r="C27" s="43"/>
      <c r="D27" s="43"/>
      <c r="E27" s="43"/>
      <c r="F27" s="43"/>
      <c r="G27" s="440"/>
      <c r="H27" s="15"/>
      <c r="I27" s="15"/>
      <c r="J27" s="15"/>
      <c r="K27" s="167"/>
      <c r="L27" s="15"/>
      <c r="M27" s="15"/>
      <c r="N27" s="15"/>
      <c r="O27" s="15"/>
      <c r="P27" s="15"/>
      <c r="Q27" s="15"/>
      <c r="R27" s="15"/>
      <c r="S27" s="15"/>
      <c r="T27" s="15"/>
      <c r="U27" s="15"/>
      <c r="V27" s="15"/>
      <c r="W27" s="15"/>
      <c r="X27" s="15"/>
      <c r="Y27" s="15"/>
      <c r="Z27" s="15"/>
    </row>
    <row r="28" spans="1:26" ht="15.75" customHeight="1" x14ac:dyDescent="0.25">
      <c r="A28" s="48" t="s">
        <v>2003</v>
      </c>
      <c r="B28" s="41"/>
      <c r="C28" s="43"/>
      <c r="D28" s="43"/>
      <c r="E28" s="43"/>
      <c r="F28" s="43"/>
      <c r="G28" s="440"/>
      <c r="H28" s="15"/>
      <c r="I28" s="15"/>
      <c r="J28" s="15"/>
      <c r="K28" s="167"/>
      <c r="L28" s="15"/>
      <c r="M28" s="15"/>
      <c r="N28" s="15"/>
      <c r="O28" s="15"/>
      <c r="P28" s="15"/>
      <c r="Q28" s="15"/>
      <c r="R28" s="15"/>
      <c r="S28" s="15"/>
      <c r="T28" s="15"/>
      <c r="U28" s="15"/>
      <c r="V28" s="15"/>
      <c r="W28" s="15"/>
      <c r="X28" s="15"/>
      <c r="Y28" s="15"/>
      <c r="Z28" s="15"/>
    </row>
    <row r="29" spans="1:26" ht="15.75" customHeight="1" x14ac:dyDescent="0.25">
      <c r="A29" s="48" t="s">
        <v>424</v>
      </c>
      <c r="B29" s="41" t="s">
        <v>335</v>
      </c>
      <c r="C29" s="43">
        <v>6090177.0599999996</v>
      </c>
      <c r="D29" s="43">
        <v>3121288.34</v>
      </c>
      <c r="E29" s="43">
        <f>F29-D29</f>
        <v>9542801.6600000001</v>
      </c>
      <c r="F29" s="43">
        <v>12664090</v>
      </c>
      <c r="G29" s="440">
        <v>12418266</v>
      </c>
      <c r="H29" s="167">
        <f>SUM(K31:K46)</f>
        <v>12418266</v>
      </c>
      <c r="I29" s="15"/>
      <c r="J29" s="15"/>
      <c r="K29" s="167"/>
      <c r="L29" s="15"/>
      <c r="M29" s="15"/>
      <c r="N29" s="15"/>
      <c r="O29" s="15"/>
      <c r="P29" s="15"/>
      <c r="Q29" s="15"/>
      <c r="R29" s="15"/>
      <c r="S29" s="15"/>
      <c r="T29" s="15"/>
      <c r="U29" s="15"/>
      <c r="V29" s="15"/>
      <c r="W29" s="15"/>
      <c r="X29" s="15"/>
      <c r="Y29" s="15"/>
      <c r="Z29" s="15"/>
    </row>
    <row r="30" spans="1:26" ht="15.75" customHeight="1" x14ac:dyDescent="0.25">
      <c r="A30" s="48" t="s">
        <v>2004</v>
      </c>
      <c r="B30" s="49"/>
      <c r="C30" s="45"/>
      <c r="D30" s="45"/>
      <c r="E30" s="45"/>
      <c r="F30" s="45"/>
      <c r="G30" s="494"/>
      <c r="H30" s="15"/>
      <c r="I30" s="15"/>
      <c r="J30" s="15"/>
      <c r="K30" s="167"/>
      <c r="L30" s="15"/>
      <c r="M30" s="15"/>
      <c r="N30" s="15"/>
      <c r="O30" s="15"/>
      <c r="P30" s="15"/>
      <c r="Q30" s="15"/>
      <c r="R30" s="15"/>
      <c r="S30" s="15"/>
      <c r="T30" s="15"/>
      <c r="U30" s="15"/>
      <c r="V30" s="15"/>
      <c r="W30" s="15"/>
      <c r="X30" s="15"/>
      <c r="Y30" s="15"/>
      <c r="Z30" s="15"/>
    </row>
    <row r="31" spans="1:26" ht="15.75" customHeight="1" x14ac:dyDescent="0.25">
      <c r="A31" s="48" t="s">
        <v>2005</v>
      </c>
      <c r="B31" s="49"/>
      <c r="C31" s="45"/>
      <c r="D31" s="45"/>
      <c r="E31" s="45"/>
      <c r="F31" s="45"/>
      <c r="G31" s="494"/>
      <c r="H31" s="15">
        <v>1</v>
      </c>
      <c r="I31" s="15">
        <v>1171</v>
      </c>
      <c r="J31" s="15">
        <v>5000</v>
      </c>
      <c r="K31" s="167">
        <f t="shared" ref="K31:K39" si="1">H31*J31*I31</f>
        <v>5855000</v>
      </c>
      <c r="L31" s="15"/>
      <c r="M31" s="15"/>
      <c r="N31" s="15"/>
      <c r="O31" s="15"/>
      <c r="P31" s="15"/>
      <c r="Q31" s="15"/>
      <c r="R31" s="15"/>
      <c r="S31" s="15"/>
      <c r="T31" s="15"/>
      <c r="U31" s="15"/>
      <c r="V31" s="15"/>
      <c r="W31" s="15"/>
      <c r="X31" s="15"/>
      <c r="Y31" s="15"/>
      <c r="Z31" s="15"/>
    </row>
    <row r="32" spans="1:26" ht="15.75" customHeight="1" x14ac:dyDescent="0.25">
      <c r="A32" s="48" t="s">
        <v>2006</v>
      </c>
      <c r="B32" s="49"/>
      <c r="C32" s="45"/>
      <c r="D32" s="45"/>
      <c r="E32" s="45"/>
      <c r="F32" s="45"/>
      <c r="G32" s="45"/>
      <c r="H32" s="15">
        <v>1</v>
      </c>
      <c r="I32" s="15">
        <v>89</v>
      </c>
      <c r="J32" s="15">
        <v>10000</v>
      </c>
      <c r="K32" s="167">
        <f t="shared" si="1"/>
        <v>890000</v>
      </c>
      <c r="L32" s="15"/>
      <c r="M32" s="15"/>
      <c r="N32" s="15"/>
      <c r="O32" s="15"/>
      <c r="P32" s="15"/>
      <c r="Q32" s="15"/>
      <c r="R32" s="15"/>
      <c r="S32" s="15"/>
      <c r="T32" s="15"/>
      <c r="U32" s="15"/>
      <c r="V32" s="15"/>
      <c r="W32" s="15"/>
      <c r="X32" s="15"/>
      <c r="Y32" s="15"/>
      <c r="Z32" s="15"/>
    </row>
    <row r="33" spans="1:26" ht="15.75" customHeight="1" x14ac:dyDescent="0.25">
      <c r="A33" s="48" t="s">
        <v>2007</v>
      </c>
      <c r="B33" s="49"/>
      <c r="C33" s="45"/>
      <c r="D33" s="45"/>
      <c r="E33" s="45"/>
      <c r="F33" s="45"/>
      <c r="G33" s="45"/>
      <c r="H33" s="15">
        <v>1</v>
      </c>
      <c r="I33" s="15">
        <v>6</v>
      </c>
      <c r="J33" s="15">
        <v>100000</v>
      </c>
      <c r="K33" s="167">
        <f t="shared" si="1"/>
        <v>600000</v>
      </c>
      <c r="L33" s="15"/>
      <c r="M33" s="15"/>
      <c r="N33" s="15"/>
      <c r="O33" s="15"/>
      <c r="P33" s="15"/>
      <c r="Q33" s="15"/>
      <c r="R33" s="15"/>
      <c r="S33" s="15"/>
      <c r="T33" s="15"/>
      <c r="U33" s="15"/>
      <c r="V33" s="15"/>
      <c r="W33" s="15"/>
      <c r="X33" s="15"/>
      <c r="Y33" s="15"/>
      <c r="Z33" s="15"/>
    </row>
    <row r="34" spans="1:26" ht="15.75" customHeight="1" x14ac:dyDescent="0.25">
      <c r="A34" s="48" t="s">
        <v>2008</v>
      </c>
      <c r="B34" s="49"/>
      <c r="C34" s="45"/>
      <c r="D34" s="45"/>
      <c r="E34" s="45"/>
      <c r="F34" s="45"/>
      <c r="G34" s="45"/>
      <c r="H34" s="15">
        <v>4</v>
      </c>
      <c r="I34" s="15">
        <v>2000</v>
      </c>
      <c r="J34" s="15">
        <v>66</v>
      </c>
      <c r="K34" s="167">
        <f t="shared" si="1"/>
        <v>528000</v>
      </c>
      <c r="L34" s="15"/>
      <c r="M34" s="15"/>
      <c r="N34" s="15"/>
      <c r="O34" s="15"/>
      <c r="P34" s="15"/>
      <c r="Q34" s="15"/>
      <c r="R34" s="15"/>
      <c r="S34" s="15"/>
      <c r="T34" s="15"/>
      <c r="U34" s="15"/>
      <c r="V34" s="15"/>
      <c r="W34" s="15"/>
      <c r="X34" s="15"/>
      <c r="Y34" s="15"/>
      <c r="Z34" s="15"/>
    </row>
    <row r="35" spans="1:26" ht="15.75" customHeight="1" x14ac:dyDescent="0.25">
      <c r="A35" s="546" t="s">
        <v>2009</v>
      </c>
      <c r="B35" s="454"/>
      <c r="C35" s="443"/>
      <c r="D35" s="443"/>
      <c r="E35" s="443"/>
      <c r="F35" s="443"/>
      <c r="G35" s="462"/>
      <c r="H35" s="15"/>
      <c r="I35" s="15"/>
      <c r="J35" s="15"/>
      <c r="K35" s="167">
        <f t="shared" si="1"/>
        <v>0</v>
      </c>
      <c r="L35" s="15"/>
      <c r="M35" s="15"/>
      <c r="N35" s="15"/>
      <c r="O35" s="15"/>
      <c r="P35" s="15"/>
      <c r="Q35" s="15"/>
      <c r="R35" s="15"/>
      <c r="S35" s="15"/>
      <c r="T35" s="15"/>
      <c r="U35" s="15"/>
      <c r="V35" s="15"/>
      <c r="W35" s="15"/>
      <c r="X35" s="15"/>
      <c r="Y35" s="15"/>
      <c r="Z35" s="15"/>
    </row>
    <row r="36" spans="1:26" ht="15.75" customHeight="1" x14ac:dyDescent="0.25">
      <c r="A36" s="460" t="s">
        <v>2010</v>
      </c>
      <c r="B36" s="454"/>
      <c r="C36" s="443"/>
      <c r="D36" s="443"/>
      <c r="E36" s="443"/>
      <c r="F36" s="443"/>
      <c r="G36" s="462"/>
      <c r="H36" s="15">
        <v>1</v>
      </c>
      <c r="I36" s="15">
        <v>1266</v>
      </c>
      <c r="J36" s="15">
        <v>500</v>
      </c>
      <c r="K36" s="167">
        <f t="shared" si="1"/>
        <v>633000</v>
      </c>
      <c r="L36" s="15"/>
      <c r="M36" s="15"/>
      <c r="N36" s="15"/>
      <c r="O36" s="15"/>
      <c r="P36" s="15"/>
      <c r="Q36" s="15"/>
      <c r="R36" s="15"/>
      <c r="S36" s="15"/>
      <c r="T36" s="15"/>
      <c r="U36" s="15"/>
      <c r="V36" s="15"/>
      <c r="W36" s="15"/>
      <c r="X36" s="15"/>
      <c r="Y36" s="15"/>
      <c r="Z36" s="15"/>
    </row>
    <row r="37" spans="1:26" ht="15.75" customHeight="1" x14ac:dyDescent="0.25">
      <c r="A37" s="293" t="s">
        <v>2011</v>
      </c>
      <c r="B37" s="49"/>
      <c r="C37" s="45"/>
      <c r="D37" s="45"/>
      <c r="E37" s="45"/>
      <c r="F37" s="45"/>
      <c r="G37" s="45"/>
      <c r="H37" s="15"/>
      <c r="I37" s="15"/>
      <c r="J37" s="15"/>
      <c r="K37" s="167">
        <f t="shared" si="1"/>
        <v>0</v>
      </c>
      <c r="L37" s="15"/>
      <c r="M37" s="15"/>
      <c r="N37" s="15"/>
      <c r="O37" s="15"/>
      <c r="P37" s="15"/>
      <c r="Q37" s="15"/>
      <c r="R37" s="15"/>
      <c r="S37" s="15"/>
      <c r="T37" s="15"/>
      <c r="U37" s="15"/>
      <c r="V37" s="15"/>
      <c r="W37" s="15"/>
      <c r="X37" s="15"/>
      <c r="Y37" s="15"/>
      <c r="Z37" s="15"/>
    </row>
    <row r="38" spans="1:26" ht="15.75" customHeight="1" x14ac:dyDescent="0.25">
      <c r="A38" s="48" t="s">
        <v>2012</v>
      </c>
      <c r="B38" s="49"/>
      <c r="C38" s="45"/>
      <c r="D38" s="45"/>
      <c r="E38" s="45"/>
      <c r="F38" s="45"/>
      <c r="G38" s="45"/>
      <c r="H38" s="15"/>
      <c r="I38" s="15"/>
      <c r="J38" s="15"/>
      <c r="K38" s="167">
        <f t="shared" si="1"/>
        <v>0</v>
      </c>
      <c r="L38" s="15"/>
      <c r="M38" s="15"/>
      <c r="N38" s="15"/>
      <c r="O38" s="15"/>
      <c r="P38" s="15"/>
      <c r="Q38" s="15"/>
      <c r="R38" s="15"/>
      <c r="S38" s="15"/>
      <c r="T38" s="15"/>
      <c r="U38" s="15"/>
      <c r="V38" s="15"/>
      <c r="W38" s="15"/>
      <c r="X38" s="15"/>
      <c r="Y38" s="15"/>
      <c r="Z38" s="15"/>
    </row>
    <row r="39" spans="1:26" ht="15.75" customHeight="1" x14ac:dyDescent="0.25">
      <c r="A39" s="293" t="s">
        <v>2013</v>
      </c>
      <c r="B39" s="49"/>
      <c r="C39" s="45"/>
      <c r="D39" s="45"/>
      <c r="E39" s="45"/>
      <c r="F39" s="45"/>
      <c r="G39" s="45"/>
      <c r="H39" s="15">
        <v>1</v>
      </c>
      <c r="I39" s="15">
        <v>1500</v>
      </c>
      <c r="J39" s="15">
        <v>500</v>
      </c>
      <c r="K39" s="167">
        <f t="shared" si="1"/>
        <v>750000</v>
      </c>
      <c r="L39" s="15"/>
      <c r="M39" s="15"/>
      <c r="N39" s="15"/>
      <c r="O39" s="15"/>
      <c r="P39" s="15"/>
      <c r="Q39" s="15"/>
      <c r="R39" s="15"/>
      <c r="S39" s="15"/>
      <c r="T39" s="15"/>
      <c r="U39" s="15"/>
      <c r="V39" s="15"/>
      <c r="W39" s="15"/>
      <c r="X39" s="15"/>
      <c r="Y39" s="15"/>
      <c r="Z39" s="15"/>
    </row>
    <row r="40" spans="1:26" ht="15.75" customHeight="1" x14ac:dyDescent="0.25">
      <c r="A40" s="48" t="s">
        <v>2014</v>
      </c>
      <c r="B40" s="49"/>
      <c r="C40" s="45"/>
      <c r="D40" s="45"/>
      <c r="E40" s="45"/>
      <c r="F40" s="45"/>
      <c r="G40" s="45"/>
      <c r="H40" s="15"/>
      <c r="I40" s="15"/>
      <c r="J40" s="15"/>
      <c r="K40" s="167">
        <v>440300</v>
      </c>
      <c r="L40" s="15"/>
      <c r="M40" s="15"/>
      <c r="N40" s="15"/>
      <c r="O40" s="15"/>
      <c r="P40" s="15"/>
      <c r="Q40" s="15"/>
      <c r="R40" s="15"/>
      <c r="S40" s="15"/>
      <c r="T40" s="15"/>
      <c r="U40" s="15"/>
      <c r="V40" s="15"/>
      <c r="W40" s="15"/>
      <c r="X40" s="15"/>
      <c r="Y40" s="15"/>
      <c r="Z40" s="15"/>
    </row>
    <row r="41" spans="1:26" ht="15.75" customHeight="1" x14ac:dyDescent="0.25">
      <c r="A41" s="48" t="s">
        <v>2015</v>
      </c>
      <c r="B41" s="49"/>
      <c r="C41" s="45"/>
      <c r="D41" s="45"/>
      <c r="E41" s="45"/>
      <c r="F41" s="45"/>
      <c r="G41" s="45"/>
      <c r="H41" s="15"/>
      <c r="I41" s="15"/>
      <c r="J41" s="15"/>
      <c r="K41" s="167">
        <v>690750</v>
      </c>
      <c r="L41" s="15"/>
      <c r="M41" s="15"/>
      <c r="N41" s="15"/>
      <c r="O41" s="15"/>
      <c r="P41" s="15"/>
      <c r="Q41" s="15"/>
      <c r="R41" s="15"/>
      <c r="S41" s="15"/>
      <c r="T41" s="15"/>
      <c r="U41" s="15"/>
      <c r="V41" s="15"/>
      <c r="W41" s="15"/>
      <c r="X41" s="15"/>
      <c r="Y41" s="15"/>
      <c r="Z41" s="15"/>
    </row>
    <row r="42" spans="1:26" ht="15.75" customHeight="1" x14ac:dyDescent="0.25">
      <c r="A42" s="17" t="s">
        <v>2016</v>
      </c>
      <c r="B42" s="478"/>
      <c r="C42" s="45"/>
      <c r="D42" s="45"/>
      <c r="E42" s="45"/>
      <c r="F42" s="45"/>
      <c r="G42" s="45"/>
      <c r="H42" s="15"/>
      <c r="I42" s="15"/>
      <c r="J42" s="15"/>
      <c r="K42" s="167">
        <f t="shared" ref="K42:K46" si="2">H42*J42*I42</f>
        <v>0</v>
      </c>
      <c r="L42" s="15"/>
      <c r="M42" s="15"/>
      <c r="N42" s="15"/>
      <c r="O42" s="15"/>
      <c r="P42" s="15"/>
      <c r="Q42" s="15"/>
      <c r="R42" s="15"/>
      <c r="S42" s="15"/>
      <c r="T42" s="15"/>
      <c r="U42" s="15"/>
      <c r="V42" s="15"/>
      <c r="W42" s="15"/>
      <c r="X42" s="15"/>
      <c r="Y42" s="15"/>
      <c r="Z42" s="15"/>
    </row>
    <row r="43" spans="1:26" ht="15.75" customHeight="1" x14ac:dyDescent="0.25">
      <c r="A43" s="48" t="s">
        <v>2017</v>
      </c>
      <c r="B43" s="49"/>
      <c r="C43" s="45"/>
      <c r="D43" s="45"/>
      <c r="E43" s="45"/>
      <c r="F43" s="45"/>
      <c r="G43" s="45"/>
      <c r="H43" s="15"/>
      <c r="I43" s="15"/>
      <c r="J43" s="15"/>
      <c r="K43" s="167">
        <f t="shared" si="2"/>
        <v>0</v>
      </c>
      <c r="L43" s="15"/>
      <c r="M43" s="15"/>
      <c r="N43" s="15"/>
      <c r="O43" s="15"/>
      <c r="P43" s="15"/>
      <c r="Q43" s="15"/>
      <c r="R43" s="15"/>
      <c r="S43" s="15"/>
      <c r="T43" s="15"/>
      <c r="U43" s="15"/>
      <c r="V43" s="15"/>
      <c r="W43" s="15"/>
      <c r="X43" s="15"/>
      <c r="Y43" s="15"/>
      <c r="Z43" s="15"/>
    </row>
    <row r="44" spans="1:26" ht="15.75" customHeight="1" x14ac:dyDescent="0.25">
      <c r="A44" s="293" t="s">
        <v>2018</v>
      </c>
      <c r="B44" s="49"/>
      <c r="C44" s="45"/>
      <c r="D44" s="45"/>
      <c r="E44" s="45"/>
      <c r="F44" s="45"/>
      <c r="G44" s="45"/>
      <c r="H44" s="15">
        <v>264</v>
      </c>
      <c r="I44" s="15">
        <v>914</v>
      </c>
      <c r="J44" s="15">
        <v>1</v>
      </c>
      <c r="K44" s="167">
        <f t="shared" si="2"/>
        <v>241296</v>
      </c>
      <c r="L44" s="15"/>
      <c r="M44" s="15"/>
      <c r="N44" s="15"/>
      <c r="O44" s="15"/>
      <c r="P44" s="15"/>
      <c r="Q44" s="15"/>
      <c r="R44" s="15"/>
      <c r="S44" s="15"/>
      <c r="T44" s="15"/>
      <c r="U44" s="15"/>
      <c r="V44" s="15"/>
      <c r="W44" s="15"/>
      <c r="X44" s="15"/>
      <c r="Y44" s="15"/>
      <c r="Z44" s="15"/>
    </row>
    <row r="45" spans="1:26" ht="15.75" customHeight="1" x14ac:dyDescent="0.25">
      <c r="A45" s="48" t="s">
        <v>2019</v>
      </c>
      <c r="B45" s="49"/>
      <c r="C45" s="45"/>
      <c r="D45" s="45"/>
      <c r="E45" s="45"/>
      <c r="F45" s="45"/>
      <c r="G45" s="45"/>
      <c r="H45" s="15"/>
      <c r="I45" s="15"/>
      <c r="J45" s="15"/>
      <c r="K45" s="167">
        <f t="shared" si="2"/>
        <v>0</v>
      </c>
      <c r="L45" s="15"/>
      <c r="M45" s="15"/>
      <c r="N45" s="15"/>
      <c r="O45" s="15"/>
      <c r="P45" s="15"/>
      <c r="Q45" s="15"/>
      <c r="R45" s="15"/>
      <c r="S45" s="15"/>
      <c r="T45" s="15"/>
      <c r="U45" s="15"/>
      <c r="V45" s="15"/>
      <c r="W45" s="15"/>
      <c r="X45" s="15"/>
      <c r="Y45" s="15"/>
      <c r="Z45" s="15"/>
    </row>
    <row r="46" spans="1:26" ht="15.75" customHeight="1" x14ac:dyDescent="0.25">
      <c r="A46" s="293" t="s">
        <v>2020</v>
      </c>
      <c r="B46" s="49"/>
      <c r="C46" s="45"/>
      <c r="D46" s="45"/>
      <c r="E46" s="45"/>
      <c r="F46" s="45"/>
      <c r="G46" s="45"/>
      <c r="H46" s="15">
        <v>264</v>
      </c>
      <c r="I46" s="15">
        <v>678</v>
      </c>
      <c r="J46" s="15">
        <v>10</v>
      </c>
      <c r="K46" s="167">
        <f t="shared" si="2"/>
        <v>1789920</v>
      </c>
      <c r="L46" s="15"/>
      <c r="M46" s="15"/>
      <c r="N46" s="15"/>
      <c r="O46" s="15"/>
      <c r="P46" s="15"/>
      <c r="Q46" s="15"/>
      <c r="R46" s="15"/>
      <c r="S46" s="15"/>
      <c r="T46" s="15"/>
      <c r="U46" s="15"/>
      <c r="V46" s="15"/>
      <c r="W46" s="15"/>
      <c r="X46" s="15"/>
      <c r="Y46" s="15"/>
      <c r="Z46" s="15"/>
    </row>
    <row r="47" spans="1:26" ht="15.75" customHeight="1" x14ac:dyDescent="0.25">
      <c r="A47" s="42" t="s">
        <v>466</v>
      </c>
      <c r="B47" s="49"/>
      <c r="C47" s="79">
        <f t="shared" ref="C47:G47" si="3">SUM(C12:C29)</f>
        <v>323431296.89999998</v>
      </c>
      <c r="D47" s="79">
        <f t="shared" si="3"/>
        <v>162907977.03</v>
      </c>
      <c r="E47" s="79">
        <f t="shared" si="3"/>
        <v>199045409.97</v>
      </c>
      <c r="F47" s="79">
        <f t="shared" si="3"/>
        <v>361953387</v>
      </c>
      <c r="G47" s="79">
        <f t="shared" si="3"/>
        <v>364322586</v>
      </c>
      <c r="H47" s="15"/>
      <c r="I47" s="15"/>
      <c r="J47" s="15"/>
      <c r="K47" s="167"/>
      <c r="L47" s="15"/>
      <c r="M47" s="15"/>
      <c r="N47" s="15"/>
      <c r="O47" s="15"/>
      <c r="P47" s="15"/>
      <c r="Q47" s="15"/>
      <c r="R47" s="15"/>
      <c r="S47" s="15"/>
      <c r="T47" s="15"/>
      <c r="U47" s="15"/>
      <c r="V47" s="15"/>
      <c r="W47" s="15"/>
      <c r="X47" s="15"/>
      <c r="Y47" s="15"/>
      <c r="Z47" s="15"/>
    </row>
    <row r="48" spans="1:26" ht="15.75" customHeight="1" x14ac:dyDescent="0.25">
      <c r="A48" s="42"/>
      <c r="B48" s="49"/>
      <c r="C48" s="39"/>
      <c r="D48" s="55"/>
      <c r="E48" s="55"/>
      <c r="F48" s="55"/>
      <c r="G48" s="368"/>
      <c r="H48" s="15"/>
      <c r="I48" s="15"/>
      <c r="J48" s="15"/>
      <c r="K48" s="167"/>
      <c r="L48" s="15"/>
      <c r="M48" s="15"/>
      <c r="N48" s="15"/>
      <c r="O48" s="15"/>
      <c r="P48" s="15"/>
      <c r="Q48" s="15"/>
      <c r="R48" s="15"/>
      <c r="S48" s="15"/>
      <c r="T48" s="15"/>
      <c r="U48" s="15"/>
      <c r="V48" s="15"/>
      <c r="W48" s="15"/>
      <c r="X48" s="15"/>
      <c r="Y48" s="15"/>
      <c r="Z48" s="15"/>
    </row>
    <row r="49" spans="1:26" ht="15.75" customHeight="1" x14ac:dyDescent="0.25">
      <c r="A49" s="42" t="s">
        <v>467</v>
      </c>
      <c r="B49" s="49"/>
      <c r="C49" s="43">
        <f t="shared" ref="C49:G49" si="4">C47</f>
        <v>323431296.89999998</v>
      </c>
      <c r="D49" s="56">
        <f t="shared" si="4"/>
        <v>162907977.03</v>
      </c>
      <c r="E49" s="43">
        <f t="shared" si="4"/>
        <v>199045409.97</v>
      </c>
      <c r="F49" s="43">
        <f t="shared" si="4"/>
        <v>361953387</v>
      </c>
      <c r="G49" s="440">
        <f t="shared" si="4"/>
        <v>364322586</v>
      </c>
      <c r="H49" s="15"/>
      <c r="I49" s="15"/>
      <c r="J49" s="15"/>
      <c r="K49" s="167"/>
      <c r="L49" s="15"/>
      <c r="M49" s="15"/>
      <c r="N49" s="15"/>
      <c r="O49" s="15"/>
      <c r="P49" s="15"/>
      <c r="Q49" s="15"/>
      <c r="R49" s="15"/>
      <c r="S49" s="15"/>
      <c r="T49" s="15"/>
      <c r="U49" s="15"/>
      <c r="V49" s="15"/>
      <c r="W49" s="15"/>
      <c r="X49" s="15"/>
      <c r="Y49" s="15"/>
      <c r="Z49" s="15"/>
    </row>
    <row r="50" spans="1:26" ht="15.75" customHeight="1" x14ac:dyDescent="0.25">
      <c r="A50" s="42"/>
      <c r="B50" s="41"/>
      <c r="C50" s="43"/>
      <c r="D50" s="43"/>
      <c r="E50" s="43"/>
      <c r="F50" s="43"/>
      <c r="G50" s="440"/>
      <c r="H50" s="15"/>
      <c r="I50" s="15"/>
      <c r="J50" s="15"/>
      <c r="K50" s="167"/>
      <c r="L50" s="15"/>
      <c r="M50" s="15"/>
      <c r="N50" s="15"/>
      <c r="O50" s="15"/>
      <c r="P50" s="15"/>
      <c r="Q50" s="15"/>
      <c r="R50" s="15"/>
      <c r="S50" s="15"/>
      <c r="T50" s="15"/>
      <c r="U50" s="15"/>
      <c r="V50" s="15"/>
      <c r="W50" s="15"/>
      <c r="X50" s="15"/>
      <c r="Y50" s="15"/>
      <c r="Z50" s="15"/>
    </row>
    <row r="51" spans="1:26" ht="15.75" customHeight="1" x14ac:dyDescent="0.25">
      <c r="A51" s="50" t="s">
        <v>487</v>
      </c>
      <c r="B51" s="51" t="s">
        <v>488</v>
      </c>
      <c r="C51" s="54">
        <f t="shared" ref="C51:G51" si="5">+C49</f>
        <v>323431296.89999998</v>
      </c>
      <c r="D51" s="54">
        <f t="shared" si="5"/>
        <v>162907977.03</v>
      </c>
      <c r="E51" s="54">
        <f t="shared" si="5"/>
        <v>199045409.97</v>
      </c>
      <c r="F51" s="54">
        <f t="shared" si="5"/>
        <v>361953387</v>
      </c>
      <c r="G51" s="476">
        <f t="shared" si="5"/>
        <v>364322586</v>
      </c>
      <c r="H51" s="15"/>
      <c r="I51" s="15"/>
      <c r="J51" s="15"/>
      <c r="K51" s="167"/>
      <c r="L51" s="15"/>
      <c r="M51" s="15"/>
      <c r="N51" s="15"/>
      <c r="O51" s="15"/>
      <c r="P51" s="15"/>
      <c r="Q51" s="15"/>
      <c r="R51" s="15"/>
      <c r="S51" s="15"/>
      <c r="T51" s="15"/>
      <c r="U51" s="15"/>
      <c r="V51" s="15"/>
      <c r="W51" s="15"/>
      <c r="X51" s="15"/>
      <c r="Y51" s="15"/>
      <c r="Z51" s="15"/>
    </row>
    <row r="52" spans="1:26" ht="15.75" customHeight="1" x14ac:dyDescent="0.25">
      <c r="A52" s="24"/>
      <c r="B52" s="25"/>
      <c r="C52" s="26"/>
      <c r="D52" s="26"/>
      <c r="E52" s="26"/>
      <c r="F52" s="26"/>
      <c r="G52" s="26"/>
      <c r="H52" s="15"/>
      <c r="I52" s="15"/>
      <c r="J52" s="15"/>
      <c r="K52" s="167"/>
      <c r="L52" s="15"/>
      <c r="M52" s="15"/>
      <c r="N52" s="15"/>
      <c r="O52" s="15"/>
      <c r="P52" s="15"/>
      <c r="Q52" s="15"/>
      <c r="R52" s="15"/>
      <c r="S52" s="15"/>
      <c r="T52" s="15"/>
      <c r="U52" s="15"/>
      <c r="V52" s="15"/>
      <c r="W52" s="15"/>
      <c r="X52" s="15"/>
      <c r="Y52" s="15"/>
      <c r="Z52" s="15"/>
    </row>
    <row r="53" spans="1:26" ht="15.75" customHeight="1" x14ac:dyDescent="0.25">
      <c r="A53" s="24"/>
      <c r="B53" s="25"/>
      <c r="C53" s="24"/>
      <c r="D53" s="24"/>
      <c r="E53" s="24"/>
      <c r="F53" s="26"/>
      <c r="G53" s="15"/>
      <c r="H53" s="15"/>
      <c r="I53" s="15"/>
      <c r="J53" s="15"/>
      <c r="K53" s="167"/>
      <c r="L53" s="15"/>
      <c r="M53" s="15"/>
      <c r="N53" s="15"/>
      <c r="O53" s="15"/>
      <c r="P53" s="15"/>
      <c r="Q53" s="15"/>
      <c r="R53" s="15"/>
      <c r="S53" s="15"/>
      <c r="T53" s="15"/>
      <c r="U53" s="15"/>
      <c r="V53" s="15"/>
      <c r="W53" s="15"/>
      <c r="X53" s="15"/>
      <c r="Y53" s="15"/>
      <c r="Z53" s="15"/>
    </row>
    <row r="54" spans="1:26" ht="15.75" customHeight="1" x14ac:dyDescent="0.25">
      <c r="A54" s="24"/>
      <c r="B54" s="25"/>
      <c r="C54" s="24"/>
      <c r="D54" s="24"/>
      <c r="E54" s="24"/>
      <c r="F54" s="26"/>
      <c r="G54" s="15"/>
      <c r="H54" s="15"/>
      <c r="I54" s="15"/>
      <c r="J54" s="15"/>
      <c r="K54" s="167"/>
      <c r="L54" s="15"/>
      <c r="M54" s="15"/>
      <c r="N54" s="15"/>
      <c r="O54" s="15"/>
      <c r="P54" s="15"/>
      <c r="Q54" s="15"/>
      <c r="R54" s="15"/>
      <c r="S54" s="15"/>
      <c r="T54" s="15"/>
      <c r="U54" s="15"/>
      <c r="V54" s="15"/>
      <c r="W54" s="15"/>
      <c r="X54" s="15"/>
      <c r="Y54" s="15"/>
      <c r="Z54" s="15"/>
    </row>
    <row r="55" spans="1:26" ht="15.75" customHeight="1" x14ac:dyDescent="0.25">
      <c r="A55" s="24"/>
      <c r="B55" s="25"/>
      <c r="C55" s="24"/>
      <c r="D55" s="24"/>
      <c r="E55" s="24"/>
      <c r="F55" s="26"/>
      <c r="G55" s="15"/>
      <c r="H55" s="15"/>
      <c r="I55" s="15"/>
      <c r="J55" s="15"/>
      <c r="K55" s="167"/>
      <c r="L55" s="15"/>
      <c r="M55" s="15"/>
      <c r="N55" s="15"/>
      <c r="O55" s="15"/>
      <c r="P55" s="15"/>
      <c r="Q55" s="15"/>
      <c r="R55" s="15"/>
      <c r="S55" s="15"/>
      <c r="T55" s="15"/>
      <c r="U55" s="15"/>
      <c r="V55" s="15"/>
      <c r="W55" s="15"/>
      <c r="X55" s="15"/>
      <c r="Y55" s="15"/>
      <c r="Z55" s="15"/>
    </row>
    <row r="56" spans="1:26" ht="15.75" customHeight="1" x14ac:dyDescent="0.25">
      <c r="A56" s="24"/>
      <c r="B56" s="25"/>
      <c r="C56" s="24"/>
      <c r="D56" s="24"/>
      <c r="E56" s="24"/>
      <c r="F56" s="26"/>
      <c r="G56" s="15"/>
      <c r="H56" s="15"/>
      <c r="I56" s="15"/>
      <c r="J56" s="15"/>
      <c r="K56" s="167"/>
      <c r="L56" s="15"/>
      <c r="M56" s="15"/>
      <c r="N56" s="15"/>
      <c r="O56" s="15"/>
      <c r="P56" s="15"/>
      <c r="Q56" s="15"/>
      <c r="R56" s="15"/>
      <c r="S56" s="15"/>
      <c r="T56" s="15"/>
      <c r="U56" s="15"/>
      <c r="V56" s="15"/>
      <c r="W56" s="15"/>
      <c r="X56" s="15"/>
      <c r="Y56" s="15"/>
      <c r="Z56" s="15"/>
    </row>
    <row r="57" spans="1:26" ht="15.75" customHeight="1" x14ac:dyDescent="0.25">
      <c r="A57" s="24"/>
      <c r="B57" s="25"/>
      <c r="C57" s="24"/>
      <c r="D57" s="24"/>
      <c r="E57" s="24"/>
      <c r="F57" s="26"/>
      <c r="G57" s="15"/>
      <c r="H57" s="15"/>
      <c r="I57" s="15"/>
      <c r="J57" s="15"/>
      <c r="K57" s="167"/>
      <c r="L57" s="15"/>
      <c r="M57" s="15"/>
      <c r="N57" s="15"/>
      <c r="O57" s="15"/>
      <c r="P57" s="15"/>
      <c r="Q57" s="15"/>
      <c r="R57" s="15"/>
      <c r="S57" s="15"/>
      <c r="T57" s="15"/>
      <c r="U57" s="15"/>
      <c r="V57" s="15"/>
      <c r="W57" s="15"/>
      <c r="X57" s="15"/>
      <c r="Y57" s="15"/>
      <c r="Z57" s="15"/>
    </row>
    <row r="58" spans="1:26" ht="15.75" customHeight="1" x14ac:dyDescent="0.25">
      <c r="A58" s="24"/>
      <c r="B58" s="25"/>
      <c r="C58" s="24"/>
      <c r="D58" s="24"/>
      <c r="E58" s="24"/>
      <c r="F58" s="26"/>
      <c r="G58" s="15"/>
      <c r="H58" s="15"/>
      <c r="I58" s="15"/>
      <c r="J58" s="15"/>
      <c r="K58" s="167"/>
      <c r="L58" s="15"/>
      <c r="M58" s="15"/>
      <c r="N58" s="15"/>
      <c r="O58" s="15"/>
      <c r="P58" s="15"/>
      <c r="Q58" s="15"/>
      <c r="R58" s="15"/>
      <c r="S58" s="15"/>
      <c r="T58" s="15"/>
      <c r="U58" s="15"/>
      <c r="V58" s="15"/>
      <c r="W58" s="15"/>
      <c r="X58" s="15"/>
      <c r="Y58" s="15"/>
      <c r="Z58" s="15"/>
    </row>
    <row r="59" spans="1:26" ht="15.75" customHeight="1" x14ac:dyDescent="0.25">
      <c r="A59" s="24"/>
      <c r="B59" s="25"/>
      <c r="C59" s="24"/>
      <c r="D59" s="24"/>
      <c r="E59" s="24"/>
      <c r="F59" s="26"/>
      <c r="G59" s="15"/>
      <c r="H59" s="15"/>
      <c r="I59" s="15"/>
      <c r="J59" s="15"/>
      <c r="K59" s="167"/>
      <c r="L59" s="15"/>
      <c r="M59" s="15"/>
      <c r="N59" s="15"/>
      <c r="O59" s="15"/>
      <c r="P59" s="15"/>
      <c r="Q59" s="15"/>
      <c r="R59" s="15"/>
      <c r="S59" s="15"/>
      <c r="T59" s="15"/>
      <c r="U59" s="15"/>
      <c r="V59" s="15"/>
      <c r="W59" s="15"/>
      <c r="X59" s="15"/>
      <c r="Y59" s="15"/>
      <c r="Z59" s="15"/>
    </row>
    <row r="60" spans="1:26" ht="15.75" customHeight="1" x14ac:dyDescent="0.25">
      <c r="A60" s="24"/>
      <c r="B60" s="25"/>
      <c r="C60" s="24"/>
      <c r="D60" s="24"/>
      <c r="E60" s="24"/>
      <c r="F60" s="26"/>
      <c r="G60" s="15"/>
      <c r="H60" s="15"/>
      <c r="I60" s="15"/>
      <c r="J60" s="15"/>
      <c r="K60" s="167"/>
      <c r="L60" s="15"/>
      <c r="M60" s="15"/>
      <c r="N60" s="15"/>
      <c r="O60" s="15"/>
      <c r="P60" s="15"/>
      <c r="Q60" s="15"/>
      <c r="R60" s="15"/>
      <c r="S60" s="15"/>
      <c r="T60" s="15"/>
      <c r="U60" s="15"/>
      <c r="V60" s="15"/>
      <c r="W60" s="15"/>
      <c r="X60" s="15"/>
      <c r="Y60" s="15"/>
      <c r="Z60" s="15"/>
    </row>
    <row r="61" spans="1:26" ht="15.75" customHeight="1" x14ac:dyDescent="0.25">
      <c r="A61" s="24"/>
      <c r="B61" s="25"/>
      <c r="C61" s="24"/>
      <c r="D61" s="24"/>
      <c r="E61" s="24"/>
      <c r="F61" s="26"/>
      <c r="G61" s="15"/>
      <c r="H61" s="15"/>
      <c r="I61" s="15"/>
      <c r="J61" s="15"/>
      <c r="K61" s="167"/>
      <c r="L61" s="15"/>
      <c r="M61" s="15"/>
      <c r="N61" s="15"/>
      <c r="O61" s="15"/>
      <c r="P61" s="15"/>
      <c r="Q61" s="15"/>
      <c r="R61" s="15"/>
      <c r="S61" s="15"/>
      <c r="T61" s="15"/>
      <c r="U61" s="15"/>
      <c r="V61" s="15"/>
      <c r="W61" s="15"/>
      <c r="X61" s="15"/>
      <c r="Y61" s="15"/>
      <c r="Z61" s="15"/>
    </row>
    <row r="62" spans="1:26" ht="15.75" customHeight="1" x14ac:dyDescent="0.25">
      <c r="A62" s="24"/>
      <c r="B62" s="25"/>
      <c r="C62" s="24"/>
      <c r="D62" s="24"/>
      <c r="E62" s="24"/>
      <c r="F62" s="26"/>
      <c r="G62" s="15"/>
      <c r="H62" s="15"/>
      <c r="I62" s="15"/>
      <c r="J62" s="15"/>
      <c r="K62" s="167"/>
      <c r="L62" s="15"/>
      <c r="M62" s="15"/>
      <c r="N62" s="15"/>
      <c r="O62" s="15"/>
      <c r="P62" s="15"/>
      <c r="Q62" s="15"/>
      <c r="R62" s="15"/>
      <c r="S62" s="15"/>
      <c r="T62" s="15"/>
      <c r="U62" s="15"/>
      <c r="V62" s="15"/>
      <c r="W62" s="15"/>
      <c r="X62" s="15"/>
      <c r="Y62" s="15"/>
      <c r="Z62" s="15"/>
    </row>
    <row r="63" spans="1:26" ht="15.75" customHeight="1" x14ac:dyDescent="0.25">
      <c r="A63" s="24"/>
      <c r="B63" s="25"/>
      <c r="C63" s="24"/>
      <c r="D63" s="24"/>
      <c r="E63" s="24"/>
      <c r="F63" s="26"/>
      <c r="G63" s="15"/>
      <c r="H63" s="15"/>
      <c r="I63" s="15"/>
      <c r="J63" s="15"/>
      <c r="K63" s="167"/>
      <c r="L63" s="15"/>
      <c r="M63" s="15"/>
      <c r="N63" s="15"/>
      <c r="O63" s="15"/>
      <c r="P63" s="15"/>
      <c r="Q63" s="15"/>
      <c r="R63" s="15"/>
      <c r="S63" s="15"/>
      <c r="T63" s="15"/>
      <c r="U63" s="15"/>
      <c r="V63" s="15"/>
      <c r="W63" s="15"/>
      <c r="X63" s="15"/>
      <c r="Y63" s="15"/>
      <c r="Z63" s="15"/>
    </row>
    <row r="64" spans="1:26" ht="15.75" customHeight="1" x14ac:dyDescent="0.25">
      <c r="A64" s="24"/>
      <c r="B64" s="25"/>
      <c r="C64" s="24"/>
      <c r="D64" s="24"/>
      <c r="E64" s="24"/>
      <c r="F64" s="26"/>
      <c r="G64" s="15"/>
      <c r="H64" s="15"/>
      <c r="I64" s="15"/>
      <c r="J64" s="15"/>
      <c r="K64" s="167"/>
      <c r="L64" s="15"/>
      <c r="M64" s="15"/>
      <c r="N64" s="15"/>
      <c r="O64" s="15"/>
      <c r="P64" s="15"/>
      <c r="Q64" s="15"/>
      <c r="R64" s="15"/>
      <c r="S64" s="15"/>
      <c r="T64" s="15"/>
      <c r="U64" s="15"/>
      <c r="V64" s="15"/>
      <c r="W64" s="15"/>
      <c r="X64" s="15"/>
      <c r="Y64" s="15"/>
      <c r="Z64" s="15"/>
    </row>
    <row r="65" spans="1:26" ht="15.75" customHeight="1" x14ac:dyDescent="0.25">
      <c r="A65" s="24"/>
      <c r="B65" s="25"/>
      <c r="C65" s="24"/>
      <c r="D65" s="24"/>
      <c r="E65" s="24"/>
      <c r="F65" s="26"/>
      <c r="G65" s="15"/>
      <c r="H65" s="15"/>
      <c r="I65" s="15"/>
      <c r="J65" s="15"/>
      <c r="K65" s="167"/>
      <c r="L65" s="15"/>
      <c r="M65" s="15"/>
      <c r="N65" s="15"/>
      <c r="O65" s="15"/>
      <c r="P65" s="15"/>
      <c r="Q65" s="15"/>
      <c r="R65" s="15"/>
      <c r="S65" s="15"/>
      <c r="T65" s="15"/>
      <c r="U65" s="15"/>
      <c r="V65" s="15"/>
      <c r="W65" s="15"/>
      <c r="X65" s="15"/>
      <c r="Y65" s="15"/>
      <c r="Z65" s="15"/>
    </row>
    <row r="66" spans="1:26" ht="15.75" customHeight="1" x14ac:dyDescent="0.25">
      <c r="A66" s="24"/>
      <c r="B66" s="25"/>
      <c r="C66" s="24"/>
      <c r="D66" s="24"/>
      <c r="E66" s="24"/>
      <c r="F66" s="26"/>
      <c r="G66" s="15"/>
      <c r="H66" s="15"/>
      <c r="I66" s="15"/>
      <c r="J66" s="15"/>
      <c r="K66" s="167"/>
      <c r="L66" s="15"/>
      <c r="M66" s="15"/>
      <c r="N66" s="15"/>
      <c r="O66" s="15"/>
      <c r="P66" s="15"/>
      <c r="Q66" s="15"/>
      <c r="R66" s="15"/>
      <c r="S66" s="15"/>
      <c r="T66" s="15"/>
      <c r="U66" s="15"/>
      <c r="V66" s="15"/>
      <c r="W66" s="15"/>
      <c r="X66" s="15"/>
      <c r="Y66" s="15"/>
      <c r="Z66" s="15"/>
    </row>
    <row r="67" spans="1:26" ht="15.75" customHeight="1" x14ac:dyDescent="0.25">
      <c r="A67" s="24"/>
      <c r="B67" s="25"/>
      <c r="C67" s="24"/>
      <c r="D67" s="24"/>
      <c r="E67" s="24"/>
      <c r="F67" s="26"/>
      <c r="G67" s="15"/>
      <c r="H67" s="15"/>
      <c r="I67" s="15"/>
      <c r="J67" s="15"/>
      <c r="K67" s="167"/>
      <c r="L67" s="15"/>
      <c r="M67" s="15"/>
      <c r="N67" s="15"/>
      <c r="O67" s="15"/>
      <c r="P67" s="15"/>
      <c r="Q67" s="15"/>
      <c r="R67" s="15"/>
      <c r="S67" s="15"/>
      <c r="T67" s="15"/>
      <c r="U67" s="15"/>
      <c r="V67" s="15"/>
      <c r="W67" s="15"/>
      <c r="X67" s="15"/>
      <c r="Y67" s="15"/>
      <c r="Z67" s="15"/>
    </row>
    <row r="68" spans="1:26" ht="15.75" customHeight="1" x14ac:dyDescent="0.25">
      <c r="A68" s="24"/>
      <c r="B68" s="25"/>
      <c r="C68" s="24"/>
      <c r="D68" s="24"/>
      <c r="E68" s="24"/>
      <c r="F68" s="26"/>
      <c r="G68" s="15"/>
      <c r="H68" s="15"/>
      <c r="I68" s="15"/>
      <c r="J68" s="15"/>
      <c r="K68" s="167"/>
      <c r="L68" s="15"/>
      <c r="M68" s="15"/>
      <c r="N68" s="15"/>
      <c r="O68" s="15"/>
      <c r="P68" s="15"/>
      <c r="Q68" s="15"/>
      <c r="R68" s="15"/>
      <c r="S68" s="15"/>
      <c r="T68" s="15"/>
      <c r="U68" s="15"/>
      <c r="V68" s="15"/>
      <c r="W68" s="15"/>
      <c r="X68" s="15"/>
      <c r="Y68" s="15"/>
      <c r="Z68" s="15"/>
    </row>
    <row r="69" spans="1:26" ht="15.75" customHeight="1" x14ac:dyDescent="0.25">
      <c r="A69" s="24"/>
      <c r="B69" s="25"/>
      <c r="C69" s="24"/>
      <c r="D69" s="24"/>
      <c r="E69" s="24"/>
      <c r="F69" s="26"/>
      <c r="G69" s="15"/>
      <c r="H69" s="15"/>
      <c r="I69" s="15"/>
      <c r="J69" s="15"/>
      <c r="K69" s="167"/>
      <c r="L69" s="15"/>
      <c r="M69" s="15"/>
      <c r="N69" s="15"/>
      <c r="O69" s="15"/>
      <c r="P69" s="15"/>
      <c r="Q69" s="15"/>
      <c r="R69" s="15"/>
      <c r="S69" s="15"/>
      <c r="T69" s="15"/>
      <c r="U69" s="15"/>
      <c r="V69" s="15"/>
      <c r="W69" s="15"/>
      <c r="X69" s="15"/>
      <c r="Y69" s="15"/>
      <c r="Z69" s="15"/>
    </row>
    <row r="70" spans="1:26" ht="15.75" customHeight="1" x14ac:dyDescent="0.25">
      <c r="A70" s="24"/>
      <c r="B70" s="25"/>
      <c r="C70" s="24"/>
      <c r="D70" s="24"/>
      <c r="E70" s="24"/>
      <c r="F70" s="26"/>
      <c r="G70" s="15"/>
      <c r="H70" s="15"/>
      <c r="I70" s="15"/>
      <c r="J70" s="15"/>
      <c r="K70" s="167"/>
      <c r="L70" s="15"/>
      <c r="M70" s="15"/>
      <c r="N70" s="15"/>
      <c r="O70" s="15"/>
      <c r="P70" s="15"/>
      <c r="Q70" s="15"/>
      <c r="R70" s="15"/>
      <c r="S70" s="15"/>
      <c r="T70" s="15"/>
      <c r="U70" s="15"/>
      <c r="V70" s="15"/>
      <c r="W70" s="15"/>
      <c r="X70" s="15"/>
      <c r="Y70" s="15"/>
      <c r="Z70" s="15"/>
    </row>
    <row r="71" spans="1:26" ht="15.75" customHeight="1" x14ac:dyDescent="0.25">
      <c r="A71" s="24"/>
      <c r="B71" s="25"/>
      <c r="C71" s="24"/>
      <c r="D71" s="24"/>
      <c r="E71" s="24"/>
      <c r="F71" s="26"/>
      <c r="G71" s="15"/>
      <c r="H71" s="15"/>
      <c r="I71" s="15"/>
      <c r="J71" s="15"/>
      <c r="K71" s="167"/>
      <c r="L71" s="15"/>
      <c r="M71" s="15"/>
      <c r="N71" s="15"/>
      <c r="O71" s="15"/>
      <c r="P71" s="15"/>
      <c r="Q71" s="15"/>
      <c r="R71" s="15"/>
      <c r="S71" s="15"/>
      <c r="T71" s="15"/>
      <c r="U71" s="15"/>
      <c r="V71" s="15"/>
      <c r="W71" s="15"/>
      <c r="X71" s="15"/>
      <c r="Y71" s="15"/>
      <c r="Z71" s="15"/>
    </row>
    <row r="72" spans="1:26" ht="15.75" customHeight="1" x14ac:dyDescent="0.25">
      <c r="A72" s="24"/>
      <c r="B72" s="25"/>
      <c r="C72" s="24"/>
      <c r="D72" s="24"/>
      <c r="E72" s="24"/>
      <c r="F72" s="26"/>
      <c r="G72" s="15"/>
      <c r="H72" s="15"/>
      <c r="I72" s="15"/>
      <c r="J72" s="15"/>
      <c r="K72" s="167"/>
      <c r="L72" s="15"/>
      <c r="M72" s="15"/>
      <c r="N72" s="15"/>
      <c r="O72" s="15"/>
      <c r="P72" s="15"/>
      <c r="Q72" s="15"/>
      <c r="R72" s="15"/>
      <c r="S72" s="15"/>
      <c r="T72" s="15"/>
      <c r="U72" s="15"/>
      <c r="V72" s="15"/>
      <c r="W72" s="15"/>
      <c r="X72" s="15"/>
      <c r="Y72" s="15"/>
      <c r="Z72" s="15"/>
    </row>
    <row r="73" spans="1:26" ht="15.75" customHeight="1" x14ac:dyDescent="0.25">
      <c r="A73" s="24"/>
      <c r="B73" s="25"/>
      <c r="C73" s="24"/>
      <c r="D73" s="24"/>
      <c r="E73" s="24"/>
      <c r="F73" s="26"/>
      <c r="G73" s="15"/>
      <c r="H73" s="15"/>
      <c r="I73" s="15"/>
      <c r="J73" s="15"/>
      <c r="K73" s="167"/>
      <c r="L73" s="15"/>
      <c r="M73" s="15"/>
      <c r="N73" s="15"/>
      <c r="O73" s="15"/>
      <c r="P73" s="15"/>
      <c r="Q73" s="15"/>
      <c r="R73" s="15"/>
      <c r="S73" s="15"/>
      <c r="T73" s="15"/>
      <c r="U73" s="15"/>
      <c r="V73" s="15"/>
      <c r="W73" s="15"/>
      <c r="X73" s="15"/>
      <c r="Y73" s="15"/>
      <c r="Z73" s="15"/>
    </row>
    <row r="74" spans="1:26" ht="15.75" customHeight="1" x14ac:dyDescent="0.25">
      <c r="A74" s="24"/>
      <c r="B74" s="25"/>
      <c r="C74" s="24"/>
      <c r="D74" s="24"/>
      <c r="E74" s="24"/>
      <c r="F74" s="26"/>
      <c r="G74" s="15"/>
      <c r="H74" s="15"/>
      <c r="I74" s="15"/>
      <c r="J74" s="15"/>
      <c r="K74" s="167"/>
      <c r="L74" s="15"/>
      <c r="M74" s="15"/>
      <c r="N74" s="15"/>
      <c r="O74" s="15"/>
      <c r="P74" s="15"/>
      <c r="Q74" s="15"/>
      <c r="R74" s="15"/>
      <c r="S74" s="15"/>
      <c r="T74" s="15"/>
      <c r="U74" s="15"/>
      <c r="V74" s="15"/>
      <c r="W74" s="15"/>
      <c r="X74" s="15"/>
      <c r="Y74" s="15"/>
      <c r="Z74" s="15"/>
    </row>
    <row r="75" spans="1:26" ht="15.75" customHeight="1" x14ac:dyDescent="0.25">
      <c r="A75" s="24"/>
      <c r="B75" s="25"/>
      <c r="C75" s="24"/>
      <c r="D75" s="24"/>
      <c r="E75" s="24"/>
      <c r="F75" s="26"/>
      <c r="G75" s="15"/>
      <c r="H75" s="15"/>
      <c r="I75" s="15"/>
      <c r="J75" s="15"/>
      <c r="K75" s="167"/>
      <c r="L75" s="15"/>
      <c r="M75" s="15"/>
      <c r="N75" s="15"/>
      <c r="O75" s="15"/>
      <c r="P75" s="15"/>
      <c r="Q75" s="15"/>
      <c r="R75" s="15"/>
      <c r="S75" s="15"/>
      <c r="T75" s="15"/>
      <c r="U75" s="15"/>
      <c r="V75" s="15"/>
      <c r="W75" s="15"/>
      <c r="X75" s="15"/>
      <c r="Y75" s="15"/>
      <c r="Z75" s="15"/>
    </row>
    <row r="76" spans="1:26" ht="15.75" customHeight="1" x14ac:dyDescent="0.25">
      <c r="A76" s="24"/>
      <c r="B76" s="25"/>
      <c r="C76" s="24"/>
      <c r="D76" s="24"/>
      <c r="E76" s="24"/>
      <c r="F76" s="26"/>
      <c r="G76" s="15"/>
      <c r="H76" s="15"/>
      <c r="I76" s="15"/>
      <c r="J76" s="15"/>
      <c r="K76" s="167"/>
      <c r="L76" s="15"/>
      <c r="M76" s="15"/>
      <c r="N76" s="15"/>
      <c r="O76" s="15"/>
      <c r="P76" s="15"/>
      <c r="Q76" s="15"/>
      <c r="R76" s="15"/>
      <c r="S76" s="15"/>
      <c r="T76" s="15"/>
      <c r="U76" s="15"/>
      <c r="V76" s="15"/>
      <c r="W76" s="15"/>
      <c r="X76" s="15"/>
      <c r="Y76" s="15"/>
      <c r="Z76" s="15"/>
    </row>
    <row r="77" spans="1:26" ht="15.75" customHeight="1" x14ac:dyDescent="0.25">
      <c r="A77" s="24"/>
      <c r="B77" s="25"/>
      <c r="C77" s="24"/>
      <c r="D77" s="24"/>
      <c r="E77" s="24"/>
      <c r="F77" s="26"/>
      <c r="G77" s="15"/>
      <c r="H77" s="15"/>
      <c r="I77" s="15"/>
      <c r="J77" s="15"/>
      <c r="K77" s="167"/>
      <c r="L77" s="15"/>
      <c r="M77" s="15"/>
      <c r="N77" s="15"/>
      <c r="O77" s="15"/>
      <c r="P77" s="15"/>
      <c r="Q77" s="15"/>
      <c r="R77" s="15"/>
      <c r="S77" s="15"/>
      <c r="T77" s="15"/>
      <c r="U77" s="15"/>
      <c r="V77" s="15"/>
      <c r="W77" s="15"/>
      <c r="X77" s="15"/>
      <c r="Y77" s="15"/>
      <c r="Z77" s="15"/>
    </row>
    <row r="78" spans="1:26" ht="15.75" customHeight="1" x14ac:dyDescent="0.25">
      <c r="A78" s="24"/>
      <c r="B78" s="25"/>
      <c r="C78" s="24"/>
      <c r="D78" s="24"/>
      <c r="E78" s="24"/>
      <c r="F78" s="26"/>
      <c r="G78" s="15"/>
      <c r="H78" s="15"/>
      <c r="I78" s="15"/>
      <c r="J78" s="15"/>
      <c r="K78" s="167"/>
      <c r="L78" s="15"/>
      <c r="M78" s="15"/>
      <c r="N78" s="15"/>
      <c r="O78" s="15"/>
      <c r="P78" s="15"/>
      <c r="Q78" s="15"/>
      <c r="R78" s="15"/>
      <c r="S78" s="15"/>
      <c r="T78" s="15"/>
      <c r="U78" s="15"/>
      <c r="V78" s="15"/>
      <c r="W78" s="15"/>
      <c r="X78" s="15"/>
      <c r="Y78" s="15"/>
      <c r="Z78" s="15"/>
    </row>
    <row r="79" spans="1:26" ht="15.75" customHeight="1" x14ac:dyDescent="0.25">
      <c r="A79" s="24"/>
      <c r="B79" s="25"/>
      <c r="C79" s="24"/>
      <c r="D79" s="24"/>
      <c r="E79" s="24"/>
      <c r="F79" s="26"/>
      <c r="G79" s="15"/>
      <c r="H79" s="15"/>
      <c r="I79" s="15"/>
      <c r="J79" s="15"/>
      <c r="K79" s="167"/>
      <c r="L79" s="15"/>
      <c r="M79" s="15"/>
      <c r="N79" s="15"/>
      <c r="O79" s="15"/>
      <c r="P79" s="15"/>
      <c r="Q79" s="15"/>
      <c r="R79" s="15"/>
      <c r="S79" s="15"/>
      <c r="T79" s="15"/>
      <c r="U79" s="15"/>
      <c r="V79" s="15"/>
      <c r="W79" s="15"/>
      <c r="X79" s="15"/>
      <c r="Y79" s="15"/>
      <c r="Z79" s="15"/>
    </row>
    <row r="80" spans="1:26" ht="15.75" customHeight="1" x14ac:dyDescent="0.25">
      <c r="A80" s="24"/>
      <c r="B80" s="25"/>
      <c r="C80" s="24"/>
      <c r="D80" s="24"/>
      <c r="E80" s="24"/>
      <c r="F80" s="26"/>
      <c r="G80" s="15"/>
      <c r="H80" s="15"/>
      <c r="I80" s="15"/>
      <c r="J80" s="15"/>
      <c r="K80" s="167"/>
      <c r="L80" s="15"/>
      <c r="M80" s="15"/>
      <c r="N80" s="15"/>
      <c r="O80" s="15"/>
      <c r="P80" s="15"/>
      <c r="Q80" s="15"/>
      <c r="R80" s="15"/>
      <c r="S80" s="15"/>
      <c r="T80" s="15"/>
      <c r="U80" s="15"/>
      <c r="V80" s="15"/>
      <c r="W80" s="15"/>
      <c r="X80" s="15"/>
      <c r="Y80" s="15"/>
      <c r="Z80" s="15"/>
    </row>
    <row r="81" spans="1:26" ht="15.75" customHeight="1" x14ac:dyDescent="0.25">
      <c r="A81" s="24"/>
      <c r="B81" s="25"/>
      <c r="C81" s="24"/>
      <c r="D81" s="24"/>
      <c r="E81" s="24"/>
      <c r="F81" s="26"/>
      <c r="G81" s="15"/>
      <c r="H81" s="15"/>
      <c r="I81" s="15"/>
      <c r="J81" s="15"/>
      <c r="K81" s="167"/>
      <c r="L81" s="15"/>
      <c r="M81" s="15"/>
      <c r="N81" s="15"/>
      <c r="O81" s="15"/>
      <c r="P81" s="15"/>
      <c r="Q81" s="15"/>
      <c r="R81" s="15"/>
      <c r="S81" s="15"/>
      <c r="T81" s="15"/>
      <c r="U81" s="15"/>
      <c r="V81" s="15"/>
      <c r="W81" s="15"/>
      <c r="X81" s="15"/>
      <c r="Y81" s="15"/>
      <c r="Z81" s="15"/>
    </row>
    <row r="82" spans="1:26" ht="15.75" customHeight="1" x14ac:dyDescent="0.25">
      <c r="A82" s="24"/>
      <c r="B82" s="25"/>
      <c r="C82" s="24"/>
      <c r="D82" s="24"/>
      <c r="E82" s="24"/>
      <c r="F82" s="26"/>
      <c r="G82" s="15"/>
      <c r="H82" s="15"/>
      <c r="I82" s="15"/>
      <c r="J82" s="15"/>
      <c r="K82" s="167"/>
      <c r="L82" s="15"/>
      <c r="M82" s="15"/>
      <c r="N82" s="15"/>
      <c r="O82" s="15"/>
      <c r="P82" s="15"/>
      <c r="Q82" s="15"/>
      <c r="R82" s="15"/>
      <c r="S82" s="15"/>
      <c r="T82" s="15"/>
      <c r="U82" s="15"/>
      <c r="V82" s="15"/>
      <c r="W82" s="15"/>
      <c r="X82" s="15"/>
      <c r="Y82" s="15"/>
      <c r="Z82" s="15"/>
    </row>
    <row r="83" spans="1:26" ht="15.75" customHeight="1" x14ac:dyDescent="0.25">
      <c r="A83" s="24"/>
      <c r="B83" s="25"/>
      <c r="C83" s="24"/>
      <c r="D83" s="24"/>
      <c r="E83" s="24"/>
      <c r="F83" s="26"/>
      <c r="G83" s="15"/>
      <c r="H83" s="15"/>
      <c r="I83" s="15"/>
      <c r="J83" s="15"/>
      <c r="K83" s="167"/>
      <c r="L83" s="15"/>
      <c r="M83" s="15"/>
      <c r="N83" s="15"/>
      <c r="O83" s="15"/>
      <c r="P83" s="15"/>
      <c r="Q83" s="15"/>
      <c r="R83" s="15"/>
      <c r="S83" s="15"/>
      <c r="T83" s="15"/>
      <c r="U83" s="15"/>
      <c r="V83" s="15"/>
      <c r="W83" s="15"/>
      <c r="X83" s="15"/>
      <c r="Y83" s="15"/>
      <c r="Z83" s="15"/>
    </row>
    <row r="84" spans="1:26" ht="15.75" customHeight="1" x14ac:dyDescent="0.25">
      <c r="A84" s="24"/>
      <c r="B84" s="25"/>
      <c r="C84" s="24"/>
      <c r="D84" s="24"/>
      <c r="E84" s="24"/>
      <c r="F84" s="26"/>
      <c r="G84" s="15"/>
      <c r="H84" s="15"/>
      <c r="I84" s="15"/>
      <c r="J84" s="15"/>
      <c r="K84" s="167"/>
      <c r="L84" s="15"/>
      <c r="M84" s="15"/>
      <c r="N84" s="15"/>
      <c r="O84" s="15"/>
      <c r="P84" s="15"/>
      <c r="Q84" s="15"/>
      <c r="R84" s="15"/>
      <c r="S84" s="15"/>
      <c r="T84" s="15"/>
      <c r="U84" s="15"/>
      <c r="V84" s="15"/>
      <c r="W84" s="15"/>
      <c r="X84" s="15"/>
      <c r="Y84" s="15"/>
      <c r="Z84" s="15"/>
    </row>
    <row r="85" spans="1:26" ht="15.75" customHeight="1" x14ac:dyDescent="0.25">
      <c r="A85" s="24"/>
      <c r="B85" s="25"/>
      <c r="C85" s="24"/>
      <c r="D85" s="24"/>
      <c r="E85" s="24"/>
      <c r="F85" s="26"/>
      <c r="G85" s="15"/>
      <c r="H85" s="15"/>
      <c r="I85" s="15"/>
      <c r="J85" s="15"/>
      <c r="K85" s="167"/>
      <c r="L85" s="15"/>
      <c r="M85" s="15"/>
      <c r="N85" s="15"/>
      <c r="O85" s="15"/>
      <c r="P85" s="15"/>
      <c r="Q85" s="15"/>
      <c r="R85" s="15"/>
      <c r="S85" s="15"/>
      <c r="T85" s="15"/>
      <c r="U85" s="15"/>
      <c r="V85" s="15"/>
      <c r="W85" s="15"/>
      <c r="X85" s="15"/>
      <c r="Y85" s="15"/>
      <c r="Z85" s="15"/>
    </row>
    <row r="86" spans="1:26" ht="15.75" customHeight="1" x14ac:dyDescent="0.25">
      <c r="A86" s="24"/>
      <c r="B86" s="25"/>
      <c r="C86" s="24"/>
      <c r="D86" s="24"/>
      <c r="E86" s="24"/>
      <c r="F86" s="26"/>
      <c r="G86" s="15"/>
      <c r="H86" s="15"/>
      <c r="I86" s="15"/>
      <c r="J86" s="15"/>
      <c r="K86" s="167"/>
      <c r="L86" s="15"/>
      <c r="M86" s="15"/>
      <c r="N86" s="15"/>
      <c r="O86" s="15"/>
      <c r="P86" s="15"/>
      <c r="Q86" s="15"/>
      <c r="R86" s="15"/>
      <c r="S86" s="15"/>
      <c r="T86" s="15"/>
      <c r="U86" s="15"/>
      <c r="V86" s="15"/>
      <c r="W86" s="15"/>
      <c r="X86" s="15"/>
      <c r="Y86" s="15"/>
      <c r="Z86" s="15"/>
    </row>
    <row r="87" spans="1:26" ht="15.75" customHeight="1" x14ac:dyDescent="0.25">
      <c r="A87" s="24"/>
      <c r="B87" s="25"/>
      <c r="C87" s="24"/>
      <c r="D87" s="24"/>
      <c r="E87" s="24"/>
      <c r="F87" s="26"/>
      <c r="G87" s="15"/>
      <c r="H87" s="15"/>
      <c r="I87" s="15"/>
      <c r="J87" s="15"/>
      <c r="K87" s="167"/>
      <c r="L87" s="15"/>
      <c r="M87" s="15"/>
      <c r="N87" s="15"/>
      <c r="O87" s="15"/>
      <c r="P87" s="15"/>
      <c r="Q87" s="15"/>
      <c r="R87" s="15"/>
      <c r="S87" s="15"/>
      <c r="T87" s="15"/>
      <c r="U87" s="15"/>
      <c r="V87" s="15"/>
      <c r="W87" s="15"/>
      <c r="X87" s="15"/>
      <c r="Y87" s="15"/>
      <c r="Z87" s="15"/>
    </row>
    <row r="88" spans="1:26" ht="15.75" customHeight="1" x14ac:dyDescent="0.25">
      <c r="A88" s="24"/>
      <c r="B88" s="25"/>
      <c r="C88" s="24"/>
      <c r="D88" s="24"/>
      <c r="E88" s="24"/>
      <c r="F88" s="26"/>
      <c r="G88" s="15"/>
      <c r="H88" s="15"/>
      <c r="I88" s="15"/>
      <c r="J88" s="15"/>
      <c r="K88" s="167"/>
      <c r="L88" s="15"/>
      <c r="M88" s="15"/>
      <c r="N88" s="15"/>
      <c r="O88" s="15"/>
      <c r="P88" s="15"/>
      <c r="Q88" s="15"/>
      <c r="R88" s="15"/>
      <c r="S88" s="15"/>
      <c r="T88" s="15"/>
      <c r="U88" s="15"/>
      <c r="V88" s="15"/>
      <c r="W88" s="15"/>
      <c r="X88" s="15"/>
      <c r="Y88" s="15"/>
      <c r="Z88" s="15"/>
    </row>
    <row r="89" spans="1:26" ht="15.75" customHeight="1" x14ac:dyDescent="0.25">
      <c r="A89" s="24"/>
      <c r="B89" s="25"/>
      <c r="C89" s="24"/>
      <c r="D89" s="24"/>
      <c r="E89" s="24"/>
      <c r="F89" s="26"/>
      <c r="G89" s="15"/>
      <c r="H89" s="15"/>
      <c r="I89" s="15"/>
      <c r="J89" s="15"/>
      <c r="K89" s="167"/>
      <c r="L89" s="15"/>
      <c r="M89" s="15"/>
      <c r="N89" s="15"/>
      <c r="O89" s="15"/>
      <c r="P89" s="15"/>
      <c r="Q89" s="15"/>
      <c r="R89" s="15"/>
      <c r="S89" s="15"/>
      <c r="T89" s="15"/>
      <c r="U89" s="15"/>
      <c r="V89" s="15"/>
      <c r="W89" s="15"/>
      <c r="X89" s="15"/>
      <c r="Y89" s="15"/>
      <c r="Z89" s="15"/>
    </row>
    <row r="90" spans="1:26" ht="15.75" customHeight="1" x14ac:dyDescent="0.25">
      <c r="A90" s="24"/>
      <c r="B90" s="25"/>
      <c r="C90" s="24"/>
      <c r="D90" s="24"/>
      <c r="E90" s="24"/>
      <c r="F90" s="26"/>
      <c r="G90" s="15"/>
      <c r="H90" s="15"/>
      <c r="I90" s="15"/>
      <c r="J90" s="15"/>
      <c r="K90" s="167"/>
      <c r="L90" s="15"/>
      <c r="M90" s="15"/>
      <c r="N90" s="15"/>
      <c r="O90" s="15"/>
      <c r="P90" s="15"/>
      <c r="Q90" s="15"/>
      <c r="R90" s="15"/>
      <c r="S90" s="15"/>
      <c r="T90" s="15"/>
      <c r="U90" s="15"/>
      <c r="V90" s="15"/>
      <c r="W90" s="15"/>
      <c r="X90" s="15"/>
      <c r="Y90" s="15"/>
      <c r="Z90" s="15"/>
    </row>
    <row r="91" spans="1:26" ht="15.75" customHeight="1" x14ac:dyDescent="0.25">
      <c r="A91" s="24"/>
      <c r="B91" s="25"/>
      <c r="C91" s="24"/>
      <c r="D91" s="24"/>
      <c r="E91" s="24"/>
      <c r="F91" s="26"/>
      <c r="G91" s="15"/>
      <c r="H91" s="15"/>
      <c r="I91" s="15"/>
      <c r="J91" s="15"/>
      <c r="K91" s="167"/>
      <c r="L91" s="15"/>
      <c r="M91" s="15"/>
      <c r="N91" s="15"/>
      <c r="O91" s="15"/>
      <c r="P91" s="15"/>
      <c r="Q91" s="15"/>
      <c r="R91" s="15"/>
      <c r="S91" s="15"/>
      <c r="T91" s="15"/>
      <c r="U91" s="15"/>
      <c r="V91" s="15"/>
      <c r="W91" s="15"/>
      <c r="X91" s="15"/>
      <c r="Y91" s="15"/>
      <c r="Z91" s="15"/>
    </row>
    <row r="92" spans="1:26" ht="15.75" customHeight="1" x14ac:dyDescent="0.25">
      <c r="A92" s="24"/>
      <c r="B92" s="25"/>
      <c r="C92" s="24"/>
      <c r="D92" s="24"/>
      <c r="E92" s="24"/>
      <c r="F92" s="26"/>
      <c r="G92" s="15"/>
      <c r="H92" s="15"/>
      <c r="I92" s="15"/>
      <c r="J92" s="15"/>
      <c r="K92" s="167"/>
      <c r="L92" s="15"/>
      <c r="M92" s="15"/>
      <c r="N92" s="15"/>
      <c r="O92" s="15"/>
      <c r="P92" s="15"/>
      <c r="Q92" s="15"/>
      <c r="R92" s="15"/>
      <c r="S92" s="15"/>
      <c r="T92" s="15"/>
      <c r="U92" s="15"/>
      <c r="V92" s="15"/>
      <c r="W92" s="15"/>
      <c r="X92" s="15"/>
      <c r="Y92" s="15"/>
      <c r="Z92" s="15"/>
    </row>
    <row r="93" spans="1:26" ht="15.75" customHeight="1" x14ac:dyDescent="0.25">
      <c r="A93" s="24"/>
      <c r="B93" s="25"/>
      <c r="C93" s="24"/>
      <c r="D93" s="24"/>
      <c r="E93" s="24"/>
      <c r="F93" s="26"/>
      <c r="G93" s="15"/>
      <c r="H93" s="15"/>
      <c r="I93" s="15"/>
      <c r="J93" s="15"/>
      <c r="K93" s="167"/>
      <c r="L93" s="15"/>
      <c r="M93" s="15"/>
      <c r="N93" s="15"/>
      <c r="O93" s="15"/>
      <c r="P93" s="15"/>
      <c r="Q93" s="15"/>
      <c r="R93" s="15"/>
      <c r="S93" s="15"/>
      <c r="T93" s="15"/>
      <c r="U93" s="15"/>
      <c r="V93" s="15"/>
      <c r="W93" s="15"/>
      <c r="X93" s="15"/>
      <c r="Y93" s="15"/>
      <c r="Z93" s="15"/>
    </row>
    <row r="94" spans="1:26" ht="15.75" customHeight="1" x14ac:dyDescent="0.25">
      <c r="A94" s="24"/>
      <c r="B94" s="25"/>
      <c r="C94" s="24"/>
      <c r="D94" s="24"/>
      <c r="E94" s="24"/>
      <c r="F94" s="26"/>
      <c r="G94" s="15"/>
      <c r="H94" s="15"/>
      <c r="I94" s="15"/>
      <c r="J94" s="15"/>
      <c r="K94" s="167"/>
      <c r="L94" s="15"/>
      <c r="M94" s="15"/>
      <c r="N94" s="15"/>
      <c r="O94" s="15"/>
      <c r="P94" s="15"/>
      <c r="Q94" s="15"/>
      <c r="R94" s="15"/>
      <c r="S94" s="15"/>
      <c r="T94" s="15"/>
      <c r="U94" s="15"/>
      <c r="V94" s="15"/>
      <c r="W94" s="15"/>
      <c r="X94" s="15"/>
      <c r="Y94" s="15"/>
      <c r="Z94" s="15"/>
    </row>
    <row r="95" spans="1:26" ht="15.75" customHeight="1" x14ac:dyDescent="0.25">
      <c r="A95" s="24"/>
      <c r="B95" s="25"/>
      <c r="C95" s="24"/>
      <c r="D95" s="24"/>
      <c r="E95" s="24"/>
      <c r="F95" s="26"/>
      <c r="G95" s="15"/>
      <c r="H95" s="15"/>
      <c r="I95" s="15"/>
      <c r="J95" s="15"/>
      <c r="K95" s="167"/>
      <c r="L95" s="15"/>
      <c r="M95" s="15"/>
      <c r="N95" s="15"/>
      <c r="O95" s="15"/>
      <c r="P95" s="15"/>
      <c r="Q95" s="15"/>
      <c r="R95" s="15"/>
      <c r="S95" s="15"/>
      <c r="T95" s="15"/>
      <c r="U95" s="15"/>
      <c r="V95" s="15"/>
      <c r="W95" s="15"/>
      <c r="X95" s="15"/>
      <c r="Y95" s="15"/>
      <c r="Z95" s="15"/>
    </row>
    <row r="96" spans="1:26" ht="15.75" customHeight="1" x14ac:dyDescent="0.25">
      <c r="A96" s="24"/>
      <c r="B96" s="25"/>
      <c r="C96" s="24"/>
      <c r="D96" s="24"/>
      <c r="E96" s="24"/>
      <c r="F96" s="26"/>
      <c r="G96" s="15"/>
      <c r="H96" s="15"/>
      <c r="I96" s="15"/>
      <c r="J96" s="15"/>
      <c r="K96" s="167"/>
      <c r="L96" s="15"/>
      <c r="M96" s="15"/>
      <c r="N96" s="15"/>
      <c r="O96" s="15"/>
      <c r="P96" s="15"/>
      <c r="Q96" s="15"/>
      <c r="R96" s="15"/>
      <c r="S96" s="15"/>
      <c r="T96" s="15"/>
      <c r="U96" s="15"/>
      <c r="V96" s="15"/>
      <c r="W96" s="15"/>
      <c r="X96" s="15"/>
      <c r="Y96" s="15"/>
      <c r="Z96" s="15"/>
    </row>
    <row r="97" spans="1:26" ht="15.75" customHeight="1" x14ac:dyDescent="0.25">
      <c r="A97" s="24"/>
      <c r="B97" s="25"/>
      <c r="C97" s="24"/>
      <c r="D97" s="24"/>
      <c r="E97" s="24"/>
      <c r="F97" s="26"/>
      <c r="G97" s="15"/>
      <c r="H97" s="15"/>
      <c r="I97" s="15"/>
      <c r="J97" s="15"/>
      <c r="K97" s="167"/>
      <c r="L97" s="15"/>
      <c r="M97" s="15"/>
      <c r="N97" s="15"/>
      <c r="O97" s="15"/>
      <c r="P97" s="15"/>
      <c r="Q97" s="15"/>
      <c r="R97" s="15"/>
      <c r="S97" s="15"/>
      <c r="T97" s="15"/>
      <c r="U97" s="15"/>
      <c r="V97" s="15"/>
      <c r="W97" s="15"/>
      <c r="X97" s="15"/>
      <c r="Y97" s="15"/>
      <c r="Z97" s="15"/>
    </row>
    <row r="98" spans="1:26" ht="15.75" customHeight="1" x14ac:dyDescent="0.25">
      <c r="A98" s="24"/>
      <c r="B98" s="25"/>
      <c r="C98" s="24"/>
      <c r="D98" s="24"/>
      <c r="E98" s="24"/>
      <c r="F98" s="26"/>
      <c r="G98" s="15"/>
      <c r="H98" s="15"/>
      <c r="I98" s="15"/>
      <c r="J98" s="15"/>
      <c r="K98" s="167"/>
      <c r="L98" s="15"/>
      <c r="M98" s="15"/>
      <c r="N98" s="15"/>
      <c r="O98" s="15"/>
      <c r="P98" s="15"/>
      <c r="Q98" s="15"/>
      <c r="R98" s="15"/>
      <c r="S98" s="15"/>
      <c r="T98" s="15"/>
      <c r="U98" s="15"/>
      <c r="V98" s="15"/>
      <c r="W98" s="15"/>
      <c r="X98" s="15"/>
      <c r="Y98" s="15"/>
      <c r="Z98" s="15"/>
    </row>
    <row r="99" spans="1:26" ht="15.75" customHeight="1" x14ac:dyDescent="0.25">
      <c r="A99" s="24"/>
      <c r="B99" s="25"/>
      <c r="C99" s="24"/>
      <c r="D99" s="24"/>
      <c r="E99" s="24"/>
      <c r="F99" s="26"/>
      <c r="G99" s="15"/>
      <c r="H99" s="15"/>
      <c r="I99" s="15"/>
      <c r="J99" s="15"/>
      <c r="K99" s="167"/>
      <c r="L99" s="15"/>
      <c r="M99" s="15"/>
      <c r="N99" s="15"/>
      <c r="O99" s="15"/>
      <c r="P99" s="15"/>
      <c r="Q99" s="15"/>
      <c r="R99" s="15"/>
      <c r="S99" s="15"/>
      <c r="T99" s="15"/>
      <c r="U99" s="15"/>
      <c r="V99" s="15"/>
      <c r="W99" s="15"/>
      <c r="X99" s="15"/>
      <c r="Y99" s="15"/>
      <c r="Z99" s="15"/>
    </row>
    <row r="100" spans="1:26" ht="15.75" customHeight="1" x14ac:dyDescent="0.25">
      <c r="A100" s="24"/>
      <c r="B100" s="25"/>
      <c r="C100" s="24"/>
      <c r="D100" s="24"/>
      <c r="E100" s="24"/>
      <c r="F100" s="26"/>
      <c r="G100" s="15"/>
      <c r="H100" s="15"/>
      <c r="I100" s="15"/>
      <c r="J100" s="15"/>
      <c r="K100" s="167"/>
      <c r="L100" s="15"/>
      <c r="M100" s="15"/>
      <c r="N100" s="15"/>
      <c r="O100" s="15"/>
      <c r="P100" s="15"/>
      <c r="Q100" s="15"/>
      <c r="R100" s="15"/>
      <c r="S100" s="15"/>
      <c r="T100" s="15"/>
      <c r="U100" s="15"/>
      <c r="V100" s="15"/>
      <c r="W100" s="15"/>
      <c r="X100" s="15"/>
      <c r="Y100" s="15"/>
      <c r="Z100" s="15"/>
    </row>
    <row r="101" spans="1:26" ht="15.75" customHeight="1" x14ac:dyDescent="0.25">
      <c r="A101" s="24"/>
      <c r="B101" s="25"/>
      <c r="C101" s="24"/>
      <c r="D101" s="24"/>
      <c r="E101" s="24"/>
      <c r="F101" s="26"/>
      <c r="G101" s="15"/>
      <c r="H101" s="15"/>
      <c r="I101" s="15"/>
      <c r="J101" s="15"/>
      <c r="K101" s="167"/>
      <c r="L101" s="15"/>
      <c r="M101" s="15"/>
      <c r="N101" s="15"/>
      <c r="O101" s="15"/>
      <c r="P101" s="15"/>
      <c r="Q101" s="15"/>
      <c r="R101" s="15"/>
      <c r="S101" s="15"/>
      <c r="T101" s="15"/>
      <c r="U101" s="15"/>
      <c r="V101" s="15"/>
      <c r="W101" s="15"/>
      <c r="X101" s="15"/>
      <c r="Y101" s="15"/>
      <c r="Z101" s="15"/>
    </row>
    <row r="102" spans="1:26" ht="15.75" customHeight="1" x14ac:dyDescent="0.25">
      <c r="A102" s="24"/>
      <c r="B102" s="25"/>
      <c r="C102" s="24"/>
      <c r="D102" s="24"/>
      <c r="E102" s="24"/>
      <c r="F102" s="26"/>
      <c r="G102" s="15"/>
      <c r="H102" s="15"/>
      <c r="I102" s="15"/>
      <c r="J102" s="15"/>
      <c r="K102" s="167"/>
      <c r="L102" s="15"/>
      <c r="M102" s="15"/>
      <c r="N102" s="15"/>
      <c r="O102" s="15"/>
      <c r="P102" s="15"/>
      <c r="Q102" s="15"/>
      <c r="R102" s="15"/>
      <c r="S102" s="15"/>
      <c r="T102" s="15"/>
      <c r="U102" s="15"/>
      <c r="V102" s="15"/>
      <c r="W102" s="15"/>
      <c r="X102" s="15"/>
      <c r="Y102" s="15"/>
      <c r="Z102" s="15"/>
    </row>
    <row r="103" spans="1:26" ht="15.75" customHeight="1" x14ac:dyDescent="0.25">
      <c r="A103" s="24"/>
      <c r="B103" s="25"/>
      <c r="C103" s="24"/>
      <c r="D103" s="24"/>
      <c r="E103" s="24"/>
      <c r="F103" s="26"/>
      <c r="G103" s="15"/>
      <c r="H103" s="15"/>
      <c r="I103" s="15"/>
      <c r="J103" s="15"/>
      <c r="K103" s="167"/>
      <c r="L103" s="15"/>
      <c r="M103" s="15"/>
      <c r="N103" s="15"/>
      <c r="O103" s="15"/>
      <c r="P103" s="15"/>
      <c r="Q103" s="15"/>
      <c r="R103" s="15"/>
      <c r="S103" s="15"/>
      <c r="T103" s="15"/>
      <c r="U103" s="15"/>
      <c r="V103" s="15"/>
      <c r="W103" s="15"/>
      <c r="X103" s="15"/>
      <c r="Y103" s="15"/>
      <c r="Z103" s="15"/>
    </row>
    <row r="104" spans="1:26" ht="15.75" customHeight="1" x14ac:dyDescent="0.25">
      <c r="A104" s="24"/>
      <c r="B104" s="25"/>
      <c r="C104" s="24"/>
      <c r="D104" s="24"/>
      <c r="E104" s="24"/>
      <c r="F104" s="26"/>
      <c r="G104" s="15"/>
      <c r="H104" s="15"/>
      <c r="I104" s="15"/>
      <c r="J104" s="15"/>
      <c r="K104" s="167"/>
      <c r="L104" s="15"/>
      <c r="M104" s="15"/>
      <c r="N104" s="15"/>
      <c r="O104" s="15"/>
      <c r="P104" s="15"/>
      <c r="Q104" s="15"/>
      <c r="R104" s="15"/>
      <c r="S104" s="15"/>
      <c r="T104" s="15"/>
      <c r="U104" s="15"/>
      <c r="V104" s="15"/>
      <c r="W104" s="15"/>
      <c r="X104" s="15"/>
      <c r="Y104" s="15"/>
      <c r="Z104" s="15"/>
    </row>
    <row r="105" spans="1:26" ht="15.75" customHeight="1" x14ac:dyDescent="0.25">
      <c r="A105" s="24"/>
      <c r="B105" s="25"/>
      <c r="C105" s="24"/>
      <c r="D105" s="24"/>
      <c r="E105" s="24"/>
      <c r="F105" s="26"/>
      <c r="G105" s="15"/>
      <c r="H105" s="15"/>
      <c r="I105" s="15"/>
      <c r="J105" s="15"/>
      <c r="K105" s="167"/>
      <c r="L105" s="15"/>
      <c r="M105" s="15"/>
      <c r="N105" s="15"/>
      <c r="O105" s="15"/>
      <c r="P105" s="15"/>
      <c r="Q105" s="15"/>
      <c r="R105" s="15"/>
      <c r="S105" s="15"/>
      <c r="T105" s="15"/>
      <c r="U105" s="15"/>
      <c r="V105" s="15"/>
      <c r="W105" s="15"/>
      <c r="X105" s="15"/>
      <c r="Y105" s="15"/>
      <c r="Z105" s="15"/>
    </row>
    <row r="106" spans="1:26" ht="15.75" customHeight="1" x14ac:dyDescent="0.25">
      <c r="A106" s="24"/>
      <c r="B106" s="25"/>
      <c r="C106" s="24"/>
      <c r="D106" s="24"/>
      <c r="E106" s="24"/>
      <c r="F106" s="26"/>
      <c r="G106" s="15"/>
      <c r="H106" s="15"/>
      <c r="I106" s="15"/>
      <c r="J106" s="15"/>
      <c r="K106" s="167"/>
      <c r="L106" s="15"/>
      <c r="M106" s="15"/>
      <c r="N106" s="15"/>
      <c r="O106" s="15"/>
      <c r="P106" s="15"/>
      <c r="Q106" s="15"/>
      <c r="R106" s="15"/>
      <c r="S106" s="15"/>
      <c r="T106" s="15"/>
      <c r="U106" s="15"/>
      <c r="V106" s="15"/>
      <c r="W106" s="15"/>
      <c r="X106" s="15"/>
      <c r="Y106" s="15"/>
      <c r="Z106" s="15"/>
    </row>
    <row r="107" spans="1:26" ht="15.75" customHeight="1" x14ac:dyDescent="0.25">
      <c r="A107" s="24"/>
      <c r="B107" s="25"/>
      <c r="C107" s="24"/>
      <c r="D107" s="24"/>
      <c r="E107" s="24"/>
      <c r="F107" s="26"/>
      <c r="G107" s="15"/>
      <c r="H107" s="15"/>
      <c r="I107" s="15"/>
      <c r="J107" s="15"/>
      <c r="K107" s="167"/>
      <c r="L107" s="15"/>
      <c r="M107" s="15"/>
      <c r="N107" s="15"/>
      <c r="O107" s="15"/>
      <c r="P107" s="15"/>
      <c r="Q107" s="15"/>
      <c r="R107" s="15"/>
      <c r="S107" s="15"/>
      <c r="T107" s="15"/>
      <c r="U107" s="15"/>
      <c r="V107" s="15"/>
      <c r="W107" s="15"/>
      <c r="X107" s="15"/>
      <c r="Y107" s="15"/>
      <c r="Z107" s="15"/>
    </row>
    <row r="108" spans="1:26" ht="15.75" customHeight="1" x14ac:dyDescent="0.25">
      <c r="A108" s="24"/>
      <c r="B108" s="25"/>
      <c r="C108" s="24"/>
      <c r="D108" s="24"/>
      <c r="E108" s="24"/>
      <c r="F108" s="26"/>
      <c r="G108" s="15"/>
      <c r="H108" s="15"/>
      <c r="I108" s="15"/>
      <c r="J108" s="15"/>
      <c r="K108" s="167"/>
      <c r="L108" s="15"/>
      <c r="M108" s="15"/>
      <c r="N108" s="15"/>
      <c r="O108" s="15"/>
      <c r="P108" s="15"/>
      <c r="Q108" s="15"/>
      <c r="R108" s="15"/>
      <c r="S108" s="15"/>
      <c r="T108" s="15"/>
      <c r="U108" s="15"/>
      <c r="V108" s="15"/>
      <c r="W108" s="15"/>
      <c r="X108" s="15"/>
      <c r="Y108" s="15"/>
      <c r="Z108" s="15"/>
    </row>
    <row r="109" spans="1:26" ht="15.75" customHeight="1" x14ac:dyDescent="0.25">
      <c r="A109" s="24"/>
      <c r="B109" s="25"/>
      <c r="C109" s="24"/>
      <c r="D109" s="24"/>
      <c r="E109" s="24"/>
      <c r="F109" s="26"/>
      <c r="G109" s="15"/>
      <c r="H109" s="15"/>
      <c r="I109" s="15"/>
      <c r="J109" s="15"/>
      <c r="K109" s="167"/>
      <c r="L109" s="15"/>
      <c r="M109" s="15"/>
      <c r="N109" s="15"/>
      <c r="O109" s="15"/>
      <c r="P109" s="15"/>
      <c r="Q109" s="15"/>
      <c r="R109" s="15"/>
      <c r="S109" s="15"/>
      <c r="T109" s="15"/>
      <c r="U109" s="15"/>
      <c r="V109" s="15"/>
      <c r="W109" s="15"/>
      <c r="X109" s="15"/>
      <c r="Y109" s="15"/>
      <c r="Z109" s="15"/>
    </row>
    <row r="110" spans="1:26" ht="15.75" customHeight="1" x14ac:dyDescent="0.25">
      <c r="A110" s="24"/>
      <c r="B110" s="25"/>
      <c r="C110" s="24"/>
      <c r="D110" s="24"/>
      <c r="E110" s="24"/>
      <c r="F110" s="26"/>
      <c r="G110" s="15"/>
      <c r="H110" s="15"/>
      <c r="I110" s="15"/>
      <c r="J110" s="15"/>
      <c r="K110" s="167"/>
      <c r="L110" s="15"/>
      <c r="M110" s="15"/>
      <c r="N110" s="15"/>
      <c r="O110" s="15"/>
      <c r="P110" s="15"/>
      <c r="Q110" s="15"/>
      <c r="R110" s="15"/>
      <c r="S110" s="15"/>
      <c r="T110" s="15"/>
      <c r="U110" s="15"/>
      <c r="V110" s="15"/>
      <c r="W110" s="15"/>
      <c r="X110" s="15"/>
      <c r="Y110" s="15"/>
      <c r="Z110" s="15"/>
    </row>
    <row r="111" spans="1:26" ht="15.75" customHeight="1" x14ac:dyDescent="0.25">
      <c r="A111" s="24"/>
      <c r="B111" s="25"/>
      <c r="C111" s="24"/>
      <c r="D111" s="24"/>
      <c r="E111" s="24"/>
      <c r="F111" s="26"/>
      <c r="G111" s="15"/>
      <c r="H111" s="15"/>
      <c r="I111" s="15"/>
      <c r="J111" s="15"/>
      <c r="K111" s="167"/>
      <c r="L111" s="15"/>
      <c r="M111" s="15"/>
      <c r="N111" s="15"/>
      <c r="O111" s="15"/>
      <c r="P111" s="15"/>
      <c r="Q111" s="15"/>
      <c r="R111" s="15"/>
      <c r="S111" s="15"/>
      <c r="T111" s="15"/>
      <c r="U111" s="15"/>
      <c r="V111" s="15"/>
      <c r="W111" s="15"/>
      <c r="X111" s="15"/>
      <c r="Y111" s="15"/>
      <c r="Z111" s="15"/>
    </row>
    <row r="112" spans="1:26" ht="15.75" customHeight="1" x14ac:dyDescent="0.25">
      <c r="A112" s="24"/>
      <c r="B112" s="25"/>
      <c r="C112" s="24"/>
      <c r="D112" s="24"/>
      <c r="E112" s="24"/>
      <c r="F112" s="26"/>
      <c r="G112" s="15"/>
      <c r="H112" s="15"/>
      <c r="I112" s="15"/>
      <c r="J112" s="15"/>
      <c r="K112" s="167"/>
      <c r="L112" s="15"/>
      <c r="M112" s="15"/>
      <c r="N112" s="15"/>
      <c r="O112" s="15"/>
      <c r="P112" s="15"/>
      <c r="Q112" s="15"/>
      <c r="R112" s="15"/>
      <c r="S112" s="15"/>
      <c r="T112" s="15"/>
      <c r="U112" s="15"/>
      <c r="V112" s="15"/>
      <c r="W112" s="15"/>
      <c r="X112" s="15"/>
      <c r="Y112" s="15"/>
      <c r="Z112" s="15"/>
    </row>
    <row r="113" spans="1:26" ht="15.75" customHeight="1" x14ac:dyDescent="0.25">
      <c r="A113" s="24"/>
      <c r="B113" s="25"/>
      <c r="C113" s="24"/>
      <c r="D113" s="24"/>
      <c r="E113" s="24"/>
      <c r="F113" s="26"/>
      <c r="G113" s="15"/>
      <c r="H113" s="15"/>
      <c r="I113" s="15"/>
      <c r="J113" s="15"/>
      <c r="K113" s="167"/>
      <c r="L113" s="15"/>
      <c r="M113" s="15"/>
      <c r="N113" s="15"/>
      <c r="O113" s="15"/>
      <c r="P113" s="15"/>
      <c r="Q113" s="15"/>
      <c r="R113" s="15"/>
      <c r="S113" s="15"/>
      <c r="T113" s="15"/>
      <c r="U113" s="15"/>
      <c r="V113" s="15"/>
      <c r="W113" s="15"/>
      <c r="X113" s="15"/>
      <c r="Y113" s="15"/>
      <c r="Z113" s="15"/>
    </row>
    <row r="114" spans="1:26" ht="15.75" customHeight="1" x14ac:dyDescent="0.25">
      <c r="A114" s="24"/>
      <c r="B114" s="25"/>
      <c r="C114" s="24"/>
      <c r="D114" s="24"/>
      <c r="E114" s="24"/>
      <c r="F114" s="26"/>
      <c r="G114" s="15"/>
      <c r="H114" s="15"/>
      <c r="I114" s="15"/>
      <c r="J114" s="15"/>
      <c r="K114" s="167"/>
      <c r="L114" s="15"/>
      <c r="M114" s="15"/>
      <c r="N114" s="15"/>
      <c r="O114" s="15"/>
      <c r="P114" s="15"/>
      <c r="Q114" s="15"/>
      <c r="R114" s="15"/>
      <c r="S114" s="15"/>
      <c r="T114" s="15"/>
      <c r="U114" s="15"/>
      <c r="V114" s="15"/>
      <c r="W114" s="15"/>
      <c r="X114" s="15"/>
      <c r="Y114" s="15"/>
      <c r="Z114" s="15"/>
    </row>
    <row r="115" spans="1:26" ht="15.75" customHeight="1" x14ac:dyDescent="0.25">
      <c r="A115" s="24"/>
      <c r="B115" s="25"/>
      <c r="C115" s="24"/>
      <c r="D115" s="24"/>
      <c r="E115" s="24"/>
      <c r="F115" s="26"/>
      <c r="G115" s="15"/>
      <c r="H115" s="15"/>
      <c r="I115" s="15"/>
      <c r="J115" s="15"/>
      <c r="K115" s="167"/>
      <c r="L115" s="15"/>
      <c r="M115" s="15"/>
      <c r="N115" s="15"/>
      <c r="O115" s="15"/>
      <c r="P115" s="15"/>
      <c r="Q115" s="15"/>
      <c r="R115" s="15"/>
      <c r="S115" s="15"/>
      <c r="T115" s="15"/>
      <c r="U115" s="15"/>
      <c r="V115" s="15"/>
      <c r="W115" s="15"/>
      <c r="X115" s="15"/>
      <c r="Y115" s="15"/>
      <c r="Z115" s="15"/>
    </row>
    <row r="116" spans="1:26" ht="15.75" customHeight="1" x14ac:dyDescent="0.25">
      <c r="A116" s="24"/>
      <c r="B116" s="25"/>
      <c r="C116" s="24"/>
      <c r="D116" s="24"/>
      <c r="E116" s="24"/>
      <c r="F116" s="26"/>
      <c r="G116" s="15"/>
      <c r="H116" s="15"/>
      <c r="I116" s="15"/>
      <c r="J116" s="15"/>
      <c r="K116" s="167"/>
      <c r="L116" s="15"/>
      <c r="M116" s="15"/>
      <c r="N116" s="15"/>
      <c r="O116" s="15"/>
      <c r="P116" s="15"/>
      <c r="Q116" s="15"/>
      <c r="R116" s="15"/>
      <c r="S116" s="15"/>
      <c r="T116" s="15"/>
      <c r="U116" s="15"/>
      <c r="V116" s="15"/>
      <c r="W116" s="15"/>
      <c r="X116" s="15"/>
      <c r="Y116" s="15"/>
      <c r="Z116" s="15"/>
    </row>
    <row r="117" spans="1:26" ht="15.75" customHeight="1" x14ac:dyDescent="0.25">
      <c r="A117" s="24"/>
      <c r="B117" s="25"/>
      <c r="C117" s="24"/>
      <c r="D117" s="24"/>
      <c r="E117" s="24"/>
      <c r="F117" s="26"/>
      <c r="G117" s="15"/>
      <c r="H117" s="15"/>
      <c r="I117" s="15"/>
      <c r="J117" s="15"/>
      <c r="K117" s="167"/>
      <c r="L117" s="15"/>
      <c r="M117" s="15"/>
      <c r="N117" s="15"/>
      <c r="O117" s="15"/>
      <c r="P117" s="15"/>
      <c r="Q117" s="15"/>
      <c r="R117" s="15"/>
      <c r="S117" s="15"/>
      <c r="T117" s="15"/>
      <c r="U117" s="15"/>
      <c r="V117" s="15"/>
      <c r="W117" s="15"/>
      <c r="X117" s="15"/>
      <c r="Y117" s="15"/>
      <c r="Z117" s="15"/>
    </row>
    <row r="118" spans="1:26" ht="15.75" customHeight="1" x14ac:dyDescent="0.25">
      <c r="A118" s="24"/>
      <c r="B118" s="25"/>
      <c r="C118" s="24"/>
      <c r="D118" s="24"/>
      <c r="E118" s="24"/>
      <c r="F118" s="26"/>
      <c r="G118" s="15"/>
      <c r="H118" s="15"/>
      <c r="I118" s="15"/>
      <c r="J118" s="15"/>
      <c r="K118" s="167"/>
      <c r="L118" s="15"/>
      <c r="M118" s="15"/>
      <c r="N118" s="15"/>
      <c r="O118" s="15"/>
      <c r="P118" s="15"/>
      <c r="Q118" s="15"/>
      <c r="R118" s="15"/>
      <c r="S118" s="15"/>
      <c r="T118" s="15"/>
      <c r="U118" s="15"/>
      <c r="V118" s="15"/>
      <c r="W118" s="15"/>
      <c r="X118" s="15"/>
      <c r="Y118" s="15"/>
      <c r="Z118" s="15"/>
    </row>
    <row r="119" spans="1:26" ht="15.75" customHeight="1" x14ac:dyDescent="0.25">
      <c r="A119" s="24"/>
      <c r="B119" s="25"/>
      <c r="C119" s="24"/>
      <c r="D119" s="24"/>
      <c r="E119" s="24"/>
      <c r="F119" s="26"/>
      <c r="G119" s="15"/>
      <c r="H119" s="15"/>
      <c r="I119" s="15"/>
      <c r="J119" s="15"/>
      <c r="K119" s="167"/>
      <c r="L119" s="15"/>
      <c r="M119" s="15"/>
      <c r="N119" s="15"/>
      <c r="O119" s="15"/>
      <c r="P119" s="15"/>
      <c r="Q119" s="15"/>
      <c r="R119" s="15"/>
      <c r="S119" s="15"/>
      <c r="T119" s="15"/>
      <c r="U119" s="15"/>
      <c r="V119" s="15"/>
      <c r="W119" s="15"/>
      <c r="X119" s="15"/>
      <c r="Y119" s="15"/>
      <c r="Z119" s="15"/>
    </row>
    <row r="120" spans="1:26" ht="15.75" customHeight="1" x14ac:dyDescent="0.25">
      <c r="A120" s="24"/>
      <c r="B120" s="25"/>
      <c r="C120" s="24"/>
      <c r="D120" s="24"/>
      <c r="E120" s="24"/>
      <c r="F120" s="26"/>
      <c r="G120" s="15"/>
      <c r="H120" s="15"/>
      <c r="I120" s="15"/>
      <c r="J120" s="15"/>
      <c r="K120" s="167"/>
      <c r="L120" s="15"/>
      <c r="M120" s="15"/>
      <c r="N120" s="15"/>
      <c r="O120" s="15"/>
      <c r="P120" s="15"/>
      <c r="Q120" s="15"/>
      <c r="R120" s="15"/>
      <c r="S120" s="15"/>
      <c r="T120" s="15"/>
      <c r="U120" s="15"/>
      <c r="V120" s="15"/>
      <c r="W120" s="15"/>
      <c r="X120" s="15"/>
      <c r="Y120" s="15"/>
      <c r="Z120" s="15"/>
    </row>
    <row r="121" spans="1:26" ht="15.75" customHeight="1" x14ac:dyDescent="0.25">
      <c r="A121" s="24"/>
      <c r="B121" s="25"/>
      <c r="C121" s="24"/>
      <c r="D121" s="24"/>
      <c r="E121" s="24"/>
      <c r="F121" s="26"/>
      <c r="G121" s="15"/>
      <c r="H121" s="15"/>
      <c r="I121" s="15"/>
      <c r="J121" s="15"/>
      <c r="K121" s="167"/>
      <c r="L121" s="15"/>
      <c r="M121" s="15"/>
      <c r="N121" s="15"/>
      <c r="O121" s="15"/>
      <c r="P121" s="15"/>
      <c r="Q121" s="15"/>
      <c r="R121" s="15"/>
      <c r="S121" s="15"/>
      <c r="T121" s="15"/>
      <c r="U121" s="15"/>
      <c r="V121" s="15"/>
      <c r="W121" s="15"/>
      <c r="X121" s="15"/>
      <c r="Y121" s="15"/>
      <c r="Z121" s="15"/>
    </row>
    <row r="122" spans="1:26" ht="15.75" customHeight="1" x14ac:dyDescent="0.25">
      <c r="A122" s="24"/>
      <c r="B122" s="25"/>
      <c r="C122" s="24"/>
      <c r="D122" s="24"/>
      <c r="E122" s="24"/>
      <c r="F122" s="26"/>
      <c r="G122" s="15"/>
      <c r="H122" s="15"/>
      <c r="I122" s="15"/>
      <c r="J122" s="15"/>
      <c r="K122" s="167"/>
      <c r="L122" s="15"/>
      <c r="M122" s="15"/>
      <c r="N122" s="15"/>
      <c r="O122" s="15"/>
      <c r="P122" s="15"/>
      <c r="Q122" s="15"/>
      <c r="R122" s="15"/>
      <c r="S122" s="15"/>
      <c r="T122" s="15"/>
      <c r="U122" s="15"/>
      <c r="V122" s="15"/>
      <c r="W122" s="15"/>
      <c r="X122" s="15"/>
      <c r="Y122" s="15"/>
      <c r="Z122" s="15"/>
    </row>
    <row r="123" spans="1:26" ht="15.75" customHeight="1" x14ac:dyDescent="0.25">
      <c r="A123" s="24"/>
      <c r="B123" s="25"/>
      <c r="C123" s="24"/>
      <c r="D123" s="24"/>
      <c r="E123" s="24"/>
      <c r="F123" s="26"/>
      <c r="G123" s="15"/>
      <c r="H123" s="15"/>
      <c r="I123" s="15"/>
      <c r="J123" s="15"/>
      <c r="K123" s="167"/>
      <c r="L123" s="15"/>
      <c r="M123" s="15"/>
      <c r="N123" s="15"/>
      <c r="O123" s="15"/>
      <c r="P123" s="15"/>
      <c r="Q123" s="15"/>
      <c r="R123" s="15"/>
      <c r="S123" s="15"/>
      <c r="T123" s="15"/>
      <c r="U123" s="15"/>
      <c r="V123" s="15"/>
      <c r="W123" s="15"/>
      <c r="X123" s="15"/>
      <c r="Y123" s="15"/>
      <c r="Z123" s="15"/>
    </row>
    <row r="124" spans="1:26" ht="15.75" customHeight="1" x14ac:dyDescent="0.25">
      <c r="A124" s="24"/>
      <c r="B124" s="25"/>
      <c r="C124" s="24"/>
      <c r="D124" s="24"/>
      <c r="E124" s="24"/>
      <c r="F124" s="26"/>
      <c r="G124" s="15"/>
      <c r="H124" s="15"/>
      <c r="I124" s="15"/>
      <c r="J124" s="15"/>
      <c r="K124" s="167"/>
      <c r="L124" s="15"/>
      <c r="M124" s="15"/>
      <c r="N124" s="15"/>
      <c r="O124" s="15"/>
      <c r="P124" s="15"/>
      <c r="Q124" s="15"/>
      <c r="R124" s="15"/>
      <c r="S124" s="15"/>
      <c r="T124" s="15"/>
      <c r="U124" s="15"/>
      <c r="V124" s="15"/>
      <c r="W124" s="15"/>
      <c r="X124" s="15"/>
      <c r="Y124" s="15"/>
      <c r="Z124" s="15"/>
    </row>
    <row r="125" spans="1:26" ht="15.75" customHeight="1" x14ac:dyDescent="0.25">
      <c r="A125" s="24"/>
      <c r="B125" s="25"/>
      <c r="C125" s="24"/>
      <c r="D125" s="24"/>
      <c r="E125" s="24"/>
      <c r="F125" s="26"/>
      <c r="G125" s="15"/>
      <c r="H125" s="15"/>
      <c r="I125" s="15"/>
      <c r="J125" s="15"/>
      <c r="K125" s="167"/>
      <c r="L125" s="15"/>
      <c r="M125" s="15"/>
      <c r="N125" s="15"/>
      <c r="O125" s="15"/>
      <c r="P125" s="15"/>
      <c r="Q125" s="15"/>
      <c r="R125" s="15"/>
      <c r="S125" s="15"/>
      <c r="T125" s="15"/>
      <c r="U125" s="15"/>
      <c r="V125" s="15"/>
      <c r="W125" s="15"/>
      <c r="X125" s="15"/>
      <c r="Y125" s="15"/>
      <c r="Z125" s="15"/>
    </row>
    <row r="126" spans="1:26" ht="15.75" customHeight="1" x14ac:dyDescent="0.25">
      <c r="A126" s="24"/>
      <c r="B126" s="25"/>
      <c r="C126" s="24"/>
      <c r="D126" s="24"/>
      <c r="E126" s="24"/>
      <c r="F126" s="26"/>
      <c r="G126" s="15"/>
      <c r="H126" s="15"/>
      <c r="I126" s="15"/>
      <c r="J126" s="15"/>
      <c r="K126" s="167"/>
      <c r="L126" s="15"/>
      <c r="M126" s="15"/>
      <c r="N126" s="15"/>
      <c r="O126" s="15"/>
      <c r="P126" s="15"/>
      <c r="Q126" s="15"/>
      <c r="R126" s="15"/>
      <c r="S126" s="15"/>
      <c r="T126" s="15"/>
      <c r="U126" s="15"/>
      <c r="V126" s="15"/>
      <c r="W126" s="15"/>
      <c r="X126" s="15"/>
      <c r="Y126" s="15"/>
      <c r="Z126" s="15"/>
    </row>
    <row r="127" spans="1:26" ht="15.75" customHeight="1" x14ac:dyDescent="0.25">
      <c r="A127" s="24"/>
      <c r="B127" s="25"/>
      <c r="C127" s="24"/>
      <c r="D127" s="24"/>
      <c r="E127" s="24"/>
      <c r="F127" s="26"/>
      <c r="G127" s="15"/>
      <c r="H127" s="15"/>
      <c r="I127" s="15"/>
      <c r="J127" s="15"/>
      <c r="K127" s="167"/>
      <c r="L127" s="15"/>
      <c r="M127" s="15"/>
      <c r="N127" s="15"/>
      <c r="O127" s="15"/>
      <c r="P127" s="15"/>
      <c r="Q127" s="15"/>
      <c r="R127" s="15"/>
      <c r="S127" s="15"/>
      <c r="T127" s="15"/>
      <c r="U127" s="15"/>
      <c r="V127" s="15"/>
      <c r="W127" s="15"/>
      <c r="X127" s="15"/>
      <c r="Y127" s="15"/>
      <c r="Z127" s="15"/>
    </row>
    <row r="128" spans="1:26" ht="15.75" customHeight="1" x14ac:dyDescent="0.25">
      <c r="A128" s="24"/>
      <c r="B128" s="25"/>
      <c r="C128" s="24"/>
      <c r="D128" s="24"/>
      <c r="E128" s="24"/>
      <c r="F128" s="26"/>
      <c r="G128" s="15"/>
      <c r="H128" s="15"/>
      <c r="I128" s="15"/>
      <c r="J128" s="15"/>
      <c r="K128" s="167"/>
      <c r="L128" s="15"/>
      <c r="M128" s="15"/>
      <c r="N128" s="15"/>
      <c r="O128" s="15"/>
      <c r="P128" s="15"/>
      <c r="Q128" s="15"/>
      <c r="R128" s="15"/>
      <c r="S128" s="15"/>
      <c r="T128" s="15"/>
      <c r="U128" s="15"/>
      <c r="V128" s="15"/>
      <c r="W128" s="15"/>
      <c r="X128" s="15"/>
      <c r="Y128" s="15"/>
      <c r="Z128" s="15"/>
    </row>
    <row r="129" spans="1:26" ht="15.75" customHeight="1" x14ac:dyDescent="0.25">
      <c r="A129" s="24"/>
      <c r="B129" s="25"/>
      <c r="C129" s="24"/>
      <c r="D129" s="24"/>
      <c r="E129" s="24"/>
      <c r="F129" s="26"/>
      <c r="G129" s="15"/>
      <c r="H129" s="15"/>
      <c r="I129" s="15"/>
      <c r="J129" s="15"/>
      <c r="K129" s="167"/>
      <c r="L129" s="15"/>
      <c r="M129" s="15"/>
      <c r="N129" s="15"/>
      <c r="O129" s="15"/>
      <c r="P129" s="15"/>
      <c r="Q129" s="15"/>
      <c r="R129" s="15"/>
      <c r="S129" s="15"/>
      <c r="T129" s="15"/>
      <c r="U129" s="15"/>
      <c r="V129" s="15"/>
      <c r="W129" s="15"/>
      <c r="X129" s="15"/>
      <c r="Y129" s="15"/>
      <c r="Z129" s="15"/>
    </row>
    <row r="130" spans="1:26" ht="15.75" customHeight="1" x14ac:dyDescent="0.25">
      <c r="A130" s="24"/>
      <c r="B130" s="25"/>
      <c r="C130" s="24"/>
      <c r="D130" s="24"/>
      <c r="E130" s="24"/>
      <c r="F130" s="26"/>
      <c r="G130" s="15"/>
      <c r="H130" s="15"/>
      <c r="I130" s="15"/>
      <c r="J130" s="15"/>
      <c r="K130" s="167"/>
      <c r="L130" s="15"/>
      <c r="M130" s="15"/>
      <c r="N130" s="15"/>
      <c r="O130" s="15"/>
      <c r="P130" s="15"/>
      <c r="Q130" s="15"/>
      <c r="R130" s="15"/>
      <c r="S130" s="15"/>
      <c r="T130" s="15"/>
      <c r="U130" s="15"/>
      <c r="V130" s="15"/>
      <c r="W130" s="15"/>
      <c r="X130" s="15"/>
      <c r="Y130" s="15"/>
      <c r="Z130" s="15"/>
    </row>
    <row r="131" spans="1:26" ht="15.75" customHeight="1" x14ac:dyDescent="0.25">
      <c r="A131" s="24"/>
      <c r="B131" s="25"/>
      <c r="C131" s="24"/>
      <c r="D131" s="24"/>
      <c r="E131" s="24"/>
      <c r="F131" s="26"/>
      <c r="G131" s="15"/>
      <c r="H131" s="15"/>
      <c r="I131" s="15"/>
      <c r="J131" s="15"/>
      <c r="K131" s="167"/>
      <c r="L131" s="15"/>
      <c r="M131" s="15"/>
      <c r="N131" s="15"/>
      <c r="O131" s="15"/>
      <c r="P131" s="15"/>
      <c r="Q131" s="15"/>
      <c r="R131" s="15"/>
      <c r="S131" s="15"/>
      <c r="T131" s="15"/>
      <c r="U131" s="15"/>
      <c r="V131" s="15"/>
      <c r="W131" s="15"/>
      <c r="X131" s="15"/>
      <c r="Y131" s="15"/>
      <c r="Z131" s="15"/>
    </row>
    <row r="132" spans="1:26" ht="15.75" customHeight="1" x14ac:dyDescent="0.25">
      <c r="A132" s="24"/>
      <c r="B132" s="25"/>
      <c r="C132" s="24"/>
      <c r="D132" s="24"/>
      <c r="E132" s="24"/>
      <c r="F132" s="26"/>
      <c r="G132" s="15"/>
      <c r="H132" s="15"/>
      <c r="I132" s="15"/>
      <c r="J132" s="15"/>
      <c r="K132" s="167"/>
      <c r="L132" s="15"/>
      <c r="M132" s="15"/>
      <c r="N132" s="15"/>
      <c r="O132" s="15"/>
      <c r="P132" s="15"/>
      <c r="Q132" s="15"/>
      <c r="R132" s="15"/>
      <c r="S132" s="15"/>
      <c r="T132" s="15"/>
      <c r="U132" s="15"/>
      <c r="V132" s="15"/>
      <c r="W132" s="15"/>
      <c r="X132" s="15"/>
      <c r="Y132" s="15"/>
      <c r="Z132" s="15"/>
    </row>
    <row r="133" spans="1:26" ht="15.75" customHeight="1" x14ac:dyDescent="0.25">
      <c r="A133" s="24"/>
      <c r="B133" s="25"/>
      <c r="C133" s="24"/>
      <c r="D133" s="24"/>
      <c r="E133" s="24"/>
      <c r="F133" s="26"/>
      <c r="G133" s="15"/>
      <c r="H133" s="15"/>
      <c r="I133" s="15"/>
      <c r="J133" s="15"/>
      <c r="K133" s="167"/>
      <c r="L133" s="15"/>
      <c r="M133" s="15"/>
      <c r="N133" s="15"/>
      <c r="O133" s="15"/>
      <c r="P133" s="15"/>
      <c r="Q133" s="15"/>
      <c r="R133" s="15"/>
      <c r="S133" s="15"/>
      <c r="T133" s="15"/>
      <c r="U133" s="15"/>
      <c r="V133" s="15"/>
      <c r="W133" s="15"/>
      <c r="X133" s="15"/>
      <c r="Y133" s="15"/>
      <c r="Z133" s="15"/>
    </row>
    <row r="134" spans="1:26" ht="15.75" customHeight="1" x14ac:dyDescent="0.25">
      <c r="A134" s="24"/>
      <c r="B134" s="25"/>
      <c r="C134" s="24"/>
      <c r="D134" s="24"/>
      <c r="E134" s="24"/>
      <c r="F134" s="26"/>
      <c r="G134" s="15"/>
      <c r="H134" s="15"/>
      <c r="I134" s="15"/>
      <c r="J134" s="15"/>
      <c r="K134" s="167"/>
      <c r="L134" s="15"/>
      <c r="M134" s="15"/>
      <c r="N134" s="15"/>
      <c r="O134" s="15"/>
      <c r="P134" s="15"/>
      <c r="Q134" s="15"/>
      <c r="R134" s="15"/>
      <c r="S134" s="15"/>
      <c r="T134" s="15"/>
      <c r="U134" s="15"/>
      <c r="V134" s="15"/>
      <c r="W134" s="15"/>
      <c r="X134" s="15"/>
      <c r="Y134" s="15"/>
      <c r="Z134" s="15"/>
    </row>
    <row r="135" spans="1:26" ht="15.75" customHeight="1" x14ac:dyDescent="0.25">
      <c r="A135" s="24"/>
      <c r="B135" s="25"/>
      <c r="C135" s="24"/>
      <c r="D135" s="24"/>
      <c r="E135" s="24"/>
      <c r="F135" s="26"/>
      <c r="G135" s="15"/>
      <c r="H135" s="15"/>
      <c r="I135" s="15"/>
      <c r="J135" s="15"/>
      <c r="K135" s="167"/>
      <c r="L135" s="15"/>
      <c r="M135" s="15"/>
      <c r="N135" s="15"/>
      <c r="O135" s="15"/>
      <c r="P135" s="15"/>
      <c r="Q135" s="15"/>
      <c r="R135" s="15"/>
      <c r="S135" s="15"/>
      <c r="T135" s="15"/>
      <c r="U135" s="15"/>
      <c r="V135" s="15"/>
      <c r="W135" s="15"/>
      <c r="X135" s="15"/>
      <c r="Y135" s="15"/>
      <c r="Z135" s="15"/>
    </row>
    <row r="136" spans="1:26" ht="15.75" customHeight="1" x14ac:dyDescent="0.25">
      <c r="A136" s="24"/>
      <c r="B136" s="25"/>
      <c r="C136" s="24"/>
      <c r="D136" s="24"/>
      <c r="E136" s="24"/>
      <c r="F136" s="26"/>
      <c r="G136" s="15"/>
      <c r="H136" s="15"/>
      <c r="I136" s="15"/>
      <c r="J136" s="15"/>
      <c r="K136" s="167"/>
      <c r="L136" s="15"/>
      <c r="M136" s="15"/>
      <c r="N136" s="15"/>
      <c r="O136" s="15"/>
      <c r="P136" s="15"/>
      <c r="Q136" s="15"/>
      <c r="R136" s="15"/>
      <c r="S136" s="15"/>
      <c r="T136" s="15"/>
      <c r="U136" s="15"/>
      <c r="V136" s="15"/>
      <c r="W136" s="15"/>
      <c r="X136" s="15"/>
      <c r="Y136" s="15"/>
      <c r="Z136" s="15"/>
    </row>
    <row r="137" spans="1:26" ht="15.75" customHeight="1" x14ac:dyDescent="0.25">
      <c r="A137" s="24"/>
      <c r="B137" s="25"/>
      <c r="C137" s="24"/>
      <c r="D137" s="24"/>
      <c r="E137" s="24"/>
      <c r="F137" s="26"/>
      <c r="G137" s="15"/>
      <c r="H137" s="15"/>
      <c r="I137" s="15"/>
      <c r="J137" s="15"/>
      <c r="K137" s="167"/>
      <c r="L137" s="15"/>
      <c r="M137" s="15"/>
      <c r="N137" s="15"/>
      <c r="O137" s="15"/>
      <c r="P137" s="15"/>
      <c r="Q137" s="15"/>
      <c r="R137" s="15"/>
      <c r="S137" s="15"/>
      <c r="T137" s="15"/>
      <c r="U137" s="15"/>
      <c r="V137" s="15"/>
      <c r="W137" s="15"/>
      <c r="X137" s="15"/>
      <c r="Y137" s="15"/>
      <c r="Z137" s="15"/>
    </row>
    <row r="138" spans="1:26" ht="15.75" customHeight="1" x14ac:dyDescent="0.25">
      <c r="A138" s="24"/>
      <c r="B138" s="25"/>
      <c r="C138" s="24"/>
      <c r="D138" s="24"/>
      <c r="E138" s="24"/>
      <c r="F138" s="26"/>
      <c r="G138" s="15"/>
      <c r="H138" s="15"/>
      <c r="I138" s="15"/>
      <c r="J138" s="15"/>
      <c r="K138" s="167"/>
      <c r="L138" s="15"/>
      <c r="M138" s="15"/>
      <c r="N138" s="15"/>
      <c r="O138" s="15"/>
      <c r="P138" s="15"/>
      <c r="Q138" s="15"/>
      <c r="R138" s="15"/>
      <c r="S138" s="15"/>
      <c r="T138" s="15"/>
      <c r="U138" s="15"/>
      <c r="V138" s="15"/>
      <c r="W138" s="15"/>
      <c r="X138" s="15"/>
      <c r="Y138" s="15"/>
      <c r="Z138" s="15"/>
    </row>
    <row r="139" spans="1:26" ht="15.75" customHeight="1" x14ac:dyDescent="0.25">
      <c r="A139" s="24"/>
      <c r="B139" s="25"/>
      <c r="C139" s="24"/>
      <c r="D139" s="24"/>
      <c r="E139" s="24"/>
      <c r="F139" s="26"/>
      <c r="G139" s="15"/>
      <c r="H139" s="15"/>
      <c r="I139" s="15"/>
      <c r="J139" s="15"/>
      <c r="K139" s="167"/>
      <c r="L139" s="15"/>
      <c r="M139" s="15"/>
      <c r="N139" s="15"/>
      <c r="O139" s="15"/>
      <c r="P139" s="15"/>
      <c r="Q139" s="15"/>
      <c r="R139" s="15"/>
      <c r="S139" s="15"/>
      <c r="T139" s="15"/>
      <c r="U139" s="15"/>
      <c r="V139" s="15"/>
      <c r="W139" s="15"/>
      <c r="X139" s="15"/>
      <c r="Y139" s="15"/>
      <c r="Z139" s="15"/>
    </row>
    <row r="140" spans="1:26" ht="15.75" customHeight="1" x14ac:dyDescent="0.25">
      <c r="A140" s="24"/>
      <c r="B140" s="25"/>
      <c r="C140" s="24"/>
      <c r="D140" s="24"/>
      <c r="E140" s="24"/>
      <c r="F140" s="26"/>
      <c r="G140" s="15"/>
      <c r="H140" s="15"/>
      <c r="I140" s="15"/>
      <c r="J140" s="15"/>
      <c r="K140" s="167"/>
      <c r="L140" s="15"/>
      <c r="M140" s="15"/>
      <c r="N140" s="15"/>
      <c r="O140" s="15"/>
      <c r="P140" s="15"/>
      <c r="Q140" s="15"/>
      <c r="R140" s="15"/>
      <c r="S140" s="15"/>
      <c r="T140" s="15"/>
      <c r="U140" s="15"/>
      <c r="V140" s="15"/>
      <c r="W140" s="15"/>
      <c r="X140" s="15"/>
      <c r="Y140" s="15"/>
      <c r="Z140" s="15"/>
    </row>
    <row r="141" spans="1:26" ht="15.75" customHeight="1" x14ac:dyDescent="0.25">
      <c r="A141" s="24"/>
      <c r="B141" s="25"/>
      <c r="C141" s="24"/>
      <c r="D141" s="24"/>
      <c r="E141" s="24"/>
      <c r="F141" s="26"/>
      <c r="G141" s="15"/>
      <c r="H141" s="15"/>
      <c r="I141" s="15"/>
      <c r="J141" s="15"/>
      <c r="K141" s="167"/>
      <c r="L141" s="15"/>
      <c r="M141" s="15"/>
      <c r="N141" s="15"/>
      <c r="O141" s="15"/>
      <c r="P141" s="15"/>
      <c r="Q141" s="15"/>
      <c r="R141" s="15"/>
      <c r="S141" s="15"/>
      <c r="T141" s="15"/>
      <c r="U141" s="15"/>
      <c r="V141" s="15"/>
      <c r="W141" s="15"/>
      <c r="X141" s="15"/>
      <c r="Y141" s="15"/>
      <c r="Z141" s="15"/>
    </row>
    <row r="142" spans="1:26" ht="15.75" customHeight="1" x14ac:dyDescent="0.25">
      <c r="A142" s="24"/>
      <c r="B142" s="25"/>
      <c r="C142" s="24"/>
      <c r="D142" s="24"/>
      <c r="E142" s="24"/>
      <c r="F142" s="26"/>
      <c r="G142" s="15"/>
      <c r="H142" s="15"/>
      <c r="I142" s="15"/>
      <c r="J142" s="15"/>
      <c r="K142" s="167"/>
      <c r="L142" s="15"/>
      <c r="M142" s="15"/>
      <c r="N142" s="15"/>
      <c r="O142" s="15"/>
      <c r="P142" s="15"/>
      <c r="Q142" s="15"/>
      <c r="R142" s="15"/>
      <c r="S142" s="15"/>
      <c r="T142" s="15"/>
      <c r="U142" s="15"/>
      <c r="V142" s="15"/>
      <c r="W142" s="15"/>
      <c r="X142" s="15"/>
      <c r="Y142" s="15"/>
      <c r="Z142" s="15"/>
    </row>
    <row r="143" spans="1:26" ht="15.75" customHeight="1" x14ac:dyDescent="0.25">
      <c r="A143" s="24"/>
      <c r="B143" s="25"/>
      <c r="C143" s="24"/>
      <c r="D143" s="24"/>
      <c r="E143" s="24"/>
      <c r="F143" s="26"/>
      <c r="G143" s="15"/>
      <c r="H143" s="15"/>
      <c r="I143" s="15"/>
      <c r="J143" s="15"/>
      <c r="K143" s="167"/>
      <c r="L143" s="15"/>
      <c r="M143" s="15"/>
      <c r="N143" s="15"/>
      <c r="O143" s="15"/>
      <c r="P143" s="15"/>
      <c r="Q143" s="15"/>
      <c r="R143" s="15"/>
      <c r="S143" s="15"/>
      <c r="T143" s="15"/>
      <c r="U143" s="15"/>
      <c r="V143" s="15"/>
      <c r="W143" s="15"/>
      <c r="X143" s="15"/>
      <c r="Y143" s="15"/>
      <c r="Z143" s="15"/>
    </row>
    <row r="144" spans="1:26" ht="15.75" customHeight="1" x14ac:dyDescent="0.25">
      <c r="A144" s="24"/>
      <c r="B144" s="25"/>
      <c r="C144" s="24"/>
      <c r="D144" s="24"/>
      <c r="E144" s="24"/>
      <c r="F144" s="26"/>
      <c r="G144" s="15"/>
      <c r="H144" s="15"/>
      <c r="I144" s="15"/>
      <c r="J144" s="15"/>
      <c r="K144" s="167"/>
      <c r="L144" s="15"/>
      <c r="M144" s="15"/>
      <c r="N144" s="15"/>
      <c r="O144" s="15"/>
      <c r="P144" s="15"/>
      <c r="Q144" s="15"/>
      <c r="R144" s="15"/>
      <c r="S144" s="15"/>
      <c r="T144" s="15"/>
      <c r="U144" s="15"/>
      <c r="V144" s="15"/>
      <c r="W144" s="15"/>
      <c r="X144" s="15"/>
      <c r="Y144" s="15"/>
      <c r="Z144" s="15"/>
    </row>
    <row r="145" spans="1:26" ht="15.75" customHeight="1" x14ac:dyDescent="0.25">
      <c r="A145" s="24"/>
      <c r="B145" s="25"/>
      <c r="C145" s="24"/>
      <c r="D145" s="24"/>
      <c r="E145" s="24"/>
      <c r="F145" s="26"/>
      <c r="G145" s="15"/>
      <c r="H145" s="15"/>
      <c r="I145" s="15"/>
      <c r="J145" s="15"/>
      <c r="K145" s="167"/>
      <c r="L145" s="15"/>
      <c r="M145" s="15"/>
      <c r="N145" s="15"/>
      <c r="O145" s="15"/>
      <c r="P145" s="15"/>
      <c r="Q145" s="15"/>
      <c r="R145" s="15"/>
      <c r="S145" s="15"/>
      <c r="T145" s="15"/>
      <c r="U145" s="15"/>
      <c r="V145" s="15"/>
      <c r="W145" s="15"/>
      <c r="X145" s="15"/>
      <c r="Y145" s="15"/>
      <c r="Z145" s="15"/>
    </row>
    <row r="146" spans="1:26" ht="15.75" customHeight="1" x14ac:dyDescent="0.25">
      <c r="A146" s="24"/>
      <c r="B146" s="25"/>
      <c r="C146" s="24"/>
      <c r="D146" s="24"/>
      <c r="E146" s="24"/>
      <c r="F146" s="26"/>
      <c r="G146" s="15"/>
      <c r="H146" s="15"/>
      <c r="I146" s="15"/>
      <c r="J146" s="15"/>
      <c r="K146" s="167"/>
      <c r="L146" s="15"/>
      <c r="M146" s="15"/>
      <c r="N146" s="15"/>
      <c r="O146" s="15"/>
      <c r="P146" s="15"/>
      <c r="Q146" s="15"/>
      <c r="R146" s="15"/>
      <c r="S146" s="15"/>
      <c r="T146" s="15"/>
      <c r="U146" s="15"/>
      <c r="V146" s="15"/>
      <c r="W146" s="15"/>
      <c r="X146" s="15"/>
      <c r="Y146" s="15"/>
      <c r="Z146" s="15"/>
    </row>
    <row r="147" spans="1:26" ht="15.75" customHeight="1" x14ac:dyDescent="0.25">
      <c r="A147" s="24"/>
      <c r="B147" s="25"/>
      <c r="C147" s="24"/>
      <c r="D147" s="24"/>
      <c r="E147" s="24"/>
      <c r="F147" s="26"/>
      <c r="G147" s="15"/>
      <c r="H147" s="15"/>
      <c r="I147" s="15"/>
      <c r="J147" s="15"/>
      <c r="K147" s="167"/>
      <c r="L147" s="15"/>
      <c r="M147" s="15"/>
      <c r="N147" s="15"/>
      <c r="O147" s="15"/>
      <c r="P147" s="15"/>
      <c r="Q147" s="15"/>
      <c r="R147" s="15"/>
      <c r="S147" s="15"/>
      <c r="T147" s="15"/>
      <c r="U147" s="15"/>
      <c r="V147" s="15"/>
      <c r="W147" s="15"/>
      <c r="X147" s="15"/>
      <c r="Y147" s="15"/>
      <c r="Z147" s="15"/>
    </row>
    <row r="148" spans="1:26" ht="15.75" customHeight="1" x14ac:dyDescent="0.25">
      <c r="A148" s="24"/>
      <c r="B148" s="25"/>
      <c r="C148" s="24"/>
      <c r="D148" s="24"/>
      <c r="E148" s="24"/>
      <c r="F148" s="26"/>
      <c r="G148" s="15"/>
      <c r="H148" s="15"/>
      <c r="I148" s="15"/>
      <c r="J148" s="15"/>
      <c r="K148" s="167"/>
      <c r="L148" s="15"/>
      <c r="M148" s="15"/>
      <c r="N148" s="15"/>
      <c r="O148" s="15"/>
      <c r="P148" s="15"/>
      <c r="Q148" s="15"/>
      <c r="R148" s="15"/>
      <c r="S148" s="15"/>
      <c r="T148" s="15"/>
      <c r="U148" s="15"/>
      <c r="V148" s="15"/>
      <c r="W148" s="15"/>
      <c r="X148" s="15"/>
      <c r="Y148" s="15"/>
      <c r="Z148" s="15"/>
    </row>
    <row r="149" spans="1:26" ht="15.75" customHeight="1" x14ac:dyDescent="0.25">
      <c r="A149" s="24"/>
      <c r="B149" s="25"/>
      <c r="C149" s="24"/>
      <c r="D149" s="24"/>
      <c r="E149" s="24"/>
      <c r="F149" s="26"/>
      <c r="G149" s="15"/>
      <c r="H149" s="15"/>
      <c r="I149" s="15"/>
      <c r="J149" s="15"/>
      <c r="K149" s="167"/>
      <c r="L149" s="15"/>
      <c r="M149" s="15"/>
      <c r="N149" s="15"/>
      <c r="O149" s="15"/>
      <c r="P149" s="15"/>
      <c r="Q149" s="15"/>
      <c r="R149" s="15"/>
      <c r="S149" s="15"/>
      <c r="T149" s="15"/>
      <c r="U149" s="15"/>
      <c r="V149" s="15"/>
      <c r="W149" s="15"/>
      <c r="X149" s="15"/>
      <c r="Y149" s="15"/>
      <c r="Z149" s="15"/>
    </row>
    <row r="150" spans="1:26" ht="15.75" customHeight="1" x14ac:dyDescent="0.25">
      <c r="A150" s="24"/>
      <c r="B150" s="25"/>
      <c r="C150" s="24"/>
      <c r="D150" s="24"/>
      <c r="E150" s="24"/>
      <c r="F150" s="26"/>
      <c r="G150" s="15"/>
      <c r="H150" s="15"/>
      <c r="I150" s="15"/>
      <c r="J150" s="15"/>
      <c r="K150" s="167"/>
      <c r="L150" s="15"/>
      <c r="M150" s="15"/>
      <c r="N150" s="15"/>
      <c r="O150" s="15"/>
      <c r="P150" s="15"/>
      <c r="Q150" s="15"/>
      <c r="R150" s="15"/>
      <c r="S150" s="15"/>
      <c r="T150" s="15"/>
      <c r="U150" s="15"/>
      <c r="V150" s="15"/>
      <c r="W150" s="15"/>
      <c r="X150" s="15"/>
      <c r="Y150" s="15"/>
      <c r="Z150" s="15"/>
    </row>
    <row r="151" spans="1:26" ht="15.75" customHeight="1" x14ac:dyDescent="0.25">
      <c r="A151" s="24"/>
      <c r="B151" s="25"/>
      <c r="C151" s="24"/>
      <c r="D151" s="24"/>
      <c r="E151" s="24"/>
      <c r="F151" s="26"/>
      <c r="G151" s="15"/>
      <c r="H151" s="15"/>
      <c r="I151" s="15"/>
      <c r="J151" s="15"/>
      <c r="K151" s="167"/>
      <c r="L151" s="15"/>
      <c r="M151" s="15"/>
      <c r="N151" s="15"/>
      <c r="O151" s="15"/>
      <c r="P151" s="15"/>
      <c r="Q151" s="15"/>
      <c r="R151" s="15"/>
      <c r="S151" s="15"/>
      <c r="T151" s="15"/>
      <c r="U151" s="15"/>
      <c r="V151" s="15"/>
      <c r="W151" s="15"/>
      <c r="X151" s="15"/>
      <c r="Y151" s="15"/>
      <c r="Z151" s="15"/>
    </row>
    <row r="152" spans="1:26" ht="15.75" customHeight="1" x14ac:dyDescent="0.25">
      <c r="A152" s="24"/>
      <c r="B152" s="25"/>
      <c r="C152" s="24"/>
      <c r="D152" s="24"/>
      <c r="E152" s="24"/>
      <c r="F152" s="26"/>
      <c r="G152" s="15"/>
      <c r="H152" s="15"/>
      <c r="I152" s="15"/>
      <c r="J152" s="15"/>
      <c r="K152" s="167"/>
      <c r="L152" s="15"/>
      <c r="M152" s="15"/>
      <c r="N152" s="15"/>
      <c r="O152" s="15"/>
      <c r="P152" s="15"/>
      <c r="Q152" s="15"/>
      <c r="R152" s="15"/>
      <c r="S152" s="15"/>
      <c r="T152" s="15"/>
      <c r="U152" s="15"/>
      <c r="V152" s="15"/>
      <c r="W152" s="15"/>
      <c r="X152" s="15"/>
      <c r="Y152" s="15"/>
      <c r="Z152" s="15"/>
    </row>
    <row r="153" spans="1:26" ht="15.75" customHeight="1" x14ac:dyDescent="0.25">
      <c r="A153" s="24"/>
      <c r="B153" s="25"/>
      <c r="C153" s="24"/>
      <c r="D153" s="24"/>
      <c r="E153" s="24"/>
      <c r="F153" s="26"/>
      <c r="G153" s="15"/>
      <c r="H153" s="15"/>
      <c r="I153" s="15"/>
      <c r="J153" s="15"/>
      <c r="K153" s="167"/>
      <c r="L153" s="15"/>
      <c r="M153" s="15"/>
      <c r="N153" s="15"/>
      <c r="O153" s="15"/>
      <c r="P153" s="15"/>
      <c r="Q153" s="15"/>
      <c r="R153" s="15"/>
      <c r="S153" s="15"/>
      <c r="T153" s="15"/>
      <c r="U153" s="15"/>
      <c r="V153" s="15"/>
      <c r="W153" s="15"/>
      <c r="X153" s="15"/>
      <c r="Y153" s="15"/>
      <c r="Z153" s="15"/>
    </row>
    <row r="154" spans="1:26" ht="15.75" customHeight="1" x14ac:dyDescent="0.25">
      <c r="A154" s="24"/>
      <c r="B154" s="25"/>
      <c r="C154" s="24"/>
      <c r="D154" s="24"/>
      <c r="E154" s="24"/>
      <c r="F154" s="26"/>
      <c r="G154" s="15"/>
      <c r="H154" s="15"/>
      <c r="I154" s="15"/>
      <c r="J154" s="15"/>
      <c r="K154" s="167"/>
      <c r="L154" s="15"/>
      <c r="M154" s="15"/>
      <c r="N154" s="15"/>
      <c r="O154" s="15"/>
      <c r="P154" s="15"/>
      <c r="Q154" s="15"/>
      <c r="R154" s="15"/>
      <c r="S154" s="15"/>
      <c r="T154" s="15"/>
      <c r="U154" s="15"/>
      <c r="V154" s="15"/>
      <c r="W154" s="15"/>
      <c r="X154" s="15"/>
      <c r="Y154" s="15"/>
      <c r="Z154" s="15"/>
    </row>
    <row r="155" spans="1:26" ht="15.75" customHeight="1" x14ac:dyDescent="0.25">
      <c r="A155" s="24"/>
      <c r="B155" s="25"/>
      <c r="C155" s="24"/>
      <c r="D155" s="24"/>
      <c r="E155" s="24"/>
      <c r="F155" s="26"/>
      <c r="G155" s="15"/>
      <c r="H155" s="15"/>
      <c r="I155" s="15"/>
      <c r="J155" s="15"/>
      <c r="K155" s="167"/>
      <c r="L155" s="15"/>
      <c r="M155" s="15"/>
      <c r="N155" s="15"/>
      <c r="O155" s="15"/>
      <c r="P155" s="15"/>
      <c r="Q155" s="15"/>
      <c r="R155" s="15"/>
      <c r="S155" s="15"/>
      <c r="T155" s="15"/>
      <c r="U155" s="15"/>
      <c r="V155" s="15"/>
      <c r="W155" s="15"/>
      <c r="X155" s="15"/>
      <c r="Y155" s="15"/>
      <c r="Z155" s="15"/>
    </row>
    <row r="156" spans="1:26" ht="15.75" customHeight="1" x14ac:dyDescent="0.25">
      <c r="A156" s="24"/>
      <c r="B156" s="25"/>
      <c r="C156" s="24"/>
      <c r="D156" s="24"/>
      <c r="E156" s="24"/>
      <c r="F156" s="26"/>
      <c r="G156" s="15"/>
      <c r="H156" s="15"/>
      <c r="I156" s="15"/>
      <c r="J156" s="15"/>
      <c r="K156" s="167"/>
      <c r="L156" s="15"/>
      <c r="M156" s="15"/>
      <c r="N156" s="15"/>
      <c r="O156" s="15"/>
      <c r="P156" s="15"/>
      <c r="Q156" s="15"/>
      <c r="R156" s="15"/>
      <c r="S156" s="15"/>
      <c r="T156" s="15"/>
      <c r="U156" s="15"/>
      <c r="V156" s="15"/>
      <c r="W156" s="15"/>
      <c r="X156" s="15"/>
      <c r="Y156" s="15"/>
      <c r="Z156" s="15"/>
    </row>
    <row r="157" spans="1:26" ht="15.75" customHeight="1" x14ac:dyDescent="0.25">
      <c r="A157" s="24"/>
      <c r="B157" s="25"/>
      <c r="C157" s="24"/>
      <c r="D157" s="24"/>
      <c r="E157" s="24"/>
      <c r="F157" s="26"/>
      <c r="G157" s="15"/>
      <c r="H157" s="15"/>
      <c r="I157" s="15"/>
      <c r="J157" s="15"/>
      <c r="K157" s="167"/>
      <c r="L157" s="15"/>
      <c r="M157" s="15"/>
      <c r="N157" s="15"/>
      <c r="O157" s="15"/>
      <c r="P157" s="15"/>
      <c r="Q157" s="15"/>
      <c r="R157" s="15"/>
      <c r="S157" s="15"/>
      <c r="T157" s="15"/>
      <c r="U157" s="15"/>
      <c r="V157" s="15"/>
      <c r="W157" s="15"/>
      <c r="X157" s="15"/>
      <c r="Y157" s="15"/>
      <c r="Z157" s="15"/>
    </row>
    <row r="158" spans="1:26" ht="15.75" customHeight="1" x14ac:dyDescent="0.25">
      <c r="A158" s="24"/>
      <c r="B158" s="25"/>
      <c r="C158" s="24"/>
      <c r="D158" s="24"/>
      <c r="E158" s="24"/>
      <c r="F158" s="26"/>
      <c r="G158" s="15"/>
      <c r="H158" s="15"/>
      <c r="I158" s="15"/>
      <c r="J158" s="15"/>
      <c r="K158" s="167"/>
      <c r="L158" s="15"/>
      <c r="M158" s="15"/>
      <c r="N158" s="15"/>
      <c r="O158" s="15"/>
      <c r="P158" s="15"/>
      <c r="Q158" s="15"/>
      <c r="R158" s="15"/>
      <c r="S158" s="15"/>
      <c r="T158" s="15"/>
      <c r="U158" s="15"/>
      <c r="V158" s="15"/>
      <c r="W158" s="15"/>
      <c r="X158" s="15"/>
      <c r="Y158" s="15"/>
      <c r="Z158" s="15"/>
    </row>
    <row r="159" spans="1:26" ht="15.75" customHeight="1" x14ac:dyDescent="0.25">
      <c r="A159" s="24"/>
      <c r="B159" s="25"/>
      <c r="C159" s="24"/>
      <c r="D159" s="24"/>
      <c r="E159" s="24"/>
      <c r="F159" s="26"/>
      <c r="G159" s="15"/>
      <c r="H159" s="15"/>
      <c r="I159" s="15"/>
      <c r="J159" s="15"/>
      <c r="K159" s="167"/>
      <c r="L159" s="15"/>
      <c r="M159" s="15"/>
      <c r="N159" s="15"/>
      <c r="O159" s="15"/>
      <c r="P159" s="15"/>
      <c r="Q159" s="15"/>
      <c r="R159" s="15"/>
      <c r="S159" s="15"/>
      <c r="T159" s="15"/>
      <c r="U159" s="15"/>
      <c r="V159" s="15"/>
      <c r="W159" s="15"/>
      <c r="X159" s="15"/>
      <c r="Y159" s="15"/>
      <c r="Z159" s="15"/>
    </row>
    <row r="160" spans="1:26" ht="15.75" customHeight="1" x14ac:dyDescent="0.25">
      <c r="A160" s="24"/>
      <c r="B160" s="25"/>
      <c r="C160" s="24"/>
      <c r="D160" s="24"/>
      <c r="E160" s="24"/>
      <c r="F160" s="26"/>
      <c r="G160" s="15"/>
      <c r="H160" s="15"/>
      <c r="I160" s="15"/>
      <c r="J160" s="15"/>
      <c r="K160" s="167"/>
      <c r="L160" s="15"/>
      <c r="M160" s="15"/>
      <c r="N160" s="15"/>
      <c r="O160" s="15"/>
      <c r="P160" s="15"/>
      <c r="Q160" s="15"/>
      <c r="R160" s="15"/>
      <c r="S160" s="15"/>
      <c r="T160" s="15"/>
      <c r="U160" s="15"/>
      <c r="V160" s="15"/>
      <c r="W160" s="15"/>
      <c r="X160" s="15"/>
      <c r="Y160" s="15"/>
      <c r="Z160" s="15"/>
    </row>
    <row r="161" spans="1:26" ht="15.75" customHeight="1" x14ac:dyDescent="0.25">
      <c r="A161" s="24"/>
      <c r="B161" s="25"/>
      <c r="C161" s="24"/>
      <c r="D161" s="24"/>
      <c r="E161" s="24"/>
      <c r="F161" s="26"/>
      <c r="G161" s="15"/>
      <c r="H161" s="15"/>
      <c r="I161" s="15"/>
      <c r="J161" s="15"/>
      <c r="K161" s="167"/>
      <c r="L161" s="15"/>
      <c r="M161" s="15"/>
      <c r="N161" s="15"/>
      <c r="O161" s="15"/>
      <c r="P161" s="15"/>
      <c r="Q161" s="15"/>
      <c r="R161" s="15"/>
      <c r="S161" s="15"/>
      <c r="T161" s="15"/>
      <c r="U161" s="15"/>
      <c r="V161" s="15"/>
      <c r="W161" s="15"/>
      <c r="X161" s="15"/>
      <c r="Y161" s="15"/>
      <c r="Z161" s="15"/>
    </row>
    <row r="162" spans="1:26" ht="15.75" customHeight="1" x14ac:dyDescent="0.25">
      <c r="A162" s="24"/>
      <c r="B162" s="25"/>
      <c r="C162" s="24"/>
      <c r="D162" s="24"/>
      <c r="E162" s="24"/>
      <c r="F162" s="26"/>
      <c r="G162" s="15"/>
      <c r="H162" s="15"/>
      <c r="I162" s="15"/>
      <c r="J162" s="15"/>
      <c r="K162" s="167"/>
      <c r="L162" s="15"/>
      <c r="M162" s="15"/>
      <c r="N162" s="15"/>
      <c r="O162" s="15"/>
      <c r="P162" s="15"/>
      <c r="Q162" s="15"/>
      <c r="R162" s="15"/>
      <c r="S162" s="15"/>
      <c r="T162" s="15"/>
      <c r="U162" s="15"/>
      <c r="V162" s="15"/>
      <c r="W162" s="15"/>
      <c r="X162" s="15"/>
      <c r="Y162" s="15"/>
      <c r="Z162" s="15"/>
    </row>
    <row r="163" spans="1:26" ht="15.75" customHeight="1" x14ac:dyDescent="0.25">
      <c r="A163" s="24"/>
      <c r="B163" s="25"/>
      <c r="C163" s="24"/>
      <c r="D163" s="24"/>
      <c r="E163" s="24"/>
      <c r="F163" s="26"/>
      <c r="G163" s="15"/>
      <c r="H163" s="15"/>
      <c r="I163" s="15"/>
      <c r="J163" s="15"/>
      <c r="K163" s="167"/>
      <c r="L163" s="15"/>
      <c r="M163" s="15"/>
      <c r="N163" s="15"/>
      <c r="O163" s="15"/>
      <c r="P163" s="15"/>
      <c r="Q163" s="15"/>
      <c r="R163" s="15"/>
      <c r="S163" s="15"/>
      <c r="T163" s="15"/>
      <c r="U163" s="15"/>
      <c r="V163" s="15"/>
      <c r="W163" s="15"/>
      <c r="X163" s="15"/>
      <c r="Y163" s="15"/>
      <c r="Z163" s="15"/>
    </row>
    <row r="164" spans="1:26" ht="15.75" customHeight="1" x14ac:dyDescent="0.25">
      <c r="A164" s="24"/>
      <c r="B164" s="25"/>
      <c r="C164" s="24"/>
      <c r="D164" s="24"/>
      <c r="E164" s="24"/>
      <c r="F164" s="26"/>
      <c r="G164" s="15"/>
      <c r="H164" s="15"/>
      <c r="I164" s="15"/>
      <c r="J164" s="15"/>
      <c r="K164" s="167"/>
      <c r="L164" s="15"/>
      <c r="M164" s="15"/>
      <c r="N164" s="15"/>
      <c r="O164" s="15"/>
      <c r="P164" s="15"/>
      <c r="Q164" s="15"/>
      <c r="R164" s="15"/>
      <c r="S164" s="15"/>
      <c r="T164" s="15"/>
      <c r="U164" s="15"/>
      <c r="V164" s="15"/>
      <c r="W164" s="15"/>
      <c r="X164" s="15"/>
      <c r="Y164" s="15"/>
      <c r="Z164" s="15"/>
    </row>
    <row r="165" spans="1:26" ht="15.75" customHeight="1" x14ac:dyDescent="0.25">
      <c r="A165" s="24"/>
      <c r="B165" s="25"/>
      <c r="C165" s="24"/>
      <c r="D165" s="24"/>
      <c r="E165" s="24"/>
      <c r="F165" s="26"/>
      <c r="G165" s="15"/>
      <c r="H165" s="15"/>
      <c r="I165" s="15"/>
      <c r="J165" s="15"/>
      <c r="K165" s="167"/>
      <c r="L165" s="15"/>
      <c r="M165" s="15"/>
      <c r="N165" s="15"/>
      <c r="O165" s="15"/>
      <c r="P165" s="15"/>
      <c r="Q165" s="15"/>
      <c r="R165" s="15"/>
      <c r="S165" s="15"/>
      <c r="T165" s="15"/>
      <c r="U165" s="15"/>
      <c r="V165" s="15"/>
      <c r="W165" s="15"/>
      <c r="X165" s="15"/>
      <c r="Y165" s="15"/>
      <c r="Z165" s="15"/>
    </row>
    <row r="166" spans="1:26" ht="15.75" customHeight="1" x14ac:dyDescent="0.25">
      <c r="A166" s="24"/>
      <c r="B166" s="25"/>
      <c r="C166" s="24"/>
      <c r="D166" s="24"/>
      <c r="E166" s="24"/>
      <c r="F166" s="26"/>
      <c r="G166" s="15"/>
      <c r="H166" s="15"/>
      <c r="I166" s="15"/>
      <c r="J166" s="15"/>
      <c r="K166" s="167"/>
      <c r="L166" s="15"/>
      <c r="M166" s="15"/>
      <c r="N166" s="15"/>
      <c r="O166" s="15"/>
      <c r="P166" s="15"/>
      <c r="Q166" s="15"/>
      <c r="R166" s="15"/>
      <c r="S166" s="15"/>
      <c r="T166" s="15"/>
      <c r="U166" s="15"/>
      <c r="V166" s="15"/>
      <c r="W166" s="15"/>
      <c r="X166" s="15"/>
      <c r="Y166" s="15"/>
      <c r="Z166" s="15"/>
    </row>
    <row r="167" spans="1:26" ht="15.75" customHeight="1" x14ac:dyDescent="0.25">
      <c r="A167" s="24"/>
      <c r="B167" s="25"/>
      <c r="C167" s="24"/>
      <c r="D167" s="24"/>
      <c r="E167" s="24"/>
      <c r="F167" s="26"/>
      <c r="G167" s="15"/>
      <c r="H167" s="15"/>
      <c r="I167" s="15"/>
      <c r="J167" s="15"/>
      <c r="K167" s="167"/>
      <c r="L167" s="15"/>
      <c r="M167" s="15"/>
      <c r="N167" s="15"/>
      <c r="O167" s="15"/>
      <c r="P167" s="15"/>
      <c r="Q167" s="15"/>
      <c r="R167" s="15"/>
      <c r="S167" s="15"/>
      <c r="T167" s="15"/>
      <c r="U167" s="15"/>
      <c r="V167" s="15"/>
      <c r="W167" s="15"/>
      <c r="X167" s="15"/>
      <c r="Y167" s="15"/>
      <c r="Z167" s="15"/>
    </row>
    <row r="168" spans="1:26" ht="15.75" customHeight="1" x14ac:dyDescent="0.25">
      <c r="A168" s="24"/>
      <c r="B168" s="25"/>
      <c r="C168" s="24"/>
      <c r="D168" s="24"/>
      <c r="E168" s="24"/>
      <c r="F168" s="26"/>
      <c r="G168" s="15"/>
      <c r="H168" s="15"/>
      <c r="I168" s="15"/>
      <c r="J168" s="15"/>
      <c r="K168" s="167"/>
      <c r="L168" s="15"/>
      <c r="M168" s="15"/>
      <c r="N168" s="15"/>
      <c r="O168" s="15"/>
      <c r="P168" s="15"/>
      <c r="Q168" s="15"/>
      <c r="R168" s="15"/>
      <c r="S168" s="15"/>
      <c r="T168" s="15"/>
      <c r="U168" s="15"/>
      <c r="V168" s="15"/>
      <c r="W168" s="15"/>
      <c r="X168" s="15"/>
      <c r="Y168" s="15"/>
      <c r="Z168" s="15"/>
    </row>
    <row r="169" spans="1:26" ht="15.75" customHeight="1" x14ac:dyDescent="0.25">
      <c r="A169" s="24"/>
      <c r="B169" s="25"/>
      <c r="C169" s="24"/>
      <c r="D169" s="24"/>
      <c r="E169" s="24"/>
      <c r="F169" s="26"/>
      <c r="G169" s="15"/>
      <c r="H169" s="15"/>
      <c r="I169" s="15"/>
      <c r="J169" s="15"/>
      <c r="K169" s="167"/>
      <c r="L169" s="15"/>
      <c r="M169" s="15"/>
      <c r="N169" s="15"/>
      <c r="O169" s="15"/>
      <c r="P169" s="15"/>
      <c r="Q169" s="15"/>
      <c r="R169" s="15"/>
      <c r="S169" s="15"/>
      <c r="T169" s="15"/>
      <c r="U169" s="15"/>
      <c r="V169" s="15"/>
      <c r="W169" s="15"/>
      <c r="X169" s="15"/>
      <c r="Y169" s="15"/>
      <c r="Z169" s="15"/>
    </row>
    <row r="170" spans="1:26" ht="15.75" customHeight="1" x14ac:dyDescent="0.25">
      <c r="A170" s="24"/>
      <c r="B170" s="25"/>
      <c r="C170" s="24"/>
      <c r="D170" s="24"/>
      <c r="E170" s="24"/>
      <c r="F170" s="26"/>
      <c r="G170" s="15"/>
      <c r="H170" s="15"/>
      <c r="I170" s="15"/>
      <c r="J170" s="15"/>
      <c r="K170" s="167"/>
      <c r="L170" s="15"/>
      <c r="M170" s="15"/>
      <c r="N170" s="15"/>
      <c r="O170" s="15"/>
      <c r="P170" s="15"/>
      <c r="Q170" s="15"/>
      <c r="R170" s="15"/>
      <c r="S170" s="15"/>
      <c r="T170" s="15"/>
      <c r="U170" s="15"/>
      <c r="V170" s="15"/>
      <c r="W170" s="15"/>
      <c r="X170" s="15"/>
      <c r="Y170" s="15"/>
      <c r="Z170" s="15"/>
    </row>
    <row r="171" spans="1:26" ht="15.75" customHeight="1" x14ac:dyDescent="0.25">
      <c r="A171" s="24"/>
      <c r="B171" s="25"/>
      <c r="C171" s="24"/>
      <c r="D171" s="24"/>
      <c r="E171" s="24"/>
      <c r="F171" s="26"/>
      <c r="G171" s="15"/>
      <c r="H171" s="15"/>
      <c r="I171" s="15"/>
      <c r="J171" s="15"/>
      <c r="K171" s="167"/>
      <c r="L171" s="15"/>
      <c r="M171" s="15"/>
      <c r="N171" s="15"/>
      <c r="O171" s="15"/>
      <c r="P171" s="15"/>
      <c r="Q171" s="15"/>
      <c r="R171" s="15"/>
      <c r="S171" s="15"/>
      <c r="T171" s="15"/>
      <c r="U171" s="15"/>
      <c r="V171" s="15"/>
      <c r="W171" s="15"/>
      <c r="X171" s="15"/>
      <c r="Y171" s="15"/>
      <c r="Z171" s="15"/>
    </row>
    <row r="172" spans="1:26" ht="15.75" customHeight="1" x14ac:dyDescent="0.25">
      <c r="A172" s="24"/>
      <c r="B172" s="25"/>
      <c r="C172" s="24"/>
      <c r="D172" s="24"/>
      <c r="E172" s="24"/>
      <c r="F172" s="26"/>
      <c r="G172" s="15"/>
      <c r="H172" s="15"/>
      <c r="I172" s="15"/>
      <c r="J172" s="15"/>
      <c r="K172" s="167"/>
      <c r="L172" s="15"/>
      <c r="M172" s="15"/>
      <c r="N172" s="15"/>
      <c r="O172" s="15"/>
      <c r="P172" s="15"/>
      <c r="Q172" s="15"/>
      <c r="R172" s="15"/>
      <c r="S172" s="15"/>
      <c r="T172" s="15"/>
      <c r="U172" s="15"/>
      <c r="V172" s="15"/>
      <c r="W172" s="15"/>
      <c r="X172" s="15"/>
      <c r="Y172" s="15"/>
      <c r="Z172" s="15"/>
    </row>
    <row r="173" spans="1:26" ht="15.75" customHeight="1" x14ac:dyDescent="0.25">
      <c r="A173" s="24"/>
      <c r="B173" s="25"/>
      <c r="C173" s="24"/>
      <c r="D173" s="24"/>
      <c r="E173" s="24"/>
      <c r="F173" s="26"/>
      <c r="G173" s="15"/>
      <c r="H173" s="15"/>
      <c r="I173" s="15"/>
      <c r="J173" s="15"/>
      <c r="K173" s="167"/>
      <c r="L173" s="15"/>
      <c r="M173" s="15"/>
      <c r="N173" s="15"/>
      <c r="O173" s="15"/>
      <c r="P173" s="15"/>
      <c r="Q173" s="15"/>
      <c r="R173" s="15"/>
      <c r="S173" s="15"/>
      <c r="T173" s="15"/>
      <c r="U173" s="15"/>
      <c r="V173" s="15"/>
      <c r="W173" s="15"/>
      <c r="X173" s="15"/>
      <c r="Y173" s="15"/>
      <c r="Z173" s="15"/>
    </row>
    <row r="174" spans="1:26" ht="15.75" customHeight="1" x14ac:dyDescent="0.25">
      <c r="A174" s="24"/>
      <c r="B174" s="25"/>
      <c r="C174" s="24"/>
      <c r="D174" s="24"/>
      <c r="E174" s="24"/>
      <c r="F174" s="26"/>
      <c r="G174" s="15"/>
      <c r="H174" s="15"/>
      <c r="I174" s="15"/>
      <c r="J174" s="15"/>
      <c r="K174" s="167"/>
      <c r="L174" s="15"/>
      <c r="M174" s="15"/>
      <c r="N174" s="15"/>
      <c r="O174" s="15"/>
      <c r="P174" s="15"/>
      <c r="Q174" s="15"/>
      <c r="R174" s="15"/>
      <c r="S174" s="15"/>
      <c r="T174" s="15"/>
      <c r="U174" s="15"/>
      <c r="V174" s="15"/>
      <c r="W174" s="15"/>
      <c r="X174" s="15"/>
      <c r="Y174" s="15"/>
      <c r="Z174" s="15"/>
    </row>
    <row r="175" spans="1:26" ht="15.75" customHeight="1" x14ac:dyDescent="0.25">
      <c r="A175" s="24"/>
      <c r="B175" s="25"/>
      <c r="C175" s="24"/>
      <c r="D175" s="24"/>
      <c r="E175" s="24"/>
      <c r="F175" s="26"/>
      <c r="G175" s="15"/>
      <c r="H175" s="15"/>
      <c r="I175" s="15"/>
      <c r="J175" s="15"/>
      <c r="K175" s="167"/>
      <c r="L175" s="15"/>
      <c r="M175" s="15"/>
      <c r="N175" s="15"/>
      <c r="O175" s="15"/>
      <c r="P175" s="15"/>
      <c r="Q175" s="15"/>
      <c r="R175" s="15"/>
      <c r="S175" s="15"/>
      <c r="T175" s="15"/>
      <c r="U175" s="15"/>
      <c r="V175" s="15"/>
      <c r="W175" s="15"/>
      <c r="X175" s="15"/>
      <c r="Y175" s="15"/>
      <c r="Z175" s="15"/>
    </row>
    <row r="176" spans="1:26" ht="15.75" customHeight="1" x14ac:dyDescent="0.25">
      <c r="A176" s="24"/>
      <c r="B176" s="25"/>
      <c r="C176" s="24"/>
      <c r="D176" s="24"/>
      <c r="E176" s="24"/>
      <c r="F176" s="26"/>
      <c r="G176" s="15"/>
      <c r="H176" s="15"/>
      <c r="I176" s="15"/>
      <c r="J176" s="15"/>
      <c r="K176" s="167"/>
      <c r="L176" s="15"/>
      <c r="M176" s="15"/>
      <c r="N176" s="15"/>
      <c r="O176" s="15"/>
      <c r="P176" s="15"/>
      <c r="Q176" s="15"/>
      <c r="R176" s="15"/>
      <c r="S176" s="15"/>
      <c r="T176" s="15"/>
      <c r="U176" s="15"/>
      <c r="V176" s="15"/>
      <c r="W176" s="15"/>
      <c r="X176" s="15"/>
      <c r="Y176" s="15"/>
      <c r="Z176" s="15"/>
    </row>
    <row r="177" spans="1:26" ht="15.75" customHeight="1" x14ac:dyDescent="0.25">
      <c r="A177" s="24"/>
      <c r="B177" s="25"/>
      <c r="C177" s="24"/>
      <c r="D177" s="24"/>
      <c r="E177" s="24"/>
      <c r="F177" s="26"/>
      <c r="G177" s="15"/>
      <c r="H177" s="15"/>
      <c r="I177" s="15"/>
      <c r="J177" s="15"/>
      <c r="K177" s="167"/>
      <c r="L177" s="15"/>
      <c r="M177" s="15"/>
      <c r="N177" s="15"/>
      <c r="O177" s="15"/>
      <c r="P177" s="15"/>
      <c r="Q177" s="15"/>
      <c r="R177" s="15"/>
      <c r="S177" s="15"/>
      <c r="T177" s="15"/>
      <c r="U177" s="15"/>
      <c r="V177" s="15"/>
      <c r="W177" s="15"/>
      <c r="X177" s="15"/>
      <c r="Y177" s="15"/>
      <c r="Z177" s="15"/>
    </row>
    <row r="178" spans="1:26" ht="15.75" customHeight="1" x14ac:dyDescent="0.25">
      <c r="A178" s="24"/>
      <c r="B178" s="25"/>
      <c r="C178" s="24"/>
      <c r="D178" s="24"/>
      <c r="E178" s="24"/>
      <c r="F178" s="26"/>
      <c r="G178" s="15"/>
      <c r="H178" s="15"/>
      <c r="I178" s="15"/>
      <c r="J178" s="15"/>
      <c r="K178" s="167"/>
      <c r="L178" s="15"/>
      <c r="M178" s="15"/>
      <c r="N178" s="15"/>
      <c r="O178" s="15"/>
      <c r="P178" s="15"/>
      <c r="Q178" s="15"/>
      <c r="R178" s="15"/>
      <c r="S178" s="15"/>
      <c r="T178" s="15"/>
      <c r="U178" s="15"/>
      <c r="V178" s="15"/>
      <c r="W178" s="15"/>
      <c r="X178" s="15"/>
      <c r="Y178" s="15"/>
      <c r="Z178" s="15"/>
    </row>
    <row r="179" spans="1:26" ht="15.75" customHeight="1" x14ac:dyDescent="0.25">
      <c r="A179" s="24"/>
      <c r="B179" s="25"/>
      <c r="C179" s="24"/>
      <c r="D179" s="24"/>
      <c r="E179" s="24"/>
      <c r="F179" s="26"/>
      <c r="G179" s="15"/>
      <c r="H179" s="15"/>
      <c r="I179" s="15"/>
      <c r="J179" s="15"/>
      <c r="K179" s="167"/>
      <c r="L179" s="15"/>
      <c r="M179" s="15"/>
      <c r="N179" s="15"/>
      <c r="O179" s="15"/>
      <c r="P179" s="15"/>
      <c r="Q179" s="15"/>
      <c r="R179" s="15"/>
      <c r="S179" s="15"/>
      <c r="T179" s="15"/>
      <c r="U179" s="15"/>
      <c r="V179" s="15"/>
      <c r="W179" s="15"/>
      <c r="X179" s="15"/>
      <c r="Y179" s="15"/>
      <c r="Z179" s="15"/>
    </row>
    <row r="180" spans="1:26" ht="15.75" customHeight="1" x14ac:dyDescent="0.25">
      <c r="A180" s="24"/>
      <c r="B180" s="25"/>
      <c r="C180" s="24"/>
      <c r="D180" s="24"/>
      <c r="E180" s="24"/>
      <c r="F180" s="26"/>
      <c r="G180" s="15"/>
      <c r="H180" s="15"/>
      <c r="I180" s="15"/>
      <c r="J180" s="15"/>
      <c r="K180" s="167"/>
      <c r="L180" s="15"/>
      <c r="M180" s="15"/>
      <c r="N180" s="15"/>
      <c r="O180" s="15"/>
      <c r="P180" s="15"/>
      <c r="Q180" s="15"/>
      <c r="R180" s="15"/>
      <c r="S180" s="15"/>
      <c r="T180" s="15"/>
      <c r="U180" s="15"/>
      <c r="V180" s="15"/>
      <c r="W180" s="15"/>
      <c r="X180" s="15"/>
      <c r="Y180" s="15"/>
      <c r="Z180" s="15"/>
    </row>
    <row r="181" spans="1:26" ht="15.75" customHeight="1" x14ac:dyDescent="0.25">
      <c r="A181" s="24"/>
      <c r="B181" s="25"/>
      <c r="C181" s="24"/>
      <c r="D181" s="24"/>
      <c r="E181" s="24"/>
      <c r="F181" s="26"/>
      <c r="G181" s="15"/>
      <c r="H181" s="15"/>
      <c r="I181" s="15"/>
      <c r="J181" s="15"/>
      <c r="K181" s="167"/>
      <c r="L181" s="15"/>
      <c r="M181" s="15"/>
      <c r="N181" s="15"/>
      <c r="O181" s="15"/>
      <c r="P181" s="15"/>
      <c r="Q181" s="15"/>
      <c r="R181" s="15"/>
      <c r="S181" s="15"/>
      <c r="T181" s="15"/>
      <c r="U181" s="15"/>
      <c r="V181" s="15"/>
      <c r="W181" s="15"/>
      <c r="X181" s="15"/>
      <c r="Y181" s="15"/>
      <c r="Z181" s="15"/>
    </row>
    <row r="182" spans="1:26" ht="15.75" customHeight="1" x14ac:dyDescent="0.25">
      <c r="A182" s="24"/>
      <c r="B182" s="25"/>
      <c r="C182" s="24"/>
      <c r="D182" s="24"/>
      <c r="E182" s="24"/>
      <c r="F182" s="26"/>
      <c r="G182" s="15"/>
      <c r="H182" s="15"/>
      <c r="I182" s="15"/>
      <c r="J182" s="15"/>
      <c r="K182" s="167"/>
      <c r="L182" s="15"/>
      <c r="M182" s="15"/>
      <c r="N182" s="15"/>
      <c r="O182" s="15"/>
      <c r="P182" s="15"/>
      <c r="Q182" s="15"/>
      <c r="R182" s="15"/>
      <c r="S182" s="15"/>
      <c r="T182" s="15"/>
      <c r="U182" s="15"/>
      <c r="V182" s="15"/>
      <c r="W182" s="15"/>
      <c r="X182" s="15"/>
      <c r="Y182" s="15"/>
      <c r="Z182" s="15"/>
    </row>
    <row r="183" spans="1:26" ht="15.75" customHeight="1" x14ac:dyDescent="0.25">
      <c r="A183" s="24"/>
      <c r="B183" s="25"/>
      <c r="C183" s="24"/>
      <c r="D183" s="24"/>
      <c r="E183" s="24"/>
      <c r="F183" s="26"/>
      <c r="G183" s="15"/>
      <c r="H183" s="15"/>
      <c r="I183" s="15"/>
      <c r="J183" s="15"/>
      <c r="K183" s="167"/>
      <c r="L183" s="15"/>
      <c r="M183" s="15"/>
      <c r="N183" s="15"/>
      <c r="O183" s="15"/>
      <c r="P183" s="15"/>
      <c r="Q183" s="15"/>
      <c r="R183" s="15"/>
      <c r="S183" s="15"/>
      <c r="T183" s="15"/>
      <c r="U183" s="15"/>
      <c r="V183" s="15"/>
      <c r="W183" s="15"/>
      <c r="X183" s="15"/>
      <c r="Y183" s="15"/>
      <c r="Z183" s="15"/>
    </row>
    <row r="184" spans="1:26" ht="15.75" customHeight="1" x14ac:dyDescent="0.25">
      <c r="A184" s="24"/>
      <c r="B184" s="25"/>
      <c r="C184" s="24"/>
      <c r="D184" s="24"/>
      <c r="E184" s="24"/>
      <c r="F184" s="26"/>
      <c r="G184" s="15"/>
      <c r="H184" s="15"/>
      <c r="I184" s="15"/>
      <c r="J184" s="15"/>
      <c r="K184" s="167"/>
      <c r="L184" s="15"/>
      <c r="M184" s="15"/>
      <c r="N184" s="15"/>
      <c r="O184" s="15"/>
      <c r="P184" s="15"/>
      <c r="Q184" s="15"/>
      <c r="R184" s="15"/>
      <c r="S184" s="15"/>
      <c r="T184" s="15"/>
      <c r="U184" s="15"/>
      <c r="V184" s="15"/>
      <c r="W184" s="15"/>
      <c r="X184" s="15"/>
      <c r="Y184" s="15"/>
      <c r="Z184" s="15"/>
    </row>
    <row r="185" spans="1:26" ht="15.75" customHeight="1" x14ac:dyDescent="0.25">
      <c r="A185" s="24"/>
      <c r="B185" s="25"/>
      <c r="C185" s="24"/>
      <c r="D185" s="24"/>
      <c r="E185" s="24"/>
      <c r="F185" s="26"/>
      <c r="G185" s="15"/>
      <c r="H185" s="15"/>
      <c r="I185" s="15"/>
      <c r="J185" s="15"/>
      <c r="K185" s="167"/>
      <c r="L185" s="15"/>
      <c r="M185" s="15"/>
      <c r="N185" s="15"/>
      <c r="O185" s="15"/>
      <c r="P185" s="15"/>
      <c r="Q185" s="15"/>
      <c r="R185" s="15"/>
      <c r="S185" s="15"/>
      <c r="T185" s="15"/>
      <c r="U185" s="15"/>
      <c r="V185" s="15"/>
      <c r="W185" s="15"/>
      <c r="X185" s="15"/>
      <c r="Y185" s="15"/>
      <c r="Z185" s="15"/>
    </row>
    <row r="186" spans="1:26" ht="15.75" customHeight="1" x14ac:dyDescent="0.25">
      <c r="A186" s="24"/>
      <c r="B186" s="25"/>
      <c r="C186" s="24"/>
      <c r="D186" s="24"/>
      <c r="E186" s="24"/>
      <c r="F186" s="26"/>
      <c r="G186" s="15"/>
      <c r="H186" s="15"/>
      <c r="I186" s="15"/>
      <c r="J186" s="15"/>
      <c r="K186" s="167"/>
      <c r="L186" s="15"/>
      <c r="M186" s="15"/>
      <c r="N186" s="15"/>
      <c r="O186" s="15"/>
      <c r="P186" s="15"/>
      <c r="Q186" s="15"/>
      <c r="R186" s="15"/>
      <c r="S186" s="15"/>
      <c r="T186" s="15"/>
      <c r="U186" s="15"/>
      <c r="V186" s="15"/>
      <c r="W186" s="15"/>
      <c r="X186" s="15"/>
      <c r="Y186" s="15"/>
      <c r="Z186" s="15"/>
    </row>
    <row r="187" spans="1:26" ht="15.75" customHeight="1" x14ac:dyDescent="0.25">
      <c r="A187" s="24"/>
      <c r="B187" s="25"/>
      <c r="C187" s="24"/>
      <c r="D187" s="24"/>
      <c r="E187" s="24"/>
      <c r="F187" s="26"/>
      <c r="G187" s="15"/>
      <c r="H187" s="15"/>
      <c r="I187" s="15"/>
      <c r="J187" s="15"/>
      <c r="K187" s="167"/>
      <c r="L187" s="15"/>
      <c r="M187" s="15"/>
      <c r="N187" s="15"/>
      <c r="O187" s="15"/>
      <c r="P187" s="15"/>
      <c r="Q187" s="15"/>
      <c r="R187" s="15"/>
      <c r="S187" s="15"/>
      <c r="T187" s="15"/>
      <c r="U187" s="15"/>
      <c r="V187" s="15"/>
      <c r="W187" s="15"/>
      <c r="X187" s="15"/>
      <c r="Y187" s="15"/>
      <c r="Z187" s="15"/>
    </row>
    <row r="188" spans="1:26" ht="15.75" customHeight="1" x14ac:dyDescent="0.25">
      <c r="A188" s="24"/>
      <c r="B188" s="25"/>
      <c r="C188" s="24"/>
      <c r="D188" s="24"/>
      <c r="E188" s="24"/>
      <c r="F188" s="26"/>
      <c r="G188" s="15"/>
      <c r="H188" s="15"/>
      <c r="I188" s="15"/>
      <c r="J188" s="15"/>
      <c r="K188" s="167"/>
      <c r="L188" s="15"/>
      <c r="M188" s="15"/>
      <c r="N188" s="15"/>
      <c r="O188" s="15"/>
      <c r="P188" s="15"/>
      <c r="Q188" s="15"/>
      <c r="R188" s="15"/>
      <c r="S188" s="15"/>
      <c r="T188" s="15"/>
      <c r="U188" s="15"/>
      <c r="V188" s="15"/>
      <c r="W188" s="15"/>
      <c r="X188" s="15"/>
      <c r="Y188" s="15"/>
      <c r="Z188" s="15"/>
    </row>
    <row r="189" spans="1:26" ht="15.75" customHeight="1" x14ac:dyDescent="0.25">
      <c r="A189" s="24"/>
      <c r="B189" s="25"/>
      <c r="C189" s="24"/>
      <c r="D189" s="24"/>
      <c r="E189" s="24"/>
      <c r="F189" s="26"/>
      <c r="G189" s="15"/>
      <c r="H189" s="15"/>
      <c r="I189" s="15"/>
      <c r="J189" s="15"/>
      <c r="K189" s="167"/>
      <c r="L189" s="15"/>
      <c r="M189" s="15"/>
      <c r="N189" s="15"/>
      <c r="O189" s="15"/>
      <c r="P189" s="15"/>
      <c r="Q189" s="15"/>
      <c r="R189" s="15"/>
      <c r="S189" s="15"/>
      <c r="T189" s="15"/>
      <c r="U189" s="15"/>
      <c r="V189" s="15"/>
      <c r="W189" s="15"/>
      <c r="X189" s="15"/>
      <c r="Y189" s="15"/>
      <c r="Z189" s="15"/>
    </row>
    <row r="190" spans="1:26" ht="15.75" customHeight="1" x14ac:dyDescent="0.25">
      <c r="A190" s="24"/>
      <c r="B190" s="25"/>
      <c r="C190" s="24"/>
      <c r="D190" s="24"/>
      <c r="E190" s="24"/>
      <c r="F190" s="26"/>
      <c r="G190" s="15"/>
      <c r="H190" s="15"/>
      <c r="I190" s="15"/>
      <c r="J190" s="15"/>
      <c r="K190" s="167"/>
      <c r="L190" s="15"/>
      <c r="M190" s="15"/>
      <c r="N190" s="15"/>
      <c r="O190" s="15"/>
      <c r="P190" s="15"/>
      <c r="Q190" s="15"/>
      <c r="R190" s="15"/>
      <c r="S190" s="15"/>
      <c r="T190" s="15"/>
      <c r="U190" s="15"/>
      <c r="V190" s="15"/>
      <c r="W190" s="15"/>
      <c r="X190" s="15"/>
      <c r="Y190" s="15"/>
      <c r="Z190" s="15"/>
    </row>
    <row r="191" spans="1:26" ht="15.75" customHeight="1" x14ac:dyDescent="0.25">
      <c r="A191" s="24"/>
      <c r="B191" s="25"/>
      <c r="C191" s="24"/>
      <c r="D191" s="24"/>
      <c r="E191" s="24"/>
      <c r="F191" s="26"/>
      <c r="G191" s="15"/>
      <c r="H191" s="15"/>
      <c r="I191" s="15"/>
      <c r="J191" s="15"/>
      <c r="K191" s="167"/>
      <c r="L191" s="15"/>
      <c r="M191" s="15"/>
      <c r="N191" s="15"/>
      <c r="O191" s="15"/>
      <c r="P191" s="15"/>
      <c r="Q191" s="15"/>
      <c r="R191" s="15"/>
      <c r="S191" s="15"/>
      <c r="T191" s="15"/>
      <c r="U191" s="15"/>
      <c r="V191" s="15"/>
      <c r="W191" s="15"/>
      <c r="X191" s="15"/>
      <c r="Y191" s="15"/>
      <c r="Z191" s="15"/>
    </row>
    <row r="192" spans="1:26" ht="15.75" customHeight="1" x14ac:dyDescent="0.25">
      <c r="A192" s="24"/>
      <c r="B192" s="25"/>
      <c r="C192" s="24"/>
      <c r="D192" s="24"/>
      <c r="E192" s="24"/>
      <c r="F192" s="26"/>
      <c r="G192" s="15"/>
      <c r="H192" s="15"/>
      <c r="I192" s="15"/>
      <c r="J192" s="15"/>
      <c r="K192" s="167"/>
      <c r="L192" s="15"/>
      <c r="M192" s="15"/>
      <c r="N192" s="15"/>
      <c r="O192" s="15"/>
      <c r="P192" s="15"/>
      <c r="Q192" s="15"/>
      <c r="R192" s="15"/>
      <c r="S192" s="15"/>
      <c r="T192" s="15"/>
      <c r="U192" s="15"/>
      <c r="V192" s="15"/>
      <c r="W192" s="15"/>
      <c r="X192" s="15"/>
      <c r="Y192" s="15"/>
      <c r="Z192" s="15"/>
    </row>
    <row r="193" spans="1:26" ht="15.75" customHeight="1" x14ac:dyDescent="0.25">
      <c r="A193" s="24"/>
      <c r="B193" s="25"/>
      <c r="C193" s="24"/>
      <c r="D193" s="24"/>
      <c r="E193" s="24"/>
      <c r="F193" s="26"/>
      <c r="G193" s="15"/>
      <c r="H193" s="15"/>
      <c r="I193" s="15"/>
      <c r="J193" s="15"/>
      <c r="K193" s="167"/>
      <c r="L193" s="15"/>
      <c r="M193" s="15"/>
      <c r="N193" s="15"/>
      <c r="O193" s="15"/>
      <c r="P193" s="15"/>
      <c r="Q193" s="15"/>
      <c r="R193" s="15"/>
      <c r="S193" s="15"/>
      <c r="T193" s="15"/>
      <c r="U193" s="15"/>
      <c r="V193" s="15"/>
      <c r="W193" s="15"/>
      <c r="X193" s="15"/>
      <c r="Y193" s="15"/>
      <c r="Z193" s="15"/>
    </row>
    <row r="194" spans="1:26" ht="15.75" customHeight="1" x14ac:dyDescent="0.25">
      <c r="A194" s="24"/>
      <c r="B194" s="25"/>
      <c r="C194" s="24"/>
      <c r="D194" s="24"/>
      <c r="E194" s="24"/>
      <c r="F194" s="26"/>
      <c r="G194" s="15"/>
      <c r="H194" s="15"/>
      <c r="I194" s="15"/>
      <c r="J194" s="15"/>
      <c r="K194" s="167"/>
      <c r="L194" s="15"/>
      <c r="M194" s="15"/>
      <c r="N194" s="15"/>
      <c r="O194" s="15"/>
      <c r="P194" s="15"/>
      <c r="Q194" s="15"/>
      <c r="R194" s="15"/>
      <c r="S194" s="15"/>
      <c r="T194" s="15"/>
      <c r="U194" s="15"/>
      <c r="V194" s="15"/>
      <c r="W194" s="15"/>
      <c r="X194" s="15"/>
      <c r="Y194" s="15"/>
      <c r="Z194" s="15"/>
    </row>
    <row r="195" spans="1:26" ht="15.75" customHeight="1" x14ac:dyDescent="0.25">
      <c r="A195" s="24"/>
      <c r="B195" s="25"/>
      <c r="C195" s="24"/>
      <c r="D195" s="24"/>
      <c r="E195" s="24"/>
      <c r="F195" s="26"/>
      <c r="G195" s="15"/>
      <c r="H195" s="15"/>
      <c r="I195" s="15"/>
      <c r="J195" s="15"/>
      <c r="K195" s="167"/>
      <c r="L195" s="15"/>
      <c r="M195" s="15"/>
      <c r="N195" s="15"/>
      <c r="O195" s="15"/>
      <c r="P195" s="15"/>
      <c r="Q195" s="15"/>
      <c r="R195" s="15"/>
      <c r="S195" s="15"/>
      <c r="T195" s="15"/>
      <c r="U195" s="15"/>
      <c r="V195" s="15"/>
      <c r="W195" s="15"/>
      <c r="X195" s="15"/>
      <c r="Y195" s="15"/>
      <c r="Z195" s="15"/>
    </row>
    <row r="196" spans="1:26" ht="15.75" customHeight="1" x14ac:dyDescent="0.25">
      <c r="A196" s="24"/>
      <c r="B196" s="25"/>
      <c r="C196" s="24"/>
      <c r="D196" s="24"/>
      <c r="E196" s="24"/>
      <c r="F196" s="26"/>
      <c r="G196" s="15"/>
      <c r="H196" s="15"/>
      <c r="I196" s="15"/>
      <c r="J196" s="15"/>
      <c r="K196" s="167"/>
      <c r="L196" s="15"/>
      <c r="M196" s="15"/>
      <c r="N196" s="15"/>
      <c r="O196" s="15"/>
      <c r="P196" s="15"/>
      <c r="Q196" s="15"/>
      <c r="R196" s="15"/>
      <c r="S196" s="15"/>
      <c r="T196" s="15"/>
      <c r="U196" s="15"/>
      <c r="V196" s="15"/>
      <c r="W196" s="15"/>
      <c r="X196" s="15"/>
      <c r="Y196" s="15"/>
      <c r="Z196" s="15"/>
    </row>
    <row r="197" spans="1:26" ht="15.75" customHeight="1" x14ac:dyDescent="0.25">
      <c r="A197" s="24"/>
      <c r="B197" s="25"/>
      <c r="C197" s="24"/>
      <c r="D197" s="24"/>
      <c r="E197" s="24"/>
      <c r="F197" s="26"/>
      <c r="G197" s="15"/>
      <c r="H197" s="15"/>
      <c r="I197" s="15"/>
      <c r="J197" s="15"/>
      <c r="K197" s="167"/>
      <c r="L197" s="15"/>
      <c r="M197" s="15"/>
      <c r="N197" s="15"/>
      <c r="O197" s="15"/>
      <c r="P197" s="15"/>
      <c r="Q197" s="15"/>
      <c r="R197" s="15"/>
      <c r="S197" s="15"/>
      <c r="T197" s="15"/>
      <c r="U197" s="15"/>
      <c r="V197" s="15"/>
      <c r="W197" s="15"/>
      <c r="X197" s="15"/>
      <c r="Y197" s="15"/>
      <c r="Z197" s="15"/>
    </row>
    <row r="198" spans="1:26" ht="15.75" customHeight="1" x14ac:dyDescent="0.25">
      <c r="A198" s="24"/>
      <c r="B198" s="25"/>
      <c r="C198" s="24"/>
      <c r="D198" s="24"/>
      <c r="E198" s="24"/>
      <c r="F198" s="26"/>
      <c r="G198" s="15"/>
      <c r="H198" s="15"/>
      <c r="I198" s="15"/>
      <c r="J198" s="15"/>
      <c r="K198" s="167"/>
      <c r="L198" s="15"/>
      <c r="M198" s="15"/>
      <c r="N198" s="15"/>
      <c r="O198" s="15"/>
      <c r="P198" s="15"/>
      <c r="Q198" s="15"/>
      <c r="R198" s="15"/>
      <c r="S198" s="15"/>
      <c r="T198" s="15"/>
      <c r="U198" s="15"/>
      <c r="V198" s="15"/>
      <c r="W198" s="15"/>
      <c r="X198" s="15"/>
      <c r="Y198" s="15"/>
      <c r="Z198" s="15"/>
    </row>
    <row r="199" spans="1:26" ht="15.75" customHeight="1" x14ac:dyDescent="0.25">
      <c r="A199" s="24"/>
      <c r="B199" s="25"/>
      <c r="C199" s="24"/>
      <c r="D199" s="24"/>
      <c r="E199" s="24"/>
      <c r="F199" s="26"/>
      <c r="G199" s="15"/>
      <c r="H199" s="15"/>
      <c r="I199" s="15"/>
      <c r="J199" s="15"/>
      <c r="K199" s="167"/>
      <c r="L199" s="15"/>
      <c r="M199" s="15"/>
      <c r="N199" s="15"/>
      <c r="O199" s="15"/>
      <c r="P199" s="15"/>
      <c r="Q199" s="15"/>
      <c r="R199" s="15"/>
      <c r="S199" s="15"/>
      <c r="T199" s="15"/>
      <c r="U199" s="15"/>
      <c r="V199" s="15"/>
      <c r="W199" s="15"/>
      <c r="X199" s="15"/>
      <c r="Y199" s="15"/>
      <c r="Z199" s="15"/>
    </row>
    <row r="200" spans="1:26" ht="15.75" customHeight="1" x14ac:dyDescent="0.25">
      <c r="A200" s="24"/>
      <c r="B200" s="25"/>
      <c r="C200" s="24"/>
      <c r="D200" s="24"/>
      <c r="E200" s="24"/>
      <c r="F200" s="26"/>
      <c r="G200" s="15"/>
      <c r="H200" s="15"/>
      <c r="I200" s="15"/>
      <c r="J200" s="15"/>
      <c r="K200" s="167"/>
      <c r="L200" s="15"/>
      <c r="M200" s="15"/>
      <c r="N200" s="15"/>
      <c r="O200" s="15"/>
      <c r="P200" s="15"/>
      <c r="Q200" s="15"/>
      <c r="R200" s="15"/>
      <c r="S200" s="15"/>
      <c r="T200" s="15"/>
      <c r="U200" s="15"/>
      <c r="V200" s="15"/>
      <c r="W200" s="15"/>
      <c r="X200" s="15"/>
      <c r="Y200" s="15"/>
      <c r="Z200" s="15"/>
    </row>
    <row r="201" spans="1:26" ht="15.75" customHeight="1" x14ac:dyDescent="0.25">
      <c r="A201" s="24"/>
      <c r="B201" s="25"/>
      <c r="C201" s="24"/>
      <c r="D201" s="24"/>
      <c r="E201" s="24"/>
      <c r="F201" s="26"/>
      <c r="G201" s="15"/>
      <c r="H201" s="15"/>
      <c r="I201" s="15"/>
      <c r="J201" s="15"/>
      <c r="K201" s="167"/>
      <c r="L201" s="15"/>
      <c r="M201" s="15"/>
      <c r="N201" s="15"/>
      <c r="O201" s="15"/>
      <c r="P201" s="15"/>
      <c r="Q201" s="15"/>
      <c r="R201" s="15"/>
      <c r="S201" s="15"/>
      <c r="T201" s="15"/>
      <c r="U201" s="15"/>
      <c r="V201" s="15"/>
      <c r="W201" s="15"/>
      <c r="X201" s="15"/>
      <c r="Y201" s="15"/>
      <c r="Z201" s="15"/>
    </row>
    <row r="202" spans="1:26" ht="15.75" customHeight="1" x14ac:dyDescent="0.25">
      <c r="A202" s="24"/>
      <c r="B202" s="25"/>
      <c r="C202" s="24"/>
      <c r="D202" s="24"/>
      <c r="E202" s="24"/>
      <c r="F202" s="26"/>
      <c r="G202" s="15"/>
      <c r="H202" s="15"/>
      <c r="I202" s="15"/>
      <c r="J202" s="15"/>
      <c r="K202" s="167"/>
      <c r="L202" s="15"/>
      <c r="M202" s="15"/>
      <c r="N202" s="15"/>
      <c r="O202" s="15"/>
      <c r="P202" s="15"/>
      <c r="Q202" s="15"/>
      <c r="R202" s="15"/>
      <c r="S202" s="15"/>
      <c r="T202" s="15"/>
      <c r="U202" s="15"/>
      <c r="V202" s="15"/>
      <c r="W202" s="15"/>
      <c r="X202" s="15"/>
      <c r="Y202" s="15"/>
      <c r="Z202" s="15"/>
    </row>
    <row r="203" spans="1:26" ht="15.75" customHeight="1" x14ac:dyDescent="0.25">
      <c r="A203" s="24"/>
      <c r="B203" s="25"/>
      <c r="C203" s="24"/>
      <c r="D203" s="24"/>
      <c r="E203" s="24"/>
      <c r="F203" s="26"/>
      <c r="G203" s="15"/>
      <c r="H203" s="15"/>
      <c r="I203" s="15"/>
      <c r="J203" s="15"/>
      <c r="K203" s="167"/>
      <c r="L203" s="15"/>
      <c r="M203" s="15"/>
      <c r="N203" s="15"/>
      <c r="O203" s="15"/>
      <c r="P203" s="15"/>
      <c r="Q203" s="15"/>
      <c r="R203" s="15"/>
      <c r="S203" s="15"/>
      <c r="T203" s="15"/>
      <c r="U203" s="15"/>
      <c r="V203" s="15"/>
      <c r="W203" s="15"/>
      <c r="X203" s="15"/>
      <c r="Y203" s="15"/>
      <c r="Z203" s="15"/>
    </row>
    <row r="204" spans="1:26" ht="15.75" customHeight="1" x14ac:dyDescent="0.25">
      <c r="A204" s="24"/>
      <c r="B204" s="25"/>
      <c r="C204" s="24"/>
      <c r="D204" s="24"/>
      <c r="E204" s="24"/>
      <c r="F204" s="26"/>
      <c r="G204" s="15"/>
      <c r="H204" s="15"/>
      <c r="I204" s="15"/>
      <c r="J204" s="15"/>
      <c r="K204" s="167"/>
      <c r="L204" s="15"/>
      <c r="M204" s="15"/>
      <c r="N204" s="15"/>
      <c r="O204" s="15"/>
      <c r="P204" s="15"/>
      <c r="Q204" s="15"/>
      <c r="R204" s="15"/>
      <c r="S204" s="15"/>
      <c r="T204" s="15"/>
      <c r="U204" s="15"/>
      <c r="V204" s="15"/>
      <c r="W204" s="15"/>
      <c r="X204" s="15"/>
      <c r="Y204" s="15"/>
      <c r="Z204" s="15"/>
    </row>
    <row r="205" spans="1:26" ht="15.75" customHeight="1" x14ac:dyDescent="0.25">
      <c r="A205" s="24"/>
      <c r="B205" s="25"/>
      <c r="C205" s="24"/>
      <c r="D205" s="24"/>
      <c r="E205" s="24"/>
      <c r="F205" s="26"/>
      <c r="G205" s="15"/>
      <c r="H205" s="15"/>
      <c r="I205" s="15"/>
      <c r="J205" s="15"/>
      <c r="K205" s="167"/>
      <c r="L205" s="15"/>
      <c r="M205" s="15"/>
      <c r="N205" s="15"/>
      <c r="O205" s="15"/>
      <c r="P205" s="15"/>
      <c r="Q205" s="15"/>
      <c r="R205" s="15"/>
      <c r="S205" s="15"/>
      <c r="T205" s="15"/>
      <c r="U205" s="15"/>
      <c r="V205" s="15"/>
      <c r="W205" s="15"/>
      <c r="X205" s="15"/>
      <c r="Y205" s="15"/>
      <c r="Z205" s="15"/>
    </row>
    <row r="206" spans="1:26" ht="15.75" customHeight="1" x14ac:dyDescent="0.25">
      <c r="A206" s="24"/>
      <c r="B206" s="25"/>
      <c r="C206" s="24"/>
      <c r="D206" s="24"/>
      <c r="E206" s="24"/>
      <c r="F206" s="26"/>
      <c r="G206" s="15"/>
      <c r="H206" s="15"/>
      <c r="I206" s="15"/>
      <c r="J206" s="15"/>
      <c r="K206" s="167"/>
      <c r="L206" s="15"/>
      <c r="M206" s="15"/>
      <c r="N206" s="15"/>
      <c r="O206" s="15"/>
      <c r="P206" s="15"/>
      <c r="Q206" s="15"/>
      <c r="R206" s="15"/>
      <c r="S206" s="15"/>
      <c r="T206" s="15"/>
      <c r="U206" s="15"/>
      <c r="V206" s="15"/>
      <c r="W206" s="15"/>
      <c r="X206" s="15"/>
      <c r="Y206" s="15"/>
      <c r="Z206" s="15"/>
    </row>
    <row r="207" spans="1:26" ht="15.75" customHeight="1" x14ac:dyDescent="0.25">
      <c r="A207" s="24"/>
      <c r="B207" s="25"/>
      <c r="C207" s="24"/>
      <c r="D207" s="24"/>
      <c r="E207" s="24"/>
      <c r="F207" s="26"/>
      <c r="G207" s="15"/>
      <c r="H207" s="15"/>
      <c r="I207" s="15"/>
      <c r="J207" s="15"/>
      <c r="K207" s="167"/>
      <c r="L207" s="15"/>
      <c r="M207" s="15"/>
      <c r="N207" s="15"/>
      <c r="O207" s="15"/>
      <c r="P207" s="15"/>
      <c r="Q207" s="15"/>
      <c r="R207" s="15"/>
      <c r="S207" s="15"/>
      <c r="T207" s="15"/>
      <c r="U207" s="15"/>
      <c r="V207" s="15"/>
      <c r="W207" s="15"/>
      <c r="X207" s="15"/>
      <c r="Y207" s="15"/>
      <c r="Z207" s="15"/>
    </row>
    <row r="208" spans="1:26" ht="15.75" customHeight="1" x14ac:dyDescent="0.25">
      <c r="A208" s="24"/>
      <c r="B208" s="25"/>
      <c r="C208" s="24"/>
      <c r="D208" s="24"/>
      <c r="E208" s="24"/>
      <c r="F208" s="26"/>
      <c r="G208" s="15"/>
      <c r="H208" s="15"/>
      <c r="I208" s="15"/>
      <c r="J208" s="15"/>
      <c r="K208" s="167"/>
      <c r="L208" s="15"/>
      <c r="M208" s="15"/>
      <c r="N208" s="15"/>
      <c r="O208" s="15"/>
      <c r="P208" s="15"/>
      <c r="Q208" s="15"/>
      <c r="R208" s="15"/>
      <c r="S208" s="15"/>
      <c r="T208" s="15"/>
      <c r="U208" s="15"/>
      <c r="V208" s="15"/>
      <c r="W208" s="15"/>
      <c r="X208" s="15"/>
      <c r="Y208" s="15"/>
      <c r="Z208" s="15"/>
    </row>
    <row r="209" spans="1:26" ht="15.75" customHeight="1" x14ac:dyDescent="0.25">
      <c r="A209" s="24"/>
      <c r="B209" s="25"/>
      <c r="C209" s="24"/>
      <c r="D209" s="24"/>
      <c r="E209" s="24"/>
      <c r="F209" s="26"/>
      <c r="G209" s="15"/>
      <c r="H209" s="15"/>
      <c r="I209" s="15"/>
      <c r="J209" s="15"/>
      <c r="K209" s="167"/>
      <c r="L209" s="15"/>
      <c r="M209" s="15"/>
      <c r="N209" s="15"/>
      <c r="O209" s="15"/>
      <c r="P209" s="15"/>
      <c r="Q209" s="15"/>
      <c r="R209" s="15"/>
      <c r="S209" s="15"/>
      <c r="T209" s="15"/>
      <c r="U209" s="15"/>
      <c r="V209" s="15"/>
      <c r="W209" s="15"/>
      <c r="X209" s="15"/>
      <c r="Y209" s="15"/>
      <c r="Z209" s="15"/>
    </row>
    <row r="210" spans="1:26" ht="15.75" customHeight="1" x14ac:dyDescent="0.25">
      <c r="A210" s="24"/>
      <c r="B210" s="25"/>
      <c r="C210" s="24"/>
      <c r="D210" s="24"/>
      <c r="E210" s="24"/>
      <c r="F210" s="26"/>
      <c r="G210" s="15"/>
      <c r="H210" s="15"/>
      <c r="I210" s="15"/>
      <c r="J210" s="15"/>
      <c r="K210" s="167"/>
      <c r="L210" s="15"/>
      <c r="M210" s="15"/>
      <c r="N210" s="15"/>
      <c r="O210" s="15"/>
      <c r="P210" s="15"/>
      <c r="Q210" s="15"/>
      <c r="R210" s="15"/>
      <c r="S210" s="15"/>
      <c r="T210" s="15"/>
      <c r="U210" s="15"/>
      <c r="V210" s="15"/>
      <c r="W210" s="15"/>
      <c r="X210" s="15"/>
      <c r="Y210" s="15"/>
      <c r="Z210" s="15"/>
    </row>
    <row r="211" spans="1:26" ht="15.75" customHeight="1" x14ac:dyDescent="0.25">
      <c r="A211" s="24"/>
      <c r="B211" s="25"/>
      <c r="C211" s="24"/>
      <c r="D211" s="24"/>
      <c r="E211" s="24"/>
      <c r="F211" s="26"/>
      <c r="G211" s="15"/>
      <c r="H211" s="15"/>
      <c r="I211" s="15"/>
      <c r="J211" s="15"/>
      <c r="K211" s="167"/>
      <c r="L211" s="15"/>
      <c r="M211" s="15"/>
      <c r="N211" s="15"/>
      <c r="O211" s="15"/>
      <c r="P211" s="15"/>
      <c r="Q211" s="15"/>
      <c r="R211" s="15"/>
      <c r="S211" s="15"/>
      <c r="T211" s="15"/>
      <c r="U211" s="15"/>
      <c r="V211" s="15"/>
      <c r="W211" s="15"/>
      <c r="X211" s="15"/>
      <c r="Y211" s="15"/>
      <c r="Z211" s="15"/>
    </row>
    <row r="212" spans="1:26" ht="15.75" customHeight="1" x14ac:dyDescent="0.25">
      <c r="A212" s="24"/>
      <c r="B212" s="25"/>
      <c r="C212" s="24"/>
      <c r="D212" s="24"/>
      <c r="E212" s="24"/>
      <c r="F212" s="26"/>
      <c r="G212" s="15"/>
      <c r="H212" s="15"/>
      <c r="I212" s="15"/>
      <c r="J212" s="15"/>
      <c r="K212" s="167"/>
      <c r="L212" s="15"/>
      <c r="M212" s="15"/>
      <c r="N212" s="15"/>
      <c r="O212" s="15"/>
      <c r="P212" s="15"/>
      <c r="Q212" s="15"/>
      <c r="R212" s="15"/>
      <c r="S212" s="15"/>
      <c r="T212" s="15"/>
      <c r="U212" s="15"/>
      <c r="V212" s="15"/>
      <c r="W212" s="15"/>
      <c r="X212" s="15"/>
      <c r="Y212" s="15"/>
      <c r="Z212" s="15"/>
    </row>
    <row r="213" spans="1:26" ht="15.75" customHeight="1" x14ac:dyDescent="0.25">
      <c r="A213" s="24"/>
      <c r="B213" s="25"/>
      <c r="C213" s="24"/>
      <c r="D213" s="24"/>
      <c r="E213" s="24"/>
      <c r="F213" s="26"/>
      <c r="G213" s="15"/>
      <c r="H213" s="15"/>
      <c r="I213" s="15"/>
      <c r="J213" s="15"/>
      <c r="K213" s="167"/>
      <c r="L213" s="15"/>
      <c r="M213" s="15"/>
      <c r="N213" s="15"/>
      <c r="O213" s="15"/>
      <c r="P213" s="15"/>
      <c r="Q213" s="15"/>
      <c r="R213" s="15"/>
      <c r="S213" s="15"/>
      <c r="T213" s="15"/>
      <c r="U213" s="15"/>
      <c r="V213" s="15"/>
      <c r="W213" s="15"/>
      <c r="X213" s="15"/>
      <c r="Y213" s="15"/>
      <c r="Z213" s="15"/>
    </row>
    <row r="214" spans="1:26" ht="15.75" customHeight="1" x14ac:dyDescent="0.25">
      <c r="A214" s="24"/>
      <c r="B214" s="25"/>
      <c r="C214" s="24"/>
      <c r="D214" s="24"/>
      <c r="E214" s="24"/>
      <c r="F214" s="26"/>
      <c r="G214" s="15"/>
      <c r="H214" s="15"/>
      <c r="I214" s="15"/>
      <c r="J214" s="15"/>
      <c r="K214" s="167"/>
      <c r="L214" s="15"/>
      <c r="M214" s="15"/>
      <c r="N214" s="15"/>
      <c r="O214" s="15"/>
      <c r="P214" s="15"/>
      <c r="Q214" s="15"/>
      <c r="R214" s="15"/>
      <c r="S214" s="15"/>
      <c r="T214" s="15"/>
      <c r="U214" s="15"/>
      <c r="V214" s="15"/>
      <c r="W214" s="15"/>
      <c r="X214" s="15"/>
      <c r="Y214" s="15"/>
      <c r="Z214" s="15"/>
    </row>
    <row r="215" spans="1:26" ht="15.75" customHeight="1" x14ac:dyDescent="0.25">
      <c r="A215" s="24"/>
      <c r="B215" s="25"/>
      <c r="C215" s="24"/>
      <c r="D215" s="24"/>
      <c r="E215" s="24"/>
      <c r="F215" s="26"/>
      <c r="G215" s="15"/>
      <c r="H215" s="15"/>
      <c r="I215" s="15"/>
      <c r="J215" s="15"/>
      <c r="K215" s="167"/>
      <c r="L215" s="15"/>
      <c r="M215" s="15"/>
      <c r="N215" s="15"/>
      <c r="O215" s="15"/>
      <c r="P215" s="15"/>
      <c r="Q215" s="15"/>
      <c r="R215" s="15"/>
      <c r="S215" s="15"/>
      <c r="T215" s="15"/>
      <c r="U215" s="15"/>
      <c r="V215" s="15"/>
      <c r="W215" s="15"/>
      <c r="X215" s="15"/>
      <c r="Y215" s="15"/>
      <c r="Z215" s="15"/>
    </row>
    <row r="216" spans="1:26" ht="15.75" customHeight="1" x14ac:dyDescent="0.25">
      <c r="A216" s="24"/>
      <c r="B216" s="25"/>
      <c r="C216" s="24"/>
      <c r="D216" s="24"/>
      <c r="E216" s="24"/>
      <c r="F216" s="26"/>
      <c r="G216" s="15"/>
      <c r="H216" s="15"/>
      <c r="I216" s="15"/>
      <c r="J216" s="15"/>
      <c r="K216" s="167"/>
      <c r="L216" s="15"/>
      <c r="M216" s="15"/>
      <c r="N216" s="15"/>
      <c r="O216" s="15"/>
      <c r="P216" s="15"/>
      <c r="Q216" s="15"/>
      <c r="R216" s="15"/>
      <c r="S216" s="15"/>
      <c r="T216" s="15"/>
      <c r="U216" s="15"/>
      <c r="V216" s="15"/>
      <c r="W216" s="15"/>
      <c r="X216" s="15"/>
      <c r="Y216" s="15"/>
      <c r="Z216" s="15"/>
    </row>
    <row r="217" spans="1:26" ht="15.75" customHeight="1" x14ac:dyDescent="0.25">
      <c r="A217" s="24"/>
      <c r="B217" s="25"/>
      <c r="C217" s="24"/>
      <c r="D217" s="24"/>
      <c r="E217" s="24"/>
      <c r="F217" s="26"/>
      <c r="G217" s="15"/>
      <c r="H217" s="15"/>
      <c r="I217" s="15"/>
      <c r="J217" s="15"/>
      <c r="K217" s="167"/>
      <c r="L217" s="15"/>
      <c r="M217" s="15"/>
      <c r="N217" s="15"/>
      <c r="O217" s="15"/>
      <c r="P217" s="15"/>
      <c r="Q217" s="15"/>
      <c r="R217" s="15"/>
      <c r="S217" s="15"/>
      <c r="T217" s="15"/>
      <c r="U217" s="15"/>
      <c r="V217" s="15"/>
      <c r="W217" s="15"/>
      <c r="X217" s="15"/>
      <c r="Y217" s="15"/>
      <c r="Z217" s="15"/>
    </row>
    <row r="218" spans="1:26" ht="15.75" customHeight="1" x14ac:dyDescent="0.25">
      <c r="A218" s="24"/>
      <c r="B218" s="25"/>
      <c r="C218" s="24"/>
      <c r="D218" s="24"/>
      <c r="E218" s="24"/>
      <c r="F218" s="26"/>
      <c r="G218" s="15"/>
      <c r="H218" s="15"/>
      <c r="I218" s="15"/>
      <c r="J218" s="15"/>
      <c r="K218" s="167"/>
      <c r="L218" s="15"/>
      <c r="M218" s="15"/>
      <c r="N218" s="15"/>
      <c r="O218" s="15"/>
      <c r="P218" s="15"/>
      <c r="Q218" s="15"/>
      <c r="R218" s="15"/>
      <c r="S218" s="15"/>
      <c r="T218" s="15"/>
      <c r="U218" s="15"/>
      <c r="V218" s="15"/>
      <c r="W218" s="15"/>
      <c r="X218" s="15"/>
      <c r="Y218" s="15"/>
      <c r="Z218" s="15"/>
    </row>
    <row r="219" spans="1:26" ht="15.75" customHeight="1" x14ac:dyDescent="0.25">
      <c r="A219" s="24"/>
      <c r="B219" s="25"/>
      <c r="C219" s="24"/>
      <c r="D219" s="24"/>
      <c r="E219" s="24"/>
      <c r="F219" s="26"/>
      <c r="G219" s="15"/>
      <c r="H219" s="15"/>
      <c r="I219" s="15"/>
      <c r="J219" s="15"/>
      <c r="K219" s="167"/>
      <c r="L219" s="15"/>
      <c r="M219" s="15"/>
      <c r="N219" s="15"/>
      <c r="O219" s="15"/>
      <c r="P219" s="15"/>
      <c r="Q219" s="15"/>
      <c r="R219" s="15"/>
      <c r="S219" s="15"/>
      <c r="T219" s="15"/>
      <c r="U219" s="15"/>
      <c r="V219" s="15"/>
      <c r="W219" s="15"/>
      <c r="X219" s="15"/>
      <c r="Y219" s="15"/>
      <c r="Z219" s="15"/>
    </row>
    <row r="220" spans="1:26" ht="15.75" customHeight="1" x14ac:dyDescent="0.25">
      <c r="A220" s="24"/>
      <c r="B220" s="25"/>
      <c r="C220" s="24"/>
      <c r="D220" s="24"/>
      <c r="E220" s="24"/>
      <c r="F220" s="26"/>
      <c r="G220" s="15"/>
      <c r="H220" s="15"/>
      <c r="I220" s="15"/>
      <c r="J220" s="15"/>
      <c r="K220" s="167"/>
      <c r="L220" s="15"/>
      <c r="M220" s="15"/>
      <c r="N220" s="15"/>
      <c r="O220" s="15"/>
      <c r="P220" s="15"/>
      <c r="Q220" s="15"/>
      <c r="R220" s="15"/>
      <c r="S220" s="15"/>
      <c r="T220" s="15"/>
      <c r="U220" s="15"/>
      <c r="V220" s="15"/>
      <c r="W220" s="15"/>
      <c r="X220" s="15"/>
      <c r="Y220" s="15"/>
      <c r="Z220" s="15"/>
    </row>
    <row r="221" spans="1:26" ht="15.75" customHeight="1" x14ac:dyDescent="0.25">
      <c r="A221" s="24"/>
      <c r="B221" s="25"/>
      <c r="C221" s="24"/>
      <c r="D221" s="24"/>
      <c r="E221" s="24"/>
      <c r="F221" s="26"/>
      <c r="G221" s="15"/>
      <c r="H221" s="15"/>
      <c r="I221" s="15"/>
      <c r="J221" s="15"/>
      <c r="K221" s="167"/>
      <c r="L221" s="15"/>
      <c r="M221" s="15"/>
      <c r="N221" s="15"/>
      <c r="O221" s="15"/>
      <c r="P221" s="15"/>
      <c r="Q221" s="15"/>
      <c r="R221" s="15"/>
      <c r="S221" s="15"/>
      <c r="T221" s="15"/>
      <c r="U221" s="15"/>
      <c r="V221" s="15"/>
      <c r="W221" s="15"/>
      <c r="X221" s="15"/>
      <c r="Y221" s="15"/>
      <c r="Z221" s="15"/>
    </row>
    <row r="222" spans="1:26" ht="15.75" customHeight="1" x14ac:dyDescent="0.25">
      <c r="A222" s="24"/>
      <c r="B222" s="25"/>
      <c r="C222" s="24"/>
      <c r="D222" s="24"/>
      <c r="E222" s="24"/>
      <c r="F222" s="26"/>
      <c r="G222" s="15"/>
      <c r="H222" s="15"/>
      <c r="I222" s="15"/>
      <c r="J222" s="15"/>
      <c r="K222" s="167"/>
      <c r="L222" s="15"/>
      <c r="M222" s="15"/>
      <c r="N222" s="15"/>
      <c r="O222" s="15"/>
      <c r="P222" s="15"/>
      <c r="Q222" s="15"/>
      <c r="R222" s="15"/>
      <c r="S222" s="15"/>
      <c r="T222" s="15"/>
      <c r="U222" s="15"/>
      <c r="V222" s="15"/>
      <c r="W222" s="15"/>
      <c r="X222" s="15"/>
      <c r="Y222" s="15"/>
      <c r="Z222" s="15"/>
    </row>
    <row r="223" spans="1:26" ht="15.75" customHeight="1" x14ac:dyDescent="0.25">
      <c r="A223" s="24"/>
      <c r="B223" s="25"/>
      <c r="C223" s="24"/>
      <c r="D223" s="24"/>
      <c r="E223" s="24"/>
      <c r="F223" s="26"/>
      <c r="G223" s="15"/>
      <c r="H223" s="15"/>
      <c r="I223" s="15"/>
      <c r="J223" s="15"/>
      <c r="K223" s="167"/>
      <c r="L223" s="15"/>
      <c r="M223" s="15"/>
      <c r="N223" s="15"/>
      <c r="O223" s="15"/>
      <c r="P223" s="15"/>
      <c r="Q223" s="15"/>
      <c r="R223" s="15"/>
      <c r="S223" s="15"/>
      <c r="T223" s="15"/>
      <c r="U223" s="15"/>
      <c r="V223" s="15"/>
      <c r="W223" s="15"/>
      <c r="X223" s="15"/>
      <c r="Y223" s="15"/>
      <c r="Z223" s="15"/>
    </row>
    <row r="224" spans="1:26" ht="15.75" customHeight="1" x14ac:dyDescent="0.25">
      <c r="A224" s="24"/>
      <c r="B224" s="25"/>
      <c r="C224" s="24"/>
      <c r="D224" s="24"/>
      <c r="E224" s="24"/>
      <c r="F224" s="26"/>
      <c r="G224" s="15"/>
      <c r="H224" s="15"/>
      <c r="I224" s="15"/>
      <c r="J224" s="15"/>
      <c r="K224" s="167"/>
      <c r="L224" s="15"/>
      <c r="M224" s="15"/>
      <c r="N224" s="15"/>
      <c r="O224" s="15"/>
      <c r="P224" s="15"/>
      <c r="Q224" s="15"/>
      <c r="R224" s="15"/>
      <c r="S224" s="15"/>
      <c r="T224" s="15"/>
      <c r="U224" s="15"/>
      <c r="V224" s="15"/>
      <c r="W224" s="15"/>
      <c r="X224" s="15"/>
      <c r="Y224" s="15"/>
      <c r="Z224" s="15"/>
    </row>
    <row r="225" spans="1:26" ht="15.75" customHeight="1" x14ac:dyDescent="0.25">
      <c r="A225" s="24"/>
      <c r="B225" s="25"/>
      <c r="C225" s="24"/>
      <c r="D225" s="24"/>
      <c r="E225" s="24"/>
      <c r="F225" s="26"/>
      <c r="G225" s="15"/>
      <c r="H225" s="15"/>
      <c r="I225" s="15"/>
      <c r="J225" s="15"/>
      <c r="K225" s="167"/>
      <c r="L225" s="15"/>
      <c r="M225" s="15"/>
      <c r="N225" s="15"/>
      <c r="O225" s="15"/>
      <c r="P225" s="15"/>
      <c r="Q225" s="15"/>
      <c r="R225" s="15"/>
      <c r="S225" s="15"/>
      <c r="T225" s="15"/>
      <c r="U225" s="15"/>
      <c r="V225" s="15"/>
      <c r="W225" s="15"/>
      <c r="X225" s="15"/>
      <c r="Y225" s="15"/>
      <c r="Z225" s="15"/>
    </row>
    <row r="226" spans="1:26" ht="15.75" customHeight="1" x14ac:dyDescent="0.25">
      <c r="A226" s="24"/>
      <c r="B226" s="25"/>
      <c r="C226" s="24"/>
      <c r="D226" s="24"/>
      <c r="E226" s="24"/>
      <c r="F226" s="26"/>
      <c r="G226" s="15"/>
      <c r="H226" s="15"/>
      <c r="I226" s="15"/>
      <c r="J226" s="15"/>
      <c r="K226" s="167"/>
      <c r="L226" s="15"/>
      <c r="M226" s="15"/>
      <c r="N226" s="15"/>
      <c r="O226" s="15"/>
      <c r="P226" s="15"/>
      <c r="Q226" s="15"/>
      <c r="R226" s="15"/>
      <c r="S226" s="15"/>
      <c r="T226" s="15"/>
      <c r="U226" s="15"/>
      <c r="V226" s="15"/>
      <c r="W226" s="15"/>
      <c r="X226" s="15"/>
      <c r="Y226" s="15"/>
      <c r="Z226" s="15"/>
    </row>
    <row r="227" spans="1:26" ht="15.75" customHeight="1" x14ac:dyDescent="0.25">
      <c r="A227" s="24"/>
      <c r="B227" s="25"/>
      <c r="C227" s="24"/>
      <c r="D227" s="24"/>
      <c r="E227" s="24"/>
      <c r="F227" s="26"/>
      <c r="G227" s="15"/>
      <c r="H227" s="15"/>
      <c r="I227" s="15"/>
      <c r="J227" s="15"/>
      <c r="K227" s="167"/>
      <c r="L227" s="15"/>
      <c r="M227" s="15"/>
      <c r="N227" s="15"/>
      <c r="O227" s="15"/>
      <c r="P227" s="15"/>
      <c r="Q227" s="15"/>
      <c r="R227" s="15"/>
      <c r="S227" s="15"/>
      <c r="T227" s="15"/>
      <c r="U227" s="15"/>
      <c r="V227" s="15"/>
      <c r="W227" s="15"/>
      <c r="X227" s="15"/>
      <c r="Y227" s="15"/>
      <c r="Z227" s="15"/>
    </row>
    <row r="228" spans="1:26" ht="15.75" customHeight="1" x14ac:dyDescent="0.25">
      <c r="A228" s="24"/>
      <c r="B228" s="25"/>
      <c r="C228" s="24"/>
      <c r="D228" s="24"/>
      <c r="E228" s="24"/>
      <c r="F228" s="26"/>
      <c r="G228" s="15"/>
      <c r="H228" s="15"/>
      <c r="I228" s="15"/>
      <c r="J228" s="15"/>
      <c r="K228" s="167"/>
      <c r="L228" s="15"/>
      <c r="M228" s="15"/>
      <c r="N228" s="15"/>
      <c r="O228" s="15"/>
      <c r="P228" s="15"/>
      <c r="Q228" s="15"/>
      <c r="R228" s="15"/>
      <c r="S228" s="15"/>
      <c r="T228" s="15"/>
      <c r="U228" s="15"/>
      <c r="V228" s="15"/>
      <c r="W228" s="15"/>
      <c r="X228" s="15"/>
      <c r="Y228" s="15"/>
      <c r="Z228" s="15"/>
    </row>
    <row r="229" spans="1:26" ht="15.75" customHeight="1" x14ac:dyDescent="0.25">
      <c r="A229" s="24"/>
      <c r="B229" s="25"/>
      <c r="C229" s="24"/>
      <c r="D229" s="24"/>
      <c r="E229" s="24"/>
      <c r="F229" s="26"/>
      <c r="G229" s="15"/>
      <c r="H229" s="15"/>
      <c r="I229" s="15"/>
      <c r="J229" s="15"/>
      <c r="K229" s="167"/>
      <c r="L229" s="15"/>
      <c r="M229" s="15"/>
      <c r="N229" s="15"/>
      <c r="O229" s="15"/>
      <c r="P229" s="15"/>
      <c r="Q229" s="15"/>
      <c r="R229" s="15"/>
      <c r="S229" s="15"/>
      <c r="T229" s="15"/>
      <c r="U229" s="15"/>
      <c r="V229" s="15"/>
      <c r="W229" s="15"/>
      <c r="X229" s="15"/>
      <c r="Y229" s="15"/>
      <c r="Z229" s="15"/>
    </row>
    <row r="230" spans="1:26" ht="15.75" customHeight="1" x14ac:dyDescent="0.25">
      <c r="A230" s="24"/>
      <c r="B230" s="25"/>
      <c r="C230" s="24"/>
      <c r="D230" s="24"/>
      <c r="E230" s="24"/>
      <c r="F230" s="26"/>
      <c r="G230" s="15"/>
      <c r="H230" s="15"/>
      <c r="I230" s="15"/>
      <c r="J230" s="15"/>
      <c r="K230" s="167"/>
      <c r="L230" s="15"/>
      <c r="M230" s="15"/>
      <c r="N230" s="15"/>
      <c r="O230" s="15"/>
      <c r="P230" s="15"/>
      <c r="Q230" s="15"/>
      <c r="R230" s="15"/>
      <c r="S230" s="15"/>
      <c r="T230" s="15"/>
      <c r="U230" s="15"/>
      <c r="V230" s="15"/>
      <c r="W230" s="15"/>
      <c r="X230" s="15"/>
      <c r="Y230" s="15"/>
      <c r="Z230" s="15"/>
    </row>
    <row r="231" spans="1:26" ht="15.75" customHeight="1" x14ac:dyDescent="0.25">
      <c r="A231" s="24"/>
      <c r="B231" s="25"/>
      <c r="C231" s="24"/>
      <c r="D231" s="24"/>
      <c r="E231" s="24"/>
      <c r="F231" s="26"/>
      <c r="G231" s="15"/>
      <c r="H231" s="15"/>
      <c r="I231" s="15"/>
      <c r="J231" s="15"/>
      <c r="K231" s="167"/>
      <c r="L231" s="15"/>
      <c r="M231" s="15"/>
      <c r="N231" s="15"/>
      <c r="O231" s="15"/>
      <c r="P231" s="15"/>
      <c r="Q231" s="15"/>
      <c r="R231" s="15"/>
      <c r="S231" s="15"/>
      <c r="T231" s="15"/>
      <c r="U231" s="15"/>
      <c r="V231" s="15"/>
      <c r="W231" s="15"/>
      <c r="X231" s="15"/>
      <c r="Y231" s="15"/>
      <c r="Z231" s="15"/>
    </row>
    <row r="232" spans="1:26" ht="15.75" customHeight="1" x14ac:dyDescent="0.25">
      <c r="A232" s="24"/>
      <c r="B232" s="25"/>
      <c r="C232" s="24"/>
      <c r="D232" s="24"/>
      <c r="E232" s="24"/>
      <c r="F232" s="26"/>
      <c r="G232" s="15"/>
      <c r="H232" s="15"/>
      <c r="I232" s="15"/>
      <c r="J232" s="15"/>
      <c r="K232" s="167"/>
      <c r="L232" s="15"/>
      <c r="M232" s="15"/>
      <c r="N232" s="15"/>
      <c r="O232" s="15"/>
      <c r="P232" s="15"/>
      <c r="Q232" s="15"/>
      <c r="R232" s="15"/>
      <c r="S232" s="15"/>
      <c r="T232" s="15"/>
      <c r="U232" s="15"/>
      <c r="V232" s="15"/>
      <c r="W232" s="15"/>
      <c r="X232" s="15"/>
      <c r="Y232" s="15"/>
      <c r="Z232" s="15"/>
    </row>
    <row r="233" spans="1:26" ht="15.75" customHeight="1" x14ac:dyDescent="0.25">
      <c r="A233" s="24"/>
      <c r="B233" s="25"/>
      <c r="C233" s="24"/>
      <c r="D233" s="24"/>
      <c r="E233" s="24"/>
      <c r="F233" s="26"/>
      <c r="G233" s="15"/>
      <c r="H233" s="15"/>
      <c r="I233" s="15"/>
      <c r="J233" s="15"/>
      <c r="K233" s="167"/>
      <c r="L233" s="15"/>
      <c r="M233" s="15"/>
      <c r="N233" s="15"/>
      <c r="O233" s="15"/>
      <c r="P233" s="15"/>
      <c r="Q233" s="15"/>
      <c r="R233" s="15"/>
      <c r="S233" s="15"/>
      <c r="T233" s="15"/>
      <c r="U233" s="15"/>
      <c r="V233" s="15"/>
      <c r="W233" s="15"/>
      <c r="X233" s="15"/>
      <c r="Y233" s="15"/>
      <c r="Z233" s="15"/>
    </row>
    <row r="234" spans="1:26" ht="15.75" customHeight="1" x14ac:dyDescent="0.25">
      <c r="A234" s="24"/>
      <c r="B234" s="25"/>
      <c r="C234" s="24"/>
      <c r="D234" s="24"/>
      <c r="E234" s="24"/>
      <c r="F234" s="26"/>
      <c r="G234" s="15"/>
      <c r="H234" s="15"/>
      <c r="I234" s="15"/>
      <c r="J234" s="15"/>
      <c r="K234" s="167"/>
      <c r="L234" s="15"/>
      <c r="M234" s="15"/>
      <c r="N234" s="15"/>
      <c r="O234" s="15"/>
      <c r="P234" s="15"/>
      <c r="Q234" s="15"/>
      <c r="R234" s="15"/>
      <c r="S234" s="15"/>
      <c r="T234" s="15"/>
      <c r="U234" s="15"/>
      <c r="V234" s="15"/>
      <c r="W234" s="15"/>
      <c r="X234" s="15"/>
      <c r="Y234" s="15"/>
      <c r="Z234" s="15"/>
    </row>
    <row r="235" spans="1:26" ht="15.75" customHeight="1" x14ac:dyDescent="0.25">
      <c r="A235" s="24"/>
      <c r="B235" s="25"/>
      <c r="C235" s="24"/>
      <c r="D235" s="24"/>
      <c r="E235" s="24"/>
      <c r="F235" s="26"/>
      <c r="G235" s="15"/>
      <c r="H235" s="15"/>
      <c r="I235" s="15"/>
      <c r="J235" s="15"/>
      <c r="K235" s="167"/>
      <c r="L235" s="15"/>
      <c r="M235" s="15"/>
      <c r="N235" s="15"/>
      <c r="O235" s="15"/>
      <c r="P235" s="15"/>
      <c r="Q235" s="15"/>
      <c r="R235" s="15"/>
      <c r="S235" s="15"/>
      <c r="T235" s="15"/>
      <c r="U235" s="15"/>
      <c r="V235" s="15"/>
      <c r="W235" s="15"/>
      <c r="X235" s="15"/>
      <c r="Y235" s="15"/>
      <c r="Z235" s="15"/>
    </row>
    <row r="236" spans="1:26" ht="15.75" customHeight="1" x14ac:dyDescent="0.25">
      <c r="A236" s="24"/>
      <c r="B236" s="25"/>
      <c r="C236" s="24"/>
      <c r="D236" s="24"/>
      <c r="E236" s="24"/>
      <c r="F236" s="26"/>
      <c r="G236" s="15"/>
      <c r="H236" s="15"/>
      <c r="I236" s="15"/>
      <c r="J236" s="15"/>
      <c r="K236" s="167"/>
      <c r="L236" s="15"/>
      <c r="M236" s="15"/>
      <c r="N236" s="15"/>
      <c r="O236" s="15"/>
      <c r="P236" s="15"/>
      <c r="Q236" s="15"/>
      <c r="R236" s="15"/>
      <c r="S236" s="15"/>
      <c r="T236" s="15"/>
      <c r="U236" s="15"/>
      <c r="V236" s="15"/>
      <c r="W236" s="15"/>
      <c r="X236" s="15"/>
      <c r="Y236" s="15"/>
      <c r="Z236" s="15"/>
    </row>
    <row r="237" spans="1:26" ht="15.75" customHeight="1" x14ac:dyDescent="0.25">
      <c r="A237" s="24"/>
      <c r="B237" s="25"/>
      <c r="C237" s="24"/>
      <c r="D237" s="24"/>
      <c r="E237" s="24"/>
      <c r="F237" s="26"/>
      <c r="G237" s="15"/>
      <c r="H237" s="15"/>
      <c r="I237" s="15"/>
      <c r="J237" s="15"/>
      <c r="K237" s="167"/>
      <c r="L237" s="15"/>
      <c r="M237" s="15"/>
      <c r="N237" s="15"/>
      <c r="O237" s="15"/>
      <c r="P237" s="15"/>
      <c r="Q237" s="15"/>
      <c r="R237" s="15"/>
      <c r="S237" s="15"/>
      <c r="T237" s="15"/>
      <c r="U237" s="15"/>
      <c r="V237" s="15"/>
      <c r="W237" s="15"/>
      <c r="X237" s="15"/>
      <c r="Y237" s="15"/>
      <c r="Z237" s="15"/>
    </row>
    <row r="238" spans="1:26" ht="15.75" customHeight="1" x14ac:dyDescent="0.25">
      <c r="A238" s="24"/>
      <c r="B238" s="25"/>
      <c r="C238" s="24"/>
      <c r="D238" s="24"/>
      <c r="E238" s="24"/>
      <c r="F238" s="26"/>
      <c r="G238" s="15"/>
      <c r="H238" s="15"/>
      <c r="I238" s="15"/>
      <c r="J238" s="15"/>
      <c r="K238" s="167"/>
      <c r="L238" s="15"/>
      <c r="M238" s="15"/>
      <c r="N238" s="15"/>
      <c r="O238" s="15"/>
      <c r="P238" s="15"/>
      <c r="Q238" s="15"/>
      <c r="R238" s="15"/>
      <c r="S238" s="15"/>
      <c r="T238" s="15"/>
      <c r="U238" s="15"/>
      <c r="V238" s="15"/>
      <c r="W238" s="15"/>
      <c r="X238" s="15"/>
      <c r="Y238" s="15"/>
      <c r="Z238" s="15"/>
    </row>
    <row r="239" spans="1:26" ht="15.75" customHeight="1" x14ac:dyDescent="0.25">
      <c r="A239" s="24"/>
      <c r="B239" s="25"/>
      <c r="C239" s="24"/>
      <c r="D239" s="24"/>
      <c r="E239" s="24"/>
      <c r="F239" s="26"/>
      <c r="G239" s="15"/>
      <c r="H239" s="15"/>
      <c r="I239" s="15"/>
      <c r="J239" s="15"/>
      <c r="K239" s="167"/>
      <c r="L239" s="15"/>
      <c r="M239" s="15"/>
      <c r="N239" s="15"/>
      <c r="O239" s="15"/>
      <c r="P239" s="15"/>
      <c r="Q239" s="15"/>
      <c r="R239" s="15"/>
      <c r="S239" s="15"/>
      <c r="T239" s="15"/>
      <c r="U239" s="15"/>
      <c r="V239" s="15"/>
      <c r="W239" s="15"/>
      <c r="X239" s="15"/>
      <c r="Y239" s="15"/>
      <c r="Z239" s="15"/>
    </row>
    <row r="240" spans="1:26" ht="15.75" customHeight="1" x14ac:dyDescent="0.25">
      <c r="A240" s="24"/>
      <c r="B240" s="25"/>
      <c r="C240" s="24"/>
      <c r="D240" s="24"/>
      <c r="E240" s="24"/>
      <c r="F240" s="26"/>
      <c r="G240" s="15"/>
      <c r="H240" s="15"/>
      <c r="I240" s="15"/>
      <c r="J240" s="15"/>
      <c r="K240" s="167"/>
      <c r="L240" s="15"/>
      <c r="M240" s="15"/>
      <c r="N240" s="15"/>
      <c r="O240" s="15"/>
      <c r="P240" s="15"/>
      <c r="Q240" s="15"/>
      <c r="R240" s="15"/>
      <c r="S240" s="15"/>
      <c r="T240" s="15"/>
      <c r="U240" s="15"/>
      <c r="V240" s="15"/>
      <c r="W240" s="15"/>
      <c r="X240" s="15"/>
      <c r="Y240" s="15"/>
      <c r="Z240" s="15"/>
    </row>
    <row r="241" spans="1:26" ht="15.75" customHeight="1" x14ac:dyDescent="0.25">
      <c r="A241" s="24"/>
      <c r="B241" s="25"/>
      <c r="C241" s="24"/>
      <c r="D241" s="24"/>
      <c r="E241" s="24"/>
      <c r="F241" s="26"/>
      <c r="G241" s="15"/>
      <c r="H241" s="15"/>
      <c r="I241" s="15"/>
      <c r="J241" s="15"/>
      <c r="K241" s="167"/>
      <c r="L241" s="15"/>
      <c r="M241" s="15"/>
      <c r="N241" s="15"/>
      <c r="O241" s="15"/>
      <c r="P241" s="15"/>
      <c r="Q241" s="15"/>
      <c r="R241" s="15"/>
      <c r="S241" s="15"/>
      <c r="T241" s="15"/>
      <c r="U241" s="15"/>
      <c r="V241" s="15"/>
      <c r="W241" s="15"/>
      <c r="X241" s="15"/>
      <c r="Y241" s="15"/>
      <c r="Z241" s="15"/>
    </row>
    <row r="242" spans="1:26" ht="15.75" customHeight="1" x14ac:dyDescent="0.25">
      <c r="A242" s="24"/>
      <c r="B242" s="25"/>
      <c r="C242" s="24"/>
      <c r="D242" s="24"/>
      <c r="E242" s="24"/>
      <c r="F242" s="26"/>
      <c r="G242" s="15"/>
      <c r="H242" s="15"/>
      <c r="I242" s="15"/>
      <c r="J242" s="15"/>
      <c r="K242" s="167"/>
      <c r="L242" s="15"/>
      <c r="M242" s="15"/>
      <c r="N242" s="15"/>
      <c r="O242" s="15"/>
      <c r="P242" s="15"/>
      <c r="Q242" s="15"/>
      <c r="R242" s="15"/>
      <c r="S242" s="15"/>
      <c r="T242" s="15"/>
      <c r="U242" s="15"/>
      <c r="V242" s="15"/>
      <c r="W242" s="15"/>
      <c r="X242" s="15"/>
      <c r="Y242" s="15"/>
      <c r="Z242" s="15"/>
    </row>
    <row r="243" spans="1:26" ht="15.75" customHeight="1" x14ac:dyDescent="0.25">
      <c r="A243" s="24"/>
      <c r="B243" s="25"/>
      <c r="C243" s="24"/>
      <c r="D243" s="24"/>
      <c r="E243" s="24"/>
      <c r="F243" s="26"/>
      <c r="G243" s="15"/>
      <c r="H243" s="15"/>
      <c r="I243" s="15"/>
      <c r="J243" s="15"/>
      <c r="K243" s="167"/>
      <c r="L243" s="15"/>
      <c r="M243" s="15"/>
      <c r="N243" s="15"/>
      <c r="O243" s="15"/>
      <c r="P243" s="15"/>
      <c r="Q243" s="15"/>
      <c r="R243" s="15"/>
      <c r="S243" s="15"/>
      <c r="T243" s="15"/>
      <c r="U243" s="15"/>
      <c r="V243" s="15"/>
      <c r="W243" s="15"/>
      <c r="X243" s="15"/>
      <c r="Y243" s="15"/>
      <c r="Z243" s="15"/>
    </row>
    <row r="244" spans="1:26" ht="15.75" customHeight="1" x14ac:dyDescent="0.25">
      <c r="A244" s="24"/>
      <c r="B244" s="25"/>
      <c r="C244" s="24"/>
      <c r="D244" s="24"/>
      <c r="E244" s="24"/>
      <c r="F244" s="26"/>
      <c r="G244" s="15"/>
      <c r="H244" s="15"/>
      <c r="I244" s="15"/>
      <c r="J244" s="15"/>
      <c r="K244" s="167"/>
      <c r="L244" s="15"/>
      <c r="M244" s="15"/>
      <c r="N244" s="15"/>
      <c r="O244" s="15"/>
      <c r="P244" s="15"/>
      <c r="Q244" s="15"/>
      <c r="R244" s="15"/>
      <c r="S244" s="15"/>
      <c r="T244" s="15"/>
      <c r="U244" s="15"/>
      <c r="V244" s="15"/>
      <c r="W244" s="15"/>
      <c r="X244" s="15"/>
      <c r="Y244" s="15"/>
      <c r="Z244" s="15"/>
    </row>
    <row r="245" spans="1:26" ht="15.75" customHeight="1" x14ac:dyDescent="0.25">
      <c r="A245" s="24"/>
      <c r="B245" s="25"/>
      <c r="C245" s="24"/>
      <c r="D245" s="24"/>
      <c r="E245" s="24"/>
      <c r="F245" s="26"/>
      <c r="G245" s="15"/>
      <c r="H245" s="15"/>
      <c r="I245" s="15"/>
      <c r="J245" s="15"/>
      <c r="K245" s="167"/>
      <c r="L245" s="15"/>
      <c r="M245" s="15"/>
      <c r="N245" s="15"/>
      <c r="O245" s="15"/>
      <c r="P245" s="15"/>
      <c r="Q245" s="15"/>
      <c r="R245" s="15"/>
      <c r="S245" s="15"/>
      <c r="T245" s="15"/>
      <c r="U245" s="15"/>
      <c r="V245" s="15"/>
      <c r="W245" s="15"/>
      <c r="X245" s="15"/>
      <c r="Y245" s="15"/>
      <c r="Z245" s="15"/>
    </row>
    <row r="246" spans="1:26" ht="15.75" customHeight="1" x14ac:dyDescent="0.25">
      <c r="A246" s="24"/>
      <c r="B246" s="25"/>
      <c r="C246" s="24"/>
      <c r="D246" s="24"/>
      <c r="E246" s="24"/>
      <c r="F246" s="26"/>
      <c r="G246" s="15"/>
      <c r="H246" s="15"/>
      <c r="I246" s="15"/>
      <c r="J246" s="15"/>
      <c r="K246" s="167"/>
      <c r="L246" s="15"/>
      <c r="M246" s="15"/>
      <c r="N246" s="15"/>
      <c r="O246" s="15"/>
      <c r="P246" s="15"/>
      <c r="Q246" s="15"/>
      <c r="R246" s="15"/>
      <c r="S246" s="15"/>
      <c r="T246" s="15"/>
      <c r="U246" s="15"/>
      <c r="V246" s="15"/>
      <c r="W246" s="15"/>
      <c r="X246" s="15"/>
      <c r="Y246" s="15"/>
      <c r="Z246" s="15"/>
    </row>
    <row r="247" spans="1:26" ht="15.75" customHeight="1" x14ac:dyDescent="0.25">
      <c r="A247" s="24"/>
      <c r="B247" s="25"/>
      <c r="C247" s="24"/>
      <c r="D247" s="24"/>
      <c r="E247" s="24"/>
      <c r="F247" s="26"/>
      <c r="G247" s="15"/>
      <c r="H247" s="15"/>
      <c r="I247" s="15"/>
      <c r="J247" s="15"/>
      <c r="K247" s="167"/>
      <c r="L247" s="15"/>
      <c r="M247" s="15"/>
      <c r="N247" s="15"/>
      <c r="O247" s="15"/>
      <c r="P247" s="15"/>
      <c r="Q247" s="15"/>
      <c r="R247" s="15"/>
      <c r="S247" s="15"/>
      <c r="T247" s="15"/>
      <c r="U247" s="15"/>
      <c r="V247" s="15"/>
      <c r="W247" s="15"/>
      <c r="X247" s="15"/>
      <c r="Y247" s="15"/>
      <c r="Z247" s="15"/>
    </row>
    <row r="248" spans="1:26" ht="15.75" customHeight="1" x14ac:dyDescent="0.25">
      <c r="A248" s="24"/>
      <c r="B248" s="25"/>
      <c r="C248" s="24"/>
      <c r="D248" s="24"/>
      <c r="E248" s="24"/>
      <c r="F248" s="26"/>
      <c r="G248" s="15"/>
      <c r="H248" s="15"/>
      <c r="I248" s="15"/>
      <c r="J248" s="15"/>
      <c r="K248" s="167"/>
      <c r="L248" s="15"/>
      <c r="M248" s="15"/>
      <c r="N248" s="15"/>
      <c r="O248" s="15"/>
      <c r="P248" s="15"/>
      <c r="Q248" s="15"/>
      <c r="R248" s="15"/>
      <c r="S248" s="15"/>
      <c r="T248" s="15"/>
      <c r="U248" s="15"/>
      <c r="V248" s="15"/>
      <c r="W248" s="15"/>
      <c r="X248" s="15"/>
      <c r="Y248" s="15"/>
      <c r="Z248" s="15"/>
    </row>
    <row r="249" spans="1:26" ht="15.75" customHeight="1" x14ac:dyDescent="0.25">
      <c r="A249" s="24"/>
      <c r="B249" s="25"/>
      <c r="C249" s="24"/>
      <c r="D249" s="24"/>
      <c r="E249" s="24"/>
      <c r="F249" s="26"/>
      <c r="G249" s="15"/>
      <c r="H249" s="15"/>
      <c r="I249" s="15"/>
      <c r="J249" s="15"/>
      <c r="K249" s="167"/>
      <c r="L249" s="15"/>
      <c r="M249" s="15"/>
      <c r="N249" s="15"/>
      <c r="O249" s="15"/>
      <c r="P249" s="15"/>
      <c r="Q249" s="15"/>
      <c r="R249" s="15"/>
      <c r="S249" s="15"/>
      <c r="T249" s="15"/>
      <c r="U249" s="15"/>
      <c r="V249" s="15"/>
      <c r="W249" s="15"/>
      <c r="X249" s="15"/>
      <c r="Y249" s="15"/>
      <c r="Z249" s="15"/>
    </row>
    <row r="250" spans="1:26" ht="15.75" customHeight="1" x14ac:dyDescent="0.25">
      <c r="A250" s="24"/>
      <c r="B250" s="25"/>
      <c r="C250" s="24"/>
      <c r="D250" s="24"/>
      <c r="E250" s="24"/>
      <c r="F250" s="26"/>
      <c r="G250" s="15"/>
      <c r="H250" s="15"/>
      <c r="I250" s="15"/>
      <c r="J250" s="15"/>
      <c r="K250" s="167"/>
      <c r="L250" s="15"/>
      <c r="M250" s="15"/>
      <c r="N250" s="15"/>
      <c r="O250" s="15"/>
      <c r="P250" s="15"/>
      <c r="Q250" s="15"/>
      <c r="R250" s="15"/>
      <c r="S250" s="15"/>
      <c r="T250" s="15"/>
      <c r="U250" s="15"/>
      <c r="V250" s="15"/>
      <c r="W250" s="15"/>
      <c r="X250" s="15"/>
      <c r="Y250" s="15"/>
      <c r="Z250" s="15"/>
    </row>
    <row r="251" spans="1:26" ht="15.75" customHeight="1" x14ac:dyDescent="0.25">
      <c r="A251" s="24"/>
      <c r="B251" s="25"/>
      <c r="C251" s="24"/>
      <c r="D251" s="24"/>
      <c r="E251" s="24"/>
      <c r="F251" s="26"/>
      <c r="G251" s="15"/>
      <c r="H251" s="15"/>
      <c r="I251" s="15"/>
      <c r="J251" s="15"/>
      <c r="K251" s="167"/>
      <c r="L251" s="15"/>
      <c r="M251" s="15"/>
      <c r="N251" s="15"/>
      <c r="O251" s="15"/>
      <c r="P251" s="15"/>
      <c r="Q251" s="15"/>
      <c r="R251" s="15"/>
      <c r="S251" s="15"/>
      <c r="T251" s="15"/>
      <c r="U251" s="15"/>
      <c r="V251" s="15"/>
      <c r="W251" s="15"/>
      <c r="X251" s="15"/>
      <c r="Y251" s="15"/>
      <c r="Z251" s="15"/>
    </row>
    <row r="252" spans="1:26" ht="15.75" customHeight="1" x14ac:dyDescent="0.25">
      <c r="A252" s="24"/>
      <c r="B252" s="25"/>
      <c r="C252" s="24"/>
      <c r="D252" s="24"/>
      <c r="E252" s="24"/>
      <c r="F252" s="26"/>
      <c r="G252" s="15"/>
      <c r="H252" s="15"/>
      <c r="I252" s="15"/>
      <c r="J252" s="15"/>
      <c r="K252" s="167"/>
      <c r="L252" s="15"/>
      <c r="M252" s="15"/>
      <c r="N252" s="15"/>
      <c r="O252" s="15"/>
      <c r="P252" s="15"/>
      <c r="Q252" s="15"/>
      <c r="R252" s="15"/>
      <c r="S252" s="15"/>
      <c r="T252" s="15"/>
      <c r="U252" s="15"/>
      <c r="V252" s="15"/>
      <c r="W252" s="15"/>
      <c r="X252" s="15"/>
      <c r="Y252" s="15"/>
      <c r="Z252" s="15"/>
    </row>
    <row r="253" spans="1:26" ht="15.75" customHeight="1" x14ac:dyDescent="0.25">
      <c r="A253" s="24"/>
      <c r="B253" s="25"/>
      <c r="C253" s="24"/>
      <c r="D253" s="24"/>
      <c r="E253" s="24"/>
      <c r="F253" s="26"/>
      <c r="G253" s="15"/>
      <c r="H253" s="15"/>
      <c r="I253" s="15"/>
      <c r="J253" s="15"/>
      <c r="K253" s="167"/>
      <c r="L253" s="15"/>
      <c r="M253" s="15"/>
      <c r="N253" s="15"/>
      <c r="O253" s="15"/>
      <c r="P253" s="15"/>
      <c r="Q253" s="15"/>
      <c r="R253" s="15"/>
      <c r="S253" s="15"/>
      <c r="T253" s="15"/>
      <c r="U253" s="15"/>
      <c r="V253" s="15"/>
      <c r="W253" s="15"/>
      <c r="X253" s="15"/>
      <c r="Y253" s="15"/>
      <c r="Z253" s="15"/>
    </row>
    <row r="254" spans="1:26" ht="15.75" customHeight="1" x14ac:dyDescent="0.25">
      <c r="K254" s="168"/>
    </row>
    <row r="255" spans="1:26" ht="15.75" customHeight="1" x14ac:dyDescent="0.25">
      <c r="K255" s="168"/>
    </row>
    <row r="256" spans="1:26" ht="15.75" customHeight="1" x14ac:dyDescent="0.25">
      <c r="K256" s="168"/>
    </row>
    <row r="257" spans="11:11" ht="15.75" customHeight="1" x14ac:dyDescent="0.25">
      <c r="K257" s="168"/>
    </row>
    <row r="258" spans="11:11" ht="15.75" customHeight="1" x14ac:dyDescent="0.25">
      <c r="K258" s="168"/>
    </row>
    <row r="259" spans="11:11" ht="15.75" customHeight="1" x14ac:dyDescent="0.25">
      <c r="K259" s="168"/>
    </row>
    <row r="260" spans="11:11" ht="15.75" customHeight="1" x14ac:dyDescent="0.25">
      <c r="K260" s="168"/>
    </row>
    <row r="261" spans="11:11" ht="15.75" customHeight="1" x14ac:dyDescent="0.25">
      <c r="K261" s="168"/>
    </row>
    <row r="262" spans="11:11" ht="15.75" customHeight="1" x14ac:dyDescent="0.25">
      <c r="K262" s="168"/>
    </row>
    <row r="263" spans="11:11" ht="15.75" customHeight="1" x14ac:dyDescent="0.25">
      <c r="K263" s="168"/>
    </row>
    <row r="264" spans="11:11" ht="15.75" customHeight="1" x14ac:dyDescent="0.25">
      <c r="K264" s="168"/>
    </row>
    <row r="265" spans="11:11" ht="15.75" customHeight="1" x14ac:dyDescent="0.25">
      <c r="K265" s="168"/>
    </row>
    <row r="266" spans="11:11" ht="15.75" customHeight="1" x14ac:dyDescent="0.25">
      <c r="K266" s="168"/>
    </row>
    <row r="267" spans="11:11" ht="15.75" customHeight="1" x14ac:dyDescent="0.25">
      <c r="K267" s="168"/>
    </row>
    <row r="268" spans="11:11" ht="15.75" customHeight="1" x14ac:dyDescent="0.25">
      <c r="K268" s="168"/>
    </row>
    <row r="269" spans="11:11" ht="15.75" customHeight="1" x14ac:dyDescent="0.25">
      <c r="K269" s="168"/>
    </row>
    <row r="270" spans="11:11" ht="15.75" customHeight="1" x14ac:dyDescent="0.25">
      <c r="K270" s="168"/>
    </row>
    <row r="271" spans="11:11" ht="15.75" customHeight="1" x14ac:dyDescent="0.25">
      <c r="K271" s="168"/>
    </row>
    <row r="272" spans="11:11" ht="15.75" customHeight="1" x14ac:dyDescent="0.25">
      <c r="K272" s="168"/>
    </row>
    <row r="273" spans="11:11" ht="15.75" customHeight="1" x14ac:dyDescent="0.25">
      <c r="K273" s="168"/>
    </row>
    <row r="274" spans="11:11" ht="15.75" customHeight="1" x14ac:dyDescent="0.25">
      <c r="K274" s="168"/>
    </row>
    <row r="275" spans="11:11" ht="15.75" customHeight="1" x14ac:dyDescent="0.25">
      <c r="K275" s="168"/>
    </row>
    <row r="276" spans="11:11" ht="15.75" customHeight="1" x14ac:dyDescent="0.25">
      <c r="K276" s="168"/>
    </row>
    <row r="277" spans="11:11" ht="15.75" customHeight="1" x14ac:dyDescent="0.25">
      <c r="K277" s="168"/>
    </row>
    <row r="278" spans="11:11" ht="15.75" customHeight="1" x14ac:dyDescent="0.25">
      <c r="K278" s="168"/>
    </row>
    <row r="279" spans="11:11" ht="15.75" customHeight="1" x14ac:dyDescent="0.25">
      <c r="K279" s="168"/>
    </row>
    <row r="280" spans="11:11" ht="15.75" customHeight="1" x14ac:dyDescent="0.25">
      <c r="K280" s="168"/>
    </row>
    <row r="281" spans="11:11" ht="15.75" customHeight="1" x14ac:dyDescent="0.25">
      <c r="K281" s="168"/>
    </row>
    <row r="282" spans="11:11" ht="15.75" customHeight="1" x14ac:dyDescent="0.25">
      <c r="K282" s="168"/>
    </row>
    <row r="283" spans="11:11" ht="15.75" customHeight="1" x14ac:dyDescent="0.25">
      <c r="K283" s="168"/>
    </row>
    <row r="284" spans="11:11" ht="15.75" customHeight="1" x14ac:dyDescent="0.25">
      <c r="K284" s="168"/>
    </row>
    <row r="285" spans="11:11" ht="15.75" customHeight="1" x14ac:dyDescent="0.25">
      <c r="K285" s="168"/>
    </row>
    <row r="286" spans="11:11" ht="15.75" customHeight="1" x14ac:dyDescent="0.25">
      <c r="K286" s="168"/>
    </row>
    <row r="287" spans="11:11" ht="15.75" customHeight="1" x14ac:dyDescent="0.25">
      <c r="K287" s="168"/>
    </row>
    <row r="288" spans="1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row r="989" spans="11:11" ht="15.75" customHeight="1" x14ac:dyDescent="0.25">
      <c r="K989" s="168"/>
    </row>
    <row r="990" spans="11:11" ht="15.75" customHeight="1" x14ac:dyDescent="0.25">
      <c r="K990" s="168"/>
    </row>
    <row r="991" spans="11:11" ht="15.75" customHeight="1" x14ac:dyDescent="0.25">
      <c r="K991" s="168"/>
    </row>
    <row r="992" spans="11:11" ht="15.75" customHeight="1" x14ac:dyDescent="0.25">
      <c r="K992" s="168"/>
    </row>
    <row r="993" spans="11:11" ht="15.75" customHeight="1" x14ac:dyDescent="0.25">
      <c r="K993" s="168"/>
    </row>
    <row r="994" spans="11:11" ht="15.75" customHeight="1" x14ac:dyDescent="0.25">
      <c r="K994" s="168"/>
    </row>
    <row r="995" spans="11:11" ht="15.75" customHeight="1" x14ac:dyDescent="0.25">
      <c r="K995" s="168"/>
    </row>
    <row r="996" spans="11:11" ht="15.75" customHeight="1" x14ac:dyDescent="0.25">
      <c r="K996" s="168"/>
    </row>
    <row r="997" spans="11:11" ht="15.75" customHeight="1" x14ac:dyDescent="0.25">
      <c r="K997" s="168"/>
    </row>
    <row r="998" spans="11:11" ht="15.75" customHeight="1" x14ac:dyDescent="0.25">
      <c r="K998" s="168"/>
    </row>
    <row r="999" spans="11:11" ht="15.75" customHeight="1" x14ac:dyDescent="0.25">
      <c r="K999" s="168"/>
    </row>
    <row r="1000" spans="11:11" ht="15.75" customHeight="1" x14ac:dyDescent="0.25">
      <c r="K1000" s="168"/>
    </row>
    <row r="1001" spans="11:11" ht="15.75" customHeight="1" x14ac:dyDescent="0.25">
      <c r="K1001" s="168"/>
    </row>
    <row r="1002" spans="11:11" ht="15.75" customHeight="1" x14ac:dyDescent="0.25">
      <c r="K1002" s="168"/>
    </row>
    <row r="1003" spans="11:11" ht="15.75" customHeight="1" x14ac:dyDescent="0.25">
      <c r="K1003" s="168"/>
    </row>
    <row r="1004" spans="11:11" ht="15.75" customHeight="1" x14ac:dyDescent="0.25">
      <c r="K1004" s="168"/>
    </row>
    <row r="1005" spans="11:11" ht="15.75" customHeight="1" x14ac:dyDescent="0.25">
      <c r="K1005" s="168"/>
    </row>
    <row r="1006" spans="11:11" ht="15.75" customHeight="1" x14ac:dyDescent="0.25">
      <c r="K1006" s="168"/>
    </row>
    <row r="1007" spans="11:11" ht="15.75" customHeight="1" x14ac:dyDescent="0.25">
      <c r="K1007" s="168"/>
    </row>
    <row r="1008" spans="11:11" ht="15.75" customHeight="1" x14ac:dyDescent="0.25">
      <c r="K1008" s="168"/>
    </row>
    <row r="1009" spans="11:11" ht="15.75" customHeight="1" x14ac:dyDescent="0.25">
      <c r="K1009" s="168"/>
    </row>
    <row r="1010" spans="11:11" ht="15.75" customHeight="1" x14ac:dyDescent="0.25">
      <c r="K1010" s="168"/>
    </row>
    <row r="1011" spans="11:11" ht="15.75" customHeight="1" x14ac:dyDescent="0.25">
      <c r="K1011" s="168"/>
    </row>
    <row r="1012" spans="11:11" ht="15.75" customHeight="1" x14ac:dyDescent="0.25">
      <c r="K1012" s="168"/>
    </row>
    <row r="1013" spans="11:11" ht="15.75" customHeight="1" x14ac:dyDescent="0.25">
      <c r="K1013" s="168"/>
    </row>
    <row r="1014" spans="11:11" ht="15.75" customHeight="1" x14ac:dyDescent="0.25">
      <c r="K1014" s="168"/>
    </row>
    <row r="1015" spans="11:11" ht="15.75" customHeight="1" x14ac:dyDescent="0.25">
      <c r="K1015" s="168"/>
    </row>
    <row r="1016" spans="11:11" ht="15.75" customHeight="1" x14ac:dyDescent="0.25">
      <c r="K1016" s="168"/>
    </row>
    <row r="1017" spans="11:11" ht="15.75" customHeight="1" x14ac:dyDescent="0.25">
      <c r="K1017" s="168"/>
    </row>
    <row r="1018" spans="11:11" ht="15.75" customHeight="1" x14ac:dyDescent="0.25">
      <c r="K1018" s="168"/>
    </row>
  </sheetData>
  <mergeCells count="7">
    <mergeCell ref="A4:G4"/>
    <mergeCell ref="A5:A8"/>
    <mergeCell ref="B5:B8"/>
    <mergeCell ref="C5:C6"/>
    <mergeCell ref="D5:F5"/>
    <mergeCell ref="G5:G6"/>
    <mergeCell ref="F6:F7"/>
  </mergeCells>
  <pageMargins left="0.39370078740157483" right="0.39370078740157483" top="0.39370078740157483" bottom="0.39370078740157483" header="0" footer="0"/>
  <pageSetup paperSize="9" scale="9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2557"/>
  <sheetViews>
    <sheetView view="pageBreakPreview" topLeftCell="A1403" zoomScale="130" zoomScaleNormal="115" zoomScaleSheetLayoutView="130" workbookViewId="0">
      <selection activeCell="A1341" sqref="A1341"/>
    </sheetView>
  </sheetViews>
  <sheetFormatPr defaultColWidth="14.42578125" defaultRowHeight="15" customHeight="1" x14ac:dyDescent="0.25"/>
  <cols>
    <col min="1" max="1" width="70.140625" customWidth="1"/>
    <col min="2" max="2" width="15" customWidth="1"/>
    <col min="3" max="4" width="16.85546875" hidden="1" customWidth="1"/>
    <col min="5" max="5" width="17.42578125" hidden="1" customWidth="1"/>
    <col min="6" max="6" width="17.5703125" hidden="1" customWidth="1"/>
    <col min="7" max="7" width="17.5703125" customWidth="1"/>
    <col min="8" max="8" width="16.28515625" bestFit="1" customWidth="1"/>
    <col min="9" max="9" width="12.28515625" customWidth="1"/>
    <col min="10" max="10" width="13.28515625" customWidth="1"/>
    <col min="11" max="11" width="14.5703125" bestFit="1" customWidth="1"/>
    <col min="12" max="12" width="11.5703125" customWidth="1"/>
    <col min="13" max="13" width="13.85546875" bestFit="1" customWidth="1"/>
    <col min="14" max="15" width="13.28515625" customWidth="1"/>
    <col min="16" max="26" width="10.28515625" customWidth="1"/>
  </cols>
  <sheetData>
    <row r="1" spans="1:26" ht="15.75" customHeight="1" x14ac:dyDescent="0.25">
      <c r="A1" s="9" t="s">
        <v>488</v>
      </c>
      <c r="B1" s="104"/>
      <c r="C1" s="105"/>
      <c r="D1" s="105"/>
      <c r="E1" s="105"/>
      <c r="F1" s="10"/>
      <c r="G1" s="180"/>
      <c r="H1" s="15"/>
      <c r="I1" s="16"/>
      <c r="J1" s="16"/>
      <c r="K1" s="15"/>
      <c r="L1" s="15"/>
      <c r="M1" s="16"/>
      <c r="N1" s="16"/>
      <c r="O1" s="15"/>
      <c r="P1" s="15"/>
      <c r="Q1" s="15"/>
      <c r="R1" s="15"/>
      <c r="S1" s="15"/>
      <c r="T1" s="15"/>
      <c r="U1" s="15"/>
      <c r="V1" s="15"/>
      <c r="W1" s="15"/>
      <c r="X1" s="15"/>
      <c r="Y1" s="15"/>
      <c r="Z1" s="15"/>
    </row>
    <row r="2" spans="1:26" ht="15.75" customHeight="1" x14ac:dyDescent="0.25">
      <c r="A2" s="17" t="s">
        <v>489</v>
      </c>
      <c r="B2" s="25"/>
      <c r="C2" s="24"/>
      <c r="D2" s="24"/>
      <c r="E2" s="24"/>
      <c r="F2" s="15"/>
      <c r="G2" s="181"/>
      <c r="H2" s="15"/>
      <c r="I2" s="16"/>
      <c r="J2" s="16"/>
      <c r="K2" s="15"/>
      <c r="L2" s="15"/>
      <c r="M2" s="16"/>
      <c r="N2" s="16"/>
      <c r="O2" s="15"/>
      <c r="P2" s="15"/>
      <c r="Q2" s="15"/>
      <c r="R2" s="15"/>
      <c r="S2" s="15"/>
      <c r="T2" s="15"/>
      <c r="U2" s="15"/>
      <c r="V2" s="15"/>
      <c r="W2" s="15"/>
      <c r="X2" s="15"/>
      <c r="Y2" s="15"/>
      <c r="Z2" s="15"/>
    </row>
    <row r="3" spans="1:26" ht="15.75" customHeight="1" x14ac:dyDescent="0.25">
      <c r="A3" s="17"/>
      <c r="B3" s="25"/>
      <c r="C3" s="24"/>
      <c r="D3" s="24"/>
      <c r="E3" s="24"/>
      <c r="F3" s="15"/>
      <c r="G3" s="181"/>
      <c r="H3" s="15"/>
      <c r="I3" s="16"/>
      <c r="J3" s="16"/>
      <c r="K3" s="15"/>
      <c r="L3" s="15"/>
      <c r="M3" s="16"/>
      <c r="N3" s="16"/>
      <c r="O3" s="15"/>
      <c r="P3" s="15"/>
      <c r="Q3" s="15"/>
      <c r="R3" s="15"/>
      <c r="S3" s="15"/>
      <c r="T3" s="15"/>
      <c r="U3" s="15"/>
      <c r="V3" s="15"/>
      <c r="W3" s="15"/>
      <c r="X3" s="15"/>
      <c r="Y3" s="15"/>
      <c r="Z3" s="15"/>
    </row>
    <row r="4" spans="1:26" ht="15.75" customHeight="1" x14ac:dyDescent="0.25">
      <c r="A4" s="108" t="s">
        <v>843</v>
      </c>
      <c r="B4" s="25"/>
      <c r="C4" s="26"/>
      <c r="D4" s="26"/>
      <c r="E4" s="26"/>
      <c r="F4" s="14"/>
      <c r="G4" s="181"/>
      <c r="H4" s="15"/>
      <c r="I4" s="16"/>
      <c r="J4" s="16"/>
      <c r="K4" s="15"/>
      <c r="L4" s="15"/>
      <c r="M4" s="16"/>
      <c r="N4" s="16"/>
      <c r="O4" s="15"/>
      <c r="P4" s="15"/>
      <c r="Q4" s="15"/>
      <c r="R4" s="15"/>
      <c r="S4" s="15"/>
      <c r="T4" s="15"/>
      <c r="U4" s="15"/>
      <c r="V4" s="15"/>
      <c r="W4" s="15"/>
      <c r="X4" s="15"/>
      <c r="Y4" s="15"/>
      <c r="Z4" s="15"/>
    </row>
    <row r="5" spans="1:26" ht="15.75" customHeight="1" x14ac:dyDescent="0.25">
      <c r="A5" s="44"/>
      <c r="B5" s="25"/>
      <c r="C5" s="26"/>
      <c r="D5" s="26"/>
      <c r="E5" s="26"/>
      <c r="F5" s="14"/>
      <c r="G5" s="181"/>
      <c r="H5" s="15"/>
      <c r="I5" s="16"/>
      <c r="J5" s="16"/>
      <c r="K5" s="15"/>
      <c r="L5" s="15"/>
      <c r="M5" s="16"/>
      <c r="N5" s="16"/>
      <c r="O5" s="15"/>
      <c r="P5" s="15"/>
      <c r="Q5" s="15"/>
      <c r="R5" s="15"/>
      <c r="S5" s="15"/>
      <c r="T5" s="15"/>
      <c r="U5" s="15"/>
      <c r="V5" s="15"/>
      <c r="W5" s="15"/>
      <c r="X5" s="15"/>
      <c r="Y5" s="15"/>
      <c r="Z5" s="15"/>
    </row>
    <row r="6" spans="1:26" ht="15.75" customHeight="1" x14ac:dyDescent="0.25">
      <c r="A6" s="865" t="s">
        <v>352</v>
      </c>
      <c r="B6" s="866"/>
      <c r="C6" s="866"/>
      <c r="D6" s="866"/>
      <c r="E6" s="866"/>
      <c r="F6" s="866"/>
      <c r="G6" s="867"/>
      <c r="H6" s="15"/>
      <c r="I6" s="16"/>
      <c r="J6" s="16"/>
      <c r="K6" s="15"/>
      <c r="L6" s="15"/>
      <c r="M6" s="16"/>
      <c r="N6" s="16"/>
      <c r="O6" s="15"/>
      <c r="P6" s="15"/>
      <c r="Q6" s="15"/>
      <c r="R6" s="15"/>
      <c r="S6" s="15"/>
      <c r="T6" s="15"/>
      <c r="U6" s="15"/>
      <c r="V6" s="15"/>
      <c r="W6" s="15"/>
      <c r="X6" s="15"/>
      <c r="Y6" s="15"/>
      <c r="Z6" s="15"/>
    </row>
    <row r="7" spans="1:26" ht="15.75" customHeight="1" x14ac:dyDescent="0.25">
      <c r="A7" s="868" t="s">
        <v>353</v>
      </c>
      <c r="B7" s="857" t="s">
        <v>354</v>
      </c>
      <c r="C7" s="870" t="s">
        <v>355</v>
      </c>
      <c r="D7" s="872" t="s">
        <v>356</v>
      </c>
      <c r="E7" s="873"/>
      <c r="F7" s="874"/>
      <c r="G7" s="857" t="s">
        <v>357</v>
      </c>
      <c r="H7" s="15"/>
      <c r="I7" s="16"/>
      <c r="J7" s="16"/>
      <c r="K7" s="15"/>
      <c r="L7" s="15"/>
      <c r="M7" s="16"/>
      <c r="N7" s="16"/>
      <c r="O7" s="15"/>
      <c r="P7" s="15"/>
      <c r="Q7" s="15"/>
      <c r="R7" s="15"/>
      <c r="S7" s="15"/>
      <c r="T7" s="15"/>
      <c r="U7" s="15"/>
      <c r="V7" s="15"/>
      <c r="W7" s="15"/>
      <c r="X7" s="15"/>
      <c r="Y7" s="15"/>
      <c r="Z7" s="15"/>
    </row>
    <row r="8" spans="1:26" ht="15.75" customHeight="1" x14ac:dyDescent="0.25">
      <c r="A8" s="858"/>
      <c r="B8" s="858"/>
      <c r="C8" s="871"/>
      <c r="D8" s="28" t="s">
        <v>358</v>
      </c>
      <c r="E8" s="29" t="s">
        <v>359</v>
      </c>
      <c r="F8" s="875" t="s">
        <v>360</v>
      </c>
      <c r="G8" s="858"/>
      <c r="H8" s="15"/>
      <c r="I8" s="16"/>
      <c r="J8" s="16"/>
      <c r="K8" s="15"/>
      <c r="L8" s="15"/>
      <c r="M8" s="16"/>
      <c r="N8" s="16"/>
      <c r="O8" s="15"/>
      <c r="P8" s="15"/>
      <c r="Q8" s="15"/>
      <c r="R8" s="15"/>
      <c r="S8" s="15"/>
      <c r="T8" s="15"/>
      <c r="U8" s="15"/>
      <c r="V8" s="15"/>
      <c r="W8" s="15"/>
      <c r="X8" s="15"/>
      <c r="Y8" s="15"/>
      <c r="Z8" s="15"/>
    </row>
    <row r="9" spans="1:26" ht="15.75" customHeight="1" x14ac:dyDescent="0.25">
      <c r="A9" s="858"/>
      <c r="B9" s="858"/>
      <c r="C9" s="30" t="s">
        <v>361</v>
      </c>
      <c r="D9" s="31" t="s">
        <v>361</v>
      </c>
      <c r="E9" s="32" t="s">
        <v>362</v>
      </c>
      <c r="F9" s="860"/>
      <c r="G9" s="442" t="s">
        <v>2717</v>
      </c>
      <c r="H9" s="15"/>
      <c r="I9" s="16"/>
      <c r="J9" s="16"/>
      <c r="K9" s="15"/>
      <c r="L9" s="15"/>
      <c r="M9" s="16"/>
      <c r="N9" s="16"/>
      <c r="O9" s="15"/>
      <c r="P9" s="15"/>
      <c r="Q9" s="15"/>
      <c r="R9" s="15"/>
      <c r="S9" s="15"/>
      <c r="T9" s="15"/>
      <c r="U9" s="15"/>
      <c r="V9" s="15"/>
      <c r="W9" s="15"/>
      <c r="X9" s="15"/>
      <c r="Y9" s="15"/>
      <c r="Z9" s="15"/>
    </row>
    <row r="10" spans="1:26" ht="15.75" customHeight="1" x14ac:dyDescent="0.25">
      <c r="A10" s="869"/>
      <c r="B10" s="869"/>
      <c r="C10" s="33">
        <v>2024</v>
      </c>
      <c r="D10" s="34">
        <v>2025</v>
      </c>
      <c r="E10" s="35">
        <v>2025</v>
      </c>
      <c r="F10" s="34">
        <v>2025</v>
      </c>
      <c r="G10" s="36" t="s">
        <v>2668</v>
      </c>
      <c r="H10" s="15"/>
      <c r="I10" s="16"/>
      <c r="J10" s="16"/>
      <c r="K10" s="15"/>
      <c r="L10" s="15"/>
      <c r="M10" s="16"/>
      <c r="N10" s="16"/>
      <c r="O10" s="15"/>
      <c r="P10" s="15"/>
      <c r="Q10" s="15"/>
      <c r="R10" s="15"/>
      <c r="S10" s="15"/>
      <c r="T10" s="15"/>
      <c r="U10" s="15"/>
      <c r="V10" s="15"/>
      <c r="W10" s="15"/>
      <c r="X10" s="15"/>
      <c r="Y10" s="15"/>
      <c r="Z10" s="15"/>
    </row>
    <row r="11" spans="1:26" ht="15.75" customHeight="1" x14ac:dyDescent="0.25">
      <c r="A11" s="9" t="s">
        <v>364</v>
      </c>
      <c r="B11" s="170"/>
      <c r="C11" s="37"/>
      <c r="D11" s="19"/>
      <c r="E11" s="42"/>
      <c r="F11" s="42"/>
      <c r="G11" s="625"/>
      <c r="H11" s="643"/>
      <c r="I11" s="40"/>
      <c r="J11" s="40"/>
      <c r="M11" s="40"/>
      <c r="N11" s="40"/>
    </row>
    <row r="12" spans="1:26" ht="15.75" customHeight="1" x14ac:dyDescent="0.25">
      <c r="A12" s="42" t="s">
        <v>844</v>
      </c>
      <c r="B12" s="25"/>
      <c r="C12" s="43"/>
      <c r="D12" s="45"/>
      <c r="E12" s="43"/>
      <c r="F12" s="43"/>
      <c r="G12" s="438"/>
      <c r="H12" s="643"/>
      <c r="I12" s="40"/>
      <c r="J12" s="40"/>
      <c r="M12" s="40"/>
      <c r="N12" s="40"/>
    </row>
    <row r="13" spans="1:26" ht="15.75" customHeight="1" x14ac:dyDescent="0.25">
      <c r="A13" s="17" t="s">
        <v>493</v>
      </c>
      <c r="B13" s="20"/>
      <c r="C13" s="43"/>
      <c r="D13" s="45"/>
      <c r="E13" s="43"/>
      <c r="F13" s="43"/>
      <c r="G13" s="438"/>
      <c r="H13" s="643"/>
      <c r="I13" s="40"/>
      <c r="J13" s="40"/>
      <c r="M13" s="40"/>
      <c r="N13" s="40"/>
    </row>
    <row r="14" spans="1:26" ht="15.75" customHeight="1" x14ac:dyDescent="0.25">
      <c r="A14" s="17" t="s">
        <v>396</v>
      </c>
      <c r="B14" s="205" t="s">
        <v>191</v>
      </c>
      <c r="C14" s="43">
        <v>0</v>
      </c>
      <c r="D14" s="45">
        <v>0</v>
      </c>
      <c r="E14" s="43">
        <v>0</v>
      </c>
      <c r="F14" s="43">
        <v>0</v>
      </c>
      <c r="G14" s="438">
        <v>198000</v>
      </c>
      <c r="H14" s="643"/>
      <c r="I14" s="40"/>
      <c r="J14" s="40"/>
      <c r="M14" s="40"/>
      <c r="N14" s="40"/>
    </row>
    <row r="15" spans="1:26" ht="15.75" customHeight="1" x14ac:dyDescent="0.25">
      <c r="A15" s="44" t="s">
        <v>845</v>
      </c>
      <c r="B15" s="20"/>
      <c r="C15" s="43"/>
      <c r="D15" s="45"/>
      <c r="E15" s="43"/>
      <c r="F15" s="43"/>
      <c r="G15" s="438"/>
      <c r="H15" s="643"/>
      <c r="I15" s="40"/>
      <c r="J15" s="40"/>
      <c r="M15" s="40"/>
      <c r="N15" s="40"/>
    </row>
    <row r="16" spans="1:26" ht="15.75" customHeight="1" x14ac:dyDescent="0.25">
      <c r="A16" s="44" t="s">
        <v>846</v>
      </c>
      <c r="B16" s="20"/>
      <c r="C16" s="43"/>
      <c r="D16" s="45"/>
      <c r="E16" s="43"/>
      <c r="F16" s="43"/>
      <c r="G16" s="438"/>
      <c r="H16" s="643"/>
      <c r="I16" s="40"/>
      <c r="J16" s="40"/>
      <c r="M16" s="40"/>
      <c r="N16" s="40"/>
    </row>
    <row r="17" spans="1:26" ht="15.75" customHeight="1" x14ac:dyDescent="0.25">
      <c r="A17" s="44" t="s">
        <v>2720</v>
      </c>
      <c r="B17" s="20"/>
      <c r="C17" s="43"/>
      <c r="D17" s="45"/>
      <c r="E17" s="43"/>
      <c r="F17" s="43"/>
      <c r="G17" s="438"/>
      <c r="H17" s="643"/>
      <c r="I17" s="40"/>
      <c r="J17" s="40"/>
      <c r="M17" s="40"/>
      <c r="N17" s="40"/>
    </row>
    <row r="18" spans="1:26" ht="15.75" customHeight="1" x14ac:dyDescent="0.25">
      <c r="A18" s="17" t="s">
        <v>499</v>
      </c>
      <c r="B18" s="20"/>
      <c r="C18" s="43"/>
      <c r="D18" s="45"/>
      <c r="E18" s="43"/>
      <c r="F18" s="43"/>
      <c r="G18" s="438"/>
      <c r="H18" s="643"/>
      <c r="I18" s="40"/>
      <c r="J18" s="40"/>
      <c r="M18" s="40"/>
      <c r="N18" s="40"/>
    </row>
    <row r="19" spans="1:26" ht="15.75" customHeight="1" x14ac:dyDescent="0.25">
      <c r="A19" s="44" t="s">
        <v>398</v>
      </c>
      <c r="B19" s="20" t="s">
        <v>195</v>
      </c>
      <c r="C19" s="43">
        <v>26730</v>
      </c>
      <c r="D19" s="45">
        <v>34867</v>
      </c>
      <c r="E19" s="43">
        <f t="shared" ref="E19:E21" si="0">F19-D19</f>
        <v>41648</v>
      </c>
      <c r="F19" s="43">
        <v>76515</v>
      </c>
      <c r="G19" s="438">
        <v>90512</v>
      </c>
      <c r="H19" s="643"/>
      <c r="I19" s="40"/>
      <c r="J19" s="40"/>
      <c r="M19" s="40"/>
      <c r="N19" s="40"/>
    </row>
    <row r="20" spans="1:26" ht="15.75" customHeight="1" x14ac:dyDescent="0.25">
      <c r="A20" s="96" t="s">
        <v>400</v>
      </c>
      <c r="B20" s="20" t="s">
        <v>221</v>
      </c>
      <c r="C20" s="43">
        <v>0</v>
      </c>
      <c r="D20" s="45">
        <v>0</v>
      </c>
      <c r="E20" s="43">
        <f t="shared" si="0"/>
        <v>444700</v>
      </c>
      <c r="F20" s="43">
        <v>444700</v>
      </c>
      <c r="G20" s="438">
        <v>206500</v>
      </c>
      <c r="H20" s="643"/>
      <c r="I20" s="40"/>
      <c r="J20" s="40"/>
      <c r="M20" s="40"/>
      <c r="N20" s="40"/>
    </row>
    <row r="21" spans="1:26" ht="15.75" customHeight="1" x14ac:dyDescent="0.25">
      <c r="A21" s="44" t="s">
        <v>402</v>
      </c>
      <c r="B21" s="20" t="s">
        <v>225</v>
      </c>
      <c r="C21" s="43">
        <v>339195</v>
      </c>
      <c r="D21" s="45">
        <v>606358</v>
      </c>
      <c r="E21" s="43">
        <f t="shared" si="0"/>
        <v>1842</v>
      </c>
      <c r="F21" s="43">
        <v>608200</v>
      </c>
      <c r="G21" s="438">
        <v>604740</v>
      </c>
      <c r="H21" s="485"/>
      <c r="I21" s="206"/>
      <c r="J21" s="206"/>
      <c r="K21" s="44"/>
      <c r="L21" s="44"/>
      <c r="M21" s="206"/>
      <c r="N21" s="206"/>
      <c r="O21" s="44"/>
      <c r="P21" s="44"/>
      <c r="Q21" s="44"/>
      <c r="R21" s="44"/>
      <c r="S21" s="44"/>
      <c r="T21" s="44"/>
      <c r="U21" s="44"/>
      <c r="V21" s="44"/>
      <c r="W21" s="44"/>
      <c r="X21" s="44"/>
      <c r="Y21" s="44"/>
      <c r="Z21" s="44"/>
    </row>
    <row r="22" spans="1:26" ht="15.75" customHeight="1" x14ac:dyDescent="0.25">
      <c r="A22" s="17" t="s">
        <v>511</v>
      </c>
      <c r="B22" s="20"/>
      <c r="C22" s="42"/>
      <c r="D22" s="19"/>
      <c r="E22" s="43"/>
      <c r="F22" s="43"/>
      <c r="G22" s="438"/>
      <c r="H22" s="643"/>
      <c r="I22" s="40"/>
      <c r="J22" s="40"/>
      <c r="M22" s="40"/>
      <c r="N22" s="40"/>
    </row>
    <row r="23" spans="1:26" ht="15.75" customHeight="1" x14ac:dyDescent="0.25">
      <c r="A23" s="44" t="s">
        <v>424</v>
      </c>
      <c r="B23" s="20" t="s">
        <v>335</v>
      </c>
      <c r="C23" s="43">
        <v>22632874</v>
      </c>
      <c r="D23" s="45">
        <v>9217206</v>
      </c>
      <c r="E23" s="43">
        <f>F23-D23</f>
        <v>13920354</v>
      </c>
      <c r="F23" s="43">
        <v>23137560</v>
      </c>
      <c r="G23" s="438">
        <v>36583464</v>
      </c>
      <c r="H23" s="643"/>
      <c r="I23" s="40"/>
      <c r="J23" s="40"/>
      <c r="M23" s="40"/>
      <c r="N23" s="40"/>
    </row>
    <row r="24" spans="1:26" ht="15.75" customHeight="1" x14ac:dyDescent="0.25">
      <c r="A24" s="44" t="s">
        <v>847</v>
      </c>
      <c r="B24" s="20"/>
      <c r="C24" s="43"/>
      <c r="D24" s="45"/>
      <c r="E24" s="43"/>
      <c r="F24" s="43"/>
      <c r="G24" s="438"/>
      <c r="H24" s="643"/>
      <c r="I24" s="40"/>
      <c r="J24" s="40"/>
      <c r="M24" s="40"/>
      <c r="N24" s="40"/>
    </row>
    <row r="25" spans="1:26" ht="15.75" customHeight="1" x14ac:dyDescent="0.25">
      <c r="A25" s="44" t="s">
        <v>2721</v>
      </c>
      <c r="B25" s="20"/>
      <c r="C25" s="43"/>
      <c r="D25" s="45"/>
      <c r="E25" s="43"/>
      <c r="F25" s="43"/>
      <c r="G25" s="438"/>
      <c r="H25" s="643"/>
      <c r="I25" s="40"/>
      <c r="J25" s="40"/>
      <c r="M25" s="40"/>
      <c r="N25" s="40"/>
    </row>
    <row r="26" spans="1:26" ht="15.75" customHeight="1" x14ac:dyDescent="0.25">
      <c r="A26" s="44" t="s">
        <v>2722</v>
      </c>
      <c r="B26" s="20"/>
      <c r="C26" s="43"/>
      <c r="D26" s="45"/>
      <c r="E26" s="43"/>
      <c r="F26" s="43"/>
      <c r="G26" s="438"/>
      <c r="H26" s="643"/>
      <c r="I26" s="40"/>
      <c r="J26" s="40"/>
      <c r="M26" s="40"/>
      <c r="N26" s="40"/>
    </row>
    <row r="27" spans="1:26" ht="15.75" customHeight="1" x14ac:dyDescent="0.25">
      <c r="A27" s="48" t="s">
        <v>2723</v>
      </c>
      <c r="B27" s="20"/>
      <c r="C27" s="43"/>
      <c r="D27" s="45"/>
      <c r="E27" s="43"/>
      <c r="F27" s="43"/>
      <c r="G27" s="438"/>
      <c r="H27" s="643"/>
      <c r="I27" s="40"/>
      <c r="J27" s="40"/>
      <c r="M27" s="40"/>
      <c r="N27" s="40"/>
    </row>
    <row r="28" spans="1:26" ht="15.75" customHeight="1" x14ac:dyDescent="0.25">
      <c r="A28" s="44" t="s">
        <v>2724</v>
      </c>
      <c r="B28" s="20"/>
      <c r="C28" s="43"/>
      <c r="D28" s="45"/>
      <c r="E28" s="43"/>
      <c r="F28" s="43"/>
      <c r="G28" s="438"/>
      <c r="H28" s="643"/>
      <c r="I28" s="40"/>
      <c r="J28" s="40"/>
      <c r="M28" s="40"/>
      <c r="N28" s="40"/>
    </row>
    <row r="29" spans="1:26" ht="15.75" customHeight="1" x14ac:dyDescent="0.25">
      <c r="A29" s="42" t="s">
        <v>466</v>
      </c>
      <c r="B29" s="20"/>
      <c r="C29" s="54">
        <f>SUM(C19:C23)</f>
        <v>22998799</v>
      </c>
      <c r="D29" s="79">
        <f>SUM(D19:D23)</f>
        <v>9858431</v>
      </c>
      <c r="E29" s="54">
        <f>F29-D29</f>
        <v>14408544</v>
      </c>
      <c r="F29" s="54">
        <f>SUM(F19:F23)</f>
        <v>24266975</v>
      </c>
      <c r="G29" s="54">
        <f>SUM(G14:G23)</f>
        <v>37683216</v>
      </c>
      <c r="H29" s="643"/>
      <c r="I29" s="40"/>
      <c r="J29" s="40"/>
      <c r="M29" s="40"/>
      <c r="N29" s="40"/>
    </row>
    <row r="30" spans="1:26" ht="15.75" customHeight="1" x14ac:dyDescent="0.25">
      <c r="A30" s="17"/>
      <c r="B30" s="20"/>
      <c r="C30" s="55"/>
      <c r="D30" s="39"/>
      <c r="E30" s="43"/>
      <c r="F30" s="55"/>
      <c r="G30" s="448"/>
      <c r="H30" s="643"/>
      <c r="I30" s="40"/>
      <c r="J30" s="40"/>
      <c r="M30" s="40"/>
      <c r="N30" s="40"/>
    </row>
    <row r="31" spans="1:26" ht="15.75" customHeight="1" x14ac:dyDescent="0.25">
      <c r="A31" s="17" t="s">
        <v>467</v>
      </c>
      <c r="B31" s="20"/>
      <c r="C31" s="43">
        <f t="shared" ref="C31:D31" si="1">C29</f>
        <v>22998799</v>
      </c>
      <c r="D31" s="45">
        <f t="shared" si="1"/>
        <v>9858431</v>
      </c>
      <c r="E31" s="43">
        <f t="shared" ref="E31:E33" si="2">F31-D31</f>
        <v>14408544</v>
      </c>
      <c r="F31" s="43">
        <f t="shared" ref="F31:G31" si="3">F29</f>
        <v>24266975</v>
      </c>
      <c r="G31" s="438">
        <f t="shared" si="3"/>
        <v>37683216</v>
      </c>
      <c r="H31" s="643"/>
      <c r="I31" s="40"/>
      <c r="J31" s="40"/>
      <c r="M31" s="40"/>
      <c r="N31" s="40"/>
    </row>
    <row r="32" spans="1:26" ht="15.75" customHeight="1" x14ac:dyDescent="0.25">
      <c r="A32" s="17"/>
      <c r="B32" s="20"/>
      <c r="C32" s="43"/>
      <c r="D32" s="45"/>
      <c r="E32" s="43">
        <f t="shared" si="2"/>
        <v>0</v>
      </c>
      <c r="F32" s="43"/>
      <c r="G32" s="438"/>
      <c r="H32" s="643"/>
      <c r="I32" s="40"/>
      <c r="J32" s="40"/>
      <c r="M32" s="40"/>
      <c r="N32" s="40"/>
    </row>
    <row r="33" spans="1:26" ht="15.75" customHeight="1" x14ac:dyDescent="0.25">
      <c r="A33" s="50" t="s">
        <v>487</v>
      </c>
      <c r="B33" s="27" t="s">
        <v>488</v>
      </c>
      <c r="C33" s="54">
        <f t="shared" ref="C33:D33" si="4">C31</f>
        <v>22998799</v>
      </c>
      <c r="D33" s="79">
        <f t="shared" si="4"/>
        <v>9858431</v>
      </c>
      <c r="E33" s="54">
        <f t="shared" si="2"/>
        <v>14408544</v>
      </c>
      <c r="F33" s="54">
        <f t="shared" ref="F33:G33" si="5">F31</f>
        <v>24266975</v>
      </c>
      <c r="G33" s="54">
        <f t="shared" si="5"/>
        <v>37683216</v>
      </c>
      <c r="H33" s="643"/>
      <c r="I33" s="40"/>
      <c r="J33" s="40"/>
      <c r="M33" s="40"/>
      <c r="N33" s="40"/>
    </row>
    <row r="34" spans="1:26" ht="15.75" customHeight="1" x14ac:dyDescent="0.25">
      <c r="A34" s="24"/>
      <c r="B34" s="25"/>
      <c r="C34" s="26"/>
      <c r="D34" s="26"/>
      <c r="E34" s="26"/>
      <c r="F34" s="26"/>
      <c r="G34" s="26"/>
      <c r="I34" s="40"/>
      <c r="J34" s="40"/>
      <c r="M34" s="40"/>
      <c r="N34" s="40"/>
    </row>
    <row r="35" spans="1:26" ht="15.75" customHeight="1" x14ac:dyDescent="0.25">
      <c r="A35" s="24"/>
      <c r="B35" s="25"/>
      <c r="C35" s="24"/>
      <c r="D35" s="24"/>
      <c r="E35" s="24"/>
      <c r="F35" s="15"/>
      <c r="G35" s="15"/>
      <c r="H35" s="15"/>
      <c r="I35" s="16"/>
      <c r="J35" s="16"/>
      <c r="K35" s="15"/>
      <c r="L35" s="15"/>
      <c r="M35" s="16"/>
      <c r="N35" s="16"/>
      <c r="O35" s="15"/>
      <c r="P35" s="15"/>
      <c r="Q35" s="15"/>
      <c r="R35" s="15"/>
      <c r="S35" s="15"/>
      <c r="T35" s="15"/>
      <c r="U35" s="15"/>
      <c r="V35" s="15"/>
      <c r="W35" s="15"/>
      <c r="X35" s="15"/>
      <c r="Y35" s="15"/>
      <c r="Z35" s="15"/>
    </row>
    <row r="36" spans="1:26" ht="15.75" customHeight="1" x14ac:dyDescent="0.25">
      <c r="A36" s="9"/>
      <c r="B36" s="104"/>
      <c r="C36" s="105"/>
      <c r="D36" s="105"/>
      <c r="E36" s="105"/>
      <c r="F36" s="10"/>
      <c r="G36" s="180"/>
      <c r="H36" s="15"/>
      <c r="I36" s="16"/>
      <c r="J36" s="16"/>
      <c r="K36" s="15"/>
      <c r="L36" s="15"/>
      <c r="M36" s="16"/>
      <c r="N36" s="16"/>
      <c r="O36" s="15"/>
      <c r="P36" s="15"/>
      <c r="Q36" s="15"/>
      <c r="R36" s="15"/>
      <c r="S36" s="15"/>
      <c r="T36" s="15"/>
      <c r="U36" s="15"/>
      <c r="V36" s="15"/>
      <c r="W36" s="15"/>
      <c r="X36" s="15"/>
      <c r="Y36" s="15"/>
      <c r="Z36" s="15"/>
    </row>
    <row r="37" spans="1:26" ht="15.75" customHeight="1" x14ac:dyDescent="0.25">
      <c r="A37" s="108" t="s">
        <v>848</v>
      </c>
      <c r="B37" s="25"/>
      <c r="C37" s="26"/>
      <c r="D37" s="26"/>
      <c r="E37" s="26"/>
      <c r="F37" s="14"/>
      <c r="G37" s="181"/>
      <c r="H37" s="15"/>
      <c r="I37" s="16"/>
      <c r="J37" s="16"/>
      <c r="K37" s="15"/>
      <c r="L37" s="15"/>
      <c r="M37" s="16"/>
      <c r="N37" s="16"/>
      <c r="O37" s="15"/>
      <c r="P37" s="15"/>
      <c r="Q37" s="15"/>
      <c r="R37" s="15"/>
      <c r="S37" s="15"/>
      <c r="T37" s="15"/>
      <c r="U37" s="15"/>
      <c r="V37" s="15"/>
      <c r="W37" s="15"/>
      <c r="X37" s="15"/>
      <c r="Y37" s="15"/>
      <c r="Z37" s="15"/>
    </row>
    <row r="38" spans="1:26" ht="15.75" customHeight="1" x14ac:dyDescent="0.25">
      <c r="A38" s="44"/>
      <c r="B38" s="25"/>
      <c r="C38" s="26"/>
      <c r="D38" s="26"/>
      <c r="E38" s="26"/>
      <c r="F38" s="14"/>
      <c r="G38" s="181"/>
      <c r="H38" s="15"/>
      <c r="I38" s="16"/>
      <c r="J38" s="16"/>
      <c r="K38" s="15"/>
      <c r="L38" s="15"/>
      <c r="M38" s="16"/>
      <c r="N38" s="16"/>
      <c r="O38" s="15"/>
      <c r="P38" s="15"/>
      <c r="Q38" s="15"/>
      <c r="R38" s="15"/>
      <c r="S38" s="15"/>
      <c r="T38" s="15"/>
      <c r="U38" s="15"/>
      <c r="V38" s="15"/>
      <c r="W38" s="15"/>
      <c r="X38" s="15"/>
      <c r="Y38" s="15"/>
      <c r="Z38" s="15"/>
    </row>
    <row r="39" spans="1:26" ht="15.75" customHeight="1" x14ac:dyDescent="0.25">
      <c r="A39" s="865" t="s">
        <v>352</v>
      </c>
      <c r="B39" s="866"/>
      <c r="C39" s="866"/>
      <c r="D39" s="866"/>
      <c r="E39" s="866"/>
      <c r="F39" s="866"/>
      <c r="G39" s="867"/>
      <c r="H39" s="15"/>
      <c r="I39" s="16"/>
      <c r="J39" s="16"/>
      <c r="K39" s="15"/>
      <c r="L39" s="15"/>
      <c r="M39" s="16"/>
      <c r="N39" s="16"/>
      <c r="O39" s="15"/>
      <c r="P39" s="15"/>
      <c r="Q39" s="15"/>
      <c r="R39" s="15"/>
      <c r="S39" s="15"/>
      <c r="T39" s="15"/>
      <c r="U39" s="15"/>
      <c r="V39" s="15"/>
      <c r="W39" s="15"/>
      <c r="X39" s="15"/>
      <c r="Y39" s="15"/>
      <c r="Z39" s="15"/>
    </row>
    <row r="40" spans="1:26" ht="15.75" customHeight="1" x14ac:dyDescent="0.25">
      <c r="A40" s="868" t="s">
        <v>353</v>
      </c>
      <c r="B40" s="857" t="s">
        <v>354</v>
      </c>
      <c r="C40" s="870" t="s">
        <v>355</v>
      </c>
      <c r="D40" s="872" t="s">
        <v>356</v>
      </c>
      <c r="E40" s="873"/>
      <c r="F40" s="874"/>
      <c r="G40" s="857" t="s">
        <v>357</v>
      </c>
      <c r="H40" s="15"/>
      <c r="I40" s="16"/>
      <c r="J40" s="16"/>
      <c r="K40" s="15"/>
      <c r="L40" s="15"/>
      <c r="M40" s="16"/>
      <c r="N40" s="16"/>
      <c r="O40" s="15"/>
      <c r="P40" s="15"/>
      <c r="Q40" s="15"/>
      <c r="R40" s="15"/>
      <c r="S40" s="15"/>
      <c r="T40" s="15"/>
      <c r="U40" s="15"/>
      <c r="V40" s="15"/>
      <c r="W40" s="15"/>
      <c r="X40" s="15"/>
      <c r="Y40" s="15"/>
      <c r="Z40" s="15"/>
    </row>
    <row r="41" spans="1:26" ht="15.75" customHeight="1" x14ac:dyDescent="0.25">
      <c r="A41" s="858"/>
      <c r="B41" s="858"/>
      <c r="C41" s="871"/>
      <c r="D41" s="28" t="s">
        <v>358</v>
      </c>
      <c r="E41" s="29" t="s">
        <v>359</v>
      </c>
      <c r="F41" s="875" t="s">
        <v>360</v>
      </c>
      <c r="G41" s="858"/>
      <c r="H41" s="15"/>
      <c r="I41" s="16"/>
      <c r="J41" s="16"/>
      <c r="K41" s="15"/>
      <c r="L41" s="15"/>
      <c r="M41" s="16"/>
      <c r="N41" s="16"/>
      <c r="O41" s="15"/>
      <c r="P41" s="15"/>
      <c r="Q41" s="15"/>
      <c r="R41" s="15"/>
      <c r="S41" s="15"/>
      <c r="T41" s="15"/>
      <c r="U41" s="15"/>
      <c r="V41" s="15"/>
      <c r="W41" s="15"/>
      <c r="X41" s="15"/>
      <c r="Y41" s="15"/>
      <c r="Z41" s="15"/>
    </row>
    <row r="42" spans="1:26" ht="15.75" customHeight="1" x14ac:dyDescent="0.25">
      <c r="A42" s="858"/>
      <c r="B42" s="858"/>
      <c r="C42" s="30" t="s">
        <v>361</v>
      </c>
      <c r="D42" s="31" t="s">
        <v>361</v>
      </c>
      <c r="E42" s="32" t="s">
        <v>362</v>
      </c>
      <c r="F42" s="860"/>
      <c r="G42" s="442" t="s">
        <v>2717</v>
      </c>
      <c r="H42" s="15"/>
      <c r="I42" s="16"/>
      <c r="J42" s="16"/>
      <c r="K42" s="15"/>
      <c r="L42" s="15"/>
      <c r="M42" s="16"/>
      <c r="N42" s="16"/>
      <c r="O42" s="15"/>
      <c r="P42" s="15"/>
      <c r="Q42" s="15"/>
      <c r="R42" s="15"/>
      <c r="S42" s="15"/>
      <c r="T42" s="15"/>
      <c r="U42" s="15"/>
      <c r="V42" s="15"/>
      <c r="W42" s="15"/>
      <c r="X42" s="15"/>
      <c r="Y42" s="15"/>
      <c r="Z42" s="15"/>
    </row>
    <row r="43" spans="1:26" ht="15.75" customHeight="1" x14ac:dyDescent="0.25">
      <c r="A43" s="869"/>
      <c r="B43" s="869"/>
      <c r="C43" s="33">
        <v>2024</v>
      </c>
      <c r="D43" s="34">
        <v>2025</v>
      </c>
      <c r="E43" s="35">
        <v>2025</v>
      </c>
      <c r="F43" s="34">
        <v>2025</v>
      </c>
      <c r="G43" s="36" t="s">
        <v>2668</v>
      </c>
      <c r="H43" s="15"/>
      <c r="I43" s="16"/>
      <c r="J43" s="16"/>
      <c r="K43" s="15"/>
      <c r="L43" s="15"/>
      <c r="M43" s="16"/>
      <c r="N43" s="16"/>
      <c r="O43" s="15"/>
      <c r="P43" s="15"/>
      <c r="Q43" s="15"/>
      <c r="R43" s="15"/>
      <c r="S43" s="15"/>
      <c r="T43" s="15"/>
      <c r="U43" s="15"/>
      <c r="V43" s="15"/>
      <c r="W43" s="15"/>
      <c r="X43" s="15"/>
      <c r="Y43" s="15"/>
      <c r="Z43" s="15"/>
    </row>
    <row r="44" spans="1:26" ht="15.75" customHeight="1" x14ac:dyDescent="0.25">
      <c r="A44" s="9" t="s">
        <v>801</v>
      </c>
      <c r="B44" s="38"/>
      <c r="C44" s="42"/>
      <c r="D44" s="42"/>
      <c r="E44" s="42"/>
      <c r="F44" s="42"/>
      <c r="G44" s="37"/>
      <c r="H44" s="114"/>
      <c r="I44" s="60"/>
      <c r="J44" s="60"/>
      <c r="K44" s="114"/>
      <c r="L44" s="114"/>
      <c r="M44" s="60"/>
      <c r="N44" s="60"/>
      <c r="O44" s="114"/>
      <c r="P44" s="114"/>
      <c r="Q44" s="114"/>
      <c r="R44" s="114"/>
      <c r="S44" s="114"/>
      <c r="T44" s="114"/>
      <c r="U44" s="114"/>
      <c r="V44" s="114"/>
      <c r="W44" s="114"/>
      <c r="X44" s="114"/>
      <c r="Y44" s="114"/>
      <c r="Z44" s="114"/>
    </row>
    <row r="45" spans="1:26" ht="15.75" customHeight="1" x14ac:dyDescent="0.25">
      <c r="A45" s="17" t="s">
        <v>364</v>
      </c>
      <c r="B45" s="41"/>
      <c r="C45" s="42"/>
      <c r="D45" s="42"/>
      <c r="E45" s="42"/>
      <c r="F45" s="42"/>
      <c r="G45" s="42"/>
      <c r="H45" s="114"/>
      <c r="I45" s="60"/>
      <c r="J45" s="60"/>
      <c r="K45" s="114"/>
      <c r="L45" s="114"/>
      <c r="M45" s="60"/>
      <c r="N45" s="60"/>
      <c r="O45" s="114"/>
      <c r="P45" s="114"/>
      <c r="Q45" s="114"/>
      <c r="R45" s="114"/>
      <c r="S45" s="114"/>
      <c r="T45" s="114"/>
      <c r="U45" s="114"/>
      <c r="V45" s="114"/>
      <c r="W45" s="114"/>
      <c r="X45" s="114"/>
      <c r="Y45" s="114"/>
      <c r="Z45" s="114"/>
    </row>
    <row r="46" spans="1:26" ht="15.75" customHeight="1" x14ac:dyDescent="0.25">
      <c r="A46" s="42" t="s">
        <v>491</v>
      </c>
      <c r="B46" s="49"/>
      <c r="C46" s="43"/>
      <c r="D46" s="43"/>
      <c r="E46" s="43"/>
      <c r="F46" s="43"/>
      <c r="G46" s="43"/>
      <c r="H46" s="114"/>
      <c r="I46" s="60"/>
      <c r="J46" s="60"/>
      <c r="K46" s="114"/>
      <c r="L46" s="114"/>
      <c r="M46" s="60"/>
      <c r="N46" s="60"/>
      <c r="O46" s="114"/>
      <c r="P46" s="114"/>
      <c r="Q46" s="114"/>
      <c r="R46" s="114"/>
      <c r="S46" s="114"/>
      <c r="T46" s="114"/>
      <c r="U46" s="114"/>
      <c r="V46" s="114"/>
      <c r="W46" s="114"/>
      <c r="X46" s="114"/>
      <c r="Y46" s="114"/>
      <c r="Z46" s="114"/>
    </row>
    <row r="47" spans="1:26" ht="15.75" customHeight="1" x14ac:dyDescent="0.25">
      <c r="A47" s="17" t="s">
        <v>493</v>
      </c>
      <c r="B47" s="41"/>
      <c r="C47" s="43"/>
      <c r="D47" s="43"/>
      <c r="E47" s="43"/>
      <c r="F47" s="43"/>
      <c r="G47" s="43"/>
      <c r="H47" s="114"/>
      <c r="I47" s="60"/>
      <c r="J47" s="60"/>
      <c r="K47" s="114"/>
      <c r="L47" s="114"/>
      <c r="M47" s="60"/>
      <c r="N47" s="60"/>
      <c r="O47" s="114"/>
      <c r="P47" s="114"/>
      <c r="Q47" s="114"/>
      <c r="R47" s="114"/>
      <c r="S47" s="114"/>
      <c r="T47" s="114"/>
      <c r="U47" s="114"/>
      <c r="V47" s="114"/>
      <c r="W47" s="114"/>
      <c r="X47" s="114"/>
      <c r="Y47" s="114"/>
      <c r="Z47" s="114"/>
    </row>
    <row r="48" spans="1:26" ht="15.75" customHeight="1" x14ac:dyDescent="0.25">
      <c r="A48" s="44" t="s">
        <v>396</v>
      </c>
      <c r="B48" s="41" t="s">
        <v>191</v>
      </c>
      <c r="C48" s="43">
        <v>69500</v>
      </c>
      <c r="D48" s="43">
        <v>0</v>
      </c>
      <c r="E48" s="43">
        <f>F48-D48</f>
        <v>79200</v>
      </c>
      <c r="F48" s="43">
        <v>79200</v>
      </c>
      <c r="G48" s="43">
        <v>50000</v>
      </c>
      <c r="H48" s="114"/>
      <c r="I48" s="60"/>
      <c r="J48" s="60"/>
      <c r="K48" s="114"/>
      <c r="L48" s="114"/>
      <c r="M48" s="60"/>
      <c r="N48" s="60"/>
      <c r="O48" s="114"/>
      <c r="P48" s="114"/>
      <c r="Q48" s="114"/>
      <c r="R48" s="114"/>
      <c r="S48" s="114"/>
      <c r="T48" s="114"/>
      <c r="U48" s="114"/>
      <c r="V48" s="114"/>
      <c r="W48" s="114"/>
      <c r="X48" s="114"/>
      <c r="Y48" s="114"/>
      <c r="Z48" s="114"/>
    </row>
    <row r="49" spans="1:26" ht="15.75" customHeight="1" x14ac:dyDescent="0.25">
      <c r="A49" s="17" t="s">
        <v>499</v>
      </c>
      <c r="B49" s="41"/>
      <c r="C49" s="43"/>
      <c r="D49" s="43"/>
      <c r="E49" s="43"/>
      <c r="F49" s="43"/>
      <c r="G49" s="43"/>
      <c r="H49" s="114"/>
      <c r="I49" s="60"/>
      <c r="J49" s="60"/>
      <c r="K49" s="114"/>
      <c r="L49" s="114"/>
      <c r="M49" s="60"/>
      <c r="N49" s="60"/>
      <c r="O49" s="114"/>
      <c r="P49" s="114"/>
      <c r="Q49" s="114"/>
      <c r="R49" s="114"/>
      <c r="S49" s="114"/>
      <c r="T49" s="114"/>
      <c r="U49" s="114"/>
      <c r="V49" s="114"/>
      <c r="W49" s="114"/>
      <c r="X49" s="114"/>
      <c r="Y49" s="114"/>
      <c r="Z49" s="114"/>
    </row>
    <row r="50" spans="1:26" ht="15.75" customHeight="1" x14ac:dyDescent="0.25">
      <c r="A50" s="44" t="s">
        <v>398</v>
      </c>
      <c r="B50" s="41" t="s">
        <v>195</v>
      </c>
      <c r="C50" s="43">
        <v>111124.12</v>
      </c>
      <c r="D50" s="43">
        <v>57106.33</v>
      </c>
      <c r="E50" s="43">
        <f t="shared" ref="E50:E52" si="6">F50-D50</f>
        <v>66678.67</v>
      </c>
      <c r="F50" s="43">
        <v>123785</v>
      </c>
      <c r="G50" s="43">
        <v>50000</v>
      </c>
      <c r="H50" s="114"/>
      <c r="I50" s="60"/>
      <c r="J50" s="60"/>
      <c r="K50" s="114"/>
      <c r="L50" s="114"/>
      <c r="M50" s="60"/>
      <c r="N50" s="60"/>
      <c r="O50" s="114"/>
      <c r="P50" s="114"/>
      <c r="Q50" s="114"/>
      <c r="R50" s="114"/>
      <c r="S50" s="114"/>
      <c r="T50" s="114"/>
      <c r="U50" s="114"/>
      <c r="V50" s="114"/>
      <c r="W50" s="114"/>
      <c r="X50" s="114"/>
      <c r="Y50" s="114"/>
      <c r="Z50" s="114"/>
    </row>
    <row r="51" spans="1:26" ht="15.75" customHeight="1" x14ac:dyDescent="0.25">
      <c r="A51" s="96" t="s">
        <v>400</v>
      </c>
      <c r="B51" s="41" t="s">
        <v>221</v>
      </c>
      <c r="C51" s="43">
        <v>0</v>
      </c>
      <c r="D51" s="43">
        <v>9715</v>
      </c>
      <c r="E51" s="43">
        <f t="shared" si="6"/>
        <v>49500</v>
      </c>
      <c r="F51" s="43">
        <v>59215</v>
      </c>
      <c r="G51" s="43">
        <v>119715</v>
      </c>
      <c r="H51" s="114"/>
      <c r="I51" s="60"/>
      <c r="J51" s="60"/>
      <c r="K51" s="114"/>
      <c r="L51" s="114"/>
      <c r="M51" s="60"/>
      <c r="N51" s="60"/>
      <c r="O51" s="114"/>
      <c r="P51" s="114"/>
      <c r="Q51" s="114"/>
      <c r="R51" s="114"/>
      <c r="S51" s="114"/>
      <c r="T51" s="114"/>
      <c r="U51" s="114"/>
      <c r="V51" s="114"/>
      <c r="W51" s="114"/>
      <c r="X51" s="114"/>
      <c r="Y51" s="114"/>
      <c r="Z51" s="114"/>
    </row>
    <row r="52" spans="1:26" ht="15.75" customHeight="1" x14ac:dyDescent="0.25">
      <c r="A52" s="44" t="s">
        <v>402</v>
      </c>
      <c r="B52" s="41" t="s">
        <v>225</v>
      </c>
      <c r="C52" s="43">
        <v>28236.45</v>
      </c>
      <c r="D52" s="43">
        <v>14234.8</v>
      </c>
      <c r="E52" s="43">
        <f t="shared" si="6"/>
        <v>14628.2</v>
      </c>
      <c r="F52" s="43">
        <v>28863</v>
      </c>
      <c r="G52" s="43">
        <v>27288</v>
      </c>
      <c r="H52" s="114"/>
      <c r="I52" s="60"/>
      <c r="J52" s="60"/>
      <c r="K52" s="114"/>
      <c r="L52" s="114"/>
      <c r="M52" s="60"/>
      <c r="N52" s="60"/>
      <c r="O52" s="114"/>
      <c r="P52" s="114"/>
      <c r="Q52" s="114"/>
      <c r="R52" s="114"/>
      <c r="S52" s="114"/>
      <c r="T52" s="114"/>
      <c r="U52" s="114"/>
      <c r="V52" s="114"/>
      <c r="W52" s="114"/>
      <c r="X52" s="114"/>
      <c r="Y52" s="114"/>
      <c r="Z52" s="114"/>
    </row>
    <row r="53" spans="1:26" ht="15.75" customHeight="1" x14ac:dyDescent="0.25">
      <c r="A53" s="42" t="s">
        <v>511</v>
      </c>
      <c r="B53" s="49"/>
      <c r="C53" s="19"/>
      <c r="D53" s="19"/>
      <c r="E53" s="43"/>
      <c r="F53" s="45"/>
      <c r="G53" s="45"/>
      <c r="H53" s="114"/>
      <c r="I53" s="60"/>
      <c r="J53" s="60"/>
      <c r="K53" s="114"/>
      <c r="L53" s="114"/>
      <c r="M53" s="60"/>
      <c r="N53" s="60"/>
      <c r="O53" s="114"/>
      <c r="P53" s="114"/>
      <c r="Q53" s="114"/>
      <c r="R53" s="114"/>
      <c r="S53" s="114"/>
      <c r="T53" s="114"/>
      <c r="U53" s="114"/>
      <c r="V53" s="114"/>
      <c r="W53" s="114"/>
      <c r="X53" s="114"/>
      <c r="Y53" s="114"/>
      <c r="Z53" s="114"/>
    </row>
    <row r="54" spans="1:26" ht="15.75" customHeight="1" x14ac:dyDescent="0.25">
      <c r="A54" s="44" t="s">
        <v>424</v>
      </c>
      <c r="B54" s="41" t="s">
        <v>335</v>
      </c>
      <c r="C54" s="43">
        <v>3752127</v>
      </c>
      <c r="D54" s="43">
        <v>1530179</v>
      </c>
      <c r="E54" s="43">
        <f>F54-D54</f>
        <v>2280421</v>
      </c>
      <c r="F54" s="43">
        <v>3810600</v>
      </c>
      <c r="G54" s="43">
        <v>5642832</v>
      </c>
      <c r="H54" s="114"/>
      <c r="I54" s="60"/>
      <c r="J54" s="60"/>
      <c r="K54" s="114"/>
      <c r="L54" s="114"/>
      <c r="M54" s="60"/>
      <c r="N54" s="60"/>
      <c r="O54" s="114"/>
      <c r="P54" s="114"/>
      <c r="Q54" s="114"/>
      <c r="R54" s="114"/>
      <c r="S54" s="114"/>
      <c r="T54" s="114"/>
      <c r="U54" s="114"/>
      <c r="V54" s="114"/>
      <c r="W54" s="114"/>
      <c r="X54" s="114"/>
      <c r="Y54" s="114"/>
      <c r="Z54" s="114"/>
    </row>
    <row r="55" spans="1:26" ht="15.75" customHeight="1" x14ac:dyDescent="0.25">
      <c r="A55" s="44" t="s">
        <v>847</v>
      </c>
      <c r="B55" s="41"/>
      <c r="C55" s="43"/>
      <c r="D55" s="43"/>
      <c r="E55" s="43"/>
      <c r="F55" s="43"/>
      <c r="G55" s="43"/>
      <c r="H55" s="114"/>
      <c r="I55" s="60"/>
      <c r="J55" s="60"/>
      <c r="K55" s="114"/>
      <c r="L55" s="114"/>
      <c r="M55" s="60"/>
      <c r="N55" s="60"/>
      <c r="O55" s="114"/>
      <c r="P55" s="114"/>
      <c r="Q55" s="114"/>
      <c r="R55" s="114"/>
      <c r="S55" s="114"/>
      <c r="T55" s="114"/>
      <c r="U55" s="114"/>
      <c r="V55" s="114"/>
      <c r="W55" s="114"/>
      <c r="X55" s="114"/>
      <c r="Y55" s="114"/>
      <c r="Z55" s="114"/>
    </row>
    <row r="56" spans="1:26" ht="15.75" customHeight="1" x14ac:dyDescent="0.25">
      <c r="A56" s="44" t="s">
        <v>2725</v>
      </c>
      <c r="B56" s="41"/>
      <c r="C56" s="43"/>
      <c r="D56" s="43"/>
      <c r="E56" s="43"/>
      <c r="F56" s="43"/>
      <c r="G56" s="43"/>
      <c r="H56" s="114"/>
      <c r="I56" s="60"/>
      <c r="J56" s="60"/>
      <c r="K56" s="114"/>
      <c r="L56" s="114"/>
      <c r="M56" s="60"/>
      <c r="N56" s="60"/>
      <c r="O56" s="114"/>
      <c r="P56" s="114"/>
      <c r="Q56" s="114"/>
      <c r="R56" s="114"/>
      <c r="S56" s="114"/>
      <c r="T56" s="114"/>
      <c r="U56" s="114"/>
      <c r="V56" s="114"/>
      <c r="W56" s="114"/>
      <c r="X56" s="114"/>
      <c r="Y56" s="114"/>
      <c r="Z56" s="114"/>
    </row>
    <row r="57" spans="1:26" ht="15.75" customHeight="1" x14ac:dyDescent="0.25">
      <c r="A57" s="44" t="s">
        <v>2726</v>
      </c>
      <c r="B57" s="41"/>
      <c r="C57" s="43"/>
      <c r="D57" s="43"/>
      <c r="E57" s="43"/>
      <c r="F57" s="43"/>
      <c r="G57" s="43"/>
      <c r="H57" s="114"/>
      <c r="I57" s="60"/>
      <c r="J57" s="60"/>
      <c r="K57" s="114"/>
      <c r="L57" s="114"/>
      <c r="M57" s="60"/>
      <c r="N57" s="60"/>
      <c r="O57" s="114"/>
      <c r="P57" s="114"/>
      <c r="Q57" s="114"/>
      <c r="R57" s="114"/>
      <c r="S57" s="114"/>
      <c r="T57" s="114"/>
      <c r="U57" s="114"/>
      <c r="V57" s="114"/>
      <c r="W57" s="114"/>
      <c r="X57" s="114"/>
      <c r="Y57" s="114"/>
      <c r="Z57" s="114"/>
    </row>
    <row r="58" spans="1:26" ht="15.75" customHeight="1" x14ac:dyDescent="0.25">
      <c r="A58" s="44" t="s">
        <v>2727</v>
      </c>
      <c r="B58" s="41"/>
      <c r="C58" s="43"/>
      <c r="D58" s="43"/>
      <c r="E58" s="43"/>
      <c r="F58" s="43"/>
      <c r="G58" s="43"/>
      <c r="H58" s="114"/>
      <c r="I58" s="60"/>
      <c r="J58" s="60"/>
      <c r="K58" s="114"/>
      <c r="L58" s="114"/>
      <c r="M58" s="60"/>
      <c r="N58" s="60"/>
      <c r="O58" s="114"/>
      <c r="P58" s="114"/>
      <c r="Q58" s="114"/>
      <c r="R58" s="114"/>
      <c r="S58" s="114"/>
      <c r="T58" s="114"/>
      <c r="U58" s="114"/>
      <c r="V58" s="114"/>
      <c r="W58" s="114"/>
      <c r="X58" s="114"/>
      <c r="Y58" s="114"/>
      <c r="Z58" s="114"/>
    </row>
    <row r="59" spans="1:26" ht="15.75" customHeight="1" x14ac:dyDescent="0.25">
      <c r="A59" s="44" t="s">
        <v>2728</v>
      </c>
      <c r="B59" s="41"/>
      <c r="C59" s="43"/>
      <c r="D59" s="43"/>
      <c r="E59" s="43"/>
      <c r="F59" s="43"/>
      <c r="G59" s="43"/>
      <c r="H59" s="114"/>
      <c r="I59" s="60"/>
      <c r="J59" s="60"/>
      <c r="K59" s="114"/>
      <c r="L59" s="114"/>
      <c r="M59" s="60"/>
      <c r="N59" s="60"/>
      <c r="O59" s="114"/>
      <c r="P59" s="114"/>
      <c r="Q59" s="114"/>
      <c r="R59" s="114"/>
      <c r="S59" s="114"/>
      <c r="T59" s="114"/>
      <c r="U59" s="114"/>
      <c r="V59" s="114"/>
      <c r="W59" s="114"/>
      <c r="X59" s="114"/>
      <c r="Y59" s="114"/>
      <c r="Z59" s="114"/>
    </row>
    <row r="60" spans="1:26" ht="15.75" customHeight="1" x14ac:dyDescent="0.25">
      <c r="A60" s="42" t="s">
        <v>466</v>
      </c>
      <c r="B60" s="41"/>
      <c r="C60" s="54">
        <f t="shared" ref="C60:D60" si="7">SUM(C47:C54)</f>
        <v>3960987.57</v>
      </c>
      <c r="D60" s="54">
        <f t="shared" si="7"/>
        <v>1611235.13</v>
      </c>
      <c r="E60" s="54">
        <f>F60-D60</f>
        <v>2490427.87</v>
      </c>
      <c r="F60" s="54">
        <f>SUM(F47:F54)</f>
        <v>4101663</v>
      </c>
      <c r="G60" s="54">
        <f>SUM(G48:G54)</f>
        <v>5889835</v>
      </c>
      <c r="H60" s="114"/>
      <c r="I60" s="60"/>
      <c r="J60" s="60"/>
      <c r="K60" s="114"/>
      <c r="L60" s="114"/>
      <c r="M60" s="60"/>
      <c r="N60" s="60"/>
      <c r="O60" s="114"/>
      <c r="P60" s="114"/>
      <c r="Q60" s="114"/>
      <c r="R60" s="114"/>
      <c r="S60" s="114"/>
      <c r="T60" s="114"/>
      <c r="U60" s="114"/>
      <c r="V60" s="114"/>
      <c r="W60" s="114"/>
      <c r="X60" s="114"/>
      <c r="Y60" s="114"/>
      <c r="Z60" s="114"/>
    </row>
    <row r="61" spans="1:26" ht="15.75" customHeight="1" x14ac:dyDescent="0.25">
      <c r="A61" s="17"/>
      <c r="B61" s="41"/>
      <c r="C61" s="55"/>
      <c r="D61" s="55"/>
      <c r="E61" s="43"/>
      <c r="F61" s="55"/>
      <c r="G61" s="55"/>
      <c r="H61" s="114"/>
      <c r="I61" s="60"/>
      <c r="J61" s="60"/>
      <c r="K61" s="114"/>
      <c r="L61" s="114"/>
      <c r="M61" s="60"/>
      <c r="N61" s="60"/>
      <c r="O61" s="114"/>
      <c r="P61" s="114"/>
      <c r="Q61" s="114"/>
      <c r="R61" s="114"/>
      <c r="S61" s="114"/>
      <c r="T61" s="114"/>
      <c r="U61" s="114"/>
      <c r="V61" s="114"/>
      <c r="W61" s="114"/>
      <c r="X61" s="114"/>
      <c r="Y61" s="114"/>
      <c r="Z61" s="114"/>
    </row>
    <row r="62" spans="1:26" ht="15.75" customHeight="1" x14ac:dyDescent="0.25">
      <c r="A62" s="17" t="s">
        <v>849</v>
      </c>
      <c r="B62" s="41"/>
      <c r="C62" s="43">
        <f t="shared" ref="C62:D62" si="8">C60</f>
        <v>3960987.57</v>
      </c>
      <c r="D62" s="43">
        <f t="shared" si="8"/>
        <v>1611235.13</v>
      </c>
      <c r="E62" s="43">
        <f>F62-D62</f>
        <v>2490427.87</v>
      </c>
      <c r="F62" s="43">
        <f t="shared" ref="F62:G62" si="9">F60</f>
        <v>4101663</v>
      </c>
      <c r="G62" s="43">
        <f t="shared" si="9"/>
        <v>5889835</v>
      </c>
      <c r="H62" s="114"/>
      <c r="I62" s="60"/>
      <c r="J62" s="60"/>
      <c r="K62" s="114"/>
      <c r="L62" s="114"/>
      <c r="M62" s="60"/>
      <c r="N62" s="60"/>
      <c r="O62" s="114"/>
      <c r="P62" s="114"/>
      <c r="Q62" s="114"/>
      <c r="R62" s="114"/>
      <c r="S62" s="114"/>
      <c r="T62" s="114"/>
      <c r="U62" s="114"/>
      <c r="V62" s="114"/>
      <c r="W62" s="114"/>
      <c r="X62" s="114"/>
      <c r="Y62" s="114"/>
      <c r="Z62" s="114"/>
    </row>
    <row r="63" spans="1:26" ht="15.75" customHeight="1" x14ac:dyDescent="0.25">
      <c r="A63" s="17"/>
      <c r="B63" s="41"/>
      <c r="C63" s="43"/>
      <c r="D63" s="43"/>
      <c r="E63" s="43"/>
      <c r="F63" s="43"/>
      <c r="G63" s="43"/>
      <c r="H63" s="114"/>
      <c r="I63" s="60"/>
      <c r="J63" s="60"/>
      <c r="K63" s="114"/>
      <c r="L63" s="114"/>
      <c r="M63" s="60"/>
      <c r="N63" s="60"/>
      <c r="O63" s="114"/>
      <c r="P63" s="114"/>
      <c r="Q63" s="114"/>
      <c r="R63" s="114"/>
      <c r="S63" s="114"/>
      <c r="T63" s="114"/>
      <c r="U63" s="114"/>
      <c r="V63" s="114"/>
      <c r="W63" s="114"/>
      <c r="X63" s="114"/>
      <c r="Y63" s="114"/>
      <c r="Z63" s="114"/>
    </row>
    <row r="64" spans="1:26" ht="15.75" customHeight="1" x14ac:dyDescent="0.25">
      <c r="A64" s="456" t="s">
        <v>850</v>
      </c>
      <c r="B64" s="461" t="s">
        <v>488</v>
      </c>
      <c r="C64" s="453" t="e">
        <f>C60+#REF!</f>
        <v>#REF!</v>
      </c>
      <c r="D64" s="54" t="e">
        <f>D60+#REF!</f>
        <v>#REF!</v>
      </c>
      <c r="E64" s="54" t="e">
        <f>F64-D64</f>
        <v>#REF!</v>
      </c>
      <c r="F64" s="54" t="e">
        <f>F60+#REF!</f>
        <v>#REF!</v>
      </c>
      <c r="G64" s="54">
        <f>+G62</f>
        <v>5889835</v>
      </c>
      <c r="H64" s="114"/>
      <c r="I64" s="60"/>
      <c r="J64" s="60"/>
      <c r="K64" s="114"/>
      <c r="L64" s="114"/>
      <c r="M64" s="60"/>
      <c r="N64" s="60"/>
      <c r="O64" s="114"/>
      <c r="P64" s="114"/>
      <c r="Q64" s="114"/>
      <c r="R64" s="114"/>
      <c r="S64" s="114"/>
      <c r="T64" s="114"/>
      <c r="U64" s="114"/>
      <c r="V64" s="114"/>
      <c r="W64" s="114"/>
      <c r="X64" s="114"/>
      <c r="Y64" s="114"/>
      <c r="Z64" s="114"/>
    </row>
    <row r="65" spans="1:26" ht="15.75" customHeight="1" x14ac:dyDescent="0.25">
      <c r="A65" s="456"/>
      <c r="B65" s="461"/>
      <c r="C65" s="473"/>
      <c r="D65" s="43"/>
      <c r="E65" s="43"/>
      <c r="F65" s="43"/>
      <c r="G65" s="43"/>
      <c r="H65" s="114"/>
      <c r="I65" s="60"/>
      <c r="J65" s="60"/>
      <c r="K65" s="114"/>
      <c r="L65" s="114"/>
      <c r="M65" s="60"/>
      <c r="N65" s="60"/>
      <c r="O65" s="114"/>
      <c r="P65" s="114"/>
      <c r="Q65" s="114"/>
      <c r="R65" s="114"/>
      <c r="S65" s="114"/>
      <c r="T65" s="114"/>
      <c r="U65" s="114"/>
      <c r="V65" s="114"/>
      <c r="W65" s="114"/>
      <c r="X65" s="114"/>
      <c r="Y65" s="114"/>
      <c r="Z65" s="114"/>
    </row>
    <row r="66" spans="1:26" ht="15.75" customHeight="1" x14ac:dyDescent="0.25">
      <c r="A66" s="42" t="s">
        <v>803</v>
      </c>
      <c r="B66" s="41"/>
      <c r="C66" s="42"/>
      <c r="D66" s="42"/>
      <c r="E66" s="43"/>
      <c r="F66" s="42"/>
      <c r="G66" s="42"/>
      <c r="H66" s="114"/>
      <c r="I66" s="60"/>
      <c r="J66" s="60"/>
      <c r="K66" s="114"/>
      <c r="L66" s="114"/>
      <c r="M66" s="60"/>
      <c r="N66" s="60"/>
      <c r="O66" s="114"/>
      <c r="P66" s="114"/>
      <c r="Q66" s="114"/>
      <c r="R66" s="114"/>
      <c r="S66" s="114"/>
      <c r="T66" s="114"/>
      <c r="U66" s="114"/>
      <c r="V66" s="114"/>
      <c r="W66" s="114"/>
      <c r="X66" s="114"/>
      <c r="Y66" s="114"/>
      <c r="Z66" s="114"/>
    </row>
    <row r="67" spans="1:26" ht="15.75" customHeight="1" x14ac:dyDescent="0.25">
      <c r="A67" s="17" t="s">
        <v>364</v>
      </c>
      <c r="B67" s="41"/>
      <c r="C67" s="42"/>
      <c r="D67" s="42"/>
      <c r="E67" s="42"/>
      <c r="F67" s="42"/>
      <c r="G67" s="42"/>
      <c r="H67" s="114"/>
      <c r="I67" s="60"/>
      <c r="J67" s="60"/>
      <c r="K67" s="114"/>
      <c r="L67" s="114"/>
      <c r="M67" s="60"/>
      <c r="N67" s="60"/>
      <c r="O67" s="114"/>
      <c r="P67" s="114"/>
      <c r="Q67" s="114"/>
      <c r="R67" s="114"/>
      <c r="S67" s="114"/>
      <c r="T67" s="114"/>
      <c r="U67" s="114"/>
      <c r="V67" s="114"/>
      <c r="W67" s="114"/>
      <c r="X67" s="114"/>
      <c r="Y67" s="114"/>
      <c r="Z67" s="114"/>
    </row>
    <row r="68" spans="1:26" ht="15.75" customHeight="1" x14ac:dyDescent="0.25">
      <c r="A68" s="42" t="s">
        <v>491</v>
      </c>
      <c r="B68" s="41"/>
      <c r="C68" s="45"/>
      <c r="D68" s="43"/>
      <c r="E68" s="43"/>
      <c r="F68" s="45"/>
      <c r="G68" s="43"/>
      <c r="H68" s="114"/>
      <c r="I68" s="60"/>
      <c r="J68" s="60"/>
      <c r="K68" s="114"/>
      <c r="L68" s="114"/>
      <c r="M68" s="60"/>
      <c r="N68" s="60"/>
      <c r="O68" s="114"/>
      <c r="P68" s="114"/>
      <c r="Q68" s="114"/>
      <c r="R68" s="114"/>
      <c r="S68" s="114"/>
      <c r="T68" s="114"/>
      <c r="U68" s="114"/>
      <c r="V68" s="114"/>
      <c r="W68" s="114"/>
      <c r="X68" s="114"/>
      <c r="Y68" s="114"/>
      <c r="Z68" s="114"/>
    </row>
    <row r="69" spans="1:26" ht="15.75" customHeight="1" x14ac:dyDescent="0.25">
      <c r="A69" s="17" t="s">
        <v>493</v>
      </c>
      <c r="B69" s="41"/>
      <c r="C69" s="41"/>
      <c r="D69" s="41"/>
      <c r="E69" s="43"/>
      <c r="F69" s="120"/>
      <c r="G69" s="49"/>
      <c r="H69" s="114"/>
      <c r="I69" s="60"/>
      <c r="J69" s="60"/>
      <c r="K69" s="114"/>
      <c r="L69" s="114"/>
      <c r="M69" s="60"/>
      <c r="N69" s="60"/>
      <c r="O69" s="114"/>
      <c r="P69" s="114"/>
      <c r="Q69" s="114"/>
      <c r="R69" s="114"/>
      <c r="S69" s="114"/>
      <c r="T69" s="114"/>
      <c r="U69" s="114"/>
      <c r="V69" s="114"/>
      <c r="W69" s="114"/>
      <c r="X69" s="114"/>
      <c r="Y69" s="114"/>
      <c r="Z69" s="114"/>
    </row>
    <row r="70" spans="1:26" ht="15.75" customHeight="1" x14ac:dyDescent="0.25">
      <c r="A70" s="48" t="s">
        <v>396</v>
      </c>
      <c r="B70" s="41" t="s">
        <v>191</v>
      </c>
      <c r="C70" s="43">
        <v>69500</v>
      </c>
      <c r="D70" s="43">
        <v>75000</v>
      </c>
      <c r="E70" s="43">
        <f>F70-D70</f>
        <v>4200</v>
      </c>
      <c r="F70" s="43">
        <v>79200</v>
      </c>
      <c r="G70" s="43">
        <v>50000</v>
      </c>
      <c r="H70" s="176"/>
      <c r="I70" s="177"/>
      <c r="J70" s="177"/>
      <c r="K70" s="176"/>
      <c r="L70" s="176"/>
      <c r="M70" s="177"/>
      <c r="N70" s="177"/>
      <c r="O70" s="176"/>
      <c r="P70" s="176"/>
      <c r="Q70" s="176"/>
      <c r="R70" s="176"/>
      <c r="S70" s="176"/>
      <c r="T70" s="176"/>
      <c r="U70" s="176"/>
      <c r="V70" s="176"/>
      <c r="W70" s="176"/>
      <c r="X70" s="176"/>
      <c r="Y70" s="176"/>
      <c r="Z70" s="176"/>
    </row>
    <row r="71" spans="1:26" ht="15.75" customHeight="1" x14ac:dyDescent="0.25">
      <c r="A71" s="17" t="s">
        <v>499</v>
      </c>
      <c r="B71" s="41"/>
      <c r="C71" s="43"/>
      <c r="D71" s="43"/>
      <c r="E71" s="43"/>
      <c r="F71" s="43"/>
      <c r="G71" s="43"/>
      <c r="H71" s="178"/>
      <c r="I71" s="179"/>
      <c r="J71" s="179"/>
      <c r="K71" s="178"/>
      <c r="L71" s="178"/>
      <c r="M71" s="179"/>
      <c r="N71" s="179"/>
      <c r="O71" s="178"/>
      <c r="P71" s="178"/>
      <c r="Q71" s="178"/>
      <c r="R71" s="178"/>
      <c r="S71" s="178"/>
      <c r="T71" s="178"/>
      <c r="U71" s="178"/>
      <c r="V71" s="178"/>
      <c r="W71" s="178"/>
      <c r="X71" s="178"/>
      <c r="Y71" s="178"/>
      <c r="Z71" s="178"/>
    </row>
    <row r="72" spans="1:26" ht="15.75" customHeight="1" x14ac:dyDescent="0.25">
      <c r="A72" s="48" t="s">
        <v>398</v>
      </c>
      <c r="B72" s="41" t="s">
        <v>195</v>
      </c>
      <c r="C72" s="43">
        <v>65881.36</v>
      </c>
      <c r="D72" s="43">
        <v>57691.33</v>
      </c>
      <c r="E72" s="43">
        <f t="shared" ref="E72:E73" si="10">F72-D72</f>
        <v>13473.669999999998</v>
      </c>
      <c r="F72" s="43">
        <v>71165</v>
      </c>
      <c r="G72" s="43">
        <v>50000</v>
      </c>
      <c r="H72" s="114"/>
      <c r="I72" s="60"/>
      <c r="J72" s="60"/>
      <c r="K72" s="114"/>
      <c r="L72" s="114"/>
      <c r="M72" s="60"/>
      <c r="N72" s="60"/>
      <c r="O72" s="114"/>
      <c r="P72" s="114"/>
      <c r="Q72" s="114"/>
      <c r="R72" s="114"/>
      <c r="S72" s="114"/>
      <c r="T72" s="114"/>
      <c r="U72" s="114"/>
      <c r="V72" s="114"/>
      <c r="W72" s="114"/>
      <c r="X72" s="114"/>
      <c r="Y72" s="114"/>
      <c r="Z72" s="114"/>
    </row>
    <row r="73" spans="1:26" ht="15.75" customHeight="1" x14ac:dyDescent="0.25">
      <c r="A73" s="48" t="s">
        <v>402</v>
      </c>
      <c r="B73" s="41" t="s">
        <v>225</v>
      </c>
      <c r="C73" s="43">
        <v>11155.59</v>
      </c>
      <c r="D73" s="43">
        <v>13743.8</v>
      </c>
      <c r="E73" s="43">
        <f t="shared" si="10"/>
        <v>214.20000000000073</v>
      </c>
      <c r="F73" s="43">
        <v>13958</v>
      </c>
      <c r="G73" s="43">
        <v>18335</v>
      </c>
      <c r="H73" s="114"/>
      <c r="I73" s="60"/>
      <c r="J73" s="60"/>
      <c r="K73" s="114"/>
      <c r="L73" s="114"/>
      <c r="M73" s="60"/>
      <c r="N73" s="60"/>
      <c r="O73" s="114"/>
      <c r="P73" s="114"/>
      <c r="Q73" s="114"/>
      <c r="R73" s="114"/>
      <c r="S73" s="114"/>
      <c r="T73" s="114"/>
      <c r="U73" s="114"/>
      <c r="V73" s="114"/>
      <c r="W73" s="114"/>
      <c r="X73" s="114"/>
      <c r="Y73" s="114"/>
      <c r="Z73" s="114"/>
    </row>
    <row r="74" spans="1:26" ht="15.75" customHeight="1" x14ac:dyDescent="0.25">
      <c r="A74" s="17" t="s">
        <v>511</v>
      </c>
      <c r="B74" s="41"/>
      <c r="C74" s="42"/>
      <c r="D74" s="42"/>
      <c r="E74" s="43"/>
      <c r="F74" s="43"/>
      <c r="G74" s="43"/>
      <c r="H74" s="114"/>
      <c r="I74" s="60"/>
      <c r="J74" s="60"/>
      <c r="K74" s="114"/>
      <c r="L74" s="114"/>
      <c r="M74" s="60"/>
      <c r="N74" s="60"/>
      <c r="O74" s="114"/>
      <c r="P74" s="114"/>
      <c r="Q74" s="114"/>
      <c r="R74" s="114"/>
      <c r="S74" s="114"/>
      <c r="T74" s="114"/>
      <c r="U74" s="114"/>
      <c r="V74" s="114"/>
      <c r="W74" s="114"/>
      <c r="X74" s="114"/>
      <c r="Y74" s="114"/>
      <c r="Z74" s="114"/>
    </row>
    <row r="75" spans="1:26" ht="15.75" customHeight="1" x14ac:dyDescent="0.25">
      <c r="A75" s="48" t="s">
        <v>424</v>
      </c>
      <c r="B75" s="41" t="s">
        <v>335</v>
      </c>
      <c r="C75" s="43">
        <v>2726360</v>
      </c>
      <c r="D75" s="43">
        <v>1136408</v>
      </c>
      <c r="E75" s="43">
        <f>F75-D75</f>
        <v>1685992</v>
      </c>
      <c r="F75" s="43">
        <v>2822400</v>
      </c>
      <c r="G75" s="43">
        <v>4230720</v>
      </c>
      <c r="H75" s="114"/>
      <c r="I75" s="60"/>
      <c r="J75" s="60"/>
      <c r="K75" s="114"/>
      <c r="L75" s="114"/>
      <c r="M75" s="60"/>
      <c r="N75" s="60"/>
      <c r="O75" s="114"/>
      <c r="P75" s="114"/>
      <c r="Q75" s="114"/>
      <c r="R75" s="114"/>
      <c r="S75" s="114"/>
      <c r="T75" s="114"/>
      <c r="U75" s="114"/>
      <c r="V75" s="114"/>
      <c r="W75" s="114"/>
      <c r="X75" s="114"/>
      <c r="Y75" s="114"/>
      <c r="Z75" s="114"/>
    </row>
    <row r="76" spans="1:26" ht="15.75" customHeight="1" x14ac:dyDescent="0.25">
      <c r="A76" s="44" t="s">
        <v>847</v>
      </c>
      <c r="B76" s="41"/>
      <c r="C76" s="43"/>
      <c r="D76" s="43"/>
      <c r="E76" s="43"/>
      <c r="F76" s="43"/>
      <c r="G76" s="43"/>
      <c r="H76" s="114"/>
      <c r="I76" s="60"/>
      <c r="J76" s="60"/>
      <c r="K76" s="114"/>
      <c r="L76" s="114"/>
      <c r="M76" s="60"/>
      <c r="N76" s="60"/>
      <c r="O76" s="114"/>
      <c r="P76" s="114"/>
      <c r="Q76" s="114"/>
      <c r="R76" s="114"/>
      <c r="S76" s="114"/>
      <c r="T76" s="114"/>
      <c r="U76" s="114"/>
      <c r="V76" s="114"/>
      <c r="W76" s="114"/>
      <c r="X76" s="114"/>
      <c r="Y76" s="114"/>
      <c r="Z76" s="114"/>
    </row>
    <row r="77" spans="1:26" ht="15.75" customHeight="1" x14ac:dyDescent="0.25">
      <c r="A77" s="68" t="s">
        <v>2729</v>
      </c>
      <c r="B77" s="41"/>
      <c r="C77" s="43"/>
      <c r="D77" s="43"/>
      <c r="E77" s="43"/>
      <c r="F77" s="43"/>
      <c r="G77" s="43"/>
      <c r="H77" s="114"/>
      <c r="I77" s="60"/>
      <c r="J77" s="60"/>
      <c r="K77" s="114"/>
      <c r="L77" s="114"/>
      <c r="M77" s="60"/>
      <c r="N77" s="60"/>
      <c r="O77" s="114"/>
      <c r="P77" s="114"/>
      <c r="Q77" s="114"/>
      <c r="R77" s="114"/>
      <c r="S77" s="114"/>
      <c r="T77" s="114"/>
      <c r="U77" s="114"/>
      <c r="V77" s="114"/>
      <c r="W77" s="114"/>
      <c r="X77" s="114"/>
      <c r="Y77" s="114"/>
      <c r="Z77" s="114"/>
    </row>
    <row r="78" spans="1:26" ht="15.75" customHeight="1" x14ac:dyDescent="0.25">
      <c r="A78" s="88" t="s">
        <v>851</v>
      </c>
      <c r="B78" s="41"/>
      <c r="C78" s="54">
        <f t="shared" ref="C78:D78" si="11">SUM(C70:C75)</f>
        <v>2872896.95</v>
      </c>
      <c r="D78" s="54">
        <f t="shared" si="11"/>
        <v>1282843.1299999999</v>
      </c>
      <c r="E78" s="54">
        <f>F78-D78</f>
        <v>1703879.87</v>
      </c>
      <c r="F78" s="54">
        <f t="shared" ref="F78:G78" si="12">SUM(F70:F75)</f>
        <v>2986723</v>
      </c>
      <c r="G78" s="54">
        <f t="shared" si="12"/>
        <v>4349055</v>
      </c>
      <c r="H78" s="114"/>
      <c r="I78" s="60"/>
      <c r="J78" s="60"/>
      <c r="K78" s="114"/>
      <c r="L78" s="114"/>
      <c r="M78" s="60"/>
      <c r="N78" s="60"/>
      <c r="O78" s="114"/>
      <c r="P78" s="114"/>
      <c r="Q78" s="114"/>
      <c r="R78" s="114"/>
      <c r="S78" s="114"/>
      <c r="T78" s="114"/>
      <c r="U78" s="114"/>
      <c r="V78" s="114"/>
      <c r="W78" s="114"/>
      <c r="X78" s="114"/>
      <c r="Y78" s="114"/>
      <c r="Z78" s="114"/>
    </row>
    <row r="79" spans="1:26" ht="15.75" customHeight="1" x14ac:dyDescent="0.25">
      <c r="A79" s="17"/>
      <c r="B79" s="41"/>
      <c r="C79" s="55"/>
      <c r="D79" s="55"/>
      <c r="E79" s="43"/>
      <c r="F79" s="55"/>
      <c r="G79" s="55"/>
      <c r="H79" s="114"/>
      <c r="I79" s="60"/>
      <c r="J79" s="60"/>
      <c r="K79" s="114"/>
      <c r="L79" s="114"/>
      <c r="M79" s="60"/>
      <c r="N79" s="60"/>
      <c r="O79" s="114"/>
      <c r="P79" s="114"/>
      <c r="Q79" s="114"/>
      <c r="R79" s="114"/>
      <c r="S79" s="114"/>
      <c r="T79" s="114"/>
      <c r="U79" s="114"/>
      <c r="V79" s="114"/>
      <c r="W79" s="114"/>
      <c r="X79" s="114"/>
      <c r="Y79" s="114"/>
      <c r="Z79" s="114"/>
    </row>
    <row r="80" spans="1:26" ht="15.75" customHeight="1" x14ac:dyDescent="0.25">
      <c r="A80" s="17" t="s">
        <v>804</v>
      </c>
      <c r="B80" s="41"/>
      <c r="C80" s="43">
        <f t="shared" ref="C80:D80" si="13">C78</f>
        <v>2872896.95</v>
      </c>
      <c r="D80" s="43">
        <f t="shared" si="13"/>
        <v>1282843.1299999999</v>
      </c>
      <c r="E80" s="43">
        <f>F80-D80</f>
        <v>1703879.87</v>
      </c>
      <c r="F80" s="43">
        <f t="shared" ref="F80:G80" si="14">F78</f>
        <v>2986723</v>
      </c>
      <c r="G80" s="43">
        <f t="shared" si="14"/>
        <v>4349055</v>
      </c>
      <c r="H80" s="114"/>
      <c r="I80" s="60"/>
      <c r="J80" s="60"/>
      <c r="K80" s="114"/>
      <c r="L80" s="114"/>
      <c r="M80" s="60"/>
      <c r="N80" s="60"/>
      <c r="O80" s="114"/>
      <c r="P80" s="114"/>
      <c r="Q80" s="114"/>
      <c r="R80" s="114"/>
      <c r="S80" s="114"/>
      <c r="T80" s="114"/>
      <c r="U80" s="114"/>
      <c r="V80" s="114"/>
      <c r="W80" s="114"/>
      <c r="X80" s="114"/>
      <c r="Y80" s="114"/>
      <c r="Z80" s="114"/>
    </row>
    <row r="81" spans="1:26" ht="15.75" customHeight="1" x14ac:dyDescent="0.25">
      <c r="A81" s="161"/>
      <c r="B81" s="41"/>
      <c r="C81" s="43"/>
      <c r="D81" s="43"/>
      <c r="E81" s="43"/>
      <c r="F81" s="43">
        <f>F79</f>
        <v>0</v>
      </c>
      <c r="G81" s="43"/>
      <c r="H81" s="114"/>
      <c r="I81" s="60"/>
      <c r="J81" s="60"/>
      <c r="K81" s="114"/>
      <c r="L81" s="114"/>
      <c r="M81" s="60"/>
      <c r="N81" s="60"/>
      <c r="O81" s="114"/>
      <c r="P81" s="114"/>
      <c r="Q81" s="114"/>
      <c r="R81" s="114"/>
      <c r="S81" s="114"/>
      <c r="T81" s="114"/>
      <c r="U81" s="114"/>
      <c r="V81" s="114"/>
      <c r="W81" s="114"/>
      <c r="X81" s="114"/>
      <c r="Y81" s="114"/>
      <c r="Z81" s="114"/>
    </row>
    <row r="82" spans="1:26" ht="15.75" customHeight="1" x14ac:dyDescent="0.25">
      <c r="A82" s="17" t="s">
        <v>805</v>
      </c>
      <c r="B82" s="20" t="s">
        <v>488</v>
      </c>
      <c r="C82" s="97">
        <f t="shared" ref="C82:G82" si="15">C80</f>
        <v>2872896.95</v>
      </c>
      <c r="D82" s="97">
        <f t="shared" si="15"/>
        <v>1282843.1299999999</v>
      </c>
      <c r="E82" s="97">
        <f t="shared" si="15"/>
        <v>1703879.87</v>
      </c>
      <c r="F82" s="97">
        <f t="shared" si="15"/>
        <v>2986723</v>
      </c>
      <c r="G82" s="54">
        <f t="shared" si="15"/>
        <v>4349055</v>
      </c>
      <c r="H82" s="114"/>
      <c r="I82" s="60"/>
      <c r="J82" s="60"/>
      <c r="K82" s="114"/>
      <c r="L82" s="114"/>
      <c r="M82" s="60"/>
      <c r="N82" s="60"/>
      <c r="O82" s="114"/>
      <c r="P82" s="114"/>
      <c r="Q82" s="114"/>
      <c r="R82" s="114"/>
      <c r="S82" s="114"/>
      <c r="T82" s="114"/>
      <c r="U82" s="114"/>
      <c r="V82" s="114"/>
      <c r="W82" s="114"/>
      <c r="X82" s="114"/>
      <c r="Y82" s="114"/>
      <c r="Z82" s="114"/>
    </row>
    <row r="83" spans="1:26" ht="15.75" customHeight="1" x14ac:dyDescent="0.25">
      <c r="A83" s="606"/>
      <c r="B83" s="483"/>
      <c r="C83" s="483"/>
      <c r="D83" s="483"/>
      <c r="E83" s="457"/>
      <c r="F83" s="607"/>
      <c r="G83" s="483"/>
      <c r="H83" s="114"/>
      <c r="I83" s="60"/>
      <c r="J83" s="60"/>
      <c r="K83" s="114"/>
      <c r="L83" s="114"/>
      <c r="M83" s="60"/>
      <c r="N83" s="60"/>
      <c r="O83" s="114"/>
      <c r="P83" s="114"/>
      <c r="Q83" s="114"/>
      <c r="R83" s="114"/>
      <c r="S83" s="114"/>
      <c r="T83" s="114"/>
      <c r="U83" s="114"/>
      <c r="V83" s="114"/>
      <c r="W83" s="114"/>
      <c r="X83" s="114"/>
      <c r="Y83" s="114"/>
      <c r="Z83" s="114"/>
    </row>
    <row r="84" spans="1:26" ht="15.75" customHeight="1" x14ac:dyDescent="0.25">
      <c r="A84" s="608" t="s">
        <v>806</v>
      </c>
      <c r="B84" s="601"/>
      <c r="C84" s="601"/>
      <c r="D84" s="601"/>
      <c r="E84" s="448"/>
      <c r="F84" s="609"/>
      <c r="G84" s="601"/>
      <c r="H84" s="114"/>
      <c r="I84" s="60"/>
      <c r="J84" s="60"/>
      <c r="K84" s="114"/>
      <c r="L84" s="114"/>
      <c r="M84" s="60"/>
      <c r="N84" s="60"/>
      <c r="O84" s="114"/>
      <c r="P84" s="114"/>
      <c r="Q84" s="114"/>
      <c r="R84" s="114"/>
      <c r="S84" s="114"/>
      <c r="T84" s="114"/>
      <c r="U84" s="114"/>
      <c r="V84" s="114"/>
      <c r="W84" s="114"/>
      <c r="X84" s="114"/>
      <c r="Y84" s="114"/>
      <c r="Z84" s="114"/>
    </row>
    <row r="85" spans="1:26" ht="15.75" customHeight="1" x14ac:dyDescent="0.25">
      <c r="A85" s="17" t="s">
        <v>364</v>
      </c>
      <c r="B85" s="41"/>
      <c r="C85" s="42"/>
      <c r="D85" s="42"/>
      <c r="E85" s="42"/>
      <c r="F85" s="42"/>
      <c r="G85" s="42"/>
      <c r="H85" s="114"/>
      <c r="I85" s="60"/>
      <c r="J85" s="60"/>
      <c r="K85" s="114"/>
      <c r="L85" s="114"/>
      <c r="M85" s="60"/>
      <c r="N85" s="60"/>
      <c r="O85" s="114"/>
      <c r="P85" s="114"/>
      <c r="Q85" s="114"/>
      <c r="R85" s="114"/>
      <c r="S85" s="114"/>
      <c r="T85" s="114"/>
      <c r="U85" s="114"/>
      <c r="V85" s="114"/>
      <c r="W85" s="114"/>
      <c r="X85" s="114"/>
      <c r="Y85" s="114"/>
      <c r="Z85" s="114"/>
    </row>
    <row r="86" spans="1:26" ht="15.75" customHeight="1" x14ac:dyDescent="0.25">
      <c r="A86" s="17" t="s">
        <v>852</v>
      </c>
      <c r="B86" s="41"/>
      <c r="C86" s="43"/>
      <c r="D86" s="43"/>
      <c r="E86" s="43"/>
      <c r="F86" s="43"/>
      <c r="G86" s="196"/>
      <c r="H86" s="114"/>
      <c r="I86" s="60"/>
      <c r="J86" s="60"/>
      <c r="K86" s="114"/>
      <c r="L86" s="114"/>
      <c r="M86" s="60"/>
      <c r="N86" s="60"/>
      <c r="O86" s="114"/>
      <c r="P86" s="114"/>
      <c r="Q86" s="114"/>
      <c r="R86" s="114"/>
      <c r="S86" s="114"/>
      <c r="T86" s="114"/>
      <c r="U86" s="114"/>
      <c r="V86" s="114"/>
      <c r="W86" s="114"/>
      <c r="X86" s="114"/>
      <c r="Y86" s="114"/>
      <c r="Z86" s="114"/>
    </row>
    <row r="87" spans="1:26" ht="15.75" customHeight="1" x14ac:dyDescent="0.25">
      <c r="A87" s="42" t="s">
        <v>627</v>
      </c>
      <c r="B87" s="49"/>
      <c r="C87" s="43"/>
      <c r="D87" s="43"/>
      <c r="E87" s="43"/>
      <c r="F87" s="43"/>
      <c r="G87" s="192"/>
      <c r="H87" s="114"/>
      <c r="I87" s="60"/>
      <c r="J87" s="60"/>
      <c r="K87" s="114"/>
      <c r="L87" s="114"/>
      <c r="M87" s="60"/>
      <c r="N87" s="60"/>
      <c r="O87" s="114"/>
      <c r="P87" s="114"/>
      <c r="Q87" s="114"/>
      <c r="R87" s="114"/>
      <c r="S87" s="114"/>
      <c r="T87" s="114"/>
      <c r="U87" s="114"/>
      <c r="V87" s="114"/>
      <c r="W87" s="114"/>
      <c r="X87" s="114"/>
      <c r="Y87" s="114"/>
      <c r="Z87" s="114"/>
    </row>
    <row r="88" spans="1:26" ht="15.75" customHeight="1" x14ac:dyDescent="0.25">
      <c r="A88" s="48" t="s">
        <v>393</v>
      </c>
      <c r="B88" s="49" t="s">
        <v>187</v>
      </c>
      <c r="C88" s="43">
        <v>31851.08</v>
      </c>
      <c r="D88" s="43"/>
      <c r="E88" s="43">
        <f>F88-D88</f>
        <v>45000</v>
      </c>
      <c r="F88" s="43">
        <v>45000</v>
      </c>
      <c r="G88" s="43">
        <v>45000</v>
      </c>
      <c r="H88" s="114"/>
      <c r="I88" s="60"/>
      <c r="J88" s="60"/>
      <c r="K88" s="114"/>
      <c r="L88" s="114"/>
      <c r="M88" s="60"/>
      <c r="N88" s="60"/>
      <c r="O88" s="114"/>
      <c r="P88" s="114"/>
      <c r="Q88" s="114"/>
      <c r="R88" s="114"/>
      <c r="S88" s="114"/>
      <c r="T88" s="114"/>
      <c r="U88" s="114"/>
      <c r="V88" s="114"/>
      <c r="W88" s="114"/>
      <c r="X88" s="114"/>
      <c r="Y88" s="114"/>
      <c r="Z88" s="114"/>
    </row>
    <row r="89" spans="1:26" ht="15.75" customHeight="1" x14ac:dyDescent="0.25">
      <c r="A89" s="17" t="s">
        <v>493</v>
      </c>
      <c r="B89" s="41"/>
      <c r="C89" s="43"/>
      <c r="D89" s="43"/>
      <c r="E89" s="43"/>
      <c r="F89" s="43"/>
      <c r="G89" s="43"/>
      <c r="H89" s="114"/>
      <c r="I89" s="60"/>
      <c r="J89" s="60"/>
      <c r="K89" s="114"/>
      <c r="L89" s="114"/>
      <c r="M89" s="60"/>
      <c r="N89" s="60"/>
      <c r="O89" s="114"/>
      <c r="P89" s="114"/>
      <c r="Q89" s="114"/>
      <c r="R89" s="114"/>
      <c r="S89" s="114"/>
      <c r="T89" s="114"/>
      <c r="U89" s="114"/>
      <c r="V89" s="114"/>
      <c r="W89" s="114"/>
      <c r="X89" s="114"/>
      <c r="Y89" s="114"/>
      <c r="Z89" s="114"/>
    </row>
    <row r="90" spans="1:26" ht="15.75" customHeight="1" x14ac:dyDescent="0.25">
      <c r="A90" s="48" t="s">
        <v>396</v>
      </c>
      <c r="B90" s="41" t="s">
        <v>191</v>
      </c>
      <c r="C90" s="43">
        <v>49980.46</v>
      </c>
      <c r="D90" s="43"/>
      <c r="E90" s="43">
        <f>F90-D90</f>
        <v>40000</v>
      </c>
      <c r="F90" s="43">
        <v>40000</v>
      </c>
      <c r="G90" s="43">
        <v>40000</v>
      </c>
      <c r="H90" s="114"/>
      <c r="I90" s="60"/>
      <c r="J90" s="60"/>
      <c r="K90" s="114"/>
      <c r="L90" s="114"/>
      <c r="M90" s="60"/>
      <c r="N90" s="60"/>
      <c r="O90" s="114"/>
      <c r="P90" s="114"/>
      <c r="Q90" s="114"/>
      <c r="R90" s="114"/>
      <c r="S90" s="114"/>
      <c r="T90" s="114"/>
      <c r="U90" s="114"/>
      <c r="V90" s="114"/>
      <c r="W90" s="114"/>
      <c r="X90" s="114"/>
      <c r="Y90" s="114"/>
      <c r="Z90" s="114"/>
    </row>
    <row r="91" spans="1:26" ht="15.75" customHeight="1" x14ac:dyDescent="0.25">
      <c r="A91" s="17" t="s">
        <v>499</v>
      </c>
      <c r="B91" s="41"/>
      <c r="C91" s="43"/>
      <c r="D91" s="43"/>
      <c r="E91" s="43"/>
      <c r="F91" s="43"/>
      <c r="G91" s="43"/>
      <c r="H91" s="114"/>
      <c r="I91" s="60"/>
      <c r="J91" s="60"/>
      <c r="K91" s="114"/>
      <c r="L91" s="114"/>
      <c r="M91" s="60"/>
      <c r="N91" s="60"/>
      <c r="O91" s="114"/>
      <c r="P91" s="114"/>
      <c r="Q91" s="114"/>
      <c r="R91" s="114"/>
      <c r="S91" s="114"/>
      <c r="T91" s="114"/>
      <c r="U91" s="114"/>
      <c r="V91" s="114"/>
      <c r="W91" s="114"/>
      <c r="X91" s="114"/>
      <c r="Y91" s="114"/>
      <c r="Z91" s="114"/>
    </row>
    <row r="92" spans="1:26" ht="15.75" customHeight="1" x14ac:dyDescent="0.25">
      <c r="A92" s="48" t="s">
        <v>398</v>
      </c>
      <c r="B92" s="49" t="s">
        <v>195</v>
      </c>
      <c r="C92" s="43">
        <v>39470</v>
      </c>
      <c r="D92" s="43"/>
      <c r="E92" s="43">
        <f>F92-D92</f>
        <v>38975</v>
      </c>
      <c r="F92" s="43">
        <v>38975</v>
      </c>
      <c r="G92" s="43">
        <v>38776</v>
      </c>
      <c r="H92" s="114"/>
      <c r="I92" s="60"/>
      <c r="J92" s="60"/>
      <c r="K92" s="114"/>
      <c r="L92" s="114"/>
      <c r="M92" s="60"/>
      <c r="N92" s="60"/>
      <c r="O92" s="114"/>
      <c r="P92" s="114"/>
      <c r="Q92" s="114"/>
      <c r="R92" s="114"/>
      <c r="S92" s="114"/>
      <c r="T92" s="114"/>
      <c r="U92" s="114"/>
      <c r="V92" s="114"/>
      <c r="W92" s="114"/>
      <c r="X92" s="114"/>
      <c r="Y92" s="114"/>
      <c r="Z92" s="114"/>
    </row>
    <row r="93" spans="1:26" ht="15.75" customHeight="1" x14ac:dyDescent="0.25">
      <c r="A93" s="17" t="s">
        <v>424</v>
      </c>
      <c r="B93" s="41"/>
      <c r="C93" s="43"/>
      <c r="D93" s="43"/>
      <c r="E93" s="43"/>
      <c r="F93" s="192"/>
      <c r="G93" s="192"/>
      <c r="H93" s="114"/>
      <c r="I93" s="60"/>
      <c r="J93" s="60"/>
      <c r="K93" s="114"/>
      <c r="L93" s="114"/>
      <c r="M93" s="60"/>
      <c r="N93" s="60"/>
      <c r="O93" s="114"/>
      <c r="P93" s="114"/>
      <c r="Q93" s="114"/>
      <c r="R93" s="114"/>
      <c r="S93" s="114"/>
      <c r="T93" s="114"/>
      <c r="U93" s="114"/>
      <c r="V93" s="114"/>
      <c r="W93" s="114"/>
      <c r="X93" s="114"/>
      <c r="Y93" s="114"/>
      <c r="Z93" s="114"/>
    </row>
    <row r="94" spans="1:26" ht="15.75" customHeight="1" x14ac:dyDescent="0.25">
      <c r="A94" s="48" t="s">
        <v>424</v>
      </c>
      <c r="B94" s="41" t="s">
        <v>335</v>
      </c>
      <c r="C94" s="43">
        <v>297075.59999999998</v>
      </c>
      <c r="D94" s="43">
        <f>151231.8+75457</f>
        <v>226688.8</v>
      </c>
      <c r="E94" s="43">
        <f>F94-D94</f>
        <v>261951.2</v>
      </c>
      <c r="F94" s="43">
        <v>488640</v>
      </c>
      <c r="G94" s="43">
        <v>453742</v>
      </c>
      <c r="H94" s="114"/>
      <c r="I94" s="60"/>
      <c r="J94" s="60"/>
      <c r="K94" s="114"/>
      <c r="L94" s="114"/>
      <c r="M94" s="60"/>
      <c r="N94" s="60"/>
      <c r="O94" s="114"/>
      <c r="P94" s="114"/>
      <c r="Q94" s="114"/>
      <c r="R94" s="114"/>
      <c r="S94" s="114"/>
      <c r="T94" s="114"/>
      <c r="U94" s="114"/>
      <c r="V94" s="114"/>
      <c r="W94" s="114"/>
      <c r="X94" s="114"/>
      <c r="Y94" s="114"/>
      <c r="Z94" s="114"/>
    </row>
    <row r="95" spans="1:26" ht="15.75" customHeight="1" x14ac:dyDescent="0.25">
      <c r="A95" s="44" t="s">
        <v>847</v>
      </c>
      <c r="B95" s="120"/>
      <c r="C95" s="121"/>
      <c r="D95" s="121"/>
      <c r="E95" s="121"/>
      <c r="F95" s="121"/>
      <c r="G95" s="121"/>
      <c r="H95" s="124"/>
      <c r="I95" s="207"/>
      <c r="J95" s="207"/>
      <c r="K95" s="124"/>
      <c r="L95" s="124"/>
      <c r="M95" s="207"/>
      <c r="N95" s="207"/>
      <c r="O95" s="124"/>
      <c r="P95" s="124"/>
      <c r="Q95" s="124"/>
      <c r="R95" s="124"/>
      <c r="S95" s="124"/>
      <c r="T95" s="124"/>
      <c r="U95" s="124"/>
      <c r="V95" s="124"/>
      <c r="W95" s="124"/>
      <c r="X95" s="124"/>
      <c r="Y95" s="124"/>
      <c r="Z95" s="124"/>
    </row>
    <row r="96" spans="1:26" ht="15.75" customHeight="1" x14ac:dyDescent="0.25">
      <c r="A96" s="119" t="s">
        <v>2730</v>
      </c>
      <c r="B96" s="120"/>
      <c r="C96" s="121"/>
      <c r="D96" s="121"/>
      <c r="E96" s="121"/>
      <c r="F96" s="121"/>
      <c r="G96" s="121"/>
      <c r="H96" s="124"/>
      <c r="I96" s="207"/>
      <c r="J96" s="207"/>
      <c r="K96" s="124"/>
      <c r="L96" s="124"/>
      <c r="M96" s="207"/>
      <c r="N96" s="207"/>
      <c r="O96" s="124"/>
      <c r="P96" s="124"/>
      <c r="Q96" s="124"/>
      <c r="R96" s="124"/>
      <c r="S96" s="124"/>
      <c r="T96" s="124"/>
      <c r="U96" s="124"/>
      <c r="V96" s="124"/>
      <c r="W96" s="124"/>
      <c r="X96" s="124"/>
      <c r="Y96" s="124"/>
      <c r="Z96" s="124"/>
    </row>
    <row r="97" spans="1:26" ht="15.75" customHeight="1" x14ac:dyDescent="0.25">
      <c r="A97" s="119" t="s">
        <v>853</v>
      </c>
      <c r="B97" s="120"/>
      <c r="C97" s="121"/>
      <c r="D97" s="121"/>
      <c r="E97" s="121"/>
      <c r="F97" s="121"/>
      <c r="G97" s="121"/>
      <c r="H97" s="124"/>
      <c r="I97" s="207"/>
      <c r="J97" s="207"/>
      <c r="K97" s="124"/>
      <c r="L97" s="124"/>
      <c r="M97" s="207"/>
      <c r="N97" s="207"/>
      <c r="O97" s="124"/>
      <c r="P97" s="124"/>
      <c r="Q97" s="124"/>
      <c r="R97" s="124"/>
      <c r="S97" s="124"/>
      <c r="T97" s="124"/>
      <c r="U97" s="124"/>
      <c r="V97" s="124"/>
      <c r="W97" s="124"/>
      <c r="X97" s="124"/>
      <c r="Y97" s="124"/>
      <c r="Z97" s="124"/>
    </row>
    <row r="98" spans="1:26" ht="15.75" customHeight="1" x14ac:dyDescent="0.25">
      <c r="A98" s="119" t="s">
        <v>854</v>
      </c>
      <c r="B98" s="120"/>
      <c r="C98" s="121"/>
      <c r="D98" s="121"/>
      <c r="E98" s="121"/>
      <c r="F98" s="121"/>
      <c r="G98" s="121"/>
      <c r="H98" s="124"/>
      <c r="I98" s="207"/>
      <c r="J98" s="207"/>
      <c r="K98" s="124"/>
      <c r="L98" s="124"/>
      <c r="M98" s="207"/>
      <c r="N98" s="207"/>
      <c r="O98" s="124"/>
      <c r="P98" s="124"/>
      <c r="Q98" s="124"/>
      <c r="R98" s="124"/>
      <c r="S98" s="124"/>
      <c r="T98" s="124"/>
      <c r="U98" s="124"/>
      <c r="V98" s="124"/>
      <c r="W98" s="124"/>
      <c r="X98" s="124"/>
      <c r="Y98" s="124"/>
      <c r="Z98" s="124"/>
    </row>
    <row r="99" spans="1:26" ht="15.75" customHeight="1" x14ac:dyDescent="0.25">
      <c r="A99" s="119" t="s">
        <v>855</v>
      </c>
      <c r="B99" s="120"/>
      <c r="C99" s="121"/>
      <c r="D99" s="121"/>
      <c r="E99" s="121"/>
      <c r="F99" s="121"/>
      <c r="G99" s="121"/>
      <c r="H99" s="124"/>
      <c r="I99" s="207"/>
      <c r="J99" s="207"/>
      <c r="K99" s="124"/>
      <c r="L99" s="124"/>
      <c r="M99" s="207"/>
      <c r="N99" s="207"/>
      <c r="O99" s="124"/>
      <c r="P99" s="124"/>
      <c r="Q99" s="124"/>
      <c r="R99" s="124"/>
      <c r="S99" s="124"/>
      <c r="T99" s="124"/>
      <c r="U99" s="124"/>
      <c r="V99" s="124"/>
      <c r="W99" s="124"/>
      <c r="X99" s="124"/>
      <c r="Y99" s="124"/>
      <c r="Z99" s="124"/>
    </row>
    <row r="100" spans="1:26" ht="15.75" customHeight="1" x14ac:dyDescent="0.25">
      <c r="A100" s="471" t="s">
        <v>856</v>
      </c>
      <c r="B100" s="469"/>
      <c r="C100" s="470"/>
      <c r="D100" s="470"/>
      <c r="E100" s="470"/>
      <c r="F100" s="470"/>
      <c r="G100" s="472"/>
      <c r="H100" s="124"/>
      <c r="I100" s="207"/>
      <c r="J100" s="207"/>
      <c r="K100" s="124"/>
      <c r="L100" s="124"/>
      <c r="M100" s="207"/>
      <c r="N100" s="207"/>
      <c r="O100" s="124"/>
      <c r="P100" s="124"/>
      <c r="Q100" s="124"/>
      <c r="R100" s="124"/>
      <c r="S100" s="124"/>
      <c r="T100" s="124"/>
      <c r="U100" s="124"/>
      <c r="V100" s="124"/>
      <c r="W100" s="124"/>
      <c r="X100" s="124"/>
      <c r="Y100" s="124"/>
      <c r="Z100" s="124"/>
    </row>
    <row r="101" spans="1:26" ht="15.75" customHeight="1" x14ac:dyDescent="0.25">
      <c r="A101" s="471" t="s">
        <v>857</v>
      </c>
      <c r="B101" s="469"/>
      <c r="C101" s="470"/>
      <c r="D101" s="470"/>
      <c r="E101" s="470"/>
      <c r="F101" s="470"/>
      <c r="G101" s="472"/>
      <c r="H101" s="124"/>
      <c r="I101" s="207"/>
      <c r="J101" s="207"/>
      <c r="K101" s="124"/>
      <c r="L101" s="124"/>
      <c r="M101" s="207"/>
      <c r="N101" s="207"/>
      <c r="O101" s="124"/>
      <c r="P101" s="124"/>
      <c r="Q101" s="124"/>
      <c r="R101" s="124"/>
      <c r="S101" s="124"/>
      <c r="T101" s="124"/>
      <c r="U101" s="124"/>
      <c r="V101" s="124"/>
      <c r="W101" s="124"/>
      <c r="X101" s="124"/>
      <c r="Y101" s="124"/>
      <c r="Z101" s="124"/>
    </row>
    <row r="102" spans="1:26" ht="15.75" customHeight="1" x14ac:dyDescent="0.25">
      <c r="A102" s="119" t="s">
        <v>858</v>
      </c>
      <c r="B102" s="120"/>
      <c r="C102" s="121"/>
      <c r="D102" s="121"/>
      <c r="E102" s="121"/>
      <c r="F102" s="121"/>
      <c r="G102" s="121"/>
      <c r="H102" s="124"/>
      <c r="I102" s="207"/>
      <c r="J102" s="207"/>
      <c r="K102" s="124"/>
      <c r="L102" s="124"/>
      <c r="M102" s="207"/>
      <c r="N102" s="207"/>
      <c r="O102" s="124"/>
      <c r="P102" s="124"/>
      <c r="Q102" s="124"/>
      <c r="R102" s="124"/>
      <c r="S102" s="124"/>
      <c r="T102" s="124"/>
      <c r="U102" s="124"/>
      <c r="V102" s="124"/>
      <c r="W102" s="124"/>
      <c r="X102" s="124"/>
      <c r="Y102" s="124"/>
      <c r="Z102" s="124"/>
    </row>
    <row r="103" spans="1:26" ht="15.75" customHeight="1" x14ac:dyDescent="0.25">
      <c r="A103" s="119" t="s">
        <v>859</v>
      </c>
      <c r="B103" s="120"/>
      <c r="C103" s="121"/>
      <c r="D103" s="121"/>
      <c r="E103" s="121"/>
      <c r="F103" s="121"/>
      <c r="G103" s="121"/>
      <c r="H103" s="124"/>
      <c r="I103" s="207"/>
      <c r="J103" s="207"/>
      <c r="K103" s="124"/>
      <c r="L103" s="124"/>
      <c r="M103" s="207"/>
      <c r="N103" s="207"/>
      <c r="O103" s="124"/>
      <c r="P103" s="124"/>
      <c r="Q103" s="124"/>
      <c r="R103" s="124"/>
      <c r="S103" s="124"/>
      <c r="T103" s="124"/>
      <c r="U103" s="124"/>
      <c r="V103" s="124"/>
      <c r="W103" s="124"/>
      <c r="X103" s="124"/>
      <c r="Y103" s="124"/>
      <c r="Z103" s="124"/>
    </row>
    <row r="104" spans="1:26" ht="15.75" customHeight="1" x14ac:dyDescent="0.25">
      <c r="A104" s="119" t="s">
        <v>860</v>
      </c>
      <c r="B104" s="120"/>
      <c r="C104" s="121"/>
      <c r="D104" s="121"/>
      <c r="E104" s="121"/>
      <c r="F104" s="121"/>
      <c r="G104" s="121"/>
      <c r="H104" s="124"/>
      <c r="I104" s="207"/>
      <c r="J104" s="207"/>
      <c r="K104" s="124"/>
      <c r="L104" s="124"/>
      <c r="M104" s="207"/>
      <c r="N104" s="207"/>
      <c r="O104" s="124"/>
      <c r="P104" s="124"/>
      <c r="Q104" s="124"/>
      <c r="R104" s="124"/>
      <c r="S104" s="124"/>
      <c r="T104" s="124"/>
      <c r="U104" s="124"/>
      <c r="V104" s="124"/>
      <c r="W104" s="124"/>
      <c r="X104" s="124"/>
      <c r="Y104" s="124"/>
      <c r="Z104" s="124"/>
    </row>
    <row r="105" spans="1:26" ht="15.75" customHeight="1" x14ac:dyDescent="0.25">
      <c r="A105" s="119" t="s">
        <v>861</v>
      </c>
      <c r="B105" s="120"/>
      <c r="C105" s="121"/>
      <c r="D105" s="121"/>
      <c r="E105" s="121"/>
      <c r="F105" s="121"/>
      <c r="G105" s="121"/>
      <c r="H105" s="124"/>
      <c r="I105" s="207"/>
      <c r="J105" s="207"/>
      <c r="K105" s="124"/>
      <c r="L105" s="124"/>
      <c r="M105" s="207"/>
      <c r="N105" s="207"/>
      <c r="O105" s="124"/>
      <c r="P105" s="124"/>
      <c r="Q105" s="124"/>
      <c r="R105" s="124"/>
      <c r="S105" s="124"/>
      <c r="T105" s="124"/>
      <c r="U105" s="124"/>
      <c r="V105" s="124"/>
      <c r="W105" s="124"/>
      <c r="X105" s="124"/>
      <c r="Y105" s="124"/>
      <c r="Z105" s="124"/>
    </row>
    <row r="106" spans="1:26" ht="13.9" customHeight="1" x14ac:dyDescent="0.25">
      <c r="A106" s="208" t="s">
        <v>851</v>
      </c>
      <c r="B106" s="120"/>
      <c r="C106" s="209">
        <f t="shared" ref="C106:D106" si="16">SUM(C87:C94)</f>
        <v>418377.14</v>
      </c>
      <c r="D106" s="209">
        <f t="shared" si="16"/>
        <v>226688.8</v>
      </c>
      <c r="E106" s="209">
        <f t="shared" ref="E106:E112" si="17">F106-D106</f>
        <v>385926.2</v>
      </c>
      <c r="F106" s="209">
        <f>SUM(F87:F94)</f>
        <v>612615</v>
      </c>
      <c r="G106" s="209">
        <f>SUM(G88:G94)</f>
        <v>577518</v>
      </c>
      <c r="H106" s="124"/>
      <c r="I106" s="207"/>
      <c r="J106" s="207"/>
      <c r="K106" s="124"/>
      <c r="L106" s="124"/>
      <c r="M106" s="207"/>
      <c r="N106" s="207"/>
      <c r="O106" s="124"/>
      <c r="P106" s="124"/>
      <c r="Q106" s="124"/>
      <c r="R106" s="124"/>
      <c r="S106" s="124"/>
      <c r="T106" s="124"/>
      <c r="U106" s="124"/>
      <c r="V106" s="124"/>
      <c r="W106" s="124"/>
      <c r="X106" s="124"/>
      <c r="Y106" s="124"/>
      <c r="Z106" s="124"/>
    </row>
    <row r="107" spans="1:26" ht="13.9" customHeight="1" x14ac:dyDescent="0.25">
      <c r="A107" s="17"/>
      <c r="B107" s="41"/>
      <c r="C107" s="43"/>
      <c r="D107" s="43"/>
      <c r="E107" s="43">
        <f t="shared" si="17"/>
        <v>0</v>
      </c>
      <c r="F107" s="43"/>
      <c r="G107" s="55"/>
      <c r="H107" s="114"/>
      <c r="I107" s="60"/>
      <c r="J107" s="60"/>
      <c r="K107" s="114"/>
      <c r="L107" s="114"/>
      <c r="M107" s="60"/>
      <c r="N107" s="60"/>
      <c r="O107" s="114"/>
      <c r="P107" s="114"/>
      <c r="Q107" s="114"/>
      <c r="R107" s="114"/>
      <c r="S107" s="114"/>
      <c r="T107" s="114"/>
      <c r="U107" s="114"/>
      <c r="V107" s="114"/>
      <c r="W107" s="114"/>
      <c r="X107" s="114"/>
      <c r="Y107" s="114"/>
      <c r="Z107" s="114"/>
    </row>
    <row r="108" spans="1:26" ht="13.9" customHeight="1" x14ac:dyDescent="0.25">
      <c r="A108" s="17" t="s">
        <v>808</v>
      </c>
      <c r="B108" s="41"/>
      <c r="C108" s="43">
        <f t="shared" ref="C108:D108" si="18">C106</f>
        <v>418377.14</v>
      </c>
      <c r="D108" s="43">
        <f t="shared" si="18"/>
        <v>226688.8</v>
      </c>
      <c r="E108" s="43">
        <f t="shared" si="17"/>
        <v>385926.2</v>
      </c>
      <c r="F108" s="43">
        <f t="shared" ref="F108:G108" si="19">F106</f>
        <v>612615</v>
      </c>
      <c r="G108" s="43">
        <f t="shared" si="19"/>
        <v>577518</v>
      </c>
      <c r="H108" s="114"/>
      <c r="I108" s="60"/>
      <c r="J108" s="60"/>
      <c r="K108" s="114"/>
      <c r="L108" s="114"/>
      <c r="M108" s="60"/>
      <c r="N108" s="60"/>
      <c r="O108" s="114"/>
      <c r="P108" s="114"/>
      <c r="Q108" s="114"/>
      <c r="R108" s="114"/>
      <c r="S108" s="114"/>
      <c r="T108" s="114"/>
      <c r="U108" s="114"/>
      <c r="V108" s="114"/>
      <c r="W108" s="114"/>
      <c r="X108" s="114"/>
      <c r="Y108" s="114"/>
      <c r="Z108" s="114"/>
    </row>
    <row r="109" spans="1:26" ht="13.9" customHeight="1" x14ac:dyDescent="0.25">
      <c r="A109" s="17"/>
      <c r="B109" s="41"/>
      <c r="C109" s="43"/>
      <c r="D109" s="43"/>
      <c r="E109" s="43">
        <f t="shared" si="17"/>
        <v>0</v>
      </c>
      <c r="F109" s="43"/>
      <c r="G109" s="43"/>
      <c r="H109" s="114"/>
      <c r="I109" s="60"/>
      <c r="J109" s="60"/>
      <c r="K109" s="114"/>
      <c r="L109" s="114"/>
      <c r="M109" s="60"/>
      <c r="N109" s="60"/>
      <c r="O109" s="114"/>
      <c r="P109" s="114"/>
      <c r="Q109" s="114"/>
      <c r="R109" s="114"/>
      <c r="S109" s="114"/>
      <c r="T109" s="114"/>
      <c r="U109" s="114"/>
      <c r="V109" s="114"/>
      <c r="W109" s="114"/>
      <c r="X109" s="114"/>
      <c r="Y109" s="114"/>
      <c r="Z109" s="114"/>
    </row>
    <row r="110" spans="1:26" ht="13.9" customHeight="1" x14ac:dyDescent="0.25">
      <c r="A110" s="17" t="s">
        <v>862</v>
      </c>
      <c r="B110" s="41"/>
      <c r="C110" s="54">
        <f>C108</f>
        <v>418377.14</v>
      </c>
      <c r="D110" s="54">
        <f>+D108</f>
        <v>226688.8</v>
      </c>
      <c r="E110" s="54">
        <f t="shared" si="17"/>
        <v>385926.2</v>
      </c>
      <c r="F110" s="54">
        <f t="shared" ref="F110:G110" si="20">+F108</f>
        <v>612615</v>
      </c>
      <c r="G110" s="54">
        <f t="shared" si="20"/>
        <v>577518</v>
      </c>
      <c r="H110" s="114"/>
      <c r="I110" s="60"/>
      <c r="J110" s="60"/>
      <c r="K110" s="114"/>
      <c r="L110" s="114"/>
      <c r="M110" s="60"/>
      <c r="N110" s="60"/>
      <c r="O110" s="114"/>
      <c r="P110" s="114"/>
      <c r="Q110" s="114"/>
      <c r="R110" s="114"/>
      <c r="S110" s="114"/>
      <c r="T110" s="114"/>
      <c r="U110" s="114"/>
      <c r="V110" s="114"/>
      <c r="W110" s="114"/>
      <c r="X110" s="114"/>
      <c r="Y110" s="114"/>
      <c r="Z110" s="114"/>
    </row>
    <row r="111" spans="1:26" ht="13.9" customHeight="1" x14ac:dyDescent="0.25">
      <c r="A111" s="42"/>
      <c r="B111" s="41"/>
      <c r="C111" s="45"/>
      <c r="D111" s="43"/>
      <c r="E111" s="43">
        <f t="shared" si="17"/>
        <v>0</v>
      </c>
      <c r="F111" s="43"/>
      <c r="G111" s="43"/>
      <c r="H111" s="114"/>
      <c r="I111" s="60"/>
      <c r="J111" s="60"/>
      <c r="K111" s="114"/>
      <c r="L111" s="114"/>
      <c r="M111" s="60"/>
      <c r="N111" s="60"/>
      <c r="O111" s="114"/>
      <c r="P111" s="114"/>
      <c r="Q111" s="114"/>
      <c r="R111" s="114"/>
      <c r="S111" s="114"/>
      <c r="T111" s="114"/>
      <c r="U111" s="114"/>
      <c r="V111" s="114"/>
      <c r="W111" s="114"/>
      <c r="X111" s="114"/>
      <c r="Y111" s="114"/>
      <c r="Z111" s="114"/>
    </row>
    <row r="112" spans="1:26" ht="13.9" customHeight="1" x14ac:dyDescent="0.25">
      <c r="A112" s="160" t="s">
        <v>809</v>
      </c>
      <c r="B112" s="51" t="s">
        <v>488</v>
      </c>
      <c r="C112" s="54" t="e">
        <f t="shared" ref="C112:D112" si="21">C64+C82+C110</f>
        <v>#REF!</v>
      </c>
      <c r="D112" s="54" t="e">
        <f t="shared" si="21"/>
        <v>#REF!</v>
      </c>
      <c r="E112" s="54" t="e">
        <f t="shared" si="17"/>
        <v>#REF!</v>
      </c>
      <c r="F112" s="54" t="e">
        <f t="shared" ref="F112:G112" si="22">F64+F82+F110</f>
        <v>#REF!</v>
      </c>
      <c r="G112" s="54">
        <f t="shared" si="22"/>
        <v>10816408</v>
      </c>
      <c r="H112" s="176"/>
      <c r="I112" s="177"/>
      <c r="J112" s="177"/>
      <c r="K112" s="176"/>
      <c r="L112" s="176"/>
      <c r="M112" s="177"/>
      <c r="N112" s="177"/>
      <c r="O112" s="176"/>
      <c r="P112" s="176"/>
      <c r="Q112" s="176"/>
      <c r="R112" s="176"/>
      <c r="S112" s="176"/>
      <c r="T112" s="176"/>
      <c r="U112" s="176"/>
      <c r="V112" s="176"/>
      <c r="W112" s="176"/>
      <c r="X112" s="176"/>
      <c r="Y112" s="176"/>
      <c r="Z112" s="176"/>
    </row>
    <row r="113" spans="1:26" ht="13.9" customHeight="1" x14ac:dyDescent="0.25">
      <c r="A113" s="24"/>
      <c r="B113" s="25"/>
      <c r="C113" s="99"/>
      <c r="D113" s="24"/>
      <c r="E113" s="24"/>
      <c r="F113" s="114"/>
      <c r="G113" s="114"/>
      <c r="H113" s="114"/>
      <c r="I113" s="60"/>
      <c r="J113" s="60"/>
      <c r="K113" s="114"/>
      <c r="L113" s="114"/>
      <c r="M113" s="60"/>
      <c r="N113" s="60"/>
      <c r="O113" s="114"/>
      <c r="P113" s="114"/>
      <c r="Q113" s="114"/>
      <c r="R113" s="114"/>
      <c r="S113" s="114"/>
      <c r="T113" s="114"/>
      <c r="U113" s="114"/>
      <c r="V113" s="114"/>
      <c r="W113" s="114"/>
      <c r="X113" s="114"/>
      <c r="Y113" s="114"/>
      <c r="Z113" s="114"/>
    </row>
    <row r="114" spans="1:26" ht="13.9" customHeight="1" x14ac:dyDescent="0.25">
      <c r="A114" s="24"/>
      <c r="B114" s="25"/>
      <c r="C114" s="24"/>
      <c r="D114" s="24"/>
      <c r="E114" s="24"/>
      <c r="F114" s="15"/>
      <c r="G114" s="15"/>
      <c r="H114" s="15"/>
      <c r="I114" s="16"/>
      <c r="J114" s="16"/>
      <c r="K114" s="15"/>
      <c r="L114" s="15"/>
      <c r="M114" s="16"/>
      <c r="N114" s="16"/>
      <c r="O114" s="15"/>
      <c r="P114" s="15"/>
      <c r="Q114" s="15"/>
      <c r="R114" s="15"/>
      <c r="S114" s="15"/>
      <c r="T114" s="15"/>
      <c r="U114" s="15"/>
      <c r="V114" s="15"/>
      <c r="W114" s="15"/>
      <c r="X114" s="15"/>
      <c r="Y114" s="15"/>
      <c r="Z114" s="15"/>
    </row>
    <row r="115" spans="1:26" ht="13.9" customHeight="1" x14ac:dyDescent="0.25">
      <c r="A115" s="9"/>
      <c r="B115" s="104"/>
      <c r="C115" s="105"/>
      <c r="D115" s="105"/>
      <c r="E115" s="105"/>
      <c r="F115" s="10"/>
      <c r="G115" s="180"/>
      <c r="H115" s="15"/>
      <c r="I115" s="16"/>
      <c r="J115" s="16"/>
      <c r="K115" s="15"/>
      <c r="L115" s="15"/>
      <c r="M115" s="16"/>
      <c r="N115" s="16"/>
      <c r="O115" s="15"/>
      <c r="P115" s="15"/>
      <c r="Q115" s="15"/>
      <c r="R115" s="15"/>
      <c r="S115" s="15"/>
      <c r="T115" s="15"/>
      <c r="U115" s="15"/>
      <c r="V115" s="15"/>
      <c r="W115" s="15"/>
      <c r="X115" s="15"/>
      <c r="Y115" s="15"/>
      <c r="Z115" s="15"/>
    </row>
    <row r="116" spans="1:26" ht="13.9" customHeight="1" x14ac:dyDescent="0.25">
      <c r="A116" s="108" t="s">
        <v>863</v>
      </c>
      <c r="B116" s="25"/>
      <c r="C116" s="26"/>
      <c r="D116" s="26"/>
      <c r="E116" s="26"/>
      <c r="F116" s="14"/>
      <c r="G116" s="181"/>
      <c r="H116" s="15"/>
      <c r="I116" s="16"/>
      <c r="J116" s="16"/>
      <c r="K116" s="15"/>
      <c r="L116" s="15"/>
      <c r="M116" s="16"/>
      <c r="N116" s="16"/>
      <c r="O116" s="15"/>
      <c r="P116" s="15"/>
      <c r="Q116" s="15"/>
      <c r="R116" s="15"/>
      <c r="S116" s="15"/>
      <c r="T116" s="15"/>
      <c r="U116" s="15"/>
      <c r="V116" s="15"/>
      <c r="W116" s="15"/>
      <c r="X116" s="15"/>
      <c r="Y116" s="15"/>
      <c r="Z116" s="15"/>
    </row>
    <row r="117" spans="1:26" ht="13.9" customHeight="1" x14ac:dyDescent="0.25">
      <c r="A117" s="44"/>
      <c r="B117" s="25"/>
      <c r="C117" s="26"/>
      <c r="D117" s="26"/>
      <c r="E117" s="26"/>
      <c r="F117" s="14"/>
      <c r="G117" s="181"/>
      <c r="H117" s="15"/>
      <c r="I117" s="16"/>
      <c r="J117" s="16"/>
      <c r="K117" s="15"/>
      <c r="L117" s="15"/>
      <c r="M117" s="16"/>
      <c r="N117" s="16"/>
      <c r="O117" s="15"/>
      <c r="P117" s="15"/>
      <c r="Q117" s="15"/>
      <c r="R117" s="15"/>
      <c r="S117" s="15"/>
      <c r="T117" s="15"/>
      <c r="U117" s="15"/>
      <c r="V117" s="15"/>
      <c r="W117" s="15"/>
      <c r="X117" s="15"/>
      <c r="Y117" s="15"/>
      <c r="Z117" s="15"/>
    </row>
    <row r="118" spans="1:26" ht="14.45" customHeight="1" x14ac:dyDescent="0.25">
      <c r="A118" s="865" t="s">
        <v>352</v>
      </c>
      <c r="B118" s="866"/>
      <c r="C118" s="866"/>
      <c r="D118" s="866"/>
      <c r="E118" s="866"/>
      <c r="F118" s="866"/>
      <c r="G118" s="867"/>
      <c r="H118" s="15"/>
      <c r="I118" s="16"/>
      <c r="J118" s="16"/>
      <c r="K118" s="15"/>
      <c r="L118" s="15"/>
      <c r="M118" s="16"/>
      <c r="N118" s="16"/>
      <c r="O118" s="15"/>
      <c r="P118" s="15"/>
      <c r="Q118" s="15"/>
      <c r="R118" s="15"/>
      <c r="S118" s="15"/>
      <c r="T118" s="15"/>
      <c r="U118" s="15"/>
      <c r="V118" s="15"/>
      <c r="W118" s="15"/>
      <c r="X118" s="15"/>
      <c r="Y118" s="15"/>
      <c r="Z118" s="15"/>
    </row>
    <row r="119" spans="1:26" ht="15.75" customHeight="1" x14ac:dyDescent="0.25">
      <c r="A119" s="868" t="s">
        <v>353</v>
      </c>
      <c r="B119" s="857" t="s">
        <v>354</v>
      </c>
      <c r="C119" s="870" t="s">
        <v>355</v>
      </c>
      <c r="D119" s="872" t="s">
        <v>356</v>
      </c>
      <c r="E119" s="873"/>
      <c r="F119" s="874"/>
      <c r="G119" s="857" t="s">
        <v>357</v>
      </c>
      <c r="H119" s="15"/>
      <c r="I119" s="16"/>
      <c r="J119" s="16"/>
      <c r="K119" s="15"/>
      <c r="L119" s="15"/>
      <c r="M119" s="16"/>
      <c r="N119" s="16"/>
      <c r="O119" s="15"/>
      <c r="P119" s="15"/>
      <c r="Q119" s="15"/>
      <c r="R119" s="15"/>
      <c r="S119" s="15"/>
      <c r="T119" s="15"/>
      <c r="U119" s="15"/>
      <c r="V119" s="15"/>
      <c r="W119" s="15"/>
      <c r="X119" s="15"/>
      <c r="Y119" s="15"/>
      <c r="Z119" s="15"/>
    </row>
    <row r="120" spans="1:26" ht="15.75" customHeight="1" x14ac:dyDescent="0.25">
      <c r="A120" s="858"/>
      <c r="B120" s="858"/>
      <c r="C120" s="871"/>
      <c r="D120" s="28" t="s">
        <v>358</v>
      </c>
      <c r="E120" s="29" t="s">
        <v>359</v>
      </c>
      <c r="F120" s="875" t="s">
        <v>360</v>
      </c>
      <c r="G120" s="858"/>
      <c r="H120" s="15"/>
      <c r="I120" s="16"/>
      <c r="J120" s="16"/>
      <c r="K120" s="15"/>
      <c r="L120" s="15"/>
      <c r="M120" s="16"/>
      <c r="N120" s="16"/>
      <c r="O120" s="15"/>
      <c r="P120" s="15"/>
      <c r="Q120" s="15"/>
      <c r="R120" s="15"/>
      <c r="S120" s="15"/>
      <c r="T120" s="15"/>
      <c r="U120" s="15"/>
      <c r="V120" s="15"/>
      <c r="W120" s="15"/>
      <c r="X120" s="15"/>
      <c r="Y120" s="15"/>
      <c r="Z120" s="15"/>
    </row>
    <row r="121" spans="1:26" ht="15.75" customHeight="1" x14ac:dyDescent="0.25">
      <c r="A121" s="858"/>
      <c r="B121" s="858"/>
      <c r="C121" s="30" t="s">
        <v>361</v>
      </c>
      <c r="D121" s="31" t="s">
        <v>361</v>
      </c>
      <c r="E121" s="32" t="s">
        <v>362</v>
      </c>
      <c r="F121" s="860"/>
      <c r="G121" s="442" t="s">
        <v>2717</v>
      </c>
      <c r="H121" s="15"/>
      <c r="I121" s="16"/>
      <c r="J121" s="16"/>
      <c r="K121" s="15"/>
      <c r="L121" s="15"/>
      <c r="M121" s="16"/>
      <c r="N121" s="16"/>
      <c r="O121" s="15"/>
      <c r="P121" s="15"/>
      <c r="Q121" s="15"/>
      <c r="R121" s="15"/>
      <c r="S121" s="15"/>
      <c r="T121" s="15"/>
      <c r="U121" s="15"/>
      <c r="V121" s="15"/>
      <c r="W121" s="15"/>
      <c r="X121" s="15"/>
      <c r="Y121" s="15"/>
      <c r="Z121" s="15"/>
    </row>
    <row r="122" spans="1:26" ht="15.75" customHeight="1" x14ac:dyDescent="0.25">
      <c r="A122" s="869"/>
      <c r="B122" s="869"/>
      <c r="C122" s="33">
        <v>2024</v>
      </c>
      <c r="D122" s="34">
        <v>2025</v>
      </c>
      <c r="E122" s="35">
        <v>2025</v>
      </c>
      <c r="F122" s="34">
        <v>2025</v>
      </c>
      <c r="G122" s="36" t="s">
        <v>2668</v>
      </c>
      <c r="H122" s="15"/>
      <c r="I122" s="16"/>
      <c r="J122" s="16"/>
      <c r="K122" s="15"/>
      <c r="L122" s="15"/>
      <c r="M122" s="16"/>
      <c r="N122" s="16"/>
      <c r="O122" s="15"/>
      <c r="P122" s="15"/>
      <c r="Q122" s="15"/>
      <c r="R122" s="15"/>
      <c r="S122" s="15"/>
      <c r="T122" s="15"/>
      <c r="U122" s="15"/>
      <c r="V122" s="15"/>
      <c r="W122" s="15"/>
      <c r="X122" s="15"/>
      <c r="Y122" s="15"/>
      <c r="Z122" s="15"/>
    </row>
    <row r="123" spans="1:26" ht="13.9" customHeight="1" x14ac:dyDescent="0.25">
      <c r="A123" s="9" t="s">
        <v>364</v>
      </c>
      <c r="B123" s="38"/>
      <c r="C123" s="42"/>
      <c r="D123" s="42"/>
      <c r="E123" s="42"/>
      <c r="F123" s="42"/>
      <c r="G123" s="37"/>
      <c r="I123" s="40"/>
      <c r="J123" s="40"/>
      <c r="M123" s="40"/>
      <c r="N123" s="40"/>
    </row>
    <row r="124" spans="1:26" ht="13.9" customHeight="1" x14ac:dyDescent="0.25">
      <c r="A124" s="42" t="s">
        <v>491</v>
      </c>
      <c r="B124" s="49"/>
      <c r="C124" s="43"/>
      <c r="D124" s="43"/>
      <c r="E124" s="43"/>
      <c r="F124" s="43"/>
      <c r="G124" s="43"/>
      <c r="I124" s="40"/>
      <c r="J124" s="40"/>
      <c r="M124" s="40"/>
      <c r="N124" s="40"/>
    </row>
    <row r="125" spans="1:26" ht="13.9" customHeight="1" x14ac:dyDescent="0.25">
      <c r="A125" s="17" t="s">
        <v>499</v>
      </c>
      <c r="B125" s="41"/>
      <c r="C125" s="43"/>
      <c r="D125" s="43"/>
      <c r="E125" s="43"/>
      <c r="F125" s="43"/>
      <c r="G125" s="43"/>
      <c r="I125" s="40"/>
      <c r="J125" s="40"/>
      <c r="M125" s="40"/>
      <c r="N125" s="40"/>
    </row>
    <row r="126" spans="1:26" ht="13.9" customHeight="1" x14ac:dyDescent="0.25">
      <c r="A126" s="44" t="s">
        <v>398</v>
      </c>
      <c r="B126" s="41" t="s">
        <v>195</v>
      </c>
      <c r="C126" s="43">
        <v>30630.5</v>
      </c>
      <c r="D126" s="43">
        <v>11491.5</v>
      </c>
      <c r="E126" s="43">
        <f t="shared" ref="E126:E127" si="23">F126-D126</f>
        <v>11805.5</v>
      </c>
      <c r="F126" s="43">
        <v>23297</v>
      </c>
      <c r="G126" s="43">
        <v>29473</v>
      </c>
      <c r="H126" s="114"/>
      <c r="I126" s="60"/>
      <c r="J126" s="60"/>
      <c r="K126" s="114"/>
      <c r="L126" s="114"/>
      <c r="M126" s="60"/>
      <c r="N126" s="60"/>
      <c r="O126" s="114"/>
      <c r="P126" s="114"/>
      <c r="Q126" s="114"/>
      <c r="R126" s="114"/>
      <c r="S126" s="114"/>
      <c r="T126" s="114"/>
      <c r="U126" s="114"/>
      <c r="V126" s="114"/>
      <c r="W126" s="114"/>
      <c r="X126" s="114"/>
      <c r="Y126" s="114"/>
      <c r="Z126" s="114"/>
    </row>
    <row r="127" spans="1:26" ht="13.9" customHeight="1" x14ac:dyDescent="0.25">
      <c r="A127" s="44" t="s">
        <v>400</v>
      </c>
      <c r="B127" s="41" t="s">
        <v>221</v>
      </c>
      <c r="C127" s="43">
        <v>0</v>
      </c>
      <c r="D127" s="43">
        <v>26403</v>
      </c>
      <c r="E127" s="43">
        <f t="shared" si="23"/>
        <v>29225</v>
      </c>
      <c r="F127" s="43">
        <v>55628</v>
      </c>
      <c r="G127" s="43">
        <v>139567</v>
      </c>
      <c r="H127" s="114"/>
      <c r="I127" s="60"/>
      <c r="J127" s="60"/>
      <c r="K127" s="114"/>
      <c r="L127" s="114"/>
      <c r="M127" s="60"/>
      <c r="N127" s="60"/>
      <c r="O127" s="114"/>
      <c r="P127" s="114"/>
      <c r="Q127" s="114"/>
      <c r="R127" s="114"/>
      <c r="S127" s="114"/>
      <c r="T127" s="114"/>
      <c r="U127" s="114"/>
      <c r="V127" s="114"/>
      <c r="W127" s="114"/>
      <c r="X127" s="114"/>
      <c r="Y127" s="114"/>
      <c r="Z127" s="114"/>
    </row>
    <row r="128" spans="1:26" ht="13.9" customHeight="1" x14ac:dyDescent="0.25">
      <c r="A128" s="44" t="s">
        <v>538</v>
      </c>
      <c r="B128" s="41" t="s">
        <v>223</v>
      </c>
      <c r="C128" s="43">
        <v>0</v>
      </c>
      <c r="D128" s="43">
        <v>0</v>
      </c>
      <c r="E128" s="43">
        <v>0</v>
      </c>
      <c r="F128" s="43">
        <v>0</v>
      </c>
      <c r="G128" s="43">
        <v>10000</v>
      </c>
      <c r="H128" s="114"/>
      <c r="I128" s="60"/>
      <c r="J128" s="60"/>
      <c r="K128" s="114"/>
      <c r="L128" s="114"/>
      <c r="M128" s="60"/>
      <c r="N128" s="60"/>
      <c r="O128" s="114"/>
      <c r="P128" s="114"/>
      <c r="Q128" s="114"/>
      <c r="R128" s="114"/>
      <c r="S128" s="114"/>
      <c r="T128" s="114"/>
      <c r="U128" s="114"/>
      <c r="V128" s="114"/>
      <c r="W128" s="114"/>
      <c r="X128" s="114"/>
      <c r="Y128" s="114"/>
      <c r="Z128" s="114"/>
    </row>
    <row r="129" spans="1:26" ht="13.9" customHeight="1" x14ac:dyDescent="0.25">
      <c r="A129" s="44" t="s">
        <v>402</v>
      </c>
      <c r="B129" s="41" t="s">
        <v>225</v>
      </c>
      <c r="C129" s="43">
        <v>94020.5</v>
      </c>
      <c r="D129" s="43">
        <v>23066</v>
      </c>
      <c r="E129" s="43">
        <f>F129-D129</f>
        <v>24409</v>
      </c>
      <c r="F129" s="43">
        <v>47475</v>
      </c>
      <c r="G129" s="43">
        <v>37329</v>
      </c>
      <c r="H129" s="114"/>
      <c r="I129" s="60"/>
      <c r="J129" s="60"/>
      <c r="K129" s="114"/>
      <c r="L129" s="114"/>
      <c r="M129" s="60"/>
      <c r="N129" s="60"/>
      <c r="O129" s="114"/>
      <c r="P129" s="114"/>
      <c r="Q129" s="114"/>
      <c r="R129" s="114"/>
      <c r="S129" s="114"/>
      <c r="T129" s="114"/>
      <c r="U129" s="114"/>
      <c r="V129" s="114"/>
      <c r="W129" s="114"/>
      <c r="X129" s="114"/>
      <c r="Y129" s="114"/>
      <c r="Z129" s="114"/>
    </row>
    <row r="130" spans="1:26" ht="13.9" customHeight="1" x14ac:dyDescent="0.25">
      <c r="A130" s="17" t="s">
        <v>511</v>
      </c>
      <c r="B130" s="41"/>
      <c r="C130" s="43"/>
      <c r="D130" s="43"/>
      <c r="E130" s="43"/>
      <c r="F130" s="43"/>
      <c r="G130" s="43"/>
      <c r="H130" s="114"/>
      <c r="I130" s="60"/>
      <c r="J130" s="60"/>
      <c r="K130" s="114"/>
      <c r="L130" s="114"/>
      <c r="M130" s="60"/>
      <c r="N130" s="60"/>
      <c r="O130" s="114"/>
      <c r="P130" s="114"/>
      <c r="Q130" s="114"/>
      <c r="R130" s="114"/>
      <c r="S130" s="114"/>
      <c r="T130" s="114"/>
      <c r="U130" s="114"/>
      <c r="V130" s="114"/>
      <c r="W130" s="114"/>
      <c r="X130" s="114"/>
      <c r="Y130" s="114"/>
      <c r="Z130" s="114"/>
    </row>
    <row r="131" spans="1:26" ht="13.9" customHeight="1" x14ac:dyDescent="0.25">
      <c r="A131" s="44" t="s">
        <v>424</v>
      </c>
      <c r="B131" s="41" t="s">
        <v>335</v>
      </c>
      <c r="C131" s="43">
        <v>2672054.7999999998</v>
      </c>
      <c r="D131" s="43">
        <v>1114775</v>
      </c>
      <c r="E131" s="43">
        <f>F131-D131</f>
        <v>1584625</v>
      </c>
      <c r="F131" s="43">
        <v>2699400</v>
      </c>
      <c r="G131" s="43">
        <v>3046824</v>
      </c>
      <c r="H131" s="114"/>
      <c r="I131" s="60"/>
      <c r="J131" s="60"/>
      <c r="K131" s="114"/>
      <c r="L131" s="114"/>
      <c r="M131" s="60"/>
      <c r="N131" s="60"/>
      <c r="O131" s="114"/>
      <c r="P131" s="114"/>
      <c r="Q131" s="114"/>
      <c r="R131" s="114"/>
      <c r="S131" s="114"/>
      <c r="T131" s="114"/>
      <c r="U131" s="114"/>
      <c r="V131" s="114"/>
      <c r="W131" s="114"/>
      <c r="X131" s="114"/>
      <c r="Y131" s="114"/>
      <c r="Z131" s="114"/>
    </row>
    <row r="132" spans="1:26" ht="13.15" customHeight="1" x14ac:dyDescent="0.25">
      <c r="A132" s="44" t="s">
        <v>864</v>
      </c>
      <c r="B132" s="41"/>
      <c r="C132" s="43"/>
      <c r="D132" s="43"/>
      <c r="E132" s="43"/>
      <c r="F132" s="43"/>
      <c r="G132" s="43"/>
      <c r="H132" s="114"/>
      <c r="I132" s="60"/>
      <c r="J132" s="60"/>
      <c r="K132" s="114"/>
      <c r="L132" s="114"/>
      <c r="M132" s="60"/>
      <c r="N132" s="60"/>
      <c r="O132" s="114"/>
      <c r="P132" s="114"/>
      <c r="Q132" s="114"/>
      <c r="R132" s="114"/>
      <c r="S132" s="114"/>
      <c r="T132" s="114"/>
      <c r="U132" s="114"/>
      <c r="V132" s="114"/>
      <c r="W132" s="114"/>
      <c r="X132" s="114"/>
      <c r="Y132" s="114"/>
      <c r="Z132" s="114"/>
    </row>
    <row r="133" spans="1:26" ht="15.75" customHeight="1" x14ac:dyDescent="0.25">
      <c r="A133" s="44" t="s">
        <v>2731</v>
      </c>
      <c r="B133" s="41"/>
      <c r="C133" s="43"/>
      <c r="D133" s="43"/>
      <c r="E133" s="43"/>
      <c r="F133" s="43"/>
      <c r="G133" s="43"/>
      <c r="H133" s="114"/>
      <c r="I133" s="60"/>
      <c r="J133" s="60"/>
      <c r="K133" s="114"/>
      <c r="L133" s="114"/>
      <c r="M133" s="60"/>
      <c r="N133" s="60"/>
      <c r="O133" s="114"/>
      <c r="P133" s="114"/>
      <c r="Q133" s="114"/>
      <c r="R133" s="114"/>
      <c r="S133" s="114"/>
      <c r="T133" s="114"/>
      <c r="U133" s="114"/>
      <c r="V133" s="114"/>
      <c r="W133" s="114"/>
      <c r="X133" s="114"/>
      <c r="Y133" s="114"/>
      <c r="Z133" s="114"/>
    </row>
    <row r="134" spans="1:26" ht="15.75" customHeight="1" x14ac:dyDescent="0.25">
      <c r="A134" s="44" t="s">
        <v>2732</v>
      </c>
      <c r="B134" s="41"/>
      <c r="C134" s="43"/>
      <c r="D134" s="43"/>
      <c r="E134" s="43"/>
      <c r="F134" s="43"/>
      <c r="G134" s="43"/>
      <c r="H134" s="114"/>
      <c r="I134" s="60"/>
      <c r="J134" s="60"/>
      <c r="K134" s="114"/>
      <c r="L134" s="114"/>
      <c r="M134" s="60"/>
      <c r="N134" s="60"/>
      <c r="O134" s="114"/>
      <c r="P134" s="114"/>
      <c r="Q134" s="114"/>
      <c r="R134" s="114"/>
      <c r="S134" s="114"/>
      <c r="T134" s="114"/>
      <c r="U134" s="114"/>
      <c r="V134" s="114"/>
      <c r="W134" s="114"/>
      <c r="X134" s="114"/>
      <c r="Y134" s="114"/>
      <c r="Z134" s="114"/>
    </row>
    <row r="135" spans="1:26" ht="13.9" customHeight="1" x14ac:dyDescent="0.25">
      <c r="A135" s="42" t="s">
        <v>466</v>
      </c>
      <c r="B135" s="41"/>
      <c r="C135" s="54">
        <f t="shared" ref="C135:D135" si="24">SUM(C126:C131)</f>
        <v>2796705.8</v>
      </c>
      <c r="D135" s="54">
        <f t="shared" si="24"/>
        <v>1175735.5</v>
      </c>
      <c r="E135" s="54">
        <f t="shared" ref="E135:E139" si="25">F135-D135</f>
        <v>1650064.5</v>
      </c>
      <c r="F135" s="54">
        <f t="shared" ref="F135:G135" si="26">SUM(F126:F131)</f>
        <v>2825800</v>
      </c>
      <c r="G135" s="54">
        <f t="shared" si="26"/>
        <v>3263193</v>
      </c>
      <c r="H135" s="114"/>
      <c r="I135" s="60"/>
      <c r="J135" s="60"/>
      <c r="K135" s="114"/>
      <c r="L135" s="114"/>
      <c r="M135" s="60"/>
      <c r="N135" s="60"/>
      <c r="O135" s="114"/>
      <c r="P135" s="114"/>
      <c r="Q135" s="114"/>
      <c r="R135" s="114"/>
      <c r="S135" s="114"/>
      <c r="T135" s="114"/>
      <c r="U135" s="114"/>
      <c r="V135" s="114"/>
      <c r="W135" s="114"/>
      <c r="X135" s="114"/>
      <c r="Y135" s="114"/>
      <c r="Z135" s="114"/>
    </row>
    <row r="136" spans="1:26" ht="13.9" customHeight="1" x14ac:dyDescent="0.25">
      <c r="A136" s="17"/>
      <c r="B136" s="41"/>
      <c r="C136" s="55"/>
      <c r="D136" s="55"/>
      <c r="E136" s="43">
        <f t="shared" si="25"/>
        <v>0</v>
      </c>
      <c r="F136" s="55"/>
      <c r="G136" s="55"/>
      <c r="H136" s="114"/>
      <c r="I136" s="60"/>
      <c r="J136" s="60"/>
      <c r="K136" s="114"/>
      <c r="L136" s="114"/>
      <c r="M136" s="60"/>
      <c r="N136" s="60"/>
      <c r="O136" s="114"/>
      <c r="P136" s="114"/>
      <c r="Q136" s="114"/>
      <c r="R136" s="114"/>
      <c r="S136" s="114"/>
      <c r="T136" s="114"/>
      <c r="U136" s="114"/>
      <c r="V136" s="114"/>
      <c r="W136" s="114"/>
      <c r="X136" s="114"/>
      <c r="Y136" s="114"/>
      <c r="Z136" s="114"/>
    </row>
    <row r="137" spans="1:26" ht="13.9" customHeight="1" x14ac:dyDescent="0.25">
      <c r="A137" s="17" t="s">
        <v>467</v>
      </c>
      <c r="B137" s="41"/>
      <c r="C137" s="43">
        <f t="shared" ref="C137:D137" si="27">C135</f>
        <v>2796705.8</v>
      </c>
      <c r="D137" s="43">
        <f t="shared" si="27"/>
        <v>1175735.5</v>
      </c>
      <c r="E137" s="43">
        <f t="shared" si="25"/>
        <v>1650064.5</v>
      </c>
      <c r="F137" s="43">
        <f t="shared" ref="F137:G137" si="28">F135</f>
        <v>2825800</v>
      </c>
      <c r="G137" s="43">
        <f t="shared" si="28"/>
        <v>3263193</v>
      </c>
      <c r="H137" s="114"/>
      <c r="I137" s="60"/>
      <c r="J137" s="60"/>
      <c r="K137" s="114"/>
      <c r="L137" s="114"/>
      <c r="M137" s="60"/>
      <c r="N137" s="60"/>
      <c r="O137" s="114"/>
      <c r="P137" s="114"/>
      <c r="Q137" s="114"/>
      <c r="R137" s="114"/>
      <c r="S137" s="114"/>
      <c r="T137" s="114"/>
      <c r="U137" s="114"/>
      <c r="V137" s="114"/>
      <c r="W137" s="114"/>
      <c r="X137" s="114"/>
      <c r="Y137" s="114"/>
      <c r="Z137" s="114"/>
    </row>
    <row r="138" spans="1:26" ht="13.9" customHeight="1" x14ac:dyDescent="0.25">
      <c r="A138" s="17"/>
      <c r="B138" s="41"/>
      <c r="C138" s="43"/>
      <c r="D138" s="43"/>
      <c r="E138" s="43">
        <f t="shared" si="25"/>
        <v>0</v>
      </c>
      <c r="F138" s="43"/>
      <c r="G138" s="43"/>
      <c r="H138" s="114"/>
      <c r="I138" s="60"/>
      <c r="J138" s="60"/>
      <c r="K138" s="114"/>
      <c r="L138" s="114"/>
      <c r="M138" s="60"/>
      <c r="N138" s="60"/>
      <c r="O138" s="114"/>
      <c r="P138" s="114"/>
      <c r="Q138" s="114"/>
      <c r="R138" s="114"/>
      <c r="S138" s="114"/>
      <c r="T138" s="114"/>
      <c r="U138" s="114"/>
      <c r="V138" s="114"/>
      <c r="W138" s="114"/>
      <c r="X138" s="114"/>
      <c r="Y138" s="114"/>
      <c r="Z138" s="114"/>
    </row>
    <row r="139" spans="1:26" ht="13.9" customHeight="1" x14ac:dyDescent="0.25">
      <c r="A139" s="50" t="s">
        <v>487</v>
      </c>
      <c r="B139" s="51" t="s">
        <v>488</v>
      </c>
      <c r="C139" s="53">
        <f t="shared" ref="C139:D139" si="29">+C137</f>
        <v>2796705.8</v>
      </c>
      <c r="D139" s="53">
        <f t="shared" si="29"/>
        <v>1175735.5</v>
      </c>
      <c r="E139" s="54">
        <f t="shared" si="25"/>
        <v>1650064.5</v>
      </c>
      <c r="F139" s="53">
        <f t="shared" ref="F139:G139" si="30">+F137</f>
        <v>2825800</v>
      </c>
      <c r="G139" s="53">
        <f t="shared" si="30"/>
        <v>3263193</v>
      </c>
      <c r="H139" s="114"/>
      <c r="I139" s="60"/>
      <c r="J139" s="60"/>
      <c r="K139" s="114"/>
      <c r="L139" s="114"/>
      <c r="M139" s="60"/>
      <c r="N139" s="60"/>
      <c r="O139" s="114"/>
      <c r="P139" s="114"/>
      <c r="Q139" s="114"/>
      <c r="R139" s="114"/>
      <c r="S139" s="114"/>
      <c r="T139" s="114"/>
      <c r="U139" s="114"/>
      <c r="V139" s="114"/>
      <c r="W139" s="114"/>
      <c r="X139" s="114"/>
      <c r="Y139" s="114"/>
      <c r="Z139" s="114"/>
    </row>
    <row r="140" spans="1:26" ht="15.75" customHeight="1" x14ac:dyDescent="0.25">
      <c r="A140" s="24"/>
      <c r="B140" s="25"/>
      <c r="C140" s="26"/>
      <c r="D140" s="26"/>
      <c r="E140" s="26"/>
      <c r="F140" s="26"/>
      <c r="G140" s="26"/>
      <c r="H140" s="114"/>
      <c r="I140" s="60"/>
      <c r="J140" s="60"/>
      <c r="K140" s="114"/>
      <c r="L140" s="114"/>
      <c r="M140" s="60"/>
      <c r="N140" s="60"/>
      <c r="O140" s="114"/>
      <c r="P140" s="114"/>
      <c r="Q140" s="114"/>
      <c r="R140" s="114"/>
      <c r="S140" s="114"/>
      <c r="T140" s="114"/>
      <c r="U140" s="114"/>
      <c r="V140" s="114"/>
      <c r="W140" s="114"/>
      <c r="X140" s="114"/>
      <c r="Y140" s="114"/>
      <c r="Z140" s="114"/>
    </row>
    <row r="141" spans="1:26" ht="15.75" customHeight="1" x14ac:dyDescent="0.25">
      <c r="A141" s="24"/>
      <c r="B141" s="25"/>
      <c r="C141" s="24"/>
      <c r="D141" s="24"/>
      <c r="E141" s="24"/>
      <c r="F141" s="15"/>
      <c r="G141" s="15"/>
      <c r="H141" s="15"/>
      <c r="I141" s="16"/>
      <c r="J141" s="16"/>
      <c r="K141" s="15"/>
      <c r="L141" s="15"/>
      <c r="M141" s="16"/>
      <c r="N141" s="16"/>
      <c r="O141" s="15"/>
      <c r="P141" s="15"/>
      <c r="Q141" s="15"/>
      <c r="R141" s="15"/>
      <c r="S141" s="15"/>
      <c r="T141" s="15"/>
      <c r="U141" s="15"/>
      <c r="V141" s="15"/>
      <c r="W141" s="15"/>
      <c r="X141" s="15"/>
      <c r="Y141" s="15"/>
      <c r="Z141" s="15"/>
    </row>
    <row r="142" spans="1:26" ht="15.75" customHeight="1" x14ac:dyDescent="0.25">
      <c r="A142" s="9"/>
      <c r="B142" s="104"/>
      <c r="C142" s="105"/>
      <c r="D142" s="105"/>
      <c r="E142" s="105"/>
      <c r="F142" s="10"/>
      <c r="G142" s="180"/>
      <c r="H142" s="15"/>
      <c r="I142" s="16"/>
      <c r="J142" s="16"/>
      <c r="K142" s="15"/>
      <c r="L142" s="15"/>
      <c r="M142" s="16"/>
      <c r="N142" s="16"/>
      <c r="O142" s="15"/>
      <c r="P142" s="15"/>
      <c r="Q142" s="15"/>
      <c r="R142" s="15"/>
      <c r="S142" s="15"/>
      <c r="T142" s="15"/>
      <c r="U142" s="15"/>
      <c r="V142" s="15"/>
      <c r="W142" s="15"/>
      <c r="X142" s="15"/>
      <c r="Y142" s="15"/>
      <c r="Z142" s="15"/>
    </row>
    <row r="143" spans="1:26" ht="15.75" customHeight="1" x14ac:dyDescent="0.25">
      <c r="A143" s="108" t="s">
        <v>865</v>
      </c>
      <c r="B143" s="25"/>
      <c r="C143" s="26"/>
      <c r="D143" s="26"/>
      <c r="E143" s="26"/>
      <c r="F143" s="14"/>
      <c r="G143" s="181"/>
      <c r="H143" s="15"/>
      <c r="I143" s="16"/>
      <c r="J143" s="16"/>
      <c r="K143" s="15"/>
      <c r="L143" s="15"/>
      <c r="M143" s="16"/>
      <c r="N143" s="16"/>
      <c r="O143" s="15"/>
      <c r="P143" s="15"/>
      <c r="Q143" s="15"/>
      <c r="R143" s="15"/>
      <c r="S143" s="15"/>
      <c r="T143" s="15"/>
      <c r="U143" s="15"/>
      <c r="V143" s="15"/>
      <c r="W143" s="15"/>
      <c r="X143" s="15"/>
      <c r="Y143" s="15"/>
      <c r="Z143" s="15"/>
    </row>
    <row r="144" spans="1:26" ht="15.75" customHeight="1" x14ac:dyDescent="0.25">
      <c r="A144" s="20"/>
      <c r="B144" s="25"/>
      <c r="C144" s="25"/>
      <c r="D144" s="25"/>
      <c r="E144" s="25"/>
      <c r="F144" s="25"/>
      <c r="G144" s="49"/>
      <c r="H144" s="15"/>
      <c r="I144" s="16"/>
      <c r="J144" s="16"/>
      <c r="K144" s="15"/>
      <c r="L144" s="15"/>
      <c r="M144" s="16"/>
      <c r="N144" s="16"/>
      <c r="O144" s="15"/>
      <c r="P144" s="15"/>
      <c r="Q144" s="15"/>
      <c r="R144" s="15"/>
      <c r="S144" s="15"/>
      <c r="T144" s="15"/>
      <c r="U144" s="15"/>
      <c r="V144" s="15"/>
      <c r="W144" s="15"/>
      <c r="X144" s="15"/>
      <c r="Y144" s="15"/>
      <c r="Z144" s="15"/>
    </row>
    <row r="145" spans="1:26" ht="15.75" customHeight="1" x14ac:dyDescent="0.25">
      <c r="A145" s="865" t="s">
        <v>352</v>
      </c>
      <c r="B145" s="866"/>
      <c r="C145" s="866"/>
      <c r="D145" s="866"/>
      <c r="E145" s="866"/>
      <c r="F145" s="866"/>
      <c r="G145" s="867"/>
      <c r="H145" s="15"/>
      <c r="I145" s="16"/>
      <c r="J145" s="16"/>
      <c r="K145" s="15"/>
      <c r="L145" s="15"/>
      <c r="M145" s="16"/>
      <c r="N145" s="16"/>
      <c r="O145" s="15"/>
      <c r="P145" s="15"/>
      <c r="Q145" s="15"/>
      <c r="R145" s="15"/>
      <c r="S145" s="15"/>
      <c r="T145" s="15"/>
      <c r="U145" s="15"/>
      <c r="V145" s="15"/>
      <c r="W145" s="15"/>
      <c r="X145" s="15"/>
      <c r="Y145" s="15"/>
      <c r="Z145" s="15"/>
    </row>
    <row r="146" spans="1:26" ht="15.75" customHeight="1" x14ac:dyDescent="0.25">
      <c r="A146" s="868" t="s">
        <v>353</v>
      </c>
      <c r="B146" s="857" t="s">
        <v>354</v>
      </c>
      <c r="C146" s="870" t="s">
        <v>355</v>
      </c>
      <c r="D146" s="872" t="s">
        <v>356</v>
      </c>
      <c r="E146" s="873"/>
      <c r="F146" s="874"/>
      <c r="G146" s="857" t="s">
        <v>357</v>
      </c>
      <c r="H146" s="15"/>
      <c r="I146" s="16"/>
      <c r="J146" s="16"/>
      <c r="K146" s="15"/>
      <c r="L146" s="15"/>
      <c r="M146" s="16"/>
      <c r="N146" s="16"/>
      <c r="O146" s="15"/>
      <c r="P146" s="15"/>
      <c r="Q146" s="15"/>
      <c r="R146" s="15"/>
      <c r="S146" s="15"/>
      <c r="T146" s="15"/>
      <c r="U146" s="15"/>
      <c r="V146" s="15"/>
      <c r="W146" s="15"/>
      <c r="X146" s="15"/>
      <c r="Y146" s="15"/>
      <c r="Z146" s="15"/>
    </row>
    <row r="147" spans="1:26" ht="15.75" customHeight="1" x14ac:dyDescent="0.25">
      <c r="A147" s="858"/>
      <c r="B147" s="858"/>
      <c r="C147" s="871"/>
      <c r="D147" s="28" t="s">
        <v>358</v>
      </c>
      <c r="E147" s="29" t="s">
        <v>359</v>
      </c>
      <c r="F147" s="875" t="s">
        <v>360</v>
      </c>
      <c r="G147" s="858"/>
      <c r="H147" s="15"/>
      <c r="I147" s="16"/>
      <c r="J147" s="16"/>
      <c r="K147" s="15"/>
      <c r="L147" s="15"/>
      <c r="M147" s="16"/>
      <c r="N147" s="16"/>
      <c r="O147" s="15"/>
      <c r="P147" s="15"/>
      <c r="Q147" s="15"/>
      <c r="R147" s="15"/>
      <c r="S147" s="15"/>
      <c r="T147" s="15"/>
      <c r="U147" s="15"/>
      <c r="V147" s="15"/>
      <c r="W147" s="15"/>
      <c r="X147" s="15"/>
      <c r="Y147" s="15"/>
      <c r="Z147" s="15"/>
    </row>
    <row r="148" spans="1:26" ht="15.75" customHeight="1" x14ac:dyDescent="0.25">
      <c r="A148" s="858"/>
      <c r="B148" s="858"/>
      <c r="C148" s="30" t="s">
        <v>361</v>
      </c>
      <c r="D148" s="31" t="s">
        <v>361</v>
      </c>
      <c r="E148" s="32" t="s">
        <v>362</v>
      </c>
      <c r="F148" s="860"/>
      <c r="G148" s="442" t="s">
        <v>2717</v>
      </c>
      <c r="H148" s="15"/>
      <c r="I148" s="16"/>
      <c r="J148" s="16"/>
      <c r="K148" s="15"/>
      <c r="L148" s="15"/>
      <c r="M148" s="16"/>
      <c r="N148" s="16"/>
      <c r="O148" s="15"/>
      <c r="P148" s="15"/>
      <c r="Q148" s="15"/>
      <c r="R148" s="15"/>
      <c r="S148" s="15"/>
      <c r="T148" s="15"/>
      <c r="U148" s="15"/>
      <c r="V148" s="15"/>
      <c r="W148" s="15"/>
      <c r="X148" s="15"/>
      <c r="Y148" s="15"/>
      <c r="Z148" s="15"/>
    </row>
    <row r="149" spans="1:26" ht="15.75" customHeight="1" x14ac:dyDescent="0.25">
      <c r="A149" s="869"/>
      <c r="B149" s="869"/>
      <c r="C149" s="33">
        <v>2024</v>
      </c>
      <c r="D149" s="34">
        <v>2025</v>
      </c>
      <c r="E149" s="35">
        <v>2025</v>
      </c>
      <c r="F149" s="34">
        <v>2025</v>
      </c>
      <c r="G149" s="36" t="s">
        <v>2668</v>
      </c>
      <c r="H149" s="15"/>
      <c r="I149" s="16"/>
      <c r="J149" s="16"/>
      <c r="K149" s="15"/>
      <c r="L149" s="15"/>
      <c r="M149" s="16"/>
      <c r="N149" s="16"/>
      <c r="O149" s="15"/>
      <c r="P149" s="15"/>
      <c r="Q149" s="15"/>
      <c r="R149" s="15"/>
      <c r="S149" s="15"/>
      <c r="T149" s="15"/>
      <c r="U149" s="15"/>
      <c r="V149" s="15"/>
      <c r="W149" s="15"/>
      <c r="X149" s="15"/>
      <c r="Y149" s="15"/>
      <c r="Z149" s="15"/>
    </row>
    <row r="150" spans="1:26" ht="15.75" customHeight="1" x14ac:dyDescent="0.25">
      <c r="A150" s="9" t="s">
        <v>364</v>
      </c>
      <c r="B150" s="38"/>
      <c r="C150" s="42"/>
      <c r="D150" s="42"/>
      <c r="E150" s="42"/>
      <c r="F150" s="42"/>
      <c r="G150" s="37"/>
      <c r="H150" s="15"/>
      <c r="I150" s="16"/>
      <c r="J150" s="16"/>
      <c r="K150" s="15"/>
      <c r="L150" s="15"/>
      <c r="M150" s="16"/>
      <c r="N150" s="16"/>
      <c r="O150" s="15"/>
      <c r="P150" s="15"/>
      <c r="Q150" s="15"/>
      <c r="R150" s="15"/>
      <c r="S150" s="15"/>
      <c r="T150" s="15"/>
      <c r="U150" s="15"/>
      <c r="V150" s="15"/>
      <c r="W150" s="15"/>
      <c r="X150" s="15"/>
      <c r="Y150" s="15"/>
      <c r="Z150" s="15"/>
    </row>
    <row r="151" spans="1:26" ht="15.75" customHeight="1" x14ac:dyDescent="0.25">
      <c r="A151" s="42" t="s">
        <v>491</v>
      </c>
      <c r="B151" s="49"/>
      <c r="C151" s="43"/>
      <c r="D151" s="43"/>
      <c r="E151" s="43"/>
      <c r="F151" s="43"/>
      <c r="G151" s="43"/>
      <c r="H151" s="15"/>
      <c r="I151" s="16"/>
      <c r="J151" s="16"/>
      <c r="K151" s="15"/>
      <c r="L151" s="15"/>
      <c r="M151" s="16"/>
      <c r="N151" s="16"/>
      <c r="O151" s="15"/>
      <c r="P151" s="15"/>
      <c r="Q151" s="15"/>
      <c r="R151" s="15"/>
      <c r="S151" s="15"/>
      <c r="T151" s="15"/>
      <c r="U151" s="15"/>
      <c r="V151" s="15"/>
      <c r="W151" s="15"/>
      <c r="X151" s="15"/>
      <c r="Y151" s="15"/>
      <c r="Z151" s="15"/>
    </row>
    <row r="152" spans="1:26" ht="15.75" customHeight="1" x14ac:dyDescent="0.25">
      <c r="A152" s="146" t="s">
        <v>493</v>
      </c>
      <c r="B152" s="49"/>
      <c r="C152" s="43"/>
      <c r="D152" s="43"/>
      <c r="E152" s="43"/>
      <c r="F152" s="43"/>
      <c r="G152" s="43"/>
      <c r="H152" s="15"/>
      <c r="I152" s="16"/>
      <c r="J152" s="16"/>
      <c r="K152" s="15"/>
      <c r="L152" s="15"/>
      <c r="M152" s="16"/>
      <c r="N152" s="16"/>
      <c r="O152" s="15"/>
      <c r="P152" s="15"/>
      <c r="Q152" s="15"/>
      <c r="R152" s="15"/>
      <c r="S152" s="15"/>
      <c r="T152" s="15"/>
      <c r="U152" s="15"/>
      <c r="V152" s="15"/>
      <c r="W152" s="15"/>
      <c r="X152" s="15"/>
      <c r="Y152" s="15"/>
      <c r="Z152" s="15"/>
    </row>
    <row r="153" spans="1:26" ht="15.75" customHeight="1" x14ac:dyDescent="0.25">
      <c r="A153" s="74" t="s">
        <v>396</v>
      </c>
      <c r="B153" s="49" t="s">
        <v>191</v>
      </c>
      <c r="C153" s="43">
        <v>0</v>
      </c>
      <c r="D153" s="43">
        <v>0</v>
      </c>
      <c r="E153" s="43">
        <f>F153-D153</f>
        <v>107359</v>
      </c>
      <c r="F153" s="43">
        <v>107359</v>
      </c>
      <c r="G153" s="43">
        <v>200000</v>
      </c>
      <c r="H153" s="15"/>
      <c r="I153" s="16"/>
      <c r="J153" s="16"/>
      <c r="K153" s="15"/>
      <c r="L153" s="15"/>
      <c r="M153" s="16"/>
      <c r="N153" s="16"/>
      <c r="O153" s="15"/>
      <c r="P153" s="15"/>
      <c r="Q153" s="15"/>
      <c r="R153" s="15"/>
      <c r="S153" s="15"/>
      <c r="T153" s="15"/>
      <c r="U153" s="15"/>
      <c r="V153" s="15"/>
      <c r="W153" s="15"/>
      <c r="X153" s="15"/>
      <c r="Y153" s="15"/>
      <c r="Z153" s="15"/>
    </row>
    <row r="154" spans="1:26" ht="15.75" customHeight="1" x14ac:dyDescent="0.25">
      <c r="A154" s="17" t="s">
        <v>499</v>
      </c>
      <c r="B154" s="41"/>
      <c r="C154" s="43"/>
      <c r="D154" s="43"/>
      <c r="E154" s="43"/>
      <c r="F154" s="43"/>
      <c r="G154" s="43"/>
      <c r="H154" s="15"/>
      <c r="I154" s="16"/>
      <c r="J154" s="16"/>
      <c r="K154" s="15"/>
      <c r="L154" s="15"/>
      <c r="M154" s="16"/>
      <c r="N154" s="16"/>
      <c r="O154" s="15"/>
      <c r="P154" s="15"/>
      <c r="Q154" s="15"/>
      <c r="R154" s="15"/>
      <c r="S154" s="15"/>
      <c r="T154" s="15"/>
      <c r="U154" s="15"/>
      <c r="V154" s="15"/>
      <c r="W154" s="15"/>
      <c r="X154" s="15"/>
      <c r="Y154" s="15"/>
      <c r="Z154" s="15"/>
    </row>
    <row r="155" spans="1:26" ht="15.75" customHeight="1" x14ac:dyDescent="0.25">
      <c r="A155" s="44" t="s">
        <v>398</v>
      </c>
      <c r="B155" s="41" t="s">
        <v>195</v>
      </c>
      <c r="C155" s="43">
        <v>0</v>
      </c>
      <c r="D155" s="43">
        <v>0</v>
      </c>
      <c r="E155" s="43">
        <f>F155-D155</f>
        <v>19118</v>
      </c>
      <c r="F155" s="43">
        <v>19118</v>
      </c>
      <c r="G155" s="43">
        <v>19118</v>
      </c>
      <c r="H155" s="15"/>
      <c r="I155" s="16"/>
      <c r="J155" s="16"/>
      <c r="K155" s="15"/>
      <c r="L155" s="15"/>
      <c r="M155" s="16"/>
      <c r="N155" s="16"/>
      <c r="O155" s="15"/>
      <c r="P155" s="15"/>
      <c r="Q155" s="15"/>
      <c r="R155" s="15"/>
      <c r="S155" s="15"/>
      <c r="T155" s="15"/>
      <c r="U155" s="15"/>
      <c r="V155" s="15"/>
      <c r="W155" s="15"/>
      <c r="X155" s="15"/>
      <c r="Y155" s="15"/>
      <c r="Z155" s="15"/>
    </row>
    <row r="156" spans="1:26" ht="15.75" customHeight="1" x14ac:dyDescent="0.25">
      <c r="A156" s="17" t="s">
        <v>511</v>
      </c>
      <c r="B156" s="41"/>
      <c r="C156" s="43"/>
      <c r="D156" s="43"/>
      <c r="E156" s="43"/>
      <c r="F156" s="43"/>
      <c r="G156" s="43"/>
      <c r="H156" s="15"/>
      <c r="I156" s="16"/>
      <c r="J156" s="16"/>
      <c r="K156" s="15"/>
      <c r="L156" s="15"/>
      <c r="M156" s="16"/>
      <c r="N156" s="16"/>
      <c r="O156" s="15"/>
      <c r="P156" s="15"/>
      <c r="Q156" s="15"/>
      <c r="R156" s="15"/>
      <c r="S156" s="15"/>
      <c r="T156" s="15"/>
      <c r="U156" s="15"/>
      <c r="V156" s="15"/>
      <c r="W156" s="15"/>
      <c r="X156" s="15"/>
      <c r="Y156" s="15"/>
      <c r="Z156" s="15"/>
    </row>
    <row r="157" spans="1:26" ht="15.75" customHeight="1" x14ac:dyDescent="0.25">
      <c r="A157" s="44" t="s">
        <v>424</v>
      </c>
      <c r="B157" s="41" t="s">
        <v>335</v>
      </c>
      <c r="C157" s="43">
        <v>0</v>
      </c>
      <c r="D157" s="43">
        <v>0</v>
      </c>
      <c r="E157" s="43">
        <f>F157-D157</f>
        <v>180250</v>
      </c>
      <c r="F157" s="43">
        <v>180250</v>
      </c>
      <c r="G157" s="43">
        <v>192750</v>
      </c>
      <c r="H157" s="15"/>
      <c r="I157" s="16"/>
      <c r="J157" s="16"/>
      <c r="K157" s="15"/>
      <c r="L157" s="15"/>
      <c r="M157" s="16"/>
      <c r="N157" s="16"/>
      <c r="O157" s="15"/>
      <c r="P157" s="15"/>
      <c r="Q157" s="15"/>
      <c r="R157" s="15"/>
      <c r="S157" s="15"/>
      <c r="T157" s="15"/>
      <c r="U157" s="15"/>
      <c r="V157" s="15"/>
      <c r="W157" s="15"/>
      <c r="X157" s="15"/>
      <c r="Y157" s="15"/>
      <c r="Z157" s="15"/>
    </row>
    <row r="158" spans="1:26" ht="15.75" customHeight="1" x14ac:dyDescent="0.25">
      <c r="A158" s="44" t="s">
        <v>866</v>
      </c>
      <c r="B158" s="41"/>
      <c r="C158" s="43"/>
      <c r="D158" s="43"/>
      <c r="E158" s="43"/>
      <c r="F158" s="43"/>
      <c r="G158" s="43"/>
      <c r="H158" s="15"/>
      <c r="I158" s="16"/>
      <c r="J158" s="16"/>
      <c r="K158" s="15"/>
      <c r="L158" s="15"/>
      <c r="M158" s="16"/>
      <c r="N158" s="16"/>
      <c r="O158" s="15"/>
      <c r="P158" s="15"/>
      <c r="Q158" s="15"/>
      <c r="R158" s="15"/>
      <c r="S158" s="15"/>
      <c r="T158" s="15"/>
      <c r="U158" s="15"/>
      <c r="V158" s="15"/>
      <c r="W158" s="15"/>
      <c r="X158" s="15"/>
      <c r="Y158" s="15"/>
      <c r="Z158" s="15"/>
    </row>
    <row r="159" spans="1:26" ht="15.75" customHeight="1" x14ac:dyDescent="0.25">
      <c r="A159" s="44" t="s">
        <v>867</v>
      </c>
      <c r="B159" s="41"/>
      <c r="C159" s="43"/>
      <c r="D159" s="43"/>
      <c r="E159" s="43"/>
      <c r="F159" s="43"/>
      <c r="G159" s="43"/>
      <c r="H159" s="15"/>
      <c r="I159" s="16"/>
      <c r="J159" s="16"/>
      <c r="K159" s="15"/>
      <c r="L159" s="15"/>
      <c r="M159" s="16"/>
      <c r="N159" s="16"/>
      <c r="O159" s="15"/>
      <c r="P159" s="15"/>
      <c r="Q159" s="15"/>
      <c r="R159" s="15"/>
      <c r="S159" s="15"/>
      <c r="T159" s="15"/>
      <c r="U159" s="15"/>
      <c r="V159" s="15"/>
      <c r="W159" s="15"/>
      <c r="X159" s="15"/>
      <c r="Y159" s="15"/>
      <c r="Z159" s="15"/>
    </row>
    <row r="160" spans="1:26" ht="15.75" customHeight="1" x14ac:dyDescent="0.25">
      <c r="A160" s="42" t="s">
        <v>466</v>
      </c>
      <c r="B160" s="41"/>
      <c r="C160" s="54">
        <f t="shared" ref="C160:D160" si="31">SUM(C155:C157)</f>
        <v>0</v>
      </c>
      <c r="D160" s="54">
        <f t="shared" si="31"/>
        <v>0</v>
      </c>
      <c r="E160" s="54">
        <f t="shared" ref="E160:E162" si="32">F160-D160</f>
        <v>306727</v>
      </c>
      <c r="F160" s="54">
        <f t="shared" ref="F160:G160" si="33">SUM(F153:F157)</f>
        <v>306727</v>
      </c>
      <c r="G160" s="54">
        <f t="shared" si="33"/>
        <v>411868</v>
      </c>
      <c r="H160" s="15"/>
      <c r="I160" s="16"/>
      <c r="J160" s="16"/>
      <c r="K160" s="15"/>
      <c r="L160" s="15"/>
      <c r="M160" s="16"/>
      <c r="N160" s="16"/>
      <c r="O160" s="15"/>
      <c r="P160" s="15"/>
      <c r="Q160" s="15"/>
      <c r="R160" s="15"/>
      <c r="S160" s="15"/>
      <c r="T160" s="15"/>
      <c r="U160" s="15"/>
      <c r="V160" s="15"/>
      <c r="W160" s="15"/>
      <c r="X160" s="15"/>
      <c r="Y160" s="15"/>
      <c r="Z160" s="15"/>
    </row>
    <row r="161" spans="1:26" ht="15.75" customHeight="1" x14ac:dyDescent="0.25">
      <c r="A161" s="17"/>
      <c r="B161" s="41"/>
      <c r="C161" s="55"/>
      <c r="D161" s="55"/>
      <c r="E161" s="43">
        <f t="shared" si="32"/>
        <v>0</v>
      </c>
      <c r="F161" s="55"/>
      <c r="G161" s="55"/>
      <c r="H161" s="15"/>
      <c r="I161" s="16"/>
      <c r="J161" s="16"/>
      <c r="K161" s="15"/>
      <c r="L161" s="15"/>
      <c r="M161" s="16"/>
      <c r="N161" s="16"/>
      <c r="O161" s="15"/>
      <c r="P161" s="15"/>
      <c r="Q161" s="15"/>
      <c r="R161" s="15"/>
      <c r="S161" s="15"/>
      <c r="T161" s="15"/>
      <c r="U161" s="15"/>
      <c r="V161" s="15"/>
      <c r="W161" s="15"/>
      <c r="X161" s="15"/>
      <c r="Y161" s="15"/>
      <c r="Z161" s="15"/>
    </row>
    <row r="162" spans="1:26" ht="15.75" customHeight="1" x14ac:dyDescent="0.25">
      <c r="A162" s="17" t="s">
        <v>467</v>
      </c>
      <c r="B162" s="41"/>
      <c r="C162" s="43">
        <f t="shared" ref="C162:D162" si="34">C160</f>
        <v>0</v>
      </c>
      <c r="D162" s="43">
        <f t="shared" si="34"/>
        <v>0</v>
      </c>
      <c r="E162" s="43">
        <f t="shared" si="32"/>
        <v>306727</v>
      </c>
      <c r="F162" s="43">
        <f t="shared" ref="F162:G162" si="35">F160</f>
        <v>306727</v>
      </c>
      <c r="G162" s="43">
        <f t="shared" si="35"/>
        <v>411868</v>
      </c>
      <c r="H162" s="15"/>
      <c r="I162" s="16"/>
      <c r="J162" s="16"/>
      <c r="K162" s="15"/>
      <c r="L162" s="15"/>
      <c r="M162" s="16"/>
      <c r="N162" s="16"/>
      <c r="O162" s="15"/>
      <c r="P162" s="15"/>
      <c r="Q162" s="15"/>
      <c r="R162" s="15"/>
      <c r="S162" s="15"/>
      <c r="T162" s="15"/>
      <c r="U162" s="15"/>
      <c r="V162" s="15"/>
      <c r="W162" s="15"/>
      <c r="X162" s="15"/>
      <c r="Y162" s="15"/>
      <c r="Z162" s="15"/>
    </row>
    <row r="163" spans="1:26" ht="15.75" customHeight="1" x14ac:dyDescent="0.25">
      <c r="A163" s="17"/>
      <c r="B163" s="41"/>
      <c r="C163" s="43"/>
      <c r="D163" s="43"/>
      <c r="E163" s="43"/>
      <c r="F163" s="43"/>
      <c r="G163" s="43"/>
      <c r="H163" s="15"/>
      <c r="I163" s="16"/>
      <c r="J163" s="16"/>
      <c r="K163" s="15"/>
      <c r="L163" s="15"/>
      <c r="M163" s="16"/>
      <c r="N163" s="16"/>
      <c r="O163" s="15"/>
      <c r="P163" s="15"/>
      <c r="Q163" s="15"/>
      <c r="R163" s="15"/>
      <c r="S163" s="15"/>
      <c r="T163" s="15"/>
      <c r="U163" s="15"/>
      <c r="V163" s="15"/>
      <c r="W163" s="15"/>
      <c r="X163" s="15"/>
      <c r="Y163" s="15"/>
      <c r="Z163" s="15"/>
    </row>
    <row r="164" spans="1:26" ht="15.75" customHeight="1" x14ac:dyDescent="0.25">
      <c r="A164" s="50" t="s">
        <v>487</v>
      </c>
      <c r="B164" s="51" t="s">
        <v>488</v>
      </c>
      <c r="C164" s="54">
        <f t="shared" ref="C164:D164" si="36">+C162</f>
        <v>0</v>
      </c>
      <c r="D164" s="54">
        <f t="shared" si="36"/>
        <v>0</v>
      </c>
      <c r="E164" s="54">
        <f>F164-D164</f>
        <v>306727</v>
      </c>
      <c r="F164" s="54">
        <f t="shared" ref="F164:G164" si="37">+F162</f>
        <v>306727</v>
      </c>
      <c r="G164" s="54">
        <f t="shared" si="37"/>
        <v>411868</v>
      </c>
      <c r="H164" s="15"/>
      <c r="I164" s="16"/>
      <c r="J164" s="16"/>
      <c r="K164" s="15"/>
      <c r="L164" s="15"/>
      <c r="M164" s="16"/>
      <c r="N164" s="16"/>
      <c r="O164" s="15"/>
      <c r="P164" s="15"/>
      <c r="Q164" s="15"/>
      <c r="R164" s="15"/>
      <c r="S164" s="15"/>
      <c r="T164" s="15"/>
      <c r="U164" s="15"/>
      <c r="V164" s="15"/>
      <c r="W164" s="15"/>
      <c r="X164" s="15"/>
      <c r="Y164" s="15"/>
      <c r="Z164" s="15"/>
    </row>
    <row r="165" spans="1:26" ht="15.75" customHeight="1" x14ac:dyDescent="0.25">
      <c r="A165" s="24"/>
      <c r="B165" s="25"/>
      <c r="C165" s="26"/>
      <c r="D165" s="26"/>
      <c r="E165" s="26"/>
      <c r="F165" s="26"/>
      <c r="G165" s="26"/>
      <c r="H165" s="15"/>
      <c r="I165" s="16"/>
      <c r="J165" s="16"/>
      <c r="K165" s="15"/>
      <c r="L165" s="15"/>
      <c r="M165" s="16"/>
      <c r="N165" s="16"/>
      <c r="O165" s="15"/>
      <c r="P165" s="15"/>
      <c r="Q165" s="15"/>
      <c r="R165" s="15"/>
      <c r="S165" s="15"/>
      <c r="T165" s="15"/>
      <c r="U165" s="15"/>
      <c r="V165" s="15"/>
      <c r="W165" s="15"/>
      <c r="X165" s="15"/>
      <c r="Y165" s="15"/>
      <c r="Z165" s="15"/>
    </row>
    <row r="166" spans="1:26" ht="15.75" customHeight="1" x14ac:dyDescent="0.25">
      <c r="A166" s="24"/>
      <c r="B166" s="25"/>
      <c r="C166" s="24"/>
      <c r="D166" s="24"/>
      <c r="E166" s="24"/>
      <c r="F166" s="15"/>
      <c r="G166" s="15"/>
      <c r="H166" s="15"/>
      <c r="I166" s="16"/>
      <c r="J166" s="16"/>
      <c r="K166" s="15"/>
      <c r="L166" s="15"/>
      <c r="M166" s="16"/>
      <c r="N166" s="16"/>
      <c r="O166" s="15"/>
      <c r="P166" s="15"/>
      <c r="Q166" s="15"/>
      <c r="R166" s="15"/>
      <c r="S166" s="15"/>
      <c r="T166" s="15"/>
      <c r="U166" s="15"/>
      <c r="V166" s="15"/>
      <c r="W166" s="15"/>
      <c r="X166" s="15"/>
      <c r="Y166" s="15"/>
      <c r="Z166" s="15"/>
    </row>
    <row r="167" spans="1:26" ht="15.75" customHeight="1" x14ac:dyDescent="0.25">
      <c r="A167" s="9"/>
      <c r="B167" s="104"/>
      <c r="C167" s="105"/>
      <c r="D167" s="105"/>
      <c r="E167" s="105"/>
      <c r="F167" s="10"/>
      <c r="G167" s="180"/>
      <c r="H167" s="15"/>
      <c r="I167" s="16"/>
      <c r="J167" s="16"/>
      <c r="K167" s="15"/>
      <c r="L167" s="15"/>
      <c r="M167" s="16"/>
      <c r="N167" s="16"/>
      <c r="O167" s="15"/>
      <c r="P167" s="15"/>
      <c r="Q167" s="15"/>
      <c r="R167" s="15"/>
      <c r="S167" s="15"/>
      <c r="T167" s="15"/>
      <c r="U167" s="15"/>
      <c r="V167" s="15"/>
      <c r="W167" s="15"/>
      <c r="X167" s="15"/>
      <c r="Y167" s="15"/>
      <c r="Z167" s="15"/>
    </row>
    <row r="168" spans="1:26" ht="15.75" customHeight="1" x14ac:dyDescent="0.25">
      <c r="A168" s="17" t="s">
        <v>868</v>
      </c>
      <c r="B168" s="15"/>
      <c r="C168" s="25"/>
      <c r="D168" s="26"/>
      <c r="E168" s="26"/>
      <c r="F168" s="26"/>
      <c r="G168" s="204"/>
      <c r="H168" s="15"/>
      <c r="I168" s="16"/>
      <c r="J168" s="16"/>
      <c r="K168" s="15"/>
      <c r="L168" s="15"/>
      <c r="M168" s="16"/>
      <c r="N168" s="16"/>
      <c r="O168" s="15"/>
      <c r="P168" s="15"/>
      <c r="Q168" s="15"/>
      <c r="R168" s="15"/>
      <c r="S168" s="15"/>
      <c r="T168" s="15"/>
      <c r="U168" s="15"/>
      <c r="V168" s="15"/>
      <c r="W168" s="15"/>
      <c r="X168" s="15"/>
      <c r="Y168" s="15"/>
      <c r="Z168" s="15"/>
    </row>
    <row r="169" spans="1:26" ht="15.75" customHeight="1" x14ac:dyDescent="0.25">
      <c r="A169" s="20"/>
      <c r="B169" s="25"/>
      <c r="C169" s="25"/>
      <c r="D169" s="25"/>
      <c r="E169" s="25"/>
      <c r="F169" s="25"/>
      <c r="G169" s="49"/>
      <c r="H169" s="15"/>
      <c r="I169" s="16"/>
      <c r="J169" s="16"/>
      <c r="K169" s="15"/>
      <c r="L169" s="15"/>
      <c r="M169" s="16"/>
      <c r="N169" s="16"/>
      <c r="O169" s="15"/>
      <c r="P169" s="15"/>
      <c r="Q169" s="15"/>
      <c r="R169" s="15"/>
      <c r="S169" s="15"/>
      <c r="T169" s="15"/>
      <c r="U169" s="15"/>
      <c r="V169" s="15"/>
      <c r="W169" s="15"/>
      <c r="X169" s="15"/>
      <c r="Y169" s="15"/>
      <c r="Z169" s="15"/>
    </row>
    <row r="170" spans="1:26" ht="15.75" customHeight="1" x14ac:dyDescent="0.25">
      <c r="A170" s="865" t="s">
        <v>352</v>
      </c>
      <c r="B170" s="866"/>
      <c r="C170" s="866"/>
      <c r="D170" s="866"/>
      <c r="E170" s="866"/>
      <c r="F170" s="866"/>
      <c r="G170" s="867"/>
      <c r="H170" s="15"/>
      <c r="I170" s="16"/>
      <c r="J170" s="16"/>
      <c r="K170" s="15"/>
      <c r="L170" s="15"/>
      <c r="M170" s="16"/>
      <c r="N170" s="16"/>
      <c r="O170" s="15"/>
      <c r="P170" s="15"/>
      <c r="Q170" s="15"/>
      <c r="R170" s="15"/>
      <c r="S170" s="15"/>
      <c r="T170" s="15"/>
      <c r="U170" s="15"/>
      <c r="V170" s="15"/>
      <c r="W170" s="15"/>
      <c r="X170" s="15"/>
      <c r="Y170" s="15"/>
      <c r="Z170" s="15"/>
    </row>
    <row r="171" spans="1:26" ht="15.75" customHeight="1" x14ac:dyDescent="0.25">
      <c r="A171" s="868" t="s">
        <v>353</v>
      </c>
      <c r="B171" s="857" t="s">
        <v>354</v>
      </c>
      <c r="C171" s="870" t="s">
        <v>355</v>
      </c>
      <c r="D171" s="872" t="s">
        <v>356</v>
      </c>
      <c r="E171" s="873"/>
      <c r="F171" s="874"/>
      <c r="G171" s="857" t="s">
        <v>357</v>
      </c>
      <c r="H171" s="15"/>
      <c r="I171" s="16"/>
      <c r="J171" s="16"/>
      <c r="K171" s="15"/>
      <c r="L171" s="15"/>
      <c r="M171" s="16"/>
      <c r="N171" s="16"/>
      <c r="O171" s="15"/>
      <c r="P171" s="15"/>
      <c r="Q171" s="15"/>
      <c r="R171" s="15"/>
      <c r="S171" s="15"/>
      <c r="T171" s="15"/>
      <c r="U171" s="15"/>
      <c r="V171" s="15"/>
      <c r="W171" s="15"/>
      <c r="X171" s="15"/>
      <c r="Y171" s="15"/>
      <c r="Z171" s="15"/>
    </row>
    <row r="172" spans="1:26" ht="15.75" customHeight="1" x14ac:dyDescent="0.25">
      <c r="A172" s="858"/>
      <c r="B172" s="858"/>
      <c r="C172" s="871"/>
      <c r="D172" s="28" t="s">
        <v>358</v>
      </c>
      <c r="E172" s="29" t="s">
        <v>359</v>
      </c>
      <c r="F172" s="875" t="s">
        <v>360</v>
      </c>
      <c r="G172" s="858"/>
      <c r="H172" s="15"/>
      <c r="I172" s="16"/>
      <c r="J172" s="16"/>
      <c r="K172" s="15"/>
      <c r="L172" s="15"/>
      <c r="M172" s="16"/>
      <c r="N172" s="16"/>
      <c r="O172" s="15"/>
      <c r="P172" s="15"/>
      <c r="Q172" s="15"/>
      <c r="R172" s="15"/>
      <c r="S172" s="15"/>
      <c r="T172" s="15"/>
      <c r="U172" s="15"/>
      <c r="V172" s="15"/>
      <c r="W172" s="15"/>
      <c r="X172" s="15"/>
      <c r="Y172" s="15"/>
      <c r="Z172" s="15"/>
    </row>
    <row r="173" spans="1:26" ht="15.75" customHeight="1" x14ac:dyDescent="0.25">
      <c r="A173" s="858"/>
      <c r="B173" s="858"/>
      <c r="C173" s="30" t="s">
        <v>361</v>
      </c>
      <c r="D173" s="31" t="s">
        <v>361</v>
      </c>
      <c r="E173" s="32" t="s">
        <v>362</v>
      </c>
      <c r="F173" s="860"/>
      <c r="G173" s="442" t="s">
        <v>2717</v>
      </c>
      <c r="H173" s="15"/>
      <c r="I173" s="16"/>
      <c r="J173" s="16"/>
      <c r="K173" s="15"/>
      <c r="L173" s="15"/>
      <c r="M173" s="16"/>
      <c r="N173" s="16"/>
      <c r="O173" s="15"/>
      <c r="P173" s="15"/>
      <c r="Q173" s="15"/>
      <c r="R173" s="15"/>
      <c r="S173" s="15"/>
      <c r="T173" s="15"/>
      <c r="U173" s="15"/>
      <c r="V173" s="15"/>
      <c r="W173" s="15"/>
      <c r="X173" s="15"/>
      <c r="Y173" s="15"/>
      <c r="Z173" s="15"/>
    </row>
    <row r="174" spans="1:26" ht="15.75" customHeight="1" x14ac:dyDescent="0.25">
      <c r="A174" s="869"/>
      <c r="B174" s="869"/>
      <c r="C174" s="33">
        <v>2024</v>
      </c>
      <c r="D174" s="34">
        <v>2025</v>
      </c>
      <c r="E174" s="35">
        <v>2025</v>
      </c>
      <c r="F174" s="34">
        <v>2025</v>
      </c>
      <c r="G174" s="36" t="s">
        <v>2668</v>
      </c>
      <c r="H174" s="15"/>
      <c r="I174" s="16"/>
      <c r="J174" s="16"/>
      <c r="K174" s="15"/>
      <c r="L174" s="15"/>
      <c r="M174" s="16"/>
      <c r="N174" s="16"/>
      <c r="O174" s="15"/>
      <c r="P174" s="15"/>
      <c r="Q174" s="15"/>
      <c r="R174" s="15"/>
      <c r="S174" s="15"/>
      <c r="T174" s="15"/>
      <c r="U174" s="15"/>
      <c r="V174" s="15"/>
      <c r="W174" s="15"/>
      <c r="X174" s="15"/>
      <c r="Y174" s="15"/>
      <c r="Z174" s="15"/>
    </row>
    <row r="175" spans="1:26" ht="15.75" customHeight="1" x14ac:dyDescent="0.25">
      <c r="A175" s="9" t="s">
        <v>364</v>
      </c>
      <c r="B175" s="38"/>
      <c r="C175" s="42"/>
      <c r="D175" s="42"/>
      <c r="E175" s="42"/>
      <c r="F175" s="42"/>
      <c r="G175" s="37"/>
      <c r="I175" s="40"/>
      <c r="J175" s="40"/>
      <c r="M175" s="40"/>
      <c r="N175" s="40"/>
    </row>
    <row r="176" spans="1:26" ht="15.75" customHeight="1" x14ac:dyDescent="0.25">
      <c r="A176" s="42" t="s">
        <v>491</v>
      </c>
      <c r="B176" s="49"/>
      <c r="C176" s="42"/>
      <c r="D176" s="42"/>
      <c r="E176" s="42"/>
      <c r="F176" s="42"/>
      <c r="G176" s="42"/>
      <c r="I176" s="40"/>
      <c r="J176" s="40"/>
      <c r="M176" s="40"/>
      <c r="N176" s="40"/>
    </row>
    <row r="177" spans="1:26" ht="15.75" customHeight="1" x14ac:dyDescent="0.25">
      <c r="A177" s="146" t="s">
        <v>869</v>
      </c>
      <c r="B177" s="49"/>
      <c r="C177" s="42"/>
      <c r="D177" s="42"/>
      <c r="E177" s="42"/>
      <c r="F177" s="42"/>
      <c r="G177" s="440"/>
      <c r="I177" s="40"/>
      <c r="J177" s="40"/>
      <c r="M177" s="40"/>
      <c r="N177" s="40"/>
    </row>
    <row r="178" spans="1:26" ht="15.75" customHeight="1" x14ac:dyDescent="0.25">
      <c r="A178" s="96" t="s">
        <v>870</v>
      </c>
      <c r="B178" s="41" t="s">
        <v>187</v>
      </c>
      <c r="C178" s="43">
        <v>0</v>
      </c>
      <c r="D178" s="43">
        <v>0</v>
      </c>
      <c r="E178" s="43">
        <f>F178-D178</f>
        <v>30000</v>
      </c>
      <c r="F178" s="43">
        <v>30000</v>
      </c>
      <c r="G178" s="440">
        <v>50000</v>
      </c>
      <c r="I178" s="40"/>
      <c r="J178" s="40"/>
      <c r="M178" s="40"/>
      <c r="N178" s="40"/>
    </row>
    <row r="179" spans="1:26" ht="15.75" customHeight="1" x14ac:dyDescent="0.25">
      <c r="A179" s="161" t="s">
        <v>493</v>
      </c>
      <c r="B179" s="41"/>
      <c r="C179" s="43"/>
      <c r="D179" s="42"/>
      <c r="E179" s="43"/>
      <c r="F179" s="43"/>
      <c r="G179" s="440"/>
      <c r="I179" s="40"/>
      <c r="J179" s="40"/>
      <c r="M179" s="40"/>
      <c r="N179" s="40"/>
    </row>
    <row r="180" spans="1:26" ht="15.75" customHeight="1" x14ac:dyDescent="0.25">
      <c r="A180" s="96" t="s">
        <v>396</v>
      </c>
      <c r="B180" s="41" t="s">
        <v>191</v>
      </c>
      <c r="C180" s="43"/>
      <c r="D180" s="43">
        <v>645466</v>
      </c>
      <c r="E180" s="43">
        <f>F180-D180</f>
        <v>126576</v>
      </c>
      <c r="F180" s="43">
        <v>772042</v>
      </c>
      <c r="G180" s="440">
        <v>254263</v>
      </c>
      <c r="I180" s="40"/>
      <c r="J180" s="40"/>
      <c r="M180" s="40"/>
      <c r="N180" s="40"/>
    </row>
    <row r="181" spans="1:26" ht="15.75" customHeight="1" x14ac:dyDescent="0.25">
      <c r="A181" s="96" t="s">
        <v>871</v>
      </c>
      <c r="B181" s="41"/>
      <c r="C181" s="43"/>
      <c r="D181" s="43"/>
      <c r="E181" s="43"/>
      <c r="F181" s="43"/>
      <c r="G181" s="440"/>
      <c r="I181" s="40">
        <v>78456</v>
      </c>
      <c r="J181" s="40"/>
      <c r="M181" s="40"/>
      <c r="N181" s="40"/>
    </row>
    <row r="182" spans="1:26" ht="31.5" x14ac:dyDescent="0.25">
      <c r="A182" s="295" t="s">
        <v>872</v>
      </c>
      <c r="B182" s="41"/>
      <c r="C182" s="43"/>
      <c r="D182" s="43"/>
      <c r="E182" s="43"/>
      <c r="F182" s="43"/>
      <c r="G182" s="440"/>
      <c r="I182" s="40">
        <v>175807</v>
      </c>
      <c r="J182" s="40">
        <f>SUM(I181:I182)</f>
        <v>254263</v>
      </c>
      <c r="M182" s="40"/>
      <c r="N182" s="40"/>
    </row>
    <row r="183" spans="1:26" ht="15.75" customHeight="1" x14ac:dyDescent="0.25">
      <c r="A183" s="17" t="s">
        <v>499</v>
      </c>
      <c r="B183" s="41"/>
      <c r="C183" s="43"/>
      <c r="D183" s="43"/>
      <c r="E183" s="43"/>
      <c r="F183" s="43"/>
      <c r="G183" s="440"/>
      <c r="I183" s="40"/>
      <c r="J183" s="40"/>
      <c r="M183" s="40"/>
      <c r="N183" s="40"/>
    </row>
    <row r="184" spans="1:26" ht="15.75" customHeight="1" x14ac:dyDescent="0.25">
      <c r="A184" s="44" t="s">
        <v>398</v>
      </c>
      <c r="B184" s="41" t="s">
        <v>195</v>
      </c>
      <c r="C184" s="43">
        <v>0</v>
      </c>
      <c r="D184" s="43">
        <v>0</v>
      </c>
      <c r="E184" s="43">
        <f>F184-D184</f>
        <v>2550</v>
      </c>
      <c r="F184" s="43">
        <v>2550</v>
      </c>
      <c r="G184" s="440">
        <v>51568</v>
      </c>
      <c r="H184" s="114"/>
      <c r="I184" s="60"/>
      <c r="J184" s="60"/>
      <c r="K184" s="114"/>
      <c r="L184" s="114"/>
      <c r="M184" s="60"/>
      <c r="N184" s="60"/>
      <c r="O184" s="114"/>
      <c r="P184" s="114"/>
      <c r="Q184" s="114"/>
      <c r="R184" s="114"/>
      <c r="S184" s="114"/>
      <c r="T184" s="114"/>
      <c r="U184" s="114"/>
      <c r="V184" s="114"/>
      <c r="W184" s="114"/>
      <c r="X184" s="114"/>
      <c r="Y184" s="114"/>
      <c r="Z184" s="114"/>
    </row>
    <row r="185" spans="1:26" ht="15.75" customHeight="1" x14ac:dyDescent="0.25">
      <c r="A185" s="44" t="s">
        <v>402</v>
      </c>
      <c r="B185" s="41" t="s">
        <v>225</v>
      </c>
      <c r="C185" s="26">
        <v>0</v>
      </c>
      <c r="D185" s="43">
        <v>0</v>
      </c>
      <c r="E185" s="43">
        <v>0</v>
      </c>
      <c r="F185" s="43">
        <v>0</v>
      </c>
      <c r="G185" s="440">
        <v>3112</v>
      </c>
      <c r="H185" s="114"/>
      <c r="I185" s="60"/>
      <c r="J185" s="60"/>
      <c r="K185" s="114"/>
      <c r="L185" s="114"/>
      <c r="M185" s="60"/>
      <c r="N185" s="60"/>
      <c r="O185" s="114"/>
      <c r="P185" s="114"/>
      <c r="Q185" s="114"/>
      <c r="R185" s="114"/>
      <c r="S185" s="114"/>
      <c r="T185" s="114"/>
      <c r="U185" s="114"/>
      <c r="V185" s="114"/>
      <c r="W185" s="114"/>
      <c r="X185" s="114"/>
      <c r="Y185" s="114"/>
      <c r="Z185" s="114"/>
    </row>
    <row r="186" spans="1:26" ht="15.75" customHeight="1" x14ac:dyDescent="0.25">
      <c r="A186" s="17" t="s">
        <v>511</v>
      </c>
      <c r="B186" s="41"/>
      <c r="C186" s="114"/>
      <c r="D186" s="197"/>
      <c r="E186" s="43"/>
      <c r="F186" s="43"/>
      <c r="G186" s="440"/>
      <c r="H186" s="114"/>
      <c r="I186" s="60"/>
      <c r="J186" s="60"/>
      <c r="K186" s="114"/>
      <c r="L186" s="114"/>
      <c r="M186" s="60"/>
      <c r="N186" s="60"/>
      <c r="O186" s="114"/>
      <c r="P186" s="114"/>
      <c r="Q186" s="114"/>
      <c r="R186" s="114"/>
      <c r="S186" s="114"/>
      <c r="T186" s="114"/>
      <c r="U186" s="114"/>
      <c r="V186" s="114"/>
      <c r="W186" s="114"/>
      <c r="X186" s="114"/>
      <c r="Y186" s="114"/>
      <c r="Z186" s="114"/>
    </row>
    <row r="187" spans="1:26" ht="15.75" customHeight="1" x14ac:dyDescent="0.25">
      <c r="A187" s="44" t="s">
        <v>424</v>
      </c>
      <c r="B187" s="41" t="s">
        <v>335</v>
      </c>
      <c r="C187" s="43">
        <v>0</v>
      </c>
      <c r="D187" s="43">
        <v>236663</v>
      </c>
      <c r="E187" s="43">
        <f>F187-D187</f>
        <v>432881</v>
      </c>
      <c r="F187" s="43">
        <v>669544</v>
      </c>
      <c r="G187" s="440">
        <v>1946688</v>
      </c>
      <c r="H187" s="114"/>
      <c r="I187" s="60"/>
      <c r="J187" s="60"/>
      <c r="K187" s="114"/>
      <c r="L187" s="114"/>
      <c r="M187" s="60"/>
      <c r="N187" s="60"/>
      <c r="O187" s="114"/>
      <c r="P187" s="114"/>
      <c r="Q187" s="114"/>
      <c r="R187" s="114"/>
      <c r="S187" s="114"/>
      <c r="T187" s="114"/>
      <c r="U187" s="114"/>
      <c r="V187" s="114"/>
      <c r="W187" s="114"/>
      <c r="X187" s="114"/>
      <c r="Y187" s="114"/>
      <c r="Z187" s="114"/>
    </row>
    <row r="188" spans="1:26" ht="31.5" x14ac:dyDescent="0.25">
      <c r="A188" s="118" t="s">
        <v>873</v>
      </c>
      <c r="B188" s="41"/>
      <c r="C188" s="43"/>
      <c r="D188" s="43"/>
      <c r="E188" s="43"/>
      <c r="F188" s="43"/>
      <c r="G188" s="440"/>
      <c r="H188" s="114"/>
      <c r="I188" s="60"/>
      <c r="J188" s="60"/>
      <c r="K188" s="114"/>
      <c r="L188" s="114"/>
      <c r="M188" s="60"/>
      <c r="N188" s="60">
        <v>134400</v>
      </c>
      <c r="O188" s="114"/>
      <c r="P188" s="114"/>
      <c r="Q188" s="114"/>
      <c r="R188" s="114"/>
      <c r="S188" s="114"/>
      <c r="T188" s="114"/>
      <c r="U188" s="114"/>
      <c r="V188" s="114"/>
      <c r="W188" s="114"/>
      <c r="X188" s="114"/>
      <c r="Y188" s="114"/>
      <c r="Z188" s="114"/>
    </row>
    <row r="189" spans="1:26" ht="15.75" customHeight="1" x14ac:dyDescent="0.25">
      <c r="A189" s="44" t="s">
        <v>874</v>
      </c>
      <c r="B189" s="41"/>
      <c r="C189" s="43"/>
      <c r="D189" s="43"/>
      <c r="E189" s="43"/>
      <c r="F189" s="43"/>
      <c r="G189" s="440"/>
      <c r="H189" s="114"/>
      <c r="I189" s="60"/>
      <c r="J189" s="60"/>
      <c r="K189" s="114"/>
      <c r="L189" s="114"/>
      <c r="M189" s="60"/>
      <c r="N189" s="60">
        <v>154500</v>
      </c>
      <c r="O189" s="114"/>
      <c r="P189" s="114"/>
      <c r="Q189" s="114"/>
      <c r="R189" s="114"/>
      <c r="S189" s="114"/>
      <c r="T189" s="114"/>
      <c r="U189" s="114"/>
      <c r="V189" s="114"/>
      <c r="W189" s="114"/>
      <c r="X189" s="114"/>
      <c r="Y189" s="114"/>
      <c r="Z189" s="114"/>
    </row>
    <row r="190" spans="1:26" ht="15.75" customHeight="1" x14ac:dyDescent="0.25">
      <c r="A190" s="44" t="s">
        <v>875</v>
      </c>
      <c r="B190" s="41"/>
      <c r="C190" s="43"/>
      <c r="D190" s="43"/>
      <c r="E190" s="43"/>
      <c r="F190" s="43"/>
      <c r="G190" s="440"/>
      <c r="H190" s="114"/>
      <c r="I190" s="60"/>
      <c r="J190" s="60"/>
      <c r="K190" s="114"/>
      <c r="L190" s="114"/>
      <c r="M190" s="60"/>
      <c r="N190" s="60">
        <v>215536</v>
      </c>
      <c r="O190" s="114"/>
      <c r="P190" s="114"/>
      <c r="Q190" s="114"/>
      <c r="R190" s="114"/>
      <c r="S190" s="114"/>
      <c r="T190" s="114"/>
      <c r="U190" s="114"/>
      <c r="V190" s="114"/>
      <c r="W190" s="114"/>
      <c r="X190" s="114"/>
      <c r="Y190" s="114"/>
      <c r="Z190" s="114"/>
    </row>
    <row r="191" spans="1:26" ht="15.75" customHeight="1" x14ac:dyDescent="0.25">
      <c r="A191" s="44" t="s">
        <v>876</v>
      </c>
      <c r="B191" s="41"/>
      <c r="C191" s="43"/>
      <c r="D191" s="43"/>
      <c r="E191" s="43"/>
      <c r="F191" s="43"/>
      <c r="G191" s="440"/>
      <c r="H191" s="114"/>
      <c r="I191" s="60"/>
      <c r="J191" s="60"/>
      <c r="K191" s="114"/>
      <c r="L191" s="114"/>
      <c r="M191" s="60"/>
      <c r="N191" s="60">
        <v>51500</v>
      </c>
      <c r="O191" s="114"/>
      <c r="P191" s="114"/>
      <c r="Q191" s="114"/>
      <c r="R191" s="114"/>
      <c r="S191" s="114"/>
      <c r="T191" s="114"/>
      <c r="U191" s="114"/>
      <c r="V191" s="114"/>
      <c r="W191" s="114"/>
      <c r="X191" s="114"/>
      <c r="Y191" s="114"/>
      <c r="Z191" s="114"/>
    </row>
    <row r="192" spans="1:26" ht="15.75" customHeight="1" x14ac:dyDescent="0.25">
      <c r="A192" s="44" t="s">
        <v>864</v>
      </c>
      <c r="B192" s="41"/>
      <c r="C192" s="43"/>
      <c r="D192" s="43"/>
      <c r="E192" s="43"/>
      <c r="F192" s="43"/>
      <c r="G192" s="440"/>
      <c r="H192" s="114"/>
      <c r="I192" s="210" t="s">
        <v>877</v>
      </c>
      <c r="J192" s="211" t="s">
        <v>878</v>
      </c>
      <c r="K192" s="210" t="s">
        <v>879</v>
      </c>
      <c r="L192" s="8" t="s">
        <v>880</v>
      </c>
      <c r="M192" s="210" t="s">
        <v>881</v>
      </c>
      <c r="N192" s="60"/>
      <c r="O192" s="114"/>
      <c r="P192" s="114"/>
      <c r="Q192" s="114"/>
      <c r="R192" s="114"/>
      <c r="S192" s="114"/>
      <c r="T192" s="114"/>
      <c r="U192" s="114"/>
      <c r="V192" s="114"/>
      <c r="W192" s="114"/>
      <c r="X192" s="114"/>
      <c r="Y192" s="114"/>
      <c r="Z192" s="114"/>
    </row>
    <row r="193" spans="1:26" ht="31.5" x14ac:dyDescent="0.25">
      <c r="A193" s="118" t="s">
        <v>882</v>
      </c>
      <c r="B193" s="41"/>
      <c r="C193" s="43"/>
      <c r="D193" s="43"/>
      <c r="E193" s="43"/>
      <c r="F193" s="43"/>
      <c r="G193" s="440"/>
      <c r="H193" s="114"/>
      <c r="I193" s="60">
        <v>678</v>
      </c>
      <c r="J193" s="211">
        <v>4</v>
      </c>
      <c r="K193" s="8">
        <v>22</v>
      </c>
      <c r="L193" s="8">
        <v>12</v>
      </c>
      <c r="M193" s="60">
        <f t="shared" ref="M193:M194" si="38">I193*J193*K193*L193</f>
        <v>715968</v>
      </c>
      <c r="N193" s="60"/>
      <c r="O193" s="114"/>
      <c r="P193" s="114"/>
      <c r="Q193" s="114"/>
      <c r="R193" s="114"/>
      <c r="S193" s="114"/>
      <c r="T193" s="114"/>
      <c r="U193" s="114"/>
      <c r="V193" s="114"/>
      <c r="W193" s="114"/>
      <c r="X193" s="114"/>
      <c r="Y193" s="114"/>
      <c r="Z193" s="114"/>
    </row>
    <row r="194" spans="1:26" ht="31.5" x14ac:dyDescent="0.25">
      <c r="A194" s="118" t="s">
        <v>883</v>
      </c>
      <c r="B194" s="41"/>
      <c r="C194" s="43"/>
      <c r="D194" s="43"/>
      <c r="E194" s="43"/>
      <c r="F194" s="43"/>
      <c r="G194" s="440"/>
      <c r="H194" s="114"/>
      <c r="I194" s="60">
        <v>639</v>
      </c>
      <c r="J194" s="211">
        <v>4</v>
      </c>
      <c r="K194" s="8">
        <v>22</v>
      </c>
      <c r="L194" s="8">
        <v>12</v>
      </c>
      <c r="M194" s="60">
        <f t="shared" si="38"/>
        <v>674784</v>
      </c>
      <c r="N194" s="60">
        <f>M193+M194</f>
        <v>1390752</v>
      </c>
      <c r="O194" s="60">
        <f>SUM(N188:N194)</f>
        <v>1946688</v>
      </c>
      <c r="P194" s="114"/>
      <c r="Q194" s="114"/>
      <c r="R194" s="114"/>
      <c r="S194" s="114"/>
      <c r="T194" s="114"/>
      <c r="U194" s="114"/>
      <c r="V194" s="114"/>
      <c r="W194" s="114"/>
      <c r="X194" s="114"/>
      <c r="Y194" s="114"/>
      <c r="Z194" s="114"/>
    </row>
    <row r="195" spans="1:26" ht="15.75" customHeight="1" x14ac:dyDescent="0.25">
      <c r="A195" s="42" t="s">
        <v>466</v>
      </c>
      <c r="B195" s="41"/>
      <c r="C195" s="54">
        <f t="shared" ref="C195:F195" si="39">SUM(C178:C187)</f>
        <v>0</v>
      </c>
      <c r="D195" s="54">
        <f t="shared" si="39"/>
        <v>882129</v>
      </c>
      <c r="E195" s="54">
        <f t="shared" si="39"/>
        <v>592007</v>
      </c>
      <c r="F195" s="54">
        <f t="shared" si="39"/>
        <v>1474136</v>
      </c>
      <c r="G195" s="476">
        <f>SUM(G178:G187)</f>
        <v>2305631</v>
      </c>
      <c r="H195" s="114"/>
      <c r="I195" s="60"/>
      <c r="J195" s="60"/>
      <c r="K195" s="114"/>
      <c r="L195" s="114"/>
      <c r="M195" s="60"/>
      <c r="N195" s="60"/>
      <c r="O195" s="114"/>
      <c r="P195" s="114"/>
      <c r="Q195" s="114"/>
      <c r="R195" s="114"/>
      <c r="S195" s="114"/>
      <c r="T195" s="114"/>
      <c r="U195" s="114"/>
      <c r="V195" s="114"/>
      <c r="W195" s="114"/>
      <c r="X195" s="114"/>
      <c r="Y195" s="114"/>
      <c r="Z195" s="114"/>
    </row>
    <row r="196" spans="1:26" ht="15.75" customHeight="1" x14ac:dyDescent="0.25">
      <c r="A196" s="446"/>
      <c r="B196" s="437"/>
      <c r="C196" s="450"/>
      <c r="D196" s="448"/>
      <c r="E196" s="438"/>
      <c r="F196" s="448"/>
      <c r="G196" s="448"/>
      <c r="H196" s="114"/>
      <c r="I196" s="60"/>
      <c r="J196" s="60"/>
      <c r="K196" s="114"/>
      <c r="L196" s="114"/>
      <c r="M196" s="60"/>
      <c r="N196" s="60"/>
      <c r="O196" s="114"/>
      <c r="P196" s="114"/>
      <c r="Q196" s="114"/>
      <c r="R196" s="114"/>
      <c r="S196" s="114"/>
      <c r="T196" s="114"/>
      <c r="U196" s="114"/>
      <c r="V196" s="114"/>
      <c r="W196" s="114"/>
      <c r="X196" s="114"/>
      <c r="Y196" s="114"/>
      <c r="Z196" s="114"/>
    </row>
    <row r="197" spans="1:26" ht="15.75" customHeight="1" x14ac:dyDescent="0.25">
      <c r="A197" s="456" t="s">
        <v>467</v>
      </c>
      <c r="B197" s="461"/>
      <c r="C197" s="443">
        <f>SUM(C178:C187)</f>
        <v>0</v>
      </c>
      <c r="D197" s="443">
        <f>D195</f>
        <v>882129</v>
      </c>
      <c r="E197" s="443">
        <f>F197-D197</f>
        <v>592007</v>
      </c>
      <c r="F197" s="443">
        <f t="shared" ref="F197:G197" si="40">F195</f>
        <v>1474136</v>
      </c>
      <c r="G197" s="462">
        <f t="shared" si="40"/>
        <v>2305631</v>
      </c>
      <c r="H197" s="450"/>
      <c r="I197" s="60"/>
      <c r="J197" s="60"/>
      <c r="K197" s="114"/>
      <c r="L197" s="114"/>
      <c r="M197" s="60"/>
      <c r="N197" s="60"/>
      <c r="O197" s="114"/>
      <c r="P197" s="114"/>
      <c r="Q197" s="114"/>
      <c r="R197" s="114"/>
      <c r="S197" s="114"/>
      <c r="T197" s="114"/>
      <c r="U197" s="114"/>
      <c r="V197" s="114"/>
      <c r="W197" s="114"/>
      <c r="X197" s="114"/>
      <c r="Y197" s="114"/>
      <c r="Z197" s="114"/>
    </row>
    <row r="198" spans="1:26" ht="15.75" customHeight="1" x14ac:dyDescent="0.25">
      <c r="A198" s="17"/>
      <c r="B198" s="41"/>
      <c r="C198" s="43"/>
      <c r="D198" s="43"/>
      <c r="E198" s="43"/>
      <c r="F198" s="43"/>
      <c r="G198" s="43"/>
      <c r="H198" s="114"/>
      <c r="I198" s="60"/>
      <c r="J198" s="60"/>
      <c r="K198" s="114"/>
      <c r="L198" s="114"/>
      <c r="M198" s="60"/>
      <c r="N198" s="60"/>
      <c r="O198" s="114"/>
      <c r="P198" s="114"/>
      <c r="Q198" s="114"/>
      <c r="R198" s="114"/>
      <c r="S198" s="114"/>
      <c r="T198" s="114"/>
      <c r="U198" s="114"/>
      <c r="V198" s="114"/>
      <c r="W198" s="114"/>
      <c r="X198" s="114"/>
      <c r="Y198" s="114"/>
      <c r="Z198" s="114"/>
    </row>
    <row r="199" spans="1:26" ht="15.75" customHeight="1" x14ac:dyDescent="0.25">
      <c r="A199" s="50" t="s">
        <v>487</v>
      </c>
      <c r="B199" s="51" t="s">
        <v>488</v>
      </c>
      <c r="C199" s="54">
        <f t="shared" ref="C199:D199" si="41">C197</f>
        <v>0</v>
      </c>
      <c r="D199" s="54">
        <f t="shared" si="41"/>
        <v>882129</v>
      </c>
      <c r="E199" s="54">
        <f>F199-D199</f>
        <v>592007</v>
      </c>
      <c r="F199" s="54">
        <f t="shared" ref="F199:G199" si="42">F197</f>
        <v>1474136</v>
      </c>
      <c r="G199" s="54">
        <f t="shared" si="42"/>
        <v>2305631</v>
      </c>
      <c r="H199" s="114"/>
      <c r="I199" s="60"/>
      <c r="J199" s="60"/>
      <c r="K199" s="114"/>
      <c r="L199" s="114"/>
      <c r="M199" s="60"/>
      <c r="N199" s="60"/>
      <c r="O199" s="114"/>
      <c r="P199" s="114"/>
      <c r="Q199" s="114"/>
      <c r="R199" s="114"/>
      <c r="S199" s="114"/>
      <c r="T199" s="114"/>
      <c r="U199" s="114"/>
      <c r="V199" s="114"/>
      <c r="W199" s="114"/>
      <c r="X199" s="114"/>
      <c r="Y199" s="114"/>
      <c r="Z199" s="114"/>
    </row>
    <row r="200" spans="1:26" ht="15.75" customHeight="1" x14ac:dyDescent="0.25">
      <c r="A200" s="105"/>
      <c r="B200" s="104"/>
      <c r="C200" s="26"/>
      <c r="D200" s="81"/>
      <c r="E200" s="81"/>
      <c r="F200" s="81"/>
      <c r="G200" s="81"/>
      <c r="H200" s="114"/>
      <c r="I200" s="60"/>
      <c r="J200" s="60"/>
      <c r="K200" s="114"/>
      <c r="L200" s="114"/>
      <c r="M200" s="60"/>
      <c r="N200" s="60"/>
      <c r="O200" s="114"/>
      <c r="P200" s="114"/>
      <c r="Q200" s="114"/>
      <c r="R200" s="114"/>
      <c r="S200" s="114"/>
      <c r="T200" s="114"/>
      <c r="U200" s="114"/>
      <c r="V200" s="114"/>
      <c r="W200" s="114"/>
      <c r="X200" s="114"/>
      <c r="Y200" s="114"/>
      <c r="Z200" s="114"/>
    </row>
    <row r="201" spans="1:26" ht="15.75" customHeight="1" x14ac:dyDescent="0.25">
      <c r="A201" s="24"/>
      <c r="B201" s="25"/>
      <c r="C201" s="24"/>
      <c r="D201" s="24"/>
      <c r="E201" s="24"/>
      <c r="F201" s="15"/>
      <c r="G201" s="15"/>
      <c r="H201" s="15"/>
      <c r="I201" s="16"/>
      <c r="J201" s="16"/>
      <c r="K201" s="15"/>
      <c r="L201" s="15"/>
      <c r="M201" s="16"/>
      <c r="N201" s="16"/>
      <c r="O201" s="15"/>
      <c r="P201" s="15"/>
      <c r="Q201" s="15"/>
      <c r="R201" s="15"/>
      <c r="S201" s="15"/>
      <c r="T201" s="15"/>
      <c r="U201" s="15"/>
      <c r="V201" s="15"/>
      <c r="W201" s="15"/>
      <c r="X201" s="15"/>
      <c r="Y201" s="15"/>
      <c r="Z201" s="15"/>
    </row>
    <row r="202" spans="1:26" ht="15.75" customHeight="1" x14ac:dyDescent="0.25">
      <c r="A202" s="9"/>
      <c r="B202" s="104"/>
      <c r="C202" s="105"/>
      <c r="D202" s="105"/>
      <c r="E202" s="105"/>
      <c r="F202" s="10"/>
      <c r="G202" s="180"/>
      <c r="H202" s="15"/>
      <c r="I202" s="16"/>
      <c r="J202" s="16"/>
      <c r="K202" s="15"/>
      <c r="L202" s="15"/>
      <c r="M202" s="16"/>
      <c r="N202" s="16"/>
      <c r="O202" s="15"/>
      <c r="P202" s="15"/>
      <c r="Q202" s="15"/>
      <c r="R202" s="15"/>
      <c r="S202" s="15"/>
      <c r="T202" s="15"/>
      <c r="U202" s="15"/>
      <c r="V202" s="15"/>
      <c r="W202" s="15"/>
      <c r="X202" s="15"/>
      <c r="Y202" s="15"/>
      <c r="Z202" s="15"/>
    </row>
    <row r="203" spans="1:26" ht="15.75" customHeight="1" x14ac:dyDescent="0.25">
      <c r="A203" s="108" t="s">
        <v>810</v>
      </c>
      <c r="B203" s="25"/>
      <c r="C203" s="26"/>
      <c r="D203" s="26"/>
      <c r="E203" s="26"/>
      <c r="F203" s="14"/>
      <c r="G203" s="181"/>
      <c r="H203" s="15"/>
      <c r="I203" s="16"/>
      <c r="J203" s="16"/>
      <c r="K203" s="15"/>
      <c r="L203" s="15"/>
      <c r="M203" s="16"/>
      <c r="N203" s="16"/>
      <c r="O203" s="15"/>
      <c r="P203" s="15"/>
      <c r="Q203" s="15"/>
      <c r="R203" s="15"/>
      <c r="S203" s="15"/>
      <c r="T203" s="15"/>
      <c r="U203" s="15"/>
      <c r="V203" s="15"/>
      <c r="W203" s="15"/>
      <c r="X203" s="15"/>
      <c r="Y203" s="15"/>
      <c r="Z203" s="15"/>
    </row>
    <row r="204" spans="1:26" ht="15.75" customHeight="1" x14ac:dyDescent="0.25">
      <c r="A204" s="44"/>
      <c r="B204" s="25"/>
      <c r="C204" s="26"/>
      <c r="D204" s="26"/>
      <c r="E204" s="26"/>
      <c r="F204" s="14"/>
      <c r="G204" s="181"/>
      <c r="H204" s="15"/>
      <c r="I204" s="16"/>
      <c r="J204" s="16"/>
      <c r="K204" s="15"/>
      <c r="L204" s="15"/>
      <c r="M204" s="16"/>
      <c r="N204" s="16"/>
      <c r="O204" s="15"/>
      <c r="P204" s="15"/>
      <c r="Q204" s="15"/>
      <c r="R204" s="15"/>
      <c r="S204" s="15"/>
      <c r="T204" s="15"/>
      <c r="U204" s="15"/>
      <c r="V204" s="15"/>
      <c r="W204" s="15"/>
      <c r="X204" s="15"/>
      <c r="Y204" s="15"/>
      <c r="Z204" s="15"/>
    </row>
    <row r="205" spans="1:26" ht="15.75" customHeight="1" x14ac:dyDescent="0.25">
      <c r="A205" s="865" t="s">
        <v>352</v>
      </c>
      <c r="B205" s="866"/>
      <c r="C205" s="866"/>
      <c r="D205" s="866"/>
      <c r="E205" s="866"/>
      <c r="F205" s="866"/>
      <c r="G205" s="867"/>
      <c r="H205" s="15"/>
      <c r="I205" s="16"/>
      <c r="J205" s="16"/>
      <c r="K205" s="15"/>
      <c r="L205" s="15"/>
      <c r="M205" s="16"/>
      <c r="N205" s="16"/>
      <c r="O205" s="15"/>
      <c r="P205" s="15"/>
      <c r="Q205" s="15"/>
      <c r="R205" s="15"/>
      <c r="S205" s="15"/>
      <c r="T205" s="15"/>
      <c r="U205" s="15"/>
      <c r="V205" s="15"/>
      <c r="W205" s="15"/>
      <c r="X205" s="15"/>
      <c r="Y205" s="15"/>
      <c r="Z205" s="15"/>
    </row>
    <row r="206" spans="1:26" ht="15.75" customHeight="1" x14ac:dyDescent="0.25">
      <c r="A206" s="868" t="s">
        <v>353</v>
      </c>
      <c r="B206" s="857" t="s">
        <v>354</v>
      </c>
      <c r="C206" s="870" t="s">
        <v>355</v>
      </c>
      <c r="D206" s="872" t="s">
        <v>356</v>
      </c>
      <c r="E206" s="873"/>
      <c r="F206" s="874"/>
      <c r="G206" s="857" t="s">
        <v>357</v>
      </c>
      <c r="H206" s="15"/>
      <c r="I206" s="16"/>
      <c r="J206" s="16"/>
      <c r="K206" s="15"/>
      <c r="L206" s="15"/>
      <c r="M206" s="16"/>
      <c r="N206" s="16"/>
      <c r="O206" s="15"/>
      <c r="P206" s="15"/>
      <c r="Q206" s="15"/>
      <c r="R206" s="15"/>
      <c r="S206" s="15"/>
      <c r="T206" s="15"/>
      <c r="U206" s="15"/>
      <c r="V206" s="15"/>
      <c r="W206" s="15"/>
      <c r="X206" s="15"/>
      <c r="Y206" s="15"/>
      <c r="Z206" s="15"/>
    </row>
    <row r="207" spans="1:26" ht="15.75" customHeight="1" x14ac:dyDescent="0.25">
      <c r="A207" s="858"/>
      <c r="B207" s="858"/>
      <c r="C207" s="871"/>
      <c r="D207" s="28" t="s">
        <v>358</v>
      </c>
      <c r="E207" s="29" t="s">
        <v>359</v>
      </c>
      <c r="F207" s="875" t="s">
        <v>360</v>
      </c>
      <c r="G207" s="858"/>
      <c r="H207" s="15"/>
      <c r="I207" s="16"/>
      <c r="J207" s="16"/>
      <c r="K207" s="15"/>
      <c r="L207" s="15"/>
      <c r="M207" s="16"/>
      <c r="N207" s="16"/>
      <c r="O207" s="15"/>
      <c r="P207" s="15"/>
      <c r="Q207" s="15"/>
      <c r="R207" s="15"/>
      <c r="S207" s="15"/>
      <c r="T207" s="15"/>
      <c r="U207" s="15"/>
      <c r="V207" s="15"/>
      <c r="W207" s="15"/>
      <c r="X207" s="15"/>
      <c r="Y207" s="15"/>
      <c r="Z207" s="15"/>
    </row>
    <row r="208" spans="1:26" ht="15.75" customHeight="1" x14ac:dyDescent="0.25">
      <c r="A208" s="858"/>
      <c r="B208" s="858"/>
      <c r="C208" s="30" t="s">
        <v>361</v>
      </c>
      <c r="D208" s="31" t="s">
        <v>361</v>
      </c>
      <c r="E208" s="32" t="s">
        <v>362</v>
      </c>
      <c r="F208" s="860"/>
      <c r="G208" s="442" t="s">
        <v>2717</v>
      </c>
      <c r="H208" s="15"/>
      <c r="I208" s="16"/>
      <c r="J208" s="16"/>
      <c r="K208" s="15"/>
      <c r="L208" s="15"/>
      <c r="M208" s="16"/>
      <c r="N208" s="16"/>
      <c r="O208" s="15"/>
      <c r="P208" s="15"/>
      <c r="Q208" s="15"/>
      <c r="R208" s="15"/>
      <c r="S208" s="15"/>
      <c r="T208" s="15"/>
      <c r="U208" s="15"/>
      <c r="V208" s="15"/>
      <c r="W208" s="15"/>
      <c r="X208" s="15"/>
      <c r="Y208" s="15"/>
      <c r="Z208" s="15"/>
    </row>
    <row r="209" spans="1:26" ht="15.75" customHeight="1" x14ac:dyDescent="0.25">
      <c r="A209" s="869"/>
      <c r="B209" s="869"/>
      <c r="C209" s="33">
        <v>2024</v>
      </c>
      <c r="D209" s="34">
        <v>2025</v>
      </c>
      <c r="E209" s="35">
        <v>2025</v>
      </c>
      <c r="F209" s="34">
        <v>2025</v>
      </c>
      <c r="G209" s="36" t="s">
        <v>2668</v>
      </c>
      <c r="H209" s="15"/>
      <c r="I209" s="16"/>
      <c r="J209" s="16"/>
      <c r="K209" s="15"/>
      <c r="L209" s="15"/>
      <c r="M209" s="16"/>
      <c r="N209" s="16"/>
      <c r="O209" s="15"/>
      <c r="P209" s="15"/>
      <c r="Q209" s="15"/>
      <c r="R209" s="15"/>
      <c r="S209" s="15"/>
      <c r="T209" s="15"/>
      <c r="U209" s="15"/>
      <c r="V209" s="15"/>
      <c r="W209" s="15"/>
      <c r="X209" s="15"/>
      <c r="Y209" s="15"/>
      <c r="Z209" s="15"/>
    </row>
    <row r="210" spans="1:26" ht="15.75" customHeight="1" x14ac:dyDescent="0.25">
      <c r="A210" s="9" t="s">
        <v>364</v>
      </c>
      <c r="B210" s="38"/>
      <c r="C210" s="42"/>
      <c r="D210" s="42"/>
      <c r="E210" s="42"/>
      <c r="F210" s="42"/>
      <c r="G210" s="37"/>
      <c r="H210" s="114"/>
      <c r="I210" s="60"/>
      <c r="J210" s="60"/>
      <c r="K210" s="114"/>
      <c r="L210" s="114"/>
      <c r="M210" s="60"/>
      <c r="N210" s="60"/>
      <c r="O210" s="114"/>
      <c r="P210" s="114"/>
      <c r="Q210" s="114"/>
      <c r="R210" s="114"/>
      <c r="S210" s="114"/>
      <c r="T210" s="114"/>
      <c r="U210" s="114"/>
      <c r="V210" s="114"/>
      <c r="W210" s="114"/>
      <c r="X210" s="114"/>
      <c r="Y210" s="114"/>
      <c r="Z210" s="114"/>
    </row>
    <row r="211" spans="1:26" ht="15.75" customHeight="1" x14ac:dyDescent="0.25">
      <c r="A211" s="42" t="s">
        <v>491</v>
      </c>
      <c r="B211" s="49"/>
      <c r="C211" s="43"/>
      <c r="D211" s="43"/>
      <c r="E211" s="43"/>
      <c r="F211" s="43"/>
      <c r="G211" s="43"/>
      <c r="H211" s="114"/>
      <c r="I211" s="60"/>
      <c r="J211" s="60"/>
      <c r="K211" s="114"/>
      <c r="L211" s="114"/>
      <c r="M211" s="60"/>
      <c r="N211" s="60"/>
      <c r="O211" s="114"/>
      <c r="P211" s="114"/>
      <c r="Q211" s="114"/>
      <c r="R211" s="114"/>
      <c r="S211" s="114"/>
      <c r="T211" s="114"/>
      <c r="U211" s="114"/>
      <c r="V211" s="114"/>
      <c r="W211" s="114"/>
      <c r="X211" s="114"/>
      <c r="Y211" s="114"/>
      <c r="Z211" s="114"/>
    </row>
    <row r="212" spans="1:26" ht="15.75" customHeight="1" x14ac:dyDescent="0.25">
      <c r="A212" s="17" t="s">
        <v>642</v>
      </c>
      <c r="B212" s="41"/>
      <c r="C212" s="43"/>
      <c r="D212" s="43"/>
      <c r="E212" s="43"/>
      <c r="F212" s="43"/>
      <c r="G212" s="43"/>
      <c r="H212" s="114"/>
      <c r="I212" s="60"/>
      <c r="J212" s="60"/>
      <c r="K212" s="114"/>
      <c r="L212" s="114"/>
      <c r="M212" s="60"/>
      <c r="N212" s="60"/>
      <c r="O212" s="114"/>
      <c r="P212" s="114"/>
      <c r="Q212" s="114"/>
      <c r="R212" s="114"/>
      <c r="S212" s="114"/>
      <c r="T212" s="114"/>
      <c r="U212" s="114"/>
      <c r="V212" s="114"/>
      <c r="W212" s="114"/>
      <c r="X212" s="114"/>
      <c r="Y212" s="114"/>
      <c r="Z212" s="114"/>
    </row>
    <row r="213" spans="1:26" ht="15.75" customHeight="1" x14ac:dyDescent="0.25">
      <c r="A213" s="44" t="s">
        <v>393</v>
      </c>
      <c r="B213" s="41" t="s">
        <v>187</v>
      </c>
      <c r="C213" s="43">
        <v>19800</v>
      </c>
      <c r="D213" s="43">
        <v>0</v>
      </c>
      <c r="E213" s="43">
        <f>F213-D213</f>
        <v>20000</v>
      </c>
      <c r="F213" s="43">
        <v>20000</v>
      </c>
      <c r="G213" s="43">
        <v>20000</v>
      </c>
      <c r="H213" s="114"/>
      <c r="I213" s="60"/>
      <c r="J213" s="60"/>
      <c r="K213" s="114"/>
      <c r="L213" s="114"/>
      <c r="M213" s="60"/>
      <c r="N213" s="60"/>
      <c r="O213" s="114"/>
      <c r="P213" s="114"/>
      <c r="Q213" s="114"/>
      <c r="R213" s="114"/>
      <c r="S213" s="114"/>
      <c r="T213" s="114"/>
      <c r="U213" s="114"/>
      <c r="V213" s="114"/>
      <c r="W213" s="114"/>
      <c r="X213" s="114"/>
      <c r="Y213" s="114"/>
      <c r="Z213" s="114"/>
    </row>
    <row r="214" spans="1:26" ht="15.75" customHeight="1" x14ac:dyDescent="0.25">
      <c r="A214" s="17" t="s">
        <v>499</v>
      </c>
      <c r="B214" s="41"/>
      <c r="C214" s="43"/>
      <c r="D214" s="43"/>
      <c r="E214" s="43"/>
      <c r="F214" s="43"/>
      <c r="G214" s="43"/>
      <c r="H214" s="114"/>
      <c r="I214" s="60"/>
      <c r="J214" s="60"/>
      <c r="K214" s="114"/>
      <c r="L214" s="114"/>
      <c r="M214" s="60"/>
      <c r="N214" s="60"/>
      <c r="O214" s="114"/>
      <c r="P214" s="114"/>
      <c r="Q214" s="114"/>
      <c r="R214" s="114"/>
      <c r="S214" s="114"/>
      <c r="T214" s="114"/>
      <c r="U214" s="114"/>
      <c r="V214" s="114"/>
      <c r="W214" s="114"/>
      <c r="X214" s="114"/>
      <c r="Y214" s="114"/>
      <c r="Z214" s="114"/>
    </row>
    <row r="215" spans="1:26" ht="15.75" customHeight="1" x14ac:dyDescent="0.25">
      <c r="A215" s="44" t="s">
        <v>398</v>
      </c>
      <c r="B215" s="41" t="s">
        <v>195</v>
      </c>
      <c r="C215" s="43">
        <v>19660.02</v>
      </c>
      <c r="D215" s="43">
        <v>9808.1299999999992</v>
      </c>
      <c r="E215" s="43">
        <f t="shared" ref="E215:E216" si="43">F215-D215</f>
        <v>10191.870000000001</v>
      </c>
      <c r="F215" s="43">
        <v>20000</v>
      </c>
      <c r="G215" s="43">
        <v>20000</v>
      </c>
      <c r="H215" s="114"/>
      <c r="I215" s="60"/>
      <c r="J215" s="60"/>
      <c r="K215" s="114"/>
      <c r="L215" s="114"/>
      <c r="M215" s="60"/>
      <c r="N215" s="60"/>
      <c r="O215" s="114"/>
      <c r="P215" s="114"/>
      <c r="Q215" s="114"/>
      <c r="R215" s="114"/>
      <c r="S215" s="114"/>
      <c r="T215" s="114"/>
      <c r="U215" s="114"/>
      <c r="V215" s="114"/>
      <c r="W215" s="114"/>
      <c r="X215" s="114"/>
      <c r="Y215" s="114"/>
      <c r="Z215" s="114"/>
    </row>
    <row r="216" spans="1:26" ht="15.75" customHeight="1" x14ac:dyDescent="0.25">
      <c r="A216" s="44" t="s">
        <v>402</v>
      </c>
      <c r="B216" s="41" t="s">
        <v>225</v>
      </c>
      <c r="C216" s="43">
        <v>17753.810000000001</v>
      </c>
      <c r="D216" s="43">
        <v>5576.49</v>
      </c>
      <c r="E216" s="43">
        <f t="shared" si="43"/>
        <v>5623.51</v>
      </c>
      <c r="F216" s="43">
        <v>11200</v>
      </c>
      <c r="G216" s="43">
        <v>11200</v>
      </c>
      <c r="H216" s="114"/>
      <c r="I216" s="60"/>
      <c r="J216" s="60"/>
      <c r="K216" s="114"/>
      <c r="L216" s="114"/>
      <c r="M216" s="60"/>
      <c r="N216" s="60"/>
      <c r="O216" s="114"/>
      <c r="P216" s="114"/>
      <c r="Q216" s="114"/>
      <c r="R216" s="114"/>
      <c r="S216" s="114"/>
      <c r="T216" s="114"/>
      <c r="U216" s="114"/>
      <c r="V216" s="114"/>
      <c r="W216" s="114"/>
      <c r="X216" s="114"/>
      <c r="Y216" s="114"/>
      <c r="Z216" s="114"/>
    </row>
    <row r="217" spans="1:26" ht="15.75" customHeight="1" x14ac:dyDescent="0.25">
      <c r="A217" s="17" t="s">
        <v>511</v>
      </c>
      <c r="B217" s="41"/>
      <c r="C217" s="43"/>
      <c r="D217" s="43"/>
      <c r="E217" s="43"/>
      <c r="F217" s="43"/>
      <c r="G217" s="43"/>
      <c r="H217" s="114"/>
      <c r="I217" s="60"/>
      <c r="J217" s="60"/>
      <c r="K217" s="114"/>
      <c r="L217" s="114"/>
      <c r="M217" s="60"/>
      <c r="N217" s="60"/>
      <c r="O217" s="114"/>
      <c r="P217" s="114"/>
      <c r="Q217" s="114"/>
      <c r="R217" s="114"/>
      <c r="S217" s="114"/>
      <c r="T217" s="114"/>
      <c r="U217" s="114"/>
      <c r="V217" s="114"/>
      <c r="W217" s="114"/>
      <c r="X217" s="114"/>
      <c r="Y217" s="114"/>
      <c r="Z217" s="114"/>
    </row>
    <row r="218" spans="1:26" ht="15.75" customHeight="1" x14ac:dyDescent="0.25">
      <c r="A218" s="44" t="s">
        <v>424</v>
      </c>
      <c r="B218" s="41" t="s">
        <v>335</v>
      </c>
      <c r="C218" s="43">
        <v>671263.92</v>
      </c>
      <c r="D218" s="43">
        <v>285628.86</v>
      </c>
      <c r="E218" s="43">
        <f>F218-D218</f>
        <v>398571.14</v>
      </c>
      <c r="F218" s="43">
        <v>684200</v>
      </c>
      <c r="G218" s="43">
        <v>863480</v>
      </c>
      <c r="H218" s="114">
        <v>264</v>
      </c>
      <c r="I218" s="60">
        <v>639</v>
      </c>
      <c r="J218" s="60">
        <v>5</v>
      </c>
      <c r="K218" s="212">
        <f>H218*I218*J218</f>
        <v>843480</v>
      </c>
      <c r="L218" s="114"/>
      <c r="M218" s="60"/>
      <c r="N218" s="60"/>
      <c r="O218" s="114"/>
      <c r="P218" s="114"/>
      <c r="Q218" s="114"/>
      <c r="R218" s="114"/>
      <c r="S218" s="114"/>
      <c r="T218" s="114"/>
      <c r="U218" s="114"/>
      <c r="V218" s="114"/>
      <c r="W218" s="114"/>
      <c r="X218" s="114"/>
      <c r="Y218" s="114"/>
      <c r="Z218" s="114"/>
    </row>
    <row r="219" spans="1:26" ht="15.75" customHeight="1" x14ac:dyDescent="0.25">
      <c r="A219" s="44" t="s">
        <v>884</v>
      </c>
      <c r="B219" s="41"/>
      <c r="C219" s="43"/>
      <c r="D219" s="43"/>
      <c r="E219" s="43"/>
      <c r="F219" s="43"/>
      <c r="G219" s="43"/>
      <c r="H219" s="114"/>
      <c r="I219" s="60"/>
      <c r="J219" s="60"/>
      <c r="K219" s="114"/>
      <c r="L219" s="114"/>
      <c r="M219" s="60"/>
      <c r="N219" s="60"/>
      <c r="O219" s="114"/>
      <c r="P219" s="114"/>
      <c r="Q219" s="114"/>
      <c r="R219" s="114"/>
      <c r="S219" s="114"/>
      <c r="T219" s="114"/>
      <c r="U219" s="114"/>
      <c r="V219" s="114"/>
      <c r="W219" s="114"/>
      <c r="X219" s="114"/>
      <c r="Y219" s="114"/>
      <c r="Z219" s="114"/>
    </row>
    <row r="220" spans="1:26" ht="15.75" customHeight="1" x14ac:dyDescent="0.25">
      <c r="A220" s="44" t="s">
        <v>885</v>
      </c>
      <c r="B220" s="41"/>
      <c r="C220" s="43"/>
      <c r="D220" s="43"/>
      <c r="E220" s="43"/>
      <c r="F220" s="43"/>
      <c r="G220" s="43"/>
      <c r="H220" s="114"/>
      <c r="I220" s="60"/>
      <c r="J220" s="60"/>
      <c r="K220" s="114"/>
      <c r="L220" s="114"/>
      <c r="M220" s="60"/>
      <c r="N220" s="60"/>
      <c r="O220" s="114"/>
      <c r="P220" s="114"/>
      <c r="Q220" s="114"/>
      <c r="R220" s="114"/>
      <c r="S220" s="114"/>
      <c r="T220" s="114"/>
      <c r="U220" s="114"/>
      <c r="V220" s="114"/>
      <c r="W220" s="114"/>
      <c r="X220" s="114"/>
      <c r="Y220" s="114"/>
      <c r="Z220" s="114"/>
    </row>
    <row r="221" spans="1:26" ht="15.75" customHeight="1" x14ac:dyDescent="0.25">
      <c r="A221" s="17" t="s">
        <v>886</v>
      </c>
      <c r="B221" s="41"/>
      <c r="C221" s="43"/>
      <c r="D221" s="43"/>
      <c r="E221" s="43"/>
      <c r="F221" s="43"/>
      <c r="G221" s="43"/>
      <c r="H221" s="114"/>
      <c r="I221" s="60"/>
      <c r="J221" s="60"/>
      <c r="K221" s="114"/>
      <c r="L221" s="114"/>
      <c r="M221" s="60"/>
      <c r="N221" s="60"/>
      <c r="O221" s="114"/>
      <c r="P221" s="114"/>
      <c r="Q221" s="114"/>
      <c r="R221" s="114"/>
      <c r="S221" s="114"/>
      <c r="T221" s="114"/>
      <c r="U221" s="114"/>
      <c r="V221" s="114"/>
      <c r="W221" s="114"/>
      <c r="X221" s="114"/>
      <c r="Y221" s="114"/>
      <c r="Z221" s="114"/>
    </row>
    <row r="222" spans="1:26" ht="15.75" customHeight="1" x14ac:dyDescent="0.25">
      <c r="A222" s="42" t="s">
        <v>466</v>
      </c>
      <c r="B222" s="41"/>
      <c r="C222" s="54">
        <f>SUM(C213:C218)</f>
        <v>728477.75</v>
      </c>
      <c r="D222" s="54">
        <f>SUM(D213:D218)</f>
        <v>301013.48</v>
      </c>
      <c r="E222" s="54">
        <f>F222-D222</f>
        <v>434386.52</v>
      </c>
      <c r="F222" s="54">
        <f>SUM(F213:F218)</f>
        <v>735400</v>
      </c>
      <c r="G222" s="54">
        <f>SUM(G213:G218)</f>
        <v>914680</v>
      </c>
      <c r="H222" s="114"/>
      <c r="I222" s="60"/>
      <c r="J222" s="60"/>
      <c r="K222" s="114"/>
      <c r="L222" s="114"/>
      <c r="M222" s="60"/>
      <c r="N222" s="60"/>
      <c r="O222" s="114"/>
      <c r="P222" s="114"/>
      <c r="Q222" s="114"/>
      <c r="R222" s="114"/>
      <c r="S222" s="114"/>
      <c r="T222" s="114"/>
      <c r="U222" s="114"/>
      <c r="V222" s="114"/>
      <c r="W222" s="114"/>
      <c r="X222" s="114"/>
      <c r="Y222" s="114"/>
      <c r="Z222" s="114"/>
    </row>
    <row r="223" spans="1:26" ht="15.75" customHeight="1" x14ac:dyDescent="0.25">
      <c r="A223" s="17"/>
      <c r="B223" s="41"/>
      <c r="C223" s="55"/>
      <c r="D223" s="55"/>
      <c r="E223" s="43"/>
      <c r="F223" s="55"/>
      <c r="G223" s="55"/>
      <c r="H223" s="114"/>
      <c r="I223" s="60"/>
      <c r="J223" s="60"/>
      <c r="K223" s="114"/>
      <c r="L223" s="114"/>
      <c r="M223" s="60"/>
      <c r="N223" s="60"/>
      <c r="O223" s="114"/>
      <c r="P223" s="114"/>
      <c r="Q223" s="114"/>
      <c r="R223" s="114"/>
      <c r="S223" s="114"/>
      <c r="T223" s="114"/>
      <c r="U223" s="114"/>
      <c r="V223" s="114"/>
      <c r="W223" s="114"/>
      <c r="X223" s="114"/>
      <c r="Y223" s="114"/>
      <c r="Z223" s="114"/>
    </row>
    <row r="224" spans="1:26" ht="15.75" customHeight="1" x14ac:dyDescent="0.25">
      <c r="A224" s="17" t="s">
        <v>467</v>
      </c>
      <c r="B224" s="41"/>
      <c r="C224" s="43">
        <f t="shared" ref="C224:D224" si="44">C222</f>
        <v>728477.75</v>
      </c>
      <c r="D224" s="43">
        <f t="shared" si="44"/>
        <v>301013.48</v>
      </c>
      <c r="E224" s="43">
        <f>F224-D224</f>
        <v>434386.52</v>
      </c>
      <c r="F224" s="43">
        <f t="shared" ref="F224:G224" si="45">F222</f>
        <v>735400</v>
      </c>
      <c r="G224" s="43">
        <f t="shared" si="45"/>
        <v>914680</v>
      </c>
      <c r="H224" s="114"/>
      <c r="I224" s="60"/>
      <c r="J224" s="60"/>
      <c r="K224" s="114"/>
      <c r="L224" s="114"/>
      <c r="M224" s="60"/>
      <c r="N224" s="60"/>
      <c r="O224" s="114"/>
      <c r="P224" s="114"/>
      <c r="Q224" s="114"/>
      <c r="R224" s="114"/>
      <c r="S224" s="114"/>
      <c r="T224" s="114"/>
      <c r="U224" s="114"/>
      <c r="V224" s="114"/>
      <c r="W224" s="114"/>
      <c r="X224" s="114"/>
      <c r="Y224" s="114"/>
      <c r="Z224" s="114"/>
    </row>
    <row r="225" spans="1:26" ht="15.75" customHeight="1" x14ac:dyDescent="0.25">
      <c r="A225" s="17"/>
      <c r="B225" s="41"/>
      <c r="C225" s="43"/>
      <c r="D225" s="43"/>
      <c r="E225" s="43"/>
      <c r="F225" s="43"/>
      <c r="G225" s="43"/>
      <c r="H225" s="114"/>
      <c r="I225" s="60"/>
      <c r="J225" s="60"/>
      <c r="K225" s="114"/>
      <c r="L225" s="114"/>
      <c r="M225" s="60"/>
      <c r="N225" s="60"/>
      <c r="O225" s="114"/>
      <c r="P225" s="114"/>
      <c r="Q225" s="114"/>
      <c r="R225" s="114"/>
      <c r="S225" s="114"/>
      <c r="T225" s="114"/>
      <c r="U225" s="114"/>
      <c r="V225" s="114"/>
      <c r="W225" s="114"/>
      <c r="X225" s="114"/>
      <c r="Y225" s="114"/>
      <c r="Z225" s="114"/>
    </row>
    <row r="226" spans="1:26" ht="15.75" customHeight="1" x14ac:dyDescent="0.25">
      <c r="A226" s="50" t="s">
        <v>487</v>
      </c>
      <c r="B226" s="51" t="s">
        <v>488</v>
      </c>
      <c r="C226" s="54">
        <f t="shared" ref="C226:D226" si="46">+C224</f>
        <v>728477.75</v>
      </c>
      <c r="D226" s="54">
        <f t="shared" si="46"/>
        <v>301013.48</v>
      </c>
      <c r="E226" s="54">
        <f>F226-D226</f>
        <v>434386.52</v>
      </c>
      <c r="F226" s="54">
        <f t="shared" ref="F226:G226" si="47">+F224</f>
        <v>735400</v>
      </c>
      <c r="G226" s="54">
        <f t="shared" si="47"/>
        <v>914680</v>
      </c>
      <c r="H226" s="114"/>
      <c r="I226" s="60"/>
      <c r="J226" s="60"/>
      <c r="K226" s="114"/>
      <c r="L226" s="114"/>
      <c r="M226" s="60"/>
      <c r="N226" s="60"/>
      <c r="O226" s="114"/>
      <c r="P226" s="114"/>
      <c r="Q226" s="114"/>
      <c r="R226" s="114"/>
      <c r="S226" s="114"/>
      <c r="T226" s="114"/>
      <c r="U226" s="114"/>
      <c r="V226" s="114"/>
      <c r="W226" s="114"/>
      <c r="X226" s="114"/>
      <c r="Y226" s="114"/>
      <c r="Z226" s="114"/>
    </row>
    <row r="227" spans="1:26" ht="15.75" customHeight="1" x14ac:dyDescent="0.25">
      <c r="A227" s="24"/>
      <c r="B227" s="25"/>
      <c r="C227" s="26"/>
      <c r="D227" s="26"/>
      <c r="E227" s="26"/>
      <c r="F227" s="26"/>
      <c r="G227" s="26"/>
      <c r="H227" s="114"/>
      <c r="I227" s="60"/>
      <c r="J227" s="60"/>
      <c r="K227" s="114"/>
      <c r="L227" s="114"/>
      <c r="M227" s="60"/>
      <c r="N227" s="60"/>
      <c r="O227" s="114"/>
      <c r="P227" s="114"/>
      <c r="Q227" s="114"/>
      <c r="R227" s="114"/>
      <c r="S227" s="114"/>
      <c r="T227" s="114"/>
      <c r="U227" s="114"/>
      <c r="V227" s="114"/>
      <c r="W227" s="114"/>
      <c r="X227" s="114"/>
      <c r="Y227" s="114"/>
      <c r="Z227" s="114"/>
    </row>
    <row r="228" spans="1:26" ht="15.75" customHeight="1" x14ac:dyDescent="0.25">
      <c r="A228" s="24"/>
      <c r="B228" s="25"/>
      <c r="C228" s="24"/>
      <c r="D228" s="24"/>
      <c r="E228" s="24"/>
      <c r="F228" s="15"/>
      <c r="G228" s="15"/>
      <c r="H228" s="15"/>
      <c r="I228" s="16"/>
      <c r="J228" s="16"/>
      <c r="K228" s="15"/>
      <c r="L228" s="15"/>
      <c r="M228" s="16"/>
      <c r="N228" s="16"/>
      <c r="O228" s="15"/>
      <c r="P228" s="15"/>
      <c r="Q228" s="15"/>
      <c r="R228" s="15"/>
      <c r="S228" s="15"/>
      <c r="T228" s="15"/>
      <c r="U228" s="15"/>
      <c r="V228" s="15"/>
      <c r="W228" s="15"/>
      <c r="X228" s="15"/>
      <c r="Y228" s="15"/>
      <c r="Z228" s="15"/>
    </row>
    <row r="229" spans="1:26" ht="15.75" customHeight="1" x14ac:dyDescent="0.25">
      <c r="A229" s="9"/>
      <c r="B229" s="104"/>
      <c r="C229" s="105"/>
      <c r="D229" s="105"/>
      <c r="E229" s="105"/>
      <c r="F229" s="10"/>
      <c r="G229" s="180"/>
      <c r="H229" s="15"/>
      <c r="I229" s="16"/>
      <c r="J229" s="16"/>
      <c r="K229" s="15"/>
      <c r="L229" s="15"/>
      <c r="M229" s="16"/>
      <c r="N229" s="16"/>
      <c r="O229" s="15"/>
      <c r="P229" s="15"/>
      <c r="Q229" s="15"/>
      <c r="R229" s="15"/>
      <c r="S229" s="15"/>
      <c r="T229" s="15"/>
      <c r="U229" s="15"/>
      <c r="V229" s="15"/>
      <c r="W229" s="15"/>
      <c r="X229" s="15"/>
      <c r="Y229" s="15"/>
      <c r="Z229" s="15"/>
    </row>
    <row r="230" spans="1:26" ht="15.75" customHeight="1" x14ac:dyDescent="0.25">
      <c r="A230" s="108" t="s">
        <v>811</v>
      </c>
      <c r="B230" s="25"/>
      <c r="C230" s="26"/>
      <c r="D230" s="26"/>
      <c r="E230" s="26"/>
      <c r="F230" s="14"/>
      <c r="G230" s="181"/>
      <c r="H230" s="15"/>
      <c r="I230" s="16"/>
      <c r="J230" s="16"/>
      <c r="K230" s="15"/>
      <c r="L230" s="15"/>
      <c r="M230" s="16"/>
      <c r="N230" s="16"/>
      <c r="O230" s="15"/>
      <c r="P230" s="15"/>
      <c r="Q230" s="15"/>
      <c r="R230" s="15"/>
      <c r="S230" s="15"/>
      <c r="T230" s="15"/>
      <c r="U230" s="15"/>
      <c r="V230" s="15"/>
      <c r="W230" s="15"/>
      <c r="X230" s="15"/>
      <c r="Y230" s="15"/>
      <c r="Z230" s="15"/>
    </row>
    <row r="231" spans="1:26" ht="15.75" customHeight="1" x14ac:dyDescent="0.25">
      <c r="A231" s="44"/>
      <c r="B231" s="25"/>
      <c r="C231" s="26"/>
      <c r="D231" s="26"/>
      <c r="E231" s="26"/>
      <c r="F231" s="14"/>
      <c r="G231" s="181"/>
      <c r="H231" s="15"/>
      <c r="I231" s="16"/>
      <c r="J231" s="16"/>
      <c r="K231" s="15"/>
      <c r="L231" s="15"/>
      <c r="M231" s="16"/>
      <c r="N231" s="16"/>
      <c r="O231" s="15"/>
      <c r="P231" s="15"/>
      <c r="Q231" s="15"/>
      <c r="R231" s="15"/>
      <c r="S231" s="15"/>
      <c r="T231" s="15"/>
      <c r="U231" s="15"/>
      <c r="V231" s="15"/>
      <c r="W231" s="15"/>
      <c r="X231" s="15"/>
      <c r="Y231" s="15"/>
      <c r="Z231" s="15"/>
    </row>
    <row r="232" spans="1:26" ht="15.75" customHeight="1" x14ac:dyDescent="0.25">
      <c r="A232" s="865" t="s">
        <v>352</v>
      </c>
      <c r="B232" s="866"/>
      <c r="C232" s="866"/>
      <c r="D232" s="866"/>
      <c r="E232" s="866"/>
      <c r="F232" s="866"/>
      <c r="G232" s="867"/>
      <c r="H232" s="15"/>
      <c r="I232" s="16"/>
      <c r="J232" s="16"/>
      <c r="K232" s="15"/>
      <c r="L232" s="15"/>
      <c r="M232" s="16"/>
      <c r="N232" s="16"/>
      <c r="O232" s="15"/>
      <c r="P232" s="15"/>
      <c r="Q232" s="15"/>
      <c r="R232" s="15"/>
      <c r="S232" s="15"/>
      <c r="T232" s="15"/>
      <c r="U232" s="15"/>
      <c r="V232" s="15"/>
      <c r="W232" s="15"/>
      <c r="X232" s="15"/>
      <c r="Y232" s="15"/>
      <c r="Z232" s="15"/>
    </row>
    <row r="233" spans="1:26" ht="15.75" customHeight="1" x14ac:dyDescent="0.25">
      <c r="A233" s="868" t="s">
        <v>353</v>
      </c>
      <c r="B233" s="857" t="s">
        <v>354</v>
      </c>
      <c r="C233" s="870" t="s">
        <v>355</v>
      </c>
      <c r="D233" s="872" t="s">
        <v>356</v>
      </c>
      <c r="E233" s="873"/>
      <c r="F233" s="874"/>
      <c r="G233" s="857" t="s">
        <v>357</v>
      </c>
      <c r="H233" s="15"/>
      <c r="I233" s="16"/>
      <c r="J233" s="16"/>
      <c r="K233" s="15"/>
      <c r="L233" s="15"/>
      <c r="M233" s="16"/>
      <c r="N233" s="16"/>
      <c r="O233" s="15"/>
      <c r="P233" s="15"/>
      <c r="Q233" s="15"/>
      <c r="R233" s="15"/>
      <c r="S233" s="15"/>
      <c r="T233" s="15"/>
      <c r="U233" s="15"/>
      <c r="V233" s="15"/>
      <c r="W233" s="15"/>
      <c r="X233" s="15"/>
      <c r="Y233" s="15"/>
      <c r="Z233" s="15"/>
    </row>
    <row r="234" spans="1:26" ht="15.75" customHeight="1" x14ac:dyDescent="0.25">
      <c r="A234" s="858"/>
      <c r="B234" s="858"/>
      <c r="C234" s="871"/>
      <c r="D234" s="28" t="s">
        <v>358</v>
      </c>
      <c r="E234" s="29" t="s">
        <v>359</v>
      </c>
      <c r="F234" s="876" t="s">
        <v>360</v>
      </c>
      <c r="G234" s="858"/>
      <c r="H234" s="15"/>
      <c r="I234" s="16"/>
      <c r="J234" s="16"/>
      <c r="K234" s="15"/>
      <c r="L234" s="15"/>
      <c r="M234" s="16"/>
      <c r="N234" s="16"/>
      <c r="O234" s="15"/>
      <c r="P234" s="15"/>
      <c r="Q234" s="15"/>
      <c r="R234" s="15"/>
      <c r="S234" s="15"/>
      <c r="T234" s="15"/>
      <c r="U234" s="15"/>
      <c r="V234" s="15"/>
      <c r="W234" s="15"/>
      <c r="X234" s="15"/>
      <c r="Y234" s="15"/>
      <c r="Z234" s="15"/>
    </row>
    <row r="235" spans="1:26" ht="15.75" customHeight="1" x14ac:dyDescent="0.25">
      <c r="A235" s="858"/>
      <c r="B235" s="858"/>
      <c r="C235" s="30" t="s">
        <v>361</v>
      </c>
      <c r="D235" s="31" t="s">
        <v>361</v>
      </c>
      <c r="E235" s="32" t="s">
        <v>362</v>
      </c>
      <c r="F235" s="877"/>
      <c r="G235" s="442" t="s">
        <v>2717</v>
      </c>
      <c r="H235" s="15"/>
      <c r="I235" s="16"/>
      <c r="J235" s="16"/>
      <c r="K235" s="15"/>
      <c r="L235" s="15"/>
      <c r="M235" s="16"/>
      <c r="N235" s="16"/>
      <c r="O235" s="15"/>
      <c r="P235" s="15"/>
      <c r="Q235" s="15"/>
      <c r="R235" s="15"/>
      <c r="S235" s="15"/>
      <c r="T235" s="15"/>
      <c r="U235" s="15"/>
      <c r="V235" s="15"/>
      <c r="W235" s="15"/>
      <c r="X235" s="15"/>
      <c r="Y235" s="15"/>
      <c r="Z235" s="15"/>
    </row>
    <row r="236" spans="1:26" ht="15.75" customHeight="1" x14ac:dyDescent="0.25">
      <c r="A236" s="869"/>
      <c r="B236" s="869"/>
      <c r="C236" s="33">
        <v>2024</v>
      </c>
      <c r="D236" s="34">
        <v>2025</v>
      </c>
      <c r="E236" s="35">
        <v>2025</v>
      </c>
      <c r="F236" s="213">
        <v>2025</v>
      </c>
      <c r="G236" s="36" t="s">
        <v>2668</v>
      </c>
      <c r="H236" s="15"/>
      <c r="I236" s="16"/>
      <c r="J236" s="16"/>
      <c r="K236" s="15"/>
      <c r="L236" s="15"/>
      <c r="M236" s="16"/>
      <c r="N236" s="16"/>
      <c r="O236" s="15"/>
      <c r="P236" s="15"/>
      <c r="Q236" s="15"/>
      <c r="R236" s="15"/>
      <c r="S236" s="15"/>
      <c r="T236" s="15"/>
      <c r="U236" s="15"/>
      <c r="V236" s="15"/>
      <c r="W236" s="15"/>
      <c r="X236" s="15"/>
      <c r="Y236" s="15"/>
      <c r="Z236" s="15"/>
    </row>
    <row r="237" spans="1:26" ht="15.75" customHeight="1" x14ac:dyDescent="0.25">
      <c r="A237" s="9" t="s">
        <v>364</v>
      </c>
      <c r="B237" s="38"/>
      <c r="C237" s="42"/>
      <c r="D237" s="42"/>
      <c r="E237" s="42"/>
      <c r="F237" s="42"/>
      <c r="G237" s="37"/>
      <c r="H237" s="114"/>
      <c r="I237" s="60"/>
      <c r="J237" s="60"/>
      <c r="K237" s="114"/>
      <c r="L237" s="114"/>
      <c r="M237" s="60"/>
      <c r="N237" s="60"/>
      <c r="O237" s="114"/>
      <c r="P237" s="114"/>
      <c r="Q237" s="114"/>
      <c r="R237" s="114"/>
      <c r="S237" s="114"/>
      <c r="T237" s="114"/>
      <c r="U237" s="114"/>
      <c r="V237" s="114"/>
      <c r="W237" s="114"/>
      <c r="X237" s="114"/>
      <c r="Y237" s="114"/>
      <c r="Z237" s="114"/>
    </row>
    <row r="238" spans="1:26" ht="15.75" customHeight="1" x14ac:dyDescent="0.25">
      <c r="A238" s="42" t="s">
        <v>491</v>
      </c>
      <c r="B238" s="49"/>
      <c r="C238" s="43"/>
      <c r="D238" s="43"/>
      <c r="E238" s="43"/>
      <c r="F238" s="43"/>
      <c r="G238" s="43"/>
      <c r="H238" s="114"/>
      <c r="I238" s="60"/>
      <c r="J238" s="60"/>
      <c r="K238" s="114"/>
      <c r="L238" s="114"/>
      <c r="M238" s="60"/>
      <c r="N238" s="60"/>
      <c r="O238" s="114"/>
      <c r="P238" s="114"/>
      <c r="Q238" s="114"/>
      <c r="R238" s="114"/>
      <c r="S238" s="114"/>
      <c r="T238" s="114"/>
      <c r="U238" s="114"/>
      <c r="V238" s="114"/>
      <c r="W238" s="114"/>
      <c r="X238" s="114"/>
      <c r="Y238" s="114"/>
      <c r="Z238" s="114"/>
    </row>
    <row r="239" spans="1:26" ht="15.75" customHeight="1" x14ac:dyDescent="0.25">
      <c r="A239" s="17" t="s">
        <v>642</v>
      </c>
      <c r="B239" s="41"/>
      <c r="C239" s="43"/>
      <c r="D239" s="43"/>
      <c r="E239" s="43"/>
      <c r="F239" s="43"/>
      <c r="G239" s="43"/>
      <c r="H239" s="114"/>
      <c r="I239" s="60"/>
      <c r="J239" s="60"/>
      <c r="K239" s="114"/>
      <c r="L239" s="114"/>
      <c r="M239" s="60"/>
      <c r="N239" s="60"/>
      <c r="O239" s="114"/>
      <c r="P239" s="114"/>
      <c r="Q239" s="114"/>
      <c r="R239" s="114"/>
      <c r="S239" s="114"/>
      <c r="T239" s="114"/>
      <c r="U239" s="114"/>
      <c r="V239" s="114"/>
      <c r="W239" s="114"/>
      <c r="X239" s="114"/>
      <c r="Y239" s="114"/>
      <c r="Z239" s="114"/>
    </row>
    <row r="240" spans="1:26" ht="15.75" customHeight="1" x14ac:dyDescent="0.25">
      <c r="A240" s="44" t="s">
        <v>393</v>
      </c>
      <c r="B240" s="41" t="s">
        <v>187</v>
      </c>
      <c r="C240" s="43">
        <v>817090.76</v>
      </c>
      <c r="D240" s="43">
        <v>67187.360000000001</v>
      </c>
      <c r="E240" s="43">
        <f>F240-D240</f>
        <v>932812.64</v>
      </c>
      <c r="F240" s="43">
        <v>1000000</v>
      </c>
      <c r="G240" s="43">
        <v>1188690</v>
      </c>
      <c r="H240" s="114"/>
      <c r="I240" s="60"/>
      <c r="J240" s="60"/>
      <c r="K240" s="114"/>
      <c r="L240" s="114"/>
      <c r="M240" s="60"/>
      <c r="N240" s="60"/>
      <c r="O240" s="114"/>
      <c r="P240" s="114"/>
      <c r="Q240" s="114"/>
      <c r="R240" s="114"/>
      <c r="S240" s="114"/>
      <c r="T240" s="114"/>
      <c r="U240" s="114"/>
      <c r="V240" s="114"/>
      <c r="W240" s="114"/>
      <c r="X240" s="114"/>
      <c r="Y240" s="114"/>
      <c r="Z240" s="114"/>
    </row>
    <row r="241" spans="1:26" ht="15.75" customHeight="1" x14ac:dyDescent="0.25">
      <c r="A241" s="44" t="s">
        <v>887</v>
      </c>
      <c r="B241" s="41"/>
      <c r="C241" s="43"/>
      <c r="D241" s="43"/>
      <c r="E241" s="43"/>
      <c r="F241" s="43"/>
      <c r="G241" s="43"/>
      <c r="H241" s="114"/>
      <c r="I241" s="60">
        <v>1000000</v>
      </c>
      <c r="J241" s="60"/>
      <c r="K241" s="114"/>
      <c r="L241" s="114"/>
      <c r="M241" s="60"/>
      <c r="N241" s="60"/>
      <c r="O241" s="114"/>
      <c r="P241" s="114"/>
      <c r="Q241" s="114"/>
      <c r="R241" s="114"/>
      <c r="S241" s="114"/>
      <c r="T241" s="114"/>
      <c r="U241" s="114"/>
      <c r="V241" s="114"/>
      <c r="W241" s="114"/>
      <c r="X241" s="114"/>
      <c r="Y241" s="114"/>
      <c r="Z241" s="114"/>
    </row>
    <row r="242" spans="1:26" ht="15.75" customHeight="1" x14ac:dyDescent="0.25">
      <c r="A242" s="44" t="s">
        <v>888</v>
      </c>
      <c r="B242" s="41"/>
      <c r="C242" s="43"/>
      <c r="D242" s="43"/>
      <c r="E242" s="43"/>
      <c r="F242" s="43"/>
      <c r="G242" s="43"/>
      <c r="H242" s="114"/>
      <c r="I242" s="60">
        <v>108690</v>
      </c>
      <c r="J242" s="60"/>
      <c r="K242" s="114"/>
      <c r="L242" s="114"/>
      <c r="M242" s="60"/>
      <c r="N242" s="60"/>
      <c r="O242" s="114"/>
      <c r="P242" s="114"/>
      <c r="Q242" s="114"/>
      <c r="R242" s="114"/>
      <c r="S242" s="114"/>
      <c r="T242" s="114"/>
      <c r="U242" s="114"/>
      <c r="V242" s="114"/>
      <c r="W242" s="114"/>
      <c r="X242" s="114"/>
      <c r="Y242" s="114"/>
      <c r="Z242" s="114"/>
    </row>
    <row r="243" spans="1:26" ht="15.75" customHeight="1" x14ac:dyDescent="0.25">
      <c r="A243" s="44" t="s">
        <v>889</v>
      </c>
      <c r="B243" s="41"/>
      <c r="C243" s="43"/>
      <c r="D243" s="43"/>
      <c r="E243" s="43"/>
      <c r="F243" s="43"/>
      <c r="G243" s="43"/>
      <c r="H243" s="114"/>
      <c r="I243" s="60">
        <v>40000</v>
      </c>
      <c r="J243" s="60"/>
      <c r="K243" s="114"/>
      <c r="L243" s="114"/>
      <c r="M243" s="60"/>
      <c r="N243" s="60"/>
      <c r="O243" s="114"/>
      <c r="P243" s="114"/>
      <c r="Q243" s="114"/>
      <c r="R243" s="114"/>
      <c r="S243" s="114"/>
      <c r="T243" s="114"/>
      <c r="U243" s="114"/>
      <c r="V243" s="114"/>
      <c r="W243" s="114"/>
      <c r="X243" s="114"/>
      <c r="Y243" s="114"/>
      <c r="Z243" s="114"/>
    </row>
    <row r="244" spans="1:26" ht="15.75" customHeight="1" x14ac:dyDescent="0.25">
      <c r="A244" s="44" t="s">
        <v>890</v>
      </c>
      <c r="B244" s="41"/>
      <c r="C244" s="43"/>
      <c r="D244" s="43"/>
      <c r="E244" s="43"/>
      <c r="F244" s="43"/>
      <c r="G244" s="43"/>
      <c r="H244" s="114"/>
      <c r="I244" s="60">
        <v>40000</v>
      </c>
      <c r="J244" s="60">
        <f>SUM(I241:I244)</f>
        <v>1188690</v>
      </c>
      <c r="K244" s="114"/>
      <c r="L244" s="114"/>
      <c r="M244" s="60"/>
      <c r="N244" s="60"/>
      <c r="O244" s="114"/>
      <c r="P244" s="114"/>
      <c r="Q244" s="114"/>
      <c r="R244" s="114"/>
      <c r="S244" s="114"/>
      <c r="T244" s="114"/>
      <c r="U244" s="114"/>
      <c r="V244" s="114"/>
      <c r="W244" s="114"/>
      <c r="X244" s="114"/>
      <c r="Y244" s="114"/>
      <c r="Z244" s="114"/>
    </row>
    <row r="245" spans="1:26" ht="15.75" customHeight="1" x14ac:dyDescent="0.25">
      <c r="A245" s="161" t="s">
        <v>493</v>
      </c>
      <c r="B245" s="41"/>
      <c r="C245" s="43"/>
      <c r="D245" s="43"/>
      <c r="E245" s="43"/>
      <c r="F245" s="43"/>
      <c r="G245" s="43"/>
      <c r="H245" s="114"/>
      <c r="I245" s="60"/>
      <c r="J245" s="60"/>
      <c r="K245" s="114"/>
      <c r="L245" s="114"/>
      <c r="M245" s="60"/>
      <c r="N245" s="60"/>
      <c r="O245" s="114"/>
      <c r="P245" s="114"/>
      <c r="Q245" s="114"/>
      <c r="R245" s="114"/>
      <c r="S245" s="114"/>
      <c r="T245" s="114"/>
      <c r="U245" s="114"/>
      <c r="V245" s="114"/>
      <c r="W245" s="114"/>
      <c r="X245" s="114"/>
      <c r="Y245" s="114"/>
      <c r="Z245" s="114"/>
    </row>
    <row r="246" spans="1:26" ht="15.75" customHeight="1" x14ac:dyDescent="0.25">
      <c r="A246" s="96" t="s">
        <v>396</v>
      </c>
      <c r="B246" s="41" t="s">
        <v>191</v>
      </c>
      <c r="C246" s="43"/>
      <c r="D246" s="43">
        <v>0</v>
      </c>
      <c r="E246" s="43">
        <f>F246-D246</f>
        <v>300000</v>
      </c>
      <c r="F246" s="43">
        <v>300000</v>
      </c>
      <c r="G246" s="43">
        <v>300000</v>
      </c>
      <c r="H246" s="114"/>
      <c r="I246" s="60"/>
      <c r="J246" s="60"/>
      <c r="K246" s="114"/>
      <c r="L246" s="114"/>
      <c r="M246" s="60"/>
      <c r="N246" s="60"/>
      <c r="O246" s="114"/>
      <c r="P246" s="114"/>
      <c r="Q246" s="114"/>
      <c r="R246" s="114"/>
      <c r="S246" s="114"/>
      <c r="T246" s="114"/>
      <c r="U246" s="114"/>
      <c r="V246" s="114"/>
      <c r="W246" s="114"/>
      <c r="X246" s="114"/>
      <c r="Y246" s="114"/>
      <c r="Z246" s="114"/>
    </row>
    <row r="247" spans="1:26" ht="15.75" customHeight="1" x14ac:dyDescent="0.25">
      <c r="A247" s="96" t="s">
        <v>891</v>
      </c>
      <c r="B247" s="41"/>
      <c r="C247" s="43"/>
      <c r="D247" s="43"/>
      <c r="E247" s="43"/>
      <c r="F247" s="43"/>
      <c r="G247" s="43"/>
      <c r="H247" s="114"/>
      <c r="I247" s="60"/>
      <c r="J247" s="60"/>
      <c r="K247" s="114"/>
      <c r="L247" s="114"/>
      <c r="M247" s="60"/>
      <c r="N247" s="60"/>
      <c r="O247" s="114"/>
      <c r="P247" s="114"/>
      <c r="Q247" s="114"/>
      <c r="R247" s="114"/>
      <c r="S247" s="114"/>
      <c r="T247" s="114"/>
      <c r="U247" s="114"/>
      <c r="V247" s="114"/>
      <c r="W247" s="114"/>
      <c r="X247" s="114"/>
      <c r="Y247" s="114"/>
      <c r="Z247" s="114"/>
    </row>
    <row r="248" spans="1:26" ht="15.75" customHeight="1" x14ac:dyDescent="0.25">
      <c r="A248" s="17" t="s">
        <v>812</v>
      </c>
      <c r="B248" s="41"/>
      <c r="C248" s="43"/>
      <c r="D248" s="43"/>
      <c r="E248" s="43"/>
      <c r="F248" s="43"/>
      <c r="G248" s="43"/>
      <c r="H248" s="114"/>
      <c r="I248" s="60"/>
      <c r="J248" s="60"/>
      <c r="K248" s="114"/>
      <c r="L248" s="114"/>
      <c r="M248" s="60"/>
      <c r="N248" s="60"/>
      <c r="O248" s="114"/>
      <c r="P248" s="114"/>
      <c r="Q248" s="114"/>
      <c r="R248" s="114"/>
      <c r="S248" s="114"/>
      <c r="T248" s="114"/>
      <c r="U248" s="114"/>
      <c r="V248" s="114"/>
      <c r="W248" s="114"/>
      <c r="X248" s="114"/>
      <c r="Y248" s="114"/>
      <c r="Z248" s="114"/>
    </row>
    <row r="249" spans="1:26" ht="15.75" customHeight="1" x14ac:dyDescent="0.25">
      <c r="A249" s="44" t="s">
        <v>398</v>
      </c>
      <c r="B249" s="41" t="s">
        <v>195</v>
      </c>
      <c r="C249" s="43">
        <v>345308</v>
      </c>
      <c r="D249" s="43">
        <v>349870</v>
      </c>
      <c r="E249" s="43">
        <f>F249-D249</f>
        <v>350130</v>
      </c>
      <c r="F249" s="43">
        <v>700000</v>
      </c>
      <c r="G249" s="43">
        <v>898568</v>
      </c>
      <c r="H249" s="114"/>
      <c r="I249" s="60"/>
      <c r="J249" s="60"/>
      <c r="K249" s="114"/>
      <c r="L249" s="114"/>
      <c r="M249" s="60"/>
      <c r="N249" s="60"/>
      <c r="O249" s="114"/>
      <c r="P249" s="114"/>
      <c r="Q249" s="114"/>
      <c r="R249" s="114"/>
      <c r="S249" s="114"/>
      <c r="T249" s="114"/>
      <c r="U249" s="114"/>
      <c r="V249" s="114"/>
      <c r="W249" s="114"/>
      <c r="X249" s="114"/>
      <c r="Y249" s="114"/>
      <c r="Z249" s="114"/>
    </row>
    <row r="250" spans="1:26" ht="15.75" customHeight="1" x14ac:dyDescent="0.25">
      <c r="A250" s="44" t="s">
        <v>892</v>
      </c>
      <c r="B250" s="41"/>
      <c r="C250" s="43"/>
      <c r="D250" s="43"/>
      <c r="E250" s="43"/>
      <c r="F250" s="43"/>
      <c r="G250" s="43"/>
      <c r="H250" s="114"/>
      <c r="I250" s="60">
        <v>700000</v>
      </c>
      <c r="J250" s="60"/>
      <c r="K250" s="114"/>
      <c r="L250" s="114"/>
      <c r="M250" s="60"/>
      <c r="N250" s="60"/>
      <c r="O250" s="114"/>
      <c r="P250" s="114"/>
      <c r="Q250" s="114"/>
      <c r="R250" s="114"/>
      <c r="S250" s="114"/>
      <c r="T250" s="114"/>
      <c r="U250" s="114"/>
      <c r="V250" s="114"/>
      <c r="W250" s="114"/>
      <c r="X250" s="114"/>
      <c r="Y250" s="114"/>
      <c r="Z250" s="114"/>
    </row>
    <row r="251" spans="1:26" ht="15.75" customHeight="1" x14ac:dyDescent="0.25">
      <c r="A251" s="44" t="s">
        <v>893</v>
      </c>
      <c r="B251" s="41"/>
      <c r="C251" s="43"/>
      <c r="D251" s="43"/>
      <c r="E251" s="43"/>
      <c r="F251" s="43"/>
      <c r="G251" s="43"/>
      <c r="H251" s="114"/>
      <c r="I251" s="60">
        <v>45039</v>
      </c>
      <c r="J251" s="60"/>
      <c r="K251" s="114"/>
      <c r="L251" s="114"/>
      <c r="M251" s="60"/>
      <c r="N251" s="60"/>
      <c r="O251" s="114"/>
      <c r="P251" s="114"/>
      <c r="Q251" s="114"/>
      <c r="R251" s="114"/>
      <c r="S251" s="114"/>
      <c r="T251" s="114"/>
      <c r="U251" s="114"/>
      <c r="V251" s="114"/>
      <c r="W251" s="114"/>
      <c r="X251" s="114"/>
      <c r="Y251" s="114"/>
      <c r="Z251" s="114"/>
    </row>
    <row r="252" spans="1:26" ht="15.75" customHeight="1" x14ac:dyDescent="0.25">
      <c r="A252" s="44" t="s">
        <v>894</v>
      </c>
      <c r="B252" s="41"/>
      <c r="C252" s="43"/>
      <c r="D252" s="43"/>
      <c r="E252" s="43"/>
      <c r="F252" s="43"/>
      <c r="G252" s="43"/>
      <c r="H252" s="114"/>
      <c r="I252" s="60">
        <v>52099</v>
      </c>
      <c r="J252" s="60"/>
      <c r="K252" s="114"/>
      <c r="L252" s="114"/>
      <c r="M252" s="60"/>
      <c r="N252" s="60"/>
      <c r="O252" s="114"/>
      <c r="P252" s="114"/>
      <c r="Q252" s="114"/>
      <c r="R252" s="114"/>
      <c r="S252" s="114"/>
      <c r="T252" s="114"/>
      <c r="U252" s="114"/>
      <c r="V252" s="114"/>
      <c r="W252" s="114"/>
      <c r="X252" s="114"/>
      <c r="Y252" s="114"/>
      <c r="Z252" s="114"/>
    </row>
    <row r="253" spans="1:26" ht="15.75" customHeight="1" x14ac:dyDescent="0.25">
      <c r="A253" s="44" t="s">
        <v>895</v>
      </c>
      <c r="B253" s="41"/>
      <c r="C253" s="43"/>
      <c r="D253" s="43"/>
      <c r="E253" s="43"/>
      <c r="F253" s="43"/>
      <c r="G253" s="43"/>
      <c r="H253" s="114"/>
      <c r="I253" s="60">
        <v>54838</v>
      </c>
      <c r="J253" s="60"/>
      <c r="K253" s="114"/>
      <c r="L253" s="114"/>
      <c r="M253" s="60"/>
      <c r="N253" s="60"/>
      <c r="O253" s="114"/>
      <c r="P253" s="114"/>
      <c r="Q253" s="114"/>
      <c r="R253" s="114"/>
      <c r="S253" s="114"/>
      <c r="T253" s="114"/>
      <c r="U253" s="114"/>
      <c r="V253" s="114"/>
      <c r="W253" s="114"/>
      <c r="X253" s="114"/>
      <c r="Y253" s="114"/>
      <c r="Z253" s="114"/>
    </row>
    <row r="254" spans="1:26" ht="15.75" customHeight="1" x14ac:dyDescent="0.25">
      <c r="A254" s="44" t="s">
        <v>896</v>
      </c>
      <c r="B254" s="41"/>
      <c r="C254" s="43"/>
      <c r="D254" s="43"/>
      <c r="E254" s="43"/>
      <c r="F254" s="43"/>
      <c r="G254" s="43"/>
      <c r="H254" s="114"/>
      <c r="I254" s="60">
        <v>46592</v>
      </c>
      <c r="J254" s="60">
        <f>SUM(I250:I254)</f>
        <v>898568</v>
      </c>
      <c r="K254" s="114"/>
      <c r="L254" s="114"/>
      <c r="M254" s="60"/>
      <c r="N254" s="60"/>
      <c r="O254" s="114"/>
      <c r="P254" s="114"/>
      <c r="Q254" s="114"/>
      <c r="R254" s="114"/>
      <c r="S254" s="114"/>
      <c r="T254" s="114"/>
      <c r="U254" s="114"/>
      <c r="V254" s="114"/>
      <c r="W254" s="114"/>
      <c r="X254" s="114"/>
      <c r="Y254" s="114"/>
      <c r="Z254" s="114"/>
    </row>
    <row r="255" spans="1:26" ht="15.75" customHeight="1" x14ac:dyDescent="0.25">
      <c r="A255" s="44" t="s">
        <v>400</v>
      </c>
      <c r="B255" s="41" t="s">
        <v>221</v>
      </c>
      <c r="C255" s="43">
        <v>0</v>
      </c>
      <c r="D255" s="43">
        <v>0</v>
      </c>
      <c r="E255" s="43">
        <v>0</v>
      </c>
      <c r="F255" s="43">
        <v>0</v>
      </c>
      <c r="G255" s="43">
        <v>73500</v>
      </c>
      <c r="H255" s="114"/>
      <c r="I255" s="60"/>
      <c r="J255" s="60"/>
      <c r="K255" s="114"/>
      <c r="L255" s="114"/>
      <c r="M255" s="60"/>
      <c r="N255" s="60"/>
      <c r="O255" s="114"/>
      <c r="P255" s="114"/>
      <c r="Q255" s="114"/>
      <c r="R255" s="114"/>
      <c r="S255" s="114"/>
      <c r="T255" s="114"/>
      <c r="U255" s="114"/>
      <c r="V255" s="114"/>
      <c r="W255" s="114"/>
      <c r="X255" s="114"/>
      <c r="Y255" s="114"/>
      <c r="Z255" s="114"/>
    </row>
    <row r="256" spans="1:26" ht="15.75" customHeight="1" x14ac:dyDescent="0.25">
      <c r="A256" s="44" t="s">
        <v>897</v>
      </c>
      <c r="B256" s="41"/>
      <c r="C256" s="43"/>
      <c r="D256" s="43"/>
      <c r="E256" s="43"/>
      <c r="F256" s="43"/>
      <c r="G256" s="43"/>
      <c r="H256" s="114"/>
      <c r="I256" s="60"/>
      <c r="J256" s="60"/>
      <c r="K256" s="114"/>
      <c r="L256" s="114"/>
      <c r="M256" s="60"/>
      <c r="N256" s="60"/>
      <c r="O256" s="114"/>
      <c r="P256" s="114"/>
      <c r="Q256" s="114"/>
      <c r="R256" s="114"/>
      <c r="S256" s="114"/>
      <c r="T256" s="114"/>
      <c r="U256" s="114"/>
      <c r="V256" s="114"/>
      <c r="W256" s="114"/>
      <c r="X256" s="114"/>
      <c r="Y256" s="114"/>
      <c r="Z256" s="114"/>
    </row>
    <row r="257" spans="1:26" ht="15.75" customHeight="1" x14ac:dyDescent="0.25">
      <c r="A257" s="96" t="s">
        <v>538</v>
      </c>
      <c r="B257" s="41" t="s">
        <v>221</v>
      </c>
      <c r="C257" s="43">
        <v>0</v>
      </c>
      <c r="D257" s="43">
        <v>0</v>
      </c>
      <c r="E257" s="43">
        <f>F257-D257</f>
        <v>40000</v>
      </c>
      <c r="F257" s="43">
        <v>40000</v>
      </c>
      <c r="G257" s="43">
        <v>12800</v>
      </c>
      <c r="H257" s="114"/>
      <c r="I257" s="60"/>
      <c r="J257" s="60"/>
      <c r="K257" s="114"/>
      <c r="L257" s="114"/>
      <c r="M257" s="60"/>
      <c r="N257" s="60"/>
      <c r="O257" s="114"/>
      <c r="P257" s="114"/>
      <c r="Q257" s="114"/>
      <c r="R257" s="114"/>
      <c r="S257" s="114"/>
      <c r="T257" s="114"/>
      <c r="U257" s="114"/>
      <c r="V257" s="114"/>
      <c r="W257" s="114"/>
      <c r="X257" s="114"/>
      <c r="Y257" s="114"/>
      <c r="Z257" s="114"/>
    </row>
    <row r="258" spans="1:26" ht="15.75" customHeight="1" x14ac:dyDescent="0.25">
      <c r="A258" s="96" t="s">
        <v>898</v>
      </c>
      <c r="B258" s="41"/>
      <c r="C258" s="43"/>
      <c r="D258" s="43"/>
      <c r="E258" s="43"/>
      <c r="F258" s="43"/>
      <c r="G258" s="43"/>
      <c r="H258" s="114"/>
      <c r="I258" s="60"/>
      <c r="J258" s="60"/>
      <c r="K258" s="114"/>
      <c r="L258" s="114"/>
      <c r="M258" s="60"/>
      <c r="N258" s="60"/>
      <c r="O258" s="114"/>
      <c r="P258" s="114"/>
      <c r="Q258" s="114"/>
      <c r="R258" s="114"/>
      <c r="S258" s="114"/>
      <c r="T258" s="114"/>
      <c r="U258" s="114"/>
      <c r="V258" s="114"/>
      <c r="W258" s="114"/>
      <c r="X258" s="114"/>
      <c r="Y258" s="114"/>
      <c r="Z258" s="114"/>
    </row>
    <row r="259" spans="1:26" ht="15.75" customHeight="1" x14ac:dyDescent="0.25">
      <c r="A259" s="44" t="s">
        <v>500</v>
      </c>
      <c r="B259" s="41" t="s">
        <v>201</v>
      </c>
      <c r="C259" s="43">
        <v>119232</v>
      </c>
      <c r="D259" s="43">
        <v>0</v>
      </c>
      <c r="E259" s="43">
        <f>F259-D259</f>
        <v>0</v>
      </c>
      <c r="F259" s="43">
        <v>0</v>
      </c>
      <c r="G259" s="43">
        <v>210654</v>
      </c>
      <c r="H259" s="114"/>
      <c r="I259" s="60"/>
      <c r="J259" s="60"/>
      <c r="K259" s="114"/>
      <c r="L259" s="114"/>
      <c r="M259" s="60"/>
      <c r="N259" s="60"/>
      <c r="O259" s="114"/>
      <c r="P259" s="114"/>
      <c r="Q259" s="114"/>
      <c r="R259" s="114"/>
      <c r="S259" s="114"/>
      <c r="T259" s="114"/>
      <c r="U259" s="114"/>
      <c r="V259" s="114"/>
      <c r="W259" s="114"/>
      <c r="X259" s="114"/>
      <c r="Y259" s="114"/>
      <c r="Z259" s="114"/>
    </row>
    <row r="260" spans="1:26" ht="15.75" customHeight="1" x14ac:dyDescent="0.25">
      <c r="A260" s="44" t="s">
        <v>899</v>
      </c>
      <c r="B260" s="41"/>
      <c r="C260" s="43"/>
      <c r="D260" s="43"/>
      <c r="E260" s="43"/>
      <c r="F260" s="43"/>
      <c r="G260" s="43"/>
      <c r="H260" s="114"/>
      <c r="I260" s="60"/>
      <c r="J260" s="60"/>
      <c r="K260" s="114"/>
      <c r="L260" s="114"/>
      <c r="M260" s="60"/>
      <c r="N260" s="60"/>
      <c r="O260" s="114"/>
      <c r="P260" s="114"/>
      <c r="Q260" s="114"/>
      <c r="R260" s="114"/>
      <c r="S260" s="114"/>
      <c r="T260" s="114"/>
      <c r="U260" s="114"/>
      <c r="V260" s="114"/>
      <c r="W260" s="114"/>
      <c r="X260" s="114"/>
      <c r="Y260" s="114"/>
      <c r="Z260" s="114"/>
    </row>
    <row r="261" spans="1:26" ht="15.75" customHeight="1" x14ac:dyDescent="0.25">
      <c r="A261" s="44" t="s">
        <v>402</v>
      </c>
      <c r="B261" s="41" t="s">
        <v>225</v>
      </c>
      <c r="C261" s="43"/>
      <c r="D261" s="43"/>
      <c r="E261" s="43"/>
      <c r="F261" s="43"/>
      <c r="G261" s="43">
        <v>71876</v>
      </c>
      <c r="H261" s="114"/>
      <c r="I261" s="60"/>
      <c r="J261" s="60"/>
      <c r="K261" s="114"/>
      <c r="L261" s="114"/>
      <c r="M261" s="60"/>
      <c r="N261" s="60"/>
      <c r="O261" s="114"/>
      <c r="P261" s="114"/>
      <c r="Q261" s="114"/>
      <c r="R261" s="114"/>
      <c r="S261" s="114"/>
      <c r="T261" s="114"/>
      <c r="U261" s="114"/>
      <c r="V261" s="114"/>
      <c r="W261" s="114"/>
      <c r="X261" s="114"/>
      <c r="Y261" s="114"/>
      <c r="Z261" s="114"/>
    </row>
    <row r="262" spans="1:26" ht="15.75" customHeight="1" x14ac:dyDescent="0.25">
      <c r="A262" s="460" t="s">
        <v>900</v>
      </c>
      <c r="B262" s="461"/>
      <c r="C262" s="443"/>
      <c r="D262" s="443"/>
      <c r="E262" s="443"/>
      <c r="F262" s="443"/>
      <c r="G262" s="462"/>
      <c r="H262" s="450"/>
      <c r="I262" s="60">
        <v>1510</v>
      </c>
      <c r="J262" s="60"/>
      <c r="K262" s="114"/>
      <c r="L262" s="114"/>
      <c r="M262" s="60"/>
      <c r="N262" s="60"/>
      <c r="O262" s="114"/>
      <c r="P262" s="114"/>
      <c r="Q262" s="114"/>
      <c r="R262" s="114"/>
      <c r="S262" s="114"/>
      <c r="T262" s="114"/>
      <c r="U262" s="114"/>
      <c r="V262" s="114"/>
      <c r="W262" s="114"/>
      <c r="X262" s="114"/>
      <c r="Y262" s="114"/>
      <c r="Z262" s="114"/>
    </row>
    <row r="263" spans="1:26" ht="15.75" customHeight="1" x14ac:dyDescent="0.25">
      <c r="A263" s="460" t="s">
        <v>901</v>
      </c>
      <c r="B263" s="461"/>
      <c r="C263" s="443"/>
      <c r="D263" s="443"/>
      <c r="E263" s="443"/>
      <c r="F263" s="443"/>
      <c r="G263" s="462"/>
      <c r="H263" s="450"/>
      <c r="I263" s="60">
        <v>39069</v>
      </c>
      <c r="J263" s="60"/>
      <c r="K263" s="114"/>
      <c r="L263" s="114"/>
      <c r="M263" s="60"/>
      <c r="N263" s="60"/>
      <c r="O263" s="114"/>
      <c r="P263" s="114"/>
      <c r="Q263" s="114"/>
      <c r="R263" s="114"/>
      <c r="S263" s="114"/>
      <c r="T263" s="114"/>
      <c r="U263" s="114"/>
      <c r="V263" s="114"/>
      <c r="W263" s="114"/>
      <c r="X263" s="114"/>
      <c r="Y263" s="114"/>
      <c r="Z263" s="114"/>
    </row>
    <row r="264" spans="1:26" ht="15.75" customHeight="1" x14ac:dyDescent="0.25">
      <c r="A264" s="48" t="s">
        <v>902</v>
      </c>
      <c r="B264" s="41"/>
      <c r="C264" s="43"/>
      <c r="D264" s="43"/>
      <c r="E264" s="43"/>
      <c r="F264" s="43"/>
      <c r="G264" s="43"/>
      <c r="H264" s="114"/>
      <c r="I264" s="60">
        <v>31297</v>
      </c>
      <c r="J264" s="60">
        <f>SUM(I262:I264)</f>
        <v>71876</v>
      </c>
      <c r="K264" s="114"/>
      <c r="L264" s="114"/>
      <c r="M264" s="60"/>
      <c r="N264" s="60"/>
      <c r="O264" s="114"/>
      <c r="P264" s="114"/>
      <c r="Q264" s="114"/>
      <c r="R264" s="114"/>
      <c r="S264" s="114"/>
      <c r="T264" s="114"/>
      <c r="U264" s="114"/>
      <c r="V264" s="114"/>
      <c r="W264" s="114"/>
      <c r="X264" s="114"/>
      <c r="Y264" s="114"/>
      <c r="Z264" s="114"/>
    </row>
    <row r="265" spans="1:26" ht="15.75" customHeight="1" x14ac:dyDescent="0.25">
      <c r="A265" s="42" t="s">
        <v>813</v>
      </c>
      <c r="B265" s="41"/>
      <c r="C265" s="43"/>
      <c r="D265" s="43"/>
      <c r="E265" s="43"/>
      <c r="F265" s="43"/>
      <c r="G265" s="43"/>
      <c r="H265" s="114"/>
      <c r="I265" s="60"/>
      <c r="J265" s="60"/>
      <c r="K265" s="114"/>
      <c r="L265" s="114"/>
      <c r="M265" s="60"/>
      <c r="N265" s="60"/>
      <c r="O265" s="114"/>
      <c r="P265" s="114"/>
      <c r="Q265" s="114"/>
      <c r="R265" s="114"/>
      <c r="S265" s="114"/>
      <c r="T265" s="114"/>
      <c r="U265" s="114"/>
      <c r="V265" s="114"/>
      <c r="W265" s="114"/>
      <c r="X265" s="114"/>
      <c r="Y265" s="114"/>
      <c r="Z265" s="114"/>
    </row>
    <row r="266" spans="1:26" ht="15.75" customHeight="1" x14ac:dyDescent="0.25">
      <c r="A266" s="44" t="s">
        <v>814</v>
      </c>
      <c r="B266" s="41" t="s">
        <v>227</v>
      </c>
      <c r="C266" s="43">
        <v>598373.32999999996</v>
      </c>
      <c r="D266" s="43">
        <v>371609.4</v>
      </c>
      <c r="E266" s="43">
        <f>F266-D266</f>
        <v>528390.6</v>
      </c>
      <c r="F266" s="43">
        <v>900000</v>
      </c>
      <c r="G266" s="43">
        <v>937000</v>
      </c>
      <c r="H266" s="114"/>
      <c r="K266" s="114"/>
      <c r="L266" s="114"/>
      <c r="M266" s="60"/>
      <c r="N266" s="60"/>
      <c r="O266" s="114"/>
      <c r="P266" s="114"/>
      <c r="Q266" s="114"/>
      <c r="R266" s="114"/>
      <c r="S266" s="114"/>
      <c r="T266" s="114"/>
      <c r="U266" s="114"/>
      <c r="V266" s="114"/>
      <c r="W266" s="114"/>
      <c r="X266" s="114"/>
      <c r="Y266" s="114"/>
      <c r="Z266" s="114"/>
    </row>
    <row r="267" spans="1:26" ht="15.75" customHeight="1" x14ac:dyDescent="0.25">
      <c r="A267" s="44" t="s">
        <v>903</v>
      </c>
      <c r="B267" s="41"/>
      <c r="C267" s="43"/>
      <c r="D267" s="43"/>
      <c r="E267" s="43"/>
      <c r="F267" s="43"/>
      <c r="G267" s="43"/>
      <c r="H267" s="114"/>
      <c r="I267" s="60">
        <v>900000</v>
      </c>
      <c r="J267" s="60"/>
      <c r="K267" s="114"/>
      <c r="L267" s="114"/>
      <c r="M267" s="60"/>
      <c r="N267" s="60"/>
      <c r="O267" s="114"/>
      <c r="P267" s="114"/>
      <c r="Q267" s="114"/>
      <c r="R267" s="114"/>
      <c r="S267" s="114"/>
      <c r="T267" s="114"/>
      <c r="U267" s="114"/>
      <c r="V267" s="114"/>
      <c r="W267" s="114"/>
      <c r="X267" s="114"/>
      <c r="Y267" s="114"/>
      <c r="Z267" s="114"/>
    </row>
    <row r="268" spans="1:26" ht="15.75" customHeight="1" x14ac:dyDescent="0.25">
      <c r="A268" s="44" t="s">
        <v>904</v>
      </c>
      <c r="B268" s="41"/>
      <c r="C268" s="43"/>
      <c r="D268" s="43"/>
      <c r="E268" s="43"/>
      <c r="F268" s="43"/>
      <c r="G268" s="43"/>
      <c r="H268" s="114"/>
      <c r="I268" s="60">
        <v>7000</v>
      </c>
      <c r="J268" s="60"/>
      <c r="K268" s="114"/>
      <c r="L268" s="114"/>
      <c r="M268" s="60"/>
      <c r="N268" s="60"/>
      <c r="O268" s="114"/>
      <c r="P268" s="114"/>
      <c r="Q268" s="114"/>
      <c r="R268" s="114"/>
      <c r="S268" s="114"/>
      <c r="T268" s="114"/>
      <c r="U268" s="114"/>
      <c r="V268" s="114"/>
      <c r="W268" s="114"/>
      <c r="X268" s="114"/>
      <c r="Y268" s="114"/>
      <c r="Z268" s="114"/>
    </row>
    <row r="269" spans="1:26" ht="15.75" customHeight="1" x14ac:dyDescent="0.25">
      <c r="A269" s="44" t="s">
        <v>905</v>
      </c>
      <c r="B269" s="41"/>
      <c r="C269" s="43"/>
      <c r="D269" s="43"/>
      <c r="E269" s="43"/>
      <c r="F269" s="43"/>
      <c r="G269" s="43"/>
      <c r="H269" s="114"/>
      <c r="I269" s="60">
        <v>30000</v>
      </c>
      <c r="J269" s="60">
        <f>SUM(I267:I269)</f>
        <v>937000</v>
      </c>
      <c r="K269" s="114"/>
      <c r="L269" s="114"/>
      <c r="M269" s="60"/>
      <c r="N269" s="60"/>
      <c r="O269" s="114"/>
      <c r="P269" s="114"/>
      <c r="Q269" s="114"/>
      <c r="R269" s="114"/>
      <c r="S269" s="114"/>
      <c r="T269" s="114"/>
      <c r="U269" s="114"/>
      <c r="V269" s="114"/>
      <c r="W269" s="114"/>
      <c r="X269" s="114"/>
      <c r="Y269" s="114"/>
      <c r="Z269" s="114"/>
    </row>
    <row r="270" spans="1:26" ht="15.75" customHeight="1" x14ac:dyDescent="0.25">
      <c r="A270" s="44" t="s">
        <v>815</v>
      </c>
      <c r="B270" s="41" t="s">
        <v>229</v>
      </c>
      <c r="C270" s="43">
        <v>2588496.13</v>
      </c>
      <c r="D270" s="43">
        <v>1411006.05</v>
      </c>
      <c r="E270" s="43">
        <f>F270-D270</f>
        <v>2088993.95</v>
      </c>
      <c r="F270" s="43">
        <v>3500000</v>
      </c>
      <c r="G270" s="43">
        <v>5135000</v>
      </c>
      <c r="H270" s="114"/>
      <c r="I270" s="60"/>
      <c r="J270" s="60"/>
      <c r="K270" s="114"/>
      <c r="L270" s="114"/>
      <c r="M270" s="60"/>
      <c r="N270" s="60"/>
      <c r="O270" s="114"/>
      <c r="P270" s="114"/>
      <c r="Q270" s="114"/>
      <c r="R270" s="114"/>
      <c r="S270" s="114"/>
      <c r="T270" s="114"/>
      <c r="U270" s="114"/>
      <c r="V270" s="114"/>
      <c r="W270" s="114"/>
      <c r="X270" s="114"/>
      <c r="Y270" s="114"/>
      <c r="Z270" s="114"/>
    </row>
    <row r="271" spans="1:26" ht="15.75" customHeight="1" x14ac:dyDescent="0.25">
      <c r="A271" s="44" t="s">
        <v>906</v>
      </c>
      <c r="B271" s="41"/>
      <c r="C271" s="43"/>
      <c r="D271" s="43"/>
      <c r="E271" s="43"/>
      <c r="F271" s="43"/>
      <c r="G271" s="43"/>
      <c r="H271" s="114"/>
      <c r="I271" s="60">
        <v>5000000</v>
      </c>
      <c r="J271" s="60"/>
      <c r="K271" s="114"/>
      <c r="L271" s="114"/>
      <c r="M271" s="60"/>
      <c r="N271" s="60"/>
      <c r="O271" s="114"/>
      <c r="P271" s="114"/>
      <c r="Q271" s="114"/>
      <c r="R271" s="114"/>
      <c r="S271" s="114"/>
      <c r="T271" s="114"/>
      <c r="U271" s="114"/>
      <c r="V271" s="114"/>
      <c r="W271" s="114"/>
      <c r="X271" s="114"/>
      <c r="Y271" s="114"/>
      <c r="Z271" s="114"/>
    </row>
    <row r="272" spans="1:26" ht="15.75" customHeight="1" x14ac:dyDescent="0.25">
      <c r="A272" s="44" t="s">
        <v>907</v>
      </c>
      <c r="B272" s="41"/>
      <c r="C272" s="43"/>
      <c r="D272" s="43"/>
      <c r="E272" s="43"/>
      <c r="F272" s="43"/>
      <c r="G272" s="43"/>
      <c r="H272" s="114"/>
      <c r="I272" s="60">
        <v>15000</v>
      </c>
      <c r="J272" s="60"/>
      <c r="K272" s="114"/>
      <c r="L272" s="114"/>
      <c r="M272" s="60"/>
      <c r="N272" s="60"/>
      <c r="O272" s="114"/>
      <c r="P272" s="114"/>
      <c r="Q272" s="114"/>
      <c r="R272" s="114"/>
      <c r="S272" s="114"/>
      <c r="T272" s="114"/>
      <c r="U272" s="114"/>
      <c r="V272" s="114"/>
      <c r="W272" s="114"/>
      <c r="X272" s="114"/>
      <c r="Y272" s="114"/>
      <c r="Z272" s="114"/>
    </row>
    <row r="273" spans="1:26" ht="15.75" customHeight="1" x14ac:dyDescent="0.25">
      <c r="A273" s="44" t="s">
        <v>908</v>
      </c>
      <c r="B273" s="41"/>
      <c r="C273" s="43"/>
      <c r="D273" s="43"/>
      <c r="E273" s="43"/>
      <c r="F273" s="43"/>
      <c r="G273" s="43"/>
      <c r="H273" s="114"/>
      <c r="I273" s="60">
        <v>120000</v>
      </c>
      <c r="J273" s="60">
        <f>SUM(I271:I273)</f>
        <v>5135000</v>
      </c>
      <c r="K273" s="114"/>
      <c r="L273" s="114"/>
      <c r="M273" s="60"/>
      <c r="N273" s="60"/>
      <c r="O273" s="114"/>
      <c r="P273" s="114"/>
      <c r="Q273" s="114"/>
      <c r="R273" s="114"/>
      <c r="S273" s="114"/>
      <c r="T273" s="114"/>
      <c r="U273" s="114"/>
      <c r="V273" s="114"/>
      <c r="W273" s="114"/>
      <c r="X273" s="114"/>
      <c r="Y273" s="114"/>
      <c r="Z273" s="114"/>
    </row>
    <row r="274" spans="1:26" ht="15.75" customHeight="1" x14ac:dyDescent="0.25">
      <c r="A274" s="17" t="s">
        <v>503</v>
      </c>
      <c r="B274" s="41"/>
      <c r="C274" s="43"/>
      <c r="D274" s="43"/>
      <c r="E274" s="43"/>
      <c r="F274" s="43"/>
      <c r="G274" s="43"/>
      <c r="H274" s="114"/>
      <c r="I274" s="60"/>
      <c r="J274" s="60"/>
      <c r="K274" s="114"/>
      <c r="L274" s="114"/>
      <c r="M274" s="60"/>
      <c r="N274" s="60"/>
      <c r="O274" s="114"/>
      <c r="P274" s="114"/>
      <c r="Q274" s="114"/>
      <c r="R274" s="114"/>
      <c r="S274" s="114"/>
      <c r="T274" s="114"/>
      <c r="U274" s="114"/>
      <c r="V274" s="114"/>
      <c r="W274" s="114"/>
      <c r="X274" s="114"/>
      <c r="Y274" s="114"/>
      <c r="Z274" s="114"/>
    </row>
    <row r="275" spans="1:26" ht="15.75" customHeight="1" x14ac:dyDescent="0.25">
      <c r="A275" s="44" t="s">
        <v>643</v>
      </c>
      <c r="B275" s="41" t="s">
        <v>233</v>
      </c>
      <c r="C275" s="43">
        <v>108224.62</v>
      </c>
      <c r="D275" s="43">
        <v>50565.3</v>
      </c>
      <c r="E275" s="43">
        <f>F275-D275</f>
        <v>149434.70000000001</v>
      </c>
      <c r="F275" s="43">
        <v>200000</v>
      </c>
      <c r="G275" s="43">
        <v>300000</v>
      </c>
      <c r="H275" s="114"/>
      <c r="I275" s="60"/>
      <c r="J275" s="60"/>
      <c r="K275" s="114"/>
      <c r="L275" s="114"/>
      <c r="M275" s="60"/>
      <c r="N275" s="60"/>
      <c r="O275" s="114"/>
      <c r="P275" s="114"/>
      <c r="Q275" s="114"/>
      <c r="R275" s="114"/>
      <c r="S275" s="114"/>
      <c r="T275" s="114"/>
      <c r="U275" s="114"/>
      <c r="V275" s="114"/>
      <c r="W275" s="114"/>
      <c r="X275" s="114"/>
      <c r="Y275" s="114"/>
      <c r="Z275" s="114"/>
    </row>
    <row r="276" spans="1:26" ht="15.75" customHeight="1" x14ac:dyDescent="0.25">
      <c r="A276" s="44" t="s">
        <v>891</v>
      </c>
      <c r="B276" s="41"/>
      <c r="C276" s="43"/>
      <c r="D276" s="43"/>
      <c r="E276" s="43"/>
      <c r="F276" s="43"/>
      <c r="G276" s="43"/>
      <c r="H276" s="114"/>
      <c r="I276" s="60"/>
      <c r="J276" s="60"/>
      <c r="K276" s="114"/>
      <c r="L276" s="114"/>
      <c r="M276" s="60"/>
      <c r="N276" s="60"/>
      <c r="O276" s="114"/>
      <c r="P276" s="114"/>
      <c r="Q276" s="114"/>
      <c r="R276" s="114"/>
      <c r="S276" s="114"/>
      <c r="T276" s="114"/>
      <c r="U276" s="114"/>
      <c r="V276" s="114"/>
      <c r="W276" s="114"/>
      <c r="X276" s="114"/>
      <c r="Y276" s="114"/>
      <c r="Z276" s="114"/>
    </row>
    <row r="277" spans="1:26" ht="15.75" customHeight="1" x14ac:dyDescent="0.25">
      <c r="A277" s="44" t="s">
        <v>405</v>
      </c>
      <c r="B277" s="41" t="s">
        <v>235</v>
      </c>
      <c r="C277" s="43"/>
      <c r="D277" s="43"/>
      <c r="E277" s="43"/>
      <c r="F277" s="43"/>
      <c r="G277" s="43">
        <v>26400</v>
      </c>
      <c r="H277" s="114"/>
      <c r="I277" s="60"/>
      <c r="J277" s="60"/>
      <c r="K277" s="114"/>
      <c r="L277" s="114"/>
      <c r="M277" s="60"/>
      <c r="N277" s="60"/>
      <c r="O277" s="114"/>
      <c r="P277" s="114"/>
      <c r="Q277" s="114"/>
      <c r="R277" s="114"/>
      <c r="S277" s="114"/>
      <c r="T277" s="114"/>
      <c r="U277" s="114"/>
      <c r="V277" s="114"/>
      <c r="W277" s="114"/>
      <c r="X277" s="114"/>
      <c r="Y277" s="114"/>
      <c r="Z277" s="114"/>
    </row>
    <row r="278" spans="1:26" ht="15.75" customHeight="1" x14ac:dyDescent="0.25">
      <c r="A278" s="44" t="s">
        <v>909</v>
      </c>
      <c r="B278" s="41"/>
      <c r="C278" s="43"/>
      <c r="D278" s="43"/>
      <c r="E278" s="43"/>
      <c r="F278" s="43"/>
      <c r="G278" s="43"/>
      <c r="H278" s="114"/>
      <c r="I278" s="60">
        <v>8400</v>
      </c>
      <c r="J278" s="60"/>
      <c r="K278" s="114"/>
      <c r="L278" s="114"/>
      <c r="M278" s="60"/>
      <c r="N278" s="60"/>
      <c r="O278" s="114"/>
      <c r="P278" s="114"/>
      <c r="Q278" s="114"/>
      <c r="R278" s="114"/>
      <c r="S278" s="114"/>
      <c r="T278" s="114"/>
      <c r="U278" s="114"/>
      <c r="V278" s="114"/>
      <c r="W278" s="114"/>
      <c r="X278" s="114"/>
      <c r="Y278" s="114"/>
      <c r="Z278" s="114"/>
    </row>
    <row r="279" spans="1:26" ht="15.75" customHeight="1" x14ac:dyDescent="0.25">
      <c r="A279" s="610" t="s">
        <v>910</v>
      </c>
      <c r="B279" s="483"/>
      <c r="C279" s="457"/>
      <c r="D279" s="457"/>
      <c r="E279" s="457"/>
      <c r="F279" s="457"/>
      <c r="G279" s="457"/>
      <c r="H279" s="114"/>
      <c r="I279" s="60">
        <v>18000</v>
      </c>
      <c r="J279" s="60">
        <f>SUM(I278:I279)</f>
        <v>26400</v>
      </c>
      <c r="K279" s="114"/>
      <c r="L279" s="114"/>
      <c r="M279" s="60"/>
      <c r="N279" s="60"/>
      <c r="O279" s="114"/>
      <c r="P279" s="114"/>
      <c r="Q279" s="114"/>
      <c r="R279" s="114"/>
      <c r="S279" s="114"/>
      <c r="T279" s="114"/>
      <c r="U279" s="114"/>
      <c r="V279" s="114"/>
      <c r="W279" s="114"/>
      <c r="X279" s="114"/>
      <c r="Y279" s="114"/>
      <c r="Z279" s="114"/>
    </row>
    <row r="280" spans="1:26" ht="15.75" customHeight="1" x14ac:dyDescent="0.25">
      <c r="A280" s="611" t="s">
        <v>504</v>
      </c>
      <c r="B280" s="601" t="s">
        <v>237</v>
      </c>
      <c r="C280" s="448">
        <v>0</v>
      </c>
      <c r="D280" s="448">
        <v>0</v>
      </c>
      <c r="E280" s="448">
        <v>0</v>
      </c>
      <c r="F280" s="448">
        <v>0</v>
      </c>
      <c r="G280" s="448">
        <v>68460</v>
      </c>
      <c r="H280" s="114"/>
      <c r="I280" s="60"/>
      <c r="J280" s="60"/>
      <c r="K280" s="114"/>
      <c r="L280" s="114"/>
      <c r="M280" s="60"/>
      <c r="N280" s="60"/>
      <c r="O280" s="114"/>
      <c r="P280" s="114"/>
      <c r="Q280" s="114"/>
      <c r="R280" s="114"/>
      <c r="S280" s="114"/>
      <c r="T280" s="114"/>
      <c r="U280" s="114"/>
      <c r="V280" s="114"/>
      <c r="W280" s="114"/>
      <c r="X280" s="114"/>
      <c r="Y280" s="114"/>
      <c r="Z280" s="114"/>
    </row>
    <row r="281" spans="1:26" ht="15.75" customHeight="1" x14ac:dyDescent="0.25">
      <c r="A281" s="44" t="s">
        <v>911</v>
      </c>
      <c r="B281" s="41"/>
      <c r="C281" s="43"/>
      <c r="D281" s="43"/>
      <c r="E281" s="43"/>
      <c r="F281" s="43"/>
      <c r="G281" s="43"/>
      <c r="H281" s="114"/>
      <c r="I281" s="60">
        <v>20460</v>
      </c>
      <c r="J281" s="60"/>
      <c r="K281" s="114"/>
      <c r="L281" s="114"/>
      <c r="M281" s="60"/>
      <c r="N281" s="60"/>
      <c r="O281" s="114"/>
      <c r="P281" s="114"/>
      <c r="Q281" s="114"/>
      <c r="R281" s="114"/>
      <c r="S281" s="114"/>
      <c r="T281" s="114"/>
      <c r="U281" s="114"/>
      <c r="V281" s="114"/>
      <c r="W281" s="114"/>
      <c r="X281" s="114"/>
      <c r="Y281" s="114"/>
      <c r="Z281" s="114"/>
    </row>
    <row r="282" spans="1:26" ht="15.75" customHeight="1" x14ac:dyDescent="0.25">
      <c r="A282" s="44" t="s">
        <v>912</v>
      </c>
      <c r="B282" s="41"/>
      <c r="C282" s="43"/>
      <c r="D282" s="43"/>
      <c r="E282" s="43"/>
      <c r="F282" s="43"/>
      <c r="G282" s="43"/>
      <c r="H282" s="114"/>
      <c r="I282" s="60">
        <v>24000</v>
      </c>
      <c r="J282" s="60"/>
      <c r="K282" s="114"/>
      <c r="L282" s="114"/>
      <c r="M282" s="60"/>
      <c r="N282" s="60"/>
      <c r="O282" s="114"/>
      <c r="P282" s="114"/>
      <c r="Q282" s="114"/>
      <c r="R282" s="114"/>
      <c r="S282" s="114"/>
      <c r="T282" s="114"/>
      <c r="U282" s="114"/>
      <c r="V282" s="114"/>
      <c r="W282" s="114"/>
      <c r="X282" s="114"/>
      <c r="Y282" s="114"/>
      <c r="Z282" s="114"/>
    </row>
    <row r="283" spans="1:26" ht="15.75" customHeight="1" x14ac:dyDescent="0.25">
      <c r="A283" s="44" t="s">
        <v>913</v>
      </c>
      <c r="B283" s="41"/>
      <c r="C283" s="43"/>
      <c r="D283" s="43"/>
      <c r="E283" s="43"/>
      <c r="F283" s="43"/>
      <c r="G283" s="43"/>
      <c r="H283" s="114"/>
      <c r="I283" s="60">
        <v>24000</v>
      </c>
      <c r="J283" s="60">
        <f>SUM(I281:I283)</f>
        <v>68460</v>
      </c>
      <c r="K283" s="114"/>
      <c r="L283" s="114"/>
      <c r="M283" s="60"/>
      <c r="N283" s="60"/>
      <c r="O283" s="114"/>
      <c r="P283" s="114"/>
      <c r="Q283" s="114"/>
      <c r="R283" s="114"/>
      <c r="S283" s="114"/>
      <c r="T283" s="114"/>
      <c r="U283" s="114"/>
      <c r="V283" s="114"/>
      <c r="W283" s="114"/>
      <c r="X283" s="114"/>
      <c r="Y283" s="114"/>
      <c r="Z283" s="114"/>
    </row>
    <row r="284" spans="1:26" ht="15.75" customHeight="1" x14ac:dyDescent="0.25">
      <c r="A284" s="17" t="s">
        <v>816</v>
      </c>
      <c r="B284" s="41"/>
      <c r="C284" s="43"/>
      <c r="D284" s="43"/>
      <c r="E284" s="43"/>
      <c r="F284" s="43"/>
      <c r="G284" s="43"/>
      <c r="H284" s="114"/>
      <c r="I284" s="60"/>
      <c r="J284" s="60"/>
      <c r="K284" s="114"/>
      <c r="L284" s="114"/>
      <c r="M284" s="60"/>
      <c r="N284" s="60"/>
      <c r="O284" s="114"/>
      <c r="P284" s="114"/>
      <c r="Q284" s="114"/>
      <c r="R284" s="114"/>
      <c r="S284" s="114"/>
      <c r="T284" s="114"/>
      <c r="U284" s="114"/>
      <c r="V284" s="114"/>
      <c r="W284" s="114"/>
      <c r="X284" s="114"/>
      <c r="Y284" s="114"/>
      <c r="Z284" s="114"/>
    </row>
    <row r="285" spans="1:26" ht="15.75" customHeight="1" x14ac:dyDescent="0.25">
      <c r="A285" s="44" t="s">
        <v>725</v>
      </c>
      <c r="B285" s="41" t="s">
        <v>283</v>
      </c>
      <c r="C285" s="43">
        <v>0</v>
      </c>
      <c r="D285" s="43">
        <v>0</v>
      </c>
      <c r="E285" s="43">
        <v>0</v>
      </c>
      <c r="F285" s="43">
        <v>0</v>
      </c>
      <c r="G285" s="43">
        <v>50000</v>
      </c>
      <c r="H285" s="114"/>
      <c r="I285" s="60"/>
      <c r="J285" s="60"/>
      <c r="K285" s="114"/>
      <c r="L285" s="114"/>
      <c r="M285" s="60"/>
      <c r="N285" s="60"/>
      <c r="O285" s="114"/>
      <c r="P285" s="114"/>
      <c r="Q285" s="114"/>
      <c r="R285" s="114"/>
      <c r="S285" s="114"/>
      <c r="T285" s="114"/>
      <c r="U285" s="114"/>
      <c r="V285" s="114"/>
      <c r="W285" s="114"/>
      <c r="X285" s="114"/>
      <c r="Y285" s="114"/>
      <c r="Z285" s="114"/>
    </row>
    <row r="286" spans="1:26" ht="15.75" customHeight="1" x14ac:dyDescent="0.25">
      <c r="A286" s="44" t="s">
        <v>914</v>
      </c>
      <c r="B286" s="41"/>
      <c r="C286" s="43"/>
      <c r="D286" s="43"/>
      <c r="E286" s="43"/>
      <c r="F286" s="43"/>
      <c r="G286" s="43"/>
      <c r="H286" s="114"/>
      <c r="I286" s="60"/>
      <c r="J286" s="60"/>
      <c r="K286" s="114"/>
      <c r="L286" s="114"/>
      <c r="M286" s="60"/>
      <c r="N286" s="60"/>
      <c r="O286" s="114"/>
      <c r="P286" s="114"/>
      <c r="Q286" s="114"/>
      <c r="R286" s="114"/>
      <c r="S286" s="114"/>
      <c r="T286" s="114"/>
      <c r="U286" s="114"/>
      <c r="V286" s="114"/>
      <c r="W286" s="114"/>
      <c r="X286" s="114"/>
      <c r="Y286" s="114"/>
      <c r="Z286" s="114"/>
    </row>
    <row r="287" spans="1:26" ht="15.75" customHeight="1" x14ac:dyDescent="0.25">
      <c r="A287" s="44" t="s">
        <v>817</v>
      </c>
      <c r="B287" s="41" t="s">
        <v>287</v>
      </c>
      <c r="C287" s="43">
        <v>490323</v>
      </c>
      <c r="D287" s="43">
        <v>213500</v>
      </c>
      <c r="E287" s="43">
        <f>F287-D287</f>
        <v>786500</v>
      </c>
      <c r="F287" s="43">
        <v>1000000</v>
      </c>
      <c r="G287" s="43">
        <v>3000000</v>
      </c>
      <c r="H287" s="114"/>
      <c r="I287" s="60"/>
      <c r="J287" s="60"/>
      <c r="K287" s="114"/>
      <c r="L287" s="114"/>
      <c r="M287" s="60"/>
      <c r="N287" s="60"/>
      <c r="O287" s="114"/>
      <c r="P287" s="114"/>
      <c r="Q287" s="114"/>
      <c r="R287" s="114"/>
      <c r="S287" s="114"/>
      <c r="T287" s="114"/>
      <c r="U287" s="114"/>
      <c r="V287" s="114"/>
      <c r="W287" s="114"/>
      <c r="X287" s="114"/>
      <c r="Y287" s="114"/>
      <c r="Z287" s="114"/>
    </row>
    <row r="288" spans="1:26" ht="15.75" customHeight="1" x14ac:dyDescent="0.25">
      <c r="A288" s="44" t="s">
        <v>915</v>
      </c>
      <c r="B288" s="41"/>
      <c r="C288" s="43"/>
      <c r="D288" s="43"/>
      <c r="E288" s="43"/>
      <c r="F288" s="43"/>
      <c r="G288" s="43"/>
      <c r="H288" s="114"/>
      <c r="I288" s="60"/>
      <c r="J288" s="60"/>
      <c r="K288" s="114"/>
      <c r="L288" s="114"/>
      <c r="M288" s="60"/>
      <c r="N288" s="60"/>
      <c r="O288" s="114"/>
      <c r="P288" s="114"/>
      <c r="Q288" s="114"/>
      <c r="R288" s="114"/>
      <c r="S288" s="114"/>
      <c r="T288" s="114"/>
      <c r="U288" s="114"/>
      <c r="V288" s="114"/>
      <c r="W288" s="114"/>
      <c r="X288" s="114"/>
      <c r="Y288" s="114"/>
      <c r="Z288" s="114"/>
    </row>
    <row r="289" spans="1:26" ht="15.75" customHeight="1" x14ac:dyDescent="0.25">
      <c r="A289" s="17" t="s">
        <v>424</v>
      </c>
      <c r="B289" s="41"/>
      <c r="C289" s="43"/>
      <c r="D289" s="43"/>
      <c r="E289" s="43"/>
      <c r="F289" s="43"/>
      <c r="G289" s="43"/>
      <c r="H289" s="114"/>
      <c r="I289" s="60"/>
      <c r="J289" s="60"/>
      <c r="K289" s="114"/>
      <c r="L289" s="114"/>
      <c r="M289" s="60"/>
      <c r="N289" s="60"/>
      <c r="O289" s="114"/>
      <c r="P289" s="114"/>
      <c r="Q289" s="114"/>
      <c r="R289" s="114"/>
      <c r="S289" s="114"/>
      <c r="T289" s="114"/>
      <c r="U289" s="114"/>
      <c r="V289" s="114"/>
      <c r="W289" s="114"/>
      <c r="X289" s="114"/>
      <c r="Y289" s="114"/>
      <c r="Z289" s="114"/>
    </row>
    <row r="290" spans="1:26" ht="15.75" customHeight="1" x14ac:dyDescent="0.25">
      <c r="A290" s="44" t="s">
        <v>424</v>
      </c>
      <c r="B290" s="41" t="s">
        <v>335</v>
      </c>
      <c r="C290" s="43">
        <v>10035998.880000001</v>
      </c>
      <c r="D290" s="43">
        <v>4869994</v>
      </c>
      <c r="E290" s="43">
        <f>F290-D290</f>
        <v>6296846</v>
      </c>
      <c r="F290" s="43">
        <v>11166840</v>
      </c>
      <c r="G290" s="43">
        <v>29269536</v>
      </c>
      <c r="H290" s="114"/>
      <c r="I290" s="60"/>
      <c r="J290" s="60"/>
      <c r="K290" s="114"/>
      <c r="L290" s="114"/>
      <c r="M290" s="60"/>
      <c r="N290" s="60"/>
      <c r="O290" s="114"/>
      <c r="P290" s="114"/>
      <c r="Q290" s="114"/>
      <c r="R290" s="114"/>
      <c r="S290" s="114"/>
      <c r="T290" s="114"/>
      <c r="U290" s="114"/>
      <c r="V290" s="114"/>
      <c r="W290" s="114"/>
      <c r="X290" s="114"/>
      <c r="Y290" s="114"/>
      <c r="Z290" s="114"/>
    </row>
    <row r="291" spans="1:26" ht="15.75" customHeight="1" x14ac:dyDescent="0.25">
      <c r="A291" s="44" t="s">
        <v>916</v>
      </c>
      <c r="B291" s="41"/>
      <c r="C291" s="43"/>
      <c r="D291" s="43"/>
      <c r="E291" s="43"/>
      <c r="F291" s="43"/>
      <c r="G291" s="43"/>
      <c r="H291" s="114"/>
      <c r="J291" s="60"/>
      <c r="K291" s="114"/>
      <c r="L291" s="114"/>
      <c r="M291" s="60"/>
      <c r="N291" s="60"/>
      <c r="O291" s="114"/>
      <c r="P291" s="114"/>
      <c r="Q291" s="114"/>
      <c r="R291" s="114"/>
      <c r="S291" s="114"/>
      <c r="T291" s="114"/>
      <c r="U291" s="114"/>
      <c r="V291" s="114"/>
      <c r="W291" s="114"/>
      <c r="X291" s="114"/>
      <c r="Y291" s="114"/>
      <c r="Z291" s="114"/>
    </row>
    <row r="292" spans="1:26" ht="15.75" customHeight="1" x14ac:dyDescent="0.25">
      <c r="A292" s="44" t="s">
        <v>917</v>
      </c>
      <c r="B292" s="41"/>
      <c r="C292" s="43"/>
      <c r="D292" s="43"/>
      <c r="E292" s="43"/>
      <c r="F292" s="43"/>
      <c r="G292" s="43"/>
      <c r="H292" s="114"/>
      <c r="I292" s="60">
        <v>114000</v>
      </c>
      <c r="J292" s="60"/>
      <c r="K292" s="114"/>
      <c r="L292" s="114"/>
      <c r="M292" s="60"/>
      <c r="N292" s="60"/>
      <c r="O292" s="114"/>
      <c r="P292" s="114"/>
      <c r="Q292" s="114"/>
      <c r="R292" s="114"/>
      <c r="S292" s="114"/>
      <c r="T292" s="114"/>
      <c r="U292" s="114"/>
      <c r="V292" s="114"/>
      <c r="W292" s="114"/>
      <c r="X292" s="114"/>
      <c r="Y292" s="114"/>
      <c r="Z292" s="114"/>
    </row>
    <row r="293" spans="1:26" ht="15.75" customHeight="1" x14ac:dyDescent="0.25">
      <c r="A293" s="44" t="s">
        <v>918</v>
      </c>
      <c r="B293" s="41"/>
      <c r="C293" s="43"/>
      <c r="D293" s="43"/>
      <c r="E293" s="43"/>
      <c r="F293" s="43"/>
      <c r="G293" s="43"/>
      <c r="H293" s="114"/>
      <c r="I293" s="60"/>
      <c r="J293" s="60"/>
      <c r="K293" s="114"/>
      <c r="L293" s="114"/>
      <c r="M293" s="60"/>
      <c r="N293" s="60"/>
      <c r="O293" s="114"/>
      <c r="P293" s="114"/>
      <c r="Q293" s="114"/>
      <c r="R293" s="114"/>
      <c r="S293" s="114"/>
      <c r="T293" s="114"/>
      <c r="U293" s="114"/>
      <c r="V293" s="114"/>
      <c r="W293" s="114"/>
      <c r="X293" s="114"/>
      <c r="Y293" s="114"/>
      <c r="Z293" s="114"/>
    </row>
    <row r="294" spans="1:26" ht="15.75" customHeight="1" x14ac:dyDescent="0.25">
      <c r="A294" s="44" t="s">
        <v>919</v>
      </c>
      <c r="B294" s="41"/>
      <c r="C294" s="43"/>
      <c r="D294" s="43"/>
      <c r="E294" s="43"/>
      <c r="F294" s="43"/>
      <c r="G294" s="43"/>
      <c r="H294" s="114"/>
      <c r="I294" s="60">
        <v>120000</v>
      </c>
      <c r="J294" s="60"/>
      <c r="K294" s="114"/>
      <c r="L294" s="114"/>
      <c r="M294" s="60"/>
      <c r="N294" s="60"/>
      <c r="O294" s="114"/>
      <c r="P294" s="114"/>
      <c r="Q294" s="114"/>
      <c r="R294" s="114"/>
      <c r="S294" s="114"/>
      <c r="T294" s="114"/>
      <c r="U294" s="114"/>
      <c r="V294" s="114"/>
      <c r="W294" s="114"/>
      <c r="X294" s="114"/>
      <c r="Y294" s="114"/>
      <c r="Z294" s="114"/>
    </row>
    <row r="295" spans="1:26" ht="15.75" customHeight="1" x14ac:dyDescent="0.25">
      <c r="A295" s="44" t="s">
        <v>920</v>
      </c>
      <c r="B295" s="41"/>
      <c r="C295" s="43"/>
      <c r="D295" s="43"/>
      <c r="E295" s="43"/>
      <c r="F295" s="43"/>
      <c r="G295" s="43"/>
      <c r="H295" s="114"/>
      <c r="I295" s="60"/>
      <c r="J295" s="60"/>
      <c r="K295" s="114"/>
      <c r="L295" s="114"/>
      <c r="M295" s="60"/>
      <c r="N295" s="60"/>
      <c r="O295" s="114"/>
      <c r="P295" s="114"/>
      <c r="Q295" s="114"/>
      <c r="R295" s="114"/>
      <c r="S295" s="114"/>
      <c r="T295" s="114"/>
      <c r="U295" s="114"/>
      <c r="V295" s="114"/>
      <c r="W295" s="114"/>
      <c r="X295" s="114"/>
      <c r="Y295" s="114"/>
      <c r="Z295" s="114"/>
    </row>
    <row r="296" spans="1:26" ht="31.5" x14ac:dyDescent="0.25">
      <c r="A296" s="479" t="s">
        <v>2733</v>
      </c>
      <c r="B296" s="461"/>
      <c r="C296" s="443"/>
      <c r="D296" s="443"/>
      <c r="E296" s="443"/>
      <c r="F296" s="443"/>
      <c r="G296" s="462"/>
      <c r="H296" s="450"/>
      <c r="I296" s="60">
        <v>24000000</v>
      </c>
      <c r="J296" s="60"/>
      <c r="K296" s="114"/>
      <c r="L296" s="114"/>
      <c r="M296" s="60"/>
      <c r="N296" s="60"/>
      <c r="O296" s="114"/>
      <c r="P296" s="114"/>
      <c r="Q296" s="114"/>
      <c r="R296" s="114"/>
      <c r="S296" s="114"/>
      <c r="T296" s="114"/>
      <c r="U296" s="114"/>
      <c r="V296" s="114"/>
      <c r="W296" s="114"/>
      <c r="X296" s="114"/>
      <c r="Y296" s="114"/>
      <c r="Z296" s="114"/>
    </row>
    <row r="297" spans="1:26" ht="31.5" x14ac:dyDescent="0.25">
      <c r="A297" s="479" t="s">
        <v>2734</v>
      </c>
      <c r="B297" s="461"/>
      <c r="C297" s="443"/>
      <c r="D297" s="443"/>
      <c r="E297" s="443"/>
      <c r="F297" s="443"/>
      <c r="G297" s="462"/>
      <c r="H297" s="450"/>
      <c r="I297" s="60">
        <v>120000</v>
      </c>
      <c r="J297" s="60"/>
      <c r="K297" s="114"/>
      <c r="L297" s="114"/>
      <c r="M297" s="60"/>
      <c r="N297" s="60"/>
      <c r="O297" s="114"/>
      <c r="P297" s="114"/>
      <c r="Q297" s="114"/>
      <c r="R297" s="114"/>
      <c r="S297" s="114"/>
      <c r="T297" s="114"/>
      <c r="U297" s="114"/>
      <c r="V297" s="114"/>
      <c r="W297" s="114"/>
      <c r="X297" s="114"/>
      <c r="Y297" s="114"/>
      <c r="Z297" s="114"/>
    </row>
    <row r="298" spans="1:26" ht="31.5" x14ac:dyDescent="0.25">
      <c r="A298" s="477" t="s">
        <v>2735</v>
      </c>
      <c r="B298" s="461"/>
      <c r="C298" s="473"/>
      <c r="D298" s="43"/>
      <c r="E298" s="43"/>
      <c r="F298" s="43"/>
      <c r="G298" s="43"/>
      <c r="H298" s="114"/>
      <c r="I298" s="60">
        <v>312000</v>
      </c>
      <c r="J298" s="60"/>
      <c r="K298" s="114"/>
      <c r="L298" s="114"/>
      <c r="M298" s="60"/>
      <c r="N298" s="60"/>
      <c r="O298" s="114"/>
      <c r="P298" s="114"/>
      <c r="Q298" s="114"/>
      <c r="R298" s="114"/>
      <c r="S298" s="114"/>
      <c r="T298" s="114"/>
      <c r="U298" s="114"/>
      <c r="V298" s="114"/>
      <c r="W298" s="114"/>
      <c r="X298" s="114"/>
      <c r="Y298" s="114"/>
      <c r="Z298" s="114"/>
    </row>
    <row r="299" spans="1:26" ht="31.5" x14ac:dyDescent="0.25">
      <c r="A299" s="477" t="s">
        <v>921</v>
      </c>
      <c r="B299" s="41"/>
      <c r="C299" s="43"/>
      <c r="D299" s="43"/>
      <c r="E299" s="43"/>
      <c r="F299" s="43"/>
      <c r="G299" s="43"/>
      <c r="H299" s="114"/>
      <c r="I299" s="60">
        <v>72000</v>
      </c>
      <c r="J299" s="60"/>
      <c r="K299" s="114"/>
      <c r="L299" s="114"/>
      <c r="M299" s="60"/>
      <c r="N299" s="60"/>
      <c r="O299" s="114"/>
      <c r="P299" s="114"/>
      <c r="Q299" s="114"/>
      <c r="R299" s="114"/>
      <c r="S299" s="114"/>
      <c r="T299" s="114"/>
      <c r="U299" s="114"/>
      <c r="V299" s="114"/>
      <c r="W299" s="114"/>
      <c r="X299" s="114"/>
      <c r="Y299" s="114"/>
      <c r="Z299" s="114"/>
    </row>
    <row r="300" spans="1:26" ht="15.75" x14ac:dyDescent="0.25">
      <c r="A300" s="214" t="s">
        <v>922</v>
      </c>
      <c r="B300" s="41"/>
      <c r="C300" s="43"/>
      <c r="D300" s="43"/>
      <c r="E300" s="43"/>
      <c r="F300" s="43"/>
      <c r="G300" s="43"/>
      <c r="H300" s="114"/>
      <c r="I300" s="60">
        <v>168000</v>
      </c>
      <c r="J300" s="60"/>
      <c r="K300" s="114"/>
      <c r="L300" s="114"/>
      <c r="M300" s="60"/>
      <c r="N300" s="60"/>
      <c r="O300" s="114"/>
      <c r="P300" s="114"/>
      <c r="Q300" s="114"/>
      <c r="R300" s="114"/>
      <c r="S300" s="114"/>
      <c r="T300" s="114"/>
      <c r="U300" s="114"/>
      <c r="V300" s="114"/>
      <c r="W300" s="114"/>
      <c r="X300" s="114"/>
      <c r="Y300" s="114"/>
      <c r="Z300" s="114"/>
    </row>
    <row r="301" spans="1:26" ht="31.5" x14ac:dyDescent="0.25">
      <c r="A301" s="477" t="s">
        <v>923</v>
      </c>
      <c r="B301" s="41"/>
      <c r="C301" s="43"/>
      <c r="D301" s="43"/>
      <c r="E301" s="43"/>
      <c r="F301" s="43"/>
      <c r="G301" s="43"/>
      <c r="H301" s="114"/>
      <c r="I301" s="60">
        <v>2064000</v>
      </c>
      <c r="J301" s="60"/>
      <c r="K301" s="114"/>
      <c r="L301" s="114"/>
      <c r="M301" s="60"/>
      <c r="N301" s="60"/>
      <c r="O301" s="114"/>
      <c r="P301" s="114"/>
      <c r="Q301" s="114"/>
      <c r="R301" s="114"/>
      <c r="S301" s="114"/>
      <c r="T301" s="114"/>
      <c r="U301" s="114"/>
      <c r="V301" s="114"/>
      <c r="W301" s="114"/>
      <c r="X301" s="114"/>
      <c r="Y301" s="114"/>
      <c r="Z301" s="114"/>
    </row>
    <row r="302" spans="1:26" ht="31.5" x14ac:dyDescent="0.25">
      <c r="A302" s="477" t="s">
        <v>924</v>
      </c>
      <c r="B302" s="41"/>
      <c r="C302" s="43"/>
      <c r="D302" s="43"/>
      <c r="E302" s="43"/>
      <c r="F302" s="43"/>
      <c r="G302" s="43"/>
      <c r="H302" s="114"/>
      <c r="I302" s="60">
        <v>2088000</v>
      </c>
      <c r="J302" s="60"/>
      <c r="K302" s="114"/>
      <c r="L302" s="114"/>
      <c r="M302" s="60"/>
      <c r="N302" s="60"/>
      <c r="O302" s="114"/>
      <c r="P302" s="114"/>
      <c r="Q302" s="114"/>
      <c r="R302" s="114"/>
      <c r="S302" s="114"/>
      <c r="T302" s="114"/>
      <c r="U302" s="114"/>
      <c r="V302" s="114"/>
      <c r="W302" s="114"/>
      <c r="X302" s="114"/>
      <c r="Y302" s="114"/>
      <c r="Z302" s="114"/>
    </row>
    <row r="303" spans="1:26" ht="15.75" x14ac:dyDescent="0.25">
      <c r="A303" s="44" t="s">
        <v>925</v>
      </c>
      <c r="B303" s="41"/>
      <c r="C303" s="43"/>
      <c r="D303" s="43"/>
      <c r="E303" s="43"/>
      <c r="F303" s="43"/>
      <c r="G303" s="43"/>
      <c r="H303" s="114"/>
      <c r="I303" s="60"/>
      <c r="J303" s="60"/>
      <c r="K303" s="114"/>
      <c r="L303" s="114"/>
      <c r="M303" s="60"/>
      <c r="N303" s="60"/>
      <c r="O303" s="114"/>
      <c r="P303" s="114"/>
      <c r="Q303" s="114"/>
      <c r="R303" s="114"/>
      <c r="S303" s="114"/>
      <c r="T303" s="114"/>
      <c r="U303" s="114"/>
      <c r="V303" s="114"/>
      <c r="W303" s="114"/>
      <c r="X303" s="114"/>
      <c r="Y303" s="114"/>
      <c r="Z303" s="114"/>
    </row>
    <row r="304" spans="1:26" ht="15.75" x14ac:dyDescent="0.25">
      <c r="A304" s="44" t="s">
        <v>926</v>
      </c>
      <c r="B304" s="41"/>
      <c r="C304" s="43"/>
      <c r="D304" s="43"/>
      <c r="E304" s="43"/>
      <c r="F304" s="43"/>
      <c r="G304" s="43"/>
      <c r="H304" s="114"/>
      <c r="I304" s="60"/>
      <c r="J304" s="60"/>
      <c r="K304" s="114"/>
      <c r="L304" s="114"/>
      <c r="M304" s="60"/>
      <c r="N304" s="60"/>
      <c r="O304" s="114"/>
      <c r="P304" s="114"/>
      <c r="Q304" s="114"/>
      <c r="R304" s="114"/>
      <c r="S304" s="114"/>
      <c r="T304" s="114"/>
      <c r="U304" s="114"/>
      <c r="V304" s="114"/>
      <c r="W304" s="114"/>
      <c r="X304" s="114"/>
      <c r="Y304" s="114"/>
      <c r="Z304" s="114"/>
    </row>
    <row r="305" spans="1:26" ht="31.5" x14ac:dyDescent="0.25">
      <c r="A305" s="118" t="s">
        <v>927</v>
      </c>
      <c r="B305" s="41"/>
      <c r="C305" s="43"/>
      <c r="D305" s="43"/>
      <c r="E305" s="43"/>
      <c r="F305" s="43"/>
      <c r="G305" s="43"/>
      <c r="H305" s="114"/>
      <c r="I305" s="60">
        <v>211536</v>
      </c>
      <c r="J305" s="60">
        <f>SUM(I292:I305)</f>
        <v>29269536</v>
      </c>
      <c r="K305" s="114"/>
      <c r="L305" s="114"/>
      <c r="M305" s="60"/>
      <c r="N305" s="60"/>
      <c r="O305" s="114"/>
      <c r="P305" s="114"/>
      <c r="Q305" s="114"/>
      <c r="R305" s="114"/>
      <c r="S305" s="114"/>
      <c r="T305" s="114"/>
      <c r="U305" s="114"/>
      <c r="V305" s="114"/>
      <c r="W305" s="114"/>
      <c r="X305" s="114"/>
      <c r="Y305" s="114"/>
      <c r="Z305" s="114"/>
    </row>
    <row r="306" spans="1:26" ht="15.75" customHeight="1" x14ac:dyDescent="0.25">
      <c r="A306" s="42" t="s">
        <v>466</v>
      </c>
      <c r="B306" s="41"/>
      <c r="C306" s="54">
        <f t="shared" ref="C306:D306" si="48">SUM(C240:C290)</f>
        <v>15103046.720000001</v>
      </c>
      <c r="D306" s="54">
        <f t="shared" si="48"/>
        <v>7333732.1099999994</v>
      </c>
      <c r="E306" s="54">
        <f>F306-D306</f>
        <v>11473107.890000001</v>
      </c>
      <c r="F306" s="54">
        <f>SUM(F240:F290)</f>
        <v>18806840</v>
      </c>
      <c r="G306" s="54">
        <f>SUM(G240:G305)</f>
        <v>41542484</v>
      </c>
      <c r="H306" s="114"/>
      <c r="I306" s="60"/>
      <c r="J306" s="60"/>
      <c r="K306" s="114"/>
      <c r="L306" s="114"/>
      <c r="M306" s="60"/>
      <c r="N306" s="60"/>
      <c r="O306" s="114"/>
      <c r="P306" s="114"/>
      <c r="Q306" s="114"/>
      <c r="R306" s="114"/>
      <c r="S306" s="114"/>
      <c r="T306" s="114"/>
      <c r="U306" s="114"/>
      <c r="V306" s="114"/>
      <c r="W306" s="114"/>
      <c r="X306" s="114"/>
      <c r="Y306" s="114"/>
      <c r="Z306" s="114"/>
    </row>
    <row r="307" spans="1:26" ht="15.75" customHeight="1" x14ac:dyDescent="0.25">
      <c r="A307" s="17"/>
      <c r="B307" s="41"/>
      <c r="C307" s="163"/>
      <c r="D307" s="55"/>
      <c r="E307" s="43"/>
      <c r="F307" s="55"/>
      <c r="G307" s="55"/>
      <c r="H307" s="114"/>
      <c r="I307" s="60"/>
      <c r="J307" s="60"/>
      <c r="K307" s="114"/>
      <c r="L307" s="114"/>
      <c r="M307" s="60"/>
      <c r="N307" s="60"/>
      <c r="O307" s="114"/>
      <c r="P307" s="114"/>
      <c r="Q307" s="114"/>
      <c r="R307" s="114"/>
      <c r="S307" s="114"/>
      <c r="T307" s="114"/>
      <c r="U307" s="114"/>
      <c r="V307" s="114"/>
      <c r="W307" s="114"/>
      <c r="X307" s="114"/>
      <c r="Y307" s="114"/>
      <c r="Z307" s="114"/>
    </row>
    <row r="308" spans="1:26" ht="15.75" customHeight="1" x14ac:dyDescent="0.25">
      <c r="A308" s="17" t="s">
        <v>928</v>
      </c>
      <c r="B308" s="41"/>
      <c r="C308" s="56">
        <f t="shared" ref="C308:G308" si="49">C306</f>
        <v>15103046.720000001</v>
      </c>
      <c r="D308" s="56">
        <f t="shared" si="49"/>
        <v>7333732.1099999994</v>
      </c>
      <c r="E308" s="56">
        <f t="shared" si="49"/>
        <v>11473107.890000001</v>
      </c>
      <c r="F308" s="56">
        <f t="shared" si="49"/>
        <v>18806840</v>
      </c>
      <c r="G308" s="43">
        <f t="shared" si="49"/>
        <v>41542484</v>
      </c>
      <c r="H308" s="114"/>
      <c r="I308" s="60"/>
      <c r="J308" s="60"/>
      <c r="K308" s="114"/>
      <c r="L308" s="114"/>
      <c r="M308" s="60"/>
      <c r="N308" s="60"/>
      <c r="O308" s="114"/>
      <c r="P308" s="114"/>
      <c r="Q308" s="114"/>
      <c r="R308" s="114"/>
      <c r="S308" s="114"/>
      <c r="T308" s="114"/>
      <c r="U308" s="114"/>
      <c r="V308" s="114"/>
      <c r="W308" s="114"/>
      <c r="X308" s="114"/>
      <c r="Y308" s="114"/>
      <c r="Z308" s="114"/>
    </row>
    <row r="309" spans="1:26" ht="15.75" customHeight="1" x14ac:dyDescent="0.25">
      <c r="A309" s="17"/>
      <c r="B309" s="41"/>
      <c r="C309" s="56"/>
      <c r="D309" s="43"/>
      <c r="E309" s="43"/>
      <c r="F309" s="43"/>
      <c r="G309" s="43"/>
      <c r="H309" s="114"/>
      <c r="I309" s="60"/>
      <c r="J309" s="60"/>
      <c r="K309" s="114"/>
      <c r="L309" s="114"/>
      <c r="M309" s="60"/>
      <c r="N309" s="60"/>
      <c r="O309" s="114"/>
      <c r="P309" s="114"/>
      <c r="Q309" s="114"/>
      <c r="R309" s="114"/>
      <c r="S309" s="114"/>
      <c r="T309" s="114"/>
      <c r="U309" s="114"/>
      <c r="V309" s="114"/>
      <c r="W309" s="114"/>
      <c r="X309" s="114"/>
      <c r="Y309" s="114"/>
      <c r="Z309" s="114"/>
    </row>
    <row r="310" spans="1:26" ht="15.75" customHeight="1" x14ac:dyDescent="0.25">
      <c r="A310" s="50" t="s">
        <v>487</v>
      </c>
      <c r="B310" s="51" t="s">
        <v>488</v>
      </c>
      <c r="C310" s="97" t="e">
        <f>#REF!+C308</f>
        <v>#REF!</v>
      </c>
      <c r="D310" s="97" t="e">
        <f>#REF!+D308</f>
        <v>#REF!</v>
      </c>
      <c r="E310" s="97" t="e">
        <f>#REF!+E308</f>
        <v>#REF!</v>
      </c>
      <c r="F310" s="97" t="e">
        <f>#REF!+F308</f>
        <v>#REF!</v>
      </c>
      <c r="G310" s="54">
        <f>+G308</f>
        <v>41542484</v>
      </c>
      <c r="H310" s="114"/>
      <c r="I310" s="60"/>
      <c r="J310" s="60"/>
      <c r="K310" s="114"/>
      <c r="L310" s="114"/>
      <c r="M310" s="60"/>
      <c r="N310" s="60"/>
      <c r="O310" s="114"/>
      <c r="P310" s="114"/>
      <c r="Q310" s="114"/>
      <c r="R310" s="114"/>
      <c r="S310" s="114"/>
      <c r="T310" s="114"/>
      <c r="U310" s="114"/>
      <c r="V310" s="114"/>
      <c r="W310" s="114"/>
      <c r="X310" s="114"/>
      <c r="Y310" s="114"/>
      <c r="Z310" s="114"/>
    </row>
    <row r="311" spans="1:26" ht="15.75" customHeight="1" x14ac:dyDescent="0.25">
      <c r="A311" s="24"/>
      <c r="B311" s="25"/>
      <c r="C311" s="26"/>
      <c r="D311" s="26"/>
      <c r="E311" s="26"/>
      <c r="F311" s="26"/>
      <c r="G311" s="26"/>
      <c r="H311" s="114"/>
      <c r="I311" s="60"/>
      <c r="J311" s="60"/>
      <c r="K311" s="114"/>
      <c r="L311" s="114"/>
      <c r="M311" s="60"/>
      <c r="N311" s="60"/>
      <c r="O311" s="114"/>
      <c r="P311" s="114"/>
      <c r="Q311" s="114"/>
      <c r="R311" s="114"/>
      <c r="S311" s="114"/>
      <c r="T311" s="114"/>
      <c r="U311" s="114"/>
      <c r="V311" s="114"/>
      <c r="W311" s="114"/>
      <c r="X311" s="114"/>
      <c r="Y311" s="114"/>
      <c r="Z311" s="114"/>
    </row>
    <row r="312" spans="1:26" ht="15.75" customHeight="1" x14ac:dyDescent="0.25">
      <c r="A312" s="157"/>
      <c r="B312" s="157"/>
      <c r="C312" s="157"/>
      <c r="D312" s="157"/>
      <c r="E312" s="157"/>
      <c r="F312" s="157"/>
      <c r="G312" s="157"/>
      <c r="H312" s="15"/>
      <c r="I312" s="16"/>
      <c r="J312" s="16"/>
      <c r="K312" s="15"/>
      <c r="L312" s="15"/>
      <c r="M312" s="16"/>
      <c r="N312" s="16"/>
      <c r="O312" s="15"/>
      <c r="P312" s="15"/>
      <c r="Q312" s="15"/>
      <c r="R312" s="15"/>
      <c r="S312" s="15"/>
      <c r="T312" s="15"/>
      <c r="U312" s="15"/>
      <c r="V312" s="15"/>
      <c r="W312" s="15"/>
      <c r="X312" s="15"/>
      <c r="Y312" s="15"/>
      <c r="Z312" s="15"/>
    </row>
    <row r="313" spans="1:26" ht="15.75" customHeight="1" x14ac:dyDescent="0.25">
      <c r="A313" s="9"/>
      <c r="B313" s="104"/>
      <c r="C313" s="105"/>
      <c r="D313" s="105"/>
      <c r="E313" s="105"/>
      <c r="F313" s="10"/>
      <c r="G313" s="180"/>
      <c r="H313" s="15"/>
      <c r="I313" s="16"/>
      <c r="J313" s="16"/>
      <c r="K313" s="15"/>
      <c r="L313" s="15"/>
      <c r="M313" s="16"/>
      <c r="N313" s="16"/>
      <c r="O313" s="15"/>
      <c r="P313" s="15"/>
      <c r="Q313" s="15"/>
      <c r="R313" s="15"/>
      <c r="S313" s="15"/>
      <c r="T313" s="15"/>
      <c r="U313" s="15"/>
      <c r="V313" s="15"/>
      <c r="W313" s="15"/>
      <c r="X313" s="15"/>
      <c r="Y313" s="15"/>
      <c r="Z313" s="15"/>
    </row>
    <row r="314" spans="1:26" ht="15.75" customHeight="1" x14ac:dyDescent="0.25">
      <c r="A314" s="108" t="s">
        <v>2736</v>
      </c>
      <c r="B314" s="25"/>
      <c r="C314" s="26"/>
      <c r="D314" s="26"/>
      <c r="E314" s="26"/>
      <c r="F314" s="14"/>
      <c r="G314" s="181"/>
      <c r="H314" s="15"/>
      <c r="I314" s="16"/>
      <c r="J314" s="16"/>
      <c r="K314" s="15"/>
      <c r="L314" s="15"/>
      <c r="M314" s="16"/>
      <c r="N314" s="16"/>
      <c r="O314" s="15"/>
      <c r="P314" s="15"/>
      <c r="Q314" s="15"/>
      <c r="R314" s="15"/>
      <c r="S314" s="15"/>
      <c r="T314" s="15"/>
      <c r="U314" s="15"/>
      <c r="V314" s="15"/>
      <c r="W314" s="15"/>
      <c r="X314" s="15"/>
      <c r="Y314" s="15"/>
      <c r="Z314" s="15"/>
    </row>
    <row r="315" spans="1:26" ht="15.75" customHeight="1" x14ac:dyDescent="0.25">
      <c r="A315" s="44"/>
      <c r="B315" s="25"/>
      <c r="C315" s="26"/>
      <c r="D315" s="26"/>
      <c r="E315" s="26"/>
      <c r="F315" s="14"/>
      <c r="G315" s="181"/>
      <c r="H315" s="15"/>
      <c r="I315" s="16"/>
      <c r="J315" s="16"/>
      <c r="K315" s="15"/>
      <c r="L315" s="15"/>
      <c r="M315" s="16"/>
      <c r="N315" s="16"/>
      <c r="O315" s="15"/>
      <c r="P315" s="15"/>
      <c r="Q315" s="15"/>
      <c r="R315" s="15"/>
      <c r="S315" s="15"/>
      <c r="T315" s="15"/>
      <c r="U315" s="15"/>
      <c r="V315" s="15"/>
      <c r="W315" s="15"/>
      <c r="X315" s="15"/>
      <c r="Y315" s="15"/>
      <c r="Z315" s="15"/>
    </row>
    <row r="316" spans="1:26" ht="15.75" customHeight="1" x14ac:dyDescent="0.25">
      <c r="A316" s="865" t="s">
        <v>352</v>
      </c>
      <c r="B316" s="866"/>
      <c r="C316" s="866"/>
      <c r="D316" s="866"/>
      <c r="E316" s="866"/>
      <c r="F316" s="866"/>
      <c r="G316" s="867"/>
      <c r="H316" s="15"/>
      <c r="I316" s="16"/>
      <c r="J316" s="16"/>
      <c r="K316" s="15"/>
      <c r="L316" s="15"/>
      <c r="M316" s="16"/>
      <c r="N316" s="16"/>
      <c r="O316" s="15"/>
      <c r="P316" s="15"/>
      <c r="Q316" s="15"/>
      <c r="R316" s="15"/>
      <c r="S316" s="15"/>
      <c r="T316" s="15"/>
      <c r="U316" s="15"/>
      <c r="V316" s="15"/>
      <c r="W316" s="15"/>
      <c r="X316" s="15"/>
      <c r="Y316" s="15"/>
      <c r="Z316" s="15"/>
    </row>
    <row r="317" spans="1:26" ht="15.75" customHeight="1" x14ac:dyDescent="0.25">
      <c r="A317" s="868" t="s">
        <v>353</v>
      </c>
      <c r="B317" s="857" t="s">
        <v>354</v>
      </c>
      <c r="C317" s="870" t="s">
        <v>355</v>
      </c>
      <c r="D317" s="872" t="s">
        <v>356</v>
      </c>
      <c r="E317" s="873"/>
      <c r="F317" s="874"/>
      <c r="G317" s="857" t="s">
        <v>357</v>
      </c>
      <c r="H317" s="15"/>
      <c r="I317" s="16"/>
      <c r="J317" s="16"/>
      <c r="K317" s="15"/>
      <c r="L317" s="15"/>
      <c r="M317" s="16"/>
      <c r="N317" s="16"/>
      <c r="O317" s="15"/>
      <c r="P317" s="15"/>
      <c r="Q317" s="15"/>
      <c r="R317" s="15"/>
      <c r="S317" s="15"/>
      <c r="T317" s="15"/>
      <c r="U317" s="15"/>
      <c r="V317" s="15"/>
      <c r="W317" s="15"/>
      <c r="X317" s="15"/>
      <c r="Y317" s="15"/>
      <c r="Z317" s="15"/>
    </row>
    <row r="318" spans="1:26" ht="15.75" customHeight="1" x14ac:dyDescent="0.25">
      <c r="A318" s="858"/>
      <c r="B318" s="858"/>
      <c r="C318" s="871"/>
      <c r="D318" s="28" t="s">
        <v>358</v>
      </c>
      <c r="E318" s="29" t="s">
        <v>359</v>
      </c>
      <c r="F318" s="876" t="s">
        <v>360</v>
      </c>
      <c r="G318" s="858"/>
      <c r="H318" s="15"/>
      <c r="I318" s="16"/>
      <c r="J318" s="16"/>
      <c r="K318" s="15"/>
      <c r="L318" s="15"/>
      <c r="M318" s="16"/>
      <c r="N318" s="16"/>
      <c r="O318" s="15"/>
      <c r="P318" s="15"/>
      <c r="Q318" s="15"/>
      <c r="R318" s="15"/>
      <c r="S318" s="15"/>
      <c r="T318" s="15"/>
      <c r="U318" s="15"/>
      <c r="V318" s="15"/>
      <c r="W318" s="15"/>
      <c r="X318" s="15"/>
      <c r="Y318" s="15"/>
      <c r="Z318" s="15"/>
    </row>
    <row r="319" spans="1:26" ht="15.75" customHeight="1" x14ac:dyDescent="0.25">
      <c r="A319" s="858"/>
      <c r="B319" s="858"/>
      <c r="C319" s="30" t="s">
        <v>361</v>
      </c>
      <c r="D319" s="31" t="s">
        <v>361</v>
      </c>
      <c r="E319" s="32" t="s">
        <v>362</v>
      </c>
      <c r="F319" s="877"/>
      <c r="G319" s="442" t="s">
        <v>2717</v>
      </c>
      <c r="H319" s="15"/>
      <c r="I319" s="16"/>
      <c r="J319" s="16"/>
      <c r="K319" s="15"/>
      <c r="L319" s="15"/>
      <c r="M319" s="16"/>
      <c r="N319" s="16"/>
      <c r="O319" s="15"/>
      <c r="P319" s="15"/>
      <c r="Q319" s="15"/>
      <c r="R319" s="15"/>
      <c r="S319" s="15"/>
      <c r="T319" s="15"/>
      <c r="U319" s="15"/>
      <c r="V319" s="15"/>
      <c r="W319" s="15"/>
      <c r="X319" s="15"/>
      <c r="Y319" s="15"/>
      <c r="Z319" s="15"/>
    </row>
    <row r="320" spans="1:26" ht="15.75" customHeight="1" x14ac:dyDescent="0.25">
      <c r="A320" s="869"/>
      <c r="B320" s="869"/>
      <c r="C320" s="33">
        <v>2024</v>
      </c>
      <c r="D320" s="34">
        <v>2025</v>
      </c>
      <c r="E320" s="35">
        <v>2025</v>
      </c>
      <c r="F320" s="213">
        <v>2025</v>
      </c>
      <c r="G320" s="36" t="s">
        <v>2668</v>
      </c>
      <c r="H320" s="15"/>
      <c r="I320" s="16"/>
      <c r="J320" s="16"/>
      <c r="K320" s="15"/>
      <c r="L320" s="15"/>
      <c r="M320" s="16"/>
      <c r="N320" s="16"/>
      <c r="O320" s="15"/>
      <c r="P320" s="15"/>
      <c r="Q320" s="15"/>
      <c r="R320" s="15"/>
      <c r="S320" s="15"/>
      <c r="T320" s="15"/>
      <c r="U320" s="15"/>
      <c r="V320" s="15"/>
      <c r="W320" s="15"/>
      <c r="X320" s="15"/>
      <c r="Y320" s="15"/>
      <c r="Z320" s="15"/>
    </row>
    <row r="321" spans="1:26" ht="15.75" customHeight="1" x14ac:dyDescent="0.25">
      <c r="A321" s="9" t="s">
        <v>364</v>
      </c>
      <c r="B321" s="38"/>
      <c r="C321" s="42"/>
      <c r="D321" s="42"/>
      <c r="E321" s="42"/>
      <c r="F321" s="42"/>
      <c r="G321" s="37"/>
      <c r="H321" s="15"/>
      <c r="I321" s="16"/>
      <c r="J321" s="16"/>
      <c r="K321" s="15"/>
      <c r="L321" s="15"/>
      <c r="M321" s="16"/>
      <c r="N321" s="16"/>
      <c r="O321" s="15"/>
      <c r="P321" s="15"/>
      <c r="Q321" s="15"/>
      <c r="R321" s="15"/>
      <c r="S321" s="15"/>
      <c r="T321" s="15"/>
      <c r="U321" s="15"/>
      <c r="V321" s="15"/>
      <c r="W321" s="15"/>
      <c r="X321" s="15"/>
      <c r="Y321" s="15"/>
      <c r="Z321" s="15"/>
    </row>
    <row r="322" spans="1:26" ht="15.75" customHeight="1" x14ac:dyDescent="0.25">
      <c r="A322" s="42" t="s">
        <v>491</v>
      </c>
      <c r="B322" s="49"/>
      <c r="C322" s="43"/>
      <c r="D322" s="43"/>
      <c r="E322" s="43"/>
      <c r="F322" s="43"/>
      <c r="G322" s="43"/>
      <c r="H322" s="15"/>
      <c r="I322" s="16"/>
      <c r="J322" s="16"/>
      <c r="K322" s="15"/>
      <c r="L322" s="15"/>
      <c r="M322" s="16"/>
      <c r="N322" s="16"/>
      <c r="O322" s="15"/>
      <c r="P322" s="15"/>
      <c r="Q322" s="15"/>
      <c r="R322" s="15"/>
      <c r="S322" s="15"/>
      <c r="T322" s="15"/>
      <c r="U322" s="15"/>
      <c r="V322" s="15"/>
      <c r="W322" s="15"/>
      <c r="X322" s="15"/>
      <c r="Y322" s="15"/>
      <c r="Z322" s="15"/>
    </row>
    <row r="323" spans="1:26" ht="15.75" customHeight="1" x14ac:dyDescent="0.25">
      <c r="A323" s="17" t="s">
        <v>424</v>
      </c>
      <c r="B323" s="41"/>
      <c r="C323" s="43"/>
      <c r="D323" s="43"/>
      <c r="E323" s="43"/>
      <c r="F323" s="43"/>
      <c r="G323" s="43"/>
      <c r="H323" s="15"/>
      <c r="I323" s="16"/>
      <c r="J323" s="16"/>
      <c r="K323" s="15"/>
      <c r="L323" s="15"/>
      <c r="M323" s="16"/>
      <c r="N323" s="16"/>
      <c r="O323" s="15"/>
      <c r="P323" s="15"/>
      <c r="Q323" s="15"/>
      <c r="R323" s="15"/>
      <c r="S323" s="15"/>
      <c r="T323" s="15"/>
      <c r="U323" s="15"/>
      <c r="V323" s="15"/>
      <c r="W323" s="15"/>
      <c r="X323" s="15"/>
      <c r="Y323" s="15"/>
      <c r="Z323" s="15"/>
    </row>
    <row r="324" spans="1:26" ht="15.75" customHeight="1" x14ac:dyDescent="0.25">
      <c r="A324" s="44" t="s">
        <v>424</v>
      </c>
      <c r="B324" s="41" t="s">
        <v>335</v>
      </c>
      <c r="C324" s="43">
        <v>0</v>
      </c>
      <c r="D324" s="43">
        <v>0</v>
      </c>
      <c r="E324" s="43">
        <v>0</v>
      </c>
      <c r="F324" s="43">
        <v>0</v>
      </c>
      <c r="G324" s="43">
        <v>15000000</v>
      </c>
      <c r="H324" s="15"/>
      <c r="I324" s="16"/>
      <c r="J324" s="16"/>
      <c r="K324" s="15"/>
      <c r="L324" s="15"/>
      <c r="M324" s="16"/>
      <c r="N324" s="16"/>
      <c r="O324" s="15"/>
      <c r="P324" s="15"/>
      <c r="Q324" s="15"/>
      <c r="R324" s="15"/>
      <c r="S324" s="15"/>
      <c r="T324" s="15"/>
      <c r="U324" s="15"/>
      <c r="V324" s="15"/>
      <c r="W324" s="15"/>
      <c r="X324" s="15"/>
      <c r="Y324" s="15"/>
      <c r="Z324" s="15"/>
    </row>
    <row r="325" spans="1:26" ht="15.75" customHeight="1" x14ac:dyDescent="0.25">
      <c r="A325" s="42" t="s">
        <v>466</v>
      </c>
      <c r="B325" s="41"/>
      <c r="C325" s="54">
        <f t="shared" ref="C325:D325" si="50">SUM(C323:C324)</f>
        <v>0</v>
      </c>
      <c r="D325" s="54">
        <f t="shared" si="50"/>
        <v>0</v>
      </c>
      <c r="E325" s="54">
        <f>F325-D325</f>
        <v>0</v>
      </c>
      <c r="F325" s="54">
        <f t="shared" ref="F325:G325" si="51">SUM(F323:F324)</f>
        <v>0</v>
      </c>
      <c r="G325" s="54">
        <f t="shared" si="51"/>
        <v>15000000</v>
      </c>
      <c r="H325" s="15"/>
      <c r="I325" s="16"/>
      <c r="J325" s="16"/>
      <c r="K325" s="15"/>
      <c r="L325" s="15"/>
      <c r="M325" s="16"/>
      <c r="N325" s="16"/>
      <c r="O325" s="15"/>
      <c r="P325" s="15"/>
      <c r="Q325" s="15"/>
      <c r="R325" s="15"/>
      <c r="S325" s="15"/>
      <c r="T325" s="15"/>
      <c r="U325" s="15"/>
      <c r="V325" s="15"/>
      <c r="W325" s="15"/>
      <c r="X325" s="15"/>
      <c r="Y325" s="15"/>
      <c r="Z325" s="15"/>
    </row>
    <row r="326" spans="1:26" ht="15.75" customHeight="1" x14ac:dyDescent="0.25">
      <c r="A326" s="17"/>
      <c r="B326" s="41"/>
      <c r="C326" s="55"/>
      <c r="D326" s="55"/>
      <c r="E326" s="43"/>
      <c r="F326" s="55"/>
      <c r="G326" s="55"/>
      <c r="H326" s="15"/>
      <c r="I326" s="16"/>
      <c r="J326" s="16"/>
      <c r="K326" s="15"/>
      <c r="L326" s="15"/>
      <c r="M326" s="16"/>
      <c r="N326" s="16"/>
      <c r="O326" s="15"/>
      <c r="P326" s="15"/>
      <c r="Q326" s="15"/>
      <c r="R326" s="15"/>
      <c r="S326" s="15"/>
      <c r="T326" s="15"/>
      <c r="U326" s="15"/>
      <c r="V326" s="15"/>
      <c r="W326" s="15"/>
      <c r="X326" s="15"/>
      <c r="Y326" s="15"/>
      <c r="Z326" s="15"/>
    </row>
    <row r="327" spans="1:26" ht="15.75" customHeight="1" x14ac:dyDescent="0.25">
      <c r="A327" s="17" t="s">
        <v>467</v>
      </c>
      <c r="B327" s="41"/>
      <c r="C327" s="43">
        <f t="shared" ref="C327:D327" si="52">C325</f>
        <v>0</v>
      </c>
      <c r="D327" s="43">
        <f t="shared" si="52"/>
        <v>0</v>
      </c>
      <c r="E327" s="43">
        <f>F327-D327</f>
        <v>0</v>
      </c>
      <c r="F327" s="43">
        <f t="shared" ref="F327:G327" si="53">F325</f>
        <v>0</v>
      </c>
      <c r="G327" s="43">
        <f t="shared" si="53"/>
        <v>15000000</v>
      </c>
      <c r="H327" s="15"/>
      <c r="I327" s="16"/>
      <c r="J327" s="16"/>
      <c r="K327" s="15"/>
      <c r="L327" s="15"/>
      <c r="M327" s="16"/>
      <c r="N327" s="16"/>
      <c r="O327" s="15"/>
      <c r="P327" s="15"/>
      <c r="Q327" s="15"/>
      <c r="R327" s="15"/>
      <c r="S327" s="15"/>
      <c r="T327" s="15"/>
      <c r="U327" s="15"/>
      <c r="V327" s="15"/>
      <c r="W327" s="15"/>
      <c r="X327" s="15"/>
      <c r="Y327" s="15"/>
      <c r="Z327" s="15"/>
    </row>
    <row r="328" spans="1:26" ht="15.75" customHeight="1" x14ac:dyDescent="0.25">
      <c r="A328" s="17"/>
      <c r="B328" s="41"/>
      <c r="C328" s="43"/>
      <c r="D328" s="43"/>
      <c r="E328" s="43"/>
      <c r="F328" s="43"/>
      <c r="G328" s="43"/>
      <c r="H328" s="15"/>
      <c r="I328" s="16"/>
      <c r="J328" s="16"/>
      <c r="K328" s="15"/>
      <c r="L328" s="15"/>
      <c r="M328" s="16"/>
      <c r="N328" s="16"/>
      <c r="O328" s="15"/>
      <c r="P328" s="15"/>
      <c r="Q328" s="15"/>
      <c r="R328" s="15"/>
      <c r="S328" s="15"/>
      <c r="T328" s="15"/>
      <c r="U328" s="15"/>
      <c r="V328" s="15"/>
      <c r="W328" s="15"/>
      <c r="X328" s="15"/>
      <c r="Y328" s="15"/>
      <c r="Z328" s="15"/>
    </row>
    <row r="329" spans="1:26" ht="15.75" customHeight="1" x14ac:dyDescent="0.25">
      <c r="A329" s="50" t="s">
        <v>487</v>
      </c>
      <c r="B329" s="51" t="s">
        <v>488</v>
      </c>
      <c r="C329" s="54">
        <f t="shared" ref="C329:D329" si="54">C327</f>
        <v>0</v>
      </c>
      <c r="D329" s="54">
        <f t="shared" si="54"/>
        <v>0</v>
      </c>
      <c r="E329" s="54">
        <f>F329-D329</f>
        <v>0</v>
      </c>
      <c r="F329" s="54">
        <f t="shared" ref="F329:G329" si="55">F327</f>
        <v>0</v>
      </c>
      <c r="G329" s="54">
        <f t="shared" si="55"/>
        <v>15000000</v>
      </c>
      <c r="H329" s="15"/>
      <c r="I329" s="16"/>
      <c r="J329" s="16"/>
      <c r="K329" s="15"/>
      <c r="L329" s="15"/>
      <c r="M329" s="16"/>
      <c r="N329" s="16"/>
      <c r="O329" s="15"/>
      <c r="P329" s="15"/>
      <c r="Q329" s="15"/>
      <c r="R329" s="15"/>
      <c r="S329" s="15"/>
      <c r="T329" s="15"/>
      <c r="U329" s="15"/>
      <c r="V329" s="15"/>
      <c r="W329" s="15"/>
      <c r="X329" s="15"/>
      <c r="Y329" s="15"/>
      <c r="Z329" s="15"/>
    </row>
    <row r="330" spans="1:26" ht="15.75" customHeight="1" x14ac:dyDescent="0.25">
      <c r="A330" s="24"/>
      <c r="B330" s="25"/>
      <c r="C330" s="26"/>
      <c r="D330" s="26"/>
      <c r="E330" s="26"/>
      <c r="F330" s="26"/>
      <c r="G330" s="26"/>
      <c r="H330" s="15"/>
      <c r="I330" s="16"/>
      <c r="J330" s="16"/>
      <c r="K330" s="15"/>
      <c r="L330" s="15"/>
      <c r="M330" s="16"/>
      <c r="N330" s="16"/>
      <c r="O330" s="15"/>
      <c r="P330" s="15"/>
      <c r="Q330" s="15"/>
      <c r="R330" s="15"/>
      <c r="S330" s="15"/>
      <c r="T330" s="15"/>
      <c r="U330" s="15"/>
      <c r="V330" s="15"/>
      <c r="W330" s="15"/>
      <c r="X330" s="15"/>
      <c r="Y330" s="15"/>
      <c r="Z330" s="15"/>
    </row>
    <row r="331" spans="1:26" ht="15.75" customHeight="1" x14ac:dyDescent="0.25">
      <c r="A331" s="24"/>
      <c r="B331" s="25"/>
      <c r="C331" s="26"/>
      <c r="D331" s="26"/>
      <c r="E331" s="26"/>
      <c r="F331" s="26"/>
      <c r="G331" s="26"/>
      <c r="H331" s="15"/>
      <c r="I331" s="16"/>
      <c r="J331" s="16"/>
      <c r="K331" s="15"/>
      <c r="L331" s="15"/>
      <c r="M331" s="16"/>
      <c r="N331" s="16"/>
      <c r="O331" s="15"/>
      <c r="P331" s="15"/>
      <c r="Q331" s="15"/>
      <c r="R331" s="15"/>
      <c r="S331" s="15"/>
      <c r="T331" s="15"/>
      <c r="U331" s="15"/>
      <c r="V331" s="15"/>
      <c r="W331" s="15"/>
      <c r="X331" s="15"/>
      <c r="Y331" s="15"/>
      <c r="Z331" s="15"/>
    </row>
    <row r="332" spans="1:26" ht="15.75" customHeight="1" x14ac:dyDescent="0.25">
      <c r="A332" s="9"/>
      <c r="B332" s="104"/>
      <c r="C332" s="105"/>
      <c r="D332" s="105"/>
      <c r="E332" s="105"/>
      <c r="F332" s="10"/>
      <c r="G332" s="180"/>
      <c r="H332" s="15"/>
      <c r="I332" s="16"/>
      <c r="J332" s="16"/>
      <c r="K332" s="15"/>
      <c r="L332" s="15"/>
      <c r="M332" s="16"/>
      <c r="N332" s="16"/>
      <c r="O332" s="15"/>
      <c r="P332" s="15"/>
      <c r="Q332" s="15"/>
      <c r="R332" s="15"/>
      <c r="S332" s="15"/>
      <c r="T332" s="15"/>
      <c r="U332" s="15"/>
      <c r="V332" s="15"/>
      <c r="W332" s="15"/>
      <c r="X332" s="15"/>
      <c r="Y332" s="15"/>
      <c r="Z332" s="15"/>
    </row>
    <row r="333" spans="1:26" ht="15.75" customHeight="1" x14ac:dyDescent="0.25">
      <c r="A333" s="108" t="s">
        <v>2737</v>
      </c>
      <c r="B333" s="25"/>
      <c r="C333" s="26"/>
      <c r="D333" s="26"/>
      <c r="E333" s="26"/>
      <c r="F333" s="14"/>
      <c r="G333" s="181"/>
      <c r="H333" s="15"/>
      <c r="I333" s="16"/>
      <c r="J333" s="16"/>
      <c r="K333" s="15"/>
      <c r="L333" s="15"/>
      <c r="M333" s="16"/>
      <c r="N333" s="16"/>
      <c r="O333" s="15"/>
      <c r="P333" s="15"/>
      <c r="Q333" s="15"/>
      <c r="R333" s="15"/>
      <c r="S333" s="15"/>
      <c r="T333" s="15"/>
      <c r="U333" s="15"/>
      <c r="V333" s="15"/>
      <c r="W333" s="15"/>
      <c r="X333" s="15"/>
      <c r="Y333" s="15"/>
      <c r="Z333" s="15"/>
    </row>
    <row r="334" spans="1:26" ht="15.75" customHeight="1" x14ac:dyDescent="0.25">
      <c r="A334" s="108"/>
      <c r="B334" s="25"/>
      <c r="C334" s="26"/>
      <c r="D334" s="26"/>
      <c r="E334" s="26"/>
      <c r="F334" s="14"/>
      <c r="G334" s="181"/>
      <c r="H334" s="15"/>
      <c r="I334" s="16"/>
      <c r="J334" s="16"/>
      <c r="K334" s="15"/>
      <c r="L334" s="15"/>
      <c r="M334" s="16"/>
      <c r="N334" s="16"/>
      <c r="O334" s="15"/>
      <c r="P334" s="15"/>
      <c r="Q334" s="15"/>
      <c r="R334" s="15"/>
      <c r="S334" s="15"/>
      <c r="T334" s="15"/>
      <c r="U334" s="15"/>
      <c r="V334" s="15"/>
      <c r="W334" s="15"/>
      <c r="X334" s="15"/>
      <c r="Y334" s="15"/>
      <c r="Z334" s="15"/>
    </row>
    <row r="335" spans="1:26" ht="15.75" customHeight="1" x14ac:dyDescent="0.25">
      <c r="A335" s="865" t="s">
        <v>352</v>
      </c>
      <c r="B335" s="866"/>
      <c r="C335" s="866"/>
      <c r="D335" s="866"/>
      <c r="E335" s="866"/>
      <c r="F335" s="866"/>
      <c r="G335" s="867"/>
      <c r="H335" s="15"/>
      <c r="I335" s="16"/>
      <c r="J335" s="16"/>
      <c r="K335" s="15"/>
      <c r="L335" s="15"/>
      <c r="M335" s="16"/>
      <c r="N335" s="16"/>
      <c r="O335" s="15"/>
      <c r="P335" s="15"/>
      <c r="Q335" s="15"/>
      <c r="R335" s="15"/>
      <c r="S335" s="15"/>
      <c r="T335" s="15"/>
      <c r="U335" s="15"/>
      <c r="V335" s="15"/>
      <c r="W335" s="15"/>
      <c r="X335" s="15"/>
      <c r="Y335" s="15"/>
      <c r="Z335" s="15"/>
    </row>
    <row r="336" spans="1:26" ht="15.75" customHeight="1" x14ac:dyDescent="0.25">
      <c r="A336" s="868" t="s">
        <v>1194</v>
      </c>
      <c r="B336" s="857" t="s">
        <v>354</v>
      </c>
      <c r="C336" s="870" t="s">
        <v>355</v>
      </c>
      <c r="D336" s="872" t="s">
        <v>356</v>
      </c>
      <c r="E336" s="873"/>
      <c r="F336" s="874"/>
      <c r="G336" s="857" t="s">
        <v>357</v>
      </c>
      <c r="H336" s="15"/>
      <c r="I336" s="16"/>
      <c r="J336" s="16"/>
      <c r="K336" s="15"/>
      <c r="L336" s="15"/>
      <c r="M336" s="16"/>
      <c r="N336" s="16"/>
      <c r="O336" s="15"/>
      <c r="P336" s="15"/>
      <c r="Q336" s="15"/>
      <c r="R336" s="15"/>
      <c r="S336" s="15"/>
      <c r="T336" s="15"/>
      <c r="U336" s="15"/>
      <c r="V336" s="15"/>
      <c r="W336" s="15"/>
      <c r="X336" s="15"/>
      <c r="Y336" s="15"/>
      <c r="Z336" s="15"/>
    </row>
    <row r="337" spans="1:26" ht="15.75" customHeight="1" x14ac:dyDescent="0.25">
      <c r="A337" s="858"/>
      <c r="B337" s="858"/>
      <c r="C337" s="871"/>
      <c r="D337" s="28" t="s">
        <v>358</v>
      </c>
      <c r="E337" s="29" t="s">
        <v>359</v>
      </c>
      <c r="F337" s="875" t="s">
        <v>360</v>
      </c>
      <c r="G337" s="858"/>
      <c r="H337" s="15"/>
      <c r="I337" s="16"/>
      <c r="J337" s="16"/>
      <c r="K337" s="15"/>
      <c r="L337" s="15"/>
      <c r="M337" s="16"/>
      <c r="N337" s="16"/>
      <c r="O337" s="15"/>
      <c r="P337" s="15"/>
      <c r="Q337" s="15"/>
      <c r="R337" s="15"/>
      <c r="S337" s="15"/>
      <c r="T337" s="15"/>
      <c r="U337" s="15"/>
      <c r="V337" s="15"/>
      <c r="W337" s="15"/>
      <c r="X337" s="15"/>
      <c r="Y337" s="15"/>
      <c r="Z337" s="15"/>
    </row>
    <row r="338" spans="1:26" ht="15.75" customHeight="1" x14ac:dyDescent="0.25">
      <c r="A338" s="858"/>
      <c r="B338" s="858"/>
      <c r="C338" s="30" t="s">
        <v>361</v>
      </c>
      <c r="D338" s="31" t="s">
        <v>361</v>
      </c>
      <c r="E338" s="32" t="s">
        <v>362</v>
      </c>
      <c r="F338" s="860"/>
      <c r="G338" s="442" t="s">
        <v>2717</v>
      </c>
      <c r="H338" s="15"/>
      <c r="I338" s="16"/>
      <c r="J338" s="16"/>
      <c r="K338" s="15"/>
      <c r="L338" s="15"/>
      <c r="M338" s="16"/>
      <c r="N338" s="16"/>
      <c r="O338" s="15"/>
      <c r="P338" s="15"/>
      <c r="Q338" s="15"/>
      <c r="R338" s="15"/>
      <c r="S338" s="15"/>
      <c r="T338" s="15"/>
      <c r="U338" s="15"/>
      <c r="V338" s="15"/>
      <c r="W338" s="15"/>
      <c r="X338" s="15"/>
      <c r="Y338" s="15"/>
      <c r="Z338" s="15"/>
    </row>
    <row r="339" spans="1:26" ht="15.75" customHeight="1" x14ac:dyDescent="0.25">
      <c r="A339" s="869"/>
      <c r="B339" s="869"/>
      <c r="C339" s="33">
        <v>2024</v>
      </c>
      <c r="D339" s="34">
        <v>2025</v>
      </c>
      <c r="E339" s="35">
        <v>2025</v>
      </c>
      <c r="F339" s="34">
        <v>2025</v>
      </c>
      <c r="G339" s="36" t="s">
        <v>2668</v>
      </c>
      <c r="H339" s="15"/>
      <c r="I339" s="16"/>
      <c r="J339" s="16"/>
      <c r="K339" s="15"/>
      <c r="L339" s="15"/>
      <c r="M339" s="16"/>
      <c r="N339" s="16"/>
      <c r="O339" s="15"/>
      <c r="P339" s="15"/>
      <c r="Q339" s="15"/>
      <c r="R339" s="15"/>
      <c r="S339" s="15"/>
      <c r="T339" s="15"/>
      <c r="U339" s="15"/>
      <c r="V339" s="15"/>
      <c r="W339" s="15"/>
      <c r="X339" s="15"/>
      <c r="Y339" s="15"/>
      <c r="Z339" s="15"/>
    </row>
    <row r="340" spans="1:26" ht="15.75" customHeight="1" x14ac:dyDescent="0.25">
      <c r="A340" s="227" t="s">
        <v>1195</v>
      </c>
      <c r="B340" s="228"/>
      <c r="C340" s="20"/>
      <c r="D340" s="41"/>
      <c r="E340" s="25"/>
      <c r="F340" s="41"/>
      <c r="G340" s="229"/>
      <c r="H340" s="15"/>
      <c r="I340" s="16"/>
      <c r="J340" s="16"/>
      <c r="K340" s="15"/>
      <c r="L340" s="15"/>
      <c r="M340" s="16"/>
      <c r="N340" s="16"/>
      <c r="O340" s="15"/>
      <c r="P340" s="15"/>
      <c r="Q340" s="15"/>
      <c r="R340" s="15"/>
      <c r="S340" s="15"/>
      <c r="T340" s="15"/>
      <c r="U340" s="15"/>
      <c r="V340" s="15"/>
      <c r="W340" s="15"/>
      <c r="X340" s="15"/>
      <c r="Y340" s="15"/>
      <c r="Z340" s="15"/>
    </row>
    <row r="341" spans="1:26" ht="15.75" customHeight="1" x14ac:dyDescent="0.25">
      <c r="A341" s="227" t="s">
        <v>1196</v>
      </c>
      <c r="B341" s="228"/>
      <c r="C341" s="20"/>
      <c r="D341" s="41"/>
      <c r="E341" s="25"/>
      <c r="F341" s="41"/>
      <c r="G341" s="229"/>
      <c r="H341" s="15"/>
      <c r="I341" s="16"/>
      <c r="J341" s="16"/>
      <c r="K341" s="15"/>
      <c r="L341" s="15"/>
      <c r="M341" s="16"/>
      <c r="N341" s="16"/>
      <c r="O341" s="15"/>
      <c r="P341" s="15"/>
      <c r="Q341" s="15"/>
      <c r="R341" s="15"/>
      <c r="S341" s="15"/>
      <c r="T341" s="15"/>
      <c r="U341" s="15"/>
      <c r="V341" s="15"/>
      <c r="W341" s="15"/>
      <c r="X341" s="15"/>
      <c r="Y341" s="15"/>
      <c r="Z341" s="15"/>
    </row>
    <row r="342" spans="1:26" ht="15.75" customHeight="1" x14ac:dyDescent="0.25">
      <c r="A342" s="17" t="s">
        <v>1217</v>
      </c>
      <c r="B342" s="172"/>
      <c r="C342" s="42"/>
      <c r="D342" s="42"/>
      <c r="E342" s="43"/>
      <c r="F342" s="42"/>
      <c r="G342" s="19"/>
      <c r="H342" s="15"/>
      <c r="I342" s="16"/>
      <c r="J342" s="16"/>
      <c r="K342" s="15"/>
      <c r="L342" s="15"/>
      <c r="M342" s="16"/>
      <c r="N342" s="16"/>
      <c r="O342" s="15"/>
      <c r="P342" s="15"/>
      <c r="Q342" s="15"/>
      <c r="R342" s="15"/>
      <c r="S342" s="15"/>
      <c r="T342" s="15"/>
      <c r="U342" s="15"/>
      <c r="V342" s="15"/>
      <c r="W342" s="15"/>
      <c r="X342" s="15"/>
      <c r="Y342" s="15"/>
      <c r="Z342" s="15"/>
    </row>
    <row r="343" spans="1:26" ht="15.75" customHeight="1" x14ac:dyDescent="0.25">
      <c r="A343" s="44" t="s">
        <v>1218</v>
      </c>
      <c r="B343" s="41" t="s">
        <v>191</v>
      </c>
      <c r="C343" s="43">
        <v>541670</v>
      </c>
      <c r="D343" s="43">
        <v>274832.34999999998</v>
      </c>
      <c r="E343" s="43">
        <f>F343-D343</f>
        <v>275167.65000000002</v>
      </c>
      <c r="F343" s="43">
        <v>550000</v>
      </c>
      <c r="G343" s="45">
        <v>500000</v>
      </c>
      <c r="H343" s="15"/>
      <c r="I343" s="16"/>
      <c r="J343" s="16"/>
      <c r="K343" s="15"/>
      <c r="L343" s="15"/>
      <c r="M343" s="16"/>
      <c r="N343" s="16"/>
      <c r="O343" s="15"/>
      <c r="P343" s="15"/>
      <c r="Q343" s="15"/>
      <c r="R343" s="15"/>
      <c r="S343" s="15"/>
      <c r="T343" s="15"/>
      <c r="U343" s="15"/>
      <c r="V343" s="15"/>
      <c r="W343" s="15"/>
      <c r="X343" s="15"/>
      <c r="Y343" s="15"/>
      <c r="Z343" s="15"/>
    </row>
    <row r="344" spans="1:26" ht="15.75" customHeight="1" x14ac:dyDescent="0.25">
      <c r="A344" s="161" t="s">
        <v>1201</v>
      </c>
      <c r="B344" s="41"/>
      <c r="C344" s="41"/>
      <c r="D344" s="41"/>
      <c r="E344" s="43"/>
      <c r="F344" s="41"/>
      <c r="G344" s="49"/>
      <c r="H344" s="15"/>
      <c r="I344" s="16"/>
      <c r="J344" s="16"/>
      <c r="K344" s="15"/>
      <c r="L344" s="15"/>
      <c r="M344" s="16"/>
      <c r="N344" s="16"/>
      <c r="O344" s="15"/>
      <c r="P344" s="15"/>
      <c r="Q344" s="15"/>
      <c r="R344" s="15"/>
      <c r="S344" s="15"/>
      <c r="T344" s="15"/>
      <c r="U344" s="15"/>
      <c r="V344" s="15"/>
      <c r="W344" s="15"/>
      <c r="X344" s="15"/>
      <c r="Y344" s="15"/>
      <c r="Z344" s="15"/>
    </row>
    <row r="345" spans="1:26" ht="15.75" customHeight="1" x14ac:dyDescent="0.25">
      <c r="A345" s="48" t="s">
        <v>1201</v>
      </c>
      <c r="B345" s="41" t="s">
        <v>335</v>
      </c>
      <c r="C345" s="43">
        <v>2736773.5</v>
      </c>
      <c r="D345" s="43">
        <v>2288617.9</v>
      </c>
      <c r="E345" s="43">
        <f>F345-D345</f>
        <v>493302.10000000009</v>
      </c>
      <c r="F345" s="43">
        <v>2781920</v>
      </c>
      <c r="G345" s="440">
        <v>2919512</v>
      </c>
      <c r="H345" s="15"/>
      <c r="I345" s="16"/>
      <c r="J345" s="16"/>
      <c r="K345" s="15"/>
      <c r="L345" s="15"/>
      <c r="M345" s="16"/>
      <c r="N345" s="16"/>
      <c r="O345" s="15"/>
      <c r="P345" s="15"/>
      <c r="Q345" s="15"/>
      <c r="R345" s="15"/>
      <c r="S345" s="15"/>
      <c r="T345" s="15"/>
      <c r="U345" s="15"/>
      <c r="V345" s="15"/>
      <c r="W345" s="15"/>
      <c r="X345" s="15"/>
      <c r="Y345" s="15"/>
      <c r="Z345" s="15"/>
    </row>
    <row r="346" spans="1:26" ht="15.75" customHeight="1" x14ac:dyDescent="0.25">
      <c r="A346" s="44" t="s">
        <v>1221</v>
      </c>
      <c r="B346" s="41"/>
      <c r="C346" s="43"/>
      <c r="D346" s="43"/>
      <c r="E346" s="43"/>
      <c r="F346" s="43"/>
      <c r="G346" s="43"/>
      <c r="H346" s="15"/>
      <c r="I346" s="16"/>
      <c r="J346" s="16"/>
      <c r="K346" s="15"/>
      <c r="L346" s="15"/>
      <c r="M346" s="16"/>
      <c r="N346" s="16"/>
      <c r="O346" s="15"/>
      <c r="P346" s="15"/>
      <c r="Q346" s="15"/>
      <c r="R346" s="15"/>
      <c r="S346" s="15"/>
      <c r="T346" s="15"/>
      <c r="U346" s="15"/>
      <c r="V346" s="15"/>
      <c r="W346" s="15"/>
      <c r="X346" s="15"/>
      <c r="Y346" s="15"/>
      <c r="Z346" s="15"/>
    </row>
    <row r="347" spans="1:26" ht="15.75" customHeight="1" x14ac:dyDescent="0.25">
      <c r="A347" s="44" t="s">
        <v>847</v>
      </c>
      <c r="B347" s="41"/>
      <c r="C347" s="43"/>
      <c r="D347" s="43"/>
      <c r="E347" s="43"/>
      <c r="F347" s="43"/>
      <c r="G347" s="43"/>
      <c r="H347" s="15"/>
      <c r="I347" s="16"/>
      <c r="J347" s="16"/>
      <c r="K347" s="15"/>
      <c r="L347" s="15"/>
      <c r="M347" s="16"/>
      <c r="N347" s="16"/>
      <c r="O347" s="15"/>
      <c r="P347" s="15"/>
      <c r="Q347" s="15"/>
      <c r="R347" s="15"/>
      <c r="S347" s="15"/>
      <c r="T347" s="15"/>
      <c r="U347" s="15"/>
      <c r="V347" s="15"/>
      <c r="W347" s="15"/>
      <c r="X347" s="15"/>
      <c r="Y347" s="15"/>
      <c r="Z347" s="15"/>
    </row>
    <row r="348" spans="1:26" ht="31.5" x14ac:dyDescent="0.25">
      <c r="A348" s="88" t="s">
        <v>2738</v>
      </c>
      <c r="B348" s="41"/>
      <c r="C348" s="43"/>
      <c r="D348" s="43"/>
      <c r="E348" s="43"/>
      <c r="F348" s="43"/>
      <c r="G348" s="43"/>
      <c r="H348" s="15"/>
      <c r="I348" s="16"/>
      <c r="J348" s="16"/>
      <c r="K348" s="15"/>
      <c r="L348" s="15"/>
      <c r="M348" s="16"/>
      <c r="N348" s="16"/>
      <c r="O348" s="15"/>
      <c r="P348" s="15"/>
      <c r="Q348" s="15"/>
      <c r="R348" s="15"/>
      <c r="S348" s="15"/>
      <c r="T348" s="15"/>
      <c r="U348" s="15"/>
      <c r="V348" s="15"/>
      <c r="W348" s="15"/>
      <c r="X348" s="15"/>
      <c r="Y348" s="15"/>
      <c r="Z348" s="15"/>
    </row>
    <row r="349" spans="1:26" ht="15.75" customHeight="1" x14ac:dyDescent="0.25">
      <c r="A349" s="48" t="s">
        <v>1222</v>
      </c>
      <c r="B349" s="41"/>
      <c r="C349" s="43"/>
      <c r="D349" s="43"/>
      <c r="E349" s="43"/>
      <c r="F349" s="43"/>
      <c r="G349" s="43"/>
      <c r="H349" s="15"/>
      <c r="I349" s="16"/>
      <c r="J349" s="16"/>
      <c r="K349" s="15"/>
      <c r="L349" s="15"/>
      <c r="M349" s="16"/>
      <c r="N349" s="16"/>
      <c r="O349" s="15"/>
      <c r="P349" s="15"/>
      <c r="Q349" s="15"/>
      <c r="R349" s="15"/>
      <c r="S349" s="15"/>
      <c r="T349" s="15"/>
      <c r="U349" s="15"/>
      <c r="V349" s="15"/>
      <c r="W349" s="15"/>
      <c r="X349" s="15"/>
      <c r="Y349" s="15"/>
      <c r="Z349" s="15"/>
    </row>
    <row r="350" spans="1:26" ht="15.75" customHeight="1" x14ac:dyDescent="0.25">
      <c r="A350" s="48" t="s">
        <v>1223</v>
      </c>
      <c r="B350" s="41"/>
      <c r="C350" s="43"/>
      <c r="D350" s="43"/>
      <c r="E350" s="43"/>
      <c r="F350" s="43"/>
      <c r="G350" s="43"/>
      <c r="H350" s="15"/>
      <c r="I350" s="16"/>
      <c r="J350" s="16"/>
      <c r="K350" s="15"/>
      <c r="L350" s="15"/>
      <c r="M350" s="16"/>
      <c r="N350" s="16"/>
      <c r="O350" s="15"/>
      <c r="P350" s="15"/>
      <c r="Q350" s="15"/>
      <c r="R350" s="15"/>
      <c r="S350" s="15"/>
      <c r="T350" s="15"/>
      <c r="U350" s="15"/>
      <c r="V350" s="15"/>
      <c r="W350" s="15"/>
      <c r="X350" s="15"/>
      <c r="Y350" s="15"/>
      <c r="Z350" s="15"/>
    </row>
    <row r="351" spans="1:26" ht="15.75" customHeight="1" x14ac:dyDescent="0.25">
      <c r="A351" s="42" t="s">
        <v>1210</v>
      </c>
      <c r="B351" s="41"/>
      <c r="C351" s="54">
        <f t="shared" ref="C351:D351" si="56">SUM(C342:C345)</f>
        <v>3278443.5</v>
      </c>
      <c r="D351" s="54">
        <f t="shared" si="56"/>
        <v>2563450.25</v>
      </c>
      <c r="E351" s="54">
        <f>F351-D351</f>
        <v>768469.75</v>
      </c>
      <c r="F351" s="54">
        <f>SUM(F342:F345)</f>
        <v>3331920</v>
      </c>
      <c r="G351" s="54">
        <f>SUM(G343:G348)</f>
        <v>3419512</v>
      </c>
      <c r="H351" s="15"/>
      <c r="I351" s="16"/>
      <c r="J351" s="16"/>
      <c r="K351" s="15"/>
      <c r="L351" s="15"/>
      <c r="M351" s="16"/>
      <c r="N351" s="16"/>
      <c r="O351" s="15"/>
      <c r="P351" s="15"/>
      <c r="Q351" s="15"/>
      <c r="R351" s="15"/>
      <c r="S351" s="15"/>
      <c r="T351" s="15"/>
      <c r="U351" s="15"/>
      <c r="V351" s="15"/>
      <c r="W351" s="15"/>
      <c r="X351" s="15"/>
      <c r="Y351" s="15"/>
      <c r="Z351" s="15"/>
    </row>
    <row r="352" spans="1:26" ht="15.75" customHeight="1" x14ac:dyDescent="0.25">
      <c r="A352" s="42"/>
      <c r="B352" s="41"/>
      <c r="C352" s="43"/>
      <c r="D352" s="43"/>
      <c r="E352" s="43"/>
      <c r="F352" s="43"/>
      <c r="G352" s="43"/>
      <c r="H352" s="15"/>
      <c r="I352" s="16"/>
      <c r="J352" s="16"/>
      <c r="K352" s="15"/>
      <c r="L352" s="15"/>
      <c r="M352" s="16"/>
      <c r="N352" s="16"/>
      <c r="O352" s="15"/>
      <c r="P352" s="15"/>
      <c r="Q352" s="15"/>
      <c r="R352" s="15"/>
      <c r="S352" s="15"/>
      <c r="T352" s="15"/>
      <c r="U352" s="15"/>
      <c r="V352" s="15"/>
      <c r="W352" s="15"/>
      <c r="X352" s="15"/>
      <c r="Y352" s="15"/>
      <c r="Z352" s="15"/>
    </row>
    <row r="353" spans="1:26" ht="15.75" customHeight="1" x14ac:dyDescent="0.25">
      <c r="A353" s="42" t="s">
        <v>467</v>
      </c>
      <c r="B353" s="41"/>
      <c r="C353" s="43">
        <f t="shared" ref="C353:D353" si="57">+C351</f>
        <v>3278443.5</v>
      </c>
      <c r="D353" s="43">
        <f t="shared" si="57"/>
        <v>2563450.25</v>
      </c>
      <c r="E353" s="43">
        <f>F353-D353</f>
        <v>768469.75</v>
      </c>
      <c r="F353" s="43">
        <f t="shared" ref="F353:G353" si="58">+F351</f>
        <v>3331920</v>
      </c>
      <c r="G353" s="43">
        <f t="shared" si="58"/>
        <v>3419512</v>
      </c>
      <c r="H353" s="15"/>
      <c r="I353" s="16"/>
      <c r="J353" s="16"/>
      <c r="K353" s="15"/>
      <c r="L353" s="15"/>
      <c r="M353" s="16"/>
      <c r="N353" s="16"/>
      <c r="O353" s="15"/>
      <c r="P353" s="15"/>
      <c r="Q353" s="15"/>
      <c r="R353" s="15"/>
      <c r="S353" s="15"/>
      <c r="T353" s="15"/>
      <c r="U353" s="15"/>
      <c r="V353" s="15"/>
      <c r="W353" s="15"/>
      <c r="X353" s="15"/>
      <c r="Y353" s="15"/>
      <c r="Z353" s="15"/>
    </row>
    <row r="354" spans="1:26" ht="15.75" customHeight="1" x14ac:dyDescent="0.25">
      <c r="A354" s="17"/>
      <c r="B354" s="41"/>
      <c r="C354" s="43"/>
      <c r="D354" s="43"/>
      <c r="E354" s="43"/>
      <c r="F354" s="43"/>
      <c r="G354" s="43"/>
      <c r="H354" s="15"/>
      <c r="I354" s="16"/>
      <c r="J354" s="16"/>
      <c r="K354" s="15"/>
      <c r="L354" s="15"/>
      <c r="M354" s="16"/>
      <c r="N354" s="16"/>
      <c r="O354" s="15"/>
      <c r="P354" s="15"/>
      <c r="Q354" s="15"/>
      <c r="R354" s="15"/>
      <c r="S354" s="15"/>
      <c r="T354" s="15"/>
      <c r="U354" s="15"/>
      <c r="V354" s="15"/>
      <c r="W354" s="15"/>
      <c r="X354" s="15"/>
      <c r="Y354" s="15"/>
      <c r="Z354" s="15"/>
    </row>
    <row r="355" spans="1:26" ht="15.75" customHeight="1" x14ac:dyDescent="0.25">
      <c r="A355" s="160" t="s">
        <v>487</v>
      </c>
      <c r="B355" s="51" t="s">
        <v>488</v>
      </c>
      <c r="C355" s="54">
        <f t="shared" ref="C355:G355" si="59">C353</f>
        <v>3278443.5</v>
      </c>
      <c r="D355" s="54">
        <f t="shared" si="59"/>
        <v>2563450.25</v>
      </c>
      <c r="E355" s="54">
        <f t="shared" si="59"/>
        <v>768469.75</v>
      </c>
      <c r="F355" s="54">
        <f t="shared" si="59"/>
        <v>3331920</v>
      </c>
      <c r="G355" s="54">
        <f t="shared" si="59"/>
        <v>3419512</v>
      </c>
      <c r="H355" s="15"/>
      <c r="I355" s="16"/>
      <c r="J355" s="16"/>
      <c r="K355" s="15"/>
      <c r="L355" s="15"/>
      <c r="M355" s="16"/>
      <c r="N355" s="16"/>
      <c r="O355" s="15"/>
      <c r="P355" s="15"/>
      <c r="Q355" s="15"/>
      <c r="R355" s="15"/>
      <c r="S355" s="15"/>
      <c r="T355" s="15"/>
      <c r="U355" s="15"/>
      <c r="V355" s="15"/>
      <c r="W355" s="15"/>
      <c r="X355" s="15"/>
      <c r="Y355" s="15"/>
      <c r="Z355" s="15"/>
    </row>
    <row r="356" spans="1:26" ht="15.75" customHeight="1" x14ac:dyDescent="0.25">
      <c r="A356" s="24"/>
      <c r="B356" s="25"/>
      <c r="C356" s="24"/>
      <c r="D356" s="24"/>
      <c r="E356" s="24"/>
      <c r="F356" s="15"/>
      <c r="G356" s="15"/>
      <c r="H356" s="15"/>
      <c r="I356" s="16"/>
      <c r="J356" s="16"/>
      <c r="K356" s="15"/>
      <c r="L356" s="15"/>
      <c r="M356" s="16"/>
      <c r="N356" s="16"/>
      <c r="O356" s="15"/>
      <c r="P356" s="15"/>
      <c r="Q356" s="15"/>
      <c r="R356" s="15"/>
      <c r="S356" s="15"/>
      <c r="T356" s="15"/>
      <c r="U356" s="15"/>
      <c r="V356" s="15"/>
      <c r="W356" s="15"/>
      <c r="X356" s="15"/>
      <c r="Y356" s="15"/>
      <c r="Z356" s="15"/>
    </row>
    <row r="357" spans="1:26" ht="15.75" customHeight="1" x14ac:dyDescent="0.25">
      <c r="A357" s="24"/>
      <c r="B357" s="25"/>
      <c r="C357" s="24"/>
      <c r="D357" s="24"/>
      <c r="E357" s="24"/>
      <c r="F357" s="15"/>
      <c r="G357" s="15"/>
      <c r="H357" s="15"/>
      <c r="I357" s="16"/>
      <c r="J357" s="16"/>
      <c r="K357" s="15"/>
      <c r="L357" s="15"/>
      <c r="M357" s="16"/>
      <c r="N357" s="16"/>
      <c r="O357" s="15"/>
      <c r="P357" s="15"/>
      <c r="Q357" s="15"/>
      <c r="R357" s="15"/>
      <c r="S357" s="15"/>
      <c r="T357" s="15"/>
      <c r="U357" s="15"/>
      <c r="V357" s="15"/>
      <c r="W357" s="15"/>
      <c r="X357" s="15"/>
      <c r="Y357" s="15"/>
      <c r="Z357" s="15"/>
    </row>
    <row r="358" spans="1:26" ht="15.75" customHeight="1" x14ac:dyDescent="0.25">
      <c r="A358" s="9"/>
      <c r="B358" s="104"/>
      <c r="C358" s="105"/>
      <c r="D358" s="105"/>
      <c r="E358" s="105"/>
      <c r="F358" s="10"/>
      <c r="G358" s="180"/>
      <c r="H358" s="15"/>
      <c r="I358" s="16"/>
      <c r="J358" s="16"/>
      <c r="K358" s="15"/>
      <c r="L358" s="15"/>
      <c r="M358" s="16"/>
      <c r="N358" s="16"/>
      <c r="O358" s="15"/>
      <c r="P358" s="15"/>
      <c r="Q358" s="15"/>
      <c r="R358" s="15"/>
      <c r="S358" s="15"/>
      <c r="T358" s="15"/>
      <c r="U358" s="15"/>
      <c r="V358" s="15"/>
      <c r="W358" s="15"/>
      <c r="X358" s="15"/>
      <c r="Y358" s="15"/>
      <c r="Z358" s="15"/>
    </row>
    <row r="359" spans="1:26" ht="15.75" customHeight="1" x14ac:dyDescent="0.25">
      <c r="A359" s="108" t="s">
        <v>2739</v>
      </c>
      <c r="B359" s="25"/>
      <c r="C359" s="26"/>
      <c r="D359" s="26"/>
      <c r="E359" s="26"/>
      <c r="F359" s="14"/>
      <c r="G359" s="181"/>
      <c r="H359" s="15"/>
      <c r="I359" s="16"/>
      <c r="J359" s="16"/>
      <c r="K359" s="15"/>
      <c r="L359" s="15"/>
      <c r="M359" s="16"/>
      <c r="N359" s="16"/>
      <c r="O359" s="15"/>
      <c r="P359" s="15"/>
      <c r="Q359" s="15"/>
      <c r="R359" s="15"/>
      <c r="S359" s="15"/>
      <c r="T359" s="15"/>
      <c r="U359" s="15"/>
      <c r="V359" s="15"/>
      <c r="W359" s="15"/>
      <c r="X359" s="15"/>
      <c r="Y359" s="15"/>
      <c r="Z359" s="15"/>
    </row>
    <row r="360" spans="1:26" ht="15.75" customHeight="1" x14ac:dyDescent="0.25">
      <c r="A360" s="108"/>
      <c r="B360" s="25"/>
      <c r="C360" s="26"/>
      <c r="D360" s="26"/>
      <c r="E360" s="26"/>
      <c r="F360" s="14"/>
      <c r="G360" s="181"/>
      <c r="H360" s="15"/>
      <c r="I360" s="16"/>
      <c r="J360" s="16"/>
      <c r="K360" s="15"/>
      <c r="L360" s="15"/>
      <c r="M360" s="16"/>
      <c r="N360" s="16"/>
      <c r="O360" s="15"/>
      <c r="P360" s="15"/>
      <c r="Q360" s="15"/>
      <c r="R360" s="15"/>
      <c r="S360" s="15"/>
      <c r="T360" s="15"/>
      <c r="U360" s="15"/>
      <c r="V360" s="15"/>
      <c r="W360" s="15"/>
      <c r="X360" s="15"/>
      <c r="Y360" s="15"/>
      <c r="Z360" s="15"/>
    </row>
    <row r="361" spans="1:26" ht="15.75" customHeight="1" x14ac:dyDescent="0.25">
      <c r="A361" s="865" t="s">
        <v>352</v>
      </c>
      <c r="B361" s="866"/>
      <c r="C361" s="866"/>
      <c r="D361" s="866"/>
      <c r="E361" s="866"/>
      <c r="F361" s="866"/>
      <c r="G361" s="867"/>
      <c r="H361" s="15"/>
      <c r="I361" s="16"/>
      <c r="J361" s="16"/>
      <c r="K361" s="15"/>
      <c r="L361" s="15"/>
      <c r="M361" s="16"/>
      <c r="N361" s="16"/>
      <c r="O361" s="15"/>
      <c r="P361" s="15"/>
      <c r="Q361" s="15"/>
      <c r="R361" s="15"/>
      <c r="S361" s="15"/>
      <c r="T361" s="15"/>
      <c r="U361" s="15"/>
      <c r="V361" s="15"/>
      <c r="W361" s="15"/>
      <c r="X361" s="15"/>
      <c r="Y361" s="15"/>
      <c r="Z361" s="15"/>
    </row>
    <row r="362" spans="1:26" ht="15.75" customHeight="1" x14ac:dyDescent="0.25">
      <c r="A362" s="868" t="s">
        <v>1194</v>
      </c>
      <c r="B362" s="857" t="s">
        <v>354</v>
      </c>
      <c r="C362" s="870" t="s">
        <v>355</v>
      </c>
      <c r="D362" s="872" t="s">
        <v>356</v>
      </c>
      <c r="E362" s="873"/>
      <c r="F362" s="874"/>
      <c r="G362" s="857" t="s">
        <v>357</v>
      </c>
      <c r="H362" s="15"/>
      <c r="I362" s="16"/>
      <c r="J362" s="16"/>
      <c r="K362" s="15"/>
      <c r="L362" s="15"/>
      <c r="M362" s="16"/>
      <c r="N362" s="16"/>
      <c r="O362" s="15"/>
      <c r="P362" s="15"/>
      <c r="Q362" s="15"/>
      <c r="R362" s="15"/>
      <c r="S362" s="15"/>
      <c r="T362" s="15"/>
      <c r="U362" s="15"/>
      <c r="V362" s="15"/>
      <c r="W362" s="15"/>
      <c r="X362" s="15"/>
      <c r="Y362" s="15"/>
      <c r="Z362" s="15"/>
    </row>
    <row r="363" spans="1:26" ht="15.75" customHeight="1" x14ac:dyDescent="0.25">
      <c r="A363" s="858"/>
      <c r="B363" s="858"/>
      <c r="C363" s="871"/>
      <c r="D363" s="28" t="s">
        <v>358</v>
      </c>
      <c r="E363" s="29" t="s">
        <v>359</v>
      </c>
      <c r="F363" s="875" t="s">
        <v>360</v>
      </c>
      <c r="G363" s="858"/>
      <c r="H363" s="15"/>
      <c r="I363" s="16"/>
      <c r="J363" s="16"/>
      <c r="K363" s="15"/>
      <c r="L363" s="15"/>
      <c r="M363" s="16"/>
      <c r="N363" s="16"/>
      <c r="O363" s="15"/>
      <c r="P363" s="15"/>
      <c r="Q363" s="15"/>
      <c r="R363" s="15"/>
      <c r="S363" s="15"/>
      <c r="T363" s="15"/>
      <c r="U363" s="15"/>
      <c r="V363" s="15"/>
      <c r="W363" s="15"/>
      <c r="X363" s="15"/>
      <c r="Y363" s="15"/>
      <c r="Z363" s="15"/>
    </row>
    <row r="364" spans="1:26" ht="15.75" customHeight="1" x14ac:dyDescent="0.25">
      <c r="A364" s="858"/>
      <c r="B364" s="858"/>
      <c r="C364" s="30" t="s">
        <v>361</v>
      </c>
      <c r="D364" s="31" t="s">
        <v>361</v>
      </c>
      <c r="E364" s="32" t="s">
        <v>362</v>
      </c>
      <c r="F364" s="860"/>
      <c r="G364" s="442" t="s">
        <v>2717</v>
      </c>
      <c r="H364" s="15"/>
      <c r="I364" s="16"/>
      <c r="J364" s="16"/>
      <c r="K364" s="15"/>
      <c r="L364" s="15"/>
      <c r="M364" s="16"/>
      <c r="N364" s="16"/>
      <c r="O364" s="15"/>
      <c r="P364" s="15"/>
      <c r="Q364" s="15"/>
      <c r="R364" s="15"/>
      <c r="S364" s="15"/>
      <c r="T364" s="15"/>
      <c r="U364" s="15"/>
      <c r="V364" s="15"/>
      <c r="W364" s="15"/>
      <c r="X364" s="15"/>
      <c r="Y364" s="15"/>
      <c r="Z364" s="15"/>
    </row>
    <row r="365" spans="1:26" ht="15.75" customHeight="1" x14ac:dyDescent="0.25">
      <c r="A365" s="869"/>
      <c r="B365" s="869"/>
      <c r="C365" s="33">
        <v>2024</v>
      </c>
      <c r="D365" s="34">
        <v>2025</v>
      </c>
      <c r="E365" s="35">
        <v>2025</v>
      </c>
      <c r="F365" s="34">
        <v>2025</v>
      </c>
      <c r="G365" s="36" t="s">
        <v>2668</v>
      </c>
      <c r="H365" s="15"/>
      <c r="I365" s="16"/>
      <c r="J365" s="16"/>
      <c r="K365" s="15"/>
      <c r="L365" s="15"/>
      <c r="M365" s="16"/>
      <c r="N365" s="16"/>
      <c r="O365" s="15"/>
      <c r="P365" s="15"/>
      <c r="Q365" s="15"/>
      <c r="R365" s="15"/>
      <c r="S365" s="15"/>
      <c r="T365" s="15"/>
      <c r="U365" s="15"/>
      <c r="V365" s="15"/>
      <c r="W365" s="15"/>
      <c r="X365" s="15"/>
      <c r="Y365" s="15"/>
      <c r="Z365" s="15"/>
    </row>
    <row r="366" spans="1:26" ht="15.75" customHeight="1" x14ac:dyDescent="0.25">
      <c r="A366" s="227" t="s">
        <v>1195</v>
      </c>
      <c r="B366" s="228"/>
      <c r="C366" s="20"/>
      <c r="D366" s="41"/>
      <c r="E366" s="25"/>
      <c r="F366" s="41"/>
      <c r="G366" s="229"/>
      <c r="H366" s="15"/>
      <c r="I366" s="16"/>
      <c r="J366" s="16"/>
      <c r="K366" s="15"/>
      <c r="L366" s="15"/>
      <c r="M366" s="16"/>
      <c r="N366" s="16"/>
      <c r="O366" s="15"/>
      <c r="P366" s="15"/>
      <c r="Q366" s="15"/>
      <c r="R366" s="15"/>
      <c r="S366" s="15"/>
      <c r="T366" s="15"/>
      <c r="U366" s="15"/>
      <c r="V366" s="15"/>
      <c r="W366" s="15"/>
      <c r="X366" s="15"/>
      <c r="Y366" s="15"/>
      <c r="Z366" s="15"/>
    </row>
    <row r="367" spans="1:26" ht="15.75" customHeight="1" x14ac:dyDescent="0.25">
      <c r="A367" s="227" t="s">
        <v>1196</v>
      </c>
      <c r="B367" s="228"/>
      <c r="C367" s="20"/>
      <c r="D367" s="41"/>
      <c r="E367" s="25"/>
      <c r="F367" s="41"/>
      <c r="G367" s="229"/>
      <c r="H367" s="15"/>
      <c r="I367" s="16"/>
      <c r="J367" s="16"/>
      <c r="K367" s="15"/>
      <c r="L367" s="15"/>
      <c r="M367" s="16"/>
      <c r="N367" s="16"/>
      <c r="O367" s="15"/>
      <c r="P367" s="15"/>
      <c r="Q367" s="15"/>
      <c r="R367" s="15"/>
      <c r="S367" s="15"/>
      <c r="T367" s="15"/>
      <c r="U367" s="15"/>
      <c r="V367" s="15"/>
      <c r="W367" s="15"/>
      <c r="X367" s="15"/>
      <c r="Y367" s="15"/>
      <c r="Z367" s="15"/>
    </row>
    <row r="368" spans="1:26" ht="15.75" customHeight="1" x14ac:dyDescent="0.25">
      <c r="A368" s="227" t="s">
        <v>1197</v>
      </c>
      <c r="B368" s="172"/>
      <c r="C368" s="42"/>
      <c r="D368" s="42"/>
      <c r="E368" s="17"/>
      <c r="F368" s="42"/>
      <c r="G368" s="19"/>
      <c r="H368" s="15"/>
      <c r="I368" s="16"/>
      <c r="J368" s="16"/>
      <c r="K368" s="15"/>
      <c r="L368" s="15"/>
      <c r="M368" s="16"/>
      <c r="N368" s="16"/>
      <c r="O368" s="15"/>
      <c r="P368" s="15"/>
      <c r="Q368" s="15"/>
      <c r="R368" s="15"/>
      <c r="S368" s="15"/>
      <c r="T368" s="15"/>
      <c r="U368" s="15"/>
      <c r="V368" s="15"/>
      <c r="W368" s="15"/>
      <c r="X368" s="15"/>
      <c r="Y368" s="15"/>
      <c r="Z368" s="15"/>
    </row>
    <row r="369" spans="1:26" ht="15.75" customHeight="1" x14ac:dyDescent="0.25">
      <c r="A369" s="44" t="s">
        <v>1198</v>
      </c>
      <c r="B369" s="41" t="s">
        <v>225</v>
      </c>
      <c r="C369" s="43">
        <v>5576549.6500000004</v>
      </c>
      <c r="D369" s="43">
        <v>1630500</v>
      </c>
      <c r="E369" s="43">
        <f>F369-D369</f>
        <v>1636980</v>
      </c>
      <c r="F369" s="43">
        <v>3267480</v>
      </c>
      <c r="G369" s="45">
        <f>7600000-1000000-G373</f>
        <v>2379432</v>
      </c>
      <c r="H369" s="15"/>
      <c r="I369" s="16"/>
      <c r="J369" s="16"/>
      <c r="K369" s="15"/>
      <c r="L369" s="15"/>
      <c r="M369" s="16"/>
      <c r="N369" s="16"/>
      <c r="O369" s="15"/>
      <c r="P369" s="15"/>
      <c r="Q369" s="15"/>
      <c r="R369" s="15"/>
      <c r="S369" s="15"/>
      <c r="T369" s="15"/>
      <c r="U369" s="15"/>
      <c r="V369" s="15"/>
      <c r="W369" s="15"/>
      <c r="X369" s="15"/>
      <c r="Y369" s="15"/>
      <c r="Z369" s="15"/>
    </row>
    <row r="370" spans="1:26" ht="15.75" customHeight="1" x14ac:dyDescent="0.25">
      <c r="A370" s="17" t="s">
        <v>1199</v>
      </c>
      <c r="B370" s="172"/>
      <c r="C370" s="42"/>
      <c r="D370" s="42"/>
      <c r="E370" s="43"/>
      <c r="F370" s="42"/>
      <c r="G370" s="19"/>
      <c r="H370" s="15"/>
      <c r="I370" s="16"/>
      <c r="J370" s="16"/>
      <c r="K370" s="15"/>
      <c r="L370" s="15"/>
      <c r="M370" s="16"/>
      <c r="N370" s="16"/>
      <c r="O370" s="15"/>
      <c r="P370" s="15"/>
      <c r="Q370" s="15"/>
      <c r="R370" s="15"/>
      <c r="S370" s="15"/>
      <c r="T370" s="15"/>
      <c r="U370" s="15"/>
      <c r="V370" s="15"/>
      <c r="W370" s="15"/>
      <c r="X370" s="15"/>
      <c r="Y370" s="15"/>
      <c r="Z370" s="15"/>
    </row>
    <row r="371" spans="1:26" ht="15.75" customHeight="1" x14ac:dyDescent="0.25">
      <c r="A371" s="44" t="s">
        <v>1200</v>
      </c>
      <c r="B371" s="172" t="s">
        <v>283</v>
      </c>
      <c r="C371" s="43">
        <v>988855</v>
      </c>
      <c r="D371" s="43">
        <v>177579</v>
      </c>
      <c r="E371" s="43">
        <f>F371-D371</f>
        <v>822421</v>
      </c>
      <c r="F371" s="43">
        <v>1000000</v>
      </c>
      <c r="G371" s="45">
        <v>1000000</v>
      </c>
      <c r="H371" s="15"/>
      <c r="I371" s="16"/>
      <c r="J371" s="16"/>
      <c r="K371" s="15"/>
      <c r="L371" s="15"/>
      <c r="M371" s="16"/>
      <c r="N371" s="16"/>
      <c r="O371" s="15"/>
      <c r="P371" s="15"/>
      <c r="Q371" s="15"/>
      <c r="R371" s="15"/>
      <c r="S371" s="15"/>
      <c r="T371" s="15"/>
      <c r="U371" s="15"/>
      <c r="V371" s="15"/>
      <c r="W371" s="15"/>
      <c r="X371" s="15"/>
      <c r="Y371" s="15"/>
      <c r="Z371" s="15"/>
    </row>
    <row r="372" spans="1:26" ht="15.75" customHeight="1" x14ac:dyDescent="0.25">
      <c r="A372" s="161" t="s">
        <v>1201</v>
      </c>
      <c r="B372" s="41"/>
      <c r="C372" s="41"/>
      <c r="D372" s="41"/>
      <c r="E372" s="43"/>
      <c r="F372" s="41"/>
      <c r="G372" s="49"/>
      <c r="H372" s="15"/>
      <c r="I372" s="16"/>
      <c r="J372" s="16"/>
      <c r="K372" s="15"/>
      <c r="L372" s="15"/>
      <c r="M372" s="16"/>
      <c r="N372" s="16"/>
      <c r="O372" s="15"/>
      <c r="P372" s="15"/>
      <c r="Q372" s="15"/>
      <c r="R372" s="15"/>
      <c r="S372" s="15"/>
      <c r="T372" s="15"/>
      <c r="U372" s="15"/>
      <c r="V372" s="15"/>
      <c r="W372" s="15"/>
      <c r="X372" s="15"/>
      <c r="Y372" s="15"/>
      <c r="Z372" s="15"/>
    </row>
    <row r="373" spans="1:26" ht="15.75" customHeight="1" x14ac:dyDescent="0.25">
      <c r="A373" s="48" t="s">
        <v>1201</v>
      </c>
      <c r="B373" s="41" t="s">
        <v>335</v>
      </c>
      <c r="C373" s="43">
        <v>3261334</v>
      </c>
      <c r="D373" s="43">
        <v>1293856</v>
      </c>
      <c r="E373" s="43">
        <f>F373-D373</f>
        <v>2038664</v>
      </c>
      <c r="F373" s="43">
        <v>3332520</v>
      </c>
      <c r="G373" s="45">
        <v>4220568</v>
      </c>
      <c r="H373" s="15"/>
      <c r="I373" s="16"/>
      <c r="J373" s="16"/>
      <c r="K373" s="15"/>
      <c r="L373" s="15"/>
      <c r="M373" s="16"/>
      <c r="N373" s="16"/>
      <c r="O373" s="15"/>
      <c r="P373" s="15"/>
      <c r="Q373" s="15"/>
      <c r="R373" s="15"/>
      <c r="S373" s="15"/>
      <c r="T373" s="15"/>
      <c r="U373" s="15"/>
      <c r="V373" s="15"/>
      <c r="W373" s="15"/>
      <c r="X373" s="15"/>
      <c r="Y373" s="15"/>
      <c r="Z373" s="15"/>
    </row>
    <row r="374" spans="1:26" ht="15.75" customHeight="1" x14ac:dyDescent="0.25">
      <c r="A374" s="44" t="s">
        <v>1202</v>
      </c>
      <c r="B374" s="41"/>
      <c r="C374" s="43"/>
      <c r="D374" s="43"/>
      <c r="E374" s="43"/>
      <c r="F374" s="43"/>
      <c r="G374" s="43"/>
      <c r="H374" s="15"/>
      <c r="I374" s="16"/>
      <c r="J374" s="16"/>
      <c r="K374" s="15"/>
      <c r="L374" s="15"/>
      <c r="M374" s="16"/>
      <c r="N374" s="16"/>
      <c r="O374" s="15"/>
      <c r="P374" s="15"/>
      <c r="Q374" s="15"/>
      <c r="R374" s="15"/>
      <c r="S374" s="15"/>
      <c r="T374" s="15"/>
      <c r="U374" s="15"/>
      <c r="V374" s="15"/>
      <c r="W374" s="15"/>
      <c r="X374" s="15"/>
      <c r="Y374" s="15"/>
      <c r="Z374" s="15"/>
    </row>
    <row r="375" spans="1:26" ht="31.5" x14ac:dyDescent="0.25">
      <c r="A375" s="118" t="s">
        <v>1203</v>
      </c>
      <c r="B375" s="41"/>
      <c r="C375" s="43"/>
      <c r="D375" s="43"/>
      <c r="E375" s="43"/>
      <c r="F375" s="43"/>
      <c r="G375" s="43"/>
      <c r="H375" s="15"/>
      <c r="I375" s="16"/>
      <c r="J375" s="16"/>
      <c r="K375" s="15"/>
      <c r="L375" s="15"/>
      <c r="M375" s="16"/>
      <c r="N375" s="16"/>
      <c r="O375" s="15"/>
      <c r="P375" s="15"/>
      <c r="Q375" s="15"/>
      <c r="R375" s="15"/>
      <c r="S375" s="15"/>
      <c r="T375" s="15"/>
      <c r="U375" s="15"/>
      <c r="V375" s="15"/>
      <c r="W375" s="15"/>
      <c r="X375" s="15"/>
      <c r="Y375" s="15"/>
      <c r="Z375" s="15"/>
    </row>
    <row r="376" spans="1:26" ht="15.75" customHeight="1" x14ac:dyDescent="0.25">
      <c r="A376" s="44" t="s">
        <v>1204</v>
      </c>
      <c r="B376" s="41"/>
      <c r="C376" s="43"/>
      <c r="D376" s="43"/>
      <c r="E376" s="43"/>
      <c r="F376" s="43"/>
      <c r="G376" s="43"/>
      <c r="H376" s="15"/>
      <c r="I376" s="16"/>
      <c r="J376" s="16"/>
      <c r="K376" s="15"/>
      <c r="L376" s="15"/>
      <c r="M376" s="16"/>
      <c r="N376" s="16"/>
      <c r="O376" s="15"/>
      <c r="P376" s="15"/>
      <c r="Q376" s="15"/>
      <c r="R376" s="15"/>
      <c r="S376" s="15"/>
      <c r="T376" s="15"/>
      <c r="U376" s="15"/>
      <c r="V376" s="15"/>
      <c r="W376" s="15"/>
      <c r="X376" s="15"/>
      <c r="Y376" s="15"/>
      <c r="Z376" s="15"/>
    </row>
    <row r="377" spans="1:26" ht="15.75" customHeight="1" x14ac:dyDescent="0.25">
      <c r="A377" s="44" t="s">
        <v>1205</v>
      </c>
      <c r="B377" s="41"/>
      <c r="C377" s="43"/>
      <c r="D377" s="43"/>
      <c r="E377" s="43"/>
      <c r="F377" s="43"/>
      <c r="G377" s="43"/>
      <c r="H377" s="15"/>
      <c r="I377" s="16"/>
      <c r="J377" s="16"/>
      <c r="K377" s="15"/>
      <c r="L377" s="15"/>
      <c r="M377" s="16"/>
      <c r="N377" s="16"/>
      <c r="O377" s="15"/>
      <c r="P377" s="15"/>
      <c r="Q377" s="15"/>
      <c r="R377" s="15"/>
      <c r="S377" s="15"/>
      <c r="T377" s="15"/>
      <c r="U377" s="15"/>
      <c r="V377" s="15"/>
      <c r="W377" s="15"/>
      <c r="X377" s="15"/>
      <c r="Y377" s="15"/>
      <c r="Z377" s="15"/>
    </row>
    <row r="378" spans="1:26" ht="15.75" customHeight="1" x14ac:dyDescent="0.25">
      <c r="A378" s="44" t="s">
        <v>1206</v>
      </c>
      <c r="B378" s="41"/>
      <c r="C378" s="43"/>
      <c r="D378" s="43"/>
      <c r="E378" s="43"/>
      <c r="F378" s="43"/>
      <c r="G378" s="43"/>
      <c r="H378" s="15"/>
      <c r="I378" s="16"/>
      <c r="J378" s="16"/>
      <c r="K378" s="15"/>
      <c r="L378" s="15"/>
      <c r="M378" s="16"/>
      <c r="N378" s="16"/>
      <c r="O378" s="15"/>
      <c r="P378" s="15"/>
      <c r="Q378" s="15"/>
      <c r="R378" s="15"/>
      <c r="S378" s="15"/>
      <c r="T378" s="15"/>
      <c r="U378" s="15"/>
      <c r="V378" s="15"/>
      <c r="W378" s="15"/>
      <c r="X378" s="15"/>
      <c r="Y378" s="15"/>
      <c r="Z378" s="15"/>
    </row>
    <row r="379" spans="1:26" ht="15.75" customHeight="1" x14ac:dyDescent="0.25">
      <c r="A379" s="44" t="s">
        <v>1207</v>
      </c>
      <c r="B379" s="41"/>
      <c r="C379" s="43"/>
      <c r="D379" s="43"/>
      <c r="E379" s="43"/>
      <c r="F379" s="43"/>
      <c r="G379" s="43"/>
      <c r="H379" s="15"/>
      <c r="I379" s="16"/>
      <c r="J379" s="16"/>
      <c r="K379" s="15"/>
      <c r="L379" s="15"/>
      <c r="M379" s="16"/>
      <c r="N379" s="16"/>
      <c r="O379" s="15"/>
      <c r="P379" s="15"/>
      <c r="Q379" s="15"/>
      <c r="R379" s="15"/>
      <c r="S379" s="15"/>
      <c r="T379" s="15"/>
      <c r="U379" s="15"/>
      <c r="V379" s="15"/>
      <c r="W379" s="15"/>
      <c r="X379" s="15"/>
      <c r="Y379" s="15"/>
      <c r="Z379" s="15"/>
    </row>
    <row r="380" spans="1:26" ht="15.75" customHeight="1" x14ac:dyDescent="0.25">
      <c r="A380" s="44" t="s">
        <v>1208</v>
      </c>
      <c r="B380" s="41"/>
      <c r="C380" s="43"/>
      <c r="D380" s="43"/>
      <c r="E380" s="43"/>
      <c r="F380" s="43"/>
      <c r="G380" s="43"/>
      <c r="H380" s="15"/>
      <c r="I380" s="16"/>
      <c r="J380" s="16"/>
      <c r="K380" s="15"/>
      <c r="L380" s="15"/>
      <c r="M380" s="16"/>
      <c r="N380" s="16"/>
      <c r="O380" s="15"/>
      <c r="P380" s="15"/>
      <c r="Q380" s="15"/>
      <c r="R380" s="15"/>
      <c r="S380" s="15"/>
      <c r="T380" s="15"/>
      <c r="U380" s="15"/>
      <c r="V380" s="15"/>
      <c r="W380" s="15"/>
      <c r="X380" s="15"/>
      <c r="Y380" s="15"/>
      <c r="Z380" s="15"/>
    </row>
    <row r="381" spans="1:26" ht="31.5" x14ac:dyDescent="0.25">
      <c r="A381" s="118" t="s">
        <v>1209</v>
      </c>
      <c r="B381" s="41"/>
      <c r="C381" s="43"/>
      <c r="D381" s="43"/>
      <c r="E381" s="43"/>
      <c r="F381" s="43"/>
      <c r="G381" s="43"/>
      <c r="H381" s="15"/>
      <c r="I381" s="16"/>
      <c r="J381" s="16"/>
      <c r="K381" s="15"/>
      <c r="L381" s="15"/>
      <c r="M381" s="16"/>
      <c r="N381" s="16"/>
      <c r="O381" s="15"/>
      <c r="P381" s="15"/>
      <c r="Q381" s="15"/>
      <c r="R381" s="15"/>
      <c r="S381" s="15"/>
      <c r="T381" s="15"/>
      <c r="U381" s="15"/>
      <c r="V381" s="15"/>
      <c r="W381" s="15"/>
      <c r="X381" s="15"/>
      <c r="Y381" s="15"/>
      <c r="Z381" s="15"/>
    </row>
    <row r="382" spans="1:26" ht="15.75" customHeight="1" x14ac:dyDescent="0.25">
      <c r="A382" s="42" t="s">
        <v>1210</v>
      </c>
      <c r="B382" s="41"/>
      <c r="C382" s="54">
        <f t="shared" ref="C382:D382" si="60">SUM(C369:C373)</f>
        <v>9826738.6500000004</v>
      </c>
      <c r="D382" s="54">
        <f t="shared" si="60"/>
        <v>3101935</v>
      </c>
      <c r="E382" s="54">
        <f>F382-D382</f>
        <v>4498065</v>
      </c>
      <c r="F382" s="54">
        <f>SUM(F369:F373)</f>
        <v>7600000</v>
      </c>
      <c r="G382" s="54">
        <f>SUM(G368:G381)</f>
        <v>7600000</v>
      </c>
      <c r="H382" s="15"/>
      <c r="I382" s="16"/>
      <c r="J382" s="16"/>
      <c r="K382" s="15"/>
      <c r="L382" s="15"/>
      <c r="M382" s="16"/>
      <c r="N382" s="16"/>
      <c r="O382" s="15"/>
      <c r="P382" s="15"/>
      <c r="Q382" s="15"/>
      <c r="R382" s="15"/>
      <c r="S382" s="15"/>
      <c r="T382" s="15"/>
      <c r="U382" s="15"/>
      <c r="V382" s="15"/>
      <c r="W382" s="15"/>
      <c r="X382" s="15"/>
      <c r="Y382" s="15"/>
      <c r="Z382" s="15"/>
    </row>
    <row r="383" spans="1:26" ht="15.75" customHeight="1" x14ac:dyDescent="0.25">
      <c r="A383" s="42"/>
      <c r="B383" s="41"/>
      <c r="C383" s="43"/>
      <c r="D383" s="43"/>
      <c r="E383" s="43"/>
      <c r="F383" s="43"/>
      <c r="G383" s="43"/>
      <c r="H383" s="15"/>
      <c r="I383" s="16"/>
      <c r="J383" s="16"/>
      <c r="K383" s="15"/>
      <c r="L383" s="15"/>
      <c r="M383" s="16"/>
      <c r="N383" s="16"/>
      <c r="O383" s="15"/>
      <c r="P383" s="15"/>
      <c r="Q383" s="15"/>
      <c r="R383" s="15"/>
      <c r="S383" s="15"/>
      <c r="T383" s="15"/>
      <c r="U383" s="15"/>
      <c r="V383" s="15"/>
      <c r="W383" s="15"/>
      <c r="X383" s="15"/>
      <c r="Y383" s="15"/>
      <c r="Z383" s="15"/>
    </row>
    <row r="384" spans="1:26" ht="15.75" customHeight="1" x14ac:dyDescent="0.25">
      <c r="A384" s="42" t="s">
        <v>467</v>
      </c>
      <c r="B384" s="41"/>
      <c r="C384" s="43">
        <f t="shared" ref="C384:D384" si="61">+C382</f>
        <v>9826738.6500000004</v>
      </c>
      <c r="D384" s="43">
        <f t="shared" si="61"/>
        <v>3101935</v>
      </c>
      <c r="E384" s="43">
        <f>F384-D384</f>
        <v>4498065</v>
      </c>
      <c r="F384" s="43">
        <f t="shared" ref="F384:G384" si="62">+F382</f>
        <v>7600000</v>
      </c>
      <c r="G384" s="43">
        <f t="shared" si="62"/>
        <v>7600000</v>
      </c>
      <c r="H384" s="15"/>
      <c r="I384" s="16"/>
      <c r="J384" s="16"/>
      <c r="K384" s="15"/>
      <c r="L384" s="15"/>
      <c r="M384" s="16"/>
      <c r="N384" s="16"/>
      <c r="O384" s="15"/>
      <c r="P384" s="15"/>
      <c r="Q384" s="15"/>
      <c r="R384" s="15"/>
      <c r="S384" s="15"/>
      <c r="T384" s="15"/>
      <c r="U384" s="15"/>
      <c r="V384" s="15"/>
      <c r="W384" s="15"/>
      <c r="X384" s="15"/>
      <c r="Y384" s="15"/>
      <c r="Z384" s="15"/>
    </row>
    <row r="385" spans="1:26" ht="15.75" customHeight="1" x14ac:dyDescent="0.25">
      <c r="A385" s="17"/>
      <c r="B385" s="41"/>
      <c r="C385" s="43"/>
      <c r="D385" s="43"/>
      <c r="E385" s="43"/>
      <c r="F385" s="43"/>
      <c r="G385" s="43"/>
      <c r="H385" s="15"/>
      <c r="I385" s="16"/>
      <c r="J385" s="16"/>
      <c r="K385" s="15"/>
      <c r="L385" s="15"/>
      <c r="M385" s="16"/>
      <c r="N385" s="16"/>
      <c r="O385" s="15"/>
      <c r="P385" s="15"/>
      <c r="Q385" s="15"/>
      <c r="R385" s="15"/>
      <c r="S385" s="15"/>
      <c r="T385" s="15"/>
      <c r="U385" s="15"/>
      <c r="V385" s="15"/>
      <c r="W385" s="15"/>
      <c r="X385" s="15"/>
      <c r="Y385" s="15"/>
      <c r="Z385" s="15"/>
    </row>
    <row r="386" spans="1:26" ht="15.75" customHeight="1" x14ac:dyDescent="0.25">
      <c r="A386" s="17" t="s">
        <v>529</v>
      </c>
      <c r="B386" s="41"/>
      <c r="C386" s="43"/>
      <c r="D386" s="43"/>
      <c r="E386" s="43"/>
      <c r="F386" s="43"/>
      <c r="G386" s="43"/>
      <c r="H386" s="15"/>
      <c r="I386" s="16"/>
      <c r="J386" s="16"/>
      <c r="K386" s="15"/>
      <c r="L386" s="15"/>
      <c r="M386" s="16"/>
      <c r="N386" s="16"/>
      <c r="O386" s="15"/>
      <c r="P386" s="15"/>
      <c r="Q386" s="15"/>
      <c r="R386" s="15"/>
      <c r="S386" s="15"/>
      <c r="T386" s="15"/>
      <c r="U386" s="15"/>
      <c r="V386" s="15"/>
      <c r="W386" s="15"/>
      <c r="X386" s="15"/>
      <c r="Y386" s="15"/>
      <c r="Z386" s="15"/>
    </row>
    <row r="387" spans="1:26" ht="15.75" customHeight="1" x14ac:dyDescent="0.25">
      <c r="A387" s="161" t="s">
        <v>1186</v>
      </c>
      <c r="B387" s="41"/>
      <c r="C387" s="43"/>
      <c r="D387" s="43"/>
      <c r="E387" s="43"/>
      <c r="F387" s="43"/>
      <c r="G387" s="43"/>
      <c r="H387" s="15"/>
      <c r="I387" s="16"/>
      <c r="J387" s="16"/>
      <c r="K387" s="15"/>
      <c r="L387" s="15"/>
      <c r="M387" s="16"/>
      <c r="N387" s="16"/>
      <c r="O387" s="15"/>
      <c r="P387" s="15"/>
      <c r="Q387" s="15"/>
      <c r="R387" s="15"/>
      <c r="S387" s="15"/>
      <c r="T387" s="15"/>
      <c r="U387" s="15"/>
      <c r="V387" s="15"/>
      <c r="W387" s="15"/>
      <c r="X387" s="15"/>
      <c r="Y387" s="15"/>
      <c r="Z387" s="15"/>
    </row>
    <row r="388" spans="1:26" ht="15.75" customHeight="1" x14ac:dyDescent="0.25">
      <c r="A388" s="460" t="s">
        <v>1211</v>
      </c>
      <c r="B388" s="454" t="s">
        <v>17</v>
      </c>
      <c r="C388" s="443"/>
      <c r="D388" s="443">
        <v>1162714.01</v>
      </c>
      <c r="E388" s="443">
        <f>F388-D388</f>
        <v>1237285.99</v>
      </c>
      <c r="F388" s="443">
        <v>2400000</v>
      </c>
      <c r="G388" s="462">
        <v>2400000</v>
      </c>
      <c r="H388" s="15"/>
      <c r="I388" s="16"/>
      <c r="J388" s="16"/>
      <c r="K388" s="15"/>
      <c r="L388" s="15"/>
      <c r="M388" s="16"/>
      <c r="N388" s="16"/>
      <c r="O388" s="15"/>
      <c r="P388" s="15"/>
      <c r="Q388" s="15"/>
      <c r="R388" s="15"/>
      <c r="S388" s="15"/>
      <c r="T388" s="15"/>
      <c r="U388" s="15"/>
      <c r="V388" s="15"/>
      <c r="W388" s="15"/>
      <c r="X388" s="15"/>
      <c r="Y388" s="15"/>
      <c r="Z388" s="15"/>
    </row>
    <row r="389" spans="1:26" ht="15.75" customHeight="1" x14ac:dyDescent="0.25">
      <c r="A389" s="480" t="s">
        <v>1212</v>
      </c>
      <c r="B389" s="454"/>
      <c r="C389" s="443"/>
      <c r="D389" s="443"/>
      <c r="E389" s="443"/>
      <c r="F389" s="443"/>
      <c r="G389" s="462"/>
      <c r="H389" s="15"/>
      <c r="I389" s="16"/>
      <c r="J389" s="16"/>
      <c r="K389" s="15"/>
      <c r="L389" s="15"/>
      <c r="M389" s="16"/>
      <c r="N389" s="16"/>
      <c r="O389" s="15"/>
      <c r="P389" s="15"/>
      <c r="Q389" s="15"/>
      <c r="R389" s="15"/>
      <c r="S389" s="15"/>
      <c r="T389" s="15"/>
      <c r="U389" s="15"/>
      <c r="V389" s="15"/>
      <c r="W389" s="15"/>
      <c r="X389" s="15"/>
      <c r="Y389" s="15"/>
      <c r="Z389" s="15"/>
    </row>
    <row r="390" spans="1:26" ht="15.75" customHeight="1" x14ac:dyDescent="0.25">
      <c r="A390" s="48" t="s">
        <v>1213</v>
      </c>
      <c r="B390" s="41" t="s">
        <v>41</v>
      </c>
      <c r="C390" s="43"/>
      <c r="D390" s="43">
        <v>4889050.45</v>
      </c>
      <c r="E390" s="43">
        <f t="shared" ref="E390:E391" si="63">F390-D390</f>
        <v>5110949.55</v>
      </c>
      <c r="F390" s="43">
        <v>10000000</v>
      </c>
      <c r="G390" s="43">
        <v>10000000</v>
      </c>
      <c r="H390" s="15"/>
      <c r="I390" s="16"/>
      <c r="J390" s="16"/>
      <c r="K390" s="15"/>
      <c r="L390" s="15"/>
      <c r="M390" s="16"/>
      <c r="N390" s="16"/>
      <c r="O390" s="15"/>
      <c r="P390" s="15"/>
      <c r="Q390" s="15"/>
      <c r="R390" s="15"/>
      <c r="S390" s="15"/>
      <c r="T390" s="15"/>
      <c r="U390" s="15"/>
      <c r="V390" s="15"/>
      <c r="W390" s="15"/>
      <c r="X390" s="15"/>
      <c r="Y390" s="15"/>
      <c r="Z390" s="15"/>
    </row>
    <row r="391" spans="1:26" ht="15.75" customHeight="1" x14ac:dyDescent="0.25">
      <c r="A391" s="146" t="s">
        <v>1214</v>
      </c>
      <c r="B391" s="41"/>
      <c r="C391" s="54">
        <f t="shared" ref="C391:D391" si="64">SUM(C388:C390)</f>
        <v>0</v>
      </c>
      <c r="D391" s="54">
        <f t="shared" si="64"/>
        <v>6051764.46</v>
      </c>
      <c r="E391" s="54">
        <f t="shared" si="63"/>
        <v>6348235.54</v>
      </c>
      <c r="F391" s="54">
        <f t="shared" ref="F391:G391" si="65">SUM(F388:F390)</f>
        <v>12400000</v>
      </c>
      <c r="G391" s="54">
        <f t="shared" si="65"/>
        <v>12400000</v>
      </c>
      <c r="H391" s="15"/>
      <c r="I391" s="16"/>
      <c r="J391" s="16"/>
      <c r="K391" s="15"/>
      <c r="L391" s="15"/>
      <c r="M391" s="16"/>
      <c r="N391" s="16"/>
      <c r="O391" s="15"/>
      <c r="P391" s="15"/>
      <c r="Q391" s="15"/>
      <c r="R391" s="15"/>
      <c r="S391" s="15"/>
      <c r="T391" s="15"/>
      <c r="U391" s="15"/>
      <c r="V391" s="15"/>
      <c r="W391" s="15"/>
      <c r="X391" s="15"/>
      <c r="Y391" s="15"/>
      <c r="Z391" s="15"/>
    </row>
    <row r="392" spans="1:26" ht="15.75" customHeight="1" x14ac:dyDescent="0.25">
      <c r="A392" s="42"/>
      <c r="B392" s="41"/>
      <c r="C392" s="43"/>
      <c r="D392" s="43"/>
      <c r="E392" s="43"/>
      <c r="F392" s="43"/>
      <c r="G392" s="43"/>
      <c r="H392" s="15"/>
      <c r="I392" s="16"/>
      <c r="J392" s="16"/>
      <c r="K392" s="15"/>
      <c r="L392" s="15"/>
      <c r="M392" s="16"/>
      <c r="N392" s="16"/>
      <c r="O392" s="15"/>
      <c r="P392" s="15"/>
      <c r="Q392" s="15"/>
      <c r="R392" s="15"/>
      <c r="S392" s="15"/>
      <c r="T392" s="15"/>
      <c r="U392" s="15"/>
      <c r="V392" s="15"/>
      <c r="W392" s="15"/>
      <c r="X392" s="15"/>
      <c r="Y392" s="15"/>
      <c r="Z392" s="15"/>
    </row>
    <row r="393" spans="1:26" ht="15.75" customHeight="1" x14ac:dyDescent="0.25">
      <c r="A393" s="160" t="s">
        <v>487</v>
      </c>
      <c r="B393" s="51" t="s">
        <v>488</v>
      </c>
      <c r="C393" s="54">
        <f t="shared" ref="C393:D393" si="66">+C391+C384</f>
        <v>9826738.6500000004</v>
      </c>
      <c r="D393" s="54">
        <f t="shared" si="66"/>
        <v>9153699.4600000009</v>
      </c>
      <c r="E393" s="54">
        <f>F393-D393</f>
        <v>10846300.539999999</v>
      </c>
      <c r="F393" s="54">
        <f>+F391+F384</f>
        <v>20000000</v>
      </c>
      <c r="G393" s="54">
        <f>G391+G382</f>
        <v>20000000</v>
      </c>
      <c r="H393" s="15"/>
      <c r="I393" s="16"/>
      <c r="J393" s="16"/>
      <c r="K393" s="15"/>
      <c r="L393" s="15"/>
      <c r="M393" s="16"/>
      <c r="N393" s="16"/>
      <c r="O393" s="15"/>
      <c r="P393" s="15"/>
      <c r="Q393" s="15"/>
      <c r="R393" s="15"/>
      <c r="S393" s="15"/>
      <c r="T393" s="15"/>
      <c r="U393" s="15"/>
      <c r="V393" s="15"/>
      <c r="W393" s="15"/>
      <c r="X393" s="15"/>
      <c r="Y393" s="15"/>
      <c r="Z393" s="15"/>
    </row>
    <row r="394" spans="1:26" ht="15.75" customHeight="1" x14ac:dyDescent="0.25">
      <c r="A394" s="24"/>
      <c r="B394" s="25"/>
      <c r="C394" s="24"/>
      <c r="D394" s="99"/>
      <c r="E394" s="99"/>
      <c r="F394" s="114"/>
      <c r="G394" s="114"/>
      <c r="H394" s="15"/>
      <c r="I394" s="16"/>
      <c r="J394" s="16"/>
      <c r="K394" s="15"/>
      <c r="L394" s="15"/>
      <c r="M394" s="16"/>
      <c r="N394" s="16"/>
      <c r="O394" s="15"/>
      <c r="P394" s="15"/>
      <c r="Q394" s="15"/>
      <c r="R394" s="15"/>
      <c r="S394" s="15"/>
      <c r="T394" s="15"/>
      <c r="U394" s="15"/>
      <c r="V394" s="15"/>
      <c r="W394" s="15"/>
      <c r="X394" s="15"/>
      <c r="Y394" s="15"/>
      <c r="Z394" s="15"/>
    </row>
    <row r="395" spans="1:26" ht="15.75" customHeight="1" x14ac:dyDescent="0.25">
      <c r="A395" s="24"/>
      <c r="B395" s="25"/>
      <c r="C395" s="24"/>
      <c r="D395" s="24"/>
      <c r="E395" s="24"/>
      <c r="F395" s="15"/>
      <c r="G395" s="15"/>
      <c r="H395" s="15"/>
      <c r="I395" s="16"/>
      <c r="J395" s="16"/>
      <c r="K395" s="15"/>
      <c r="L395" s="15"/>
      <c r="M395" s="16"/>
      <c r="N395" s="16"/>
      <c r="O395" s="15"/>
      <c r="P395" s="15"/>
      <c r="Q395" s="15"/>
      <c r="R395" s="15"/>
      <c r="S395" s="15"/>
      <c r="T395" s="15"/>
      <c r="U395" s="15"/>
      <c r="V395" s="15"/>
      <c r="W395" s="15"/>
      <c r="X395" s="15"/>
      <c r="Y395" s="15"/>
      <c r="Z395" s="15"/>
    </row>
    <row r="396" spans="1:26" ht="15.75" customHeight="1" x14ac:dyDescent="0.25">
      <c r="A396" s="9"/>
      <c r="B396" s="104"/>
      <c r="C396" s="105"/>
      <c r="D396" s="105"/>
      <c r="E396" s="105"/>
      <c r="F396" s="10"/>
      <c r="G396" s="180"/>
      <c r="H396" s="15"/>
      <c r="I396" s="16"/>
      <c r="J396" s="16"/>
      <c r="K396" s="15"/>
      <c r="L396" s="15"/>
      <c r="M396" s="16"/>
      <c r="N396" s="16"/>
      <c r="O396" s="15"/>
      <c r="P396" s="15"/>
      <c r="Q396" s="15"/>
      <c r="R396" s="15"/>
      <c r="S396" s="15"/>
      <c r="T396" s="15"/>
      <c r="U396" s="15"/>
      <c r="V396" s="15"/>
      <c r="W396" s="15"/>
      <c r="X396" s="15"/>
      <c r="Y396" s="15"/>
      <c r="Z396" s="15"/>
    </row>
    <row r="397" spans="1:26" ht="15.75" customHeight="1" x14ac:dyDescent="0.25">
      <c r="A397" s="108" t="s">
        <v>930</v>
      </c>
      <c r="B397" s="25"/>
      <c r="C397" s="26"/>
      <c r="D397" s="26"/>
      <c r="E397" s="26"/>
      <c r="F397" s="14"/>
      <c r="G397" s="181"/>
      <c r="H397" s="15"/>
      <c r="I397" s="16"/>
      <c r="J397" s="16"/>
      <c r="K397" s="15"/>
      <c r="L397" s="15"/>
      <c r="M397" s="16"/>
      <c r="N397" s="16"/>
      <c r="O397" s="15"/>
      <c r="P397" s="15"/>
      <c r="Q397" s="15"/>
      <c r="R397" s="15"/>
      <c r="S397" s="15"/>
      <c r="T397" s="15"/>
      <c r="U397" s="15"/>
      <c r="V397" s="15"/>
      <c r="W397" s="15"/>
      <c r="X397" s="15"/>
      <c r="Y397" s="15"/>
      <c r="Z397" s="15"/>
    </row>
    <row r="398" spans="1:26" ht="15.75" customHeight="1" x14ac:dyDescent="0.25">
      <c r="A398" s="44"/>
      <c r="B398" s="25"/>
      <c r="C398" s="26"/>
      <c r="D398" s="26"/>
      <c r="E398" s="26"/>
      <c r="F398" s="14"/>
      <c r="G398" s="181"/>
      <c r="H398" s="15"/>
      <c r="I398" s="16"/>
      <c r="J398" s="16"/>
      <c r="K398" s="15"/>
      <c r="L398" s="15"/>
      <c r="M398" s="16"/>
      <c r="N398" s="16"/>
      <c r="O398" s="15"/>
      <c r="P398" s="15"/>
      <c r="Q398" s="15"/>
      <c r="R398" s="15"/>
      <c r="S398" s="15"/>
      <c r="T398" s="15"/>
      <c r="U398" s="15"/>
      <c r="V398" s="15"/>
      <c r="W398" s="15"/>
      <c r="X398" s="15"/>
      <c r="Y398" s="15"/>
      <c r="Z398" s="15"/>
    </row>
    <row r="399" spans="1:26" ht="15.75" customHeight="1" x14ac:dyDescent="0.25">
      <c r="A399" s="865" t="s">
        <v>352</v>
      </c>
      <c r="B399" s="866"/>
      <c r="C399" s="866"/>
      <c r="D399" s="866"/>
      <c r="E399" s="866"/>
      <c r="F399" s="866"/>
      <c r="G399" s="867"/>
      <c r="H399" s="15"/>
      <c r="I399" s="16"/>
      <c r="J399" s="16"/>
      <c r="K399" s="15"/>
      <c r="L399" s="15"/>
      <c r="M399" s="16"/>
      <c r="N399" s="16"/>
      <c r="O399" s="15"/>
      <c r="P399" s="15"/>
      <c r="Q399" s="15"/>
      <c r="R399" s="15"/>
      <c r="S399" s="15"/>
      <c r="T399" s="15"/>
      <c r="U399" s="15"/>
      <c r="V399" s="15"/>
      <c r="W399" s="15"/>
      <c r="X399" s="15"/>
      <c r="Y399" s="15"/>
      <c r="Z399" s="15"/>
    </row>
    <row r="400" spans="1:26" ht="15.75" customHeight="1" x14ac:dyDescent="0.25">
      <c r="A400" s="868" t="s">
        <v>353</v>
      </c>
      <c r="B400" s="857" t="s">
        <v>354</v>
      </c>
      <c r="C400" s="870" t="s">
        <v>355</v>
      </c>
      <c r="D400" s="872" t="s">
        <v>356</v>
      </c>
      <c r="E400" s="873"/>
      <c r="F400" s="874"/>
      <c r="G400" s="857" t="s">
        <v>357</v>
      </c>
      <c r="H400" s="15"/>
      <c r="I400" s="16"/>
      <c r="J400" s="16"/>
      <c r="K400" s="15"/>
      <c r="L400" s="15"/>
      <c r="M400" s="16"/>
      <c r="N400" s="16"/>
      <c r="O400" s="15"/>
      <c r="P400" s="15"/>
      <c r="Q400" s="15"/>
      <c r="R400" s="15"/>
      <c r="S400" s="15"/>
      <c r="T400" s="15"/>
      <c r="U400" s="15"/>
      <c r="V400" s="15"/>
      <c r="W400" s="15"/>
      <c r="X400" s="15"/>
      <c r="Y400" s="15"/>
      <c r="Z400" s="15"/>
    </row>
    <row r="401" spans="1:26" ht="15.75" customHeight="1" x14ac:dyDescent="0.25">
      <c r="A401" s="858"/>
      <c r="B401" s="858"/>
      <c r="C401" s="871"/>
      <c r="D401" s="28" t="s">
        <v>358</v>
      </c>
      <c r="E401" s="29" t="s">
        <v>359</v>
      </c>
      <c r="F401" s="876" t="s">
        <v>360</v>
      </c>
      <c r="G401" s="858"/>
      <c r="H401" s="15"/>
      <c r="I401" s="16"/>
      <c r="J401" s="16"/>
      <c r="K401" s="15"/>
      <c r="L401" s="15"/>
      <c r="M401" s="16"/>
      <c r="N401" s="16"/>
      <c r="O401" s="15"/>
      <c r="P401" s="15"/>
      <c r="Q401" s="15"/>
      <c r="R401" s="15"/>
      <c r="S401" s="15"/>
      <c r="T401" s="15"/>
      <c r="U401" s="15"/>
      <c r="V401" s="15"/>
      <c r="W401" s="15"/>
      <c r="X401" s="15"/>
      <c r="Y401" s="15"/>
      <c r="Z401" s="15"/>
    </row>
    <row r="402" spans="1:26" ht="15.75" customHeight="1" x14ac:dyDescent="0.25">
      <c r="A402" s="858"/>
      <c r="B402" s="858"/>
      <c r="C402" s="30" t="s">
        <v>361</v>
      </c>
      <c r="D402" s="31" t="s">
        <v>361</v>
      </c>
      <c r="E402" s="32" t="s">
        <v>362</v>
      </c>
      <c r="F402" s="877"/>
      <c r="G402" s="442" t="s">
        <v>2717</v>
      </c>
      <c r="H402" s="15"/>
      <c r="I402" s="16"/>
      <c r="J402" s="16"/>
      <c r="K402" s="15"/>
      <c r="L402" s="15"/>
      <c r="M402" s="16"/>
      <c r="N402" s="16"/>
      <c r="O402" s="15"/>
      <c r="P402" s="15"/>
      <c r="Q402" s="15"/>
      <c r="R402" s="15"/>
      <c r="S402" s="15"/>
      <c r="T402" s="15"/>
      <c r="U402" s="15"/>
      <c r="V402" s="15"/>
      <c r="W402" s="15"/>
      <c r="X402" s="15"/>
      <c r="Y402" s="15"/>
      <c r="Z402" s="15"/>
    </row>
    <row r="403" spans="1:26" ht="15.75" customHeight="1" x14ac:dyDescent="0.25">
      <c r="A403" s="869"/>
      <c r="B403" s="869"/>
      <c r="C403" s="33">
        <v>2024</v>
      </c>
      <c r="D403" s="34">
        <v>2025</v>
      </c>
      <c r="E403" s="35">
        <v>2025</v>
      </c>
      <c r="F403" s="213">
        <v>2025</v>
      </c>
      <c r="G403" s="36" t="s">
        <v>2668</v>
      </c>
      <c r="H403" s="15"/>
      <c r="I403" s="16"/>
      <c r="J403" s="16"/>
      <c r="K403" s="15"/>
      <c r="L403" s="15"/>
      <c r="M403" s="16"/>
      <c r="N403" s="16"/>
      <c r="O403" s="15"/>
      <c r="P403" s="15"/>
      <c r="Q403" s="15"/>
      <c r="R403" s="15"/>
      <c r="S403" s="15"/>
      <c r="T403" s="15"/>
      <c r="U403" s="15"/>
      <c r="V403" s="15"/>
      <c r="W403" s="15"/>
      <c r="X403" s="15"/>
      <c r="Y403" s="15"/>
      <c r="Z403" s="15"/>
    </row>
    <row r="404" spans="1:26" ht="15.75" customHeight="1" x14ac:dyDescent="0.25">
      <c r="A404" s="9" t="s">
        <v>364</v>
      </c>
      <c r="B404" s="38"/>
      <c r="C404" s="42"/>
      <c r="D404" s="42"/>
      <c r="E404" s="42"/>
      <c r="F404" s="42"/>
      <c r="G404" s="37"/>
      <c r="H404" s="114"/>
      <c r="I404" s="60"/>
      <c r="J404" s="60"/>
      <c r="K404" s="114"/>
      <c r="L404" s="114"/>
      <c r="M404" s="60"/>
      <c r="N404" s="60"/>
      <c r="O404" s="114"/>
      <c r="P404" s="114"/>
      <c r="Q404" s="114"/>
      <c r="R404" s="114"/>
      <c r="S404" s="114"/>
      <c r="T404" s="114"/>
      <c r="U404" s="114"/>
      <c r="V404" s="114"/>
      <c r="W404" s="114"/>
      <c r="X404" s="114"/>
      <c r="Y404" s="114"/>
      <c r="Z404" s="114"/>
    </row>
    <row r="405" spans="1:26" ht="15.75" customHeight="1" x14ac:dyDescent="0.25">
      <c r="A405" s="42" t="s">
        <v>491</v>
      </c>
      <c r="B405" s="49"/>
      <c r="C405" s="43"/>
      <c r="D405" s="43"/>
      <c r="E405" s="43"/>
      <c r="F405" s="43"/>
      <c r="G405" s="43"/>
      <c r="H405" s="114"/>
      <c r="I405" s="60"/>
      <c r="J405" s="60"/>
      <c r="K405" s="114"/>
      <c r="L405" s="114"/>
      <c r="M405" s="60"/>
      <c r="N405" s="60"/>
      <c r="O405" s="114"/>
      <c r="P405" s="114"/>
      <c r="Q405" s="114"/>
      <c r="R405" s="114"/>
      <c r="S405" s="114"/>
      <c r="T405" s="114"/>
      <c r="U405" s="114"/>
      <c r="V405" s="114"/>
      <c r="W405" s="114"/>
      <c r="X405" s="114"/>
      <c r="Y405" s="114"/>
      <c r="Z405" s="114"/>
    </row>
    <row r="406" spans="1:26" ht="15.75" customHeight="1" x14ac:dyDescent="0.25">
      <c r="A406" s="17" t="s">
        <v>499</v>
      </c>
      <c r="B406" s="41"/>
      <c r="C406" s="43"/>
      <c r="D406" s="43"/>
      <c r="E406" s="43"/>
      <c r="F406" s="43"/>
      <c r="G406" s="43"/>
      <c r="H406" s="114"/>
      <c r="I406" s="60"/>
      <c r="J406" s="60"/>
      <c r="K406" s="114"/>
      <c r="L406" s="114"/>
      <c r="M406" s="60"/>
      <c r="N406" s="60"/>
      <c r="O406" s="114"/>
      <c r="P406" s="114"/>
      <c r="Q406" s="114"/>
      <c r="R406" s="114"/>
      <c r="S406" s="114"/>
      <c r="T406" s="114"/>
      <c r="U406" s="114"/>
      <c r="V406" s="114"/>
      <c r="W406" s="114"/>
      <c r="X406" s="114"/>
      <c r="Y406" s="114"/>
      <c r="Z406" s="114"/>
    </row>
    <row r="407" spans="1:26" ht="15.75" customHeight="1" x14ac:dyDescent="0.25">
      <c r="A407" s="44" t="s">
        <v>398</v>
      </c>
      <c r="B407" s="41" t="s">
        <v>195</v>
      </c>
      <c r="C407" s="43">
        <v>6299.08</v>
      </c>
      <c r="D407" s="43">
        <v>3607.21</v>
      </c>
      <c r="E407" s="43">
        <f t="shared" ref="E407:E408" si="67">F407-D407</f>
        <v>23.789999999999964</v>
      </c>
      <c r="F407" s="43">
        <v>3631</v>
      </c>
      <c r="G407" s="43">
        <v>3980</v>
      </c>
      <c r="H407" s="114"/>
      <c r="I407" s="60"/>
      <c r="J407" s="60"/>
      <c r="K407" s="114"/>
      <c r="L407" s="114"/>
      <c r="M407" s="60"/>
      <c r="N407" s="60"/>
      <c r="O407" s="114"/>
      <c r="P407" s="114"/>
      <c r="Q407" s="114"/>
      <c r="R407" s="114"/>
      <c r="S407" s="114"/>
      <c r="T407" s="114"/>
      <c r="U407" s="114"/>
      <c r="V407" s="114"/>
      <c r="W407" s="114"/>
      <c r="X407" s="114"/>
      <c r="Y407" s="114"/>
      <c r="Z407" s="114"/>
    </row>
    <row r="408" spans="1:26" ht="15.75" customHeight="1" x14ac:dyDescent="0.25">
      <c r="A408" s="44" t="s">
        <v>402</v>
      </c>
      <c r="B408" s="41" t="s">
        <v>225</v>
      </c>
      <c r="C408" s="43">
        <v>2149.66</v>
      </c>
      <c r="D408" s="43">
        <v>4071.45</v>
      </c>
      <c r="E408" s="43">
        <f t="shared" si="67"/>
        <v>751.55000000000018</v>
      </c>
      <c r="F408" s="43">
        <v>4823</v>
      </c>
      <c r="G408" s="43">
        <v>4474</v>
      </c>
      <c r="H408" s="114"/>
      <c r="I408" s="60"/>
      <c r="J408" s="60"/>
      <c r="K408" s="114"/>
      <c r="L408" s="114"/>
      <c r="M408" s="60"/>
      <c r="N408" s="60"/>
      <c r="O408" s="114"/>
      <c r="P408" s="114"/>
      <c r="Q408" s="114"/>
      <c r="R408" s="114"/>
      <c r="S408" s="114"/>
      <c r="T408" s="114"/>
      <c r="U408" s="114"/>
      <c r="V408" s="114"/>
      <c r="W408" s="114"/>
      <c r="X408" s="114"/>
      <c r="Y408" s="114"/>
      <c r="Z408" s="114"/>
    </row>
    <row r="409" spans="1:26" ht="15.75" customHeight="1" x14ac:dyDescent="0.25">
      <c r="A409" s="17" t="s">
        <v>424</v>
      </c>
      <c r="B409" s="41"/>
      <c r="C409" s="43"/>
      <c r="D409" s="43"/>
      <c r="E409" s="43"/>
      <c r="F409" s="43"/>
      <c r="G409" s="43"/>
      <c r="H409" s="114"/>
      <c r="I409" s="60"/>
      <c r="J409" s="60"/>
      <c r="K409" s="114"/>
      <c r="L409" s="114"/>
      <c r="M409" s="60"/>
      <c r="N409" s="60"/>
      <c r="O409" s="114"/>
      <c r="P409" s="114"/>
      <c r="Q409" s="114"/>
      <c r="R409" s="114"/>
      <c r="S409" s="114"/>
      <c r="T409" s="114"/>
      <c r="U409" s="114"/>
      <c r="V409" s="114"/>
      <c r="W409" s="114"/>
      <c r="X409" s="114"/>
      <c r="Y409" s="114"/>
      <c r="Z409" s="114"/>
    </row>
    <row r="410" spans="1:26" ht="15.75" customHeight="1" x14ac:dyDescent="0.25">
      <c r="A410" s="44" t="s">
        <v>424</v>
      </c>
      <c r="B410" s="41" t="s">
        <v>335</v>
      </c>
      <c r="C410" s="43">
        <f>258000+255640</f>
        <v>513640</v>
      </c>
      <c r="D410" s="43">
        <v>247020</v>
      </c>
      <c r="E410" s="43">
        <f>F410-D410</f>
        <v>369780</v>
      </c>
      <c r="F410" s="43">
        <v>616800</v>
      </c>
      <c r="G410" s="43">
        <v>675984</v>
      </c>
      <c r="H410" s="114"/>
      <c r="I410" s="60"/>
      <c r="J410" s="60"/>
      <c r="K410" s="114"/>
      <c r="L410" s="114"/>
      <c r="M410" s="60"/>
      <c r="N410" s="60"/>
      <c r="O410" s="114"/>
      <c r="P410" s="114"/>
      <c r="Q410" s="114"/>
      <c r="R410" s="114"/>
      <c r="S410" s="114"/>
      <c r="T410" s="114"/>
      <c r="U410" s="114"/>
      <c r="V410" s="114"/>
      <c r="W410" s="114"/>
      <c r="X410" s="114"/>
      <c r="Y410" s="114"/>
      <c r="Z410" s="114"/>
    </row>
    <row r="411" spans="1:26" ht="15.75" customHeight="1" x14ac:dyDescent="0.25">
      <c r="A411" s="44" t="s">
        <v>931</v>
      </c>
      <c r="B411" s="41"/>
      <c r="C411" s="43"/>
      <c r="D411" s="43"/>
      <c r="E411" s="43"/>
      <c r="F411" s="43"/>
      <c r="G411" s="43"/>
      <c r="H411" s="114"/>
      <c r="I411" s="60"/>
      <c r="J411" s="60"/>
      <c r="K411" s="114"/>
      <c r="L411" s="114"/>
      <c r="M411" s="60"/>
      <c r="N411" s="60"/>
      <c r="O411" s="114"/>
      <c r="P411" s="114"/>
      <c r="Q411" s="114"/>
      <c r="R411" s="114"/>
      <c r="S411" s="114"/>
      <c r="T411" s="114"/>
      <c r="U411" s="114"/>
      <c r="V411" s="114"/>
      <c r="W411" s="114"/>
      <c r="X411" s="114"/>
      <c r="Y411" s="114"/>
      <c r="Z411" s="114"/>
    </row>
    <row r="412" spans="1:26" ht="15.75" customHeight="1" x14ac:dyDescent="0.25">
      <c r="A412" s="44" t="s">
        <v>847</v>
      </c>
      <c r="B412" s="41"/>
      <c r="C412" s="43"/>
      <c r="D412" s="43"/>
      <c r="E412" s="43"/>
      <c r="F412" s="43"/>
      <c r="G412" s="43"/>
      <c r="H412" s="114"/>
      <c r="I412" s="60"/>
      <c r="J412" s="60"/>
      <c r="K412" s="114"/>
      <c r="L412" s="114"/>
      <c r="M412" s="60"/>
      <c r="N412" s="60"/>
      <c r="O412" s="114"/>
      <c r="P412" s="114"/>
      <c r="Q412" s="114"/>
      <c r="R412" s="114"/>
      <c r="S412" s="114"/>
      <c r="T412" s="114"/>
      <c r="U412" s="114"/>
      <c r="V412" s="114"/>
      <c r="W412" s="114"/>
      <c r="X412" s="114"/>
      <c r="Y412" s="114"/>
      <c r="Z412" s="114"/>
    </row>
    <row r="413" spans="1:26" ht="15.75" customHeight="1" x14ac:dyDescent="0.25">
      <c r="A413" s="44" t="s">
        <v>932</v>
      </c>
      <c r="B413" s="41"/>
      <c r="C413" s="43"/>
      <c r="D413" s="43"/>
      <c r="E413" s="43"/>
      <c r="F413" s="43"/>
      <c r="G413" s="43"/>
      <c r="H413" s="114"/>
      <c r="I413" s="60"/>
      <c r="J413" s="60"/>
      <c r="K413" s="114"/>
      <c r="L413" s="114"/>
      <c r="M413" s="60"/>
      <c r="N413" s="60"/>
      <c r="O413" s="114"/>
      <c r="P413" s="114"/>
      <c r="Q413" s="114"/>
      <c r="R413" s="114"/>
      <c r="S413" s="114"/>
      <c r="T413" s="114"/>
      <c r="U413" s="114"/>
      <c r="V413" s="114"/>
      <c r="W413" s="114"/>
      <c r="X413" s="114"/>
      <c r="Y413" s="114"/>
      <c r="Z413" s="114"/>
    </row>
    <row r="414" spans="1:26" ht="15.75" customHeight="1" x14ac:dyDescent="0.25">
      <c r="A414" s="42" t="s">
        <v>466</v>
      </c>
      <c r="B414" s="41"/>
      <c r="C414" s="54">
        <f t="shared" ref="C414:D414" si="68">SUM(C406:C410)</f>
        <v>522088.74</v>
      </c>
      <c r="D414" s="54">
        <f t="shared" si="68"/>
        <v>254698.66</v>
      </c>
      <c r="E414" s="54">
        <f>F414-D414</f>
        <v>370555.33999999997</v>
      </c>
      <c r="F414" s="54">
        <f>SUM(F406:F410)</f>
        <v>625254</v>
      </c>
      <c r="G414" s="54">
        <f>SUM(G407:G410)</f>
        <v>684438</v>
      </c>
      <c r="H414" s="114"/>
      <c r="I414" s="60"/>
      <c r="J414" s="60"/>
      <c r="K414" s="114"/>
      <c r="L414" s="114"/>
      <c r="M414" s="60"/>
      <c r="N414" s="60"/>
      <c r="O414" s="114"/>
      <c r="P414" s="114"/>
      <c r="Q414" s="114"/>
      <c r="R414" s="114"/>
      <c r="S414" s="114"/>
      <c r="T414" s="114"/>
      <c r="U414" s="114"/>
      <c r="V414" s="114"/>
      <c r="W414" s="114"/>
      <c r="X414" s="114"/>
      <c r="Y414" s="114"/>
      <c r="Z414" s="114"/>
    </row>
    <row r="415" spans="1:26" ht="15.75" customHeight="1" x14ac:dyDescent="0.25">
      <c r="A415" s="17"/>
      <c r="B415" s="41"/>
      <c r="C415" s="55"/>
      <c r="D415" s="55"/>
      <c r="E415" s="43"/>
      <c r="F415" s="55"/>
      <c r="G415" s="55"/>
      <c r="H415" s="114"/>
      <c r="I415" s="60"/>
      <c r="J415" s="60"/>
      <c r="K415" s="114"/>
      <c r="L415" s="114"/>
      <c r="M415" s="60"/>
      <c r="N415" s="60"/>
      <c r="O415" s="114"/>
      <c r="P415" s="114"/>
      <c r="Q415" s="114"/>
      <c r="R415" s="114"/>
      <c r="S415" s="114"/>
      <c r="T415" s="114"/>
      <c r="U415" s="114"/>
      <c r="V415" s="114"/>
      <c r="W415" s="114"/>
      <c r="X415" s="114"/>
      <c r="Y415" s="114"/>
      <c r="Z415" s="114"/>
    </row>
    <row r="416" spans="1:26" ht="15.75" customHeight="1" x14ac:dyDescent="0.25">
      <c r="A416" s="17" t="s">
        <v>467</v>
      </c>
      <c r="B416" s="41"/>
      <c r="C416" s="43">
        <f t="shared" ref="C416:D416" si="69">C414</f>
        <v>522088.74</v>
      </c>
      <c r="D416" s="43">
        <f t="shared" si="69"/>
        <v>254698.66</v>
      </c>
      <c r="E416" s="43">
        <f>F416-D416</f>
        <v>370555.33999999997</v>
      </c>
      <c r="F416" s="43">
        <f t="shared" ref="F416:G416" si="70">F414</f>
        <v>625254</v>
      </c>
      <c r="G416" s="43">
        <f t="shared" si="70"/>
        <v>684438</v>
      </c>
      <c r="H416" s="114"/>
      <c r="I416" s="60"/>
      <c r="J416" s="60"/>
      <c r="K416" s="114"/>
      <c r="L416" s="114"/>
      <c r="M416" s="60"/>
      <c r="N416" s="60"/>
      <c r="O416" s="114"/>
      <c r="P416" s="114"/>
      <c r="Q416" s="114"/>
      <c r="R416" s="114"/>
      <c r="S416" s="114"/>
      <c r="T416" s="114"/>
      <c r="U416" s="114"/>
      <c r="V416" s="114"/>
      <c r="W416" s="114"/>
      <c r="X416" s="114"/>
      <c r="Y416" s="114"/>
      <c r="Z416" s="114"/>
    </row>
    <row r="417" spans="1:26" ht="15.75" customHeight="1" x14ac:dyDescent="0.25">
      <c r="A417" s="17"/>
      <c r="B417" s="41"/>
      <c r="C417" s="43"/>
      <c r="D417" s="43"/>
      <c r="E417" s="43"/>
      <c r="F417" s="43"/>
      <c r="G417" s="43"/>
      <c r="H417" s="114"/>
      <c r="I417" s="60"/>
      <c r="J417" s="60"/>
      <c r="K417" s="114"/>
      <c r="L417" s="114"/>
      <c r="M417" s="60"/>
      <c r="N417" s="60"/>
      <c r="O417" s="114"/>
      <c r="P417" s="114"/>
      <c r="Q417" s="114"/>
      <c r="R417" s="114"/>
      <c r="S417" s="114"/>
      <c r="T417" s="114"/>
      <c r="U417" s="114"/>
      <c r="V417" s="114"/>
      <c r="W417" s="114"/>
      <c r="X417" s="114"/>
      <c r="Y417" s="114"/>
      <c r="Z417" s="114"/>
    </row>
    <row r="418" spans="1:26" ht="15.75" customHeight="1" x14ac:dyDescent="0.25">
      <c r="A418" s="50" t="s">
        <v>487</v>
      </c>
      <c r="B418" s="51" t="s">
        <v>488</v>
      </c>
      <c r="C418" s="54">
        <f t="shared" ref="C418:D418" si="71">C416</f>
        <v>522088.74</v>
      </c>
      <c r="D418" s="54">
        <f t="shared" si="71"/>
        <v>254698.66</v>
      </c>
      <c r="E418" s="54">
        <f>F418-D418</f>
        <v>370555.33999999997</v>
      </c>
      <c r="F418" s="54">
        <f t="shared" ref="F418:G418" si="72">F416</f>
        <v>625254</v>
      </c>
      <c r="G418" s="54">
        <f t="shared" si="72"/>
        <v>684438</v>
      </c>
      <c r="H418" s="114"/>
      <c r="I418" s="60"/>
      <c r="J418" s="60"/>
      <c r="K418" s="114"/>
      <c r="L418" s="114"/>
      <c r="M418" s="60"/>
      <c r="N418" s="60"/>
      <c r="O418" s="114"/>
      <c r="P418" s="114"/>
      <c r="Q418" s="114"/>
      <c r="R418" s="114"/>
      <c r="S418" s="114"/>
      <c r="T418" s="114"/>
      <c r="U418" s="114"/>
      <c r="V418" s="114"/>
      <c r="W418" s="114"/>
      <c r="X418" s="114"/>
      <c r="Y418" s="114"/>
      <c r="Z418" s="114"/>
    </row>
    <row r="419" spans="1:26" ht="15.75" customHeight="1" x14ac:dyDescent="0.25">
      <c r="A419" s="24"/>
      <c r="B419" s="25"/>
      <c r="C419" s="26"/>
      <c r="D419" s="26"/>
      <c r="E419" s="26"/>
      <c r="F419" s="26"/>
      <c r="G419" s="26"/>
      <c r="H419" s="114"/>
      <c r="I419" s="60"/>
      <c r="J419" s="60"/>
      <c r="K419" s="114"/>
      <c r="L419" s="114"/>
      <c r="M419" s="60"/>
      <c r="N419" s="60"/>
      <c r="O419" s="114"/>
      <c r="P419" s="114"/>
      <c r="Q419" s="114"/>
      <c r="R419" s="114"/>
      <c r="S419" s="114"/>
      <c r="T419" s="114"/>
      <c r="U419" s="114"/>
      <c r="V419" s="114"/>
      <c r="W419" s="114"/>
      <c r="X419" s="114"/>
      <c r="Y419" s="114"/>
      <c r="Z419" s="114"/>
    </row>
    <row r="420" spans="1:26" ht="15.75" customHeight="1" x14ac:dyDescent="0.25">
      <c r="A420" s="24"/>
      <c r="B420" s="25"/>
      <c r="C420" s="24"/>
      <c r="D420" s="24"/>
      <c r="E420" s="24"/>
      <c r="F420" s="15"/>
      <c r="G420" s="15"/>
      <c r="H420" s="15"/>
      <c r="I420" s="16"/>
      <c r="J420" s="16"/>
      <c r="K420" s="15"/>
      <c r="L420" s="15"/>
      <c r="M420" s="16"/>
      <c r="N420" s="16"/>
      <c r="O420" s="15"/>
      <c r="P420" s="15"/>
      <c r="Q420" s="15"/>
      <c r="R420" s="15"/>
      <c r="S420" s="15"/>
      <c r="T420" s="15"/>
      <c r="U420" s="15"/>
      <c r="V420" s="15"/>
      <c r="W420" s="15"/>
      <c r="X420" s="15"/>
      <c r="Y420" s="15"/>
      <c r="Z420" s="15"/>
    </row>
    <row r="421" spans="1:26" ht="15.75" customHeight="1" x14ac:dyDescent="0.25">
      <c r="A421" s="9"/>
      <c r="B421" s="104"/>
      <c r="C421" s="105"/>
      <c r="D421" s="105"/>
      <c r="E421" s="105"/>
      <c r="F421" s="10"/>
      <c r="G421" s="180"/>
      <c r="H421" s="15"/>
      <c r="I421" s="16"/>
      <c r="J421" s="16"/>
      <c r="K421" s="15"/>
      <c r="L421" s="15"/>
      <c r="M421" s="16"/>
      <c r="N421" s="16"/>
      <c r="O421" s="15"/>
      <c r="P421" s="15"/>
      <c r="Q421" s="15"/>
      <c r="R421" s="15"/>
      <c r="S421" s="15"/>
      <c r="T421" s="15"/>
      <c r="U421" s="15"/>
      <c r="V421" s="15"/>
      <c r="W421" s="15"/>
      <c r="X421" s="15"/>
      <c r="Y421" s="15"/>
      <c r="Z421" s="15"/>
    </row>
    <row r="422" spans="1:26" ht="15.75" customHeight="1" x14ac:dyDescent="0.25">
      <c r="A422" s="108" t="s">
        <v>933</v>
      </c>
      <c r="B422" s="25"/>
      <c r="C422" s="26"/>
      <c r="D422" s="26"/>
      <c r="E422" s="26"/>
      <c r="F422" s="14"/>
      <c r="G422" s="181"/>
      <c r="H422" s="15"/>
      <c r="I422" s="16"/>
      <c r="J422" s="16"/>
      <c r="K422" s="15"/>
      <c r="L422" s="15"/>
      <c r="M422" s="16"/>
      <c r="N422" s="16"/>
      <c r="O422" s="15"/>
      <c r="P422" s="15"/>
      <c r="Q422" s="15"/>
      <c r="R422" s="15"/>
      <c r="S422" s="15"/>
      <c r="T422" s="15"/>
      <c r="U422" s="15"/>
      <c r="V422" s="15"/>
      <c r="W422" s="15"/>
      <c r="X422" s="15"/>
      <c r="Y422" s="15"/>
      <c r="Z422" s="15"/>
    </row>
    <row r="423" spans="1:26" ht="15.75" customHeight="1" x14ac:dyDescent="0.25">
      <c r="A423" s="44"/>
      <c r="B423" s="25"/>
      <c r="C423" s="26"/>
      <c r="D423" s="26"/>
      <c r="E423" s="26"/>
      <c r="F423" s="14"/>
      <c r="G423" s="181"/>
      <c r="H423" s="15"/>
      <c r="I423" s="16"/>
      <c r="J423" s="16"/>
      <c r="K423" s="15"/>
      <c r="L423" s="15"/>
      <c r="M423" s="16"/>
      <c r="N423" s="16"/>
      <c r="O423" s="15"/>
      <c r="P423" s="15"/>
      <c r="Q423" s="15"/>
      <c r="R423" s="15"/>
      <c r="S423" s="15"/>
      <c r="T423" s="15"/>
      <c r="U423" s="15"/>
      <c r="V423" s="15"/>
      <c r="W423" s="15"/>
      <c r="X423" s="15"/>
      <c r="Y423" s="15"/>
      <c r="Z423" s="15"/>
    </row>
    <row r="424" spans="1:26" ht="15.75" customHeight="1" x14ac:dyDescent="0.25">
      <c r="A424" s="865" t="s">
        <v>352</v>
      </c>
      <c r="B424" s="866"/>
      <c r="C424" s="866"/>
      <c r="D424" s="866"/>
      <c r="E424" s="866"/>
      <c r="F424" s="866"/>
      <c r="G424" s="867"/>
      <c r="H424" s="15"/>
      <c r="I424" s="16"/>
      <c r="J424" s="16"/>
      <c r="K424" s="15"/>
      <c r="L424" s="15"/>
      <c r="M424" s="16"/>
      <c r="N424" s="16"/>
      <c r="O424" s="15"/>
      <c r="P424" s="15"/>
      <c r="Q424" s="15"/>
      <c r="R424" s="15"/>
      <c r="S424" s="15"/>
      <c r="T424" s="15"/>
      <c r="U424" s="15"/>
      <c r="V424" s="15"/>
      <c r="W424" s="15"/>
      <c r="X424" s="15"/>
      <c r="Y424" s="15"/>
      <c r="Z424" s="15"/>
    </row>
    <row r="425" spans="1:26" ht="15.75" customHeight="1" x14ac:dyDescent="0.25">
      <c r="A425" s="868" t="s">
        <v>353</v>
      </c>
      <c r="B425" s="857" t="s">
        <v>354</v>
      </c>
      <c r="C425" s="870" t="s">
        <v>355</v>
      </c>
      <c r="D425" s="872" t="s">
        <v>356</v>
      </c>
      <c r="E425" s="873"/>
      <c r="F425" s="874"/>
      <c r="G425" s="857" t="s">
        <v>357</v>
      </c>
      <c r="H425" s="15"/>
      <c r="I425" s="16"/>
      <c r="J425" s="16"/>
      <c r="K425" s="15"/>
      <c r="L425" s="15"/>
      <c r="M425" s="16"/>
      <c r="N425" s="16"/>
      <c r="O425" s="15"/>
      <c r="P425" s="15"/>
      <c r="Q425" s="15"/>
      <c r="R425" s="15"/>
      <c r="S425" s="15"/>
      <c r="T425" s="15"/>
      <c r="U425" s="15"/>
      <c r="V425" s="15"/>
      <c r="W425" s="15"/>
      <c r="X425" s="15"/>
      <c r="Y425" s="15"/>
      <c r="Z425" s="15"/>
    </row>
    <row r="426" spans="1:26" ht="15.75" customHeight="1" x14ac:dyDescent="0.25">
      <c r="A426" s="858"/>
      <c r="B426" s="858"/>
      <c r="C426" s="871"/>
      <c r="D426" s="28" t="s">
        <v>358</v>
      </c>
      <c r="E426" s="29" t="s">
        <v>359</v>
      </c>
      <c r="F426" s="875" t="s">
        <v>360</v>
      </c>
      <c r="G426" s="858"/>
      <c r="H426" s="15"/>
      <c r="I426" s="16"/>
      <c r="J426" s="16"/>
      <c r="K426" s="15"/>
      <c r="L426" s="15"/>
      <c r="M426" s="16"/>
      <c r="N426" s="16"/>
      <c r="O426" s="15"/>
      <c r="P426" s="15"/>
      <c r="Q426" s="15"/>
      <c r="R426" s="15"/>
      <c r="S426" s="15"/>
      <c r="T426" s="15"/>
      <c r="U426" s="15"/>
      <c r="V426" s="15"/>
      <c r="W426" s="15"/>
      <c r="X426" s="15"/>
      <c r="Y426" s="15"/>
      <c r="Z426" s="15"/>
    </row>
    <row r="427" spans="1:26" ht="15.75" customHeight="1" x14ac:dyDescent="0.25">
      <c r="A427" s="858"/>
      <c r="B427" s="858"/>
      <c r="C427" s="30" t="s">
        <v>361</v>
      </c>
      <c r="D427" s="31" t="s">
        <v>361</v>
      </c>
      <c r="E427" s="32" t="s">
        <v>362</v>
      </c>
      <c r="F427" s="860"/>
      <c r="G427" s="442" t="s">
        <v>2717</v>
      </c>
      <c r="H427" s="15"/>
      <c r="I427" s="16"/>
      <c r="J427" s="16"/>
      <c r="K427" s="15"/>
      <c r="L427" s="15"/>
      <c r="M427" s="16"/>
      <c r="N427" s="16"/>
      <c r="O427" s="15"/>
      <c r="P427" s="15"/>
      <c r="Q427" s="15"/>
      <c r="R427" s="15"/>
      <c r="S427" s="15"/>
      <c r="T427" s="15"/>
      <c r="U427" s="15"/>
      <c r="V427" s="15"/>
      <c r="W427" s="15"/>
      <c r="X427" s="15"/>
      <c r="Y427" s="15"/>
      <c r="Z427" s="15"/>
    </row>
    <row r="428" spans="1:26" ht="15.75" customHeight="1" x14ac:dyDescent="0.25">
      <c r="A428" s="869"/>
      <c r="B428" s="869"/>
      <c r="C428" s="33">
        <v>2024</v>
      </c>
      <c r="D428" s="34">
        <v>2025</v>
      </c>
      <c r="E428" s="35">
        <v>2025</v>
      </c>
      <c r="F428" s="34">
        <v>2025</v>
      </c>
      <c r="G428" s="36" t="s">
        <v>2668</v>
      </c>
      <c r="H428" s="15"/>
      <c r="I428" s="16"/>
      <c r="J428" s="16"/>
      <c r="K428" s="15"/>
      <c r="L428" s="15"/>
      <c r="M428" s="16"/>
      <c r="N428" s="16"/>
      <c r="O428" s="15"/>
      <c r="P428" s="15"/>
      <c r="Q428" s="15"/>
      <c r="R428" s="15"/>
      <c r="S428" s="15"/>
      <c r="T428" s="15"/>
      <c r="U428" s="15"/>
      <c r="V428" s="15"/>
      <c r="W428" s="15"/>
      <c r="X428" s="15"/>
      <c r="Y428" s="15"/>
      <c r="Z428" s="15"/>
    </row>
    <row r="429" spans="1:26" ht="15.75" customHeight="1" x14ac:dyDescent="0.25">
      <c r="A429" s="9" t="s">
        <v>364</v>
      </c>
      <c r="B429" s="38"/>
      <c r="C429" s="42"/>
      <c r="D429" s="42"/>
      <c r="E429" s="42"/>
      <c r="F429" s="42"/>
      <c r="G429" s="37"/>
      <c r="H429" s="114"/>
      <c r="I429" s="60"/>
      <c r="J429" s="60"/>
      <c r="K429" s="114"/>
      <c r="L429" s="114"/>
      <c r="M429" s="60"/>
      <c r="N429" s="60"/>
      <c r="O429" s="114"/>
      <c r="P429" s="114"/>
      <c r="Q429" s="114"/>
      <c r="R429" s="114"/>
      <c r="S429" s="114"/>
      <c r="T429" s="114"/>
      <c r="U429" s="114"/>
      <c r="V429" s="114"/>
      <c r="W429" s="114"/>
      <c r="X429" s="114"/>
      <c r="Y429" s="114"/>
      <c r="Z429" s="114"/>
    </row>
    <row r="430" spans="1:26" ht="15.75" customHeight="1" x14ac:dyDescent="0.25">
      <c r="A430" s="42" t="s">
        <v>491</v>
      </c>
      <c r="B430" s="49"/>
      <c r="C430" s="43"/>
      <c r="D430" s="43"/>
      <c r="E430" s="43"/>
      <c r="F430" s="43"/>
      <c r="G430" s="43"/>
      <c r="H430" s="114"/>
      <c r="I430" s="60"/>
      <c r="J430" s="60"/>
      <c r="K430" s="114"/>
      <c r="L430" s="114"/>
      <c r="M430" s="60"/>
      <c r="N430" s="60"/>
      <c r="O430" s="114"/>
      <c r="P430" s="114"/>
      <c r="Q430" s="114"/>
      <c r="R430" s="114"/>
      <c r="S430" s="114"/>
      <c r="T430" s="114"/>
      <c r="U430" s="114"/>
      <c r="V430" s="114"/>
      <c r="W430" s="114"/>
      <c r="X430" s="114"/>
      <c r="Y430" s="114"/>
      <c r="Z430" s="114"/>
    </row>
    <row r="431" spans="1:26" ht="15.75" customHeight="1" x14ac:dyDescent="0.25">
      <c r="A431" s="17" t="s">
        <v>511</v>
      </c>
      <c r="B431" s="41"/>
      <c r="C431" s="43"/>
      <c r="D431" s="43"/>
      <c r="E431" s="43"/>
      <c r="F431" s="43"/>
      <c r="G431" s="43"/>
      <c r="H431" s="114"/>
      <c r="I431" s="60"/>
      <c r="J431" s="60"/>
      <c r="K431" s="114"/>
      <c r="L431" s="114"/>
      <c r="M431" s="60"/>
      <c r="N431" s="60"/>
      <c r="O431" s="114"/>
      <c r="P431" s="114"/>
      <c r="Q431" s="114"/>
      <c r="R431" s="114"/>
      <c r="S431" s="114"/>
      <c r="T431" s="114"/>
      <c r="U431" s="114"/>
      <c r="V431" s="114"/>
      <c r="W431" s="114"/>
      <c r="X431" s="114"/>
      <c r="Y431" s="114"/>
      <c r="Z431" s="114"/>
    </row>
    <row r="432" spans="1:26" ht="15.75" customHeight="1" x14ac:dyDescent="0.25">
      <c r="A432" s="44" t="s">
        <v>424</v>
      </c>
      <c r="B432" s="41" t="s">
        <v>335</v>
      </c>
      <c r="C432" s="43"/>
      <c r="D432" s="43">
        <v>0</v>
      </c>
      <c r="E432" s="43">
        <f>F432-D432</f>
        <v>50000</v>
      </c>
      <c r="F432" s="43">
        <v>50000</v>
      </c>
      <c r="G432" s="43">
        <v>69500</v>
      </c>
      <c r="H432" s="114"/>
      <c r="I432" s="60"/>
      <c r="J432" s="60"/>
      <c r="K432" s="114"/>
      <c r="L432" s="114"/>
      <c r="M432" s="60"/>
      <c r="N432" s="60"/>
      <c r="O432" s="114"/>
      <c r="P432" s="114"/>
      <c r="Q432" s="114"/>
      <c r="R432" s="114"/>
      <c r="S432" s="114"/>
      <c r="T432" s="114"/>
      <c r="U432" s="114"/>
      <c r="V432" s="114"/>
      <c r="W432" s="114"/>
      <c r="X432" s="114"/>
      <c r="Y432" s="114"/>
      <c r="Z432" s="114"/>
    </row>
    <row r="433" spans="1:26" ht="15.75" customHeight="1" x14ac:dyDescent="0.25">
      <c r="A433" s="44" t="s">
        <v>934</v>
      </c>
      <c r="B433" s="41"/>
      <c r="C433" s="43"/>
      <c r="D433" s="43"/>
      <c r="E433" s="43"/>
      <c r="F433" s="43"/>
      <c r="G433" s="43"/>
      <c r="H433" s="114"/>
      <c r="I433" s="60"/>
      <c r="J433" s="60"/>
      <c r="K433" s="114"/>
      <c r="L433" s="114"/>
      <c r="M433" s="60"/>
      <c r="N433" s="60"/>
      <c r="O433" s="114"/>
      <c r="P433" s="114"/>
      <c r="Q433" s="114"/>
      <c r="R433" s="114"/>
      <c r="S433" s="114"/>
      <c r="T433" s="114"/>
      <c r="U433" s="114"/>
      <c r="V433" s="114"/>
      <c r="W433" s="114"/>
      <c r="X433" s="114"/>
      <c r="Y433" s="114"/>
      <c r="Z433" s="114"/>
    </row>
    <row r="434" spans="1:26" ht="15.75" customHeight="1" x14ac:dyDescent="0.25">
      <c r="A434" s="44" t="s">
        <v>935</v>
      </c>
      <c r="B434" s="41"/>
      <c r="C434" s="43"/>
      <c r="D434" s="43"/>
      <c r="E434" s="43"/>
      <c r="F434" s="43"/>
      <c r="G434" s="43"/>
      <c r="H434" s="114"/>
      <c r="I434" s="60"/>
      <c r="J434" s="60"/>
      <c r="K434" s="114"/>
      <c r="L434" s="114"/>
      <c r="M434" s="60"/>
      <c r="N434" s="60"/>
      <c r="O434" s="114"/>
      <c r="P434" s="114"/>
      <c r="Q434" s="114"/>
      <c r="R434" s="114"/>
      <c r="S434" s="114"/>
      <c r="T434" s="114"/>
      <c r="U434" s="114"/>
      <c r="V434" s="114"/>
      <c r="W434" s="114"/>
      <c r="X434" s="114"/>
      <c r="Y434" s="114"/>
      <c r="Z434" s="114"/>
    </row>
    <row r="435" spans="1:26" ht="15.75" customHeight="1" x14ac:dyDescent="0.25">
      <c r="A435" s="44" t="s">
        <v>936</v>
      </c>
      <c r="B435" s="41"/>
      <c r="C435" s="43"/>
      <c r="D435" s="43"/>
      <c r="E435" s="43"/>
      <c r="F435" s="43"/>
      <c r="G435" s="43"/>
      <c r="H435" s="114"/>
      <c r="I435" s="60"/>
      <c r="J435" s="60"/>
      <c r="K435" s="114"/>
      <c r="L435" s="114"/>
      <c r="M435" s="60"/>
      <c r="N435" s="60"/>
      <c r="O435" s="114"/>
      <c r="P435" s="114"/>
      <c r="Q435" s="114"/>
      <c r="R435" s="114"/>
      <c r="S435" s="114"/>
      <c r="T435" s="114"/>
      <c r="U435" s="114"/>
      <c r="V435" s="114"/>
      <c r="W435" s="114"/>
      <c r="X435" s="114"/>
      <c r="Y435" s="114"/>
      <c r="Z435" s="114"/>
    </row>
    <row r="436" spans="1:26" ht="15.75" customHeight="1" x14ac:dyDescent="0.25">
      <c r="A436" s="42" t="s">
        <v>466</v>
      </c>
      <c r="B436" s="41"/>
      <c r="C436" s="54">
        <f t="shared" ref="C436:D436" si="73">SUM(C431:C432)</f>
        <v>0</v>
      </c>
      <c r="D436" s="54">
        <f t="shared" si="73"/>
        <v>0</v>
      </c>
      <c r="E436" s="54">
        <f>F436-D436</f>
        <v>50000</v>
      </c>
      <c r="F436" s="54">
        <f>SUM(F431:F432)</f>
        <v>50000</v>
      </c>
      <c r="G436" s="54">
        <f>SUM(G432)</f>
        <v>69500</v>
      </c>
      <c r="H436" s="114"/>
      <c r="I436" s="60"/>
      <c r="J436" s="60"/>
      <c r="K436" s="114"/>
      <c r="L436" s="114"/>
      <c r="M436" s="60"/>
      <c r="N436" s="60"/>
      <c r="O436" s="114"/>
      <c r="P436" s="114"/>
      <c r="Q436" s="114"/>
      <c r="R436" s="114"/>
      <c r="S436" s="114"/>
      <c r="T436" s="114"/>
      <c r="U436" s="114"/>
      <c r="V436" s="114"/>
      <c r="W436" s="114"/>
      <c r="X436" s="114"/>
      <c r="Y436" s="114"/>
      <c r="Z436" s="114"/>
    </row>
    <row r="437" spans="1:26" ht="15.75" customHeight="1" x14ac:dyDescent="0.25">
      <c r="A437" s="17"/>
      <c r="B437" s="41"/>
      <c r="C437" s="55"/>
      <c r="D437" s="55"/>
      <c r="E437" s="43"/>
      <c r="F437" s="55"/>
      <c r="G437" s="55"/>
      <c r="H437" s="114"/>
      <c r="I437" s="60"/>
      <c r="J437" s="60"/>
      <c r="K437" s="114"/>
      <c r="L437" s="114"/>
      <c r="M437" s="60"/>
      <c r="N437" s="60"/>
      <c r="O437" s="114"/>
      <c r="P437" s="114"/>
      <c r="Q437" s="114"/>
      <c r="R437" s="114"/>
      <c r="S437" s="114"/>
      <c r="T437" s="114"/>
      <c r="U437" s="114"/>
      <c r="V437" s="114"/>
      <c r="W437" s="114"/>
      <c r="X437" s="114"/>
      <c r="Y437" s="114"/>
      <c r="Z437" s="114"/>
    </row>
    <row r="438" spans="1:26" ht="15.75" customHeight="1" x14ac:dyDescent="0.25">
      <c r="A438" s="17" t="s">
        <v>467</v>
      </c>
      <c r="B438" s="41"/>
      <c r="C438" s="43">
        <f t="shared" ref="C438:D438" si="74">C436</f>
        <v>0</v>
      </c>
      <c r="D438" s="43">
        <f t="shared" si="74"/>
        <v>0</v>
      </c>
      <c r="E438" s="43">
        <f>F438-D438</f>
        <v>50000</v>
      </c>
      <c r="F438" s="43">
        <f t="shared" ref="F438:G438" si="75">F436</f>
        <v>50000</v>
      </c>
      <c r="G438" s="43">
        <f t="shared" si="75"/>
        <v>69500</v>
      </c>
      <c r="H438" s="114"/>
      <c r="I438" s="60"/>
      <c r="J438" s="60"/>
      <c r="K438" s="114"/>
      <c r="L438" s="114"/>
      <c r="M438" s="60"/>
      <c r="N438" s="60"/>
      <c r="O438" s="114"/>
      <c r="P438" s="114"/>
      <c r="Q438" s="114"/>
      <c r="R438" s="114"/>
      <c r="S438" s="114"/>
      <c r="T438" s="114"/>
      <c r="U438" s="114"/>
      <c r="V438" s="114"/>
      <c r="W438" s="114"/>
      <c r="X438" s="114"/>
      <c r="Y438" s="114"/>
      <c r="Z438" s="114"/>
    </row>
    <row r="439" spans="1:26" ht="15.75" customHeight="1" x14ac:dyDescent="0.25">
      <c r="A439" s="17"/>
      <c r="B439" s="41"/>
      <c r="C439" s="43"/>
      <c r="D439" s="43"/>
      <c r="E439" s="43"/>
      <c r="F439" s="43"/>
      <c r="G439" s="43"/>
      <c r="H439" s="114"/>
      <c r="I439" s="60"/>
      <c r="J439" s="60"/>
      <c r="K439" s="114"/>
      <c r="L439" s="114"/>
      <c r="M439" s="60"/>
      <c r="N439" s="60"/>
      <c r="O439" s="114"/>
      <c r="P439" s="114"/>
      <c r="Q439" s="114"/>
      <c r="R439" s="114"/>
      <c r="S439" s="114"/>
      <c r="T439" s="114"/>
      <c r="U439" s="114"/>
      <c r="V439" s="114"/>
      <c r="W439" s="114"/>
      <c r="X439" s="114"/>
      <c r="Y439" s="114"/>
      <c r="Z439" s="114"/>
    </row>
    <row r="440" spans="1:26" ht="15.75" customHeight="1" x14ac:dyDescent="0.25">
      <c r="A440" s="50" t="s">
        <v>487</v>
      </c>
      <c r="B440" s="51" t="s">
        <v>488</v>
      </c>
      <c r="C440" s="54">
        <f t="shared" ref="C440:D440" si="76">C438</f>
        <v>0</v>
      </c>
      <c r="D440" s="54">
        <f t="shared" si="76"/>
        <v>0</v>
      </c>
      <c r="E440" s="54">
        <f>F440-D440</f>
        <v>50000</v>
      </c>
      <c r="F440" s="54">
        <f t="shared" ref="F440:G440" si="77">F438</f>
        <v>50000</v>
      </c>
      <c r="G440" s="54">
        <f t="shared" si="77"/>
        <v>69500</v>
      </c>
      <c r="H440" s="114"/>
      <c r="I440" s="60"/>
      <c r="J440" s="60"/>
      <c r="K440" s="114"/>
      <c r="L440" s="114"/>
      <c r="M440" s="60"/>
      <c r="N440" s="60"/>
      <c r="O440" s="114"/>
      <c r="P440" s="114"/>
      <c r="Q440" s="114"/>
      <c r="R440" s="114"/>
      <c r="S440" s="114"/>
      <c r="T440" s="114"/>
      <c r="U440" s="114"/>
      <c r="V440" s="114"/>
      <c r="W440" s="114"/>
      <c r="X440" s="114"/>
      <c r="Y440" s="114"/>
      <c r="Z440" s="114"/>
    </row>
    <row r="441" spans="1:26" ht="15.75" customHeight="1" x14ac:dyDescent="0.25">
      <c r="A441" s="24"/>
      <c r="B441" s="25"/>
      <c r="C441" s="26"/>
      <c r="D441" s="26"/>
      <c r="E441" s="26"/>
      <c r="F441" s="26"/>
      <c r="G441" s="26"/>
      <c r="H441" s="114"/>
      <c r="I441" s="60"/>
      <c r="J441" s="60"/>
      <c r="K441" s="114"/>
      <c r="L441" s="114"/>
      <c r="M441" s="60"/>
      <c r="N441" s="60"/>
      <c r="O441" s="114"/>
      <c r="P441" s="114"/>
      <c r="Q441" s="114"/>
      <c r="R441" s="114"/>
      <c r="S441" s="114"/>
      <c r="T441" s="114"/>
      <c r="U441" s="114"/>
      <c r="V441" s="114"/>
      <c r="W441" s="114"/>
      <c r="X441" s="114"/>
      <c r="Y441" s="114"/>
      <c r="Z441" s="114"/>
    </row>
    <row r="442" spans="1:26" ht="15.75" customHeight="1" x14ac:dyDescent="0.25">
      <c r="A442" s="24"/>
      <c r="B442" s="25"/>
      <c r="C442" s="24"/>
      <c r="D442" s="24"/>
      <c r="E442" s="24"/>
      <c r="F442" s="15"/>
      <c r="G442" s="15"/>
      <c r="H442" s="15"/>
      <c r="I442" s="16"/>
      <c r="J442" s="16"/>
      <c r="K442" s="15"/>
      <c r="L442" s="15"/>
      <c r="M442" s="16"/>
      <c r="N442" s="16"/>
      <c r="O442" s="15"/>
      <c r="P442" s="15"/>
      <c r="Q442" s="15"/>
      <c r="R442" s="15"/>
      <c r="S442" s="15"/>
      <c r="T442" s="15"/>
      <c r="U442" s="15"/>
      <c r="V442" s="15"/>
      <c r="W442" s="15"/>
      <c r="X442" s="15"/>
      <c r="Y442" s="15"/>
      <c r="Z442" s="15"/>
    </row>
    <row r="443" spans="1:26" ht="15.75" customHeight="1" x14ac:dyDescent="0.25">
      <c r="A443" s="9"/>
      <c r="B443" s="104"/>
      <c r="C443" s="105"/>
      <c r="D443" s="105"/>
      <c r="E443" s="105"/>
      <c r="F443" s="10"/>
      <c r="G443" s="180"/>
      <c r="H443" s="15"/>
      <c r="I443" s="16"/>
      <c r="J443" s="16"/>
      <c r="K443" s="15"/>
      <c r="L443" s="15"/>
      <c r="M443" s="16"/>
      <c r="N443" s="16"/>
      <c r="O443" s="15"/>
      <c r="P443" s="15"/>
      <c r="Q443" s="15"/>
      <c r="R443" s="15"/>
      <c r="S443" s="15"/>
      <c r="T443" s="15"/>
      <c r="U443" s="15"/>
      <c r="V443" s="15"/>
      <c r="W443" s="15"/>
      <c r="X443" s="15"/>
      <c r="Y443" s="15"/>
      <c r="Z443" s="15"/>
    </row>
    <row r="444" spans="1:26" ht="15.75" customHeight="1" x14ac:dyDescent="0.25">
      <c r="A444" s="108" t="s">
        <v>937</v>
      </c>
      <c r="B444" s="25"/>
      <c r="C444" s="26"/>
      <c r="D444" s="26"/>
      <c r="E444" s="26"/>
      <c r="F444" s="14"/>
      <c r="G444" s="181"/>
      <c r="H444" s="15"/>
      <c r="I444" s="16"/>
      <c r="J444" s="16"/>
      <c r="K444" s="15"/>
      <c r="L444" s="15"/>
      <c r="M444" s="16"/>
      <c r="N444" s="16"/>
      <c r="O444" s="15"/>
      <c r="P444" s="15"/>
      <c r="Q444" s="15"/>
      <c r="R444" s="15"/>
      <c r="S444" s="15"/>
      <c r="T444" s="15"/>
      <c r="U444" s="15"/>
      <c r="V444" s="15"/>
      <c r="W444" s="15"/>
      <c r="X444" s="15"/>
      <c r="Y444" s="15"/>
      <c r="Z444" s="15"/>
    </row>
    <row r="445" spans="1:26" ht="15.75" customHeight="1" x14ac:dyDescent="0.25">
      <c r="A445" s="44"/>
      <c r="B445" s="25"/>
      <c r="C445" s="26"/>
      <c r="D445" s="26"/>
      <c r="E445" s="26"/>
      <c r="F445" s="14"/>
      <c r="G445" s="181"/>
      <c r="H445" s="15"/>
      <c r="I445" s="16"/>
      <c r="J445" s="16"/>
      <c r="K445" s="15"/>
      <c r="L445" s="15"/>
      <c r="M445" s="16"/>
      <c r="N445" s="16"/>
      <c r="O445" s="15"/>
      <c r="P445" s="15"/>
      <c r="Q445" s="15"/>
      <c r="R445" s="15"/>
      <c r="S445" s="15"/>
      <c r="T445" s="15"/>
      <c r="U445" s="15"/>
      <c r="V445" s="15"/>
      <c r="W445" s="15"/>
      <c r="X445" s="15"/>
      <c r="Y445" s="15"/>
      <c r="Z445" s="15"/>
    </row>
    <row r="446" spans="1:26" ht="15.75" customHeight="1" x14ac:dyDescent="0.25">
      <c r="A446" s="865" t="s">
        <v>352</v>
      </c>
      <c r="B446" s="866"/>
      <c r="C446" s="866"/>
      <c r="D446" s="866"/>
      <c r="E446" s="866"/>
      <c r="F446" s="866"/>
      <c r="G446" s="867"/>
      <c r="H446" s="15"/>
      <c r="I446" s="16"/>
      <c r="J446" s="16"/>
      <c r="K446" s="15"/>
      <c r="L446" s="15"/>
      <c r="M446" s="16"/>
      <c r="N446" s="16"/>
      <c r="O446" s="15"/>
      <c r="P446" s="15"/>
      <c r="Q446" s="15"/>
      <c r="R446" s="15"/>
      <c r="S446" s="15"/>
      <c r="T446" s="15"/>
      <c r="U446" s="15"/>
      <c r="V446" s="15"/>
      <c r="W446" s="15"/>
      <c r="X446" s="15"/>
      <c r="Y446" s="15"/>
      <c r="Z446" s="15"/>
    </row>
    <row r="447" spans="1:26" ht="15.75" customHeight="1" x14ac:dyDescent="0.25">
      <c r="A447" s="868" t="s">
        <v>353</v>
      </c>
      <c r="B447" s="857" t="s">
        <v>354</v>
      </c>
      <c r="C447" s="870" t="s">
        <v>355</v>
      </c>
      <c r="D447" s="872" t="s">
        <v>356</v>
      </c>
      <c r="E447" s="873"/>
      <c r="F447" s="874"/>
      <c r="G447" s="857" t="s">
        <v>357</v>
      </c>
      <c r="H447" s="15"/>
      <c r="I447" s="16"/>
      <c r="J447" s="16"/>
      <c r="K447" s="15"/>
      <c r="L447" s="15"/>
      <c r="M447" s="16"/>
      <c r="N447" s="16"/>
      <c r="O447" s="15"/>
      <c r="P447" s="15"/>
      <c r="Q447" s="15"/>
      <c r="R447" s="15"/>
      <c r="S447" s="15"/>
      <c r="T447" s="15"/>
      <c r="U447" s="15"/>
      <c r="V447" s="15"/>
      <c r="W447" s="15"/>
      <c r="X447" s="15"/>
      <c r="Y447" s="15"/>
      <c r="Z447" s="15"/>
    </row>
    <row r="448" spans="1:26" ht="15.75" customHeight="1" x14ac:dyDescent="0.25">
      <c r="A448" s="858"/>
      <c r="B448" s="858"/>
      <c r="C448" s="871"/>
      <c r="D448" s="28" t="s">
        <v>358</v>
      </c>
      <c r="E448" s="29" t="s">
        <v>359</v>
      </c>
      <c r="F448" s="875" t="s">
        <v>360</v>
      </c>
      <c r="G448" s="858"/>
      <c r="H448" s="15"/>
      <c r="I448" s="16"/>
      <c r="J448" s="16"/>
      <c r="K448" s="15"/>
      <c r="L448" s="15"/>
      <c r="M448" s="16"/>
      <c r="N448" s="16"/>
      <c r="O448" s="15"/>
      <c r="P448" s="15"/>
      <c r="Q448" s="15"/>
      <c r="R448" s="15"/>
      <c r="S448" s="15"/>
      <c r="T448" s="15"/>
      <c r="U448" s="15"/>
      <c r="V448" s="15"/>
      <c r="W448" s="15"/>
      <c r="X448" s="15"/>
      <c r="Y448" s="15"/>
      <c r="Z448" s="15"/>
    </row>
    <row r="449" spans="1:26" ht="15.75" customHeight="1" x14ac:dyDescent="0.25">
      <c r="A449" s="858"/>
      <c r="B449" s="858"/>
      <c r="C449" s="30" t="s">
        <v>361</v>
      </c>
      <c r="D449" s="31" t="s">
        <v>361</v>
      </c>
      <c r="E449" s="32" t="s">
        <v>362</v>
      </c>
      <c r="F449" s="860"/>
      <c r="G449" s="442" t="s">
        <v>2717</v>
      </c>
      <c r="H449" s="15"/>
      <c r="I449" s="16"/>
      <c r="J449" s="16"/>
      <c r="K449" s="15"/>
      <c r="L449" s="15"/>
      <c r="M449" s="16"/>
      <c r="N449" s="16"/>
      <c r="O449" s="15"/>
      <c r="P449" s="15"/>
      <c r="Q449" s="15"/>
      <c r="R449" s="15"/>
      <c r="S449" s="15"/>
      <c r="T449" s="15"/>
      <c r="U449" s="15"/>
      <c r="V449" s="15"/>
      <c r="W449" s="15"/>
      <c r="X449" s="15"/>
      <c r="Y449" s="15"/>
      <c r="Z449" s="15"/>
    </row>
    <row r="450" spans="1:26" ht="15.75" customHeight="1" x14ac:dyDescent="0.25">
      <c r="A450" s="869"/>
      <c r="B450" s="869"/>
      <c r="C450" s="33">
        <v>2024</v>
      </c>
      <c r="D450" s="34">
        <v>2025</v>
      </c>
      <c r="E450" s="35">
        <v>2025</v>
      </c>
      <c r="F450" s="34">
        <v>2025</v>
      </c>
      <c r="G450" s="36" t="s">
        <v>2668</v>
      </c>
      <c r="H450" s="15"/>
      <c r="I450" s="16"/>
      <c r="J450" s="16"/>
      <c r="K450" s="15"/>
      <c r="L450" s="15"/>
      <c r="M450" s="16"/>
      <c r="N450" s="16"/>
      <c r="O450" s="15"/>
      <c r="P450" s="15"/>
      <c r="Q450" s="15"/>
      <c r="R450" s="15"/>
      <c r="S450" s="15"/>
      <c r="T450" s="15"/>
      <c r="U450" s="15"/>
      <c r="V450" s="15"/>
      <c r="W450" s="15"/>
      <c r="X450" s="15"/>
      <c r="Y450" s="15"/>
      <c r="Z450" s="15"/>
    </row>
    <row r="451" spans="1:26" ht="15.75" customHeight="1" x14ac:dyDescent="0.25">
      <c r="A451" s="9" t="s">
        <v>364</v>
      </c>
      <c r="B451" s="38"/>
      <c r="C451" s="42"/>
      <c r="D451" s="42"/>
      <c r="E451" s="42"/>
      <c r="F451" s="42"/>
      <c r="G451" s="37"/>
      <c r="H451" s="114"/>
      <c r="I451" s="60"/>
      <c r="J451" s="60"/>
      <c r="K451" s="114"/>
      <c r="L451" s="114"/>
      <c r="M451" s="60"/>
      <c r="N451" s="60"/>
      <c r="O451" s="114"/>
      <c r="P451" s="114"/>
      <c r="Q451" s="114"/>
      <c r="R451" s="114"/>
      <c r="S451" s="114"/>
      <c r="T451" s="114"/>
      <c r="U451" s="114"/>
      <c r="V451" s="114"/>
      <c r="W451" s="114"/>
      <c r="X451" s="114"/>
      <c r="Y451" s="114"/>
      <c r="Z451" s="114"/>
    </row>
    <row r="452" spans="1:26" ht="15.75" customHeight="1" x14ac:dyDescent="0.25">
      <c r="A452" s="42" t="s">
        <v>491</v>
      </c>
      <c r="B452" s="49"/>
      <c r="C452" s="43"/>
      <c r="D452" s="43"/>
      <c r="E452" s="43"/>
      <c r="F452" s="43"/>
      <c r="G452" s="43"/>
      <c r="H452" s="114"/>
      <c r="I452" s="60"/>
      <c r="J452" s="60"/>
      <c r="K452" s="114"/>
      <c r="L452" s="114"/>
      <c r="M452" s="60"/>
      <c r="N452" s="60"/>
      <c r="O452" s="114"/>
      <c r="P452" s="114"/>
      <c r="Q452" s="114"/>
      <c r="R452" s="114"/>
      <c r="S452" s="114"/>
      <c r="T452" s="114"/>
      <c r="U452" s="114"/>
      <c r="V452" s="114"/>
      <c r="W452" s="114"/>
      <c r="X452" s="114"/>
      <c r="Y452" s="114"/>
      <c r="Z452" s="114"/>
    </row>
    <row r="453" spans="1:26" ht="15.75" customHeight="1" x14ac:dyDescent="0.25">
      <c r="A453" s="17" t="s">
        <v>627</v>
      </c>
      <c r="B453" s="41"/>
      <c r="C453" s="41"/>
      <c r="D453" s="41"/>
      <c r="E453" s="20"/>
      <c r="F453" s="120"/>
      <c r="G453" s="49"/>
      <c r="H453" s="114"/>
      <c r="I453" s="60"/>
      <c r="J453" s="60"/>
      <c r="K453" s="114"/>
      <c r="L453" s="114"/>
      <c r="M453" s="60"/>
      <c r="N453" s="60"/>
      <c r="O453" s="114"/>
      <c r="P453" s="114"/>
      <c r="Q453" s="114"/>
      <c r="R453" s="114"/>
      <c r="S453" s="114"/>
      <c r="T453" s="114"/>
      <c r="U453" s="114"/>
      <c r="V453" s="114"/>
      <c r="W453" s="114"/>
      <c r="X453" s="114"/>
      <c r="Y453" s="114"/>
      <c r="Z453" s="114"/>
    </row>
    <row r="454" spans="1:26" ht="15.75" customHeight="1" x14ac:dyDescent="0.25">
      <c r="A454" s="44" t="s">
        <v>393</v>
      </c>
      <c r="B454" s="41" t="s">
        <v>187</v>
      </c>
      <c r="C454" s="43">
        <v>56856</v>
      </c>
      <c r="D454" s="43">
        <v>29513.919999999998</v>
      </c>
      <c r="E454" s="43">
        <f>F454-D454</f>
        <v>15486.080000000002</v>
      </c>
      <c r="F454" s="43">
        <v>45000</v>
      </c>
      <c r="G454" s="43">
        <v>100000</v>
      </c>
      <c r="H454" s="114"/>
      <c r="I454" s="60"/>
      <c r="J454" s="60"/>
      <c r="K454" s="114"/>
      <c r="L454" s="114"/>
      <c r="M454" s="60"/>
      <c r="N454" s="60"/>
      <c r="O454" s="114"/>
      <c r="P454" s="114"/>
      <c r="Q454" s="114"/>
      <c r="R454" s="114"/>
      <c r="S454" s="114"/>
      <c r="T454" s="114"/>
      <c r="U454" s="114"/>
      <c r="V454" s="114"/>
      <c r="W454" s="114"/>
      <c r="X454" s="114"/>
      <c r="Y454" s="114"/>
      <c r="Z454" s="114"/>
    </row>
    <row r="455" spans="1:26" ht="15.75" customHeight="1" x14ac:dyDescent="0.25">
      <c r="A455" s="17" t="s">
        <v>499</v>
      </c>
      <c r="B455" s="41"/>
      <c r="C455" s="43"/>
      <c r="D455" s="43"/>
      <c r="E455" s="43"/>
      <c r="F455" s="43"/>
      <c r="G455" s="43"/>
      <c r="H455" s="114"/>
      <c r="I455" s="60"/>
      <c r="J455" s="60"/>
      <c r="K455" s="114"/>
      <c r="L455" s="114"/>
      <c r="M455" s="60"/>
      <c r="N455" s="60"/>
      <c r="O455" s="114"/>
      <c r="P455" s="114"/>
      <c r="Q455" s="114"/>
      <c r="R455" s="114"/>
      <c r="S455" s="114"/>
      <c r="T455" s="114"/>
      <c r="U455" s="114"/>
      <c r="V455" s="114"/>
      <c r="W455" s="114"/>
      <c r="X455" s="114"/>
      <c r="Y455" s="114"/>
      <c r="Z455" s="114"/>
    </row>
    <row r="456" spans="1:26" ht="15.75" customHeight="1" x14ac:dyDescent="0.25">
      <c r="A456" s="44" t="s">
        <v>398</v>
      </c>
      <c r="B456" s="41" t="s">
        <v>195</v>
      </c>
      <c r="C456" s="43">
        <v>150763</v>
      </c>
      <c r="D456" s="43">
        <v>124970.82</v>
      </c>
      <c r="E456" s="43">
        <f>F456-D456</f>
        <v>125039.18</v>
      </c>
      <c r="F456" s="43">
        <v>250010</v>
      </c>
      <c r="G456" s="43">
        <v>228571</v>
      </c>
      <c r="H456" s="114"/>
      <c r="I456" s="60"/>
      <c r="J456" s="60"/>
      <c r="K456" s="114"/>
      <c r="L456" s="114"/>
      <c r="M456" s="60"/>
      <c r="N456" s="60"/>
      <c r="O456" s="114"/>
      <c r="P456" s="114"/>
      <c r="Q456" s="114"/>
      <c r="R456" s="114"/>
      <c r="S456" s="114"/>
      <c r="T456" s="114"/>
      <c r="U456" s="114"/>
      <c r="V456" s="114"/>
      <c r="W456" s="114"/>
      <c r="X456" s="114"/>
      <c r="Y456" s="114"/>
      <c r="Z456" s="114"/>
    </row>
    <row r="457" spans="1:26" ht="15.75" customHeight="1" x14ac:dyDescent="0.25">
      <c r="A457" s="44" t="s">
        <v>400</v>
      </c>
      <c r="B457" s="41" t="s">
        <v>221</v>
      </c>
      <c r="C457" s="43">
        <v>0</v>
      </c>
      <c r="D457" s="43">
        <v>0</v>
      </c>
      <c r="E457" s="43">
        <v>0</v>
      </c>
      <c r="F457" s="43">
        <v>0</v>
      </c>
      <c r="G457" s="43">
        <v>179452</v>
      </c>
      <c r="H457" s="114"/>
      <c r="I457" s="60"/>
      <c r="J457" s="60"/>
      <c r="K457" s="114"/>
      <c r="L457" s="114"/>
      <c r="M457" s="60"/>
      <c r="N457" s="60"/>
      <c r="O457" s="114"/>
      <c r="P457" s="114"/>
      <c r="Q457" s="114"/>
      <c r="R457" s="114"/>
      <c r="S457" s="114"/>
      <c r="T457" s="114"/>
      <c r="U457" s="114"/>
      <c r="V457" s="114"/>
      <c r="W457" s="114"/>
      <c r="X457" s="114"/>
      <c r="Y457" s="114"/>
      <c r="Z457" s="114"/>
    </row>
    <row r="458" spans="1:26" ht="15.75" customHeight="1" x14ac:dyDescent="0.25">
      <c r="A458" s="44" t="s">
        <v>402</v>
      </c>
      <c r="B458" s="41" t="s">
        <v>225</v>
      </c>
      <c r="C458" s="43">
        <v>298486</v>
      </c>
      <c r="D458" s="43">
        <v>28761</v>
      </c>
      <c r="E458" s="43">
        <f>F458-D458</f>
        <v>132743</v>
      </c>
      <c r="F458" s="43">
        <v>161504</v>
      </c>
      <c r="G458" s="43">
        <v>94976</v>
      </c>
      <c r="H458" s="114"/>
      <c r="I458" s="60"/>
      <c r="J458" s="60"/>
      <c r="K458" s="114"/>
      <c r="L458" s="114"/>
      <c r="M458" s="60"/>
      <c r="N458" s="60"/>
      <c r="O458" s="114"/>
      <c r="P458" s="114"/>
      <c r="Q458" s="114"/>
      <c r="R458" s="114"/>
      <c r="S458" s="114"/>
      <c r="T458" s="114"/>
      <c r="U458" s="114"/>
      <c r="V458" s="114"/>
      <c r="W458" s="114"/>
      <c r="X458" s="114"/>
      <c r="Y458" s="114"/>
      <c r="Z458" s="114"/>
    </row>
    <row r="459" spans="1:26" ht="15.75" customHeight="1" x14ac:dyDescent="0.25">
      <c r="A459" s="17" t="s">
        <v>818</v>
      </c>
      <c r="B459" s="41"/>
      <c r="C459" s="43"/>
      <c r="D459" s="43"/>
      <c r="E459" s="43"/>
      <c r="F459" s="43"/>
      <c r="G459" s="43"/>
      <c r="H459" s="114"/>
      <c r="I459" s="60"/>
      <c r="J459" s="60"/>
      <c r="K459" s="114"/>
      <c r="L459" s="114"/>
      <c r="M459" s="60"/>
      <c r="N459" s="60"/>
      <c r="O459" s="114"/>
      <c r="P459" s="114"/>
      <c r="Q459" s="114"/>
      <c r="R459" s="114"/>
      <c r="S459" s="114"/>
      <c r="T459" s="114"/>
      <c r="U459" s="114"/>
      <c r="V459" s="114"/>
      <c r="W459" s="114"/>
      <c r="X459" s="114"/>
      <c r="Y459" s="114"/>
      <c r="Z459" s="114"/>
    </row>
    <row r="460" spans="1:26" ht="15.75" customHeight="1" x14ac:dyDescent="0.25">
      <c r="A460" s="44" t="s">
        <v>643</v>
      </c>
      <c r="B460" s="41" t="s">
        <v>233</v>
      </c>
      <c r="C460" s="43">
        <v>36987.49</v>
      </c>
      <c r="D460" s="43">
        <v>14972.25</v>
      </c>
      <c r="E460" s="43">
        <f t="shared" ref="E460:E461" si="78">F460-D460</f>
        <v>23427.75</v>
      </c>
      <c r="F460" s="43">
        <v>38400</v>
      </c>
      <c r="G460" s="43">
        <v>38400</v>
      </c>
      <c r="H460" s="114"/>
      <c r="I460" s="60"/>
      <c r="J460" s="60"/>
      <c r="K460" s="114"/>
      <c r="L460" s="114"/>
      <c r="M460" s="60"/>
      <c r="N460" s="60"/>
      <c r="O460" s="114"/>
      <c r="P460" s="114"/>
      <c r="Q460" s="114"/>
      <c r="R460" s="114"/>
      <c r="S460" s="114"/>
      <c r="T460" s="114"/>
      <c r="U460" s="114"/>
      <c r="V460" s="114"/>
      <c r="W460" s="114"/>
      <c r="X460" s="114"/>
      <c r="Y460" s="114"/>
      <c r="Z460" s="114"/>
    </row>
    <row r="461" spans="1:26" ht="15.75" customHeight="1" x14ac:dyDescent="0.25">
      <c r="A461" s="44" t="s">
        <v>405</v>
      </c>
      <c r="B461" s="41" t="s">
        <v>235</v>
      </c>
      <c r="C461" s="43">
        <v>18310.12</v>
      </c>
      <c r="D461" s="43">
        <v>6918.42</v>
      </c>
      <c r="E461" s="43">
        <f t="shared" si="78"/>
        <v>13081.58</v>
      </c>
      <c r="F461" s="43">
        <v>20000</v>
      </c>
      <c r="G461" s="43">
        <v>20000</v>
      </c>
      <c r="H461" s="114"/>
      <c r="I461" s="60"/>
      <c r="J461" s="60"/>
      <c r="K461" s="114"/>
      <c r="L461" s="114"/>
      <c r="M461" s="60"/>
      <c r="N461" s="60"/>
      <c r="O461" s="114"/>
      <c r="P461" s="114"/>
      <c r="Q461" s="114"/>
      <c r="R461" s="114"/>
      <c r="S461" s="114"/>
      <c r="T461" s="114"/>
      <c r="U461" s="114"/>
      <c r="V461" s="114"/>
      <c r="W461" s="114"/>
      <c r="X461" s="114"/>
      <c r="Y461" s="114"/>
      <c r="Z461" s="114"/>
    </row>
    <row r="462" spans="1:26" ht="15.75" customHeight="1" x14ac:dyDescent="0.25">
      <c r="A462" s="17" t="s">
        <v>424</v>
      </c>
      <c r="B462" s="41"/>
      <c r="C462" s="43"/>
      <c r="D462" s="43"/>
      <c r="E462" s="43"/>
      <c r="F462" s="43"/>
      <c r="G462" s="43"/>
      <c r="H462" s="114"/>
      <c r="I462" s="60"/>
      <c r="J462" s="60"/>
      <c r="K462" s="114"/>
      <c r="L462" s="114"/>
      <c r="M462" s="60"/>
      <c r="N462" s="60"/>
      <c r="O462" s="114"/>
      <c r="P462" s="114"/>
      <c r="Q462" s="114"/>
      <c r="R462" s="114"/>
      <c r="S462" s="114"/>
      <c r="T462" s="114"/>
      <c r="U462" s="114"/>
      <c r="V462" s="114"/>
      <c r="W462" s="114"/>
      <c r="X462" s="114"/>
      <c r="Y462" s="114"/>
      <c r="Z462" s="114"/>
    </row>
    <row r="463" spans="1:26" ht="15.75" customHeight="1" x14ac:dyDescent="0.25">
      <c r="A463" s="44" t="s">
        <v>424</v>
      </c>
      <c r="B463" s="41" t="s">
        <v>335</v>
      </c>
      <c r="C463" s="43">
        <v>2372604</v>
      </c>
      <c r="D463" s="43">
        <v>1052120</v>
      </c>
      <c r="E463" s="43">
        <f>F463-D463</f>
        <v>1344280</v>
      </c>
      <c r="F463" s="43">
        <v>2396400</v>
      </c>
      <c r="G463" s="43">
        <v>3261360</v>
      </c>
      <c r="H463" s="114"/>
      <c r="I463" s="60"/>
      <c r="J463" s="60"/>
      <c r="K463" s="114"/>
      <c r="L463" s="114"/>
      <c r="M463" s="60"/>
      <c r="N463" s="60"/>
      <c r="O463" s="114"/>
      <c r="P463" s="114"/>
      <c r="Q463" s="114"/>
      <c r="R463" s="114"/>
      <c r="S463" s="114"/>
      <c r="T463" s="114"/>
      <c r="U463" s="114"/>
      <c r="V463" s="114"/>
      <c r="W463" s="114"/>
      <c r="X463" s="114"/>
      <c r="Y463" s="114"/>
      <c r="Z463" s="114"/>
    </row>
    <row r="464" spans="1:26" ht="15.75" customHeight="1" x14ac:dyDescent="0.25">
      <c r="A464" s="44" t="s">
        <v>938</v>
      </c>
      <c r="B464" s="41"/>
      <c r="C464" s="43"/>
      <c r="D464" s="43"/>
      <c r="E464" s="43"/>
      <c r="F464" s="43"/>
      <c r="G464" s="43"/>
      <c r="H464" s="114"/>
      <c r="I464" s="60"/>
      <c r="J464" s="60"/>
      <c r="K464" s="114"/>
      <c r="L464" s="114"/>
      <c r="M464" s="60">
        <v>114000</v>
      </c>
      <c r="N464" s="60"/>
      <c r="O464" s="114"/>
      <c r="P464" s="114"/>
      <c r="Q464" s="114"/>
      <c r="R464" s="114"/>
      <c r="S464" s="114"/>
      <c r="T464" s="114"/>
      <c r="U464" s="114"/>
      <c r="V464" s="114"/>
      <c r="W464" s="114"/>
      <c r="X464" s="114"/>
      <c r="Y464" s="114"/>
      <c r="Z464" s="114"/>
    </row>
    <row r="465" spans="1:26" ht="31.5" x14ac:dyDescent="0.25">
      <c r="A465" s="118" t="s">
        <v>939</v>
      </c>
      <c r="B465" s="41"/>
      <c r="C465" s="43"/>
      <c r="D465" s="43"/>
      <c r="E465" s="43"/>
      <c r="F465" s="43"/>
      <c r="G465" s="43"/>
      <c r="H465" s="114"/>
      <c r="I465" s="60"/>
      <c r="J465" s="60"/>
      <c r="K465" s="114"/>
      <c r="L465" s="114"/>
      <c r="M465" s="60">
        <f>43*2000*12</f>
        <v>1032000</v>
      </c>
      <c r="N465" s="60"/>
      <c r="O465" s="114"/>
      <c r="P465" s="114"/>
      <c r="Q465" s="114"/>
      <c r="R465" s="114"/>
      <c r="S465" s="114"/>
      <c r="T465" s="114"/>
      <c r="U465" s="114"/>
      <c r="V465" s="114"/>
      <c r="W465" s="114"/>
      <c r="X465" s="114"/>
      <c r="Y465" s="114"/>
      <c r="Z465" s="114"/>
    </row>
    <row r="466" spans="1:26" ht="15.75" customHeight="1" x14ac:dyDescent="0.25">
      <c r="A466" s="44" t="s">
        <v>925</v>
      </c>
      <c r="B466" s="41"/>
      <c r="C466" s="43"/>
      <c r="D466" s="43"/>
      <c r="E466" s="43"/>
      <c r="F466" s="43"/>
      <c r="G466" s="43"/>
      <c r="H466" s="114"/>
      <c r="I466" s="210" t="s">
        <v>877</v>
      </c>
      <c r="J466" s="211" t="s">
        <v>878</v>
      </c>
      <c r="K466" s="210" t="s">
        <v>879</v>
      </c>
      <c r="L466" s="8" t="s">
        <v>880</v>
      </c>
      <c r="M466" s="210" t="s">
        <v>881</v>
      </c>
      <c r="N466" s="60"/>
      <c r="O466" s="114"/>
      <c r="P466" s="114"/>
      <c r="Q466" s="114"/>
      <c r="R466" s="114"/>
      <c r="S466" s="114"/>
      <c r="T466" s="114"/>
      <c r="U466" s="114"/>
      <c r="V466" s="114"/>
      <c r="W466" s="114"/>
      <c r="X466" s="114"/>
      <c r="Y466" s="114"/>
      <c r="Z466" s="114"/>
    </row>
    <row r="467" spans="1:26" ht="31.5" x14ac:dyDescent="0.25">
      <c r="A467" s="118" t="s">
        <v>940</v>
      </c>
      <c r="B467" s="41"/>
      <c r="C467" s="43"/>
      <c r="D467" s="43"/>
      <c r="E467" s="43"/>
      <c r="F467" s="43"/>
      <c r="G467" s="43"/>
      <c r="H467" s="114"/>
      <c r="I467" s="60">
        <v>678</v>
      </c>
      <c r="J467" s="211">
        <v>10</v>
      </c>
      <c r="K467" s="8">
        <v>26</v>
      </c>
      <c r="L467" s="8">
        <v>12</v>
      </c>
      <c r="M467" s="60">
        <f>I467*J467*K467*L467</f>
        <v>2115360</v>
      </c>
      <c r="N467" s="60">
        <f>M464+M465+M467</f>
        <v>3261360</v>
      </c>
      <c r="O467" s="114"/>
      <c r="P467" s="114"/>
      <c r="Q467" s="114"/>
      <c r="R467" s="114"/>
      <c r="S467" s="114"/>
      <c r="T467" s="114"/>
      <c r="U467" s="114"/>
      <c r="V467" s="114"/>
      <c r="W467" s="114"/>
      <c r="X467" s="114"/>
      <c r="Y467" s="114"/>
      <c r="Z467" s="114"/>
    </row>
    <row r="468" spans="1:26" ht="15.75" customHeight="1" x14ac:dyDescent="0.25">
      <c r="A468" s="42" t="s">
        <v>466</v>
      </c>
      <c r="B468" s="41"/>
      <c r="C468" s="54">
        <f t="shared" ref="C468:D468" si="79">SUM(C454:C463)</f>
        <v>2934006.61</v>
      </c>
      <c r="D468" s="54">
        <f t="shared" si="79"/>
        <v>1257256.4099999999</v>
      </c>
      <c r="E468" s="54">
        <f>F468-D468</f>
        <v>1654057.59</v>
      </c>
      <c r="F468" s="54">
        <f t="shared" ref="F468:G468" si="80">SUM(F454:F463)</f>
        <v>2911314</v>
      </c>
      <c r="G468" s="54">
        <f t="shared" si="80"/>
        <v>3922759</v>
      </c>
      <c r="H468" s="114"/>
      <c r="I468" s="60"/>
      <c r="J468" s="60"/>
      <c r="K468" s="114"/>
      <c r="L468" s="114"/>
      <c r="M468" s="60"/>
      <c r="N468" s="60"/>
      <c r="O468" s="114"/>
      <c r="P468" s="114"/>
      <c r="Q468" s="114"/>
      <c r="R468" s="114"/>
      <c r="S468" s="114"/>
      <c r="T468" s="114"/>
      <c r="U468" s="114"/>
      <c r="V468" s="114"/>
      <c r="W468" s="114"/>
      <c r="X468" s="114"/>
      <c r="Y468" s="114"/>
      <c r="Z468" s="114"/>
    </row>
    <row r="469" spans="1:26" ht="15.75" customHeight="1" x14ac:dyDescent="0.25">
      <c r="A469" s="17"/>
      <c r="B469" s="41"/>
      <c r="C469" s="55"/>
      <c r="D469" s="55"/>
      <c r="E469" s="43"/>
      <c r="F469" s="55"/>
      <c r="G469" s="55"/>
      <c r="H469" s="114"/>
      <c r="I469" s="60"/>
      <c r="J469" s="60"/>
      <c r="K469" s="114"/>
      <c r="L469" s="114"/>
      <c r="M469" s="60"/>
      <c r="N469" s="60"/>
      <c r="O469" s="114"/>
      <c r="P469" s="114"/>
      <c r="Q469" s="114"/>
      <c r="R469" s="114"/>
      <c r="S469" s="114"/>
      <c r="T469" s="114"/>
      <c r="U469" s="114"/>
      <c r="V469" s="114"/>
      <c r="W469" s="114"/>
      <c r="X469" s="114"/>
      <c r="Y469" s="114"/>
      <c r="Z469" s="114"/>
    </row>
    <row r="470" spans="1:26" ht="15.75" customHeight="1" x14ac:dyDescent="0.25">
      <c r="A470" s="17" t="s">
        <v>467</v>
      </c>
      <c r="B470" s="41"/>
      <c r="C470" s="43">
        <f t="shared" ref="C470:G470" si="81">C468</f>
        <v>2934006.61</v>
      </c>
      <c r="D470" s="43">
        <f t="shared" si="81"/>
        <v>1257256.4099999999</v>
      </c>
      <c r="E470" s="43">
        <f t="shared" si="81"/>
        <v>1654057.59</v>
      </c>
      <c r="F470" s="43">
        <f t="shared" si="81"/>
        <v>2911314</v>
      </c>
      <c r="G470" s="43">
        <f t="shared" si="81"/>
        <v>3922759</v>
      </c>
      <c r="H470" s="114"/>
      <c r="I470" s="60"/>
      <c r="J470" s="60"/>
      <c r="K470" s="114"/>
      <c r="L470" s="114"/>
      <c r="M470" s="60"/>
      <c r="N470" s="60"/>
      <c r="O470" s="114"/>
      <c r="P470" s="114"/>
      <c r="Q470" s="114"/>
      <c r="R470" s="114"/>
      <c r="S470" s="114"/>
      <c r="T470" s="114"/>
      <c r="U470" s="114"/>
      <c r="V470" s="114"/>
      <c r="W470" s="114"/>
      <c r="X470" s="114"/>
      <c r="Y470" s="114"/>
      <c r="Z470" s="114"/>
    </row>
    <row r="471" spans="1:26" ht="15.75" customHeight="1" x14ac:dyDescent="0.25">
      <c r="A471" s="17"/>
      <c r="B471" s="41"/>
      <c r="C471" s="43"/>
      <c r="D471" s="43"/>
      <c r="E471" s="43"/>
      <c r="F471" s="43"/>
      <c r="G471" s="43"/>
      <c r="H471" s="114"/>
      <c r="I471" s="60"/>
      <c r="J471" s="60"/>
      <c r="K471" s="114"/>
      <c r="L471" s="114"/>
      <c r="M471" s="60"/>
      <c r="N471" s="60"/>
      <c r="O471" s="114"/>
      <c r="P471" s="114"/>
      <c r="Q471" s="114"/>
      <c r="R471" s="114"/>
      <c r="S471" s="114"/>
      <c r="T471" s="114"/>
      <c r="U471" s="114"/>
      <c r="V471" s="114"/>
      <c r="W471" s="114"/>
      <c r="X471" s="114"/>
      <c r="Y471" s="114"/>
      <c r="Z471" s="114"/>
    </row>
    <row r="472" spans="1:26" ht="15.75" customHeight="1" x14ac:dyDescent="0.25">
      <c r="A472" s="160" t="s">
        <v>487</v>
      </c>
      <c r="B472" s="51" t="s">
        <v>488</v>
      </c>
      <c r="C472" s="79" t="e">
        <f>C470+#REF!</f>
        <v>#REF!</v>
      </c>
      <c r="D472" s="54" t="e">
        <f>D470+#REF!</f>
        <v>#REF!</v>
      </c>
      <c r="E472" s="54" t="e">
        <f>F472-D472</f>
        <v>#REF!</v>
      </c>
      <c r="F472" s="54" t="e">
        <f>F470+#REF!</f>
        <v>#REF!</v>
      </c>
      <c r="G472" s="54">
        <f>+G470</f>
        <v>3922759</v>
      </c>
      <c r="H472" s="114"/>
      <c r="I472" s="60"/>
      <c r="J472" s="60"/>
      <c r="K472" s="114"/>
      <c r="L472" s="114"/>
      <c r="M472" s="60"/>
      <c r="N472" s="60"/>
      <c r="O472" s="114"/>
      <c r="P472" s="114"/>
      <c r="Q472" s="114"/>
      <c r="R472" s="114"/>
      <c r="S472" s="114"/>
      <c r="T472" s="114"/>
      <c r="U472" s="114"/>
      <c r="V472" s="114"/>
      <c r="W472" s="114"/>
      <c r="X472" s="114"/>
      <c r="Y472" s="114"/>
      <c r="Z472" s="114"/>
    </row>
    <row r="473" spans="1:26" ht="15.75" customHeight="1" x14ac:dyDescent="0.25">
      <c r="A473" s="24"/>
      <c r="B473" s="25"/>
      <c r="C473" s="26"/>
      <c r="D473" s="26"/>
      <c r="E473" s="26"/>
      <c r="F473" s="26"/>
      <c r="G473" s="26"/>
      <c r="H473" s="114"/>
      <c r="I473" s="60"/>
      <c r="J473" s="60"/>
      <c r="K473" s="114"/>
      <c r="L473" s="114"/>
      <c r="M473" s="60"/>
      <c r="N473" s="60"/>
      <c r="O473" s="114"/>
      <c r="P473" s="114"/>
      <c r="Q473" s="114"/>
      <c r="R473" s="114"/>
      <c r="S473" s="114"/>
      <c r="T473" s="114"/>
      <c r="U473" s="114"/>
      <c r="V473" s="114"/>
      <c r="W473" s="114"/>
      <c r="X473" s="114"/>
      <c r="Y473" s="114"/>
      <c r="Z473" s="114"/>
    </row>
    <row r="474" spans="1:26" ht="15.75" customHeight="1" x14ac:dyDescent="0.25">
      <c r="A474" s="24"/>
      <c r="B474" s="25"/>
      <c r="C474" s="24"/>
      <c r="D474" s="24"/>
      <c r="E474" s="24"/>
      <c r="F474" s="15"/>
      <c r="G474" s="15"/>
      <c r="H474" s="15"/>
      <c r="I474" s="16"/>
      <c r="J474" s="16"/>
      <c r="K474" s="15"/>
      <c r="L474" s="15"/>
      <c r="M474" s="16"/>
      <c r="N474" s="16"/>
      <c r="O474" s="15"/>
      <c r="P474" s="15"/>
      <c r="Q474" s="15"/>
      <c r="R474" s="15"/>
      <c r="S474" s="15"/>
      <c r="T474" s="15"/>
      <c r="U474" s="15"/>
      <c r="V474" s="15"/>
      <c r="W474" s="15"/>
      <c r="X474" s="15"/>
      <c r="Y474" s="15"/>
      <c r="Z474" s="15"/>
    </row>
    <row r="475" spans="1:26" ht="12" customHeight="1" x14ac:dyDescent="0.25">
      <c r="A475" s="9"/>
      <c r="B475" s="104"/>
      <c r="C475" s="105"/>
      <c r="D475" s="105"/>
      <c r="E475" s="105"/>
      <c r="F475" s="10"/>
      <c r="G475" s="180"/>
      <c r="H475" s="15"/>
      <c r="I475" s="16"/>
      <c r="J475" s="16"/>
      <c r="K475" s="15"/>
      <c r="L475" s="15"/>
      <c r="M475" s="16"/>
      <c r="N475" s="16"/>
      <c r="O475" s="15"/>
      <c r="P475" s="15"/>
      <c r="Q475" s="15"/>
      <c r="R475" s="15"/>
      <c r="S475" s="15"/>
      <c r="T475" s="15"/>
      <c r="U475" s="15"/>
      <c r="V475" s="15"/>
      <c r="W475" s="15"/>
      <c r="X475" s="15"/>
      <c r="Y475" s="15"/>
      <c r="Z475" s="15"/>
    </row>
    <row r="476" spans="1:26" ht="12" customHeight="1" x14ac:dyDescent="0.25">
      <c r="A476" s="108" t="s">
        <v>942</v>
      </c>
      <c r="B476" s="25"/>
      <c r="C476" s="26"/>
      <c r="D476" s="26"/>
      <c r="E476" s="26"/>
      <c r="F476" s="14"/>
      <c r="G476" s="181"/>
      <c r="H476" s="15"/>
      <c r="I476" s="16"/>
      <c r="J476" s="16"/>
      <c r="K476" s="15"/>
      <c r="L476" s="15"/>
      <c r="M476" s="16"/>
      <c r="N476" s="16"/>
      <c r="O476" s="15"/>
      <c r="P476" s="15"/>
      <c r="Q476" s="15"/>
      <c r="R476" s="15"/>
      <c r="S476" s="15"/>
      <c r="T476" s="15"/>
      <c r="U476" s="15"/>
      <c r="V476" s="15"/>
      <c r="W476" s="15"/>
      <c r="X476" s="15"/>
      <c r="Y476" s="15"/>
      <c r="Z476" s="15"/>
    </row>
    <row r="477" spans="1:26" ht="12" customHeight="1" x14ac:dyDescent="0.25">
      <c r="A477" s="44"/>
      <c r="B477" s="25"/>
      <c r="C477" s="26"/>
      <c r="D477" s="26"/>
      <c r="E477" s="26"/>
      <c r="F477" s="14"/>
      <c r="G477" s="181"/>
      <c r="H477" s="15"/>
      <c r="I477" s="16"/>
      <c r="J477" s="16"/>
      <c r="K477" s="15"/>
      <c r="L477" s="15"/>
      <c r="M477" s="16"/>
      <c r="N477" s="16"/>
      <c r="O477" s="15"/>
      <c r="P477" s="15"/>
      <c r="Q477" s="15"/>
      <c r="R477" s="15"/>
      <c r="S477" s="15"/>
      <c r="T477" s="15"/>
      <c r="U477" s="15"/>
      <c r="V477" s="15"/>
      <c r="W477" s="15"/>
      <c r="X477" s="15"/>
      <c r="Y477" s="15"/>
      <c r="Z477" s="15"/>
    </row>
    <row r="478" spans="1:26" ht="12" customHeight="1" x14ac:dyDescent="0.25">
      <c r="A478" s="865" t="s">
        <v>352</v>
      </c>
      <c r="B478" s="866"/>
      <c r="C478" s="866"/>
      <c r="D478" s="866"/>
      <c r="E478" s="866"/>
      <c r="F478" s="866"/>
      <c r="G478" s="867"/>
      <c r="H478" s="15"/>
      <c r="I478" s="16"/>
      <c r="J478" s="16"/>
      <c r="K478" s="15"/>
      <c r="L478" s="15"/>
      <c r="M478" s="16"/>
      <c r="N478" s="16"/>
      <c r="O478" s="15"/>
      <c r="P478" s="15"/>
      <c r="Q478" s="15"/>
      <c r="R478" s="15"/>
      <c r="S478" s="15"/>
      <c r="T478" s="15"/>
      <c r="U478" s="15"/>
      <c r="V478" s="15"/>
      <c r="W478" s="15"/>
      <c r="X478" s="15"/>
      <c r="Y478" s="15"/>
      <c r="Z478" s="15"/>
    </row>
    <row r="479" spans="1:26" ht="12" customHeight="1" x14ac:dyDescent="0.25">
      <c r="A479" s="868" t="s">
        <v>353</v>
      </c>
      <c r="B479" s="857" t="s">
        <v>354</v>
      </c>
      <c r="C479" s="870" t="s">
        <v>355</v>
      </c>
      <c r="D479" s="872" t="s">
        <v>356</v>
      </c>
      <c r="E479" s="873"/>
      <c r="F479" s="874"/>
      <c r="G479" s="857" t="s">
        <v>357</v>
      </c>
      <c r="H479" s="15"/>
      <c r="I479" s="16"/>
      <c r="J479" s="16"/>
      <c r="K479" s="15"/>
      <c r="L479" s="15"/>
      <c r="M479" s="16"/>
      <c r="N479" s="16"/>
      <c r="O479" s="15"/>
      <c r="P479" s="15"/>
      <c r="Q479" s="15"/>
      <c r="R479" s="15"/>
      <c r="S479" s="15"/>
      <c r="T479" s="15"/>
      <c r="U479" s="15"/>
      <c r="V479" s="15"/>
      <c r="W479" s="15"/>
      <c r="X479" s="15"/>
      <c r="Y479" s="15"/>
      <c r="Z479" s="15"/>
    </row>
    <row r="480" spans="1:26" ht="12" customHeight="1" x14ac:dyDescent="0.25">
      <c r="A480" s="858"/>
      <c r="B480" s="858"/>
      <c r="C480" s="871"/>
      <c r="D480" s="28" t="s">
        <v>358</v>
      </c>
      <c r="E480" s="29" t="s">
        <v>359</v>
      </c>
      <c r="F480" s="875" t="s">
        <v>360</v>
      </c>
      <c r="G480" s="858"/>
      <c r="H480" s="15"/>
      <c r="I480" s="16"/>
      <c r="J480" s="16"/>
      <c r="K480" s="15"/>
      <c r="L480" s="15"/>
      <c r="M480" s="16"/>
      <c r="N480" s="16"/>
      <c r="O480" s="15"/>
      <c r="P480" s="15"/>
      <c r="Q480" s="15"/>
      <c r="R480" s="15"/>
      <c r="S480" s="15"/>
      <c r="T480" s="15"/>
      <c r="U480" s="15"/>
      <c r="V480" s="15"/>
      <c r="W480" s="15"/>
      <c r="X480" s="15"/>
      <c r="Y480" s="15"/>
      <c r="Z480" s="15"/>
    </row>
    <row r="481" spans="1:26" ht="12" customHeight="1" x14ac:dyDescent="0.25">
      <c r="A481" s="858"/>
      <c r="B481" s="858"/>
      <c r="C481" s="30" t="s">
        <v>361</v>
      </c>
      <c r="D481" s="31" t="s">
        <v>361</v>
      </c>
      <c r="E481" s="32" t="s">
        <v>362</v>
      </c>
      <c r="F481" s="860"/>
      <c r="G481" s="442" t="s">
        <v>2717</v>
      </c>
      <c r="H481" s="15"/>
      <c r="I481" s="16"/>
      <c r="J481" s="16"/>
      <c r="K481" s="15"/>
      <c r="L481" s="15"/>
      <c r="M481" s="16"/>
      <c r="N481" s="16"/>
      <c r="O481" s="15"/>
      <c r="P481" s="15"/>
      <c r="Q481" s="15"/>
      <c r="R481" s="15"/>
      <c r="S481" s="15"/>
      <c r="T481" s="15"/>
      <c r="U481" s="15"/>
      <c r="V481" s="15"/>
      <c r="W481" s="15"/>
      <c r="X481" s="15"/>
      <c r="Y481" s="15"/>
      <c r="Z481" s="15"/>
    </row>
    <row r="482" spans="1:26" ht="12" customHeight="1" x14ac:dyDescent="0.25">
      <c r="A482" s="869"/>
      <c r="B482" s="869"/>
      <c r="C482" s="33">
        <v>2024</v>
      </c>
      <c r="D482" s="34">
        <v>2025</v>
      </c>
      <c r="E482" s="35">
        <v>2025</v>
      </c>
      <c r="F482" s="34">
        <v>2025</v>
      </c>
      <c r="G482" s="36" t="s">
        <v>2668</v>
      </c>
      <c r="H482" s="15"/>
      <c r="I482" s="16"/>
      <c r="J482" s="16"/>
      <c r="K482" s="15"/>
      <c r="L482" s="15"/>
      <c r="M482" s="16"/>
      <c r="N482" s="16"/>
      <c r="O482" s="15"/>
      <c r="P482" s="15"/>
      <c r="Q482" s="15"/>
      <c r="R482" s="15"/>
      <c r="S482" s="15"/>
      <c r="T482" s="15"/>
      <c r="U482" s="15"/>
      <c r="V482" s="15"/>
      <c r="W482" s="15"/>
      <c r="X482" s="15"/>
      <c r="Y482" s="15"/>
      <c r="Z482" s="15"/>
    </row>
    <row r="483" spans="1:26" ht="12" customHeight="1" x14ac:dyDescent="0.25">
      <c r="A483" s="17" t="s">
        <v>364</v>
      </c>
      <c r="B483" s="41"/>
      <c r="C483" s="42"/>
      <c r="D483" s="42"/>
      <c r="E483" s="42"/>
      <c r="F483" s="42"/>
      <c r="G483" s="42"/>
      <c r="H483" s="114"/>
      <c r="I483" s="60"/>
      <c r="J483" s="60"/>
      <c r="K483" s="114"/>
      <c r="L483" s="114"/>
      <c r="M483" s="60"/>
      <c r="N483" s="60"/>
      <c r="O483" s="114"/>
      <c r="P483" s="114"/>
      <c r="Q483" s="114"/>
      <c r="R483" s="114"/>
      <c r="S483" s="114"/>
      <c r="T483" s="114"/>
      <c r="U483" s="114"/>
      <c r="V483" s="114"/>
      <c r="W483" s="114"/>
      <c r="X483" s="114"/>
      <c r="Y483" s="114"/>
      <c r="Z483" s="114"/>
    </row>
    <row r="484" spans="1:26" ht="12" customHeight="1" x14ac:dyDescent="0.25">
      <c r="A484" s="42" t="s">
        <v>491</v>
      </c>
      <c r="B484" s="49"/>
      <c r="C484" s="43"/>
      <c r="D484" s="43"/>
      <c r="E484" s="43"/>
      <c r="F484" s="43"/>
      <c r="G484" s="43"/>
      <c r="H484" s="114"/>
      <c r="I484" s="60"/>
      <c r="J484" s="60"/>
      <c r="K484" s="114"/>
      <c r="L484" s="114"/>
      <c r="M484" s="60"/>
      <c r="N484" s="60"/>
      <c r="O484" s="114"/>
      <c r="P484" s="114"/>
      <c r="Q484" s="114"/>
      <c r="R484" s="114"/>
      <c r="S484" s="114"/>
      <c r="T484" s="114"/>
      <c r="U484" s="114"/>
      <c r="V484" s="114"/>
      <c r="W484" s="114"/>
      <c r="X484" s="114"/>
      <c r="Y484" s="114"/>
      <c r="Z484" s="114"/>
    </row>
    <row r="485" spans="1:26" ht="12" customHeight="1" x14ac:dyDescent="0.25">
      <c r="A485" s="17" t="s">
        <v>499</v>
      </c>
      <c r="B485" s="41"/>
      <c r="C485" s="43"/>
      <c r="D485" s="43"/>
      <c r="E485" s="43"/>
      <c r="F485" s="43"/>
      <c r="G485" s="43"/>
      <c r="H485" s="114"/>
      <c r="I485" s="60"/>
      <c r="J485" s="60"/>
      <c r="K485" s="114"/>
      <c r="L485" s="114"/>
      <c r="M485" s="60"/>
      <c r="N485" s="60"/>
      <c r="O485" s="114"/>
      <c r="P485" s="114"/>
      <c r="Q485" s="114"/>
      <c r="R485" s="114"/>
      <c r="S485" s="114"/>
      <c r="T485" s="114"/>
      <c r="U485" s="114"/>
      <c r="V485" s="114"/>
      <c r="W485" s="114"/>
      <c r="X485" s="114"/>
      <c r="Y485" s="114"/>
      <c r="Z485" s="114"/>
    </row>
    <row r="486" spans="1:26" ht="12" customHeight="1" x14ac:dyDescent="0.25">
      <c r="A486" s="44" t="s">
        <v>398</v>
      </c>
      <c r="B486" s="41" t="s">
        <v>195</v>
      </c>
      <c r="C486" s="43">
        <v>9981</v>
      </c>
      <c r="D486" s="43">
        <v>0</v>
      </c>
      <c r="E486" s="43">
        <f>F486-D486</f>
        <v>10000</v>
      </c>
      <c r="F486" s="43">
        <v>10000</v>
      </c>
      <c r="G486" s="43">
        <v>5000</v>
      </c>
      <c r="H486" s="114"/>
      <c r="I486" s="60"/>
      <c r="J486" s="60"/>
      <c r="K486" s="114"/>
      <c r="L486" s="114"/>
      <c r="M486" s="60"/>
      <c r="N486" s="60"/>
      <c r="O486" s="114"/>
      <c r="P486" s="114"/>
      <c r="Q486" s="114"/>
      <c r="R486" s="114"/>
      <c r="S486" s="114"/>
      <c r="T486" s="114"/>
      <c r="U486" s="114"/>
      <c r="V486" s="114"/>
      <c r="W486" s="114"/>
      <c r="X486" s="114"/>
      <c r="Y486" s="114"/>
      <c r="Z486" s="114"/>
    </row>
    <row r="487" spans="1:26" ht="12" customHeight="1" x14ac:dyDescent="0.25">
      <c r="A487" s="17" t="s">
        <v>511</v>
      </c>
      <c r="B487" s="41"/>
      <c r="C487" s="43"/>
      <c r="D487" s="43"/>
      <c r="E487" s="43"/>
      <c r="F487" s="43"/>
      <c r="G487" s="43"/>
      <c r="H487" s="114"/>
      <c r="I487" s="60"/>
      <c r="J487" s="60"/>
      <c r="K487" s="114"/>
      <c r="L487" s="114"/>
      <c r="M487" s="60"/>
      <c r="N487" s="60"/>
      <c r="O487" s="114"/>
      <c r="P487" s="114"/>
      <c r="Q487" s="114"/>
      <c r="R487" s="114"/>
      <c r="S487" s="114"/>
      <c r="T487" s="114"/>
      <c r="U487" s="114"/>
      <c r="V487" s="114"/>
      <c r="W487" s="114"/>
      <c r="X487" s="114"/>
      <c r="Y487" s="114"/>
      <c r="Z487" s="114"/>
    </row>
    <row r="488" spans="1:26" ht="12" customHeight="1" x14ac:dyDescent="0.25">
      <c r="A488" s="44" t="s">
        <v>424</v>
      </c>
      <c r="B488" s="41" t="s">
        <v>335</v>
      </c>
      <c r="C488" s="43">
        <v>154500</v>
      </c>
      <c r="D488" s="43">
        <v>55500</v>
      </c>
      <c r="E488" s="43">
        <f>F488-D488</f>
        <v>144500</v>
      </c>
      <c r="F488" s="43">
        <v>200000</v>
      </c>
      <c r="G488" s="43">
        <v>241000</v>
      </c>
      <c r="H488" s="114"/>
      <c r="I488" s="60"/>
      <c r="J488" s="60"/>
      <c r="K488" s="114"/>
      <c r="L488" s="114"/>
      <c r="M488" s="60"/>
      <c r="N488" s="60"/>
      <c r="O488" s="114"/>
      <c r="P488" s="114"/>
      <c r="Q488" s="114"/>
      <c r="R488" s="114"/>
      <c r="S488" s="114"/>
      <c r="T488" s="114"/>
      <c r="U488" s="114"/>
      <c r="V488" s="114"/>
      <c r="W488" s="114"/>
      <c r="X488" s="114"/>
      <c r="Y488" s="114"/>
      <c r="Z488" s="114"/>
    </row>
    <row r="489" spans="1:26" ht="12" customHeight="1" x14ac:dyDescent="0.25">
      <c r="A489" s="44" t="s">
        <v>943</v>
      </c>
      <c r="B489" s="41"/>
      <c r="C489" s="43"/>
      <c r="D489" s="43"/>
      <c r="E489" s="43"/>
      <c r="F489" s="43"/>
      <c r="G489" s="43"/>
      <c r="H489" s="114"/>
      <c r="I489" s="60"/>
      <c r="J489" s="60"/>
      <c r="K489" s="114"/>
      <c r="L489" s="114"/>
      <c r="M489" s="60"/>
      <c r="N489" s="60"/>
      <c r="O489" s="114"/>
      <c r="P489" s="114"/>
      <c r="Q489" s="114"/>
      <c r="R489" s="114"/>
      <c r="S489" s="114"/>
      <c r="T489" s="114"/>
      <c r="U489" s="114"/>
      <c r="V489" s="114"/>
      <c r="W489" s="114"/>
      <c r="X489" s="114"/>
      <c r="Y489" s="114"/>
      <c r="Z489" s="114"/>
    </row>
    <row r="490" spans="1:26" ht="12" customHeight="1" x14ac:dyDescent="0.25">
      <c r="A490" s="44" t="s">
        <v>944</v>
      </c>
      <c r="B490" s="41"/>
      <c r="C490" s="43"/>
      <c r="D490" s="43"/>
      <c r="E490" s="43"/>
      <c r="F490" s="43"/>
      <c r="G490" s="43"/>
      <c r="H490" s="114"/>
      <c r="I490" s="60"/>
      <c r="J490" s="60"/>
      <c r="K490" s="114"/>
      <c r="L490" s="114"/>
      <c r="M490" s="60"/>
      <c r="N490" s="60"/>
      <c r="O490" s="114"/>
      <c r="P490" s="114"/>
      <c r="Q490" s="114"/>
      <c r="R490" s="114"/>
      <c r="S490" s="114"/>
      <c r="T490" s="114"/>
      <c r="U490" s="114"/>
      <c r="V490" s="114"/>
      <c r="W490" s="114"/>
      <c r="X490" s="114"/>
      <c r="Y490" s="114"/>
      <c r="Z490" s="114"/>
    </row>
    <row r="491" spans="1:26" ht="12" customHeight="1" x14ac:dyDescent="0.25">
      <c r="A491" s="42" t="s">
        <v>466</v>
      </c>
      <c r="B491" s="41"/>
      <c r="C491" s="54">
        <f t="shared" ref="C491:D491" si="82">SUM(C486:C488)</f>
        <v>164481</v>
      </c>
      <c r="D491" s="54">
        <f t="shared" si="82"/>
        <v>55500</v>
      </c>
      <c r="E491" s="54">
        <f>F491-D491</f>
        <v>154500</v>
      </c>
      <c r="F491" s="54">
        <f t="shared" ref="F491:G491" si="83">SUM(F486:F488)</f>
        <v>210000</v>
      </c>
      <c r="G491" s="54">
        <f t="shared" si="83"/>
        <v>246000</v>
      </c>
      <c r="H491" s="114"/>
      <c r="I491" s="60"/>
      <c r="J491" s="60"/>
      <c r="K491" s="114"/>
      <c r="L491" s="114"/>
      <c r="M491" s="60"/>
      <c r="N491" s="60"/>
      <c r="O491" s="114"/>
      <c r="P491" s="114"/>
      <c r="Q491" s="114"/>
      <c r="R491" s="114"/>
      <c r="S491" s="114"/>
      <c r="T491" s="114"/>
      <c r="U491" s="114"/>
      <c r="V491" s="114"/>
      <c r="W491" s="114"/>
      <c r="X491" s="114"/>
      <c r="Y491" s="114"/>
      <c r="Z491" s="114"/>
    </row>
    <row r="492" spans="1:26" ht="12" customHeight="1" x14ac:dyDescent="0.25">
      <c r="A492" s="17"/>
      <c r="B492" s="41"/>
      <c r="C492" s="43"/>
      <c r="D492" s="43"/>
      <c r="E492" s="43"/>
      <c r="F492" s="43"/>
      <c r="G492" s="43"/>
      <c r="H492" s="114"/>
      <c r="I492" s="60"/>
      <c r="J492" s="60"/>
      <c r="K492" s="114"/>
      <c r="L492" s="114"/>
      <c r="M492" s="60"/>
      <c r="N492" s="60"/>
      <c r="O492" s="114"/>
      <c r="P492" s="114"/>
      <c r="Q492" s="114"/>
      <c r="R492" s="114"/>
      <c r="S492" s="114"/>
      <c r="T492" s="114"/>
      <c r="U492" s="114"/>
      <c r="V492" s="114"/>
      <c r="W492" s="114"/>
      <c r="X492" s="114"/>
      <c r="Y492" s="114"/>
      <c r="Z492" s="114"/>
    </row>
    <row r="493" spans="1:26" ht="12" customHeight="1" x14ac:dyDescent="0.25">
      <c r="A493" s="17" t="s">
        <v>467</v>
      </c>
      <c r="B493" s="41"/>
      <c r="C493" s="43">
        <f t="shared" ref="C493:D493" si="84">C491</f>
        <v>164481</v>
      </c>
      <c r="D493" s="43">
        <f t="shared" si="84"/>
        <v>55500</v>
      </c>
      <c r="E493" s="43">
        <f>F493-D493</f>
        <v>154500</v>
      </c>
      <c r="F493" s="43">
        <f t="shared" ref="F493:G493" si="85">F491</f>
        <v>210000</v>
      </c>
      <c r="G493" s="43">
        <f t="shared" si="85"/>
        <v>246000</v>
      </c>
      <c r="H493" s="114"/>
      <c r="I493" s="60"/>
      <c r="J493" s="60"/>
      <c r="K493" s="114"/>
      <c r="L493" s="114"/>
      <c r="M493" s="60"/>
      <c r="N493" s="60"/>
      <c r="O493" s="114"/>
      <c r="P493" s="114"/>
      <c r="Q493" s="114"/>
      <c r="R493" s="114"/>
      <c r="S493" s="114"/>
      <c r="T493" s="114"/>
      <c r="U493" s="114"/>
      <c r="V493" s="114"/>
      <c r="W493" s="114"/>
      <c r="X493" s="114"/>
      <c r="Y493" s="114"/>
      <c r="Z493" s="114"/>
    </row>
    <row r="494" spans="1:26" ht="12" customHeight="1" x14ac:dyDescent="0.25">
      <c r="A494" s="44"/>
      <c r="B494" s="41"/>
      <c r="C494" s="43"/>
      <c r="D494" s="43"/>
      <c r="E494" s="43"/>
      <c r="F494" s="43"/>
      <c r="G494" s="43"/>
      <c r="H494" s="114"/>
      <c r="I494" s="60"/>
      <c r="J494" s="60"/>
      <c r="K494" s="114"/>
      <c r="L494" s="114"/>
      <c r="M494" s="60"/>
      <c r="N494" s="60"/>
      <c r="O494" s="114"/>
      <c r="P494" s="114"/>
      <c r="Q494" s="114"/>
      <c r="R494" s="114"/>
      <c r="S494" s="114"/>
      <c r="T494" s="114"/>
      <c r="U494" s="114"/>
      <c r="V494" s="114"/>
      <c r="W494" s="114"/>
      <c r="X494" s="114"/>
      <c r="Y494" s="114"/>
      <c r="Z494" s="114"/>
    </row>
    <row r="495" spans="1:26" ht="12" customHeight="1" x14ac:dyDescent="0.25">
      <c r="A495" s="160" t="s">
        <v>487</v>
      </c>
      <c r="B495" s="51" t="s">
        <v>488</v>
      </c>
      <c r="C495" s="54">
        <f t="shared" ref="C495:D495" si="86">C493</f>
        <v>164481</v>
      </c>
      <c r="D495" s="54">
        <f t="shared" si="86"/>
        <v>55500</v>
      </c>
      <c r="E495" s="54">
        <f>F495-D495</f>
        <v>154500</v>
      </c>
      <c r="F495" s="54">
        <f t="shared" ref="F495:G495" si="87">F493</f>
        <v>210000</v>
      </c>
      <c r="G495" s="54">
        <f t="shared" si="87"/>
        <v>246000</v>
      </c>
      <c r="H495" s="114"/>
      <c r="I495" s="60"/>
      <c r="J495" s="60"/>
      <c r="K495" s="114"/>
      <c r="L495" s="114"/>
      <c r="M495" s="60"/>
      <c r="N495" s="60"/>
      <c r="O495" s="114"/>
      <c r="P495" s="114"/>
      <c r="Q495" s="114"/>
      <c r="R495" s="114"/>
      <c r="S495" s="114"/>
      <c r="T495" s="114"/>
      <c r="U495" s="114"/>
      <c r="V495" s="114"/>
      <c r="W495" s="114"/>
      <c r="X495" s="114"/>
      <c r="Y495" s="114"/>
      <c r="Z495" s="114"/>
    </row>
    <row r="496" spans="1:26" ht="15.75" customHeight="1" x14ac:dyDescent="0.25">
      <c r="A496" s="24"/>
      <c r="B496" s="25"/>
      <c r="C496" s="26"/>
      <c r="D496" s="26"/>
      <c r="E496" s="26"/>
      <c r="F496" s="26"/>
      <c r="G496" s="26"/>
      <c r="H496" s="114"/>
      <c r="I496" s="60"/>
      <c r="J496" s="60"/>
      <c r="K496" s="114"/>
      <c r="L496" s="114"/>
      <c r="M496" s="60"/>
      <c r="N496" s="60"/>
      <c r="O496" s="114"/>
      <c r="P496" s="114"/>
      <c r="Q496" s="114"/>
      <c r="R496" s="114"/>
      <c r="S496" s="114"/>
      <c r="T496" s="114"/>
      <c r="U496" s="114"/>
      <c r="V496" s="114"/>
      <c r="W496" s="114"/>
      <c r="X496" s="114"/>
      <c r="Y496" s="114"/>
      <c r="Z496" s="114"/>
    </row>
    <row r="497" spans="1:26" ht="15.75" customHeight="1" x14ac:dyDescent="0.25">
      <c r="A497" s="24"/>
      <c r="B497" s="25"/>
      <c r="C497" s="24"/>
      <c r="D497" s="24"/>
      <c r="E497" s="24"/>
      <c r="F497" s="15"/>
      <c r="G497" s="15"/>
      <c r="H497" s="15"/>
      <c r="I497" s="16"/>
      <c r="J497" s="16"/>
      <c r="K497" s="15"/>
      <c r="L497" s="15"/>
      <c r="M497" s="16"/>
      <c r="N497" s="16"/>
      <c r="O497" s="15"/>
      <c r="P497" s="15"/>
      <c r="Q497" s="15"/>
      <c r="R497" s="15"/>
      <c r="S497" s="15"/>
      <c r="T497" s="15"/>
      <c r="U497" s="15"/>
      <c r="V497" s="15"/>
      <c r="W497" s="15"/>
      <c r="X497" s="15"/>
      <c r="Y497" s="15"/>
      <c r="Z497" s="15"/>
    </row>
    <row r="498" spans="1:26" ht="15.75" customHeight="1" x14ac:dyDescent="0.25">
      <c r="A498" s="9"/>
      <c r="B498" s="104"/>
      <c r="C498" s="105"/>
      <c r="D498" s="105"/>
      <c r="E498" s="105"/>
      <c r="F498" s="10"/>
      <c r="G498" s="180"/>
      <c r="H498" s="15"/>
      <c r="I498" s="16"/>
      <c r="J498" s="16"/>
      <c r="K498" s="15"/>
      <c r="L498" s="15"/>
      <c r="M498" s="16"/>
      <c r="N498" s="16"/>
      <c r="O498" s="15"/>
      <c r="P498" s="15"/>
      <c r="Q498" s="15"/>
      <c r="R498" s="15"/>
      <c r="S498" s="15"/>
      <c r="T498" s="15"/>
      <c r="U498" s="15"/>
      <c r="V498" s="15"/>
      <c r="W498" s="15"/>
      <c r="X498" s="15"/>
      <c r="Y498" s="15"/>
      <c r="Z498" s="15"/>
    </row>
    <row r="499" spans="1:26" ht="15.75" customHeight="1" x14ac:dyDescent="0.25">
      <c r="A499" s="108" t="s">
        <v>945</v>
      </c>
      <c r="B499" s="25"/>
      <c r="C499" s="26"/>
      <c r="D499" s="26"/>
      <c r="E499" s="26"/>
      <c r="F499" s="14"/>
      <c r="G499" s="181"/>
      <c r="H499" s="15"/>
      <c r="I499" s="16"/>
      <c r="J499" s="16"/>
      <c r="K499" s="15"/>
      <c r="L499" s="15"/>
      <c r="M499" s="16"/>
      <c r="N499" s="16"/>
      <c r="O499" s="15"/>
      <c r="P499" s="15"/>
      <c r="Q499" s="15"/>
      <c r="R499" s="15"/>
      <c r="S499" s="15"/>
      <c r="T499" s="15"/>
      <c r="U499" s="15"/>
      <c r="V499" s="15"/>
      <c r="W499" s="15"/>
      <c r="X499" s="15"/>
      <c r="Y499" s="15"/>
      <c r="Z499" s="15"/>
    </row>
    <row r="500" spans="1:26" ht="15.75" customHeight="1" x14ac:dyDescent="0.25">
      <c r="A500" s="44"/>
      <c r="B500" s="25"/>
      <c r="C500" s="26"/>
      <c r="D500" s="26"/>
      <c r="E500" s="26"/>
      <c r="F500" s="14"/>
      <c r="G500" s="181"/>
      <c r="H500" s="15"/>
      <c r="I500" s="16"/>
      <c r="J500" s="16"/>
      <c r="K500" s="15"/>
      <c r="L500" s="15"/>
      <c r="M500" s="16"/>
      <c r="N500" s="16"/>
      <c r="O500" s="15"/>
      <c r="P500" s="15"/>
      <c r="Q500" s="15"/>
      <c r="R500" s="15"/>
      <c r="S500" s="15"/>
      <c r="T500" s="15"/>
      <c r="U500" s="15"/>
      <c r="V500" s="15"/>
      <c r="W500" s="15"/>
      <c r="X500" s="15"/>
      <c r="Y500" s="15"/>
      <c r="Z500" s="15"/>
    </row>
    <row r="501" spans="1:26" ht="15.75" customHeight="1" x14ac:dyDescent="0.25">
      <c r="A501" s="865" t="s">
        <v>352</v>
      </c>
      <c r="B501" s="866"/>
      <c r="C501" s="866"/>
      <c r="D501" s="866"/>
      <c r="E501" s="866"/>
      <c r="F501" s="866"/>
      <c r="G501" s="867"/>
      <c r="H501" s="15"/>
      <c r="I501" s="16"/>
      <c r="J501" s="16"/>
      <c r="K501" s="15"/>
      <c r="L501" s="15"/>
      <c r="M501" s="16"/>
      <c r="N501" s="16"/>
      <c r="O501" s="15"/>
      <c r="P501" s="15"/>
      <c r="Q501" s="15"/>
      <c r="R501" s="15"/>
      <c r="S501" s="15"/>
      <c r="T501" s="15"/>
      <c r="U501" s="15"/>
      <c r="V501" s="15"/>
      <c r="W501" s="15"/>
      <c r="X501" s="15"/>
      <c r="Y501" s="15"/>
      <c r="Z501" s="15"/>
    </row>
    <row r="502" spans="1:26" ht="15.75" customHeight="1" x14ac:dyDescent="0.25">
      <c r="A502" s="868" t="s">
        <v>353</v>
      </c>
      <c r="B502" s="857" t="s">
        <v>354</v>
      </c>
      <c r="C502" s="870" t="s">
        <v>355</v>
      </c>
      <c r="D502" s="872" t="s">
        <v>356</v>
      </c>
      <c r="E502" s="873"/>
      <c r="F502" s="874"/>
      <c r="G502" s="857" t="s">
        <v>357</v>
      </c>
      <c r="H502" s="15"/>
      <c r="I502" s="16"/>
      <c r="J502" s="16"/>
      <c r="K502" s="15"/>
      <c r="L502" s="15"/>
      <c r="M502" s="16"/>
      <c r="N502" s="16"/>
      <c r="O502" s="15"/>
      <c r="P502" s="15"/>
      <c r="Q502" s="15"/>
      <c r="R502" s="15"/>
      <c r="S502" s="15"/>
      <c r="T502" s="15"/>
      <c r="U502" s="15"/>
      <c r="V502" s="15"/>
      <c r="W502" s="15"/>
      <c r="X502" s="15"/>
      <c r="Y502" s="15"/>
      <c r="Z502" s="15"/>
    </row>
    <row r="503" spans="1:26" ht="15.75" customHeight="1" x14ac:dyDescent="0.25">
      <c r="A503" s="858"/>
      <c r="B503" s="858"/>
      <c r="C503" s="871"/>
      <c r="D503" s="28" t="s">
        <v>358</v>
      </c>
      <c r="E503" s="29" t="s">
        <v>359</v>
      </c>
      <c r="F503" s="875" t="s">
        <v>360</v>
      </c>
      <c r="G503" s="858"/>
      <c r="H503" s="15"/>
      <c r="I503" s="16"/>
      <c r="J503" s="16"/>
      <c r="K503" s="15"/>
      <c r="L503" s="15"/>
      <c r="M503" s="16"/>
      <c r="N503" s="16"/>
      <c r="O503" s="15"/>
      <c r="P503" s="15"/>
      <c r="Q503" s="15"/>
      <c r="R503" s="15"/>
      <c r="S503" s="15"/>
      <c r="T503" s="15"/>
      <c r="U503" s="15"/>
      <c r="V503" s="15"/>
      <c r="W503" s="15"/>
      <c r="X503" s="15"/>
      <c r="Y503" s="15"/>
      <c r="Z503" s="15"/>
    </row>
    <row r="504" spans="1:26" ht="15.75" customHeight="1" x14ac:dyDescent="0.25">
      <c r="A504" s="858"/>
      <c r="B504" s="858"/>
      <c r="C504" s="30" t="s">
        <v>361</v>
      </c>
      <c r="D504" s="31" t="s">
        <v>361</v>
      </c>
      <c r="E504" s="32" t="s">
        <v>362</v>
      </c>
      <c r="F504" s="860"/>
      <c r="G504" s="442" t="s">
        <v>2717</v>
      </c>
      <c r="H504" s="15"/>
      <c r="I504" s="16"/>
      <c r="J504" s="16"/>
      <c r="K504" s="15"/>
      <c r="L504" s="15"/>
      <c r="M504" s="16"/>
      <c r="N504" s="16"/>
      <c r="O504" s="15"/>
      <c r="P504" s="15"/>
      <c r="Q504" s="15"/>
      <c r="R504" s="15"/>
      <c r="S504" s="15"/>
      <c r="T504" s="15"/>
      <c r="U504" s="15"/>
      <c r="V504" s="15"/>
      <c r="W504" s="15"/>
      <c r="X504" s="15"/>
      <c r="Y504" s="15"/>
      <c r="Z504" s="15"/>
    </row>
    <row r="505" spans="1:26" ht="15.75" customHeight="1" x14ac:dyDescent="0.25">
      <c r="A505" s="869"/>
      <c r="B505" s="869"/>
      <c r="C505" s="33">
        <v>2024</v>
      </c>
      <c r="D505" s="34">
        <v>2025</v>
      </c>
      <c r="E505" s="35">
        <v>2025</v>
      </c>
      <c r="F505" s="34">
        <v>2025</v>
      </c>
      <c r="G505" s="36" t="s">
        <v>2668</v>
      </c>
      <c r="H505" s="15"/>
      <c r="I505" s="16"/>
      <c r="J505" s="16"/>
      <c r="K505" s="15"/>
      <c r="L505" s="15"/>
      <c r="M505" s="16"/>
      <c r="N505" s="16"/>
      <c r="O505" s="15"/>
      <c r="P505" s="15"/>
      <c r="Q505" s="15"/>
      <c r="R505" s="15"/>
      <c r="S505" s="15"/>
      <c r="T505" s="15"/>
      <c r="U505" s="15"/>
      <c r="V505" s="15"/>
      <c r="W505" s="15"/>
      <c r="X505" s="15"/>
      <c r="Y505" s="15"/>
      <c r="Z505" s="15"/>
    </row>
    <row r="506" spans="1:26" ht="15.75" customHeight="1" x14ac:dyDescent="0.25">
      <c r="A506" s="17" t="s">
        <v>364</v>
      </c>
      <c r="B506" s="41"/>
      <c r="C506" s="42"/>
      <c r="D506" s="42"/>
      <c r="E506" s="42"/>
      <c r="F506" s="42"/>
      <c r="G506" s="42"/>
      <c r="H506" s="114"/>
      <c r="I506" s="60"/>
      <c r="J506" s="60"/>
      <c r="K506" s="114"/>
      <c r="L506" s="114"/>
      <c r="M506" s="60"/>
      <c r="N506" s="60"/>
      <c r="O506" s="114"/>
      <c r="P506" s="114"/>
      <c r="Q506" s="114"/>
      <c r="R506" s="114"/>
      <c r="S506" s="114"/>
      <c r="T506" s="114"/>
      <c r="U506" s="114"/>
      <c r="V506" s="114"/>
      <c r="W506" s="114"/>
      <c r="X506" s="114"/>
      <c r="Y506" s="114"/>
      <c r="Z506" s="114"/>
    </row>
    <row r="507" spans="1:26" ht="15.75" customHeight="1" x14ac:dyDescent="0.25">
      <c r="A507" s="42" t="s">
        <v>491</v>
      </c>
      <c r="B507" s="49"/>
      <c r="C507" s="43"/>
      <c r="D507" s="43"/>
      <c r="E507" s="43"/>
      <c r="F507" s="43"/>
      <c r="G507" s="43"/>
      <c r="H507" s="114"/>
      <c r="I507" s="60"/>
      <c r="J507" s="60"/>
      <c r="K507" s="114"/>
      <c r="L507" s="114"/>
      <c r="M507" s="60"/>
      <c r="N507" s="60"/>
      <c r="O507" s="114"/>
      <c r="P507" s="114"/>
      <c r="Q507" s="114"/>
      <c r="R507" s="114"/>
      <c r="S507" s="114"/>
      <c r="T507" s="114"/>
      <c r="U507" s="114"/>
      <c r="V507" s="114"/>
      <c r="W507" s="114"/>
      <c r="X507" s="114"/>
      <c r="Y507" s="114"/>
      <c r="Z507" s="114"/>
    </row>
    <row r="508" spans="1:26" ht="15.75" customHeight="1" x14ac:dyDescent="0.25">
      <c r="A508" s="17" t="s">
        <v>424</v>
      </c>
      <c r="B508" s="41"/>
      <c r="C508" s="43"/>
      <c r="D508" s="43"/>
      <c r="E508" s="43"/>
      <c r="F508" s="192"/>
      <c r="G508" s="192"/>
      <c r="H508" s="114"/>
      <c r="I508" s="60"/>
      <c r="J508" s="60"/>
      <c r="K508" s="114"/>
      <c r="L508" s="114"/>
      <c r="M508" s="60"/>
      <c r="N508" s="60"/>
      <c r="O508" s="114"/>
      <c r="P508" s="114"/>
      <c r="Q508" s="114"/>
      <c r="R508" s="114"/>
      <c r="S508" s="114"/>
      <c r="T508" s="114"/>
      <c r="U508" s="114"/>
      <c r="V508" s="114"/>
      <c r="W508" s="114"/>
      <c r="X508" s="114"/>
      <c r="Y508" s="114"/>
      <c r="Z508" s="114"/>
    </row>
    <row r="509" spans="1:26" ht="15.75" customHeight="1" x14ac:dyDescent="0.25">
      <c r="A509" s="44" t="s">
        <v>424</v>
      </c>
      <c r="B509" s="41" t="s">
        <v>335</v>
      </c>
      <c r="C509" s="43">
        <v>9577145.1799999997</v>
      </c>
      <c r="D509" s="43">
        <v>0</v>
      </c>
      <c r="E509" s="43">
        <f t="shared" ref="E509:E510" si="88">F509-D509</f>
        <v>10000000</v>
      </c>
      <c r="F509" s="43">
        <v>10000000</v>
      </c>
      <c r="G509" s="43">
        <v>10000000</v>
      </c>
      <c r="H509" s="114"/>
      <c r="I509" s="60"/>
      <c r="J509" s="60"/>
      <c r="K509" s="114"/>
      <c r="L509" s="114"/>
      <c r="M509" s="60"/>
      <c r="N509" s="60"/>
      <c r="O509" s="114"/>
      <c r="P509" s="114"/>
      <c r="Q509" s="114"/>
      <c r="R509" s="114"/>
      <c r="S509" s="114"/>
      <c r="T509" s="114"/>
      <c r="U509" s="114"/>
      <c r="V509" s="114"/>
      <c r="W509" s="114"/>
      <c r="X509" s="114"/>
      <c r="Y509" s="114"/>
      <c r="Z509" s="114"/>
    </row>
    <row r="510" spans="1:26" ht="15.75" customHeight="1" x14ac:dyDescent="0.25">
      <c r="A510" s="42" t="s">
        <v>466</v>
      </c>
      <c r="B510" s="41"/>
      <c r="C510" s="54">
        <f t="shared" ref="C510:D510" si="89">SUM(C508:C509)</f>
        <v>9577145.1799999997</v>
      </c>
      <c r="D510" s="54">
        <f t="shared" si="89"/>
        <v>0</v>
      </c>
      <c r="E510" s="54">
        <f t="shared" si="88"/>
        <v>10000000</v>
      </c>
      <c r="F510" s="54">
        <f>SUM(F508:F509)</f>
        <v>10000000</v>
      </c>
      <c r="G510" s="54">
        <f>+F510</f>
        <v>10000000</v>
      </c>
      <c r="H510" s="114"/>
      <c r="I510" s="60"/>
      <c r="J510" s="60"/>
      <c r="K510" s="114"/>
      <c r="L510" s="114"/>
      <c r="M510" s="60"/>
      <c r="N510" s="60"/>
      <c r="O510" s="114"/>
      <c r="P510" s="114"/>
      <c r="Q510" s="114"/>
      <c r="R510" s="114"/>
      <c r="S510" s="114"/>
      <c r="T510" s="114"/>
      <c r="U510" s="114"/>
      <c r="V510" s="114"/>
      <c r="W510" s="114"/>
      <c r="X510" s="114"/>
      <c r="Y510" s="114"/>
      <c r="Z510" s="114"/>
    </row>
    <row r="511" spans="1:26" ht="15.75" customHeight="1" x14ac:dyDescent="0.25">
      <c r="A511" s="17"/>
      <c r="B511" s="41"/>
      <c r="C511" s="55"/>
      <c r="D511" s="55"/>
      <c r="E511" s="43"/>
      <c r="F511" s="55"/>
      <c r="G511" s="55"/>
      <c r="H511" s="114"/>
      <c r="I511" s="60"/>
      <c r="J511" s="60"/>
      <c r="K511" s="114"/>
      <c r="L511" s="114"/>
      <c r="M511" s="60"/>
      <c r="N511" s="60"/>
      <c r="O511" s="114"/>
      <c r="P511" s="114"/>
      <c r="Q511" s="114"/>
      <c r="R511" s="114"/>
      <c r="S511" s="114"/>
      <c r="T511" s="114"/>
      <c r="U511" s="114"/>
      <c r="V511" s="114"/>
      <c r="W511" s="114"/>
      <c r="X511" s="114"/>
      <c r="Y511" s="114"/>
      <c r="Z511" s="114"/>
    </row>
    <row r="512" spans="1:26" ht="15.75" customHeight="1" x14ac:dyDescent="0.25">
      <c r="A512" s="17" t="s">
        <v>467</v>
      </c>
      <c r="B512" s="41"/>
      <c r="C512" s="43">
        <f t="shared" ref="C512:D512" si="90">C510</f>
        <v>9577145.1799999997</v>
      </c>
      <c r="D512" s="43">
        <f t="shared" si="90"/>
        <v>0</v>
      </c>
      <c r="E512" s="43">
        <f>F512-D512</f>
        <v>10000000</v>
      </c>
      <c r="F512" s="43">
        <f t="shared" ref="F512:G512" si="91">F510</f>
        <v>10000000</v>
      </c>
      <c r="G512" s="43">
        <f t="shared" si="91"/>
        <v>10000000</v>
      </c>
      <c r="H512" s="114"/>
      <c r="I512" s="60"/>
      <c r="J512" s="60"/>
      <c r="K512" s="114"/>
      <c r="L512" s="114"/>
      <c r="M512" s="60"/>
      <c r="N512" s="60"/>
      <c r="O512" s="114"/>
      <c r="P512" s="114"/>
      <c r="Q512" s="114"/>
      <c r="R512" s="114"/>
      <c r="S512" s="114"/>
      <c r="T512" s="114"/>
      <c r="U512" s="114"/>
      <c r="V512" s="114"/>
      <c r="W512" s="114"/>
      <c r="X512" s="114"/>
      <c r="Y512" s="114"/>
      <c r="Z512" s="114"/>
    </row>
    <row r="513" spans="1:26" ht="15.75" customHeight="1" x14ac:dyDescent="0.25">
      <c r="A513" s="17"/>
      <c r="B513" s="41"/>
      <c r="C513" s="43"/>
      <c r="D513" s="43"/>
      <c r="E513" s="43"/>
      <c r="F513" s="43"/>
      <c r="G513" s="43"/>
      <c r="H513" s="114"/>
      <c r="I513" s="60"/>
      <c r="J513" s="60"/>
      <c r="K513" s="114"/>
      <c r="L513" s="114"/>
      <c r="M513" s="60"/>
      <c r="N513" s="60"/>
      <c r="O513" s="114"/>
      <c r="P513" s="114"/>
      <c r="Q513" s="114"/>
      <c r="R513" s="114"/>
      <c r="S513" s="114"/>
      <c r="T513" s="114"/>
      <c r="U513" s="114"/>
      <c r="V513" s="114"/>
      <c r="W513" s="114"/>
      <c r="X513" s="114"/>
      <c r="Y513" s="114"/>
      <c r="Z513" s="114"/>
    </row>
    <row r="514" spans="1:26" ht="15.75" customHeight="1" x14ac:dyDescent="0.25">
      <c r="A514" s="50" t="s">
        <v>487</v>
      </c>
      <c r="B514" s="51" t="s">
        <v>488</v>
      </c>
      <c r="C514" s="54">
        <f t="shared" ref="C514:D514" si="92">C512</f>
        <v>9577145.1799999997</v>
      </c>
      <c r="D514" s="54">
        <f t="shared" si="92"/>
        <v>0</v>
      </c>
      <c r="E514" s="54">
        <f>F514-D514</f>
        <v>10000000</v>
      </c>
      <c r="F514" s="54">
        <f t="shared" ref="F514:G514" si="93">F512</f>
        <v>10000000</v>
      </c>
      <c r="G514" s="54">
        <f t="shared" si="93"/>
        <v>10000000</v>
      </c>
      <c r="H514" s="114"/>
      <c r="I514" s="60"/>
      <c r="J514" s="60"/>
      <c r="K514" s="114"/>
      <c r="L514" s="114"/>
      <c r="M514" s="60"/>
      <c r="N514" s="60"/>
      <c r="O514" s="114"/>
      <c r="P514" s="114"/>
      <c r="Q514" s="114"/>
      <c r="R514" s="114"/>
      <c r="S514" s="114"/>
      <c r="T514" s="114"/>
      <c r="U514" s="114"/>
      <c r="V514" s="114"/>
      <c r="W514" s="114"/>
      <c r="X514" s="114"/>
      <c r="Y514" s="114"/>
      <c r="Z514" s="114"/>
    </row>
    <row r="515" spans="1:26" ht="15.75" customHeight="1" x14ac:dyDescent="0.25">
      <c r="A515" s="24"/>
      <c r="B515" s="25"/>
      <c r="C515" s="26"/>
      <c r="D515" s="26"/>
      <c r="E515" s="26"/>
      <c r="F515" s="26"/>
      <c r="G515" s="26"/>
      <c r="H515" s="114"/>
      <c r="I515" s="60"/>
      <c r="J515" s="60"/>
      <c r="K515" s="114"/>
      <c r="L515" s="114"/>
      <c r="M515" s="60"/>
      <c r="N515" s="60"/>
      <c r="O515" s="114"/>
      <c r="P515" s="114"/>
      <c r="Q515" s="114"/>
      <c r="R515" s="114"/>
      <c r="S515" s="114"/>
      <c r="T515" s="114"/>
      <c r="U515" s="114"/>
      <c r="V515" s="114"/>
      <c r="W515" s="114"/>
      <c r="X515" s="114"/>
      <c r="Y515" s="114"/>
      <c r="Z515" s="114"/>
    </row>
    <row r="516" spans="1:26" ht="15.75" customHeight="1" x14ac:dyDescent="0.25">
      <c r="A516" s="24"/>
      <c r="B516" s="25"/>
      <c r="C516" s="26"/>
      <c r="D516" s="26"/>
      <c r="E516" s="26"/>
      <c r="F516" s="26"/>
      <c r="G516" s="26"/>
      <c r="H516" s="114"/>
      <c r="I516" s="60"/>
      <c r="J516" s="60"/>
      <c r="K516" s="114"/>
      <c r="L516" s="114"/>
      <c r="M516" s="60"/>
      <c r="N516" s="60"/>
      <c r="O516" s="114"/>
      <c r="P516" s="114"/>
      <c r="Q516" s="114"/>
      <c r="R516" s="114"/>
      <c r="S516" s="114"/>
      <c r="T516" s="114"/>
      <c r="U516" s="114"/>
      <c r="V516" s="114"/>
      <c r="W516" s="114"/>
      <c r="X516" s="114"/>
      <c r="Y516" s="114"/>
      <c r="Z516" s="114"/>
    </row>
    <row r="517" spans="1:26" ht="15.75" customHeight="1" x14ac:dyDescent="0.25">
      <c r="A517" s="9"/>
      <c r="B517" s="104"/>
      <c r="C517" s="105"/>
      <c r="D517" s="105"/>
      <c r="E517" s="105"/>
      <c r="F517" s="10"/>
      <c r="G517" s="180"/>
      <c r="H517" s="15"/>
      <c r="I517" s="16"/>
      <c r="J517" s="16"/>
      <c r="K517" s="15"/>
      <c r="L517" s="15"/>
      <c r="M517" s="16"/>
      <c r="N517" s="16"/>
      <c r="O517" s="15"/>
      <c r="P517" s="15"/>
      <c r="Q517" s="15"/>
      <c r="R517" s="15"/>
      <c r="S517" s="15"/>
      <c r="T517" s="15"/>
      <c r="U517" s="15"/>
      <c r="V517" s="15"/>
      <c r="W517" s="15"/>
      <c r="X517" s="15"/>
      <c r="Y517" s="15"/>
      <c r="Z517" s="15"/>
    </row>
    <row r="518" spans="1:26" ht="15.75" customHeight="1" x14ac:dyDescent="0.25">
      <c r="A518" s="108" t="s">
        <v>946</v>
      </c>
      <c r="B518" s="25"/>
      <c r="C518" s="26"/>
      <c r="D518" s="26"/>
      <c r="E518" s="26"/>
      <c r="F518" s="14"/>
      <c r="G518" s="181"/>
      <c r="H518" s="15"/>
      <c r="I518" s="16"/>
      <c r="J518" s="16"/>
      <c r="K518" s="15"/>
      <c r="L518" s="15"/>
      <c r="M518" s="16"/>
      <c r="N518" s="16"/>
      <c r="O518" s="15"/>
      <c r="P518" s="15"/>
      <c r="Q518" s="15"/>
      <c r="R518" s="15"/>
      <c r="S518" s="15"/>
      <c r="T518" s="15"/>
      <c r="U518" s="15"/>
      <c r="V518" s="15"/>
      <c r="W518" s="15"/>
      <c r="X518" s="15"/>
      <c r="Y518" s="15"/>
      <c r="Z518" s="15"/>
    </row>
    <row r="519" spans="1:26" ht="15.75" customHeight="1" x14ac:dyDescent="0.25">
      <c r="A519" s="44"/>
      <c r="B519" s="25"/>
      <c r="C519" s="26"/>
      <c r="D519" s="26"/>
      <c r="E519" s="26"/>
      <c r="F519" s="14"/>
      <c r="G519" s="181"/>
      <c r="H519" s="15"/>
      <c r="I519" s="16"/>
      <c r="J519" s="16"/>
      <c r="K519" s="15"/>
      <c r="L519" s="15"/>
      <c r="M519" s="16"/>
      <c r="N519" s="16"/>
      <c r="O519" s="15"/>
      <c r="P519" s="15"/>
      <c r="Q519" s="15"/>
      <c r="R519" s="15"/>
      <c r="S519" s="15"/>
      <c r="T519" s="15"/>
      <c r="U519" s="15"/>
      <c r="V519" s="15"/>
      <c r="W519" s="15"/>
      <c r="X519" s="15"/>
      <c r="Y519" s="15"/>
      <c r="Z519" s="15"/>
    </row>
    <row r="520" spans="1:26" ht="15.75" customHeight="1" x14ac:dyDescent="0.25">
      <c r="A520" s="865" t="s">
        <v>352</v>
      </c>
      <c r="B520" s="866"/>
      <c r="C520" s="866"/>
      <c r="D520" s="866"/>
      <c r="E520" s="866"/>
      <c r="F520" s="866"/>
      <c r="G520" s="867"/>
      <c r="H520" s="15"/>
      <c r="I520" s="16"/>
      <c r="J520" s="16"/>
      <c r="K520" s="15"/>
      <c r="L520" s="15"/>
      <c r="M520" s="16"/>
      <c r="N520" s="16"/>
      <c r="O520" s="15"/>
      <c r="P520" s="15"/>
      <c r="Q520" s="15"/>
      <c r="R520" s="15"/>
      <c r="S520" s="15"/>
      <c r="T520" s="15"/>
      <c r="U520" s="15"/>
      <c r="V520" s="15"/>
      <c r="W520" s="15"/>
      <c r="X520" s="15"/>
      <c r="Y520" s="15"/>
      <c r="Z520" s="15"/>
    </row>
    <row r="521" spans="1:26" ht="15.75" customHeight="1" x14ac:dyDescent="0.25">
      <c r="A521" s="868" t="s">
        <v>353</v>
      </c>
      <c r="B521" s="857" t="s">
        <v>354</v>
      </c>
      <c r="C521" s="870" t="s">
        <v>355</v>
      </c>
      <c r="D521" s="872" t="s">
        <v>356</v>
      </c>
      <c r="E521" s="873"/>
      <c r="F521" s="874"/>
      <c r="G521" s="857" t="s">
        <v>357</v>
      </c>
      <c r="H521" s="15"/>
      <c r="I521" s="16"/>
      <c r="J521" s="16"/>
      <c r="K521" s="15"/>
      <c r="L521" s="15"/>
      <c r="M521" s="16"/>
      <c r="N521" s="16"/>
      <c r="O521" s="15"/>
      <c r="P521" s="15"/>
      <c r="Q521" s="15"/>
      <c r="R521" s="15"/>
      <c r="S521" s="15"/>
      <c r="T521" s="15"/>
      <c r="U521" s="15"/>
      <c r="V521" s="15"/>
      <c r="W521" s="15"/>
      <c r="X521" s="15"/>
      <c r="Y521" s="15"/>
      <c r="Z521" s="15"/>
    </row>
    <row r="522" spans="1:26" ht="15.75" customHeight="1" x14ac:dyDescent="0.25">
      <c r="A522" s="858"/>
      <c r="B522" s="858"/>
      <c r="C522" s="871"/>
      <c r="D522" s="28" t="s">
        <v>358</v>
      </c>
      <c r="E522" s="29" t="s">
        <v>359</v>
      </c>
      <c r="F522" s="876" t="s">
        <v>360</v>
      </c>
      <c r="G522" s="858"/>
      <c r="H522" s="15"/>
      <c r="I522" s="16"/>
      <c r="J522" s="16"/>
      <c r="K522" s="15"/>
      <c r="L522" s="15"/>
      <c r="M522" s="16"/>
      <c r="N522" s="16"/>
      <c r="O522" s="15"/>
      <c r="P522" s="15"/>
      <c r="Q522" s="15"/>
      <c r="R522" s="15"/>
      <c r="S522" s="15"/>
      <c r="T522" s="15"/>
      <c r="U522" s="15"/>
      <c r="V522" s="15"/>
      <c r="W522" s="15"/>
      <c r="X522" s="15"/>
      <c r="Y522" s="15"/>
      <c r="Z522" s="15"/>
    </row>
    <row r="523" spans="1:26" ht="15.75" customHeight="1" x14ac:dyDescent="0.25">
      <c r="A523" s="858"/>
      <c r="B523" s="858"/>
      <c r="C523" s="30" t="s">
        <v>361</v>
      </c>
      <c r="D523" s="31" t="s">
        <v>361</v>
      </c>
      <c r="E523" s="32" t="s">
        <v>362</v>
      </c>
      <c r="F523" s="877"/>
      <c r="G523" s="442" t="s">
        <v>2717</v>
      </c>
      <c r="H523" s="15"/>
      <c r="I523" s="16"/>
      <c r="J523" s="16"/>
      <c r="K523" s="15"/>
      <c r="L523" s="15"/>
      <c r="M523" s="16"/>
      <c r="N523" s="16"/>
      <c r="O523" s="15"/>
      <c r="P523" s="15"/>
      <c r="Q523" s="15"/>
      <c r="R523" s="15"/>
      <c r="S523" s="15"/>
      <c r="T523" s="15"/>
      <c r="U523" s="15"/>
      <c r="V523" s="15"/>
      <c r="W523" s="15"/>
      <c r="X523" s="15"/>
      <c r="Y523" s="15"/>
      <c r="Z523" s="15"/>
    </row>
    <row r="524" spans="1:26" ht="15.75" customHeight="1" x14ac:dyDescent="0.25">
      <c r="A524" s="869"/>
      <c r="B524" s="869"/>
      <c r="C524" s="33">
        <v>2024</v>
      </c>
      <c r="D524" s="34">
        <v>2025</v>
      </c>
      <c r="E524" s="35">
        <v>2025</v>
      </c>
      <c r="F524" s="216">
        <v>2025</v>
      </c>
      <c r="G524" s="36" t="s">
        <v>2668</v>
      </c>
      <c r="H524" s="15"/>
      <c r="I524" s="16"/>
      <c r="J524" s="16"/>
      <c r="K524" s="15"/>
      <c r="L524" s="15"/>
      <c r="M524" s="16"/>
      <c r="N524" s="16"/>
      <c r="O524" s="15"/>
      <c r="P524" s="15"/>
      <c r="Q524" s="15"/>
      <c r="R524" s="15"/>
      <c r="S524" s="15"/>
      <c r="T524" s="15"/>
      <c r="U524" s="15"/>
      <c r="V524" s="15"/>
      <c r="W524" s="15"/>
      <c r="X524" s="15"/>
      <c r="Y524" s="15"/>
      <c r="Z524" s="15"/>
    </row>
    <row r="525" spans="1:26" ht="15.75" customHeight="1" x14ac:dyDescent="0.25">
      <c r="A525" s="9" t="s">
        <v>364</v>
      </c>
      <c r="B525" s="38"/>
      <c r="C525" s="42"/>
      <c r="D525" s="42"/>
      <c r="E525" s="42"/>
      <c r="F525" s="42"/>
      <c r="G525" s="37"/>
      <c r="H525" s="114"/>
      <c r="I525" s="60"/>
      <c r="J525" s="60"/>
      <c r="K525" s="114"/>
      <c r="L525" s="114"/>
      <c r="M525" s="60"/>
      <c r="N525" s="60"/>
      <c r="O525" s="114"/>
      <c r="P525" s="114"/>
      <c r="Q525" s="114"/>
      <c r="R525" s="114"/>
      <c r="S525" s="114"/>
      <c r="T525" s="114"/>
      <c r="U525" s="114"/>
      <c r="V525" s="114"/>
      <c r="W525" s="114"/>
      <c r="X525" s="114"/>
      <c r="Y525" s="114"/>
      <c r="Z525" s="114"/>
    </row>
    <row r="526" spans="1:26" ht="15.75" customHeight="1" x14ac:dyDescent="0.25">
      <c r="A526" s="42" t="s">
        <v>491</v>
      </c>
      <c r="B526" s="49"/>
      <c r="C526" s="43"/>
      <c r="D526" s="43"/>
      <c r="E526" s="43"/>
      <c r="F526" s="43"/>
      <c r="G526" s="43"/>
      <c r="H526" s="114"/>
      <c r="I526" s="60"/>
      <c r="J526" s="60"/>
      <c r="K526" s="114"/>
      <c r="L526" s="114"/>
      <c r="M526" s="60"/>
      <c r="N526" s="60"/>
      <c r="O526" s="114"/>
      <c r="P526" s="114"/>
      <c r="Q526" s="114"/>
      <c r="R526" s="114"/>
      <c r="S526" s="114"/>
      <c r="T526" s="114"/>
      <c r="U526" s="114"/>
      <c r="V526" s="114"/>
      <c r="W526" s="114"/>
      <c r="X526" s="114"/>
      <c r="Y526" s="114"/>
      <c r="Z526" s="114"/>
    </row>
    <row r="527" spans="1:26" ht="15.75" customHeight="1" x14ac:dyDescent="0.25">
      <c r="A527" s="146" t="s">
        <v>947</v>
      </c>
      <c r="B527" s="49"/>
      <c r="C527" s="43"/>
      <c r="D527" s="43"/>
      <c r="E527" s="43"/>
      <c r="F527" s="43"/>
      <c r="G527" s="43"/>
      <c r="H527" s="114"/>
      <c r="I527" s="60"/>
      <c r="J527" s="60"/>
      <c r="K527" s="114"/>
      <c r="L527" s="114"/>
      <c r="M527" s="60"/>
      <c r="N527" s="60"/>
      <c r="O527" s="114"/>
      <c r="P527" s="114"/>
      <c r="Q527" s="114"/>
      <c r="R527" s="114"/>
      <c r="S527" s="114"/>
      <c r="T527" s="114"/>
      <c r="U527" s="114"/>
      <c r="V527" s="114"/>
      <c r="W527" s="114"/>
      <c r="X527" s="114"/>
      <c r="Y527" s="114"/>
      <c r="Z527" s="114"/>
    </row>
    <row r="528" spans="1:26" ht="15.75" customHeight="1" x14ac:dyDescent="0.25">
      <c r="A528" s="74" t="s">
        <v>402</v>
      </c>
      <c r="B528" s="49" t="s">
        <v>225</v>
      </c>
      <c r="C528" s="43"/>
      <c r="D528" s="43">
        <v>3998720</v>
      </c>
      <c r="E528" s="43">
        <f>F528-D528</f>
        <v>1280</v>
      </c>
      <c r="F528" s="43">
        <v>4000000</v>
      </c>
      <c r="G528" s="43">
        <v>4000000</v>
      </c>
      <c r="H528" s="114"/>
      <c r="I528" s="60"/>
      <c r="J528" s="60"/>
      <c r="K528" s="114"/>
      <c r="L528" s="114"/>
      <c r="M528" s="60"/>
      <c r="N528" s="60"/>
      <c r="O528" s="114"/>
      <c r="P528" s="114"/>
      <c r="Q528" s="114"/>
      <c r="R528" s="114"/>
      <c r="S528" s="114"/>
      <c r="T528" s="114"/>
      <c r="U528" s="114"/>
      <c r="V528" s="114"/>
      <c r="W528" s="114"/>
      <c r="X528" s="114"/>
      <c r="Y528" s="114"/>
      <c r="Z528" s="114"/>
    </row>
    <row r="529" spans="1:26" ht="15.75" customHeight="1" x14ac:dyDescent="0.25">
      <c r="A529" s="17" t="s">
        <v>424</v>
      </c>
      <c r="B529" s="41"/>
      <c r="C529" s="43"/>
      <c r="D529" s="43"/>
      <c r="E529" s="43"/>
      <c r="F529" s="43"/>
      <c r="G529" s="43"/>
      <c r="H529" s="114"/>
      <c r="I529" s="60"/>
      <c r="J529" s="60"/>
      <c r="K529" s="114"/>
      <c r="L529" s="114"/>
      <c r="M529" s="60"/>
      <c r="N529" s="60"/>
      <c r="O529" s="114"/>
      <c r="P529" s="114"/>
      <c r="Q529" s="114"/>
      <c r="R529" s="114"/>
      <c r="S529" s="114"/>
      <c r="T529" s="114"/>
      <c r="U529" s="114"/>
      <c r="V529" s="114"/>
      <c r="W529" s="114"/>
      <c r="X529" s="114"/>
      <c r="Y529" s="114"/>
      <c r="Z529" s="114"/>
    </row>
    <row r="530" spans="1:26" ht="15.75" customHeight="1" x14ac:dyDescent="0.25">
      <c r="A530" s="44" t="s">
        <v>424</v>
      </c>
      <c r="B530" s="41" t="s">
        <v>335</v>
      </c>
      <c r="C530" s="43">
        <v>6981818</v>
      </c>
      <c r="D530" s="43">
        <v>3647500</v>
      </c>
      <c r="E530" s="43">
        <f>F530-D530</f>
        <v>2352500</v>
      </c>
      <c r="F530" s="43">
        <v>6000000</v>
      </c>
      <c r="G530" s="43">
        <v>6000000</v>
      </c>
      <c r="H530" s="114"/>
      <c r="I530" s="60"/>
      <c r="J530" s="60"/>
      <c r="K530" s="114"/>
      <c r="L530" s="114"/>
      <c r="M530" s="60"/>
      <c r="N530" s="60"/>
      <c r="O530" s="114"/>
      <c r="P530" s="114"/>
      <c r="Q530" s="114"/>
      <c r="R530" s="114"/>
      <c r="S530" s="114"/>
      <c r="T530" s="114"/>
      <c r="U530" s="114"/>
      <c r="V530" s="114"/>
      <c r="W530" s="114"/>
      <c r="X530" s="114"/>
      <c r="Y530" s="114"/>
      <c r="Z530" s="114"/>
    </row>
    <row r="531" spans="1:26" ht="15.75" customHeight="1" x14ac:dyDescent="0.25">
      <c r="A531" s="42" t="s">
        <v>466</v>
      </c>
      <c r="B531" s="41"/>
      <c r="C531" s="54">
        <f t="shared" ref="C531:F531" si="94">SUM(C528:C530)</f>
        <v>6981818</v>
      </c>
      <c r="D531" s="54">
        <f t="shared" si="94"/>
        <v>7646220</v>
      </c>
      <c r="E531" s="54">
        <f t="shared" si="94"/>
        <v>2353780</v>
      </c>
      <c r="F531" s="54">
        <f t="shared" si="94"/>
        <v>10000000</v>
      </c>
      <c r="G531" s="54">
        <f>+F531</f>
        <v>10000000</v>
      </c>
      <c r="H531" s="114"/>
      <c r="I531" s="60"/>
      <c r="J531" s="60"/>
      <c r="K531" s="114"/>
      <c r="L531" s="114"/>
      <c r="M531" s="60"/>
      <c r="N531" s="60"/>
      <c r="O531" s="114"/>
      <c r="P531" s="114"/>
      <c r="Q531" s="114"/>
      <c r="R531" s="114"/>
      <c r="S531" s="114"/>
      <c r="T531" s="114"/>
      <c r="U531" s="114"/>
      <c r="V531" s="114"/>
      <c r="W531" s="114"/>
      <c r="X531" s="114"/>
      <c r="Y531" s="114"/>
      <c r="Z531" s="114"/>
    </row>
    <row r="532" spans="1:26" ht="15.75" customHeight="1" x14ac:dyDescent="0.25">
      <c r="A532" s="17"/>
      <c r="B532" s="41"/>
      <c r="C532" s="55"/>
      <c r="D532" s="55"/>
      <c r="E532" s="43"/>
      <c r="F532" s="55"/>
      <c r="G532" s="55"/>
      <c r="H532" s="114"/>
      <c r="I532" s="60"/>
      <c r="J532" s="60"/>
      <c r="K532" s="114"/>
      <c r="L532" s="114"/>
      <c r="M532" s="60"/>
      <c r="N532" s="60"/>
      <c r="O532" s="114"/>
      <c r="P532" s="114"/>
      <c r="Q532" s="114"/>
      <c r="R532" s="114"/>
      <c r="S532" s="114"/>
      <c r="T532" s="114"/>
      <c r="U532" s="114"/>
      <c r="V532" s="114"/>
      <c r="W532" s="114"/>
      <c r="X532" s="114"/>
      <c r="Y532" s="114"/>
      <c r="Z532" s="114"/>
    </row>
    <row r="533" spans="1:26" ht="15.75" customHeight="1" x14ac:dyDescent="0.25">
      <c r="A533" s="17" t="s">
        <v>467</v>
      </c>
      <c r="B533" s="41"/>
      <c r="C533" s="43">
        <f t="shared" ref="C533:D533" si="95">C531</f>
        <v>6981818</v>
      </c>
      <c r="D533" s="43">
        <f t="shared" si="95"/>
        <v>7646220</v>
      </c>
      <c r="E533" s="43">
        <f>F533-D533</f>
        <v>2353780</v>
      </c>
      <c r="F533" s="43">
        <f t="shared" ref="F533:G533" si="96">F531</f>
        <v>10000000</v>
      </c>
      <c r="G533" s="43">
        <f t="shared" si="96"/>
        <v>10000000</v>
      </c>
      <c r="H533" s="114"/>
      <c r="I533" s="60"/>
      <c r="J533" s="60"/>
      <c r="K533" s="114"/>
      <c r="L533" s="114"/>
      <c r="M533" s="60"/>
      <c r="N533" s="60"/>
      <c r="O533" s="114"/>
      <c r="P533" s="114"/>
      <c r="Q533" s="114"/>
      <c r="R533" s="114"/>
      <c r="S533" s="114"/>
      <c r="T533" s="114"/>
      <c r="U533" s="114"/>
      <c r="V533" s="114"/>
      <c r="W533" s="114"/>
      <c r="X533" s="114"/>
      <c r="Y533" s="114"/>
      <c r="Z533" s="114"/>
    </row>
    <row r="534" spans="1:26" ht="15.75" customHeight="1" x14ac:dyDescent="0.25">
      <c r="A534" s="152"/>
      <c r="B534" s="152"/>
      <c r="C534" s="152"/>
      <c r="D534" s="152"/>
      <c r="E534" s="43"/>
      <c r="F534" s="152"/>
      <c r="G534" s="152"/>
      <c r="H534" s="114"/>
      <c r="I534" s="60"/>
      <c r="J534" s="60"/>
      <c r="K534" s="114"/>
      <c r="L534" s="114"/>
      <c r="M534" s="60"/>
      <c r="N534" s="60"/>
      <c r="O534" s="114"/>
      <c r="P534" s="114"/>
      <c r="Q534" s="114"/>
      <c r="R534" s="114"/>
      <c r="S534" s="114"/>
      <c r="T534" s="114"/>
      <c r="U534" s="114"/>
      <c r="V534" s="114"/>
      <c r="W534" s="114"/>
      <c r="X534" s="114"/>
      <c r="Y534" s="114"/>
      <c r="Z534" s="114"/>
    </row>
    <row r="535" spans="1:26" ht="15.75" customHeight="1" x14ac:dyDescent="0.25">
      <c r="A535" s="50" t="s">
        <v>487</v>
      </c>
      <c r="B535" s="51" t="s">
        <v>488</v>
      </c>
      <c r="C535" s="54">
        <f t="shared" ref="C535:D535" si="97">C533</f>
        <v>6981818</v>
      </c>
      <c r="D535" s="54">
        <f t="shared" si="97"/>
        <v>7646220</v>
      </c>
      <c r="E535" s="54">
        <f>F535-D535</f>
        <v>2353780</v>
      </c>
      <c r="F535" s="54">
        <f t="shared" ref="F535:G535" si="98">F533</f>
        <v>10000000</v>
      </c>
      <c r="G535" s="54">
        <f t="shared" si="98"/>
        <v>10000000</v>
      </c>
      <c r="H535" s="114"/>
      <c r="I535" s="60"/>
      <c r="J535" s="60"/>
      <c r="K535" s="114"/>
      <c r="L535" s="114"/>
      <c r="M535" s="60"/>
      <c r="N535" s="60"/>
      <c r="O535" s="114"/>
      <c r="P535" s="114"/>
      <c r="Q535" s="114"/>
      <c r="R535" s="114"/>
      <c r="S535" s="114"/>
      <c r="T535" s="114"/>
      <c r="U535" s="114"/>
      <c r="V535" s="114"/>
      <c r="W535" s="114"/>
      <c r="X535" s="114"/>
      <c r="Y535" s="114"/>
      <c r="Z535" s="114"/>
    </row>
    <row r="536" spans="1:26" ht="15.75" customHeight="1" x14ac:dyDescent="0.25">
      <c r="A536" s="24"/>
      <c r="B536" s="25"/>
      <c r="C536" s="26"/>
      <c r="D536" s="26"/>
      <c r="E536" s="26"/>
      <c r="F536" s="26"/>
      <c r="G536" s="26"/>
      <c r="H536" s="114"/>
      <c r="I536" s="60"/>
      <c r="J536" s="60"/>
      <c r="K536" s="114"/>
      <c r="L536" s="114"/>
      <c r="M536" s="60"/>
      <c r="N536" s="60"/>
      <c r="O536" s="114"/>
      <c r="P536" s="114"/>
      <c r="Q536" s="114"/>
      <c r="R536" s="114"/>
      <c r="S536" s="114"/>
      <c r="T536" s="114"/>
      <c r="U536" s="114"/>
      <c r="V536" s="114"/>
      <c r="W536" s="114"/>
      <c r="X536" s="114"/>
      <c r="Y536" s="114"/>
      <c r="Z536" s="114"/>
    </row>
    <row r="537" spans="1:26" ht="15.75" customHeight="1" x14ac:dyDescent="0.25">
      <c r="A537" s="24"/>
      <c r="B537" s="25"/>
      <c r="C537" s="24"/>
      <c r="D537" s="24"/>
      <c r="E537" s="24"/>
      <c r="F537" s="15"/>
      <c r="G537" s="15"/>
      <c r="H537" s="15"/>
      <c r="I537" s="16"/>
      <c r="J537" s="16"/>
      <c r="K537" s="15"/>
      <c r="L537" s="15"/>
      <c r="M537" s="16"/>
      <c r="N537" s="16"/>
      <c r="O537" s="15"/>
      <c r="P537" s="15"/>
      <c r="Q537" s="15"/>
      <c r="R537" s="15"/>
      <c r="S537" s="15"/>
      <c r="T537" s="15"/>
      <c r="U537" s="15"/>
      <c r="V537" s="15"/>
      <c r="W537" s="15"/>
      <c r="X537" s="15"/>
      <c r="Y537" s="15"/>
      <c r="Z537" s="15"/>
    </row>
    <row r="538" spans="1:26" ht="15.75" customHeight="1" x14ac:dyDescent="0.25">
      <c r="A538" s="9"/>
      <c r="B538" s="104"/>
      <c r="C538" s="105"/>
      <c r="D538" s="105"/>
      <c r="E538" s="105"/>
      <c r="F538" s="10"/>
      <c r="G538" s="180"/>
      <c r="H538" s="15"/>
      <c r="I538" s="16"/>
      <c r="J538" s="16"/>
      <c r="K538" s="15"/>
      <c r="L538" s="15"/>
      <c r="M538" s="16"/>
      <c r="N538" s="16"/>
      <c r="O538" s="15"/>
      <c r="P538" s="15"/>
      <c r="Q538" s="15"/>
      <c r="R538" s="15"/>
      <c r="S538" s="15"/>
      <c r="T538" s="15"/>
      <c r="U538" s="15"/>
      <c r="V538" s="15"/>
      <c r="W538" s="15"/>
      <c r="X538" s="15"/>
      <c r="Y538" s="15"/>
      <c r="Z538" s="15"/>
    </row>
    <row r="539" spans="1:26" ht="15.75" customHeight="1" x14ac:dyDescent="0.25">
      <c r="A539" s="108" t="s">
        <v>948</v>
      </c>
      <c r="B539" s="25"/>
      <c r="C539" s="26"/>
      <c r="D539" s="26"/>
      <c r="E539" s="26"/>
      <c r="F539" s="14"/>
      <c r="G539" s="181"/>
      <c r="H539" s="15"/>
      <c r="I539" s="16"/>
      <c r="J539" s="16"/>
      <c r="K539" s="15"/>
      <c r="L539" s="15"/>
      <c r="M539" s="16"/>
      <c r="N539" s="16"/>
      <c r="O539" s="15"/>
      <c r="P539" s="15"/>
      <c r="Q539" s="15"/>
      <c r="R539" s="15"/>
      <c r="S539" s="15"/>
      <c r="T539" s="15"/>
      <c r="U539" s="15"/>
      <c r="V539" s="15"/>
      <c r="W539" s="15"/>
      <c r="X539" s="15"/>
      <c r="Y539" s="15"/>
      <c r="Z539" s="15"/>
    </row>
    <row r="540" spans="1:26" ht="15.75" customHeight="1" x14ac:dyDescent="0.25">
      <c r="A540" s="44"/>
      <c r="B540" s="25"/>
      <c r="C540" s="26"/>
      <c r="D540" s="26"/>
      <c r="E540" s="26"/>
      <c r="F540" s="14"/>
      <c r="G540" s="181"/>
      <c r="H540" s="15"/>
      <c r="I540" s="16"/>
      <c r="J540" s="16"/>
      <c r="K540" s="15"/>
      <c r="L540" s="15"/>
      <c r="M540" s="16"/>
      <c r="N540" s="16"/>
      <c r="O540" s="15"/>
      <c r="P540" s="15"/>
      <c r="Q540" s="15"/>
      <c r="R540" s="15"/>
      <c r="S540" s="15"/>
      <c r="T540" s="15"/>
      <c r="U540" s="15"/>
      <c r="V540" s="15"/>
      <c r="W540" s="15"/>
      <c r="X540" s="15"/>
      <c r="Y540" s="15"/>
      <c r="Z540" s="15"/>
    </row>
    <row r="541" spans="1:26" ht="15.75" customHeight="1" x14ac:dyDescent="0.25">
      <c r="A541" s="865" t="s">
        <v>352</v>
      </c>
      <c r="B541" s="866"/>
      <c r="C541" s="866"/>
      <c r="D541" s="866"/>
      <c r="E541" s="866"/>
      <c r="F541" s="866"/>
      <c r="G541" s="867"/>
      <c r="H541" s="15"/>
      <c r="I541" s="16"/>
      <c r="J541" s="16"/>
      <c r="K541" s="15"/>
      <c r="L541" s="15"/>
      <c r="M541" s="16"/>
      <c r="N541" s="16"/>
      <c r="O541" s="15"/>
      <c r="P541" s="15"/>
      <c r="Q541" s="15"/>
      <c r="R541" s="15"/>
      <c r="S541" s="15"/>
      <c r="T541" s="15"/>
      <c r="U541" s="15"/>
      <c r="V541" s="15"/>
      <c r="W541" s="15"/>
      <c r="X541" s="15"/>
      <c r="Y541" s="15"/>
      <c r="Z541" s="15"/>
    </row>
    <row r="542" spans="1:26" ht="15.75" customHeight="1" x14ac:dyDescent="0.25">
      <c r="A542" s="868" t="s">
        <v>353</v>
      </c>
      <c r="B542" s="857" t="s">
        <v>354</v>
      </c>
      <c r="C542" s="870" t="s">
        <v>355</v>
      </c>
      <c r="D542" s="872" t="s">
        <v>356</v>
      </c>
      <c r="E542" s="873"/>
      <c r="F542" s="874"/>
      <c r="G542" s="857" t="s">
        <v>357</v>
      </c>
      <c r="H542" s="15"/>
      <c r="I542" s="16"/>
      <c r="J542" s="16"/>
      <c r="K542" s="15"/>
      <c r="L542" s="15"/>
      <c r="M542" s="16"/>
      <c r="N542" s="16"/>
      <c r="O542" s="15"/>
      <c r="P542" s="15"/>
      <c r="Q542" s="15"/>
      <c r="R542" s="15"/>
      <c r="S542" s="15"/>
      <c r="T542" s="15"/>
      <c r="U542" s="15"/>
      <c r="V542" s="15"/>
      <c r="W542" s="15"/>
      <c r="X542" s="15"/>
      <c r="Y542" s="15"/>
      <c r="Z542" s="15"/>
    </row>
    <row r="543" spans="1:26" ht="15.75" customHeight="1" x14ac:dyDescent="0.25">
      <c r="A543" s="858"/>
      <c r="B543" s="858"/>
      <c r="C543" s="871"/>
      <c r="D543" s="28" t="s">
        <v>358</v>
      </c>
      <c r="E543" s="29" t="s">
        <v>359</v>
      </c>
      <c r="F543" s="875" t="s">
        <v>360</v>
      </c>
      <c r="G543" s="858"/>
      <c r="H543" s="15"/>
      <c r="I543" s="16"/>
      <c r="J543" s="16"/>
      <c r="K543" s="15"/>
      <c r="L543" s="15"/>
      <c r="M543" s="16"/>
      <c r="N543" s="16"/>
      <c r="O543" s="15"/>
      <c r="P543" s="15"/>
      <c r="Q543" s="15"/>
      <c r="R543" s="15"/>
      <c r="S543" s="15"/>
      <c r="T543" s="15"/>
      <c r="U543" s="15"/>
      <c r="V543" s="15"/>
      <c r="W543" s="15"/>
      <c r="X543" s="15"/>
      <c r="Y543" s="15"/>
      <c r="Z543" s="15"/>
    </row>
    <row r="544" spans="1:26" ht="15.75" customHeight="1" x14ac:dyDescent="0.25">
      <c r="A544" s="858"/>
      <c r="B544" s="858"/>
      <c r="C544" s="30" t="s">
        <v>361</v>
      </c>
      <c r="D544" s="31" t="s">
        <v>361</v>
      </c>
      <c r="E544" s="32" t="s">
        <v>362</v>
      </c>
      <c r="F544" s="860"/>
      <c r="G544" s="442" t="s">
        <v>2717</v>
      </c>
      <c r="H544" s="15"/>
      <c r="I544" s="16"/>
      <c r="J544" s="16"/>
      <c r="K544" s="15"/>
      <c r="L544" s="15"/>
      <c r="M544" s="16"/>
      <c r="N544" s="16"/>
      <c r="O544" s="15"/>
      <c r="P544" s="15"/>
      <c r="Q544" s="15"/>
      <c r="R544" s="15"/>
      <c r="S544" s="15"/>
      <c r="T544" s="15"/>
      <c r="U544" s="15"/>
      <c r="V544" s="15"/>
      <c r="W544" s="15"/>
      <c r="X544" s="15"/>
      <c r="Y544" s="15"/>
      <c r="Z544" s="15"/>
    </row>
    <row r="545" spans="1:26" ht="15.75" customHeight="1" x14ac:dyDescent="0.25">
      <c r="A545" s="869"/>
      <c r="B545" s="869"/>
      <c r="C545" s="33">
        <v>2024</v>
      </c>
      <c r="D545" s="34">
        <v>2025</v>
      </c>
      <c r="E545" s="35">
        <v>2025</v>
      </c>
      <c r="F545" s="34">
        <v>2025</v>
      </c>
      <c r="G545" s="36" t="s">
        <v>2668</v>
      </c>
      <c r="H545" s="15"/>
      <c r="I545" s="16"/>
      <c r="J545" s="16"/>
      <c r="K545" s="15"/>
      <c r="L545" s="15"/>
      <c r="M545" s="16"/>
      <c r="N545" s="16"/>
      <c r="O545" s="15"/>
      <c r="P545" s="15"/>
      <c r="Q545" s="15"/>
      <c r="R545" s="15"/>
      <c r="S545" s="15"/>
      <c r="T545" s="15"/>
      <c r="U545" s="15"/>
      <c r="V545" s="15"/>
      <c r="W545" s="15"/>
      <c r="X545" s="15"/>
      <c r="Y545" s="15"/>
      <c r="Z545" s="15"/>
    </row>
    <row r="546" spans="1:26" ht="15.75" customHeight="1" x14ac:dyDescent="0.25">
      <c r="A546" s="9" t="s">
        <v>364</v>
      </c>
      <c r="B546" s="38"/>
      <c r="C546" s="42"/>
      <c r="D546" s="42"/>
      <c r="E546" s="42"/>
      <c r="F546" s="42"/>
      <c r="G546" s="37"/>
      <c r="I546" s="40"/>
      <c r="J546" s="40"/>
      <c r="M546" s="40"/>
      <c r="N546" s="40"/>
    </row>
    <row r="547" spans="1:26" ht="15.75" customHeight="1" x14ac:dyDescent="0.25">
      <c r="A547" s="42" t="s">
        <v>491</v>
      </c>
      <c r="B547" s="49"/>
      <c r="C547" s="43"/>
      <c r="D547" s="43"/>
      <c r="E547" s="43"/>
      <c r="F547" s="43"/>
      <c r="G547" s="43"/>
      <c r="I547" s="40"/>
      <c r="J547" s="40"/>
      <c r="M547" s="40"/>
      <c r="N547" s="40"/>
    </row>
    <row r="548" spans="1:26" ht="15.75" customHeight="1" x14ac:dyDescent="0.25">
      <c r="A548" s="17" t="s">
        <v>493</v>
      </c>
      <c r="B548" s="41"/>
      <c r="C548" s="43"/>
      <c r="D548" s="43"/>
      <c r="E548" s="43"/>
      <c r="F548" s="43"/>
      <c r="G548" s="43"/>
      <c r="I548" s="40"/>
      <c r="J548" s="40"/>
      <c r="M548" s="40"/>
      <c r="N548" s="40"/>
    </row>
    <row r="549" spans="1:26" ht="15.75" customHeight="1" x14ac:dyDescent="0.25">
      <c r="A549" s="44" t="s">
        <v>396</v>
      </c>
      <c r="B549" s="41" t="s">
        <v>191</v>
      </c>
      <c r="C549" s="43">
        <v>49445</v>
      </c>
      <c r="D549" s="43">
        <v>0</v>
      </c>
      <c r="E549" s="43">
        <f>F549-D549</f>
        <v>50000</v>
      </c>
      <c r="F549" s="43">
        <v>50000</v>
      </c>
      <c r="G549" s="43">
        <v>50000</v>
      </c>
      <c r="H549" s="114"/>
      <c r="I549" s="60"/>
      <c r="J549" s="60"/>
      <c r="K549" s="114"/>
      <c r="L549" s="114"/>
      <c r="M549" s="60"/>
      <c r="N549" s="60"/>
      <c r="O549" s="114"/>
      <c r="P549" s="114"/>
      <c r="Q549" s="114"/>
      <c r="R549" s="114"/>
      <c r="S549" s="114"/>
      <c r="T549" s="114"/>
      <c r="U549" s="114"/>
      <c r="V549" s="114"/>
      <c r="W549" s="114"/>
      <c r="X549" s="114"/>
      <c r="Y549" s="114"/>
      <c r="Z549" s="114"/>
    </row>
    <row r="550" spans="1:26" ht="15.75" customHeight="1" x14ac:dyDescent="0.25">
      <c r="A550" s="17" t="s">
        <v>499</v>
      </c>
      <c r="B550" s="41"/>
      <c r="C550" s="43"/>
      <c r="D550" s="43"/>
      <c r="E550" s="43"/>
      <c r="F550" s="43"/>
      <c r="G550" s="43"/>
      <c r="H550" s="114"/>
      <c r="I550" s="60"/>
      <c r="J550" s="60"/>
      <c r="K550" s="114"/>
      <c r="L550" s="114"/>
      <c r="M550" s="60"/>
      <c r="N550" s="60"/>
      <c r="O550" s="114"/>
      <c r="P550" s="114"/>
      <c r="Q550" s="114"/>
      <c r="R550" s="114"/>
      <c r="S550" s="114"/>
      <c r="T550" s="114"/>
      <c r="U550" s="114"/>
      <c r="V550" s="114"/>
      <c r="W550" s="114"/>
      <c r="X550" s="114"/>
      <c r="Y550" s="114"/>
      <c r="Z550" s="114"/>
    </row>
    <row r="551" spans="1:26" ht="15.75" customHeight="1" x14ac:dyDescent="0.25">
      <c r="A551" s="44" t="s">
        <v>398</v>
      </c>
      <c r="B551" s="41" t="s">
        <v>195</v>
      </c>
      <c r="C551" s="43">
        <v>162955.32</v>
      </c>
      <c r="D551" s="43">
        <v>93594.05</v>
      </c>
      <c r="E551" s="43">
        <f t="shared" ref="E551:E552" si="99">F551-D551</f>
        <v>95194.95</v>
      </c>
      <c r="F551" s="43">
        <v>188789</v>
      </c>
      <c r="G551" s="43">
        <v>190256</v>
      </c>
      <c r="H551" s="114"/>
      <c r="I551" s="60"/>
      <c r="J551" s="60"/>
      <c r="K551" s="114"/>
      <c r="L551" s="114"/>
      <c r="M551" s="60"/>
      <c r="N551" s="60"/>
      <c r="O551" s="114"/>
      <c r="P551" s="114"/>
      <c r="Q551" s="114"/>
      <c r="R551" s="114"/>
      <c r="S551" s="114"/>
      <c r="T551" s="114"/>
      <c r="U551" s="114"/>
      <c r="V551" s="114"/>
      <c r="W551" s="114"/>
      <c r="X551" s="114"/>
      <c r="Y551" s="114"/>
      <c r="Z551" s="114"/>
    </row>
    <row r="552" spans="1:26" ht="15.75" customHeight="1" x14ac:dyDescent="0.25">
      <c r="A552" s="44" t="s">
        <v>402</v>
      </c>
      <c r="B552" s="41" t="s">
        <v>225</v>
      </c>
      <c r="C552" s="43">
        <v>85601.62</v>
      </c>
      <c r="D552" s="43">
        <v>13667</v>
      </c>
      <c r="E552" s="43">
        <f t="shared" si="99"/>
        <v>13667</v>
      </c>
      <c r="F552" s="43">
        <v>27334</v>
      </c>
      <c r="G552" s="43">
        <v>25866</v>
      </c>
      <c r="H552" s="114"/>
      <c r="I552" s="60"/>
      <c r="J552" s="60"/>
      <c r="K552" s="114"/>
      <c r="L552" s="114"/>
      <c r="M552" s="60"/>
      <c r="N552" s="60"/>
      <c r="O552" s="114"/>
      <c r="P552" s="114"/>
      <c r="Q552" s="114"/>
      <c r="R552" s="114"/>
      <c r="S552" s="114"/>
      <c r="T552" s="114"/>
      <c r="U552" s="114"/>
      <c r="V552" s="114"/>
      <c r="W552" s="114"/>
      <c r="X552" s="114"/>
      <c r="Y552" s="114"/>
      <c r="Z552" s="114"/>
    </row>
    <row r="553" spans="1:26" ht="15.75" customHeight="1" x14ac:dyDescent="0.25">
      <c r="A553" s="17" t="s">
        <v>503</v>
      </c>
      <c r="B553" s="41"/>
      <c r="C553" s="43"/>
      <c r="D553" s="43"/>
      <c r="E553" s="43"/>
      <c r="F553" s="43"/>
      <c r="G553" s="43"/>
      <c r="H553" s="114"/>
      <c r="I553" s="60"/>
      <c r="J553" s="60"/>
      <c r="K553" s="114"/>
      <c r="L553" s="114"/>
      <c r="M553" s="60"/>
      <c r="N553" s="60"/>
      <c r="O553" s="114"/>
      <c r="P553" s="114"/>
      <c r="Q553" s="114"/>
      <c r="R553" s="114"/>
      <c r="S553" s="114"/>
      <c r="T553" s="114"/>
      <c r="U553" s="114"/>
      <c r="V553" s="114"/>
      <c r="W553" s="114"/>
      <c r="X553" s="114"/>
      <c r="Y553" s="114"/>
      <c r="Z553" s="114"/>
    </row>
    <row r="554" spans="1:26" ht="15.75" customHeight="1" x14ac:dyDescent="0.25">
      <c r="A554" s="44" t="s">
        <v>643</v>
      </c>
      <c r="B554" s="41" t="s">
        <v>233</v>
      </c>
      <c r="C554" s="43">
        <v>14173.72</v>
      </c>
      <c r="D554" s="43">
        <v>0</v>
      </c>
      <c r="E554" s="43">
        <f>F554-D554</f>
        <v>24000</v>
      </c>
      <c r="F554" s="43">
        <v>24000</v>
      </c>
      <c r="G554" s="43">
        <v>24000</v>
      </c>
      <c r="H554" s="114"/>
      <c r="I554" s="60"/>
      <c r="J554" s="60"/>
      <c r="K554" s="114"/>
      <c r="L554" s="114"/>
      <c r="M554" s="60"/>
      <c r="N554" s="60"/>
      <c r="O554" s="114"/>
      <c r="P554" s="114"/>
      <c r="Q554" s="114"/>
      <c r="R554" s="114"/>
      <c r="S554" s="114"/>
      <c r="T554" s="114"/>
      <c r="U554" s="114"/>
      <c r="V554" s="114"/>
      <c r="W554" s="114"/>
      <c r="X554" s="114"/>
      <c r="Y554" s="114"/>
      <c r="Z554" s="114"/>
    </row>
    <row r="555" spans="1:26" ht="15.75" customHeight="1" x14ac:dyDescent="0.25">
      <c r="A555" s="17" t="s">
        <v>511</v>
      </c>
      <c r="B555" s="41"/>
      <c r="C555" s="42"/>
      <c r="D555" s="42"/>
      <c r="E555" s="43"/>
      <c r="F555" s="43"/>
      <c r="G555" s="43"/>
      <c r="H555" s="114"/>
      <c r="I555" s="60"/>
      <c r="J555" s="60"/>
      <c r="K555" s="114"/>
      <c r="L555" s="114"/>
      <c r="M555" s="60"/>
      <c r="N555" s="60"/>
      <c r="O555" s="114"/>
      <c r="P555" s="114"/>
      <c r="Q555" s="114"/>
      <c r="R555" s="114"/>
      <c r="S555" s="114"/>
      <c r="T555" s="114"/>
      <c r="U555" s="114"/>
      <c r="V555" s="114"/>
      <c r="W555" s="114"/>
      <c r="X555" s="114"/>
      <c r="Y555" s="114"/>
      <c r="Z555" s="114"/>
    </row>
    <row r="556" spans="1:26" ht="15.75" customHeight="1" x14ac:dyDescent="0.25">
      <c r="A556" s="44" t="s">
        <v>424</v>
      </c>
      <c r="B556" s="41" t="s">
        <v>335</v>
      </c>
      <c r="C556" s="43">
        <v>22785859</v>
      </c>
      <c r="D556" s="43">
        <v>9126835</v>
      </c>
      <c r="E556" s="43">
        <f>F556-D556</f>
        <v>14423285</v>
      </c>
      <c r="F556" s="43">
        <v>23550120</v>
      </c>
      <c r="G556" s="43">
        <v>35235360</v>
      </c>
      <c r="H556" s="114"/>
      <c r="I556" s="60"/>
      <c r="J556" s="60"/>
      <c r="K556" s="114"/>
      <c r="L556" s="114"/>
      <c r="M556" s="60"/>
      <c r="N556" s="60"/>
      <c r="O556" s="114"/>
      <c r="P556" s="114"/>
      <c r="Q556" s="114"/>
      <c r="R556" s="114"/>
      <c r="S556" s="114"/>
      <c r="T556" s="114"/>
      <c r="U556" s="114"/>
      <c r="V556" s="114"/>
      <c r="W556" s="114"/>
      <c r="X556" s="114"/>
      <c r="Y556" s="114"/>
      <c r="Z556" s="114"/>
    </row>
    <row r="557" spans="1:26" ht="15.75" customHeight="1" x14ac:dyDescent="0.25">
      <c r="A557" s="44" t="s">
        <v>864</v>
      </c>
      <c r="B557" s="91"/>
      <c r="C557" s="43"/>
      <c r="D557" s="43"/>
      <c r="E557" s="43"/>
      <c r="F557" s="43"/>
      <c r="G557" s="43"/>
      <c r="H557" s="114"/>
      <c r="I557" s="210" t="s">
        <v>877</v>
      </c>
      <c r="J557" s="211" t="s">
        <v>878</v>
      </c>
      <c r="K557" s="210" t="s">
        <v>879</v>
      </c>
      <c r="L557" s="8" t="s">
        <v>880</v>
      </c>
      <c r="M557" s="210" t="s">
        <v>881</v>
      </c>
      <c r="N557" s="60"/>
      <c r="O557" s="114"/>
      <c r="P557" s="114"/>
      <c r="Q557" s="114"/>
      <c r="R557" s="114"/>
      <c r="S557" s="114"/>
      <c r="T557" s="114"/>
      <c r="U557" s="114"/>
      <c r="V557" s="114"/>
      <c r="W557" s="114"/>
      <c r="X557" s="114"/>
      <c r="Y557" s="114"/>
      <c r="Z557" s="114"/>
    </row>
    <row r="558" spans="1:26" ht="31.5" x14ac:dyDescent="0.25">
      <c r="A558" s="118" t="s">
        <v>949</v>
      </c>
      <c r="B558" s="91"/>
      <c r="C558" s="43"/>
      <c r="D558" s="43"/>
      <c r="E558" s="43"/>
      <c r="F558" s="43"/>
      <c r="G558" s="43"/>
      <c r="H558" s="114"/>
      <c r="I558" s="60">
        <v>1365</v>
      </c>
      <c r="J558" s="211">
        <v>1</v>
      </c>
      <c r="K558" s="8">
        <v>26</v>
      </c>
      <c r="L558" s="8">
        <v>12</v>
      </c>
      <c r="M558" s="60">
        <f t="shared" ref="M558:M565" si="100">I558*J558*K558*L558</f>
        <v>425880</v>
      </c>
      <c r="N558" s="60"/>
      <c r="O558" s="114"/>
      <c r="P558" s="114"/>
      <c r="Q558" s="114"/>
      <c r="R558" s="114"/>
      <c r="S558" s="114"/>
      <c r="T558" s="114"/>
      <c r="U558" s="114"/>
      <c r="V558" s="114"/>
      <c r="W558" s="114"/>
      <c r="X558" s="114"/>
      <c r="Y558" s="114"/>
      <c r="Z558" s="114"/>
    </row>
    <row r="559" spans="1:26" ht="32.25" customHeight="1" x14ac:dyDescent="0.25">
      <c r="A559" s="118" t="s">
        <v>950</v>
      </c>
      <c r="B559" s="91"/>
      <c r="C559" s="43"/>
      <c r="D559" s="43"/>
      <c r="E559" s="43"/>
      <c r="F559" s="43"/>
      <c r="G559" s="43"/>
      <c r="H559" s="114"/>
      <c r="I559" s="60">
        <v>914</v>
      </c>
      <c r="J559" s="211">
        <v>1</v>
      </c>
      <c r="K559" s="8">
        <v>22</v>
      </c>
      <c r="L559" s="8">
        <v>12</v>
      </c>
      <c r="M559" s="60">
        <f t="shared" si="100"/>
        <v>241296</v>
      </c>
      <c r="N559" s="60"/>
      <c r="O559" s="114"/>
      <c r="P559" s="114"/>
      <c r="Q559" s="114"/>
      <c r="R559" s="114"/>
      <c r="S559" s="114"/>
      <c r="T559" s="114"/>
      <c r="U559" s="114"/>
      <c r="V559" s="114"/>
      <c r="W559" s="114"/>
      <c r="X559" s="114"/>
      <c r="Y559" s="114"/>
      <c r="Z559" s="114"/>
    </row>
    <row r="560" spans="1:26" ht="31.5" x14ac:dyDescent="0.25">
      <c r="A560" s="118" t="s">
        <v>951</v>
      </c>
      <c r="B560" s="91"/>
      <c r="C560" s="43"/>
      <c r="D560" s="43"/>
      <c r="E560" s="43"/>
      <c r="F560" s="43"/>
      <c r="G560" s="43"/>
      <c r="H560" s="114"/>
      <c r="I560" s="60">
        <v>914</v>
      </c>
      <c r="J560" s="211">
        <v>1</v>
      </c>
      <c r="K560" s="8">
        <v>26</v>
      </c>
      <c r="L560" s="8">
        <v>12</v>
      </c>
      <c r="M560" s="60">
        <f t="shared" si="100"/>
        <v>285168</v>
      </c>
      <c r="N560" s="60"/>
      <c r="O560" s="114"/>
      <c r="P560" s="114"/>
      <c r="Q560" s="114"/>
      <c r="R560" s="114"/>
      <c r="S560" s="114"/>
      <c r="T560" s="114"/>
      <c r="U560" s="114"/>
      <c r="V560" s="114"/>
      <c r="W560" s="114"/>
      <c r="X560" s="114"/>
      <c r="Y560" s="114"/>
      <c r="Z560" s="114"/>
    </row>
    <row r="561" spans="1:26" ht="15.75" customHeight="1" x14ac:dyDescent="0.25">
      <c r="A561" s="44" t="s">
        <v>952</v>
      </c>
      <c r="B561" s="91"/>
      <c r="C561" s="43"/>
      <c r="D561" s="43"/>
      <c r="E561" s="43"/>
      <c r="F561" s="43"/>
      <c r="G561" s="43"/>
      <c r="H561" s="114"/>
      <c r="I561" s="60">
        <v>812</v>
      </c>
      <c r="J561" s="211">
        <v>9</v>
      </c>
      <c r="K561" s="8">
        <v>26</v>
      </c>
      <c r="L561" s="8">
        <v>12</v>
      </c>
      <c r="M561" s="60">
        <f t="shared" si="100"/>
        <v>2280096</v>
      </c>
      <c r="N561" s="60"/>
      <c r="O561" s="114"/>
      <c r="P561" s="114"/>
      <c r="Q561" s="114"/>
      <c r="R561" s="114"/>
      <c r="S561" s="114"/>
      <c r="T561" s="114"/>
      <c r="U561" s="114"/>
      <c r="V561" s="114"/>
      <c r="W561" s="114"/>
      <c r="X561" s="114"/>
      <c r="Y561" s="114"/>
      <c r="Z561" s="114"/>
    </row>
    <row r="562" spans="1:26" ht="31.5" x14ac:dyDescent="0.25">
      <c r="A562" s="118" t="s">
        <v>953</v>
      </c>
      <c r="B562" s="91"/>
      <c r="C562" s="43"/>
      <c r="D562" s="43"/>
      <c r="E562" s="43"/>
      <c r="F562" s="43"/>
      <c r="G562" s="43"/>
      <c r="H562" s="114"/>
      <c r="I562" s="60">
        <v>720</v>
      </c>
      <c r="J562" s="211">
        <v>134</v>
      </c>
      <c r="K562" s="8">
        <v>26</v>
      </c>
      <c r="L562" s="8">
        <v>12</v>
      </c>
      <c r="M562" s="60">
        <f t="shared" si="100"/>
        <v>30101760</v>
      </c>
      <c r="N562" s="60"/>
      <c r="O562" s="114"/>
      <c r="P562" s="114"/>
      <c r="Q562" s="114"/>
      <c r="R562" s="114"/>
      <c r="S562" s="114"/>
      <c r="T562" s="114"/>
      <c r="U562" s="114"/>
      <c r="V562" s="114"/>
      <c r="W562" s="114"/>
      <c r="X562" s="114"/>
      <c r="Y562" s="114"/>
      <c r="Z562" s="114"/>
    </row>
    <row r="563" spans="1:26" ht="31.5" x14ac:dyDescent="0.25">
      <c r="A563" s="118" t="s">
        <v>954</v>
      </c>
      <c r="B563" s="91"/>
      <c r="C563" s="43"/>
      <c r="D563" s="43"/>
      <c r="E563" s="43"/>
      <c r="F563" s="43"/>
      <c r="G563" s="43"/>
      <c r="H563" s="114"/>
      <c r="I563" s="60">
        <v>678</v>
      </c>
      <c r="J563" s="211">
        <v>3</v>
      </c>
      <c r="K563" s="8">
        <v>26</v>
      </c>
      <c r="L563" s="8">
        <v>12</v>
      </c>
      <c r="M563" s="60">
        <f t="shared" si="100"/>
        <v>634608</v>
      </c>
      <c r="N563" s="60"/>
      <c r="O563" s="114"/>
      <c r="P563" s="114"/>
      <c r="Q563" s="114"/>
      <c r="R563" s="114"/>
      <c r="S563" s="114"/>
      <c r="T563" s="114"/>
      <c r="U563" s="114"/>
      <c r="V563" s="114"/>
      <c r="W563" s="114"/>
      <c r="X563" s="114"/>
      <c r="Y563" s="114"/>
      <c r="Z563" s="114"/>
    </row>
    <row r="564" spans="1:26" ht="31.5" x14ac:dyDescent="0.25">
      <c r="A564" s="118" t="s">
        <v>955</v>
      </c>
      <c r="B564" s="91"/>
      <c r="C564" s="43"/>
      <c r="D564" s="43"/>
      <c r="E564" s="43"/>
      <c r="F564" s="43"/>
      <c r="G564" s="43"/>
      <c r="H564" s="114"/>
      <c r="I564" s="60">
        <v>678</v>
      </c>
      <c r="J564" s="211">
        <v>2</v>
      </c>
      <c r="K564" s="8">
        <v>26</v>
      </c>
      <c r="L564" s="8">
        <v>12</v>
      </c>
      <c r="M564" s="60">
        <f t="shared" si="100"/>
        <v>423072</v>
      </c>
      <c r="N564" s="60"/>
      <c r="O564" s="114"/>
      <c r="P564" s="114"/>
      <c r="Q564" s="114"/>
      <c r="R564" s="114"/>
      <c r="S564" s="114"/>
      <c r="T564" s="114"/>
      <c r="U564" s="114"/>
      <c r="V564" s="114"/>
      <c r="W564" s="114"/>
      <c r="X564" s="114"/>
      <c r="Y564" s="114"/>
      <c r="Z564" s="114"/>
    </row>
    <row r="565" spans="1:26" ht="15.75" customHeight="1" x14ac:dyDescent="0.25">
      <c r="A565" s="460" t="s">
        <v>956</v>
      </c>
      <c r="B565" s="481"/>
      <c r="C565" s="452"/>
      <c r="D565" s="53"/>
      <c r="E565" s="53"/>
      <c r="F565" s="53"/>
      <c r="G565" s="43"/>
      <c r="H565" s="114"/>
      <c r="I565" s="60">
        <v>639</v>
      </c>
      <c r="J565" s="211">
        <v>5</v>
      </c>
      <c r="K565" s="8">
        <v>22</v>
      </c>
      <c r="L565" s="8">
        <v>12</v>
      </c>
      <c r="M565" s="60">
        <f t="shared" si="100"/>
        <v>843480</v>
      </c>
      <c r="N565" s="60">
        <f>SUM(M558:M565)</f>
        <v>35235360</v>
      </c>
      <c r="O565" s="114"/>
      <c r="P565" s="114"/>
      <c r="Q565" s="114"/>
      <c r="R565" s="114"/>
      <c r="S565" s="114"/>
      <c r="T565" s="114"/>
      <c r="U565" s="114"/>
      <c r="V565" s="114"/>
      <c r="W565" s="114"/>
      <c r="X565" s="114"/>
      <c r="Y565" s="114"/>
      <c r="Z565" s="114"/>
    </row>
    <row r="566" spans="1:26" ht="15.75" customHeight="1" x14ac:dyDescent="0.25">
      <c r="A566" s="456" t="s">
        <v>466</v>
      </c>
      <c r="B566" s="481"/>
      <c r="C566" s="453">
        <f>SUM(C549:C556)</f>
        <v>23098034.66</v>
      </c>
      <c r="D566" s="54">
        <f>SUM(D549:D556)</f>
        <v>9234096.0500000007</v>
      </c>
      <c r="E566" s="54">
        <f>F566-D566</f>
        <v>14606146.949999999</v>
      </c>
      <c r="F566" s="54">
        <f>SUM(F549:F556)</f>
        <v>23840243</v>
      </c>
      <c r="G566" s="54">
        <f>SUM(G549:G556)</f>
        <v>35525482</v>
      </c>
      <c r="H566" s="114"/>
      <c r="I566" s="60"/>
      <c r="J566" s="60"/>
      <c r="K566" s="114"/>
      <c r="L566" s="114"/>
      <c r="M566" s="60"/>
      <c r="N566" s="60"/>
      <c r="O566" s="114"/>
      <c r="P566" s="114"/>
      <c r="Q566" s="114"/>
      <c r="R566" s="114"/>
      <c r="S566" s="114"/>
      <c r="T566" s="114"/>
      <c r="U566" s="114"/>
      <c r="V566" s="114"/>
      <c r="W566" s="114"/>
      <c r="X566" s="114"/>
      <c r="Y566" s="114"/>
      <c r="Z566" s="114"/>
    </row>
    <row r="567" spans="1:26" ht="15.75" customHeight="1" x14ac:dyDescent="0.25">
      <c r="A567" s="17"/>
      <c r="B567" s="41"/>
      <c r="C567" s="43"/>
      <c r="D567" s="43"/>
      <c r="E567" s="43"/>
      <c r="F567" s="43"/>
      <c r="G567" s="43"/>
      <c r="H567" s="114"/>
      <c r="I567" s="60"/>
      <c r="J567" s="60"/>
      <c r="K567" s="114"/>
      <c r="L567" s="114"/>
      <c r="M567" s="60"/>
      <c r="N567" s="60"/>
      <c r="O567" s="114"/>
      <c r="P567" s="114"/>
      <c r="Q567" s="114"/>
      <c r="R567" s="114"/>
      <c r="S567" s="114"/>
      <c r="T567" s="114"/>
      <c r="U567" s="114"/>
      <c r="V567" s="114"/>
      <c r="W567" s="114"/>
      <c r="X567" s="114"/>
      <c r="Y567" s="114"/>
      <c r="Z567" s="114"/>
    </row>
    <row r="568" spans="1:26" ht="15.75" customHeight="1" x14ac:dyDescent="0.25">
      <c r="A568" s="17" t="s">
        <v>467</v>
      </c>
      <c r="B568" s="41"/>
      <c r="C568" s="43">
        <f t="shared" ref="C568:D568" si="101">C566</f>
        <v>23098034.66</v>
      </c>
      <c r="D568" s="43">
        <f t="shared" si="101"/>
        <v>9234096.0500000007</v>
      </c>
      <c r="E568" s="43">
        <f>F568-D568</f>
        <v>14606146.949999999</v>
      </c>
      <c r="F568" s="43">
        <f t="shared" ref="F568:G568" si="102">F566</f>
        <v>23840243</v>
      </c>
      <c r="G568" s="43">
        <f t="shared" si="102"/>
        <v>35525482</v>
      </c>
      <c r="H568" s="114"/>
      <c r="I568" s="60"/>
      <c r="J568" s="60"/>
      <c r="K568" s="114"/>
      <c r="L568" s="114"/>
      <c r="M568" s="60"/>
      <c r="N568" s="60"/>
      <c r="O568" s="114"/>
      <c r="P568" s="114"/>
      <c r="Q568" s="114"/>
      <c r="R568" s="114"/>
      <c r="S568" s="114"/>
      <c r="T568" s="114"/>
      <c r="U568" s="114"/>
      <c r="V568" s="114"/>
      <c r="W568" s="114"/>
      <c r="X568" s="114"/>
      <c r="Y568" s="114"/>
      <c r="Z568" s="114"/>
    </row>
    <row r="569" spans="1:26" ht="15.75" customHeight="1" x14ac:dyDescent="0.25">
      <c r="A569" s="456"/>
      <c r="B569" s="461"/>
      <c r="C569" s="473"/>
      <c r="D569" s="43"/>
      <c r="E569" s="43"/>
      <c r="F569" s="43"/>
      <c r="G569" s="43"/>
      <c r="H569" s="114"/>
      <c r="I569" s="60"/>
      <c r="J569" s="60"/>
      <c r="K569" s="114"/>
      <c r="L569" s="114"/>
      <c r="M569" s="60"/>
      <c r="N569" s="60"/>
      <c r="O569" s="114"/>
      <c r="P569" s="114"/>
      <c r="Q569" s="114"/>
      <c r="R569" s="114"/>
      <c r="S569" s="114"/>
      <c r="T569" s="114"/>
      <c r="U569" s="114"/>
      <c r="V569" s="114"/>
      <c r="W569" s="114"/>
      <c r="X569" s="114"/>
      <c r="Y569" s="114"/>
      <c r="Z569" s="114"/>
    </row>
    <row r="570" spans="1:26" ht="15.75" customHeight="1" x14ac:dyDescent="0.25">
      <c r="A570" s="482" t="s">
        <v>487</v>
      </c>
      <c r="B570" s="483" t="s">
        <v>488</v>
      </c>
      <c r="C570" s="54">
        <f t="shared" ref="C570:D570" si="103">C568</f>
        <v>23098034.66</v>
      </c>
      <c r="D570" s="54">
        <f t="shared" si="103"/>
        <v>9234096.0500000007</v>
      </c>
      <c r="E570" s="54">
        <f>F570-D570</f>
        <v>14606146.949999999</v>
      </c>
      <c r="F570" s="54">
        <f t="shared" ref="F570:G570" si="104">F568</f>
        <v>23840243</v>
      </c>
      <c r="G570" s="54">
        <f t="shared" si="104"/>
        <v>35525482</v>
      </c>
      <c r="H570" s="114"/>
      <c r="I570" s="60"/>
      <c r="J570" s="60"/>
      <c r="K570" s="114"/>
      <c r="L570" s="114"/>
      <c r="M570" s="60"/>
      <c r="N570" s="60"/>
      <c r="O570" s="114"/>
      <c r="P570" s="114"/>
      <c r="Q570" s="114"/>
      <c r="R570" s="114"/>
      <c r="S570" s="114"/>
      <c r="T570" s="114"/>
      <c r="U570" s="114"/>
      <c r="V570" s="114"/>
      <c r="W570" s="114"/>
      <c r="X570" s="114"/>
      <c r="Y570" s="114"/>
      <c r="Z570" s="114"/>
    </row>
    <row r="571" spans="1:26" ht="15.75" customHeight="1" x14ac:dyDescent="0.25">
      <c r="A571" s="134" t="s">
        <v>488</v>
      </c>
      <c r="B571" s="25"/>
      <c r="C571" s="103"/>
      <c r="D571" s="24"/>
      <c r="E571" s="24"/>
      <c r="F571" s="103"/>
      <c r="G571" s="26"/>
      <c r="H571" s="114"/>
      <c r="I571" s="60"/>
      <c r="J571" s="60"/>
      <c r="K571" s="114"/>
      <c r="L571" s="114"/>
      <c r="M571" s="60"/>
      <c r="N571" s="60"/>
      <c r="O571" s="114"/>
      <c r="P571" s="114"/>
      <c r="Q571" s="114"/>
      <c r="R571" s="114"/>
      <c r="S571" s="114"/>
      <c r="T571" s="114"/>
      <c r="U571" s="114"/>
      <c r="V571" s="114"/>
      <c r="W571" s="114"/>
      <c r="X571" s="114"/>
      <c r="Y571" s="114"/>
      <c r="Z571" s="114"/>
    </row>
    <row r="572" spans="1:26" ht="15.75" customHeight="1" x14ac:dyDescent="0.25">
      <c r="A572" s="24"/>
      <c r="B572" s="25"/>
      <c r="C572" s="24"/>
      <c r="D572" s="24"/>
      <c r="E572" s="24"/>
      <c r="F572" s="15"/>
      <c r="G572" s="15"/>
      <c r="H572" s="15"/>
      <c r="I572" s="16"/>
      <c r="J572" s="16"/>
      <c r="K572" s="15"/>
      <c r="L572" s="15"/>
      <c r="M572" s="16"/>
      <c r="N572" s="16"/>
      <c r="O572" s="15"/>
      <c r="P572" s="15"/>
      <c r="Q572" s="15"/>
      <c r="R572" s="15"/>
      <c r="S572" s="15"/>
      <c r="T572" s="15"/>
      <c r="U572" s="15"/>
      <c r="V572" s="15"/>
      <c r="W572" s="15"/>
      <c r="X572" s="15"/>
      <c r="Y572" s="15"/>
      <c r="Z572" s="15"/>
    </row>
    <row r="573" spans="1:26" ht="15.75" customHeight="1" x14ac:dyDescent="0.25">
      <c r="A573" s="9"/>
      <c r="B573" s="104"/>
      <c r="C573" s="105"/>
      <c r="D573" s="105"/>
      <c r="E573" s="105"/>
      <c r="F573" s="10"/>
      <c r="G573" s="180"/>
      <c r="H573" s="15"/>
      <c r="I573" s="16"/>
      <c r="J573" s="16"/>
      <c r="K573" s="15"/>
      <c r="L573" s="15"/>
      <c r="M573" s="16"/>
      <c r="N573" s="16"/>
      <c r="O573" s="15"/>
      <c r="P573" s="15"/>
      <c r="Q573" s="15"/>
      <c r="R573" s="15"/>
      <c r="S573" s="15"/>
      <c r="T573" s="15"/>
      <c r="U573" s="15"/>
      <c r="V573" s="15"/>
      <c r="W573" s="15"/>
      <c r="X573" s="15"/>
      <c r="Y573" s="15"/>
      <c r="Z573" s="15"/>
    </row>
    <row r="574" spans="1:26" ht="15.75" customHeight="1" x14ac:dyDescent="0.25">
      <c r="A574" s="108" t="s">
        <v>957</v>
      </c>
      <c r="B574" s="25"/>
      <c r="C574" s="26"/>
      <c r="D574" s="26"/>
      <c r="E574" s="26"/>
      <c r="F574" s="14"/>
      <c r="G574" s="181"/>
      <c r="H574" s="15"/>
      <c r="I574" s="16"/>
      <c r="J574" s="16"/>
      <c r="K574" s="15"/>
      <c r="L574" s="15"/>
      <c r="M574" s="16"/>
      <c r="N574" s="16"/>
      <c r="O574" s="15"/>
      <c r="P574" s="15"/>
      <c r="Q574" s="15"/>
      <c r="R574" s="15"/>
      <c r="S574" s="15"/>
      <c r="T574" s="15"/>
      <c r="U574" s="15"/>
      <c r="V574" s="15"/>
      <c r="W574" s="15"/>
      <c r="X574" s="15"/>
      <c r="Y574" s="15"/>
      <c r="Z574" s="15"/>
    </row>
    <row r="575" spans="1:26" ht="15.75" customHeight="1" x14ac:dyDescent="0.25">
      <c r="A575" s="44"/>
      <c r="B575" s="25"/>
      <c r="C575" s="26"/>
      <c r="D575" s="26"/>
      <c r="E575" s="26"/>
      <c r="F575" s="14"/>
      <c r="G575" s="181"/>
      <c r="H575" s="15"/>
      <c r="I575" s="16"/>
      <c r="J575" s="16"/>
      <c r="K575" s="15"/>
      <c r="L575" s="15"/>
      <c r="M575" s="16"/>
      <c r="N575" s="16"/>
      <c r="O575" s="15"/>
      <c r="P575" s="15"/>
      <c r="Q575" s="15"/>
      <c r="R575" s="15"/>
      <c r="S575" s="15"/>
      <c r="T575" s="15"/>
      <c r="U575" s="15"/>
      <c r="V575" s="15"/>
      <c r="W575" s="15"/>
      <c r="X575" s="15"/>
      <c r="Y575" s="15"/>
      <c r="Z575" s="15"/>
    </row>
    <row r="576" spans="1:26" ht="15.75" customHeight="1" x14ac:dyDescent="0.25">
      <c r="A576" s="865" t="s">
        <v>352</v>
      </c>
      <c r="B576" s="866"/>
      <c r="C576" s="866"/>
      <c r="D576" s="866"/>
      <c r="E576" s="866"/>
      <c r="F576" s="866"/>
      <c r="G576" s="867"/>
      <c r="H576" s="15"/>
      <c r="I576" s="16"/>
      <c r="J576" s="16"/>
      <c r="K576" s="15"/>
      <c r="L576" s="15"/>
      <c r="M576" s="16"/>
      <c r="N576" s="16"/>
      <c r="O576" s="15"/>
      <c r="P576" s="15"/>
      <c r="Q576" s="15"/>
      <c r="R576" s="15"/>
      <c r="S576" s="15"/>
      <c r="T576" s="15"/>
      <c r="U576" s="15"/>
      <c r="V576" s="15"/>
      <c r="W576" s="15"/>
      <c r="X576" s="15"/>
      <c r="Y576" s="15"/>
      <c r="Z576" s="15"/>
    </row>
    <row r="577" spans="1:26" ht="15.75" customHeight="1" x14ac:dyDescent="0.25">
      <c r="A577" s="868" t="s">
        <v>353</v>
      </c>
      <c r="B577" s="857" t="s">
        <v>354</v>
      </c>
      <c r="C577" s="870" t="s">
        <v>355</v>
      </c>
      <c r="D577" s="872" t="s">
        <v>356</v>
      </c>
      <c r="E577" s="873"/>
      <c r="F577" s="874"/>
      <c r="G577" s="857" t="s">
        <v>357</v>
      </c>
      <c r="H577" s="15"/>
      <c r="I577" s="16"/>
      <c r="J577" s="16"/>
      <c r="K577" s="15"/>
      <c r="L577" s="15"/>
      <c r="M577" s="16"/>
      <c r="N577" s="16"/>
      <c r="O577" s="15"/>
      <c r="P577" s="15"/>
      <c r="Q577" s="15"/>
      <c r="R577" s="15"/>
      <c r="S577" s="15"/>
      <c r="T577" s="15"/>
      <c r="U577" s="15"/>
      <c r="V577" s="15"/>
      <c r="W577" s="15"/>
      <c r="X577" s="15"/>
      <c r="Y577" s="15"/>
      <c r="Z577" s="15"/>
    </row>
    <row r="578" spans="1:26" ht="15.75" customHeight="1" x14ac:dyDescent="0.25">
      <c r="A578" s="858"/>
      <c r="B578" s="858"/>
      <c r="C578" s="871"/>
      <c r="D578" s="28" t="s">
        <v>358</v>
      </c>
      <c r="E578" s="29" t="s">
        <v>359</v>
      </c>
      <c r="F578" s="875" t="s">
        <v>360</v>
      </c>
      <c r="G578" s="858"/>
      <c r="H578" s="15"/>
      <c r="I578" s="16"/>
      <c r="J578" s="16"/>
      <c r="K578" s="15"/>
      <c r="L578" s="15"/>
      <c r="M578" s="16"/>
      <c r="N578" s="16"/>
      <c r="O578" s="15"/>
      <c r="P578" s="15"/>
      <c r="Q578" s="15"/>
      <c r="R578" s="15"/>
      <c r="S578" s="15"/>
      <c r="T578" s="15"/>
      <c r="U578" s="15"/>
      <c r="V578" s="15"/>
      <c r="W578" s="15"/>
      <c r="X578" s="15"/>
      <c r="Y578" s="15"/>
      <c r="Z578" s="15"/>
    </row>
    <row r="579" spans="1:26" ht="15.75" customHeight="1" x14ac:dyDescent="0.25">
      <c r="A579" s="858"/>
      <c r="B579" s="858"/>
      <c r="C579" s="30" t="s">
        <v>361</v>
      </c>
      <c r="D579" s="31" t="s">
        <v>361</v>
      </c>
      <c r="E579" s="32" t="s">
        <v>362</v>
      </c>
      <c r="F579" s="860"/>
      <c r="G579" s="442" t="s">
        <v>2717</v>
      </c>
      <c r="H579" s="15"/>
      <c r="I579" s="16"/>
      <c r="J579" s="16"/>
      <c r="K579" s="15"/>
      <c r="L579" s="15"/>
      <c r="M579" s="16"/>
      <c r="N579" s="16"/>
      <c r="O579" s="15"/>
      <c r="P579" s="15"/>
      <c r="Q579" s="15"/>
      <c r="R579" s="15"/>
      <c r="S579" s="15"/>
      <c r="T579" s="15"/>
      <c r="U579" s="15"/>
      <c r="V579" s="15"/>
      <c r="W579" s="15"/>
      <c r="X579" s="15"/>
      <c r="Y579" s="15"/>
      <c r="Z579" s="15"/>
    </row>
    <row r="580" spans="1:26" ht="15.75" customHeight="1" x14ac:dyDescent="0.25">
      <c r="A580" s="869"/>
      <c r="B580" s="869"/>
      <c r="C580" s="33">
        <v>2024</v>
      </c>
      <c r="D580" s="34">
        <v>2025</v>
      </c>
      <c r="E580" s="35">
        <v>2025</v>
      </c>
      <c r="F580" s="34">
        <v>2025</v>
      </c>
      <c r="G580" s="36" t="s">
        <v>2668</v>
      </c>
      <c r="H580" s="15"/>
      <c r="I580" s="16"/>
      <c r="J580" s="16"/>
      <c r="K580" s="15"/>
      <c r="L580" s="15"/>
      <c r="M580" s="16"/>
      <c r="N580" s="16"/>
      <c r="O580" s="15"/>
      <c r="P580" s="15"/>
      <c r="Q580" s="15"/>
      <c r="R580" s="15"/>
      <c r="S580" s="15"/>
      <c r="T580" s="15"/>
      <c r="U580" s="15"/>
      <c r="V580" s="15"/>
      <c r="W580" s="15"/>
      <c r="X580" s="15"/>
      <c r="Y580" s="15"/>
      <c r="Z580" s="15"/>
    </row>
    <row r="581" spans="1:26" ht="15.75" customHeight="1" x14ac:dyDescent="0.25">
      <c r="A581" s="9" t="s">
        <v>364</v>
      </c>
      <c r="B581" s="38"/>
      <c r="C581" s="42"/>
      <c r="D581" s="42"/>
      <c r="E581" s="42"/>
      <c r="F581" s="42"/>
      <c r="G581" s="37"/>
      <c r="I581" s="40"/>
      <c r="J581" s="40"/>
      <c r="M581" s="40"/>
      <c r="N581" s="40"/>
    </row>
    <row r="582" spans="1:26" ht="15.75" customHeight="1" x14ac:dyDescent="0.25">
      <c r="A582" s="42" t="s">
        <v>491</v>
      </c>
      <c r="B582" s="49"/>
      <c r="C582" s="43"/>
      <c r="D582" s="43"/>
      <c r="E582" s="43"/>
      <c r="F582" s="43"/>
      <c r="G582" s="43"/>
      <c r="I582" s="40"/>
      <c r="J582" s="40"/>
      <c r="M582" s="40"/>
      <c r="N582" s="40"/>
    </row>
    <row r="583" spans="1:26" ht="15.75" customHeight="1" x14ac:dyDescent="0.25">
      <c r="A583" s="17" t="s">
        <v>642</v>
      </c>
      <c r="B583" s="41"/>
      <c r="C583" s="43"/>
      <c r="D583" s="43"/>
      <c r="E583" s="43"/>
      <c r="F583" s="43"/>
      <c r="G583" s="43"/>
      <c r="I583" s="40"/>
      <c r="J583" s="40"/>
      <c r="M583" s="40"/>
      <c r="N583" s="40"/>
    </row>
    <row r="584" spans="1:26" ht="15.75" customHeight="1" x14ac:dyDescent="0.25">
      <c r="A584" s="44" t="s">
        <v>393</v>
      </c>
      <c r="B584" s="41" t="s">
        <v>187</v>
      </c>
      <c r="C584" s="43">
        <v>0</v>
      </c>
      <c r="D584" s="43">
        <v>0</v>
      </c>
      <c r="E584" s="43">
        <f>F584-D584</f>
        <v>80000</v>
      </c>
      <c r="F584" s="43">
        <v>80000</v>
      </c>
      <c r="G584" s="43">
        <v>40000</v>
      </c>
      <c r="H584" s="114"/>
      <c r="I584" s="60"/>
      <c r="J584" s="60"/>
      <c r="K584" s="114"/>
      <c r="L584" s="114"/>
      <c r="M584" s="60"/>
      <c r="N584" s="60"/>
      <c r="O584" s="114"/>
      <c r="P584" s="114"/>
      <c r="Q584" s="114"/>
      <c r="R584" s="114"/>
      <c r="S584" s="114"/>
      <c r="T584" s="114"/>
      <c r="U584" s="114"/>
      <c r="V584" s="114"/>
      <c r="W584" s="114"/>
      <c r="X584" s="114"/>
      <c r="Y584" s="114"/>
      <c r="Z584" s="114"/>
    </row>
    <row r="585" spans="1:26" ht="15.75" customHeight="1" x14ac:dyDescent="0.25">
      <c r="A585" s="17" t="s">
        <v>499</v>
      </c>
      <c r="B585" s="41"/>
      <c r="C585" s="43"/>
      <c r="D585" s="43"/>
      <c r="E585" s="43"/>
      <c r="F585" s="43"/>
      <c r="G585" s="43"/>
      <c r="H585" s="114"/>
      <c r="I585" s="60"/>
      <c r="J585" s="60"/>
      <c r="K585" s="114"/>
      <c r="L585" s="114"/>
      <c r="M585" s="60"/>
      <c r="N585" s="60"/>
      <c r="O585" s="114"/>
      <c r="P585" s="114"/>
      <c r="Q585" s="114"/>
      <c r="R585" s="114"/>
      <c r="S585" s="114"/>
      <c r="T585" s="114"/>
      <c r="U585" s="114"/>
      <c r="V585" s="114"/>
      <c r="W585" s="114"/>
      <c r="X585" s="114"/>
      <c r="Y585" s="114"/>
      <c r="Z585" s="114"/>
    </row>
    <row r="586" spans="1:26" ht="15.75" customHeight="1" x14ac:dyDescent="0.25">
      <c r="A586" s="44" t="s">
        <v>398</v>
      </c>
      <c r="B586" s="41" t="s">
        <v>195</v>
      </c>
      <c r="C586" s="43">
        <v>20370.830000000002</v>
      </c>
      <c r="D586" s="43">
        <v>51512.86</v>
      </c>
      <c r="E586" s="43">
        <f>F586-D586</f>
        <v>45.139999999999418</v>
      </c>
      <c r="F586" s="43">
        <v>51558</v>
      </c>
      <c r="G586" s="43">
        <v>49850</v>
      </c>
      <c r="H586" s="114"/>
      <c r="I586" s="60"/>
      <c r="J586" s="60"/>
      <c r="K586" s="114"/>
      <c r="L586" s="114"/>
      <c r="M586" s="60"/>
      <c r="N586" s="60"/>
      <c r="O586" s="114"/>
      <c r="P586" s="114"/>
      <c r="Q586" s="114"/>
      <c r="R586" s="114"/>
      <c r="S586" s="114"/>
      <c r="T586" s="114"/>
      <c r="U586" s="114"/>
      <c r="V586" s="114"/>
      <c r="W586" s="114"/>
      <c r="X586" s="114"/>
      <c r="Y586" s="114"/>
      <c r="Z586" s="114"/>
    </row>
    <row r="587" spans="1:26" ht="15.75" customHeight="1" x14ac:dyDescent="0.25">
      <c r="A587" s="44" t="s">
        <v>400</v>
      </c>
      <c r="B587" s="41" t="s">
        <v>221</v>
      </c>
      <c r="C587" s="43">
        <v>0</v>
      </c>
      <c r="D587" s="43">
        <v>0</v>
      </c>
      <c r="E587" s="43">
        <v>0</v>
      </c>
      <c r="F587" s="43">
        <v>0</v>
      </c>
      <c r="G587" s="43">
        <v>1000000</v>
      </c>
      <c r="H587" s="114"/>
      <c r="I587" s="60"/>
      <c r="J587" s="60"/>
      <c r="K587" s="114"/>
      <c r="L587" s="114"/>
      <c r="M587" s="60"/>
      <c r="N587" s="60"/>
      <c r="O587" s="114"/>
      <c r="P587" s="114"/>
      <c r="Q587" s="114"/>
      <c r="R587" s="114"/>
      <c r="S587" s="114"/>
      <c r="T587" s="114"/>
      <c r="U587" s="114"/>
      <c r="V587" s="114"/>
      <c r="W587" s="114"/>
      <c r="X587" s="114"/>
      <c r="Y587" s="114"/>
      <c r="Z587" s="114"/>
    </row>
    <row r="588" spans="1:26" ht="15.75" customHeight="1" x14ac:dyDescent="0.25">
      <c r="A588" s="44" t="s">
        <v>402</v>
      </c>
      <c r="B588" s="41" t="s">
        <v>225</v>
      </c>
      <c r="C588" s="43">
        <v>2072647.95</v>
      </c>
      <c r="D588" s="43">
        <v>998337.04</v>
      </c>
      <c r="E588" s="43">
        <f>F588-D588</f>
        <v>1662.9599999999627</v>
      </c>
      <c r="F588" s="43">
        <v>1000000</v>
      </c>
      <c r="G588" s="43">
        <v>500000</v>
      </c>
      <c r="H588" s="114"/>
      <c r="I588" s="60"/>
      <c r="J588" s="60"/>
      <c r="K588" s="114"/>
      <c r="L588" s="114"/>
      <c r="M588" s="60"/>
      <c r="N588" s="60"/>
      <c r="O588" s="114"/>
      <c r="P588" s="114"/>
      <c r="Q588" s="114"/>
      <c r="R588" s="114"/>
      <c r="S588" s="114"/>
      <c r="T588" s="114"/>
      <c r="U588" s="114"/>
      <c r="V588" s="114"/>
      <c r="W588" s="114"/>
      <c r="X588" s="114"/>
      <c r="Y588" s="114"/>
      <c r="Z588" s="114"/>
    </row>
    <row r="589" spans="1:26" ht="15.75" customHeight="1" x14ac:dyDescent="0.25">
      <c r="A589" s="17" t="s">
        <v>503</v>
      </c>
      <c r="B589" s="41"/>
      <c r="C589" s="43"/>
      <c r="D589" s="43"/>
      <c r="E589" s="43"/>
      <c r="F589" s="43"/>
      <c r="G589" s="43"/>
      <c r="H589" s="114"/>
      <c r="I589" s="60"/>
      <c r="J589" s="60"/>
      <c r="K589" s="114"/>
      <c r="L589" s="114"/>
      <c r="M589" s="60"/>
      <c r="N589" s="60"/>
      <c r="O589" s="114"/>
      <c r="P589" s="114"/>
      <c r="Q589" s="114"/>
      <c r="R589" s="114"/>
      <c r="S589" s="114"/>
      <c r="T589" s="114"/>
      <c r="U589" s="114"/>
      <c r="V589" s="114"/>
      <c r="W589" s="114"/>
      <c r="X589" s="114"/>
      <c r="Y589" s="114"/>
      <c r="Z589" s="114"/>
    </row>
    <row r="590" spans="1:26" ht="15.75" customHeight="1" x14ac:dyDescent="0.25">
      <c r="A590" s="44" t="s">
        <v>405</v>
      </c>
      <c r="B590" s="41" t="s">
        <v>235</v>
      </c>
      <c r="C590" s="43">
        <v>66500</v>
      </c>
      <c r="D590" s="43">
        <v>67500</v>
      </c>
      <c r="E590" s="43">
        <f t="shared" ref="E590:E592" si="105">F590-D590</f>
        <v>0</v>
      </c>
      <c r="F590" s="43">
        <v>67500</v>
      </c>
      <c r="G590" s="43">
        <v>70000</v>
      </c>
      <c r="H590" s="114"/>
      <c r="I590" s="60"/>
      <c r="J590" s="60"/>
      <c r="K590" s="114"/>
      <c r="L590" s="114"/>
      <c r="M590" s="60"/>
      <c r="N590" s="60"/>
      <c r="O590" s="114"/>
      <c r="P590" s="114"/>
      <c r="Q590" s="114"/>
      <c r="R590" s="114"/>
      <c r="S590" s="114"/>
      <c r="T590" s="114"/>
      <c r="U590" s="114"/>
      <c r="V590" s="114"/>
      <c r="W590" s="114"/>
      <c r="X590" s="114"/>
      <c r="Y590" s="114"/>
      <c r="Z590" s="114"/>
    </row>
    <row r="591" spans="1:26" ht="15.75" customHeight="1" x14ac:dyDescent="0.25">
      <c r="A591" s="44" t="s">
        <v>504</v>
      </c>
      <c r="B591" s="41" t="s">
        <v>237</v>
      </c>
      <c r="C591" s="43">
        <v>0</v>
      </c>
      <c r="D591" s="43">
        <v>0</v>
      </c>
      <c r="E591" s="43">
        <f t="shared" si="105"/>
        <v>87600</v>
      </c>
      <c r="F591" s="43">
        <v>87600</v>
      </c>
      <c r="G591" s="43">
        <v>90000</v>
      </c>
      <c r="H591" s="114"/>
      <c r="I591" s="60"/>
      <c r="J591" s="60"/>
      <c r="K591" s="114"/>
      <c r="L591" s="114"/>
      <c r="M591" s="60"/>
      <c r="N591" s="60"/>
      <c r="O591" s="114"/>
      <c r="P591" s="114"/>
      <c r="Q591" s="114"/>
      <c r="R591" s="114"/>
      <c r="S591" s="114"/>
      <c r="T591" s="114"/>
      <c r="U591" s="114"/>
      <c r="V591" s="114"/>
      <c r="W591" s="114"/>
      <c r="X591" s="114"/>
      <c r="Y591" s="114"/>
      <c r="Z591" s="114"/>
    </row>
    <row r="592" spans="1:26" ht="15.75" customHeight="1" x14ac:dyDescent="0.25">
      <c r="A592" s="44" t="s">
        <v>644</v>
      </c>
      <c r="B592" s="41" t="s">
        <v>239</v>
      </c>
      <c r="C592" s="43">
        <v>0</v>
      </c>
      <c r="D592" s="43">
        <v>0</v>
      </c>
      <c r="E592" s="43">
        <f t="shared" si="105"/>
        <v>7000</v>
      </c>
      <c r="F592" s="43">
        <v>7000</v>
      </c>
      <c r="G592" s="43">
        <v>10000</v>
      </c>
      <c r="H592" s="114"/>
      <c r="I592" s="60"/>
      <c r="J592" s="60"/>
      <c r="K592" s="114"/>
      <c r="L592" s="114"/>
      <c r="M592" s="60"/>
      <c r="N592" s="60"/>
      <c r="O592" s="114"/>
      <c r="P592" s="114"/>
      <c r="Q592" s="114"/>
      <c r="R592" s="114"/>
      <c r="S592" s="114"/>
      <c r="T592" s="114"/>
      <c r="U592" s="114"/>
      <c r="V592" s="114"/>
      <c r="W592" s="114"/>
      <c r="X592" s="114"/>
      <c r="Y592" s="114"/>
      <c r="Z592" s="114"/>
    </row>
    <row r="593" spans="1:26" ht="15.75" customHeight="1" x14ac:dyDescent="0.25">
      <c r="A593" s="17" t="s">
        <v>511</v>
      </c>
      <c r="B593" s="41"/>
      <c r="C593" s="42"/>
      <c r="D593" s="42"/>
      <c r="E593" s="43"/>
      <c r="F593" s="43"/>
      <c r="G593" s="43"/>
      <c r="H593" s="114"/>
      <c r="I593" s="60"/>
      <c r="J593" s="60"/>
      <c r="K593" s="114"/>
      <c r="L593" s="114"/>
      <c r="M593" s="60"/>
      <c r="N593" s="60"/>
      <c r="O593" s="114"/>
      <c r="P593" s="114"/>
      <c r="Q593" s="114"/>
      <c r="R593" s="114"/>
      <c r="S593" s="114"/>
      <c r="T593" s="114"/>
      <c r="U593" s="114"/>
      <c r="V593" s="114"/>
      <c r="W593" s="114"/>
      <c r="X593" s="114"/>
      <c r="Y593" s="114"/>
      <c r="Z593" s="114"/>
    </row>
    <row r="594" spans="1:26" ht="15.75" customHeight="1" x14ac:dyDescent="0.25">
      <c r="A594" s="44" t="s">
        <v>424</v>
      </c>
      <c r="B594" s="41" t="s">
        <v>335</v>
      </c>
      <c r="C594" s="43">
        <v>3576779</v>
      </c>
      <c r="D594" s="43">
        <f>1580662</f>
        <v>1580662</v>
      </c>
      <c r="E594" s="43">
        <f>F594-D594</f>
        <v>2294378</v>
      </c>
      <c r="F594" s="43">
        <v>3875040</v>
      </c>
      <c r="G594" s="43">
        <v>5060016</v>
      </c>
      <c r="H594" s="114"/>
      <c r="I594" s="60"/>
      <c r="J594" s="60"/>
      <c r="K594" s="114"/>
      <c r="L594" s="114"/>
      <c r="M594" s="60"/>
      <c r="N594" s="60"/>
      <c r="O594" s="114"/>
      <c r="P594" s="114"/>
      <c r="Q594" s="114"/>
      <c r="R594" s="114"/>
      <c r="S594" s="114"/>
      <c r="T594" s="114"/>
      <c r="U594" s="114"/>
      <c r="V594" s="114"/>
      <c r="W594" s="114"/>
      <c r="X594" s="114"/>
      <c r="Y594" s="114"/>
      <c r="Z594" s="114"/>
    </row>
    <row r="595" spans="1:26" ht="15.75" customHeight="1" x14ac:dyDescent="0.25">
      <c r="A595" s="44" t="s">
        <v>864</v>
      </c>
      <c r="B595" s="41"/>
      <c r="C595" s="43"/>
      <c r="D595" s="43"/>
      <c r="E595" s="43"/>
      <c r="F595" s="43"/>
      <c r="G595" s="43"/>
      <c r="H595" s="114"/>
      <c r="I595" s="210" t="s">
        <v>877</v>
      </c>
      <c r="J595" s="211" t="s">
        <v>878</v>
      </c>
      <c r="K595" s="210" t="s">
        <v>879</v>
      </c>
      <c r="L595" s="8" t="s">
        <v>880</v>
      </c>
      <c r="M595" s="210" t="s">
        <v>881</v>
      </c>
      <c r="N595" s="60"/>
      <c r="O595" s="114"/>
      <c r="P595" s="114"/>
      <c r="Q595" s="114"/>
      <c r="R595" s="114"/>
      <c r="S595" s="114"/>
      <c r="T595" s="114"/>
      <c r="U595" s="114"/>
      <c r="V595" s="114"/>
      <c r="W595" s="114"/>
      <c r="X595" s="114"/>
      <c r="Y595" s="114"/>
      <c r="Z595" s="114"/>
    </row>
    <row r="596" spans="1:26" ht="15.75" customHeight="1" x14ac:dyDescent="0.25">
      <c r="A596" s="44" t="s">
        <v>958</v>
      </c>
      <c r="B596" s="41"/>
      <c r="C596" s="43"/>
      <c r="D596" s="43"/>
      <c r="E596" s="43"/>
      <c r="F596" s="43"/>
      <c r="G596" s="43"/>
      <c r="H596" s="114"/>
      <c r="I596" s="60">
        <v>765</v>
      </c>
      <c r="J596" s="211">
        <v>2</v>
      </c>
      <c r="K596" s="8">
        <v>26</v>
      </c>
      <c r="L596" s="8">
        <v>12</v>
      </c>
      <c r="M596" s="60">
        <f t="shared" ref="M596:M600" si="106">I596*J596*K596*L596</f>
        <v>477360</v>
      </c>
      <c r="N596" s="60"/>
      <c r="O596" s="114"/>
      <c r="P596" s="114"/>
      <c r="Q596" s="114"/>
      <c r="R596" s="114"/>
      <c r="S596" s="114"/>
      <c r="T596" s="114"/>
      <c r="U596" s="114"/>
      <c r="V596" s="114"/>
      <c r="W596" s="114"/>
      <c r="X596" s="114"/>
      <c r="Y596" s="114"/>
      <c r="Z596" s="114"/>
    </row>
    <row r="597" spans="1:26" ht="31.5" x14ac:dyDescent="0.25">
      <c r="A597" s="118" t="s">
        <v>959</v>
      </c>
      <c r="B597" s="41"/>
      <c r="C597" s="43"/>
      <c r="D597" s="43"/>
      <c r="E597" s="43"/>
      <c r="F597" s="43"/>
      <c r="G597" s="43"/>
      <c r="H597" s="114"/>
      <c r="I597" s="60">
        <v>720</v>
      </c>
      <c r="J597" s="211">
        <v>2</v>
      </c>
      <c r="K597" s="8">
        <v>26</v>
      </c>
      <c r="L597" s="8">
        <v>12</v>
      </c>
      <c r="M597" s="60">
        <f t="shared" si="106"/>
        <v>449280</v>
      </c>
      <c r="N597" s="60"/>
      <c r="O597" s="114"/>
      <c r="P597" s="114"/>
      <c r="Q597" s="114"/>
      <c r="R597" s="114"/>
      <c r="S597" s="114"/>
      <c r="T597" s="114"/>
      <c r="U597" s="114"/>
      <c r="V597" s="114"/>
      <c r="W597" s="114"/>
      <c r="X597" s="114"/>
      <c r="Y597" s="114"/>
      <c r="Z597" s="114"/>
    </row>
    <row r="598" spans="1:26" ht="31.5" x14ac:dyDescent="0.25">
      <c r="A598" s="118" t="s">
        <v>960</v>
      </c>
      <c r="B598" s="41"/>
      <c r="C598" s="43"/>
      <c r="D598" s="43"/>
      <c r="E598" s="43"/>
      <c r="F598" s="43"/>
      <c r="G598" s="43"/>
      <c r="H598" s="114"/>
      <c r="I598" s="60">
        <v>678</v>
      </c>
      <c r="J598" s="211">
        <v>12</v>
      </c>
      <c r="K598" s="8">
        <v>26</v>
      </c>
      <c r="L598" s="8">
        <v>12</v>
      </c>
      <c r="M598" s="60">
        <f t="shared" si="106"/>
        <v>2538432</v>
      </c>
      <c r="N598" s="60"/>
      <c r="O598" s="114"/>
      <c r="P598" s="114"/>
      <c r="Q598" s="114"/>
      <c r="R598" s="114"/>
      <c r="S598" s="114"/>
      <c r="T598" s="114"/>
      <c r="U598" s="114"/>
      <c r="V598" s="114"/>
      <c r="W598" s="114"/>
      <c r="X598" s="114"/>
      <c r="Y598" s="114"/>
      <c r="Z598" s="114"/>
    </row>
    <row r="599" spans="1:26" ht="31.5" x14ac:dyDescent="0.25">
      <c r="A599" s="118" t="s">
        <v>961</v>
      </c>
      <c r="B599" s="41"/>
      <c r="C599" s="43"/>
      <c r="D599" s="43"/>
      <c r="E599" s="43"/>
      <c r="F599" s="43"/>
      <c r="G599" s="43"/>
      <c r="H599" s="114"/>
      <c r="I599" s="60">
        <v>639</v>
      </c>
      <c r="J599" s="211">
        <v>7</v>
      </c>
      <c r="K599" s="8">
        <v>26</v>
      </c>
      <c r="L599" s="8">
        <v>12</v>
      </c>
      <c r="M599" s="60">
        <f t="shared" si="106"/>
        <v>1395576</v>
      </c>
      <c r="N599" s="60"/>
      <c r="O599" s="114"/>
      <c r="P599" s="114"/>
      <c r="Q599" s="114"/>
      <c r="R599" s="114"/>
      <c r="S599" s="114"/>
      <c r="T599" s="114"/>
      <c r="U599" s="114"/>
      <c r="V599" s="114"/>
      <c r="W599" s="114"/>
      <c r="X599" s="114"/>
      <c r="Y599" s="114"/>
      <c r="Z599" s="114"/>
    </row>
    <row r="600" spans="1:26" ht="15.75" customHeight="1" x14ac:dyDescent="0.25">
      <c r="A600" s="44" t="s">
        <v>962</v>
      </c>
      <c r="B600" s="41"/>
      <c r="C600" s="43"/>
      <c r="D600" s="43"/>
      <c r="E600" s="43"/>
      <c r="F600" s="43"/>
      <c r="G600" s="43"/>
      <c r="H600" s="114"/>
      <c r="I600" s="60">
        <v>639</v>
      </c>
      <c r="J600" s="211">
        <v>1</v>
      </c>
      <c r="K600" s="8">
        <v>26</v>
      </c>
      <c r="L600" s="8">
        <v>12</v>
      </c>
      <c r="M600" s="60">
        <f t="shared" si="106"/>
        <v>199368</v>
      </c>
      <c r="N600" s="60">
        <f>SUM(M596:M600)</f>
        <v>5060016</v>
      </c>
      <c r="O600" s="114"/>
      <c r="P600" s="114"/>
      <c r="Q600" s="114"/>
      <c r="R600" s="114"/>
      <c r="S600" s="114"/>
      <c r="T600" s="114"/>
      <c r="U600" s="114"/>
      <c r="V600" s="114"/>
      <c r="W600" s="114"/>
      <c r="X600" s="114"/>
      <c r="Y600" s="114"/>
      <c r="Z600" s="114"/>
    </row>
    <row r="601" spans="1:26" ht="15.75" customHeight="1" x14ac:dyDescent="0.25">
      <c r="A601" s="42" t="s">
        <v>466</v>
      </c>
      <c r="B601" s="41"/>
      <c r="C601" s="54">
        <f t="shared" ref="C601:D601" si="107">SUM(C584:C594)</f>
        <v>5736297.7800000003</v>
      </c>
      <c r="D601" s="54">
        <f t="shared" si="107"/>
        <v>2698011.9000000004</v>
      </c>
      <c r="E601" s="54">
        <f>F601-D601</f>
        <v>2470686.0999999996</v>
      </c>
      <c r="F601" s="54">
        <f t="shared" ref="F601:G601" si="108">SUM(F584:F594)</f>
        <v>5168698</v>
      </c>
      <c r="G601" s="54">
        <f t="shared" si="108"/>
        <v>6819866</v>
      </c>
      <c r="H601" s="114"/>
      <c r="I601" s="60"/>
      <c r="J601" s="60"/>
      <c r="K601" s="114"/>
      <c r="L601" s="114"/>
      <c r="M601" s="60"/>
      <c r="N601" s="60"/>
      <c r="O601" s="114"/>
      <c r="P601" s="114"/>
      <c r="Q601" s="114"/>
      <c r="R601" s="114"/>
      <c r="S601" s="114"/>
      <c r="T601" s="114"/>
      <c r="U601" s="114"/>
      <c r="V601" s="114"/>
      <c r="W601" s="114"/>
      <c r="X601" s="114"/>
      <c r="Y601" s="114"/>
      <c r="Z601" s="114"/>
    </row>
    <row r="602" spans="1:26" ht="15.75" customHeight="1" x14ac:dyDescent="0.25">
      <c r="A602" s="474"/>
      <c r="B602" s="475"/>
      <c r="C602" s="453"/>
      <c r="D602" s="54"/>
      <c r="E602" s="53"/>
      <c r="F602" s="54"/>
      <c r="G602" s="448"/>
      <c r="H602" s="114"/>
      <c r="I602" s="60"/>
      <c r="J602" s="60"/>
      <c r="K602" s="114"/>
      <c r="L602" s="114"/>
      <c r="M602" s="60"/>
      <c r="N602" s="60"/>
      <c r="O602" s="114"/>
      <c r="P602" s="114"/>
      <c r="Q602" s="114"/>
      <c r="R602" s="114"/>
      <c r="S602" s="114"/>
      <c r="T602" s="114"/>
      <c r="U602" s="114"/>
      <c r="V602" s="114"/>
      <c r="W602" s="114"/>
      <c r="X602" s="114"/>
      <c r="Y602" s="114"/>
      <c r="Z602" s="114"/>
    </row>
    <row r="603" spans="1:26" ht="15.75" customHeight="1" x14ac:dyDescent="0.25">
      <c r="A603" s="456" t="s">
        <v>467</v>
      </c>
      <c r="B603" s="454"/>
      <c r="C603" s="473">
        <f t="shared" ref="C603:D603" si="109">C601</f>
        <v>5736297.7800000003</v>
      </c>
      <c r="D603" s="43">
        <f t="shared" si="109"/>
        <v>2698011.9000000004</v>
      </c>
      <c r="E603" s="43">
        <f>F603-D603</f>
        <v>2470686.0999999996</v>
      </c>
      <c r="F603" s="484">
        <f t="shared" ref="F603:G603" si="110">F601</f>
        <v>5168698</v>
      </c>
      <c r="G603" s="462">
        <f t="shared" si="110"/>
        <v>6819866</v>
      </c>
      <c r="H603" s="450"/>
      <c r="I603" s="60"/>
      <c r="J603" s="60"/>
      <c r="K603" s="114"/>
      <c r="L603" s="114"/>
      <c r="M603" s="60"/>
      <c r="N603" s="60"/>
      <c r="O603" s="114"/>
      <c r="P603" s="114"/>
      <c r="Q603" s="114"/>
      <c r="R603" s="114"/>
      <c r="S603" s="114"/>
      <c r="T603" s="114"/>
      <c r="U603" s="114"/>
      <c r="V603" s="114"/>
      <c r="W603" s="114"/>
      <c r="X603" s="114"/>
      <c r="Y603" s="114"/>
      <c r="Z603" s="114"/>
    </row>
    <row r="604" spans="1:26" ht="15.75" customHeight="1" x14ac:dyDescent="0.25">
      <c r="A604" s="17"/>
      <c r="B604" s="41"/>
      <c r="C604" s="43"/>
      <c r="D604" s="43"/>
      <c r="E604" s="43"/>
      <c r="F604" s="43"/>
      <c r="G604" s="43"/>
      <c r="H604" s="114"/>
      <c r="I604" s="60"/>
      <c r="J604" s="60"/>
      <c r="K604" s="114"/>
      <c r="L604" s="114"/>
      <c r="M604" s="60"/>
      <c r="N604" s="60"/>
      <c r="O604" s="114"/>
      <c r="P604" s="114"/>
      <c r="Q604" s="114"/>
      <c r="R604" s="114"/>
      <c r="S604" s="114"/>
      <c r="T604" s="114"/>
      <c r="U604" s="114"/>
      <c r="V604" s="114"/>
      <c r="W604" s="114"/>
      <c r="X604" s="114"/>
      <c r="Y604" s="114"/>
      <c r="Z604" s="114"/>
    </row>
    <row r="605" spans="1:26" ht="15.75" customHeight="1" x14ac:dyDescent="0.25">
      <c r="A605" s="17" t="s">
        <v>529</v>
      </c>
      <c r="B605" s="41"/>
      <c r="C605" s="43"/>
      <c r="D605" s="43"/>
      <c r="E605" s="43"/>
      <c r="F605" s="43"/>
      <c r="G605" s="43"/>
      <c r="H605" s="114"/>
      <c r="I605" s="60"/>
      <c r="J605" s="60"/>
      <c r="K605" s="114"/>
      <c r="L605" s="114"/>
      <c r="M605" s="60"/>
      <c r="N605" s="60"/>
      <c r="O605" s="114"/>
      <c r="P605" s="114"/>
      <c r="Q605" s="114"/>
      <c r="R605" s="114"/>
      <c r="S605" s="114"/>
      <c r="T605" s="114"/>
      <c r="U605" s="114"/>
      <c r="V605" s="114"/>
      <c r="W605" s="114"/>
      <c r="X605" s="114"/>
      <c r="Y605" s="114"/>
      <c r="Z605" s="114"/>
    </row>
    <row r="606" spans="1:26" ht="15.75" customHeight="1" x14ac:dyDescent="0.25">
      <c r="A606" s="17" t="s">
        <v>476</v>
      </c>
      <c r="B606" s="41"/>
      <c r="C606" s="43"/>
      <c r="D606" s="43"/>
      <c r="E606" s="43"/>
      <c r="F606" s="43"/>
      <c r="G606" s="43"/>
      <c r="H606" s="114"/>
      <c r="I606" s="60"/>
      <c r="J606" s="60"/>
      <c r="K606" s="114"/>
      <c r="L606" s="114"/>
      <c r="M606" s="60"/>
      <c r="N606" s="60"/>
      <c r="O606" s="114"/>
      <c r="P606" s="114"/>
      <c r="Q606" s="114"/>
      <c r="R606" s="114"/>
      <c r="S606" s="114"/>
      <c r="T606" s="114"/>
      <c r="U606" s="114"/>
      <c r="V606" s="114"/>
      <c r="W606" s="114"/>
      <c r="X606" s="114"/>
      <c r="Y606" s="114"/>
      <c r="Z606" s="114"/>
    </row>
    <row r="607" spans="1:26" ht="15.75" customHeight="1" x14ac:dyDescent="0.25">
      <c r="A607" s="44" t="s">
        <v>639</v>
      </c>
      <c r="B607" s="20" t="s">
        <v>47</v>
      </c>
      <c r="C607" s="56">
        <v>485600</v>
      </c>
      <c r="D607" s="56">
        <v>0</v>
      </c>
      <c r="E607" s="56">
        <v>0</v>
      </c>
      <c r="F607" s="56">
        <v>0</v>
      </c>
      <c r="G607" s="43">
        <f>153000+1280000+405000</f>
        <v>1838000</v>
      </c>
      <c r="H607" s="178"/>
      <c r="I607" s="179"/>
      <c r="J607" s="179"/>
      <c r="K607" s="178"/>
      <c r="L607" s="178"/>
      <c r="M607" s="179"/>
      <c r="N607" s="179"/>
      <c r="O607" s="178"/>
      <c r="P607" s="178"/>
      <c r="Q607" s="178"/>
      <c r="R607" s="178"/>
      <c r="S607" s="178"/>
      <c r="T607" s="178"/>
      <c r="U607" s="178"/>
      <c r="V607" s="178"/>
      <c r="W607" s="178"/>
      <c r="X607" s="178"/>
      <c r="Y607" s="178"/>
      <c r="Z607" s="178"/>
    </row>
    <row r="608" spans="1:26" ht="15.75" customHeight="1" x14ac:dyDescent="0.25">
      <c r="A608" s="44" t="s">
        <v>963</v>
      </c>
      <c r="B608" s="20"/>
      <c r="C608" s="56"/>
      <c r="D608" s="56"/>
      <c r="E608" s="56"/>
      <c r="F608" s="56"/>
      <c r="G608" s="43"/>
      <c r="H608" s="114"/>
      <c r="I608" s="60"/>
      <c r="J608" s="60"/>
      <c r="K608" s="114"/>
      <c r="L608" s="114"/>
      <c r="M608" s="60"/>
      <c r="N608" s="60"/>
      <c r="O608" s="114"/>
      <c r="P608" s="114"/>
      <c r="Q608" s="114"/>
      <c r="R608" s="114"/>
      <c r="S608" s="114"/>
      <c r="T608" s="114"/>
      <c r="U608" s="114"/>
      <c r="V608" s="114"/>
      <c r="W608" s="114"/>
      <c r="X608" s="114"/>
      <c r="Y608" s="114"/>
      <c r="Z608" s="114"/>
    </row>
    <row r="609" spans="1:26" ht="15.75" customHeight="1" x14ac:dyDescent="0.25">
      <c r="A609" s="44" t="s">
        <v>965</v>
      </c>
      <c r="B609" s="20"/>
      <c r="C609" s="56"/>
      <c r="D609" s="56"/>
      <c r="E609" s="56"/>
      <c r="F609" s="56"/>
      <c r="G609" s="43"/>
      <c r="H609" s="114"/>
      <c r="I609" s="60"/>
      <c r="J609" s="60"/>
      <c r="K609" s="114"/>
      <c r="L609" s="114"/>
      <c r="M609" s="60"/>
      <c r="N609" s="60"/>
      <c r="O609" s="114"/>
      <c r="P609" s="114"/>
      <c r="Q609" s="114"/>
      <c r="R609" s="114"/>
      <c r="S609" s="114"/>
      <c r="T609" s="114"/>
      <c r="U609" s="114"/>
      <c r="V609" s="114"/>
      <c r="W609" s="114"/>
      <c r="X609" s="114"/>
      <c r="Y609" s="114"/>
      <c r="Z609" s="114"/>
    </row>
    <row r="610" spans="1:26" ht="15.75" customHeight="1" x14ac:dyDescent="0.25">
      <c r="A610" s="44" t="s">
        <v>966</v>
      </c>
      <c r="B610" s="20"/>
      <c r="C610" s="56"/>
      <c r="D610" s="56"/>
      <c r="E610" s="56"/>
      <c r="F610" s="56"/>
      <c r="G610" s="43"/>
      <c r="H610" s="114"/>
      <c r="I610" s="60"/>
      <c r="J610" s="60"/>
      <c r="K610" s="114"/>
      <c r="L610" s="114"/>
      <c r="M610" s="60"/>
      <c r="N610" s="60"/>
      <c r="O610" s="114"/>
      <c r="P610" s="114"/>
      <c r="Q610" s="114"/>
      <c r="R610" s="114"/>
      <c r="S610" s="114"/>
      <c r="T610" s="114"/>
      <c r="U610" s="114"/>
      <c r="V610" s="114"/>
      <c r="W610" s="114"/>
      <c r="X610" s="114"/>
      <c r="Y610" s="114"/>
      <c r="Z610" s="114"/>
    </row>
    <row r="611" spans="1:26" ht="15.75" customHeight="1" x14ac:dyDescent="0.25">
      <c r="A611" s="44" t="s">
        <v>1768</v>
      </c>
      <c r="B611" s="41" t="s">
        <v>64</v>
      </c>
      <c r="C611" s="43">
        <v>197000</v>
      </c>
      <c r="D611" s="43">
        <v>0</v>
      </c>
      <c r="E611" s="43">
        <v>0</v>
      </c>
      <c r="F611" s="43">
        <v>0</v>
      </c>
      <c r="G611" s="43">
        <v>5760000</v>
      </c>
      <c r="H611" s="114"/>
      <c r="I611" s="60"/>
      <c r="J611" s="60"/>
      <c r="K611" s="114"/>
      <c r="L611" s="114"/>
      <c r="M611" s="60"/>
      <c r="N611" s="60"/>
      <c r="O611" s="114"/>
      <c r="P611" s="114"/>
      <c r="Q611" s="114"/>
      <c r="R611" s="114"/>
      <c r="S611" s="114"/>
      <c r="T611" s="114"/>
      <c r="U611" s="114"/>
      <c r="V611" s="114"/>
      <c r="W611" s="114"/>
      <c r="X611" s="114"/>
      <c r="Y611" s="114"/>
      <c r="Z611" s="114"/>
    </row>
    <row r="612" spans="1:26" ht="15.75" customHeight="1" x14ac:dyDescent="0.25">
      <c r="A612" s="44" t="s">
        <v>964</v>
      </c>
      <c r="B612" s="437"/>
      <c r="C612" s="438"/>
      <c r="D612" s="438"/>
      <c r="E612" s="438"/>
      <c r="F612" s="438"/>
      <c r="G612" s="438"/>
      <c r="H612" s="114"/>
      <c r="I612" s="60"/>
      <c r="J612" s="60"/>
      <c r="K612" s="114"/>
      <c r="L612" s="114"/>
      <c r="M612" s="60"/>
      <c r="N612" s="60"/>
      <c r="O612" s="114"/>
      <c r="P612" s="114"/>
      <c r="Q612" s="114"/>
      <c r="R612" s="114"/>
      <c r="S612" s="114"/>
      <c r="T612" s="114"/>
      <c r="U612" s="114"/>
      <c r="V612" s="114"/>
      <c r="W612" s="114"/>
      <c r="X612" s="114"/>
      <c r="Y612" s="114"/>
      <c r="Z612" s="114"/>
    </row>
    <row r="613" spans="1:26" ht="15.75" customHeight="1" x14ac:dyDescent="0.25">
      <c r="A613" s="485"/>
      <c r="B613" s="437"/>
      <c r="C613" s="438"/>
      <c r="D613" s="438"/>
      <c r="E613" s="438"/>
      <c r="F613" s="438"/>
      <c r="G613" s="438"/>
      <c r="H613" s="114"/>
      <c r="I613" s="60"/>
      <c r="J613" s="60"/>
      <c r="K613" s="114"/>
      <c r="L613" s="114"/>
      <c r="M613" s="60"/>
      <c r="N613" s="60"/>
      <c r="O613" s="114"/>
      <c r="P613" s="114"/>
      <c r="Q613" s="114"/>
      <c r="R613" s="114"/>
      <c r="S613" s="114"/>
      <c r="T613" s="114"/>
      <c r="U613" s="114"/>
      <c r="V613" s="114"/>
      <c r="W613" s="114"/>
      <c r="X613" s="114"/>
      <c r="Y613" s="114"/>
      <c r="Z613" s="114"/>
    </row>
    <row r="614" spans="1:26" ht="15.75" customHeight="1" x14ac:dyDescent="0.25">
      <c r="A614" s="42" t="s">
        <v>536</v>
      </c>
      <c r="B614" s="41"/>
      <c r="C614" s="54">
        <f>SUM(C607:C611)</f>
        <v>682600</v>
      </c>
      <c r="D614" s="54">
        <f>SUM(D607:D611)</f>
        <v>0</v>
      </c>
      <c r="E614" s="54">
        <f>SUM(E607:E611)</f>
        <v>0</v>
      </c>
      <c r="F614" s="54">
        <f>SUM(F607:F611)</f>
        <v>0</v>
      </c>
      <c r="G614" s="54">
        <f>SUM(G607:G611)</f>
        <v>7598000</v>
      </c>
      <c r="H614" s="114"/>
      <c r="I614" s="60"/>
      <c r="J614" s="60"/>
      <c r="K614" s="114"/>
      <c r="L614" s="114"/>
      <c r="M614" s="60"/>
      <c r="N614" s="60"/>
      <c r="O614" s="114"/>
      <c r="P614" s="114"/>
      <c r="Q614" s="114"/>
      <c r="R614" s="114"/>
      <c r="S614" s="114"/>
      <c r="T614" s="114"/>
      <c r="U614" s="114"/>
      <c r="V614" s="114"/>
      <c r="W614" s="114"/>
      <c r="X614" s="114"/>
      <c r="Y614" s="114"/>
      <c r="Z614" s="114"/>
    </row>
    <row r="615" spans="1:26" ht="15.75" customHeight="1" x14ac:dyDescent="0.25">
      <c r="A615" s="42"/>
      <c r="B615" s="41"/>
      <c r="C615" s="43"/>
      <c r="D615" s="43"/>
      <c r="E615" s="43"/>
      <c r="F615" s="43"/>
      <c r="G615" s="43"/>
      <c r="H615" s="114"/>
      <c r="I615" s="60"/>
      <c r="J615" s="60"/>
      <c r="K615" s="114"/>
      <c r="L615" s="114"/>
      <c r="M615" s="60"/>
      <c r="N615" s="60"/>
      <c r="O615" s="114"/>
      <c r="P615" s="114"/>
      <c r="Q615" s="114"/>
      <c r="R615" s="114"/>
      <c r="S615" s="114"/>
      <c r="T615" s="114"/>
      <c r="U615" s="114"/>
      <c r="V615" s="114"/>
      <c r="W615" s="114"/>
      <c r="X615" s="114"/>
      <c r="Y615" s="114"/>
      <c r="Z615" s="114"/>
    </row>
    <row r="616" spans="1:26" ht="15.75" customHeight="1" x14ac:dyDescent="0.25">
      <c r="A616" s="50" t="s">
        <v>487</v>
      </c>
      <c r="B616" s="51" t="s">
        <v>488</v>
      </c>
      <c r="C616" s="54">
        <f>C603+C614</f>
        <v>6418897.7800000003</v>
      </c>
      <c r="D616" s="54">
        <f>D603+D614</f>
        <v>2698011.9000000004</v>
      </c>
      <c r="E616" s="54">
        <f>F616-D616</f>
        <v>2470686.0999999996</v>
      </c>
      <c r="F616" s="54">
        <f>F603+F614</f>
        <v>5168698</v>
      </c>
      <c r="G616" s="54">
        <f>G603+G614</f>
        <v>14417866</v>
      </c>
      <c r="H616" s="114"/>
      <c r="I616" s="60"/>
      <c r="J616" s="60"/>
      <c r="K616" s="114"/>
      <c r="L616" s="114"/>
      <c r="M616" s="60"/>
      <c r="N616" s="60"/>
      <c r="O616" s="114"/>
      <c r="P616" s="114"/>
      <c r="Q616" s="114"/>
      <c r="R616" s="114"/>
      <c r="S616" s="114"/>
      <c r="T616" s="114"/>
      <c r="U616" s="114"/>
      <c r="V616" s="114"/>
      <c r="W616" s="114"/>
      <c r="X616" s="114"/>
      <c r="Y616" s="114"/>
      <c r="Z616" s="114"/>
    </row>
    <row r="617" spans="1:26" ht="15.75" customHeight="1" x14ac:dyDescent="0.25">
      <c r="A617" s="24"/>
      <c r="B617" s="25"/>
      <c r="C617" s="26"/>
      <c r="D617" s="26"/>
      <c r="E617" s="26"/>
      <c r="F617" s="26"/>
      <c r="G617" s="26"/>
      <c r="H617" s="114"/>
      <c r="I617" s="60"/>
      <c r="J617" s="60"/>
      <c r="K617" s="114"/>
      <c r="L617" s="114"/>
      <c r="M617" s="60"/>
      <c r="N617" s="60"/>
      <c r="O617" s="114"/>
      <c r="P617" s="114"/>
      <c r="Q617" s="114"/>
      <c r="R617" s="114"/>
      <c r="S617" s="114"/>
      <c r="T617" s="114"/>
      <c r="U617" s="114"/>
      <c r="V617" s="114"/>
      <c r="W617" s="114"/>
      <c r="X617" s="114"/>
      <c r="Y617" s="114"/>
      <c r="Z617" s="114"/>
    </row>
    <row r="618" spans="1:26" ht="15.75" customHeight="1" x14ac:dyDescent="0.25">
      <c r="A618" s="24"/>
      <c r="B618" s="25"/>
      <c r="C618" s="24"/>
      <c r="D618" s="24"/>
      <c r="E618" s="24"/>
      <c r="F618" s="15"/>
      <c r="G618" s="15"/>
      <c r="H618" s="15"/>
      <c r="I618" s="16"/>
      <c r="J618" s="16"/>
      <c r="K618" s="15"/>
      <c r="L618" s="15"/>
      <c r="M618" s="16"/>
      <c r="N618" s="16"/>
      <c r="O618" s="15"/>
      <c r="P618" s="15"/>
      <c r="Q618" s="15"/>
      <c r="R618" s="15"/>
      <c r="S618" s="15"/>
      <c r="T618" s="15"/>
      <c r="U618" s="15"/>
      <c r="V618" s="15"/>
      <c r="W618" s="15"/>
      <c r="X618" s="15"/>
      <c r="Y618" s="15"/>
      <c r="Z618" s="15"/>
    </row>
    <row r="619" spans="1:26" ht="15.75" customHeight="1" x14ac:dyDescent="0.25">
      <c r="A619" s="9"/>
      <c r="B619" s="104"/>
      <c r="C619" s="105"/>
      <c r="D619" s="105"/>
      <c r="E619" s="105"/>
      <c r="F619" s="10"/>
      <c r="G619" s="180"/>
      <c r="H619" s="15"/>
      <c r="I619" s="16"/>
      <c r="J619" s="16"/>
      <c r="K619" s="15"/>
      <c r="L619" s="15"/>
      <c r="M619" s="16"/>
      <c r="N619" s="16"/>
      <c r="O619" s="15"/>
      <c r="P619" s="15"/>
      <c r="Q619" s="15"/>
      <c r="R619" s="15"/>
      <c r="S619" s="15"/>
      <c r="T619" s="15"/>
      <c r="U619" s="15"/>
      <c r="V619" s="15"/>
      <c r="W619" s="15"/>
      <c r="X619" s="15"/>
      <c r="Y619" s="15"/>
      <c r="Z619" s="15"/>
    </row>
    <row r="620" spans="1:26" ht="15.75" customHeight="1" x14ac:dyDescent="0.25">
      <c r="A620" s="108" t="s">
        <v>967</v>
      </c>
      <c r="B620" s="25"/>
      <c r="C620" s="26"/>
      <c r="D620" s="26"/>
      <c r="E620" s="26"/>
      <c r="F620" s="14"/>
      <c r="G620" s="181"/>
      <c r="H620" s="15"/>
      <c r="I620" s="16"/>
      <c r="J620" s="16"/>
      <c r="K620" s="15"/>
      <c r="L620" s="15"/>
      <c r="M620" s="16"/>
      <c r="N620" s="16"/>
      <c r="O620" s="15"/>
      <c r="P620" s="15"/>
      <c r="Q620" s="15"/>
      <c r="R620" s="15"/>
      <c r="S620" s="15"/>
      <c r="T620" s="15"/>
      <c r="U620" s="15"/>
      <c r="V620" s="15"/>
      <c r="W620" s="15"/>
      <c r="X620" s="15"/>
      <c r="Y620" s="15"/>
      <c r="Z620" s="15"/>
    </row>
    <row r="621" spans="1:26" ht="15.75" customHeight="1" x14ac:dyDescent="0.25">
      <c r="A621" s="44"/>
      <c r="B621" s="25"/>
      <c r="C621" s="26"/>
      <c r="D621" s="26"/>
      <c r="E621" s="26"/>
      <c r="F621" s="14"/>
      <c r="G621" s="181"/>
      <c r="H621" s="15"/>
      <c r="I621" s="16"/>
      <c r="J621" s="16"/>
      <c r="K621" s="15"/>
      <c r="L621" s="15"/>
      <c r="M621" s="16"/>
      <c r="N621" s="16"/>
      <c r="O621" s="15"/>
      <c r="P621" s="15"/>
      <c r="Q621" s="15"/>
      <c r="R621" s="15"/>
      <c r="S621" s="15"/>
      <c r="T621" s="15"/>
      <c r="U621" s="15"/>
      <c r="V621" s="15"/>
      <c r="W621" s="15"/>
      <c r="X621" s="15"/>
      <c r="Y621" s="15"/>
      <c r="Z621" s="15"/>
    </row>
    <row r="622" spans="1:26" ht="15.75" customHeight="1" x14ac:dyDescent="0.25">
      <c r="A622" s="865" t="s">
        <v>352</v>
      </c>
      <c r="B622" s="866"/>
      <c r="C622" s="866"/>
      <c r="D622" s="866"/>
      <c r="E622" s="866"/>
      <c r="F622" s="866"/>
      <c r="G622" s="867"/>
      <c r="H622" s="15"/>
      <c r="I622" s="16"/>
      <c r="J622" s="16"/>
      <c r="K622" s="15"/>
      <c r="L622" s="15"/>
      <c r="M622" s="16"/>
      <c r="N622" s="16"/>
      <c r="O622" s="15"/>
      <c r="P622" s="15"/>
      <c r="Q622" s="15"/>
      <c r="R622" s="15"/>
      <c r="S622" s="15"/>
      <c r="T622" s="15"/>
      <c r="U622" s="15"/>
      <c r="V622" s="15"/>
      <c r="W622" s="15"/>
      <c r="X622" s="15"/>
      <c r="Y622" s="15"/>
      <c r="Z622" s="15"/>
    </row>
    <row r="623" spans="1:26" ht="15.75" customHeight="1" x14ac:dyDescent="0.25">
      <c r="A623" s="868" t="s">
        <v>353</v>
      </c>
      <c r="B623" s="857" t="s">
        <v>354</v>
      </c>
      <c r="C623" s="870" t="s">
        <v>355</v>
      </c>
      <c r="D623" s="872" t="s">
        <v>356</v>
      </c>
      <c r="E623" s="873"/>
      <c r="F623" s="874"/>
      <c r="G623" s="857" t="s">
        <v>357</v>
      </c>
      <c r="H623" s="15"/>
      <c r="I623" s="16"/>
      <c r="J623" s="16"/>
      <c r="K623" s="15"/>
      <c r="L623" s="15"/>
      <c r="M623" s="16"/>
      <c r="N623" s="16"/>
      <c r="O623" s="15"/>
      <c r="P623" s="15"/>
      <c r="Q623" s="15"/>
      <c r="R623" s="15"/>
      <c r="S623" s="15"/>
      <c r="T623" s="15"/>
      <c r="U623" s="15"/>
      <c r="V623" s="15"/>
      <c r="W623" s="15"/>
      <c r="X623" s="15"/>
      <c r="Y623" s="15"/>
      <c r="Z623" s="15"/>
    </row>
    <row r="624" spans="1:26" ht="15.75" customHeight="1" x14ac:dyDescent="0.25">
      <c r="A624" s="858"/>
      <c r="B624" s="858"/>
      <c r="C624" s="871"/>
      <c r="D624" s="28" t="s">
        <v>358</v>
      </c>
      <c r="E624" s="29" t="s">
        <v>359</v>
      </c>
      <c r="F624" s="875" t="s">
        <v>360</v>
      </c>
      <c r="G624" s="858"/>
      <c r="H624" s="15"/>
      <c r="I624" s="16"/>
      <c r="J624" s="16"/>
      <c r="K624" s="15"/>
      <c r="L624" s="15"/>
      <c r="M624" s="16"/>
      <c r="N624" s="16"/>
      <c r="O624" s="15"/>
      <c r="P624" s="15"/>
      <c r="Q624" s="15"/>
      <c r="R624" s="15"/>
      <c r="S624" s="15"/>
      <c r="T624" s="15"/>
      <c r="U624" s="15"/>
      <c r="V624" s="15"/>
      <c r="W624" s="15"/>
      <c r="X624" s="15"/>
      <c r="Y624" s="15"/>
      <c r="Z624" s="15"/>
    </row>
    <row r="625" spans="1:26" ht="15.75" customHeight="1" x14ac:dyDescent="0.25">
      <c r="A625" s="858"/>
      <c r="B625" s="858"/>
      <c r="C625" s="30" t="s">
        <v>361</v>
      </c>
      <c r="D625" s="31" t="s">
        <v>361</v>
      </c>
      <c r="E625" s="32" t="s">
        <v>362</v>
      </c>
      <c r="F625" s="860"/>
      <c r="G625" s="442" t="s">
        <v>2717</v>
      </c>
      <c r="H625" s="15"/>
      <c r="I625" s="16"/>
      <c r="J625" s="16"/>
      <c r="K625" s="15"/>
      <c r="L625" s="15"/>
      <c r="M625" s="16"/>
      <c r="N625" s="16"/>
      <c r="O625" s="15"/>
      <c r="P625" s="15"/>
      <c r="Q625" s="15"/>
      <c r="R625" s="15"/>
      <c r="S625" s="15"/>
      <c r="T625" s="15"/>
      <c r="U625" s="15"/>
      <c r="V625" s="15"/>
      <c r="W625" s="15"/>
      <c r="X625" s="15"/>
      <c r="Y625" s="15"/>
      <c r="Z625" s="15"/>
    </row>
    <row r="626" spans="1:26" ht="15.75" customHeight="1" x14ac:dyDescent="0.25">
      <c r="A626" s="869"/>
      <c r="B626" s="869"/>
      <c r="C626" s="33">
        <v>2024</v>
      </c>
      <c r="D626" s="34">
        <v>2025</v>
      </c>
      <c r="E626" s="34">
        <v>2025</v>
      </c>
      <c r="F626" s="34">
        <v>2025</v>
      </c>
      <c r="G626" s="36" t="s">
        <v>2668</v>
      </c>
      <c r="H626" s="15"/>
      <c r="I626" s="16"/>
      <c r="J626" s="16"/>
      <c r="K626" s="15"/>
      <c r="L626" s="15"/>
      <c r="M626" s="16"/>
      <c r="N626" s="16"/>
      <c r="O626" s="15"/>
      <c r="P626" s="15"/>
      <c r="Q626" s="15"/>
      <c r="R626" s="15"/>
      <c r="S626" s="15"/>
      <c r="T626" s="15"/>
      <c r="U626" s="15"/>
      <c r="V626" s="15"/>
      <c r="W626" s="15"/>
      <c r="X626" s="15"/>
      <c r="Y626" s="15"/>
      <c r="Z626" s="15"/>
    </row>
    <row r="627" spans="1:26" ht="15.75" customHeight="1" x14ac:dyDescent="0.25">
      <c r="A627" s="9" t="s">
        <v>364</v>
      </c>
      <c r="B627" s="38"/>
      <c r="C627" s="42"/>
      <c r="D627" s="42"/>
      <c r="E627" s="42"/>
      <c r="F627" s="42"/>
      <c r="G627" s="37"/>
      <c r="H627" s="114"/>
      <c r="I627" s="60"/>
      <c r="J627" s="60"/>
      <c r="K627" s="114"/>
      <c r="L627" s="114"/>
      <c r="M627" s="60"/>
      <c r="N627" s="60"/>
      <c r="O627" s="114"/>
      <c r="P627" s="114"/>
      <c r="Q627" s="114"/>
      <c r="R627" s="114"/>
      <c r="S627" s="114"/>
      <c r="T627" s="114"/>
      <c r="U627" s="114"/>
      <c r="V627" s="114"/>
      <c r="W627" s="114"/>
      <c r="X627" s="114"/>
      <c r="Y627" s="114"/>
      <c r="Z627" s="114"/>
    </row>
    <row r="628" spans="1:26" ht="15.75" customHeight="1" x14ac:dyDescent="0.25">
      <c r="A628" s="42" t="s">
        <v>491</v>
      </c>
      <c r="B628" s="49"/>
      <c r="C628" s="43"/>
      <c r="D628" s="43"/>
      <c r="E628" s="43"/>
      <c r="F628" s="43"/>
      <c r="G628" s="43"/>
      <c r="H628" s="114"/>
      <c r="I628" s="60"/>
      <c r="J628" s="60"/>
      <c r="K628" s="114"/>
      <c r="L628" s="114"/>
      <c r="M628" s="60"/>
      <c r="N628" s="60"/>
      <c r="O628" s="114"/>
      <c r="P628" s="114"/>
      <c r="Q628" s="114"/>
      <c r="R628" s="114"/>
      <c r="S628" s="114"/>
      <c r="T628" s="114"/>
      <c r="U628" s="114"/>
      <c r="V628" s="114"/>
      <c r="W628" s="114"/>
      <c r="X628" s="114"/>
      <c r="Y628" s="114"/>
      <c r="Z628" s="114"/>
    </row>
    <row r="629" spans="1:26" ht="15.75" customHeight="1" x14ac:dyDescent="0.25">
      <c r="A629" s="17" t="s">
        <v>642</v>
      </c>
      <c r="B629" s="41"/>
      <c r="C629" s="43"/>
      <c r="D629" s="43"/>
      <c r="E629" s="43"/>
      <c r="F629" s="43"/>
      <c r="G629" s="43"/>
      <c r="H629" s="114"/>
      <c r="I629" s="60"/>
      <c r="J629" s="60"/>
      <c r="K629" s="114"/>
      <c r="L629" s="114"/>
      <c r="M629" s="60"/>
      <c r="N629" s="60"/>
      <c r="O629" s="114"/>
      <c r="P629" s="114"/>
      <c r="Q629" s="114"/>
      <c r="R629" s="114"/>
      <c r="S629" s="114"/>
      <c r="T629" s="114"/>
      <c r="U629" s="114"/>
      <c r="V629" s="114"/>
      <c r="W629" s="114"/>
      <c r="X629" s="114"/>
      <c r="Y629" s="114"/>
      <c r="Z629" s="114"/>
    </row>
    <row r="630" spans="1:26" ht="15.75" customHeight="1" x14ac:dyDescent="0.25">
      <c r="A630" s="48" t="s">
        <v>393</v>
      </c>
      <c r="B630" s="49" t="s">
        <v>187</v>
      </c>
      <c r="C630" s="43">
        <v>149489.70000000001</v>
      </c>
      <c r="D630" s="43">
        <v>40256.449999999997</v>
      </c>
      <c r="E630" s="43">
        <f>F630-D630</f>
        <v>109743.55</v>
      </c>
      <c r="F630" s="43">
        <v>150000</v>
      </c>
      <c r="G630" s="43">
        <v>150000</v>
      </c>
      <c r="H630" s="114"/>
      <c r="I630" s="60"/>
      <c r="J630" s="60"/>
      <c r="K630" s="114"/>
      <c r="L630" s="114"/>
      <c r="M630" s="60"/>
      <c r="N630" s="60"/>
      <c r="O630" s="114"/>
      <c r="P630" s="114"/>
      <c r="Q630" s="114"/>
      <c r="R630" s="114"/>
      <c r="S630" s="114"/>
      <c r="T630" s="114"/>
      <c r="U630" s="114"/>
      <c r="V630" s="114"/>
      <c r="W630" s="114"/>
      <c r="X630" s="114"/>
      <c r="Y630" s="114"/>
      <c r="Z630" s="114"/>
    </row>
    <row r="631" spans="1:26" ht="15.75" customHeight="1" x14ac:dyDescent="0.25">
      <c r="A631" s="42" t="s">
        <v>493</v>
      </c>
      <c r="B631" s="49"/>
      <c r="C631" s="43"/>
      <c r="D631" s="43"/>
      <c r="E631" s="43"/>
      <c r="F631" s="43"/>
      <c r="G631" s="43"/>
      <c r="H631" s="114"/>
      <c r="I631" s="60"/>
      <c r="J631" s="60"/>
      <c r="K631" s="114"/>
      <c r="L631" s="114"/>
      <c r="M631" s="60"/>
      <c r="N631" s="60"/>
      <c r="O631" s="114"/>
      <c r="P631" s="114"/>
      <c r="Q631" s="114"/>
      <c r="R631" s="114"/>
      <c r="S631" s="114"/>
      <c r="T631" s="114"/>
      <c r="U631" s="114"/>
      <c r="V631" s="114"/>
      <c r="W631" s="114"/>
      <c r="X631" s="114"/>
      <c r="Y631" s="114"/>
      <c r="Z631" s="114"/>
    </row>
    <row r="632" spans="1:26" ht="15.75" customHeight="1" x14ac:dyDescent="0.25">
      <c r="A632" s="48" t="s">
        <v>396</v>
      </c>
      <c r="B632" s="49" t="s">
        <v>191</v>
      </c>
      <c r="C632" s="43">
        <v>724843</v>
      </c>
      <c r="D632" s="43">
        <v>181237.84</v>
      </c>
      <c r="E632" s="43">
        <f>F632-D632</f>
        <v>181262.16</v>
      </c>
      <c r="F632" s="43">
        <v>362500</v>
      </c>
      <c r="G632" s="43">
        <v>1043400</v>
      </c>
      <c r="H632" s="114"/>
      <c r="I632" s="60"/>
      <c r="J632" s="60"/>
      <c r="K632" s="114"/>
      <c r="L632" s="114"/>
      <c r="M632" s="60"/>
      <c r="N632" s="60"/>
      <c r="O632" s="114"/>
      <c r="P632" s="114"/>
      <c r="Q632" s="114"/>
      <c r="R632" s="114"/>
      <c r="S632" s="114"/>
      <c r="T632" s="114"/>
      <c r="U632" s="114"/>
      <c r="V632" s="114"/>
      <c r="W632" s="114"/>
      <c r="X632" s="114"/>
      <c r="Y632" s="114"/>
      <c r="Z632" s="114"/>
    </row>
    <row r="633" spans="1:26" ht="31.5" x14ac:dyDescent="0.25">
      <c r="A633" s="68" t="s">
        <v>968</v>
      </c>
      <c r="B633" s="49"/>
      <c r="C633" s="43"/>
      <c r="D633" s="43"/>
      <c r="E633" s="43"/>
      <c r="F633" s="43"/>
      <c r="G633" s="43"/>
      <c r="H633" s="114"/>
      <c r="I633" s="60">
        <v>185000</v>
      </c>
      <c r="J633" s="60"/>
      <c r="K633" s="114"/>
      <c r="L633" s="114"/>
      <c r="M633" s="60"/>
      <c r="N633" s="60"/>
      <c r="O633" s="114"/>
      <c r="P633" s="114"/>
      <c r="Q633" s="114"/>
      <c r="R633" s="114"/>
      <c r="S633" s="114"/>
      <c r="T633" s="114"/>
      <c r="U633" s="114"/>
      <c r="V633" s="114"/>
      <c r="W633" s="114"/>
      <c r="X633" s="114"/>
      <c r="Y633" s="114"/>
      <c r="Z633" s="114"/>
    </row>
    <row r="634" spans="1:26" ht="31.5" x14ac:dyDescent="0.25">
      <c r="A634" s="68" t="s">
        <v>969</v>
      </c>
      <c r="B634" s="49"/>
      <c r="C634" s="43"/>
      <c r="D634" s="43"/>
      <c r="E634" s="43"/>
      <c r="F634" s="43"/>
      <c r="G634" s="43"/>
      <c r="H634" s="114"/>
      <c r="I634" s="60">
        <v>185000</v>
      </c>
      <c r="J634" s="60"/>
      <c r="K634" s="114"/>
      <c r="L634" s="114"/>
      <c r="M634" s="60"/>
      <c r="N634" s="60"/>
      <c r="O634" s="114"/>
      <c r="P634" s="114"/>
      <c r="Q634" s="114"/>
      <c r="R634" s="114"/>
      <c r="S634" s="114"/>
      <c r="T634" s="114"/>
      <c r="U634" s="114"/>
      <c r="V634" s="114"/>
      <c r="W634" s="114"/>
      <c r="X634" s="114"/>
      <c r="Y634" s="114"/>
      <c r="Z634" s="114"/>
    </row>
    <row r="635" spans="1:26" ht="15.75" customHeight="1" x14ac:dyDescent="0.25">
      <c r="A635" s="48" t="s">
        <v>970</v>
      </c>
      <c r="B635" s="49"/>
      <c r="C635" s="43"/>
      <c r="D635" s="43"/>
      <c r="E635" s="43"/>
      <c r="F635" s="43"/>
      <c r="G635" s="43"/>
      <c r="H635" s="114"/>
      <c r="I635" s="60">
        <v>185000</v>
      </c>
      <c r="J635" s="60"/>
      <c r="K635" s="114"/>
      <c r="L635" s="114"/>
      <c r="M635" s="60"/>
      <c r="N635" s="60"/>
      <c r="O635" s="114"/>
      <c r="P635" s="114"/>
      <c r="Q635" s="114"/>
      <c r="R635" s="114"/>
      <c r="S635" s="114"/>
      <c r="T635" s="114"/>
      <c r="U635" s="114"/>
      <c r="V635" s="114"/>
      <c r="W635" s="114"/>
      <c r="X635" s="114"/>
      <c r="Y635" s="114"/>
      <c r="Z635" s="114"/>
    </row>
    <row r="636" spans="1:26" ht="15.75" customHeight="1" x14ac:dyDescent="0.25">
      <c r="A636" s="48" t="s">
        <v>971</v>
      </c>
      <c r="B636" s="49"/>
      <c r="C636" s="43"/>
      <c r="D636" s="43"/>
      <c r="E636" s="43"/>
      <c r="F636" s="43"/>
      <c r="G636" s="43"/>
      <c r="H636" s="114"/>
      <c r="I636" s="60">
        <v>244200</v>
      </c>
      <c r="J636" s="60"/>
      <c r="K636" s="114"/>
      <c r="L636" s="114"/>
      <c r="M636" s="60"/>
      <c r="N636" s="60"/>
      <c r="O636" s="114"/>
      <c r="P636" s="114"/>
      <c r="Q636" s="114"/>
      <c r="R636" s="114"/>
      <c r="S636" s="114"/>
      <c r="T636" s="114"/>
      <c r="U636" s="114"/>
      <c r="V636" s="114"/>
      <c r="W636" s="114"/>
      <c r="X636" s="114"/>
      <c r="Y636" s="114"/>
      <c r="Z636" s="114"/>
    </row>
    <row r="637" spans="1:26" ht="15.75" customHeight="1" x14ac:dyDescent="0.25">
      <c r="A637" s="48" t="s">
        <v>972</v>
      </c>
      <c r="B637" s="49"/>
      <c r="C637" s="43"/>
      <c r="D637" s="43"/>
      <c r="E637" s="43"/>
      <c r="F637" s="43"/>
      <c r="G637" s="43"/>
      <c r="H637" s="114"/>
      <c r="I637" s="60">
        <v>244200</v>
      </c>
      <c r="J637" s="60">
        <f>SUM(I633:I637)</f>
        <v>1043400</v>
      </c>
      <c r="K637" s="114"/>
      <c r="L637" s="114"/>
      <c r="M637" s="60"/>
      <c r="N637" s="60"/>
      <c r="O637" s="114"/>
      <c r="P637" s="114"/>
      <c r="Q637" s="114"/>
      <c r="R637" s="114"/>
      <c r="S637" s="114"/>
      <c r="T637" s="114"/>
      <c r="U637" s="114"/>
      <c r="V637" s="114"/>
      <c r="W637" s="114"/>
      <c r="X637" s="114"/>
      <c r="Y637" s="114"/>
      <c r="Z637" s="114"/>
    </row>
    <row r="638" spans="1:26" ht="15.75" customHeight="1" x14ac:dyDescent="0.25">
      <c r="A638" s="42" t="s">
        <v>499</v>
      </c>
      <c r="B638" s="49"/>
      <c r="C638" s="43"/>
      <c r="D638" s="43"/>
      <c r="E638" s="43"/>
      <c r="F638" s="43"/>
      <c r="G638" s="43"/>
      <c r="H638" s="114"/>
      <c r="I638" s="60"/>
      <c r="J638" s="60"/>
      <c r="K638" s="114"/>
      <c r="L638" s="114"/>
      <c r="M638" s="60"/>
      <c r="N638" s="60"/>
      <c r="O638" s="114"/>
      <c r="P638" s="114"/>
      <c r="Q638" s="114"/>
      <c r="R638" s="114"/>
      <c r="S638" s="114"/>
      <c r="T638" s="114"/>
      <c r="U638" s="114"/>
      <c r="V638" s="114"/>
      <c r="W638" s="114"/>
      <c r="X638" s="114"/>
      <c r="Y638" s="114"/>
      <c r="Z638" s="114"/>
    </row>
    <row r="639" spans="1:26" ht="15.75" customHeight="1" x14ac:dyDescent="0.25">
      <c r="A639" s="48" t="s">
        <v>398</v>
      </c>
      <c r="B639" s="49" t="s">
        <v>195</v>
      </c>
      <c r="C639" s="43">
        <v>25174</v>
      </c>
      <c r="D639" s="43">
        <v>100000</v>
      </c>
      <c r="E639" s="43">
        <f>F639-D639</f>
        <v>0</v>
      </c>
      <c r="F639" s="43">
        <v>100000</v>
      </c>
      <c r="G639" s="43">
        <v>100000</v>
      </c>
      <c r="H639" s="114"/>
      <c r="I639" s="60"/>
      <c r="J639" s="60"/>
      <c r="K639" s="114"/>
      <c r="L639" s="114"/>
      <c r="M639" s="60"/>
      <c r="N639" s="60"/>
      <c r="O639" s="114"/>
      <c r="P639" s="114"/>
      <c r="Q639" s="114"/>
      <c r="R639" s="114"/>
      <c r="S639" s="114"/>
      <c r="T639" s="114"/>
      <c r="U639" s="114"/>
      <c r="V639" s="114"/>
      <c r="W639" s="114"/>
      <c r="X639" s="114"/>
      <c r="Y639" s="114"/>
      <c r="Z639" s="114"/>
    </row>
    <row r="640" spans="1:26" ht="15.75" customHeight="1" x14ac:dyDescent="0.25">
      <c r="A640" s="44" t="s">
        <v>400</v>
      </c>
      <c r="B640" s="41" t="s">
        <v>221</v>
      </c>
      <c r="C640" s="43">
        <v>0</v>
      </c>
      <c r="D640" s="43">
        <v>0</v>
      </c>
      <c r="E640" s="43">
        <v>0</v>
      </c>
      <c r="F640" s="43">
        <v>0</v>
      </c>
      <c r="G640" s="43">
        <v>85500</v>
      </c>
      <c r="H640" s="114"/>
      <c r="I640" s="60"/>
      <c r="J640" s="60"/>
      <c r="K640" s="114"/>
      <c r="L640" s="114"/>
      <c r="M640" s="60"/>
      <c r="N640" s="60"/>
      <c r="O640" s="114"/>
      <c r="P640" s="114"/>
      <c r="Q640" s="114"/>
      <c r="R640" s="114"/>
      <c r="S640" s="114"/>
      <c r="T640" s="114"/>
      <c r="U640" s="114"/>
      <c r="V640" s="114"/>
      <c r="W640" s="114"/>
      <c r="X640" s="114"/>
      <c r="Y640" s="114"/>
      <c r="Z640" s="114"/>
    </row>
    <row r="641" spans="1:26" ht="15.75" customHeight="1" x14ac:dyDescent="0.25">
      <c r="A641" s="44" t="s">
        <v>402</v>
      </c>
      <c r="B641" s="41" t="s">
        <v>225</v>
      </c>
      <c r="C641" s="43">
        <v>558270</v>
      </c>
      <c r="D641" s="43">
        <v>100000</v>
      </c>
      <c r="E641" s="43">
        <f>F641-D641</f>
        <v>0</v>
      </c>
      <c r="F641" s="43">
        <v>100000</v>
      </c>
      <c r="G641" s="43">
        <v>263001</v>
      </c>
      <c r="H641" s="114"/>
      <c r="I641" s="60"/>
      <c r="J641" s="60"/>
      <c r="K641" s="114"/>
      <c r="L641" s="114"/>
      <c r="M641" s="60"/>
      <c r="N641" s="60"/>
      <c r="O641" s="114"/>
      <c r="P641" s="114"/>
      <c r="Q641" s="114"/>
      <c r="R641" s="114"/>
      <c r="S641" s="114"/>
      <c r="T641" s="114"/>
      <c r="U641" s="114"/>
      <c r="V641" s="114"/>
      <c r="W641" s="114"/>
      <c r="X641" s="114"/>
      <c r="Y641" s="114"/>
      <c r="Z641" s="114"/>
    </row>
    <row r="642" spans="1:26" ht="15.75" customHeight="1" x14ac:dyDescent="0.25">
      <c r="A642" s="17" t="s">
        <v>424</v>
      </c>
      <c r="B642" s="41"/>
      <c r="C642" s="43"/>
      <c r="D642" s="43"/>
      <c r="E642" s="43"/>
      <c r="F642" s="192"/>
      <c r="G642" s="192"/>
      <c r="H642" s="114"/>
      <c r="I642" s="60"/>
      <c r="J642" s="60"/>
      <c r="K642" s="114"/>
      <c r="L642" s="114"/>
      <c r="M642" s="60"/>
      <c r="N642" s="60"/>
      <c r="O642" s="114"/>
      <c r="P642" s="114"/>
      <c r="Q642" s="114"/>
      <c r="R642" s="114"/>
      <c r="S642" s="114"/>
      <c r="T642" s="114"/>
      <c r="U642" s="114"/>
      <c r="V642" s="114"/>
      <c r="W642" s="114"/>
      <c r="X642" s="114"/>
      <c r="Y642" s="114"/>
      <c r="Z642" s="114"/>
    </row>
    <row r="643" spans="1:26" ht="15.75" customHeight="1" x14ac:dyDescent="0.25">
      <c r="A643" s="44" t="s">
        <v>424</v>
      </c>
      <c r="B643" s="41" t="s">
        <v>335</v>
      </c>
      <c r="C643" s="43">
        <v>3562796</v>
      </c>
      <c r="D643" s="43">
        <f>799613.73+314324</f>
        <v>1113937.73</v>
      </c>
      <c r="E643" s="43">
        <f>F643-D643</f>
        <v>1549662.27</v>
      </c>
      <c r="F643" s="43">
        <v>2663600</v>
      </c>
      <c r="G643" s="43">
        <v>3458952</v>
      </c>
      <c r="H643" s="114"/>
      <c r="I643" s="60"/>
      <c r="J643" s="60"/>
      <c r="K643" s="114"/>
      <c r="L643" s="114"/>
      <c r="M643" s="60"/>
      <c r="N643" s="60"/>
      <c r="O643" s="114"/>
      <c r="P643" s="114"/>
      <c r="Q643" s="114"/>
      <c r="R643" s="114"/>
      <c r="S643" s="114"/>
      <c r="T643" s="114"/>
      <c r="U643" s="114"/>
      <c r="V643" s="114"/>
      <c r="W643" s="114"/>
      <c r="X643" s="114"/>
      <c r="Y643" s="114"/>
      <c r="Z643" s="114"/>
    </row>
    <row r="644" spans="1:26" ht="15.75" customHeight="1" x14ac:dyDescent="0.25">
      <c r="A644" s="44" t="s">
        <v>973</v>
      </c>
      <c r="B644" s="41"/>
      <c r="C644" s="43"/>
      <c r="D644" s="43"/>
      <c r="E644" s="43"/>
      <c r="F644" s="43"/>
      <c r="G644" s="43"/>
      <c r="H644" s="114"/>
      <c r="I644" s="60"/>
      <c r="J644" s="60"/>
      <c r="K644" s="114"/>
      <c r="L644" s="114"/>
      <c r="M644" s="60">
        <v>100000</v>
      </c>
      <c r="N644" s="60"/>
      <c r="O644" s="114"/>
      <c r="P644" s="114"/>
      <c r="Q644" s="114"/>
      <c r="R644" s="114"/>
      <c r="S644" s="114"/>
      <c r="T644" s="114"/>
      <c r="U644" s="114"/>
      <c r="V644" s="114"/>
      <c r="W644" s="114"/>
      <c r="X644" s="114"/>
      <c r="Y644" s="114"/>
      <c r="Z644" s="114"/>
    </row>
    <row r="645" spans="1:26" ht="15.75" customHeight="1" x14ac:dyDescent="0.25">
      <c r="A645" s="44" t="s">
        <v>974</v>
      </c>
      <c r="B645" s="41"/>
      <c r="C645" s="43"/>
      <c r="D645" s="43"/>
      <c r="E645" s="43"/>
      <c r="F645" s="43"/>
      <c r="G645" s="43"/>
      <c r="H645" s="114"/>
      <c r="I645" s="60"/>
      <c r="J645" s="60"/>
      <c r="K645" s="114"/>
      <c r="L645" s="114"/>
      <c r="M645" s="60">
        <v>120000</v>
      </c>
      <c r="N645" s="60"/>
      <c r="O645" s="114"/>
      <c r="P645" s="114"/>
      <c r="Q645" s="114"/>
      <c r="R645" s="114"/>
      <c r="S645" s="114"/>
      <c r="T645" s="114"/>
      <c r="U645" s="114"/>
      <c r="V645" s="114"/>
      <c r="W645" s="114"/>
      <c r="X645" s="114"/>
      <c r="Y645" s="114"/>
      <c r="Z645" s="114"/>
    </row>
    <row r="646" spans="1:26" ht="15.75" customHeight="1" x14ac:dyDescent="0.25">
      <c r="A646" s="44" t="s">
        <v>975</v>
      </c>
      <c r="B646" s="41"/>
      <c r="C646" s="43"/>
      <c r="D646" s="43"/>
      <c r="E646" s="43"/>
      <c r="F646" s="43"/>
      <c r="G646" s="43"/>
      <c r="H646" s="114"/>
      <c r="I646" s="60"/>
      <c r="J646" s="60"/>
      <c r="K646" s="114"/>
      <c r="L646" s="114"/>
      <c r="M646" s="60">
        <v>1165000</v>
      </c>
      <c r="N646" s="60"/>
      <c r="O646" s="114"/>
      <c r="P646" s="114"/>
      <c r="Q646" s="114"/>
      <c r="R646" s="114"/>
      <c r="S646" s="114"/>
      <c r="T646" s="114"/>
      <c r="U646" s="114"/>
      <c r="V646" s="114"/>
      <c r="W646" s="114"/>
      <c r="X646" s="114"/>
      <c r="Y646" s="114"/>
      <c r="Z646" s="114"/>
    </row>
    <row r="647" spans="1:26" ht="15.75" customHeight="1" x14ac:dyDescent="0.25">
      <c r="A647" s="44" t="s">
        <v>976</v>
      </c>
      <c r="B647" s="41"/>
      <c r="C647" s="43"/>
      <c r="D647" s="43"/>
      <c r="E647" s="43"/>
      <c r="F647" s="43"/>
      <c r="G647" s="43"/>
      <c r="H647" s="114"/>
      <c r="I647" s="60"/>
      <c r="J647" s="60"/>
      <c r="K647" s="114"/>
      <c r="L647" s="114"/>
      <c r="M647" s="60">
        <v>1000000</v>
      </c>
      <c r="N647" s="60"/>
      <c r="O647" s="114"/>
      <c r="P647" s="114"/>
      <c r="Q647" s="114"/>
      <c r="R647" s="114"/>
      <c r="S647" s="114"/>
      <c r="T647" s="114"/>
      <c r="U647" s="114"/>
      <c r="V647" s="114"/>
      <c r="W647" s="114"/>
      <c r="X647" s="114"/>
      <c r="Y647" s="114"/>
      <c r="Z647" s="114"/>
    </row>
    <row r="648" spans="1:26" ht="15.75" customHeight="1" x14ac:dyDescent="0.25">
      <c r="A648" s="44" t="s">
        <v>864</v>
      </c>
      <c r="B648" s="41"/>
      <c r="C648" s="43"/>
      <c r="D648" s="43"/>
      <c r="E648" s="43"/>
      <c r="F648" s="43"/>
      <c r="G648" s="43"/>
      <c r="H648" s="114"/>
      <c r="I648" s="210" t="s">
        <v>877</v>
      </c>
      <c r="J648" s="211" t="s">
        <v>878</v>
      </c>
      <c r="K648" s="210" t="s">
        <v>879</v>
      </c>
      <c r="L648" s="8" t="s">
        <v>880</v>
      </c>
      <c r="M648" s="210" t="s">
        <v>881</v>
      </c>
      <c r="N648" s="60"/>
      <c r="O648" s="114"/>
      <c r="P648" s="114"/>
      <c r="Q648" s="114"/>
      <c r="R648" s="114"/>
      <c r="S648" s="114"/>
      <c r="T648" s="114"/>
      <c r="U648" s="114"/>
      <c r="V648" s="114"/>
      <c r="W648" s="114"/>
      <c r="X648" s="114"/>
      <c r="Y648" s="114"/>
      <c r="Z648" s="114"/>
    </row>
    <row r="649" spans="1:26" ht="31.5" x14ac:dyDescent="0.25">
      <c r="A649" s="479" t="s">
        <v>977</v>
      </c>
      <c r="B649" s="461"/>
      <c r="C649" s="473"/>
      <c r="D649" s="43"/>
      <c r="E649" s="43"/>
      <c r="F649" s="43"/>
      <c r="G649" s="43"/>
      <c r="H649" s="114"/>
      <c r="I649" s="60">
        <v>678</v>
      </c>
      <c r="J649" s="211">
        <v>6</v>
      </c>
      <c r="K649" s="8">
        <v>22</v>
      </c>
      <c r="L649" s="8">
        <v>12</v>
      </c>
      <c r="M649" s="60">
        <f>I649*J649*K649*L649</f>
        <v>1073952</v>
      </c>
      <c r="N649" s="60">
        <f>M644+M645+M646+M647+M649</f>
        <v>3458952</v>
      </c>
      <c r="O649" s="114"/>
      <c r="P649" s="114"/>
      <c r="Q649" s="114"/>
      <c r="R649" s="114"/>
      <c r="S649" s="114"/>
      <c r="T649" s="114"/>
      <c r="U649" s="114"/>
      <c r="V649" s="114"/>
      <c r="W649" s="114"/>
      <c r="X649" s="114"/>
      <c r="Y649" s="114"/>
      <c r="Z649" s="114"/>
    </row>
    <row r="650" spans="1:26" ht="15.75" customHeight="1" x14ac:dyDescent="0.25">
      <c r="A650" s="486" t="s">
        <v>466</v>
      </c>
      <c r="B650" s="437"/>
      <c r="C650" s="54">
        <f t="shared" ref="C650:D650" si="111">SUM(C630:C643)</f>
        <v>5020572.7</v>
      </c>
      <c r="D650" s="54">
        <f t="shared" si="111"/>
        <v>1535432.02</v>
      </c>
      <c r="E650" s="54">
        <f>F650-D650</f>
        <v>1840667.98</v>
      </c>
      <c r="F650" s="54">
        <f t="shared" ref="F650:G650" si="112">SUM(F630:F643)</f>
        <v>3376100</v>
      </c>
      <c r="G650" s="54">
        <f t="shared" si="112"/>
        <v>5100853</v>
      </c>
      <c r="H650" s="114"/>
      <c r="N650" s="60"/>
      <c r="O650" s="114"/>
      <c r="P650" s="114"/>
      <c r="Q650" s="114"/>
      <c r="R650" s="114"/>
      <c r="S650" s="114"/>
      <c r="T650" s="114"/>
      <c r="U650" s="114"/>
      <c r="V650" s="114"/>
      <c r="W650" s="114"/>
      <c r="X650" s="114"/>
      <c r="Y650" s="114"/>
      <c r="Z650" s="114"/>
    </row>
    <row r="651" spans="1:26" ht="15.75" customHeight="1" x14ac:dyDescent="0.25">
      <c r="A651" s="17"/>
      <c r="B651" s="41"/>
      <c r="C651" s="55"/>
      <c r="D651" s="55"/>
      <c r="E651" s="43"/>
      <c r="F651" s="55"/>
      <c r="G651" s="55"/>
      <c r="H651" s="114"/>
      <c r="I651" s="60"/>
      <c r="J651" s="60"/>
      <c r="K651" s="114"/>
      <c r="L651" s="114"/>
      <c r="M651" s="60"/>
      <c r="N651" s="60"/>
      <c r="O651" s="114"/>
      <c r="P651" s="114"/>
      <c r="Q651" s="114"/>
      <c r="R651" s="114"/>
      <c r="S651" s="114"/>
      <c r="T651" s="114"/>
      <c r="U651" s="114"/>
      <c r="V651" s="114"/>
      <c r="W651" s="114"/>
      <c r="X651" s="114"/>
      <c r="Y651" s="114"/>
      <c r="Z651" s="114"/>
    </row>
    <row r="652" spans="1:26" ht="15.75" customHeight="1" x14ac:dyDescent="0.25">
      <c r="A652" s="17" t="s">
        <v>467</v>
      </c>
      <c r="B652" s="41"/>
      <c r="C652" s="43">
        <f t="shared" ref="C652:D652" si="113">C650</f>
        <v>5020572.7</v>
      </c>
      <c r="D652" s="43">
        <f t="shared" si="113"/>
        <v>1535432.02</v>
      </c>
      <c r="E652" s="43">
        <f>F652-D652</f>
        <v>1840667.98</v>
      </c>
      <c r="F652" s="43">
        <f t="shared" ref="F652:G652" si="114">F650</f>
        <v>3376100</v>
      </c>
      <c r="G652" s="43">
        <f t="shared" si="114"/>
        <v>5100853</v>
      </c>
      <c r="H652" s="114"/>
      <c r="I652" s="60"/>
      <c r="J652" s="60"/>
      <c r="K652" s="114"/>
      <c r="L652" s="114"/>
      <c r="M652" s="60"/>
      <c r="N652" s="60"/>
      <c r="O652" s="114"/>
      <c r="P652" s="114"/>
      <c r="Q652" s="114"/>
      <c r="R652" s="114"/>
      <c r="S652" s="114"/>
      <c r="T652" s="114"/>
      <c r="U652" s="114"/>
      <c r="V652" s="114"/>
      <c r="W652" s="114"/>
      <c r="X652" s="114"/>
      <c r="Y652" s="114"/>
      <c r="Z652" s="114"/>
    </row>
    <row r="653" spans="1:26" ht="13.5" customHeight="1" x14ac:dyDescent="0.25">
      <c r="A653" s="17"/>
      <c r="B653" s="41"/>
      <c r="C653" s="43"/>
      <c r="D653" s="43"/>
      <c r="E653" s="43"/>
      <c r="F653" s="43"/>
      <c r="G653" s="43"/>
      <c r="H653" s="114"/>
      <c r="I653" s="60"/>
      <c r="J653" s="60"/>
      <c r="K653" s="114"/>
      <c r="L653" s="114"/>
      <c r="M653" s="60"/>
      <c r="N653" s="60"/>
      <c r="O653" s="114"/>
      <c r="P653" s="114"/>
      <c r="Q653" s="114"/>
      <c r="R653" s="114"/>
      <c r="S653" s="114"/>
      <c r="T653" s="114"/>
      <c r="U653" s="114"/>
      <c r="V653" s="114"/>
      <c r="W653" s="114"/>
      <c r="X653" s="114"/>
      <c r="Y653" s="114"/>
      <c r="Z653" s="114"/>
    </row>
    <row r="654" spans="1:26" ht="15.75" customHeight="1" x14ac:dyDescent="0.25">
      <c r="A654" s="42" t="s">
        <v>529</v>
      </c>
      <c r="B654" s="41"/>
      <c r="C654" s="172"/>
      <c r="D654" s="172"/>
      <c r="E654" s="43"/>
      <c r="F654" s="172"/>
      <c r="G654" s="45"/>
      <c r="H654" s="114"/>
      <c r="I654" s="60"/>
      <c r="J654" s="60"/>
      <c r="K654" s="114"/>
      <c r="L654" s="114"/>
      <c r="M654" s="60"/>
      <c r="N654" s="60"/>
      <c r="O654" s="114"/>
      <c r="P654" s="114"/>
      <c r="Q654" s="114"/>
      <c r="R654" s="114"/>
      <c r="S654" s="114"/>
      <c r="T654" s="114"/>
      <c r="U654" s="114"/>
      <c r="V654" s="114"/>
      <c r="W654" s="114"/>
      <c r="X654" s="114"/>
      <c r="Y654" s="114"/>
      <c r="Z654" s="114"/>
    </row>
    <row r="655" spans="1:26" ht="15.75" customHeight="1" x14ac:dyDescent="0.25">
      <c r="A655" s="17" t="s">
        <v>839</v>
      </c>
      <c r="B655" s="41"/>
      <c r="C655" s="45"/>
      <c r="D655" s="43"/>
      <c r="E655" s="43"/>
      <c r="F655" s="43"/>
      <c r="G655" s="43"/>
      <c r="H655" s="114"/>
      <c r="I655" s="60"/>
      <c r="J655" s="60"/>
      <c r="K655" s="114"/>
      <c r="L655" s="114"/>
      <c r="M655" s="60"/>
      <c r="N655" s="60"/>
      <c r="O655" s="114"/>
      <c r="P655" s="114"/>
      <c r="Q655" s="114"/>
      <c r="R655" s="114"/>
      <c r="S655" s="114"/>
      <c r="T655" s="114"/>
      <c r="U655" s="114"/>
      <c r="V655" s="114"/>
      <c r="W655" s="114"/>
      <c r="X655" s="114"/>
      <c r="Y655" s="114"/>
      <c r="Z655" s="114"/>
    </row>
    <row r="656" spans="1:26" ht="15.75" customHeight="1" x14ac:dyDescent="0.25">
      <c r="A656" s="44" t="s">
        <v>840</v>
      </c>
      <c r="B656" s="41" t="s">
        <v>52</v>
      </c>
      <c r="C656" s="45">
        <v>0</v>
      </c>
      <c r="D656" s="43">
        <v>0</v>
      </c>
      <c r="E656" s="43">
        <f>F656-D656</f>
        <v>0</v>
      </c>
      <c r="F656" s="43">
        <v>0</v>
      </c>
      <c r="G656" s="43">
        <v>100000</v>
      </c>
      <c r="H656" s="114"/>
      <c r="I656" s="60"/>
      <c r="J656" s="60"/>
      <c r="K656" s="114"/>
      <c r="L656" s="114"/>
      <c r="M656" s="60"/>
      <c r="N656" s="60"/>
      <c r="O656" s="114"/>
      <c r="P656" s="114"/>
      <c r="Q656" s="114"/>
      <c r="R656" s="114"/>
      <c r="S656" s="114"/>
      <c r="T656" s="114"/>
      <c r="U656" s="114"/>
      <c r="V656" s="114"/>
      <c r="W656" s="114"/>
      <c r="X656" s="114"/>
      <c r="Y656" s="114"/>
      <c r="Z656" s="114"/>
    </row>
    <row r="657" spans="1:26" ht="15.75" customHeight="1" x14ac:dyDescent="0.25">
      <c r="A657" s="48" t="s">
        <v>978</v>
      </c>
      <c r="B657" s="49"/>
      <c r="C657" s="45"/>
      <c r="D657" s="45"/>
      <c r="E657" s="43"/>
      <c r="F657" s="45"/>
      <c r="G657" s="45"/>
      <c r="H657" s="114"/>
      <c r="I657" s="60"/>
      <c r="J657" s="60"/>
      <c r="K657" s="114"/>
      <c r="L657" s="114"/>
      <c r="M657" s="60"/>
      <c r="N657" s="60"/>
      <c r="O657" s="114"/>
      <c r="P657" s="114"/>
      <c r="Q657" s="114"/>
      <c r="R657" s="114"/>
      <c r="S657" s="114"/>
      <c r="T657" s="114"/>
      <c r="U657" s="114"/>
      <c r="V657" s="114"/>
      <c r="W657" s="114"/>
      <c r="X657" s="114"/>
      <c r="Y657" s="114"/>
      <c r="Z657" s="114"/>
    </row>
    <row r="658" spans="1:26" ht="15.75" customHeight="1" x14ac:dyDescent="0.25">
      <c r="A658" s="44" t="s">
        <v>980</v>
      </c>
      <c r="B658" s="41" t="s">
        <v>47</v>
      </c>
      <c r="C658" s="45">
        <v>0</v>
      </c>
      <c r="D658" s="45">
        <v>0</v>
      </c>
      <c r="E658" s="43">
        <v>0</v>
      </c>
      <c r="F658" s="45">
        <v>0</v>
      </c>
      <c r="G658" s="45">
        <v>120000</v>
      </c>
      <c r="H658" s="114"/>
      <c r="I658" s="60"/>
      <c r="J658" s="60"/>
      <c r="K658" s="114"/>
      <c r="L658" s="114"/>
      <c r="M658" s="60"/>
      <c r="N658" s="60"/>
      <c r="O658" s="114"/>
      <c r="P658" s="114"/>
      <c r="Q658" s="114"/>
      <c r="R658" s="114"/>
      <c r="S658" s="114"/>
      <c r="T658" s="114"/>
      <c r="U658" s="114"/>
      <c r="V658" s="114"/>
      <c r="W658" s="114"/>
      <c r="X658" s="114"/>
      <c r="Y658" s="114"/>
      <c r="Z658" s="114"/>
    </row>
    <row r="659" spans="1:26" ht="15.75" customHeight="1" x14ac:dyDescent="0.25">
      <c r="A659" s="48" t="s">
        <v>979</v>
      </c>
      <c r="B659" s="487"/>
      <c r="C659" s="473"/>
      <c r="D659" s="473"/>
      <c r="E659" s="438"/>
      <c r="F659" s="473"/>
      <c r="G659" s="473"/>
      <c r="H659" s="114"/>
      <c r="I659" s="60"/>
      <c r="J659" s="60"/>
      <c r="K659" s="114"/>
      <c r="L659" s="114"/>
      <c r="M659" s="60"/>
      <c r="N659" s="60"/>
      <c r="O659" s="114"/>
      <c r="P659" s="114"/>
      <c r="Q659" s="114"/>
      <c r="R659" s="114"/>
      <c r="S659" s="114"/>
      <c r="T659" s="114"/>
      <c r="U659" s="114"/>
      <c r="V659" s="114"/>
      <c r="W659" s="114"/>
      <c r="X659" s="114"/>
      <c r="Y659" s="114"/>
      <c r="Z659" s="114"/>
    </row>
    <row r="660" spans="1:26" ht="15.75" customHeight="1" x14ac:dyDescent="0.25">
      <c r="A660" s="48" t="s">
        <v>981</v>
      </c>
      <c r="B660" s="49"/>
      <c r="C660" s="45"/>
      <c r="D660" s="45"/>
      <c r="E660" s="43"/>
      <c r="F660" s="45"/>
      <c r="G660" s="45"/>
      <c r="H660" s="114"/>
      <c r="I660" s="60"/>
      <c r="J660" s="60"/>
      <c r="K660" s="114"/>
      <c r="L660" s="114"/>
      <c r="M660" s="60"/>
      <c r="N660" s="60"/>
      <c r="O660" s="114"/>
      <c r="P660" s="114"/>
      <c r="Q660" s="114"/>
      <c r="R660" s="114"/>
      <c r="S660" s="114"/>
      <c r="T660" s="114"/>
      <c r="U660" s="114"/>
      <c r="V660" s="114"/>
      <c r="W660" s="114"/>
      <c r="X660" s="114"/>
      <c r="Y660" s="114"/>
      <c r="Z660" s="114"/>
    </row>
    <row r="661" spans="1:26" ht="15.75" customHeight="1" x14ac:dyDescent="0.25">
      <c r="A661" s="42" t="s">
        <v>536</v>
      </c>
      <c r="B661" s="49"/>
      <c r="C661" s="79">
        <f>+SUM(C655:C656)</f>
        <v>0</v>
      </c>
      <c r="D661" s="79">
        <f>+SUM(D655:D656)</f>
        <v>0</v>
      </c>
      <c r="E661" s="54">
        <f>F661-D661</f>
        <v>0</v>
      </c>
      <c r="F661" s="79">
        <f>+SUM(F655:F656)</f>
        <v>0</v>
      </c>
      <c r="G661" s="79">
        <f>SUM(G656:G660)</f>
        <v>220000</v>
      </c>
      <c r="H661" s="114"/>
      <c r="I661" s="60"/>
      <c r="J661" s="60"/>
      <c r="K661" s="114"/>
      <c r="L661" s="114"/>
      <c r="M661" s="60"/>
      <c r="N661" s="60"/>
      <c r="O661" s="114"/>
      <c r="P661" s="114"/>
      <c r="Q661" s="114"/>
      <c r="R661" s="114"/>
      <c r="S661" s="114"/>
      <c r="T661" s="114"/>
      <c r="U661" s="114"/>
      <c r="V661" s="114"/>
      <c r="W661" s="114"/>
      <c r="X661" s="114"/>
      <c r="Y661" s="114"/>
      <c r="Z661" s="114"/>
    </row>
    <row r="662" spans="1:26" ht="15.75" customHeight="1" x14ac:dyDescent="0.25">
      <c r="A662" s="42"/>
      <c r="B662" s="49"/>
      <c r="C662" s="39"/>
      <c r="D662" s="55"/>
      <c r="E662" s="43"/>
      <c r="F662" s="55"/>
      <c r="G662" s="55"/>
      <c r="H662" s="114"/>
      <c r="I662" s="60"/>
      <c r="J662" s="60"/>
      <c r="K662" s="114"/>
      <c r="L662" s="114"/>
      <c r="M662" s="60"/>
      <c r="N662" s="60"/>
      <c r="O662" s="114"/>
      <c r="P662" s="114"/>
      <c r="Q662" s="114"/>
      <c r="R662" s="114"/>
      <c r="S662" s="114"/>
      <c r="T662" s="114"/>
      <c r="U662" s="114"/>
      <c r="V662" s="114"/>
      <c r="W662" s="114"/>
      <c r="X662" s="114"/>
      <c r="Y662" s="114"/>
      <c r="Z662" s="114"/>
    </row>
    <row r="663" spans="1:26" ht="15.75" customHeight="1" x14ac:dyDescent="0.25">
      <c r="A663" s="160" t="s">
        <v>487</v>
      </c>
      <c r="B663" s="51" t="s">
        <v>488</v>
      </c>
      <c r="C663" s="54">
        <f>+C661+C652</f>
        <v>5020572.7</v>
      </c>
      <c r="D663" s="54">
        <f>+D661+D650</f>
        <v>1535432.02</v>
      </c>
      <c r="E663" s="54">
        <f>F663-D663</f>
        <v>1840667.98</v>
      </c>
      <c r="F663" s="54">
        <f>+F661+F650</f>
        <v>3376100</v>
      </c>
      <c r="G663" s="54">
        <f>G652+G661</f>
        <v>5320853</v>
      </c>
      <c r="H663" s="114"/>
      <c r="I663" s="60"/>
      <c r="J663" s="60"/>
      <c r="K663" s="114"/>
      <c r="L663" s="114"/>
      <c r="M663" s="60"/>
      <c r="N663" s="60"/>
      <c r="O663" s="114"/>
      <c r="P663" s="114"/>
      <c r="Q663" s="114"/>
      <c r="R663" s="114"/>
      <c r="S663" s="114"/>
      <c r="T663" s="114"/>
      <c r="U663" s="114"/>
      <c r="V663" s="114"/>
      <c r="W663" s="114"/>
      <c r="X663" s="114"/>
      <c r="Y663" s="114"/>
      <c r="Z663" s="114"/>
    </row>
    <row r="664" spans="1:26" ht="15.75" customHeight="1" x14ac:dyDescent="0.25">
      <c r="A664" s="24"/>
      <c r="B664" s="25"/>
      <c r="C664" s="24"/>
      <c r="D664" s="24"/>
      <c r="E664" s="24"/>
      <c r="F664" s="114"/>
      <c r="G664" s="114"/>
      <c r="H664" s="114"/>
      <c r="I664" s="60"/>
      <c r="J664" s="60"/>
      <c r="K664" s="114"/>
      <c r="L664" s="114"/>
      <c r="M664" s="60"/>
      <c r="N664" s="60"/>
      <c r="O664" s="114"/>
      <c r="P664" s="114"/>
      <c r="Q664" s="114"/>
      <c r="R664" s="114"/>
      <c r="S664" s="114"/>
      <c r="T664" s="114"/>
      <c r="U664" s="114"/>
      <c r="V664" s="114"/>
      <c r="W664" s="114"/>
      <c r="X664" s="114"/>
      <c r="Y664" s="114"/>
      <c r="Z664" s="114"/>
    </row>
    <row r="665" spans="1:26" ht="15.75" customHeight="1" x14ac:dyDescent="0.25">
      <c r="A665" s="24"/>
      <c r="B665" s="25"/>
      <c r="C665" s="24"/>
      <c r="D665" s="24"/>
      <c r="E665" s="24"/>
      <c r="F665" s="15"/>
      <c r="G665" s="15"/>
      <c r="H665" s="15"/>
      <c r="I665" s="16"/>
      <c r="J665" s="16"/>
      <c r="K665" s="15">
        <v>5</v>
      </c>
      <c r="L665" s="15"/>
      <c r="M665" s="16"/>
      <c r="N665" s="16"/>
      <c r="O665" s="15"/>
      <c r="P665" s="15"/>
      <c r="Q665" s="15"/>
      <c r="R665" s="15"/>
      <c r="S665" s="15"/>
      <c r="T665" s="15"/>
      <c r="U665" s="15"/>
      <c r="V665" s="15"/>
      <c r="W665" s="15"/>
      <c r="X665" s="15"/>
      <c r="Y665" s="15"/>
      <c r="Z665" s="15"/>
    </row>
    <row r="666" spans="1:26" ht="15.75" customHeight="1" x14ac:dyDescent="0.25">
      <c r="A666" s="9"/>
      <c r="B666" s="104"/>
      <c r="C666" s="105"/>
      <c r="D666" s="105"/>
      <c r="E666" s="105"/>
      <c r="F666" s="10"/>
      <c r="G666" s="180"/>
      <c r="H666" s="15"/>
      <c r="I666" s="16"/>
      <c r="J666" s="16"/>
      <c r="K666" s="15"/>
      <c r="L666" s="15"/>
      <c r="M666" s="16"/>
      <c r="N666" s="16"/>
      <c r="O666" s="15"/>
      <c r="P666" s="15"/>
      <c r="Q666" s="15"/>
      <c r="R666" s="15"/>
      <c r="S666" s="15"/>
      <c r="T666" s="15"/>
      <c r="U666" s="15"/>
      <c r="V666" s="15"/>
      <c r="W666" s="15"/>
      <c r="X666" s="15"/>
      <c r="Y666" s="15"/>
      <c r="Z666" s="15"/>
    </row>
    <row r="667" spans="1:26" ht="15.75" customHeight="1" x14ac:dyDescent="0.25">
      <c r="A667" s="108" t="s">
        <v>821</v>
      </c>
      <c r="B667" s="25"/>
      <c r="C667" s="26"/>
      <c r="D667" s="26"/>
      <c r="E667" s="26"/>
      <c r="F667" s="14"/>
      <c r="G667" s="181"/>
      <c r="H667" s="15"/>
      <c r="I667" s="16"/>
      <c r="J667" s="16"/>
      <c r="K667" s="15"/>
      <c r="L667" s="15"/>
      <c r="M667" s="16"/>
      <c r="N667" s="16"/>
      <c r="O667" s="15"/>
      <c r="P667" s="15"/>
      <c r="Q667" s="15"/>
      <c r="R667" s="15"/>
      <c r="S667" s="15"/>
      <c r="T667" s="15"/>
      <c r="U667" s="15"/>
      <c r="V667" s="15"/>
      <c r="W667" s="15"/>
      <c r="X667" s="15"/>
      <c r="Y667" s="15"/>
      <c r="Z667" s="15"/>
    </row>
    <row r="668" spans="1:26" ht="15.75" customHeight="1" x14ac:dyDescent="0.25">
      <c r="A668" s="44"/>
      <c r="B668" s="25"/>
      <c r="C668" s="26"/>
      <c r="D668" s="26"/>
      <c r="E668" s="26"/>
      <c r="F668" s="14"/>
      <c r="G668" s="181"/>
      <c r="H668" s="15"/>
      <c r="I668" s="16"/>
      <c r="J668" s="16"/>
      <c r="K668" s="15"/>
      <c r="L668" s="15"/>
      <c r="M668" s="16"/>
      <c r="N668" s="16"/>
      <c r="O668" s="15"/>
      <c r="P668" s="15"/>
      <c r="Q668" s="15"/>
      <c r="R668" s="15"/>
      <c r="S668" s="15"/>
      <c r="T668" s="15"/>
      <c r="U668" s="15"/>
      <c r="V668" s="15"/>
      <c r="W668" s="15"/>
      <c r="X668" s="15"/>
      <c r="Y668" s="15"/>
      <c r="Z668" s="15"/>
    </row>
    <row r="669" spans="1:26" ht="15.75" customHeight="1" x14ac:dyDescent="0.25">
      <c r="A669" s="865" t="s">
        <v>352</v>
      </c>
      <c r="B669" s="866"/>
      <c r="C669" s="866"/>
      <c r="D669" s="866"/>
      <c r="E669" s="866"/>
      <c r="F669" s="866"/>
      <c r="G669" s="867"/>
      <c r="H669" s="15"/>
      <c r="I669" s="16"/>
      <c r="J669" s="16"/>
      <c r="K669" s="15"/>
      <c r="L669" s="15"/>
      <c r="M669" s="16"/>
      <c r="N669" s="16"/>
      <c r="O669" s="15"/>
      <c r="P669" s="15"/>
      <c r="Q669" s="15"/>
      <c r="R669" s="15"/>
      <c r="S669" s="15"/>
      <c r="T669" s="15"/>
      <c r="U669" s="15"/>
      <c r="V669" s="15"/>
      <c r="W669" s="15"/>
      <c r="X669" s="15"/>
      <c r="Y669" s="15"/>
      <c r="Z669" s="15"/>
    </row>
    <row r="670" spans="1:26" ht="15.75" customHeight="1" x14ac:dyDescent="0.25">
      <c r="A670" s="868" t="s">
        <v>353</v>
      </c>
      <c r="B670" s="857" t="s">
        <v>354</v>
      </c>
      <c r="C670" s="870" t="s">
        <v>355</v>
      </c>
      <c r="D670" s="872" t="s">
        <v>356</v>
      </c>
      <c r="E670" s="873"/>
      <c r="F670" s="874"/>
      <c r="G670" s="857" t="s">
        <v>357</v>
      </c>
      <c r="H670" s="15"/>
      <c r="I670" s="16"/>
      <c r="J670" s="16"/>
      <c r="K670" s="15"/>
      <c r="L670" s="15"/>
      <c r="M670" s="16"/>
      <c r="N670" s="16"/>
      <c r="O670" s="15"/>
      <c r="P670" s="15"/>
      <c r="Q670" s="15"/>
      <c r="R670" s="15"/>
      <c r="S670" s="15"/>
      <c r="T670" s="15"/>
      <c r="U670" s="15"/>
      <c r="V670" s="15"/>
      <c r="W670" s="15"/>
      <c r="X670" s="15"/>
      <c r="Y670" s="15"/>
      <c r="Z670" s="15"/>
    </row>
    <row r="671" spans="1:26" ht="15.75" customHeight="1" x14ac:dyDescent="0.25">
      <c r="A671" s="858"/>
      <c r="B671" s="858"/>
      <c r="C671" s="871"/>
      <c r="D671" s="28" t="s">
        <v>358</v>
      </c>
      <c r="E671" s="29" t="s">
        <v>359</v>
      </c>
      <c r="F671" s="875" t="s">
        <v>360</v>
      </c>
      <c r="G671" s="858"/>
      <c r="H671" s="15"/>
      <c r="I671" s="16"/>
      <c r="J671" s="16"/>
      <c r="K671" s="15"/>
      <c r="L671" s="15"/>
      <c r="M671" s="16"/>
      <c r="N671" s="16"/>
      <c r="O671" s="15"/>
      <c r="P671" s="15"/>
      <c r="Q671" s="15"/>
      <c r="R671" s="15"/>
      <c r="S671" s="15"/>
      <c r="T671" s="15"/>
      <c r="U671" s="15"/>
      <c r="V671" s="15"/>
      <c r="W671" s="15"/>
      <c r="X671" s="15"/>
      <c r="Y671" s="15"/>
      <c r="Z671" s="15"/>
    </row>
    <row r="672" spans="1:26" ht="15.75" customHeight="1" x14ac:dyDescent="0.25">
      <c r="A672" s="858"/>
      <c r="B672" s="858"/>
      <c r="C672" s="30" t="s">
        <v>361</v>
      </c>
      <c r="D672" s="31" t="s">
        <v>361</v>
      </c>
      <c r="E672" s="32" t="s">
        <v>362</v>
      </c>
      <c r="F672" s="860"/>
      <c r="G672" s="442" t="s">
        <v>2717</v>
      </c>
      <c r="H672" s="15"/>
      <c r="I672" s="16"/>
      <c r="J672" s="16"/>
      <c r="K672" s="15"/>
      <c r="L672" s="15"/>
      <c r="M672" s="16"/>
      <c r="N672" s="16"/>
      <c r="O672" s="15"/>
      <c r="P672" s="15"/>
      <c r="Q672" s="15"/>
      <c r="R672" s="15"/>
      <c r="S672" s="15"/>
      <c r="T672" s="15"/>
      <c r="U672" s="15"/>
      <c r="V672" s="15"/>
      <c r="W672" s="15"/>
      <c r="X672" s="15"/>
      <c r="Y672" s="15"/>
      <c r="Z672" s="15"/>
    </row>
    <row r="673" spans="1:26" ht="15.75" customHeight="1" x14ac:dyDescent="0.25">
      <c r="A673" s="869"/>
      <c r="B673" s="869"/>
      <c r="C673" s="33">
        <v>2024</v>
      </c>
      <c r="D673" s="34">
        <v>2025</v>
      </c>
      <c r="E673" s="34">
        <v>2025</v>
      </c>
      <c r="F673" s="34">
        <v>2025</v>
      </c>
      <c r="G673" s="36" t="s">
        <v>2668</v>
      </c>
      <c r="H673" s="15"/>
      <c r="I673" s="16"/>
      <c r="J673" s="16"/>
      <c r="K673" s="15"/>
      <c r="L673" s="15"/>
      <c r="M673" s="16"/>
      <c r="N673" s="16"/>
      <c r="O673" s="15"/>
      <c r="P673" s="15"/>
      <c r="Q673" s="15"/>
      <c r="R673" s="15"/>
      <c r="S673" s="15"/>
      <c r="T673" s="15"/>
      <c r="U673" s="15"/>
      <c r="V673" s="15"/>
      <c r="W673" s="15"/>
      <c r="X673" s="15"/>
      <c r="Y673" s="15"/>
      <c r="Z673" s="15"/>
    </row>
    <row r="674" spans="1:26" ht="15.75" customHeight="1" x14ac:dyDescent="0.25">
      <c r="A674" s="9" t="s">
        <v>364</v>
      </c>
      <c r="B674" s="38"/>
      <c r="C674" s="42"/>
      <c r="D674" s="42"/>
      <c r="E674" s="42"/>
      <c r="F674" s="42"/>
      <c r="G674" s="37"/>
      <c r="H674" s="114"/>
      <c r="I674" s="60"/>
      <c r="J674" s="60"/>
      <c r="K674" s="114"/>
      <c r="L674" s="114"/>
      <c r="M674" s="60"/>
      <c r="N674" s="60"/>
      <c r="O674" s="114"/>
      <c r="P674" s="114"/>
      <c r="Q674" s="114"/>
      <c r="R674" s="114"/>
      <c r="S674" s="114"/>
      <c r="T674" s="114"/>
      <c r="U674" s="114"/>
      <c r="V674" s="114"/>
      <c r="W674" s="114"/>
      <c r="X674" s="114"/>
      <c r="Y674" s="114"/>
      <c r="Z674" s="114"/>
    </row>
    <row r="675" spans="1:26" ht="15.75" customHeight="1" x14ac:dyDescent="0.25">
      <c r="A675" s="42" t="s">
        <v>491</v>
      </c>
      <c r="B675" s="49"/>
      <c r="C675" s="43"/>
      <c r="D675" s="43"/>
      <c r="E675" s="43"/>
      <c r="F675" s="43"/>
      <c r="G675" s="43"/>
      <c r="H675" s="114"/>
      <c r="I675" s="60"/>
      <c r="J675" s="60"/>
      <c r="K675" s="114"/>
      <c r="L675" s="114"/>
      <c r="M675" s="60"/>
      <c r="N675" s="60"/>
      <c r="O675" s="114"/>
      <c r="P675" s="114"/>
      <c r="Q675" s="114"/>
      <c r="R675" s="114"/>
      <c r="S675" s="114"/>
      <c r="T675" s="114"/>
      <c r="U675" s="114"/>
      <c r="V675" s="114"/>
      <c r="W675" s="114"/>
      <c r="X675" s="114"/>
      <c r="Y675" s="114"/>
      <c r="Z675" s="114"/>
    </row>
    <row r="676" spans="1:26" ht="15.75" customHeight="1" x14ac:dyDescent="0.25">
      <c r="A676" s="17" t="s">
        <v>424</v>
      </c>
      <c r="B676" s="41"/>
      <c r="C676" s="43"/>
      <c r="D676" s="43"/>
      <c r="E676" s="43"/>
      <c r="F676" s="43"/>
      <c r="G676" s="43"/>
      <c r="H676" s="114"/>
      <c r="I676" s="60"/>
      <c r="J676" s="60"/>
      <c r="K676" s="114"/>
      <c r="L676" s="114"/>
      <c r="M676" s="60"/>
      <c r="N676" s="60"/>
      <c r="O676" s="114"/>
      <c r="P676" s="114"/>
      <c r="Q676" s="114"/>
      <c r="R676" s="114"/>
      <c r="S676" s="114"/>
      <c r="T676" s="114"/>
      <c r="U676" s="114"/>
      <c r="V676" s="114"/>
      <c r="W676" s="114"/>
      <c r="X676" s="114"/>
      <c r="Y676" s="114"/>
      <c r="Z676" s="114"/>
    </row>
    <row r="677" spans="1:26" ht="15.75" customHeight="1" x14ac:dyDescent="0.25">
      <c r="A677" s="44" t="s">
        <v>424</v>
      </c>
      <c r="B677" s="41" t="s">
        <v>335</v>
      </c>
      <c r="C677" s="43">
        <v>9495457.0500000007</v>
      </c>
      <c r="D677" s="43">
        <v>0</v>
      </c>
      <c r="E677" s="43">
        <f>F677-D677</f>
        <v>10500000</v>
      </c>
      <c r="F677" s="43">
        <v>10500000</v>
      </c>
      <c r="G677" s="43">
        <v>10500000</v>
      </c>
      <c r="H677" s="114"/>
      <c r="I677" s="60"/>
      <c r="J677" s="60"/>
      <c r="K677" s="114"/>
      <c r="L677" s="114"/>
      <c r="M677" s="60"/>
      <c r="N677" s="60"/>
      <c r="O677" s="114"/>
      <c r="P677" s="114"/>
      <c r="Q677" s="114"/>
      <c r="R677" s="114"/>
      <c r="S677" s="114"/>
      <c r="T677" s="114"/>
      <c r="U677" s="114"/>
      <c r="V677" s="114"/>
      <c r="W677" s="114"/>
      <c r="X677" s="114"/>
      <c r="Y677" s="114"/>
      <c r="Z677" s="114"/>
    </row>
    <row r="678" spans="1:26" ht="15.75" customHeight="1" x14ac:dyDescent="0.25">
      <c r="A678" s="217" t="s">
        <v>982</v>
      </c>
      <c r="B678" s="41"/>
      <c r="C678" s="43"/>
      <c r="D678" s="43"/>
      <c r="E678" s="43"/>
      <c r="F678" s="43"/>
      <c r="G678" s="43"/>
      <c r="H678" s="114"/>
      <c r="I678" s="60"/>
      <c r="J678" s="60"/>
      <c r="K678" s="114"/>
      <c r="L678" s="114"/>
      <c r="M678" s="60"/>
      <c r="N678" s="60"/>
      <c r="O678" s="114"/>
      <c r="P678" s="114"/>
      <c r="Q678" s="114"/>
      <c r="R678" s="114"/>
      <c r="S678" s="114"/>
      <c r="T678" s="114"/>
      <c r="U678" s="114"/>
      <c r="V678" s="114"/>
      <c r="W678" s="114"/>
      <c r="X678" s="114"/>
      <c r="Y678" s="114"/>
      <c r="Z678" s="114"/>
    </row>
    <row r="679" spans="1:26" ht="15.75" customHeight="1" x14ac:dyDescent="0.25">
      <c r="A679" s="44" t="s">
        <v>983</v>
      </c>
      <c r="B679" s="41"/>
      <c r="C679" s="43"/>
      <c r="D679" s="43"/>
      <c r="E679" s="43"/>
      <c r="F679" s="43"/>
      <c r="G679" s="43"/>
      <c r="H679" s="114"/>
      <c r="I679" s="60"/>
      <c r="J679" s="60"/>
      <c r="K679" s="114"/>
      <c r="L679" s="114"/>
      <c r="M679" s="60"/>
      <c r="N679" s="60"/>
      <c r="O679" s="114"/>
      <c r="P679" s="114"/>
      <c r="Q679" s="114"/>
      <c r="R679" s="114"/>
      <c r="S679" s="114"/>
      <c r="T679" s="114"/>
      <c r="U679" s="114"/>
      <c r="V679" s="114"/>
      <c r="W679" s="114"/>
      <c r="X679" s="114"/>
      <c r="Y679" s="114"/>
      <c r="Z679" s="114"/>
    </row>
    <row r="680" spans="1:26" ht="15.75" customHeight="1" x14ac:dyDescent="0.25">
      <c r="A680" s="44" t="s">
        <v>984</v>
      </c>
      <c r="B680" s="41"/>
      <c r="C680" s="43"/>
      <c r="D680" s="43"/>
      <c r="E680" s="43"/>
      <c r="F680" s="43"/>
      <c r="G680" s="43"/>
      <c r="H680" s="114"/>
      <c r="I680" s="60"/>
      <c r="J680" s="60"/>
      <c r="K680" s="114"/>
      <c r="L680" s="114"/>
      <c r="M680" s="60"/>
      <c r="N680" s="60"/>
      <c r="O680" s="114"/>
      <c r="P680" s="114"/>
      <c r="Q680" s="114"/>
      <c r="R680" s="114"/>
      <c r="S680" s="114"/>
      <c r="T680" s="114"/>
      <c r="U680" s="114"/>
      <c r="V680" s="114"/>
      <c r="W680" s="114"/>
      <c r="X680" s="114"/>
      <c r="Y680" s="114"/>
      <c r="Z680" s="114"/>
    </row>
    <row r="681" spans="1:26" ht="15.75" customHeight="1" x14ac:dyDescent="0.25">
      <c r="A681" s="44" t="s">
        <v>985</v>
      </c>
      <c r="B681" s="41"/>
      <c r="C681" s="43"/>
      <c r="D681" s="43"/>
      <c r="E681" s="43"/>
      <c r="F681" s="43"/>
      <c r="G681" s="43"/>
      <c r="H681" s="114"/>
      <c r="I681" s="60"/>
      <c r="J681" s="60"/>
      <c r="K681" s="114"/>
      <c r="L681" s="114"/>
      <c r="M681" s="60"/>
      <c r="N681" s="60"/>
      <c r="O681" s="114"/>
      <c r="P681" s="114"/>
      <c r="Q681" s="114"/>
      <c r="R681" s="114"/>
      <c r="S681" s="114"/>
      <c r="T681" s="114"/>
      <c r="U681" s="114"/>
      <c r="V681" s="114"/>
      <c r="W681" s="114"/>
      <c r="X681" s="114"/>
      <c r="Y681" s="114"/>
      <c r="Z681" s="114"/>
    </row>
    <row r="682" spans="1:26" ht="15.75" customHeight="1" x14ac:dyDescent="0.25">
      <c r="A682" s="44" t="s">
        <v>986</v>
      </c>
      <c r="B682" s="41"/>
      <c r="C682" s="43"/>
      <c r="D682" s="43"/>
      <c r="E682" s="43"/>
      <c r="F682" s="43"/>
      <c r="G682" s="43"/>
      <c r="H682" s="114"/>
      <c r="I682" s="60"/>
      <c r="J682" s="60"/>
      <c r="K682" s="114"/>
      <c r="L682" s="114"/>
      <c r="M682" s="60"/>
      <c r="N682" s="60"/>
      <c r="O682" s="114"/>
      <c r="P682" s="114"/>
      <c r="Q682" s="114"/>
      <c r="R682" s="114"/>
      <c r="S682" s="114"/>
      <c r="T682" s="114"/>
      <c r="U682" s="114"/>
      <c r="V682" s="114"/>
      <c r="W682" s="114"/>
      <c r="X682" s="114"/>
      <c r="Y682" s="114"/>
      <c r="Z682" s="114"/>
    </row>
    <row r="683" spans="1:26" ht="15.75" customHeight="1" x14ac:dyDescent="0.25">
      <c r="A683" s="44" t="s">
        <v>987</v>
      </c>
      <c r="B683" s="41"/>
      <c r="C683" s="43"/>
      <c r="D683" s="43"/>
      <c r="E683" s="43"/>
      <c r="F683" s="43"/>
      <c r="G683" s="43"/>
      <c r="H683" s="114"/>
      <c r="I683" s="60"/>
      <c r="J683" s="60"/>
      <c r="K683" s="114"/>
      <c r="L683" s="114"/>
      <c r="M683" s="60"/>
      <c r="N683" s="60"/>
      <c r="O683" s="114"/>
      <c r="P683" s="114"/>
      <c r="Q683" s="114"/>
      <c r="R683" s="114"/>
      <c r="S683" s="114"/>
      <c r="T683" s="114"/>
      <c r="U683" s="114"/>
      <c r="V683" s="114"/>
      <c r="W683" s="114"/>
      <c r="X683" s="114"/>
      <c r="Y683" s="114"/>
      <c r="Z683" s="114"/>
    </row>
    <row r="684" spans="1:26" ht="15.75" customHeight="1" x14ac:dyDescent="0.25">
      <c r="A684" s="42" t="s">
        <v>466</v>
      </c>
      <c r="B684" s="41"/>
      <c r="C684" s="54">
        <f t="shared" ref="C684:D684" si="115">SUM(C676:C677)</f>
        <v>9495457.0500000007</v>
      </c>
      <c r="D684" s="54">
        <f t="shared" si="115"/>
        <v>0</v>
      </c>
      <c r="E684" s="54">
        <f>F684-D684</f>
        <v>10500000</v>
      </c>
      <c r="F684" s="54">
        <f>SUM(F676:F677)</f>
        <v>10500000</v>
      </c>
      <c r="G684" s="54">
        <f>+F684</f>
        <v>10500000</v>
      </c>
      <c r="H684" s="114"/>
      <c r="I684" s="60"/>
      <c r="J684" s="60"/>
      <c r="K684" s="114"/>
      <c r="L684" s="114"/>
      <c r="M684" s="60"/>
      <c r="N684" s="60"/>
      <c r="O684" s="114"/>
      <c r="P684" s="114"/>
      <c r="Q684" s="114"/>
      <c r="R684" s="114"/>
      <c r="S684" s="114"/>
      <c r="T684" s="114"/>
      <c r="U684" s="114"/>
      <c r="V684" s="114"/>
      <c r="W684" s="114"/>
      <c r="X684" s="114"/>
      <c r="Y684" s="114"/>
      <c r="Z684" s="114"/>
    </row>
    <row r="685" spans="1:26" ht="15.75" customHeight="1" x14ac:dyDescent="0.25">
      <c r="A685" s="17"/>
      <c r="B685" s="41"/>
      <c r="C685" s="55"/>
      <c r="D685" s="55"/>
      <c r="E685" s="43"/>
      <c r="F685" s="55"/>
      <c r="G685" s="55"/>
      <c r="H685" s="114"/>
      <c r="I685" s="60"/>
      <c r="J685" s="60"/>
      <c r="K685" s="114"/>
      <c r="L685" s="114"/>
      <c r="M685" s="60"/>
      <c r="N685" s="60"/>
      <c r="O685" s="114"/>
      <c r="P685" s="114"/>
      <c r="Q685" s="114"/>
      <c r="R685" s="114"/>
      <c r="S685" s="114"/>
      <c r="T685" s="114"/>
      <c r="U685" s="114"/>
      <c r="V685" s="114"/>
      <c r="W685" s="114"/>
      <c r="X685" s="114"/>
      <c r="Y685" s="114"/>
      <c r="Z685" s="114"/>
    </row>
    <row r="686" spans="1:26" ht="15.75" customHeight="1" x14ac:dyDescent="0.25">
      <c r="A686" s="17" t="s">
        <v>467</v>
      </c>
      <c r="B686" s="41"/>
      <c r="C686" s="43">
        <f t="shared" ref="C686:D686" si="116">C684</f>
        <v>9495457.0500000007</v>
      </c>
      <c r="D686" s="43">
        <f t="shared" si="116"/>
        <v>0</v>
      </c>
      <c r="E686" s="43">
        <f>F686-D686</f>
        <v>10500000</v>
      </c>
      <c r="F686" s="43">
        <f t="shared" ref="F686:G686" si="117">F684</f>
        <v>10500000</v>
      </c>
      <c r="G686" s="43">
        <f t="shared" si="117"/>
        <v>10500000</v>
      </c>
      <c r="H686" s="114"/>
      <c r="I686" s="60"/>
      <c r="J686" s="60"/>
      <c r="K686" s="114"/>
      <c r="L686" s="114"/>
      <c r="M686" s="60"/>
      <c r="N686" s="60"/>
      <c r="O686" s="114"/>
      <c r="P686" s="114"/>
      <c r="Q686" s="114"/>
      <c r="R686" s="114"/>
      <c r="S686" s="114"/>
      <c r="T686" s="114"/>
      <c r="U686" s="114"/>
      <c r="V686" s="114"/>
      <c r="W686" s="114"/>
      <c r="X686" s="114"/>
      <c r="Y686" s="114"/>
      <c r="Z686" s="114"/>
    </row>
    <row r="687" spans="1:26" ht="15.75" customHeight="1" x14ac:dyDescent="0.25">
      <c r="A687" s="17"/>
      <c r="B687" s="41"/>
      <c r="C687" s="43"/>
      <c r="D687" s="43"/>
      <c r="E687" s="43"/>
      <c r="F687" s="43"/>
      <c r="G687" s="43"/>
      <c r="H687" s="114"/>
      <c r="I687" s="60"/>
      <c r="J687" s="60"/>
      <c r="K687" s="114"/>
      <c r="L687" s="114"/>
      <c r="M687" s="60"/>
      <c r="N687" s="60"/>
      <c r="O687" s="114"/>
      <c r="P687" s="114"/>
      <c r="Q687" s="114"/>
      <c r="R687" s="114"/>
      <c r="S687" s="114"/>
      <c r="T687" s="114"/>
      <c r="U687" s="114"/>
      <c r="V687" s="114"/>
      <c r="W687" s="114"/>
      <c r="X687" s="114"/>
      <c r="Y687" s="114"/>
      <c r="Z687" s="114"/>
    </row>
    <row r="688" spans="1:26" ht="15.75" customHeight="1" x14ac:dyDescent="0.25">
      <c r="A688" s="50" t="s">
        <v>487</v>
      </c>
      <c r="B688" s="51" t="s">
        <v>488</v>
      </c>
      <c r="C688" s="54">
        <f t="shared" ref="C688:D688" si="118">C686</f>
        <v>9495457.0500000007</v>
      </c>
      <c r="D688" s="54">
        <f t="shared" si="118"/>
        <v>0</v>
      </c>
      <c r="E688" s="54">
        <f>F688-D688</f>
        <v>10500000</v>
      </c>
      <c r="F688" s="54">
        <f t="shared" ref="F688:G688" si="119">F686</f>
        <v>10500000</v>
      </c>
      <c r="G688" s="54">
        <f t="shared" si="119"/>
        <v>10500000</v>
      </c>
      <c r="H688" s="114"/>
      <c r="I688" s="60"/>
      <c r="J688" s="60"/>
      <c r="K688" s="114"/>
      <c r="L688" s="114"/>
      <c r="M688" s="60"/>
      <c r="N688" s="60"/>
      <c r="O688" s="114"/>
      <c r="P688" s="114"/>
      <c r="Q688" s="114"/>
      <c r="R688" s="114"/>
      <c r="S688" s="114"/>
      <c r="T688" s="114"/>
      <c r="U688" s="114"/>
      <c r="V688" s="114"/>
      <c r="W688" s="114"/>
      <c r="X688" s="114"/>
      <c r="Y688" s="114"/>
      <c r="Z688" s="114"/>
    </row>
    <row r="689" spans="1:26" ht="15.75" customHeight="1" x14ac:dyDescent="0.25">
      <c r="A689" s="24"/>
      <c r="B689" s="25"/>
      <c r="C689" s="26"/>
      <c r="D689" s="26"/>
      <c r="E689" s="26"/>
      <c r="F689" s="26"/>
      <c r="G689" s="26"/>
      <c r="H689" s="114"/>
      <c r="I689" s="60"/>
      <c r="J689" s="60"/>
      <c r="K689" s="114"/>
      <c r="L689" s="114"/>
      <c r="M689" s="60"/>
      <c r="N689" s="60"/>
      <c r="O689" s="114"/>
      <c r="P689" s="114"/>
      <c r="Q689" s="114"/>
      <c r="R689" s="114"/>
      <c r="S689" s="114"/>
      <c r="T689" s="114"/>
      <c r="U689" s="114"/>
      <c r="V689" s="114"/>
      <c r="W689" s="114"/>
      <c r="X689" s="114"/>
      <c r="Y689" s="114"/>
      <c r="Z689" s="114"/>
    </row>
    <row r="690" spans="1:26" ht="15.75" customHeight="1" x14ac:dyDescent="0.25">
      <c r="A690" s="24"/>
      <c r="B690" s="25"/>
      <c r="C690" s="24"/>
      <c r="D690" s="24"/>
      <c r="E690" s="24"/>
      <c r="F690" s="15"/>
      <c r="G690" s="15"/>
      <c r="H690" s="15"/>
      <c r="I690" s="16"/>
      <c r="J690" s="16"/>
      <c r="K690" s="15"/>
      <c r="L690" s="15"/>
      <c r="M690" s="16"/>
      <c r="N690" s="16"/>
      <c r="O690" s="15"/>
      <c r="P690" s="15"/>
      <c r="Q690" s="15"/>
      <c r="R690" s="15"/>
      <c r="S690" s="15"/>
      <c r="T690" s="15"/>
      <c r="U690" s="15"/>
      <c r="V690" s="15"/>
      <c r="W690" s="15"/>
      <c r="X690" s="15"/>
      <c r="Y690" s="15"/>
      <c r="Z690" s="15"/>
    </row>
    <row r="691" spans="1:26" ht="15.75" customHeight="1" x14ac:dyDescent="0.25">
      <c r="A691" s="9"/>
      <c r="B691" s="104"/>
      <c r="C691" s="105"/>
      <c r="D691" s="105"/>
      <c r="E691" s="105"/>
      <c r="F691" s="10"/>
      <c r="G691" s="180"/>
      <c r="H691" s="15"/>
      <c r="I691" s="16"/>
      <c r="J691" s="16"/>
      <c r="K691" s="15"/>
      <c r="L691" s="15"/>
      <c r="M691" s="16"/>
      <c r="N691" s="16"/>
      <c r="O691" s="15"/>
      <c r="P691" s="15"/>
      <c r="Q691" s="15"/>
      <c r="R691" s="15"/>
      <c r="S691" s="15"/>
      <c r="T691" s="15"/>
      <c r="U691" s="15"/>
      <c r="V691" s="15"/>
      <c r="W691" s="15"/>
      <c r="X691" s="15"/>
      <c r="Y691" s="15"/>
      <c r="Z691" s="15"/>
    </row>
    <row r="692" spans="1:26" ht="15.75" customHeight="1" x14ac:dyDescent="0.25">
      <c r="A692" s="108" t="s">
        <v>822</v>
      </c>
      <c r="B692" s="25"/>
      <c r="C692" s="26"/>
      <c r="D692" s="26"/>
      <c r="E692" s="26"/>
      <c r="F692" s="14"/>
      <c r="G692" s="181"/>
      <c r="H692" s="15"/>
      <c r="I692" s="16"/>
      <c r="J692" s="16"/>
      <c r="K692" s="15"/>
      <c r="L692" s="15"/>
      <c r="M692" s="16"/>
      <c r="N692" s="16"/>
      <c r="O692" s="15"/>
      <c r="P692" s="15"/>
      <c r="Q692" s="15"/>
      <c r="R692" s="15"/>
      <c r="S692" s="15"/>
      <c r="T692" s="15"/>
      <c r="U692" s="15"/>
      <c r="V692" s="15"/>
      <c r="W692" s="15"/>
      <c r="X692" s="15"/>
      <c r="Y692" s="15"/>
      <c r="Z692" s="15"/>
    </row>
    <row r="693" spans="1:26" ht="15.75" customHeight="1" x14ac:dyDescent="0.25">
      <c r="A693" s="44"/>
      <c r="B693" s="25"/>
      <c r="C693" s="26"/>
      <c r="D693" s="26"/>
      <c r="E693" s="26"/>
      <c r="F693" s="14"/>
      <c r="G693" s="181"/>
      <c r="H693" s="15"/>
      <c r="I693" s="16"/>
      <c r="J693" s="16"/>
      <c r="K693" s="15"/>
      <c r="L693" s="15"/>
      <c r="M693" s="16"/>
      <c r="N693" s="16"/>
      <c r="O693" s="15"/>
      <c r="P693" s="15"/>
      <c r="Q693" s="15"/>
      <c r="R693" s="15"/>
      <c r="S693" s="15"/>
      <c r="T693" s="15"/>
      <c r="U693" s="15"/>
      <c r="V693" s="15"/>
      <c r="W693" s="15"/>
      <c r="X693" s="15"/>
      <c r="Y693" s="15"/>
      <c r="Z693" s="15"/>
    </row>
    <row r="694" spans="1:26" ht="15.75" customHeight="1" x14ac:dyDescent="0.25">
      <c r="A694" s="865" t="s">
        <v>352</v>
      </c>
      <c r="B694" s="866"/>
      <c r="C694" s="866"/>
      <c r="D694" s="866"/>
      <c r="E694" s="866"/>
      <c r="F694" s="866"/>
      <c r="G694" s="867"/>
      <c r="H694" s="15"/>
      <c r="I694" s="16"/>
      <c r="J694" s="16"/>
      <c r="K694" s="15"/>
      <c r="L694" s="15"/>
      <c r="M694" s="16"/>
      <c r="N694" s="16"/>
      <c r="O694" s="15"/>
      <c r="P694" s="15"/>
      <c r="Q694" s="15"/>
      <c r="R694" s="15"/>
      <c r="S694" s="15"/>
      <c r="T694" s="15"/>
      <c r="U694" s="15"/>
      <c r="V694" s="15"/>
      <c r="W694" s="15"/>
      <c r="X694" s="15"/>
      <c r="Y694" s="15"/>
      <c r="Z694" s="15"/>
    </row>
    <row r="695" spans="1:26" ht="15.75" customHeight="1" x14ac:dyDescent="0.25">
      <c r="A695" s="868" t="s">
        <v>353</v>
      </c>
      <c r="B695" s="857" t="s">
        <v>354</v>
      </c>
      <c r="C695" s="870" t="s">
        <v>355</v>
      </c>
      <c r="D695" s="872" t="s">
        <v>356</v>
      </c>
      <c r="E695" s="873"/>
      <c r="F695" s="874"/>
      <c r="G695" s="857" t="s">
        <v>357</v>
      </c>
      <c r="H695" s="15"/>
      <c r="I695" s="16"/>
      <c r="J695" s="16"/>
      <c r="K695" s="15"/>
      <c r="L695" s="15"/>
      <c r="M695" s="16"/>
      <c r="N695" s="16"/>
      <c r="O695" s="15"/>
      <c r="P695" s="15"/>
      <c r="Q695" s="15"/>
      <c r="R695" s="15"/>
      <c r="S695" s="15"/>
      <c r="T695" s="15"/>
      <c r="U695" s="15"/>
      <c r="V695" s="15"/>
      <c r="W695" s="15"/>
      <c r="X695" s="15"/>
      <c r="Y695" s="15"/>
      <c r="Z695" s="15"/>
    </row>
    <row r="696" spans="1:26" ht="15.75" customHeight="1" x14ac:dyDescent="0.25">
      <c r="A696" s="858"/>
      <c r="B696" s="858"/>
      <c r="C696" s="871"/>
      <c r="D696" s="28" t="s">
        <v>358</v>
      </c>
      <c r="E696" s="29" t="s">
        <v>359</v>
      </c>
      <c r="F696" s="875" t="s">
        <v>360</v>
      </c>
      <c r="G696" s="858"/>
      <c r="H696" s="15"/>
      <c r="I696" s="16"/>
      <c r="J696" s="16"/>
      <c r="K696" s="15"/>
      <c r="L696" s="15"/>
      <c r="M696" s="16"/>
      <c r="N696" s="16"/>
      <c r="O696" s="15"/>
      <c r="P696" s="15"/>
      <c r="Q696" s="15"/>
      <c r="R696" s="15"/>
      <c r="S696" s="15"/>
      <c r="T696" s="15"/>
      <c r="U696" s="15"/>
      <c r="V696" s="15"/>
      <c r="W696" s="15"/>
      <c r="X696" s="15"/>
      <c r="Y696" s="15"/>
      <c r="Z696" s="15"/>
    </row>
    <row r="697" spans="1:26" ht="15.75" customHeight="1" x14ac:dyDescent="0.25">
      <c r="A697" s="858"/>
      <c r="B697" s="858"/>
      <c r="C697" s="30" t="s">
        <v>361</v>
      </c>
      <c r="D697" s="31" t="s">
        <v>361</v>
      </c>
      <c r="E697" s="32" t="s">
        <v>362</v>
      </c>
      <c r="F697" s="860"/>
      <c r="G697" s="442" t="s">
        <v>2717</v>
      </c>
      <c r="H697" s="15"/>
      <c r="I697" s="16"/>
      <c r="J697" s="16"/>
      <c r="K697" s="15"/>
      <c r="L697" s="15"/>
      <c r="M697" s="16"/>
      <c r="N697" s="16"/>
      <c r="O697" s="15"/>
      <c r="P697" s="15"/>
      <c r="Q697" s="15"/>
      <c r="R697" s="15"/>
      <c r="S697" s="15"/>
      <c r="T697" s="15"/>
      <c r="U697" s="15"/>
      <c r="V697" s="15"/>
      <c r="W697" s="15"/>
      <c r="X697" s="15"/>
      <c r="Y697" s="15"/>
      <c r="Z697" s="15"/>
    </row>
    <row r="698" spans="1:26" ht="15.75" customHeight="1" x14ac:dyDescent="0.25">
      <c r="A698" s="869"/>
      <c r="B698" s="869"/>
      <c r="C698" s="33">
        <v>2024</v>
      </c>
      <c r="D698" s="34">
        <v>2025</v>
      </c>
      <c r="E698" s="34">
        <v>2025</v>
      </c>
      <c r="F698" s="34">
        <v>2025</v>
      </c>
      <c r="G698" s="36" t="s">
        <v>2668</v>
      </c>
      <c r="H698" s="15"/>
      <c r="I698" s="16"/>
      <c r="J698" s="16"/>
      <c r="K698" s="15"/>
      <c r="L698" s="15"/>
      <c r="M698" s="16"/>
      <c r="N698" s="16"/>
      <c r="O698" s="15"/>
      <c r="P698" s="15"/>
      <c r="Q698" s="15"/>
      <c r="R698" s="15"/>
      <c r="S698" s="15"/>
      <c r="T698" s="15"/>
      <c r="U698" s="15"/>
      <c r="V698" s="15"/>
      <c r="W698" s="15"/>
      <c r="X698" s="15"/>
      <c r="Y698" s="15"/>
      <c r="Z698" s="15"/>
    </row>
    <row r="699" spans="1:26" ht="15.75" customHeight="1" x14ac:dyDescent="0.25">
      <c r="A699" s="17" t="s">
        <v>364</v>
      </c>
      <c r="B699" s="41"/>
      <c r="C699" s="42"/>
      <c r="D699" s="42"/>
      <c r="E699" s="42"/>
      <c r="F699" s="42"/>
      <c r="G699" s="42"/>
      <c r="H699" s="114"/>
      <c r="I699" s="60"/>
      <c r="J699" s="60"/>
      <c r="K699" s="114"/>
      <c r="L699" s="114"/>
      <c r="M699" s="60"/>
      <c r="N699" s="60"/>
      <c r="O699" s="114"/>
      <c r="P699" s="114"/>
      <c r="Q699" s="114"/>
      <c r="R699" s="114"/>
      <c r="S699" s="114"/>
      <c r="T699" s="114"/>
      <c r="U699" s="114"/>
      <c r="V699" s="114"/>
      <c r="W699" s="114"/>
      <c r="X699" s="114"/>
      <c r="Y699" s="114"/>
      <c r="Z699" s="114"/>
    </row>
    <row r="700" spans="1:26" ht="15.75" customHeight="1" x14ac:dyDescent="0.25">
      <c r="A700" s="42" t="s">
        <v>491</v>
      </c>
      <c r="B700" s="49"/>
      <c r="C700" s="43"/>
      <c r="D700" s="43"/>
      <c r="E700" s="43"/>
      <c r="F700" s="43"/>
      <c r="G700" s="43"/>
      <c r="H700" s="114"/>
      <c r="I700" s="60"/>
      <c r="J700" s="60"/>
      <c r="K700" s="114"/>
      <c r="L700" s="114"/>
      <c r="M700" s="60"/>
      <c r="N700" s="60"/>
      <c r="O700" s="114"/>
      <c r="P700" s="114"/>
      <c r="Q700" s="114"/>
      <c r="R700" s="114"/>
      <c r="S700" s="114"/>
      <c r="T700" s="114"/>
      <c r="U700" s="114"/>
      <c r="V700" s="114"/>
      <c r="W700" s="114"/>
      <c r="X700" s="114"/>
      <c r="Y700" s="114"/>
      <c r="Z700" s="114"/>
    </row>
    <row r="701" spans="1:26" ht="15.75" customHeight="1" x14ac:dyDescent="0.25">
      <c r="A701" s="17" t="s">
        <v>499</v>
      </c>
      <c r="B701" s="41"/>
      <c r="C701" s="41"/>
      <c r="D701" s="41"/>
      <c r="E701" s="20"/>
      <c r="F701" s="120"/>
      <c r="G701" s="49"/>
      <c r="H701" s="114"/>
      <c r="I701" s="60"/>
      <c r="J701" s="60"/>
      <c r="K701" s="114"/>
      <c r="L701" s="114"/>
      <c r="M701" s="60"/>
      <c r="N701" s="60"/>
      <c r="O701" s="114"/>
      <c r="P701" s="114"/>
      <c r="Q701" s="114"/>
      <c r="R701" s="114"/>
      <c r="S701" s="114"/>
      <c r="T701" s="114"/>
      <c r="U701" s="114"/>
      <c r="V701" s="114"/>
      <c r="W701" s="114"/>
      <c r="X701" s="114"/>
      <c r="Y701" s="114"/>
      <c r="Z701" s="114"/>
    </row>
    <row r="702" spans="1:26" ht="15.75" customHeight="1" x14ac:dyDescent="0.25">
      <c r="A702" s="44" t="s">
        <v>398</v>
      </c>
      <c r="B702" s="41" t="s">
        <v>195</v>
      </c>
      <c r="C702" s="43">
        <v>24990.01</v>
      </c>
      <c r="D702" s="43">
        <v>0</v>
      </c>
      <c r="E702" s="43">
        <f>F702-D702</f>
        <v>25000</v>
      </c>
      <c r="F702" s="43">
        <v>25000</v>
      </c>
      <c r="G702" s="43">
        <v>10000</v>
      </c>
      <c r="H702" s="114"/>
      <c r="I702" s="60"/>
      <c r="J702" s="60"/>
      <c r="K702" s="114"/>
      <c r="L702" s="114"/>
      <c r="M702" s="60"/>
      <c r="N702" s="60"/>
      <c r="O702" s="114"/>
      <c r="P702" s="114"/>
      <c r="Q702" s="114"/>
      <c r="R702" s="114"/>
      <c r="S702" s="114"/>
      <c r="T702" s="114"/>
      <c r="U702" s="114"/>
      <c r="V702" s="114"/>
      <c r="W702" s="114"/>
      <c r="X702" s="114"/>
      <c r="Y702" s="114"/>
      <c r="Z702" s="114"/>
    </row>
    <row r="703" spans="1:26" ht="15.75" customHeight="1" x14ac:dyDescent="0.25">
      <c r="A703" s="17" t="s">
        <v>424</v>
      </c>
      <c r="B703" s="41"/>
      <c r="C703" s="43"/>
      <c r="D703" s="43"/>
      <c r="E703" s="43"/>
      <c r="F703" s="43"/>
      <c r="G703" s="43"/>
      <c r="H703" s="114"/>
      <c r="I703" s="60"/>
      <c r="J703" s="60"/>
      <c r="K703" s="114"/>
      <c r="L703" s="114"/>
      <c r="M703" s="60"/>
      <c r="N703" s="60"/>
      <c r="O703" s="114"/>
      <c r="P703" s="114"/>
      <c r="Q703" s="114"/>
      <c r="R703" s="114"/>
      <c r="S703" s="114"/>
      <c r="T703" s="114"/>
      <c r="U703" s="114"/>
      <c r="V703" s="114"/>
      <c r="W703" s="114"/>
      <c r="X703" s="114"/>
      <c r="Y703" s="114"/>
      <c r="Z703" s="114"/>
    </row>
    <row r="704" spans="1:26" ht="15.75" customHeight="1" x14ac:dyDescent="0.25">
      <c r="A704" s="44" t="s">
        <v>424</v>
      </c>
      <c r="B704" s="41" t="s">
        <v>335</v>
      </c>
      <c r="C704" s="43">
        <v>8139.56</v>
      </c>
      <c r="D704" s="43">
        <v>0</v>
      </c>
      <c r="E704" s="43">
        <f>F704-D704</f>
        <v>10000</v>
      </c>
      <c r="F704" s="43">
        <v>10000</v>
      </c>
      <c r="G704" s="43">
        <v>25000</v>
      </c>
      <c r="H704" s="114"/>
      <c r="I704" s="60"/>
      <c r="J704" s="60"/>
      <c r="K704" s="114"/>
      <c r="L704" s="114"/>
      <c r="M704" s="60"/>
      <c r="N704" s="60"/>
      <c r="O704" s="114"/>
      <c r="P704" s="114"/>
      <c r="Q704" s="114"/>
      <c r="R704" s="114"/>
      <c r="S704" s="114"/>
      <c r="T704" s="114"/>
      <c r="U704" s="114"/>
      <c r="V704" s="114"/>
      <c r="W704" s="114"/>
      <c r="X704" s="114"/>
      <c r="Y704" s="114"/>
      <c r="Z704" s="114"/>
    </row>
    <row r="705" spans="1:26" ht="15.75" customHeight="1" x14ac:dyDescent="0.25">
      <c r="A705" s="48" t="s">
        <v>988</v>
      </c>
      <c r="B705" s="41"/>
      <c r="C705" s="43"/>
      <c r="D705" s="43"/>
      <c r="E705" s="43"/>
      <c r="F705" s="43"/>
      <c r="G705" s="43"/>
      <c r="H705" s="114"/>
      <c r="I705" s="60"/>
      <c r="J705" s="60"/>
      <c r="K705" s="114"/>
      <c r="L705" s="114"/>
      <c r="M705" s="60"/>
      <c r="N705" s="60"/>
      <c r="O705" s="114"/>
      <c r="P705" s="114"/>
      <c r="Q705" s="114"/>
      <c r="R705" s="114"/>
      <c r="S705" s="114"/>
      <c r="T705" s="114"/>
      <c r="U705" s="114"/>
      <c r="V705" s="114"/>
      <c r="W705" s="114"/>
      <c r="X705" s="114"/>
      <c r="Y705" s="114"/>
      <c r="Z705" s="114"/>
    </row>
    <row r="706" spans="1:26" ht="15.75" customHeight="1" x14ac:dyDescent="0.25">
      <c r="A706" s="44" t="s">
        <v>989</v>
      </c>
      <c r="B706" s="41"/>
      <c r="C706" s="43"/>
      <c r="D706" s="43"/>
      <c r="E706" s="43"/>
      <c r="F706" s="43"/>
      <c r="G706" s="43"/>
      <c r="H706" s="114"/>
      <c r="I706" s="60"/>
      <c r="J706" s="60"/>
      <c r="K706" s="114"/>
      <c r="L706" s="114"/>
      <c r="M706" s="60"/>
      <c r="N706" s="60"/>
      <c r="O706" s="114"/>
      <c r="P706" s="114"/>
      <c r="Q706" s="114"/>
      <c r="R706" s="114"/>
      <c r="S706" s="114"/>
      <c r="T706" s="114"/>
      <c r="U706" s="114"/>
      <c r="V706" s="114"/>
      <c r="W706" s="114"/>
      <c r="X706" s="114"/>
      <c r="Y706" s="114"/>
      <c r="Z706" s="114"/>
    </row>
    <row r="707" spans="1:26" ht="15.75" customHeight="1" x14ac:dyDescent="0.25">
      <c r="A707" s="42" t="s">
        <v>466</v>
      </c>
      <c r="B707" s="41"/>
      <c r="C707" s="54">
        <f t="shared" ref="C707:D707" si="120">SUM(C702:C704)</f>
        <v>33129.57</v>
      </c>
      <c r="D707" s="54">
        <f t="shared" si="120"/>
        <v>0</v>
      </c>
      <c r="E707" s="54">
        <f>F707-D707</f>
        <v>35000</v>
      </c>
      <c r="F707" s="54">
        <f t="shared" ref="F707:G707" si="121">SUM(F702:F704)</f>
        <v>35000</v>
      </c>
      <c r="G707" s="54">
        <f t="shared" si="121"/>
        <v>35000</v>
      </c>
      <c r="H707" s="114"/>
      <c r="I707" s="60"/>
      <c r="J707" s="60"/>
      <c r="K707" s="114"/>
      <c r="L707" s="114"/>
      <c r="M707" s="60"/>
      <c r="N707" s="60"/>
      <c r="O707" s="114"/>
      <c r="P707" s="114"/>
      <c r="Q707" s="114"/>
      <c r="R707" s="114"/>
      <c r="S707" s="114"/>
      <c r="T707" s="114"/>
      <c r="U707" s="114"/>
      <c r="V707" s="114"/>
      <c r="W707" s="114"/>
      <c r="X707" s="114"/>
      <c r="Y707" s="114"/>
      <c r="Z707" s="114"/>
    </row>
    <row r="708" spans="1:26" ht="15.75" customHeight="1" x14ac:dyDescent="0.25">
      <c r="A708" s="17"/>
      <c r="B708" s="41"/>
      <c r="C708" s="55"/>
      <c r="D708" s="55"/>
      <c r="E708" s="43"/>
      <c r="F708" s="55"/>
      <c r="G708" s="55"/>
      <c r="H708" s="114"/>
      <c r="I708" s="60"/>
      <c r="J708" s="60"/>
      <c r="K708" s="114"/>
      <c r="L708" s="114"/>
      <c r="M708" s="60"/>
      <c r="N708" s="60"/>
      <c r="O708" s="114"/>
      <c r="P708" s="114"/>
      <c r="Q708" s="114"/>
      <c r="R708" s="114"/>
      <c r="S708" s="114"/>
      <c r="T708" s="114"/>
      <c r="U708" s="114"/>
      <c r="V708" s="114"/>
      <c r="W708" s="114"/>
      <c r="X708" s="114"/>
      <c r="Y708" s="114"/>
      <c r="Z708" s="114"/>
    </row>
    <row r="709" spans="1:26" ht="15.75" customHeight="1" x14ac:dyDescent="0.25">
      <c r="A709" s="17" t="s">
        <v>467</v>
      </c>
      <c r="B709" s="41"/>
      <c r="C709" s="43">
        <f t="shared" ref="C709:D709" si="122">C707</f>
        <v>33129.57</v>
      </c>
      <c r="D709" s="43">
        <f t="shared" si="122"/>
        <v>0</v>
      </c>
      <c r="E709" s="43">
        <f>F709-D709</f>
        <v>35000</v>
      </c>
      <c r="F709" s="43">
        <f t="shared" ref="F709:G709" si="123">F707</f>
        <v>35000</v>
      </c>
      <c r="G709" s="43">
        <f t="shared" si="123"/>
        <v>35000</v>
      </c>
      <c r="H709" s="114"/>
      <c r="I709" s="60"/>
      <c r="J709" s="60"/>
      <c r="K709" s="114"/>
      <c r="L709" s="114"/>
      <c r="M709" s="60"/>
      <c r="N709" s="60"/>
      <c r="O709" s="114"/>
      <c r="P709" s="114"/>
      <c r="Q709" s="114"/>
      <c r="R709" s="114"/>
      <c r="S709" s="114"/>
      <c r="T709" s="114"/>
      <c r="U709" s="114"/>
      <c r="V709" s="114"/>
      <c r="W709" s="114"/>
      <c r="X709" s="114"/>
      <c r="Y709" s="114"/>
      <c r="Z709" s="114"/>
    </row>
    <row r="710" spans="1:26" ht="15.75" customHeight="1" x14ac:dyDescent="0.25">
      <c r="A710" s="17"/>
      <c r="B710" s="41"/>
      <c r="C710" s="43"/>
      <c r="D710" s="43"/>
      <c r="E710" s="43"/>
      <c r="F710" s="43"/>
      <c r="G710" s="43"/>
      <c r="H710" s="114"/>
      <c r="I710" s="60"/>
      <c r="J710" s="60"/>
      <c r="K710" s="114"/>
      <c r="L710" s="114"/>
      <c r="M710" s="60"/>
      <c r="N710" s="60"/>
      <c r="O710" s="114"/>
      <c r="P710" s="114"/>
      <c r="Q710" s="114"/>
      <c r="R710" s="114"/>
      <c r="S710" s="114"/>
      <c r="T710" s="114"/>
      <c r="U710" s="114"/>
      <c r="V710" s="114"/>
      <c r="W710" s="114"/>
      <c r="X710" s="114"/>
      <c r="Y710" s="114"/>
      <c r="Z710" s="114"/>
    </row>
    <row r="711" spans="1:26" ht="15.75" customHeight="1" x14ac:dyDescent="0.25">
      <c r="A711" s="50" t="s">
        <v>487</v>
      </c>
      <c r="B711" s="51" t="s">
        <v>488</v>
      </c>
      <c r="C711" s="54">
        <f t="shared" ref="C711:D711" si="124">C709</f>
        <v>33129.57</v>
      </c>
      <c r="D711" s="54">
        <f t="shared" si="124"/>
        <v>0</v>
      </c>
      <c r="E711" s="54">
        <f>F711-D711</f>
        <v>35000</v>
      </c>
      <c r="F711" s="54">
        <f t="shared" ref="F711:G711" si="125">F709</f>
        <v>35000</v>
      </c>
      <c r="G711" s="54">
        <f t="shared" si="125"/>
        <v>35000</v>
      </c>
      <c r="H711" s="114"/>
      <c r="I711" s="60"/>
      <c r="J711" s="60"/>
      <c r="K711" s="114"/>
      <c r="L711" s="114"/>
      <c r="M711" s="60"/>
      <c r="N711" s="60"/>
      <c r="O711" s="114"/>
      <c r="P711" s="114"/>
      <c r="Q711" s="114"/>
      <c r="R711" s="114"/>
      <c r="S711" s="114"/>
      <c r="T711" s="114"/>
      <c r="U711" s="114"/>
      <c r="V711" s="114"/>
      <c r="W711" s="114"/>
      <c r="X711" s="114"/>
      <c r="Y711" s="114"/>
      <c r="Z711" s="114"/>
    </row>
    <row r="712" spans="1:26" ht="15.75" customHeight="1" x14ac:dyDescent="0.25">
      <c r="A712" s="24"/>
      <c r="B712" s="25"/>
      <c r="C712" s="26"/>
      <c r="D712" s="26"/>
      <c r="E712" s="26"/>
      <c r="F712" s="26"/>
      <c r="G712" s="26"/>
      <c r="H712" s="114"/>
      <c r="I712" s="60"/>
      <c r="J712" s="60"/>
      <c r="K712" s="114"/>
      <c r="L712" s="114"/>
      <c r="M712" s="60"/>
      <c r="N712" s="60"/>
      <c r="O712" s="114"/>
      <c r="P712" s="114"/>
      <c r="Q712" s="114"/>
      <c r="R712" s="114"/>
      <c r="S712" s="114"/>
      <c r="T712" s="114"/>
      <c r="U712" s="114"/>
      <c r="V712" s="114"/>
      <c r="W712" s="114"/>
      <c r="X712" s="114"/>
      <c r="Y712" s="114"/>
      <c r="Z712" s="114"/>
    </row>
    <row r="713" spans="1:26" ht="15.75" customHeight="1" x14ac:dyDescent="0.25">
      <c r="A713" s="24"/>
      <c r="B713" s="25"/>
      <c r="C713" s="24"/>
      <c r="D713" s="24"/>
      <c r="E713" s="24"/>
      <c r="F713" s="15"/>
      <c r="G713" s="15"/>
      <c r="H713" s="15"/>
      <c r="I713" s="16"/>
      <c r="J713" s="16"/>
      <c r="K713" s="15"/>
      <c r="L713" s="15"/>
      <c r="M713" s="16"/>
      <c r="N713" s="16"/>
      <c r="O713" s="15"/>
      <c r="P713" s="15"/>
      <c r="Q713" s="15"/>
      <c r="R713" s="15"/>
      <c r="S713" s="15"/>
      <c r="T713" s="15"/>
      <c r="U713" s="15"/>
      <c r="V713" s="15"/>
      <c r="W713" s="15"/>
      <c r="X713" s="15"/>
      <c r="Y713" s="15"/>
      <c r="Z713" s="15"/>
    </row>
    <row r="714" spans="1:26" ht="15.75" customHeight="1" x14ac:dyDescent="0.25">
      <c r="A714" s="9"/>
      <c r="B714" s="104"/>
      <c r="C714" s="105"/>
      <c r="D714" s="105"/>
      <c r="E714" s="105"/>
      <c r="F714" s="10"/>
      <c r="G714" s="180"/>
      <c r="H714" s="15"/>
      <c r="I714" s="16"/>
      <c r="J714" s="16"/>
      <c r="K714" s="15"/>
      <c r="L714" s="15"/>
      <c r="M714" s="16"/>
      <c r="N714" s="16"/>
      <c r="O714" s="15"/>
      <c r="P714" s="15"/>
      <c r="Q714" s="15"/>
      <c r="R714" s="15"/>
      <c r="S714" s="15"/>
      <c r="T714" s="15"/>
      <c r="U714" s="15"/>
      <c r="V714" s="15"/>
      <c r="W714" s="15"/>
      <c r="X714" s="15"/>
      <c r="Y714" s="15"/>
      <c r="Z714" s="15"/>
    </row>
    <row r="715" spans="1:26" ht="15.75" customHeight="1" x14ac:dyDescent="0.25">
      <c r="A715" s="108" t="s">
        <v>823</v>
      </c>
      <c r="B715" s="25"/>
      <c r="C715" s="26"/>
      <c r="D715" s="26"/>
      <c r="E715" s="26"/>
      <c r="F715" s="14"/>
      <c r="G715" s="181"/>
      <c r="H715" s="15"/>
      <c r="I715" s="16"/>
      <c r="J715" s="16"/>
      <c r="K715" s="15"/>
      <c r="L715" s="15"/>
      <c r="M715" s="16"/>
      <c r="N715" s="16"/>
      <c r="O715" s="15"/>
      <c r="P715" s="15"/>
      <c r="Q715" s="15"/>
      <c r="R715" s="15"/>
      <c r="S715" s="15"/>
      <c r="T715" s="15"/>
      <c r="U715" s="15"/>
      <c r="V715" s="15"/>
      <c r="W715" s="15"/>
      <c r="X715" s="15"/>
      <c r="Y715" s="15"/>
      <c r="Z715" s="15"/>
    </row>
    <row r="716" spans="1:26" ht="15.75" customHeight="1" x14ac:dyDescent="0.25">
      <c r="A716" s="44"/>
      <c r="B716" s="25"/>
      <c r="C716" s="26"/>
      <c r="D716" s="26"/>
      <c r="E716" s="26"/>
      <c r="F716" s="14"/>
      <c r="G716" s="181"/>
      <c r="H716" s="15"/>
      <c r="I716" s="16"/>
      <c r="J716" s="16"/>
      <c r="K716" s="15"/>
      <c r="L716" s="15"/>
      <c r="M716" s="16"/>
      <c r="N716" s="16"/>
      <c r="O716" s="15"/>
      <c r="P716" s="15"/>
      <c r="Q716" s="15"/>
      <c r="R716" s="15"/>
      <c r="S716" s="15"/>
      <c r="T716" s="15"/>
      <c r="U716" s="15"/>
      <c r="V716" s="15"/>
      <c r="W716" s="15"/>
      <c r="X716" s="15"/>
      <c r="Y716" s="15"/>
      <c r="Z716" s="15"/>
    </row>
    <row r="717" spans="1:26" ht="15.75" customHeight="1" x14ac:dyDescent="0.25">
      <c r="A717" s="865" t="s">
        <v>352</v>
      </c>
      <c r="B717" s="866"/>
      <c r="C717" s="866"/>
      <c r="D717" s="866"/>
      <c r="E717" s="866"/>
      <c r="F717" s="866"/>
      <c r="G717" s="867"/>
      <c r="H717" s="15"/>
      <c r="I717" s="16"/>
      <c r="J717" s="16"/>
      <c r="K717" s="15"/>
      <c r="L717" s="15"/>
      <c r="M717" s="16"/>
      <c r="N717" s="16"/>
      <c r="O717" s="15"/>
      <c r="P717" s="15"/>
      <c r="Q717" s="15"/>
      <c r="R717" s="15"/>
      <c r="S717" s="15"/>
      <c r="T717" s="15"/>
      <c r="U717" s="15"/>
      <c r="V717" s="15"/>
      <c r="W717" s="15"/>
      <c r="X717" s="15"/>
      <c r="Y717" s="15"/>
      <c r="Z717" s="15"/>
    </row>
    <row r="718" spans="1:26" ht="15.75" customHeight="1" x14ac:dyDescent="0.25">
      <c r="A718" s="868" t="s">
        <v>353</v>
      </c>
      <c r="B718" s="857" t="s">
        <v>354</v>
      </c>
      <c r="C718" s="870" t="s">
        <v>355</v>
      </c>
      <c r="D718" s="872" t="s">
        <v>356</v>
      </c>
      <c r="E718" s="873"/>
      <c r="F718" s="874"/>
      <c r="G718" s="857" t="s">
        <v>357</v>
      </c>
      <c r="H718" s="15"/>
      <c r="I718" s="16"/>
      <c r="J718" s="16"/>
      <c r="K718" s="15"/>
      <c r="L718" s="15"/>
      <c r="M718" s="16"/>
      <c r="N718" s="16"/>
      <c r="O718" s="15"/>
      <c r="P718" s="15"/>
      <c r="Q718" s="15"/>
      <c r="R718" s="15"/>
      <c r="S718" s="15"/>
      <c r="T718" s="15"/>
      <c r="U718" s="15"/>
      <c r="V718" s="15"/>
      <c r="W718" s="15"/>
      <c r="X718" s="15"/>
      <c r="Y718" s="15"/>
      <c r="Z718" s="15"/>
    </row>
    <row r="719" spans="1:26" ht="15.75" customHeight="1" x14ac:dyDescent="0.25">
      <c r="A719" s="858"/>
      <c r="B719" s="858"/>
      <c r="C719" s="871"/>
      <c r="D719" s="28" t="s">
        <v>358</v>
      </c>
      <c r="E719" s="29" t="s">
        <v>359</v>
      </c>
      <c r="F719" s="875" t="s">
        <v>360</v>
      </c>
      <c r="G719" s="858"/>
      <c r="H719" s="15"/>
      <c r="I719" s="16"/>
      <c r="J719" s="16"/>
      <c r="K719" s="15"/>
      <c r="L719" s="15"/>
      <c r="M719" s="16"/>
      <c r="N719" s="16"/>
      <c r="O719" s="15"/>
      <c r="P719" s="15"/>
      <c r="Q719" s="15"/>
      <c r="R719" s="15"/>
      <c r="S719" s="15"/>
      <c r="T719" s="15"/>
      <c r="U719" s="15"/>
      <c r="V719" s="15"/>
      <c r="W719" s="15"/>
      <c r="X719" s="15"/>
      <c r="Y719" s="15"/>
      <c r="Z719" s="15"/>
    </row>
    <row r="720" spans="1:26" ht="15.75" customHeight="1" x14ac:dyDescent="0.25">
      <c r="A720" s="858"/>
      <c r="B720" s="858"/>
      <c r="C720" s="30" t="s">
        <v>361</v>
      </c>
      <c r="D720" s="31" t="s">
        <v>361</v>
      </c>
      <c r="E720" s="32" t="s">
        <v>362</v>
      </c>
      <c r="F720" s="860"/>
      <c r="G720" s="442" t="s">
        <v>2717</v>
      </c>
      <c r="H720" s="15"/>
      <c r="I720" s="16"/>
      <c r="J720" s="16"/>
      <c r="K720" s="15"/>
      <c r="L720" s="15"/>
      <c r="M720" s="16"/>
      <c r="N720" s="16"/>
      <c r="O720" s="15"/>
      <c r="P720" s="15"/>
      <c r="Q720" s="15"/>
      <c r="R720" s="15"/>
      <c r="S720" s="15"/>
      <c r="T720" s="15"/>
      <c r="U720" s="15"/>
      <c r="V720" s="15"/>
      <c r="W720" s="15"/>
      <c r="X720" s="15"/>
      <c r="Y720" s="15"/>
      <c r="Z720" s="15"/>
    </row>
    <row r="721" spans="1:26" ht="15.75" customHeight="1" x14ac:dyDescent="0.25">
      <c r="A721" s="869"/>
      <c r="B721" s="869"/>
      <c r="C721" s="33">
        <v>2024</v>
      </c>
      <c r="D721" s="34">
        <v>2025</v>
      </c>
      <c r="E721" s="34">
        <v>2025</v>
      </c>
      <c r="F721" s="34">
        <v>2025</v>
      </c>
      <c r="G721" s="36" t="s">
        <v>2668</v>
      </c>
      <c r="H721" s="15"/>
      <c r="I721" s="16"/>
      <c r="J721" s="16"/>
      <c r="K721" s="15"/>
      <c r="L721" s="15"/>
      <c r="M721" s="16"/>
      <c r="N721" s="16"/>
      <c r="O721" s="15"/>
      <c r="P721" s="15"/>
      <c r="Q721" s="15"/>
      <c r="R721" s="15"/>
      <c r="S721" s="15"/>
      <c r="T721" s="15"/>
      <c r="U721" s="15"/>
      <c r="V721" s="15"/>
      <c r="W721" s="15"/>
      <c r="X721" s="15"/>
      <c r="Y721" s="15"/>
      <c r="Z721" s="15"/>
    </row>
    <row r="722" spans="1:26" ht="15.75" customHeight="1" x14ac:dyDescent="0.25">
      <c r="A722" s="9" t="s">
        <v>364</v>
      </c>
      <c r="B722" s="38"/>
      <c r="C722" s="42"/>
      <c r="D722" s="42"/>
      <c r="E722" s="42"/>
      <c r="F722" s="42"/>
      <c r="G722" s="37"/>
      <c r="H722" s="114"/>
      <c r="I722" s="60"/>
      <c r="J722" s="60"/>
      <c r="K722" s="114"/>
      <c r="L722" s="114"/>
      <c r="M722" s="60"/>
      <c r="N722" s="60"/>
      <c r="O722" s="114"/>
      <c r="P722" s="114"/>
      <c r="Q722" s="114"/>
      <c r="R722" s="114"/>
      <c r="S722" s="114"/>
      <c r="T722" s="114"/>
      <c r="U722" s="114"/>
      <c r="V722" s="114"/>
      <c r="W722" s="114"/>
      <c r="X722" s="114"/>
      <c r="Y722" s="114"/>
      <c r="Z722" s="114"/>
    </row>
    <row r="723" spans="1:26" ht="15.75" customHeight="1" x14ac:dyDescent="0.25">
      <c r="A723" s="42" t="s">
        <v>491</v>
      </c>
      <c r="B723" s="49"/>
      <c r="C723" s="43"/>
      <c r="D723" s="43"/>
      <c r="E723" s="43"/>
      <c r="F723" s="43"/>
      <c r="G723" s="43"/>
      <c r="H723" s="114"/>
      <c r="I723" s="60"/>
      <c r="J723" s="60"/>
      <c r="K723" s="114"/>
      <c r="L723" s="114"/>
      <c r="M723" s="60"/>
      <c r="N723" s="60"/>
      <c r="O723" s="114"/>
      <c r="P723" s="114"/>
      <c r="Q723" s="114"/>
      <c r="R723" s="114"/>
      <c r="S723" s="114"/>
      <c r="T723" s="114"/>
      <c r="U723" s="114"/>
      <c r="V723" s="114"/>
      <c r="W723" s="114"/>
      <c r="X723" s="114"/>
      <c r="Y723" s="114"/>
      <c r="Z723" s="114"/>
    </row>
    <row r="724" spans="1:26" ht="15.75" customHeight="1" x14ac:dyDescent="0.25">
      <c r="A724" s="17" t="s">
        <v>424</v>
      </c>
      <c r="B724" s="41"/>
      <c r="C724" s="43"/>
      <c r="D724" s="43"/>
      <c r="E724" s="43"/>
      <c r="F724" s="192"/>
      <c r="G724" s="192"/>
      <c r="H724" s="114"/>
      <c r="I724" s="60"/>
      <c r="J724" s="60"/>
      <c r="K724" s="114"/>
      <c r="L724" s="114"/>
      <c r="M724" s="60"/>
      <c r="N724" s="60"/>
      <c r="O724" s="114"/>
      <c r="P724" s="114"/>
      <c r="Q724" s="114"/>
      <c r="R724" s="114"/>
      <c r="S724" s="114"/>
      <c r="T724" s="114"/>
      <c r="U724" s="114"/>
      <c r="V724" s="114"/>
      <c r="W724" s="114"/>
      <c r="X724" s="114"/>
      <c r="Y724" s="114"/>
      <c r="Z724" s="114"/>
    </row>
    <row r="725" spans="1:26" ht="15.75" customHeight="1" x14ac:dyDescent="0.25">
      <c r="A725" s="48" t="s">
        <v>424</v>
      </c>
      <c r="B725" s="41" t="s">
        <v>335</v>
      </c>
      <c r="C725" s="43">
        <v>246693.64</v>
      </c>
      <c r="D725" s="43">
        <v>156990</v>
      </c>
      <c r="E725" s="43">
        <f t="shared" ref="E725:E726" si="126">F725-D725</f>
        <v>183210</v>
      </c>
      <c r="F725" s="43">
        <v>340200</v>
      </c>
      <c r="G725" s="43">
        <v>1500000</v>
      </c>
      <c r="H725" s="114"/>
      <c r="I725" s="60"/>
      <c r="J725" s="60"/>
      <c r="K725" s="114"/>
      <c r="L725" s="114"/>
      <c r="M725" s="60"/>
      <c r="N725" s="60"/>
      <c r="O725" s="114"/>
      <c r="P725" s="114"/>
      <c r="Q725" s="114"/>
      <c r="R725" s="114"/>
      <c r="S725" s="114"/>
      <c r="T725" s="114"/>
      <c r="U725" s="114"/>
      <c r="V725" s="114"/>
      <c r="W725" s="114"/>
      <c r="X725" s="114"/>
      <c r="Y725" s="114"/>
      <c r="Z725" s="114"/>
    </row>
    <row r="726" spans="1:26" ht="15.75" customHeight="1" x14ac:dyDescent="0.25">
      <c r="A726" s="42" t="s">
        <v>466</v>
      </c>
      <c r="B726" s="41"/>
      <c r="C726" s="54">
        <f>SUM(C724:C725)</f>
        <v>246693.64</v>
      </c>
      <c r="D726" s="54">
        <f>SUM(D724:D725)</f>
        <v>156990</v>
      </c>
      <c r="E726" s="54">
        <f t="shared" si="126"/>
        <v>183210</v>
      </c>
      <c r="F726" s="54">
        <f>SUM(F724:F725)</f>
        <v>340200</v>
      </c>
      <c r="G726" s="54">
        <f>SUM(G724:G725)</f>
        <v>1500000</v>
      </c>
      <c r="H726" s="114"/>
      <c r="I726" s="60"/>
      <c r="J726" s="60"/>
      <c r="K726" s="114"/>
      <c r="L726" s="114"/>
      <c r="M726" s="60"/>
      <c r="N726" s="60"/>
      <c r="O726" s="114"/>
      <c r="P726" s="114"/>
      <c r="Q726" s="114"/>
      <c r="R726" s="114"/>
      <c r="S726" s="114"/>
      <c r="T726" s="114"/>
      <c r="U726" s="114"/>
      <c r="V726" s="114"/>
      <c r="W726" s="114"/>
      <c r="X726" s="114"/>
      <c r="Y726" s="114"/>
      <c r="Z726" s="114"/>
    </row>
    <row r="727" spans="1:26" ht="15.75" customHeight="1" x14ac:dyDescent="0.25">
      <c r="A727" s="17"/>
      <c r="B727" s="41"/>
      <c r="C727" s="55"/>
      <c r="D727" s="55"/>
      <c r="E727" s="43"/>
      <c r="F727" s="55"/>
      <c r="G727" s="55"/>
      <c r="H727" s="114"/>
      <c r="I727" s="60"/>
      <c r="J727" s="60"/>
      <c r="K727" s="114"/>
      <c r="L727" s="114"/>
      <c r="M727" s="60"/>
      <c r="N727" s="60"/>
      <c r="O727" s="114"/>
      <c r="P727" s="114"/>
      <c r="Q727" s="114"/>
      <c r="R727" s="114"/>
      <c r="S727" s="114"/>
      <c r="T727" s="114"/>
      <c r="U727" s="114"/>
      <c r="V727" s="114"/>
      <c r="W727" s="114"/>
      <c r="X727" s="114"/>
      <c r="Y727" s="114"/>
      <c r="Z727" s="114"/>
    </row>
    <row r="728" spans="1:26" ht="15.75" customHeight="1" x14ac:dyDescent="0.25">
      <c r="A728" s="17" t="s">
        <v>467</v>
      </c>
      <c r="B728" s="41"/>
      <c r="C728" s="43">
        <f t="shared" ref="C728:D728" si="127">C726</f>
        <v>246693.64</v>
      </c>
      <c r="D728" s="43">
        <f t="shared" si="127"/>
        <v>156990</v>
      </c>
      <c r="E728" s="43">
        <f>F728-D728</f>
        <v>183210</v>
      </c>
      <c r="F728" s="43">
        <f t="shared" ref="F728:G728" si="128">F726</f>
        <v>340200</v>
      </c>
      <c r="G728" s="43">
        <f t="shared" si="128"/>
        <v>1500000</v>
      </c>
      <c r="H728" s="114"/>
      <c r="I728" s="60"/>
      <c r="J728" s="60"/>
      <c r="K728" s="114"/>
      <c r="L728" s="114"/>
      <c r="M728" s="60"/>
      <c r="N728" s="60"/>
      <c r="O728" s="114"/>
      <c r="P728" s="114"/>
      <c r="Q728" s="114"/>
      <c r="R728" s="114"/>
      <c r="S728" s="114"/>
      <c r="T728" s="114"/>
      <c r="U728" s="114"/>
      <c r="V728" s="114"/>
      <c r="W728" s="114"/>
      <c r="X728" s="114"/>
      <c r="Y728" s="114"/>
      <c r="Z728" s="114"/>
    </row>
    <row r="729" spans="1:26" ht="15.75" customHeight="1" x14ac:dyDescent="0.25">
      <c r="A729" s="17"/>
      <c r="B729" s="41"/>
      <c r="C729" s="43"/>
      <c r="D729" s="43"/>
      <c r="E729" s="43"/>
      <c r="F729" s="43"/>
      <c r="G729" s="43"/>
      <c r="H729" s="114"/>
      <c r="I729" s="60"/>
      <c r="J729" s="60"/>
      <c r="K729" s="114"/>
      <c r="L729" s="114"/>
      <c r="M729" s="60"/>
      <c r="N729" s="60"/>
      <c r="O729" s="114"/>
      <c r="P729" s="114"/>
      <c r="Q729" s="114"/>
      <c r="R729" s="114"/>
      <c r="S729" s="114"/>
      <c r="T729" s="114"/>
      <c r="U729" s="114"/>
      <c r="V729" s="114"/>
      <c r="W729" s="114"/>
      <c r="X729" s="114"/>
      <c r="Y729" s="114"/>
      <c r="Z729" s="114"/>
    </row>
    <row r="730" spans="1:26" ht="15.75" customHeight="1" x14ac:dyDescent="0.25">
      <c r="A730" s="50" t="s">
        <v>487</v>
      </c>
      <c r="B730" s="51" t="s">
        <v>488</v>
      </c>
      <c r="C730" s="54">
        <f t="shared" ref="C730:D730" si="129">C728</f>
        <v>246693.64</v>
      </c>
      <c r="D730" s="54">
        <f t="shared" si="129"/>
        <v>156990</v>
      </c>
      <c r="E730" s="54">
        <f>F730-D730</f>
        <v>183210</v>
      </c>
      <c r="F730" s="54">
        <f t="shared" ref="F730:G730" si="130">F728</f>
        <v>340200</v>
      </c>
      <c r="G730" s="54">
        <f t="shared" si="130"/>
        <v>1500000</v>
      </c>
      <c r="H730" s="114"/>
      <c r="I730" s="60"/>
      <c r="J730" s="60"/>
      <c r="K730" s="114"/>
      <c r="L730" s="114"/>
      <c r="M730" s="60"/>
      <c r="N730" s="60"/>
      <c r="O730" s="114"/>
      <c r="P730" s="114"/>
      <c r="Q730" s="114"/>
      <c r="R730" s="114"/>
      <c r="S730" s="114"/>
      <c r="T730" s="114"/>
      <c r="U730" s="114"/>
      <c r="V730" s="114"/>
      <c r="W730" s="114"/>
      <c r="X730" s="114"/>
      <c r="Y730" s="114"/>
      <c r="Z730" s="114"/>
    </row>
    <row r="731" spans="1:26" ht="15.75" customHeight="1" x14ac:dyDescent="0.25">
      <c r="A731" s="24"/>
      <c r="B731" s="25"/>
      <c r="C731" s="26"/>
      <c r="D731" s="26"/>
      <c r="E731" s="26"/>
      <c r="F731" s="26"/>
      <c r="G731" s="26"/>
      <c r="H731" s="114"/>
      <c r="I731" s="60"/>
      <c r="J731" s="60"/>
      <c r="K731" s="114"/>
      <c r="L731" s="114"/>
      <c r="M731" s="60"/>
      <c r="N731" s="60"/>
      <c r="O731" s="114"/>
      <c r="P731" s="114"/>
      <c r="Q731" s="114"/>
      <c r="R731" s="114"/>
      <c r="S731" s="114"/>
      <c r="T731" s="114"/>
      <c r="U731" s="114"/>
      <c r="V731" s="114"/>
      <c r="W731" s="114"/>
      <c r="X731" s="114"/>
      <c r="Y731" s="114"/>
      <c r="Z731" s="114"/>
    </row>
    <row r="732" spans="1:26" ht="15.75" customHeight="1" x14ac:dyDescent="0.25">
      <c r="A732" s="24"/>
      <c r="B732" s="25"/>
      <c r="C732" s="24"/>
      <c r="D732" s="24"/>
      <c r="E732" s="24"/>
      <c r="F732" s="15"/>
      <c r="G732" s="15"/>
      <c r="H732" s="15"/>
      <c r="I732" s="16"/>
      <c r="J732" s="16"/>
      <c r="K732" s="15"/>
      <c r="L732" s="15"/>
      <c r="M732" s="16"/>
      <c r="N732" s="16"/>
      <c r="O732" s="15"/>
      <c r="P732" s="15"/>
      <c r="Q732" s="15"/>
      <c r="R732" s="15"/>
      <c r="S732" s="15"/>
      <c r="T732" s="15"/>
      <c r="U732" s="15"/>
      <c r="V732" s="15"/>
      <c r="W732" s="15"/>
      <c r="X732" s="15"/>
      <c r="Y732" s="15"/>
      <c r="Z732" s="15"/>
    </row>
    <row r="733" spans="1:26" ht="15.75" customHeight="1" x14ac:dyDescent="0.25">
      <c r="A733" s="9"/>
      <c r="B733" s="104"/>
      <c r="C733" s="105"/>
      <c r="D733" s="105"/>
      <c r="E733" s="105"/>
      <c r="F733" s="10"/>
      <c r="G733" s="180"/>
      <c r="H733" s="15"/>
      <c r="I733" s="16"/>
      <c r="J733" s="16"/>
      <c r="K733" s="15"/>
      <c r="L733" s="15"/>
      <c r="M733" s="16"/>
      <c r="N733" s="16"/>
      <c r="O733" s="15"/>
      <c r="P733" s="15"/>
      <c r="Q733" s="15"/>
      <c r="R733" s="15"/>
      <c r="S733" s="15"/>
      <c r="T733" s="15"/>
      <c r="U733" s="15"/>
      <c r="V733" s="15"/>
      <c r="W733" s="15"/>
      <c r="X733" s="15"/>
      <c r="Y733" s="15"/>
      <c r="Z733" s="15"/>
    </row>
    <row r="734" spans="1:26" ht="15.75" customHeight="1" x14ac:dyDescent="0.25">
      <c r="A734" s="108" t="s">
        <v>824</v>
      </c>
      <c r="B734" s="25"/>
      <c r="C734" s="26"/>
      <c r="D734" s="26"/>
      <c r="E734" s="26"/>
      <c r="F734" s="14"/>
      <c r="G734" s="181"/>
      <c r="H734" s="15"/>
      <c r="I734" s="16"/>
      <c r="J734" s="16"/>
      <c r="K734" s="15"/>
      <c r="L734" s="15"/>
      <c r="M734" s="16"/>
      <c r="N734" s="16"/>
      <c r="O734" s="15"/>
      <c r="P734" s="15"/>
      <c r="Q734" s="15"/>
      <c r="R734" s="15"/>
      <c r="S734" s="15"/>
      <c r="T734" s="15"/>
      <c r="U734" s="15"/>
      <c r="V734" s="15"/>
      <c r="W734" s="15"/>
      <c r="X734" s="15"/>
      <c r="Y734" s="15"/>
      <c r="Z734" s="15"/>
    </row>
    <row r="735" spans="1:26" ht="15.75" customHeight="1" x14ac:dyDescent="0.25">
      <c r="A735" s="44"/>
      <c r="B735" s="25"/>
      <c r="C735" s="26"/>
      <c r="D735" s="26"/>
      <c r="E735" s="26"/>
      <c r="F735" s="14"/>
      <c r="G735" s="181"/>
      <c r="H735" s="15"/>
      <c r="I735" s="16"/>
      <c r="J735" s="16"/>
      <c r="K735" s="15"/>
      <c r="L735" s="15"/>
      <c r="M735" s="16"/>
      <c r="N735" s="16"/>
      <c r="O735" s="15"/>
      <c r="P735" s="15"/>
      <c r="Q735" s="15"/>
      <c r="R735" s="15"/>
      <c r="S735" s="15"/>
      <c r="T735" s="15"/>
      <c r="U735" s="15"/>
      <c r="V735" s="15"/>
      <c r="W735" s="15"/>
      <c r="X735" s="15"/>
      <c r="Y735" s="15"/>
      <c r="Z735" s="15"/>
    </row>
    <row r="736" spans="1:26" ht="15.75" customHeight="1" x14ac:dyDescent="0.25">
      <c r="A736" s="865" t="s">
        <v>352</v>
      </c>
      <c r="B736" s="866"/>
      <c r="C736" s="866"/>
      <c r="D736" s="866"/>
      <c r="E736" s="866"/>
      <c r="F736" s="866"/>
      <c r="G736" s="867"/>
      <c r="H736" s="15"/>
      <c r="I736" s="16"/>
      <c r="J736" s="16"/>
      <c r="K736" s="15"/>
      <c r="L736" s="15"/>
      <c r="M736" s="16"/>
      <c r="N736" s="16"/>
      <c r="O736" s="15"/>
      <c r="P736" s="15"/>
      <c r="Q736" s="15"/>
      <c r="R736" s="15"/>
      <c r="S736" s="15"/>
      <c r="T736" s="15"/>
      <c r="U736" s="15"/>
      <c r="V736" s="15"/>
      <c r="W736" s="15"/>
      <c r="X736" s="15"/>
      <c r="Y736" s="15"/>
      <c r="Z736" s="15"/>
    </row>
    <row r="737" spans="1:26" ht="15.75" customHeight="1" x14ac:dyDescent="0.25">
      <c r="A737" s="868" t="s">
        <v>353</v>
      </c>
      <c r="B737" s="857" t="s">
        <v>354</v>
      </c>
      <c r="C737" s="870" t="s">
        <v>355</v>
      </c>
      <c r="D737" s="872" t="s">
        <v>356</v>
      </c>
      <c r="E737" s="873"/>
      <c r="F737" s="874"/>
      <c r="G737" s="857" t="s">
        <v>357</v>
      </c>
      <c r="H737" s="15"/>
      <c r="I737" s="16"/>
      <c r="J737" s="16"/>
      <c r="K737" s="15"/>
      <c r="L737" s="15"/>
      <c r="M737" s="16"/>
      <c r="N737" s="16"/>
      <c r="O737" s="15"/>
      <c r="P737" s="15"/>
      <c r="Q737" s="15"/>
      <c r="R737" s="15"/>
      <c r="S737" s="15"/>
      <c r="T737" s="15"/>
      <c r="U737" s="15"/>
      <c r="V737" s="15"/>
      <c r="W737" s="15"/>
      <c r="X737" s="15"/>
      <c r="Y737" s="15"/>
      <c r="Z737" s="15"/>
    </row>
    <row r="738" spans="1:26" ht="15.75" customHeight="1" x14ac:dyDescent="0.25">
      <c r="A738" s="858"/>
      <c r="B738" s="858"/>
      <c r="C738" s="871"/>
      <c r="D738" s="28" t="s">
        <v>358</v>
      </c>
      <c r="E738" s="29" t="s">
        <v>359</v>
      </c>
      <c r="F738" s="875" t="s">
        <v>360</v>
      </c>
      <c r="G738" s="858"/>
      <c r="H738" s="15"/>
      <c r="I738" s="16"/>
      <c r="J738" s="16"/>
      <c r="K738" s="15"/>
      <c r="L738" s="15"/>
      <c r="M738" s="16"/>
      <c r="N738" s="16"/>
      <c r="O738" s="15"/>
      <c r="P738" s="15"/>
      <c r="Q738" s="15"/>
      <c r="R738" s="15"/>
      <c r="S738" s="15"/>
      <c r="T738" s="15"/>
      <c r="U738" s="15"/>
      <c r="V738" s="15"/>
      <c r="W738" s="15"/>
      <c r="X738" s="15"/>
      <c r="Y738" s="15"/>
      <c r="Z738" s="15"/>
    </row>
    <row r="739" spans="1:26" ht="15.75" customHeight="1" x14ac:dyDescent="0.25">
      <c r="A739" s="858"/>
      <c r="B739" s="858"/>
      <c r="C739" s="30" t="s">
        <v>361</v>
      </c>
      <c r="D739" s="31" t="s">
        <v>361</v>
      </c>
      <c r="E739" s="32" t="s">
        <v>362</v>
      </c>
      <c r="F739" s="860"/>
      <c r="G739" s="442" t="s">
        <v>2717</v>
      </c>
      <c r="H739" s="15"/>
      <c r="I739" s="16"/>
      <c r="J739" s="16"/>
      <c r="K739" s="15"/>
      <c r="L739" s="15"/>
      <c r="M739" s="16"/>
      <c r="N739" s="16"/>
      <c r="O739" s="15"/>
      <c r="P739" s="15"/>
      <c r="Q739" s="15"/>
      <c r="R739" s="15"/>
      <c r="S739" s="15"/>
      <c r="T739" s="15"/>
      <c r="U739" s="15"/>
      <c r="V739" s="15"/>
      <c r="W739" s="15"/>
      <c r="X739" s="15"/>
      <c r="Y739" s="15"/>
      <c r="Z739" s="15"/>
    </row>
    <row r="740" spans="1:26" ht="15.75" customHeight="1" x14ac:dyDescent="0.25">
      <c r="A740" s="869"/>
      <c r="B740" s="869"/>
      <c r="C740" s="33">
        <v>2024</v>
      </c>
      <c r="D740" s="34">
        <v>2025</v>
      </c>
      <c r="E740" s="34">
        <v>2025</v>
      </c>
      <c r="F740" s="34">
        <v>2025</v>
      </c>
      <c r="G740" s="36" t="s">
        <v>2668</v>
      </c>
      <c r="H740" s="15"/>
      <c r="I740" s="16"/>
      <c r="J740" s="16"/>
      <c r="K740" s="15"/>
      <c r="L740" s="15"/>
      <c r="M740" s="16"/>
      <c r="N740" s="16"/>
      <c r="O740" s="15"/>
      <c r="P740" s="15"/>
      <c r="Q740" s="15"/>
      <c r="R740" s="15"/>
      <c r="S740" s="15"/>
      <c r="T740" s="15"/>
      <c r="U740" s="15"/>
      <c r="V740" s="15"/>
      <c r="W740" s="15"/>
      <c r="X740" s="15"/>
      <c r="Y740" s="15"/>
      <c r="Z740" s="15"/>
    </row>
    <row r="741" spans="1:26" ht="15.75" customHeight="1" x14ac:dyDescent="0.25">
      <c r="A741" s="9" t="s">
        <v>364</v>
      </c>
      <c r="B741" s="38"/>
      <c r="C741" s="42"/>
      <c r="D741" s="42"/>
      <c r="E741" s="42"/>
      <c r="F741" s="42"/>
      <c r="G741" s="37"/>
      <c r="H741" s="114"/>
      <c r="I741" s="60"/>
      <c r="J741" s="60"/>
      <c r="K741" s="114"/>
      <c r="L741" s="114"/>
      <c r="M741" s="60"/>
      <c r="N741" s="60"/>
      <c r="O741" s="114"/>
      <c r="P741" s="114"/>
      <c r="Q741" s="114"/>
      <c r="R741" s="114"/>
      <c r="S741" s="114"/>
      <c r="T741" s="114"/>
      <c r="U741" s="114"/>
      <c r="V741" s="114"/>
      <c r="W741" s="114"/>
      <c r="X741" s="114"/>
      <c r="Y741" s="114"/>
      <c r="Z741" s="114"/>
    </row>
    <row r="742" spans="1:26" ht="15.75" customHeight="1" x14ac:dyDescent="0.25">
      <c r="A742" s="42" t="s">
        <v>491</v>
      </c>
      <c r="B742" s="49"/>
      <c r="C742" s="43"/>
      <c r="D742" s="43"/>
      <c r="E742" s="43"/>
      <c r="F742" s="43"/>
      <c r="G742" s="43"/>
      <c r="H742" s="114"/>
      <c r="I742" s="60"/>
      <c r="J742" s="60"/>
      <c r="K742" s="114"/>
      <c r="L742" s="114"/>
      <c r="M742" s="60"/>
      <c r="N742" s="60"/>
      <c r="O742" s="114"/>
      <c r="P742" s="114"/>
      <c r="Q742" s="114"/>
      <c r="R742" s="114"/>
      <c r="S742" s="114"/>
      <c r="T742" s="114"/>
      <c r="U742" s="114"/>
      <c r="V742" s="114"/>
      <c r="W742" s="114"/>
      <c r="X742" s="114"/>
      <c r="Y742" s="114"/>
      <c r="Z742" s="114"/>
    </row>
    <row r="743" spans="1:26" ht="15.75" customHeight="1" x14ac:dyDescent="0.25">
      <c r="A743" s="17" t="s">
        <v>493</v>
      </c>
      <c r="B743" s="41"/>
      <c r="C743" s="41"/>
      <c r="D743" s="41"/>
      <c r="E743" s="41"/>
      <c r="F743" s="49"/>
      <c r="G743" s="49"/>
      <c r="H743" s="114"/>
      <c r="I743" s="60"/>
      <c r="J743" s="60"/>
      <c r="K743" s="114"/>
      <c r="L743" s="114"/>
      <c r="M743" s="60"/>
      <c r="N743" s="60"/>
      <c r="O743" s="114"/>
      <c r="P743" s="114"/>
      <c r="Q743" s="114"/>
      <c r="R743" s="114"/>
      <c r="S743" s="114"/>
      <c r="T743" s="114"/>
      <c r="U743" s="114"/>
      <c r="V743" s="114"/>
      <c r="W743" s="114"/>
      <c r="X743" s="114"/>
      <c r="Y743" s="114"/>
      <c r="Z743" s="114"/>
    </row>
    <row r="744" spans="1:26" ht="15.75" customHeight="1" x14ac:dyDescent="0.25">
      <c r="A744" s="44" t="s">
        <v>396</v>
      </c>
      <c r="B744" s="41" t="s">
        <v>191</v>
      </c>
      <c r="C744" s="43">
        <v>0</v>
      </c>
      <c r="D744" s="43">
        <v>0</v>
      </c>
      <c r="E744" s="43">
        <f>F744-D744</f>
        <v>64000</v>
      </c>
      <c r="F744" s="43">
        <v>64000</v>
      </c>
      <c r="G744" s="43">
        <v>100000</v>
      </c>
      <c r="H744" s="114"/>
      <c r="I744" s="60"/>
      <c r="J744" s="60"/>
      <c r="K744" s="114"/>
      <c r="L744" s="114"/>
      <c r="M744" s="60"/>
      <c r="N744" s="60"/>
      <c r="O744" s="114"/>
      <c r="P744" s="114"/>
      <c r="Q744" s="114"/>
      <c r="R744" s="114"/>
      <c r="S744" s="114"/>
      <c r="T744" s="114"/>
      <c r="U744" s="114"/>
      <c r="V744" s="114"/>
      <c r="W744" s="114"/>
      <c r="X744" s="114"/>
      <c r="Y744" s="114"/>
      <c r="Z744" s="114"/>
    </row>
    <row r="745" spans="1:26" ht="15.75" customHeight="1" x14ac:dyDescent="0.25">
      <c r="A745" s="17" t="s">
        <v>499</v>
      </c>
      <c r="B745" s="41"/>
      <c r="C745" s="41"/>
      <c r="D745" s="41"/>
      <c r="E745" s="41"/>
      <c r="F745" s="49"/>
      <c r="G745" s="49"/>
      <c r="H745" s="114"/>
      <c r="I745" s="60"/>
      <c r="J745" s="60"/>
      <c r="K745" s="114"/>
      <c r="L745" s="114"/>
      <c r="M745" s="60"/>
      <c r="N745" s="60"/>
      <c r="O745" s="114"/>
      <c r="P745" s="114"/>
      <c r="Q745" s="114"/>
      <c r="R745" s="114"/>
      <c r="S745" s="114"/>
      <c r="T745" s="114"/>
      <c r="U745" s="114"/>
      <c r="V745" s="114"/>
      <c r="W745" s="114"/>
      <c r="X745" s="114"/>
      <c r="Y745" s="114"/>
      <c r="Z745" s="114"/>
    </row>
    <row r="746" spans="1:26" ht="15.75" customHeight="1" x14ac:dyDescent="0.25">
      <c r="A746" s="44" t="s">
        <v>398</v>
      </c>
      <c r="B746" s="41" t="s">
        <v>195</v>
      </c>
      <c r="C746" s="43">
        <v>63960.85</v>
      </c>
      <c r="D746" s="43">
        <v>0</v>
      </c>
      <c r="E746" s="43">
        <f>F746-D746</f>
        <v>64000</v>
      </c>
      <c r="F746" s="43">
        <v>64000</v>
      </c>
      <c r="G746" s="43">
        <v>50000</v>
      </c>
      <c r="H746" s="114"/>
      <c r="I746" s="60"/>
      <c r="J746" s="60"/>
      <c r="K746" s="114"/>
      <c r="L746" s="114"/>
      <c r="M746" s="60"/>
      <c r="N746" s="60"/>
      <c r="O746" s="114"/>
      <c r="P746" s="114"/>
      <c r="Q746" s="114"/>
      <c r="R746" s="114"/>
      <c r="S746" s="114"/>
      <c r="T746" s="114"/>
      <c r="U746" s="114"/>
      <c r="V746" s="114"/>
      <c r="W746" s="114"/>
      <c r="X746" s="114"/>
      <c r="Y746" s="114"/>
      <c r="Z746" s="114"/>
    </row>
    <row r="747" spans="1:26" ht="15.75" customHeight="1" x14ac:dyDescent="0.25">
      <c r="A747" s="44" t="s">
        <v>400</v>
      </c>
      <c r="B747" s="41" t="s">
        <v>221</v>
      </c>
      <c r="C747" s="43">
        <v>0</v>
      </c>
      <c r="D747" s="43">
        <v>0</v>
      </c>
      <c r="E747" s="43">
        <v>0</v>
      </c>
      <c r="F747" s="43">
        <v>0</v>
      </c>
      <c r="G747" s="43">
        <v>22100</v>
      </c>
      <c r="H747" s="114"/>
      <c r="I747" s="60"/>
      <c r="J747" s="60"/>
      <c r="K747" s="114"/>
      <c r="L747" s="114"/>
      <c r="M747" s="60"/>
      <c r="N747" s="60"/>
      <c r="O747" s="114"/>
      <c r="P747" s="114"/>
      <c r="Q747" s="114"/>
      <c r="R747" s="114"/>
      <c r="S747" s="114"/>
      <c r="T747" s="114"/>
      <c r="U747" s="114"/>
      <c r="V747" s="114"/>
      <c r="W747" s="114"/>
      <c r="X747" s="114"/>
      <c r="Y747" s="114"/>
      <c r="Z747" s="114"/>
    </row>
    <row r="748" spans="1:26" ht="15.75" customHeight="1" x14ac:dyDescent="0.25">
      <c r="A748" s="44" t="s">
        <v>402</v>
      </c>
      <c r="B748" s="41" t="s">
        <v>225</v>
      </c>
      <c r="C748" s="43">
        <v>22495.5</v>
      </c>
      <c r="D748" s="43">
        <v>0</v>
      </c>
      <c r="E748" s="43">
        <f>F748-D748</f>
        <v>22500</v>
      </c>
      <c r="F748" s="43">
        <v>22500</v>
      </c>
      <c r="G748" s="43">
        <v>83450</v>
      </c>
      <c r="H748" s="114"/>
      <c r="I748" s="60"/>
      <c r="J748" s="60"/>
      <c r="K748" s="114"/>
      <c r="L748" s="114"/>
      <c r="M748" s="60"/>
      <c r="N748" s="60"/>
      <c r="O748" s="114"/>
      <c r="P748" s="114"/>
      <c r="Q748" s="114"/>
      <c r="R748" s="114"/>
      <c r="S748" s="114"/>
      <c r="T748" s="114"/>
      <c r="U748" s="114"/>
      <c r="V748" s="114"/>
      <c r="W748" s="114"/>
      <c r="X748" s="114"/>
      <c r="Y748" s="114"/>
      <c r="Z748" s="114"/>
    </row>
    <row r="749" spans="1:26" ht="15.75" customHeight="1" x14ac:dyDescent="0.25">
      <c r="A749" s="17" t="s">
        <v>511</v>
      </c>
      <c r="B749" s="41"/>
      <c r="C749" s="43"/>
      <c r="D749" s="43"/>
      <c r="E749" s="43"/>
      <c r="F749" s="43"/>
      <c r="G749" s="43"/>
      <c r="H749" s="114"/>
      <c r="I749" s="60"/>
      <c r="J749" s="60"/>
      <c r="K749" s="114"/>
      <c r="L749" s="114"/>
      <c r="M749" s="60"/>
      <c r="N749" s="60"/>
      <c r="O749" s="114"/>
      <c r="P749" s="114"/>
      <c r="Q749" s="114"/>
      <c r="R749" s="114"/>
      <c r="S749" s="114"/>
      <c r="T749" s="114"/>
      <c r="U749" s="114"/>
      <c r="V749" s="114"/>
      <c r="W749" s="114"/>
      <c r="X749" s="114"/>
      <c r="Y749" s="114"/>
      <c r="Z749" s="114"/>
    </row>
    <row r="750" spans="1:26" ht="15.75" customHeight="1" x14ac:dyDescent="0.25">
      <c r="A750" s="44" t="s">
        <v>424</v>
      </c>
      <c r="B750" s="41" t="s">
        <v>335</v>
      </c>
      <c r="C750" s="43">
        <v>2263177.61</v>
      </c>
      <c r="D750" s="43">
        <v>1042955.36</v>
      </c>
      <c r="E750" s="43">
        <f>F750-D750</f>
        <v>1715544.6400000001</v>
      </c>
      <c r="F750" s="43">
        <v>2758500</v>
      </c>
      <c r="G750" s="43">
        <v>2485500</v>
      </c>
      <c r="H750" s="114"/>
      <c r="I750" s="60"/>
      <c r="J750" s="60"/>
      <c r="K750" s="114"/>
      <c r="L750" s="114"/>
      <c r="M750" s="60"/>
      <c r="N750" s="60"/>
      <c r="O750" s="114"/>
      <c r="P750" s="114"/>
      <c r="Q750" s="114"/>
      <c r="R750" s="114"/>
      <c r="S750" s="114"/>
      <c r="T750" s="114"/>
      <c r="U750" s="114"/>
      <c r="V750" s="114"/>
      <c r="W750" s="114"/>
      <c r="X750" s="114"/>
      <c r="Y750" s="114"/>
      <c r="Z750" s="114"/>
    </row>
    <row r="751" spans="1:26" ht="15.75" customHeight="1" x14ac:dyDescent="0.25">
      <c r="A751" s="44" t="s">
        <v>990</v>
      </c>
      <c r="B751" s="41"/>
      <c r="C751" s="43"/>
      <c r="D751" s="43"/>
      <c r="E751" s="43"/>
      <c r="F751" s="43"/>
      <c r="G751" s="43"/>
      <c r="H751" s="114"/>
      <c r="I751" s="60"/>
      <c r="J751" s="60"/>
      <c r="K751" s="114"/>
      <c r="L751" s="114"/>
      <c r="M751" s="60"/>
      <c r="N751" s="60"/>
      <c r="O751" s="114"/>
      <c r="P751" s="114"/>
      <c r="Q751" s="114"/>
      <c r="R751" s="114"/>
      <c r="S751" s="114"/>
      <c r="T751" s="114"/>
      <c r="U751" s="114"/>
      <c r="V751" s="114"/>
      <c r="W751" s="114"/>
      <c r="X751" s="114"/>
      <c r="Y751" s="114"/>
      <c r="Z751" s="114"/>
    </row>
    <row r="752" spans="1:26" ht="15.75" customHeight="1" x14ac:dyDescent="0.25">
      <c r="A752" s="44" t="s">
        <v>991</v>
      </c>
      <c r="B752" s="41"/>
      <c r="C752" s="43"/>
      <c r="D752" s="43"/>
      <c r="E752" s="43"/>
      <c r="F752" s="43"/>
      <c r="G752" s="43"/>
      <c r="H752" s="114"/>
      <c r="I752" s="60"/>
      <c r="J752" s="60"/>
      <c r="K752" s="114"/>
      <c r="L752" s="114"/>
      <c r="M752" s="60"/>
      <c r="N752" s="60"/>
      <c r="O752" s="114"/>
      <c r="P752" s="114"/>
      <c r="Q752" s="114"/>
      <c r="R752" s="114"/>
      <c r="S752" s="114"/>
      <c r="T752" s="114"/>
      <c r="U752" s="114"/>
      <c r="V752" s="114"/>
      <c r="W752" s="114"/>
      <c r="X752" s="114"/>
      <c r="Y752" s="114"/>
      <c r="Z752" s="114"/>
    </row>
    <row r="753" spans="1:26" ht="15.75" customHeight="1" x14ac:dyDescent="0.25">
      <c r="A753" s="42" t="s">
        <v>466</v>
      </c>
      <c r="B753" s="41"/>
      <c r="C753" s="54">
        <f t="shared" ref="C753:D753" si="131">SUM(C746:C750)</f>
        <v>2349633.96</v>
      </c>
      <c r="D753" s="54">
        <f t="shared" si="131"/>
        <v>1042955.36</v>
      </c>
      <c r="E753" s="54">
        <f>F753-D753</f>
        <v>1802044.6400000001</v>
      </c>
      <c r="F753" s="54">
        <f>SUM(F746:F750)</f>
        <v>2845000</v>
      </c>
      <c r="G753" s="54">
        <f>SUM(G744:G750)</f>
        <v>2741050</v>
      </c>
      <c r="H753" s="114"/>
      <c r="I753" s="60"/>
      <c r="J753" s="60"/>
      <c r="K753" s="114"/>
      <c r="L753" s="114"/>
      <c r="M753" s="60"/>
      <c r="N753" s="60"/>
      <c r="O753" s="114"/>
      <c r="P753" s="114"/>
      <c r="Q753" s="114"/>
      <c r="R753" s="114"/>
      <c r="S753" s="114"/>
      <c r="T753" s="114"/>
      <c r="U753" s="114"/>
      <c r="V753" s="114"/>
      <c r="W753" s="114"/>
      <c r="X753" s="114"/>
      <c r="Y753" s="114"/>
      <c r="Z753" s="114"/>
    </row>
    <row r="754" spans="1:26" ht="15.75" customHeight="1" x14ac:dyDescent="0.25">
      <c r="A754" s="17"/>
      <c r="B754" s="41"/>
      <c r="C754" s="55"/>
      <c r="D754" s="55"/>
      <c r="E754" s="43"/>
      <c r="F754" s="55"/>
      <c r="G754" s="55"/>
      <c r="H754" s="114"/>
      <c r="I754" s="60"/>
      <c r="J754" s="60"/>
      <c r="K754" s="114"/>
      <c r="L754" s="114"/>
      <c r="M754" s="60"/>
      <c r="N754" s="60"/>
      <c r="O754" s="114"/>
      <c r="P754" s="114"/>
      <c r="Q754" s="114"/>
      <c r="R754" s="114"/>
      <c r="S754" s="114"/>
      <c r="T754" s="114"/>
      <c r="U754" s="114"/>
      <c r="V754" s="114"/>
      <c r="W754" s="114"/>
      <c r="X754" s="114"/>
      <c r="Y754" s="114"/>
      <c r="Z754" s="114"/>
    </row>
    <row r="755" spans="1:26" ht="15.75" customHeight="1" x14ac:dyDescent="0.25">
      <c r="A755" s="17" t="s">
        <v>467</v>
      </c>
      <c r="B755" s="41"/>
      <c r="C755" s="43">
        <f t="shared" ref="C755:D755" si="132">C753</f>
        <v>2349633.96</v>
      </c>
      <c r="D755" s="43">
        <f t="shared" si="132"/>
        <v>1042955.36</v>
      </c>
      <c r="E755" s="43">
        <f>F755-D755</f>
        <v>1802044.6400000001</v>
      </c>
      <c r="F755" s="43">
        <f t="shared" ref="F755:G755" si="133">F753</f>
        <v>2845000</v>
      </c>
      <c r="G755" s="43">
        <f t="shared" si="133"/>
        <v>2741050</v>
      </c>
      <c r="H755" s="114"/>
      <c r="I755" s="60"/>
      <c r="J755" s="60"/>
      <c r="K755" s="114"/>
      <c r="L755" s="114"/>
      <c r="M755" s="60"/>
      <c r="N755" s="60"/>
      <c r="O755" s="114"/>
      <c r="P755" s="114"/>
      <c r="Q755" s="114"/>
      <c r="R755" s="114"/>
      <c r="S755" s="114"/>
      <c r="T755" s="114"/>
      <c r="U755" s="114"/>
      <c r="V755" s="114"/>
      <c r="W755" s="114"/>
      <c r="X755" s="114"/>
      <c r="Y755" s="114"/>
      <c r="Z755" s="114"/>
    </row>
    <row r="756" spans="1:26" ht="15.75" customHeight="1" x14ac:dyDescent="0.25">
      <c r="A756" s="17"/>
      <c r="B756" s="41"/>
      <c r="C756" s="43"/>
      <c r="D756" s="43"/>
      <c r="E756" s="43"/>
      <c r="F756" s="43"/>
      <c r="G756" s="43"/>
      <c r="H756" s="114"/>
      <c r="I756" s="60"/>
      <c r="J756" s="60"/>
      <c r="K756" s="114"/>
      <c r="L756" s="114"/>
      <c r="M756" s="60"/>
      <c r="N756" s="60"/>
      <c r="O756" s="114"/>
      <c r="P756" s="114"/>
      <c r="Q756" s="114"/>
      <c r="R756" s="114"/>
      <c r="S756" s="114"/>
      <c r="T756" s="114"/>
      <c r="U756" s="114"/>
      <c r="V756" s="114"/>
      <c r="W756" s="114"/>
      <c r="X756" s="114"/>
      <c r="Y756" s="114"/>
      <c r="Z756" s="114"/>
    </row>
    <row r="757" spans="1:26" ht="15.75" customHeight="1" x14ac:dyDescent="0.25">
      <c r="A757" s="50" t="s">
        <v>487</v>
      </c>
      <c r="B757" s="51" t="s">
        <v>488</v>
      </c>
      <c r="C757" s="54">
        <f t="shared" ref="C757:G757" si="134">C755</f>
        <v>2349633.96</v>
      </c>
      <c r="D757" s="54">
        <f t="shared" si="134"/>
        <v>1042955.36</v>
      </c>
      <c r="E757" s="54">
        <f t="shared" si="134"/>
        <v>1802044.6400000001</v>
      </c>
      <c r="F757" s="54">
        <f t="shared" si="134"/>
        <v>2845000</v>
      </c>
      <c r="G757" s="54">
        <f t="shared" si="134"/>
        <v>2741050</v>
      </c>
      <c r="H757" s="114"/>
      <c r="I757" s="60"/>
      <c r="J757" s="60"/>
      <c r="K757" s="114"/>
      <c r="L757" s="114"/>
      <c r="M757" s="60"/>
      <c r="N757" s="60"/>
      <c r="O757" s="114"/>
      <c r="P757" s="114"/>
      <c r="Q757" s="114"/>
      <c r="R757" s="114"/>
      <c r="S757" s="114"/>
      <c r="T757" s="114"/>
      <c r="U757" s="114"/>
      <c r="V757" s="114"/>
      <c r="W757" s="114"/>
      <c r="X757" s="114"/>
      <c r="Y757" s="114"/>
      <c r="Z757" s="114"/>
    </row>
    <row r="758" spans="1:26" ht="15.75" customHeight="1" x14ac:dyDescent="0.25">
      <c r="A758" s="24"/>
      <c r="B758" s="25"/>
      <c r="C758" s="26"/>
      <c r="D758" s="26"/>
      <c r="E758" s="26"/>
      <c r="F758" s="26"/>
      <c r="G758" s="26"/>
      <c r="H758" s="114"/>
      <c r="I758" s="60"/>
      <c r="J758" s="60"/>
      <c r="K758" s="114"/>
      <c r="L758" s="114"/>
      <c r="M758" s="60"/>
      <c r="N758" s="60"/>
      <c r="O758" s="114"/>
      <c r="P758" s="114"/>
      <c r="Q758" s="114"/>
      <c r="R758" s="114"/>
      <c r="S758" s="114"/>
      <c r="T758" s="114"/>
      <c r="U758" s="114"/>
      <c r="V758" s="114"/>
      <c r="W758" s="114"/>
      <c r="X758" s="114"/>
      <c r="Y758" s="114"/>
      <c r="Z758" s="114"/>
    </row>
    <row r="759" spans="1:26" ht="15.75" customHeight="1" x14ac:dyDescent="0.25">
      <c r="A759" s="24"/>
      <c r="B759" s="25"/>
      <c r="C759" s="24"/>
      <c r="D759" s="24"/>
      <c r="E759" s="24"/>
      <c r="F759" s="15"/>
      <c r="G759" s="15"/>
      <c r="H759" s="15"/>
      <c r="I759" s="16"/>
      <c r="J759" s="16"/>
      <c r="K759" s="15"/>
      <c r="L759" s="15"/>
      <c r="M759" s="16"/>
      <c r="N759" s="16"/>
      <c r="O759" s="15"/>
      <c r="P759" s="15"/>
      <c r="Q759" s="15"/>
      <c r="R759" s="15"/>
      <c r="S759" s="15"/>
      <c r="T759" s="15"/>
      <c r="U759" s="15"/>
      <c r="V759" s="15"/>
      <c r="W759" s="15"/>
      <c r="X759" s="15"/>
      <c r="Y759" s="15"/>
      <c r="Z759" s="15"/>
    </row>
    <row r="760" spans="1:26" ht="15.75" customHeight="1" x14ac:dyDescent="0.25">
      <c r="A760" s="9"/>
      <c r="B760" s="104"/>
      <c r="C760" s="105"/>
      <c r="D760" s="105"/>
      <c r="E760" s="105"/>
      <c r="F760" s="10"/>
      <c r="G760" s="180"/>
      <c r="H760" s="15"/>
      <c r="I760" s="16"/>
      <c r="J760" s="16"/>
      <c r="K760" s="15"/>
      <c r="L760" s="15"/>
      <c r="M760" s="16"/>
      <c r="N760" s="16"/>
      <c r="O760" s="15"/>
      <c r="P760" s="15"/>
      <c r="Q760" s="15"/>
      <c r="R760" s="15"/>
      <c r="S760" s="15"/>
      <c r="T760" s="15"/>
      <c r="U760" s="15"/>
      <c r="V760" s="15"/>
      <c r="W760" s="15"/>
      <c r="X760" s="15"/>
      <c r="Y760" s="15"/>
      <c r="Z760" s="15"/>
    </row>
    <row r="761" spans="1:26" ht="15.75" customHeight="1" x14ac:dyDescent="0.25">
      <c r="A761" s="108" t="s">
        <v>825</v>
      </c>
      <c r="B761" s="25"/>
      <c r="C761" s="26"/>
      <c r="D761" s="26"/>
      <c r="E761" s="26"/>
      <c r="F761" s="14"/>
      <c r="G761" s="181"/>
      <c r="H761" s="15"/>
      <c r="I761" s="16"/>
      <c r="J761" s="16"/>
      <c r="K761" s="15"/>
      <c r="L761" s="15"/>
      <c r="M761" s="16"/>
      <c r="N761" s="16"/>
      <c r="O761" s="15"/>
      <c r="P761" s="15"/>
      <c r="Q761" s="15"/>
      <c r="R761" s="15"/>
      <c r="S761" s="15"/>
      <c r="T761" s="15"/>
      <c r="U761" s="15"/>
      <c r="V761" s="15"/>
      <c r="W761" s="15"/>
      <c r="X761" s="15"/>
      <c r="Y761" s="15"/>
      <c r="Z761" s="15"/>
    </row>
    <row r="762" spans="1:26" ht="15.75" customHeight="1" x14ac:dyDescent="0.25">
      <c r="A762" s="44"/>
      <c r="B762" s="25"/>
      <c r="C762" s="26"/>
      <c r="D762" s="26"/>
      <c r="E762" s="26"/>
      <c r="F762" s="14"/>
      <c r="G762" s="181"/>
      <c r="H762" s="15"/>
      <c r="I762" s="16"/>
      <c r="J762" s="16"/>
      <c r="K762" s="15"/>
      <c r="L762" s="15"/>
      <c r="M762" s="16"/>
      <c r="N762" s="16"/>
      <c r="O762" s="15"/>
      <c r="P762" s="15"/>
      <c r="Q762" s="15"/>
      <c r="R762" s="15"/>
      <c r="S762" s="15"/>
      <c r="T762" s="15"/>
      <c r="U762" s="15"/>
      <c r="V762" s="15"/>
      <c r="W762" s="15"/>
      <c r="X762" s="15"/>
      <c r="Y762" s="15"/>
      <c r="Z762" s="15"/>
    </row>
    <row r="763" spans="1:26" ht="15.75" customHeight="1" x14ac:dyDescent="0.25">
      <c r="A763" s="865" t="s">
        <v>352</v>
      </c>
      <c r="B763" s="866"/>
      <c r="C763" s="866"/>
      <c r="D763" s="866"/>
      <c r="E763" s="866"/>
      <c r="F763" s="866"/>
      <c r="G763" s="867"/>
      <c r="H763" s="15"/>
      <c r="I763" s="16"/>
      <c r="J763" s="16"/>
      <c r="K763" s="15"/>
      <c r="L763" s="15"/>
      <c r="M763" s="16"/>
      <c r="N763" s="16"/>
      <c r="O763" s="15"/>
      <c r="P763" s="15"/>
      <c r="Q763" s="15"/>
      <c r="R763" s="15"/>
      <c r="S763" s="15"/>
      <c r="T763" s="15"/>
      <c r="U763" s="15"/>
      <c r="V763" s="15"/>
      <c r="W763" s="15"/>
      <c r="X763" s="15"/>
      <c r="Y763" s="15"/>
      <c r="Z763" s="15"/>
    </row>
    <row r="764" spans="1:26" ht="15.75" customHeight="1" x14ac:dyDescent="0.25">
      <c r="A764" s="868" t="s">
        <v>353</v>
      </c>
      <c r="B764" s="857" t="s">
        <v>354</v>
      </c>
      <c r="C764" s="870" t="s">
        <v>355</v>
      </c>
      <c r="D764" s="872" t="s">
        <v>356</v>
      </c>
      <c r="E764" s="873"/>
      <c r="F764" s="874"/>
      <c r="G764" s="857" t="s">
        <v>357</v>
      </c>
      <c r="H764" s="15"/>
      <c r="I764" s="16"/>
      <c r="J764" s="16"/>
      <c r="K764" s="15"/>
      <c r="L764" s="15"/>
      <c r="M764" s="16"/>
      <c r="N764" s="16"/>
      <c r="O764" s="15"/>
      <c r="P764" s="15"/>
      <c r="Q764" s="15"/>
      <c r="R764" s="15"/>
      <c r="S764" s="15"/>
      <c r="T764" s="15"/>
      <c r="U764" s="15"/>
      <c r="V764" s="15"/>
      <c r="W764" s="15"/>
      <c r="X764" s="15"/>
      <c r="Y764" s="15"/>
      <c r="Z764" s="15"/>
    </row>
    <row r="765" spans="1:26" ht="15.75" customHeight="1" x14ac:dyDescent="0.25">
      <c r="A765" s="858"/>
      <c r="B765" s="858"/>
      <c r="C765" s="871"/>
      <c r="D765" s="28" t="s">
        <v>358</v>
      </c>
      <c r="E765" s="29" t="s">
        <v>359</v>
      </c>
      <c r="F765" s="875" t="s">
        <v>360</v>
      </c>
      <c r="G765" s="858"/>
      <c r="H765" s="15"/>
      <c r="I765" s="16"/>
      <c r="J765" s="16"/>
      <c r="K765" s="15"/>
      <c r="L765" s="15"/>
      <c r="M765" s="16"/>
      <c r="N765" s="16"/>
      <c r="O765" s="15"/>
      <c r="P765" s="15"/>
      <c r="Q765" s="15"/>
      <c r="R765" s="15"/>
      <c r="S765" s="15"/>
      <c r="T765" s="15"/>
      <c r="U765" s="15"/>
      <c r="V765" s="15"/>
      <c r="W765" s="15"/>
      <c r="X765" s="15"/>
      <c r="Y765" s="15"/>
      <c r="Z765" s="15"/>
    </row>
    <row r="766" spans="1:26" ht="15.75" customHeight="1" x14ac:dyDescent="0.25">
      <c r="A766" s="858"/>
      <c r="B766" s="858"/>
      <c r="C766" s="30" t="s">
        <v>361</v>
      </c>
      <c r="D766" s="31" t="s">
        <v>361</v>
      </c>
      <c r="E766" s="32" t="s">
        <v>362</v>
      </c>
      <c r="F766" s="860"/>
      <c r="G766" s="442" t="s">
        <v>2717</v>
      </c>
      <c r="H766" s="15"/>
      <c r="I766" s="16"/>
      <c r="J766" s="16"/>
      <c r="K766" s="15"/>
      <c r="L766" s="15"/>
      <c r="M766" s="16"/>
      <c r="N766" s="16"/>
      <c r="O766" s="15"/>
      <c r="P766" s="15"/>
      <c r="Q766" s="15"/>
      <c r="R766" s="15"/>
      <c r="S766" s="15"/>
      <c r="T766" s="15"/>
      <c r="U766" s="15"/>
      <c r="V766" s="15"/>
      <c r="W766" s="15"/>
      <c r="X766" s="15"/>
      <c r="Y766" s="15"/>
      <c r="Z766" s="15"/>
    </row>
    <row r="767" spans="1:26" ht="15.75" customHeight="1" x14ac:dyDescent="0.25">
      <c r="A767" s="869"/>
      <c r="B767" s="869"/>
      <c r="C767" s="33">
        <v>2024</v>
      </c>
      <c r="D767" s="34">
        <v>2025</v>
      </c>
      <c r="E767" s="34">
        <v>2025</v>
      </c>
      <c r="F767" s="34">
        <v>2025</v>
      </c>
      <c r="G767" s="36" t="s">
        <v>2668</v>
      </c>
      <c r="H767" s="15"/>
      <c r="I767" s="16"/>
      <c r="J767" s="16"/>
      <c r="K767" s="15"/>
      <c r="L767" s="15"/>
      <c r="M767" s="16"/>
      <c r="N767" s="16"/>
      <c r="O767" s="15"/>
      <c r="P767" s="15"/>
      <c r="Q767" s="15"/>
      <c r="R767" s="15"/>
      <c r="S767" s="15"/>
      <c r="T767" s="15"/>
      <c r="U767" s="15"/>
      <c r="V767" s="15"/>
      <c r="W767" s="15"/>
      <c r="X767" s="15"/>
      <c r="Y767" s="15"/>
      <c r="Z767" s="15"/>
    </row>
    <row r="768" spans="1:26" ht="15.75" customHeight="1" x14ac:dyDescent="0.25">
      <c r="A768" s="9" t="s">
        <v>364</v>
      </c>
      <c r="B768" s="38"/>
      <c r="C768" s="42"/>
      <c r="D768" s="42"/>
      <c r="E768" s="42"/>
      <c r="F768" s="42"/>
      <c r="G768" s="37"/>
      <c r="H768" s="114"/>
      <c r="I768" s="60"/>
      <c r="J768" s="60"/>
      <c r="K768" s="114"/>
      <c r="L768" s="114"/>
      <c r="M768" s="60"/>
      <c r="N768" s="60"/>
      <c r="O768" s="114"/>
      <c r="P768" s="114"/>
      <c r="Q768" s="114"/>
      <c r="R768" s="114"/>
      <c r="S768" s="114"/>
      <c r="T768" s="114"/>
      <c r="U768" s="114"/>
      <c r="V768" s="114"/>
      <c r="W768" s="114"/>
      <c r="X768" s="114"/>
      <c r="Y768" s="114"/>
      <c r="Z768" s="114"/>
    </row>
    <row r="769" spans="1:26" ht="15.75" customHeight="1" x14ac:dyDescent="0.25">
      <c r="A769" s="42" t="s">
        <v>491</v>
      </c>
      <c r="B769" s="49"/>
      <c r="C769" s="43"/>
      <c r="D769" s="43"/>
      <c r="E769" s="43"/>
      <c r="F769" s="43"/>
      <c r="G769" s="43"/>
      <c r="H769" s="114"/>
      <c r="I769" s="60"/>
      <c r="J769" s="60"/>
      <c r="K769" s="114"/>
      <c r="L769" s="114"/>
      <c r="M769" s="60"/>
      <c r="N769" s="60"/>
      <c r="O769" s="114"/>
      <c r="P769" s="114"/>
      <c r="Q769" s="114"/>
      <c r="R769" s="114"/>
      <c r="S769" s="114"/>
      <c r="T769" s="114"/>
      <c r="U769" s="114"/>
      <c r="V769" s="114"/>
      <c r="W769" s="114"/>
      <c r="X769" s="114"/>
      <c r="Y769" s="114"/>
      <c r="Z769" s="114"/>
    </row>
    <row r="770" spans="1:26" ht="15.75" customHeight="1" x14ac:dyDescent="0.25">
      <c r="A770" s="17" t="s">
        <v>493</v>
      </c>
      <c r="B770" s="41"/>
      <c r="C770" s="43"/>
      <c r="D770" s="43"/>
      <c r="E770" s="43"/>
      <c r="F770" s="43"/>
      <c r="G770" s="43"/>
      <c r="H770" s="114"/>
      <c r="I770" s="60"/>
      <c r="J770" s="60"/>
      <c r="K770" s="114"/>
      <c r="L770" s="114"/>
      <c r="M770" s="60"/>
      <c r="N770" s="60"/>
      <c r="O770" s="114"/>
      <c r="P770" s="114"/>
      <c r="Q770" s="114"/>
      <c r="R770" s="114"/>
      <c r="S770" s="114"/>
      <c r="T770" s="114"/>
      <c r="U770" s="114"/>
      <c r="V770" s="114"/>
      <c r="W770" s="114"/>
      <c r="X770" s="114"/>
      <c r="Y770" s="114"/>
      <c r="Z770" s="114"/>
    </row>
    <row r="771" spans="1:26" ht="15.75" customHeight="1" x14ac:dyDescent="0.25">
      <c r="A771" s="44" t="s">
        <v>396</v>
      </c>
      <c r="B771" s="41" t="s">
        <v>191</v>
      </c>
      <c r="C771" s="43">
        <v>0</v>
      </c>
      <c r="D771" s="43">
        <v>0</v>
      </c>
      <c r="E771" s="43">
        <v>0</v>
      </c>
      <c r="F771" s="43">
        <v>0</v>
      </c>
      <c r="G771" s="43">
        <v>33324</v>
      </c>
      <c r="H771" s="114"/>
      <c r="I771" s="60"/>
      <c r="J771" s="60"/>
      <c r="K771" s="114"/>
      <c r="L771" s="114"/>
      <c r="M771" s="60"/>
      <c r="N771" s="60"/>
      <c r="O771" s="114"/>
      <c r="P771" s="114"/>
      <c r="Q771" s="114"/>
      <c r="R771" s="114"/>
      <c r="S771" s="114"/>
      <c r="T771" s="114"/>
      <c r="U771" s="114"/>
      <c r="V771" s="114"/>
      <c r="W771" s="114"/>
      <c r="X771" s="114"/>
      <c r="Y771" s="114"/>
      <c r="Z771" s="114"/>
    </row>
    <row r="772" spans="1:26" ht="15.75" customHeight="1" x14ac:dyDescent="0.25">
      <c r="A772" s="17" t="s">
        <v>499</v>
      </c>
      <c r="B772" s="41"/>
      <c r="C772" s="43"/>
      <c r="D772" s="43"/>
      <c r="E772" s="43"/>
      <c r="F772" s="43"/>
      <c r="G772" s="43"/>
      <c r="H772" s="114"/>
      <c r="I772" s="60"/>
      <c r="J772" s="60"/>
      <c r="K772" s="114"/>
      <c r="L772" s="114"/>
      <c r="M772" s="60"/>
      <c r="N772" s="60"/>
      <c r="O772" s="114"/>
      <c r="P772" s="114"/>
      <c r="Q772" s="114"/>
      <c r="R772" s="114"/>
      <c r="S772" s="114"/>
      <c r="T772" s="114"/>
      <c r="U772" s="114"/>
      <c r="V772" s="114"/>
      <c r="W772" s="114"/>
      <c r="X772" s="114"/>
      <c r="Y772" s="114"/>
      <c r="Z772" s="114"/>
    </row>
    <row r="773" spans="1:26" ht="15.75" customHeight="1" x14ac:dyDescent="0.25">
      <c r="A773" s="44" t="s">
        <v>398</v>
      </c>
      <c r="B773" s="41" t="s">
        <v>195</v>
      </c>
      <c r="C773" s="43">
        <v>31334.01</v>
      </c>
      <c r="D773" s="43">
        <v>0</v>
      </c>
      <c r="E773" s="43">
        <f>F773-D773</f>
        <v>65536</v>
      </c>
      <c r="F773" s="43">
        <v>65536</v>
      </c>
      <c r="G773" s="43">
        <v>70000</v>
      </c>
      <c r="H773" s="114"/>
      <c r="I773" s="60"/>
      <c r="J773" s="60"/>
      <c r="K773" s="114"/>
      <c r="L773" s="114"/>
      <c r="M773" s="60"/>
      <c r="N773" s="60"/>
      <c r="O773" s="114"/>
      <c r="P773" s="114"/>
      <c r="Q773" s="114"/>
      <c r="R773" s="114"/>
      <c r="S773" s="114"/>
      <c r="T773" s="114"/>
      <c r="U773" s="114"/>
      <c r="V773" s="114"/>
      <c r="W773" s="114"/>
      <c r="X773" s="114"/>
      <c r="Y773" s="114"/>
      <c r="Z773" s="114"/>
    </row>
    <row r="774" spans="1:26" ht="15.75" customHeight="1" x14ac:dyDescent="0.25">
      <c r="A774" s="44" t="s">
        <v>400</v>
      </c>
      <c r="B774" s="41" t="s">
        <v>221</v>
      </c>
      <c r="C774" s="43">
        <v>0</v>
      </c>
      <c r="D774" s="43">
        <v>0</v>
      </c>
      <c r="E774" s="43">
        <v>0</v>
      </c>
      <c r="F774" s="43">
        <v>0</v>
      </c>
      <c r="G774" s="43">
        <v>25000</v>
      </c>
      <c r="H774" s="114"/>
      <c r="I774" s="60"/>
      <c r="J774" s="60"/>
      <c r="K774" s="114"/>
      <c r="L774" s="114"/>
      <c r="M774" s="60"/>
      <c r="N774" s="60"/>
      <c r="O774" s="114"/>
      <c r="P774" s="114"/>
      <c r="Q774" s="114"/>
      <c r="R774" s="114"/>
      <c r="S774" s="114"/>
      <c r="T774" s="114"/>
      <c r="U774" s="114"/>
      <c r="V774" s="114"/>
      <c r="W774" s="114"/>
      <c r="X774" s="114"/>
      <c r="Y774" s="114"/>
      <c r="Z774" s="114"/>
    </row>
    <row r="775" spans="1:26" ht="15.75" customHeight="1" x14ac:dyDescent="0.25">
      <c r="A775" s="44" t="s">
        <v>402</v>
      </c>
      <c r="B775" s="41" t="s">
        <v>225</v>
      </c>
      <c r="C775" s="43">
        <v>185635.51</v>
      </c>
      <c r="D775" s="43">
        <v>0</v>
      </c>
      <c r="E775" s="43">
        <f>F775-D775</f>
        <v>38855</v>
      </c>
      <c r="F775" s="43">
        <v>38855</v>
      </c>
      <c r="G775" s="43">
        <v>70000</v>
      </c>
      <c r="H775" s="114"/>
      <c r="I775" s="60"/>
      <c r="J775" s="60"/>
      <c r="K775" s="114"/>
      <c r="L775" s="114"/>
      <c r="M775" s="60"/>
      <c r="N775" s="60"/>
      <c r="O775" s="114"/>
      <c r="P775" s="114"/>
      <c r="Q775" s="114"/>
      <c r="R775" s="114"/>
      <c r="S775" s="114"/>
      <c r="T775" s="114"/>
      <c r="U775" s="114"/>
      <c r="V775" s="114"/>
      <c r="W775" s="114"/>
      <c r="X775" s="114"/>
      <c r="Y775" s="114"/>
      <c r="Z775" s="114"/>
    </row>
    <row r="776" spans="1:26" ht="15.75" customHeight="1" x14ac:dyDescent="0.25">
      <c r="A776" s="17" t="s">
        <v>424</v>
      </c>
      <c r="B776" s="41"/>
      <c r="C776" s="43"/>
      <c r="D776" s="43"/>
      <c r="E776" s="43"/>
      <c r="F776" s="43"/>
      <c r="G776" s="43"/>
      <c r="H776" s="114"/>
      <c r="I776" s="60"/>
      <c r="J776" s="60"/>
      <c r="K776" s="114"/>
      <c r="L776" s="114"/>
      <c r="M776" s="60"/>
      <c r="N776" s="60"/>
      <c r="O776" s="114"/>
      <c r="P776" s="114"/>
      <c r="Q776" s="114"/>
      <c r="R776" s="114"/>
      <c r="S776" s="114"/>
      <c r="T776" s="114"/>
      <c r="U776" s="114"/>
      <c r="V776" s="114"/>
      <c r="W776" s="114"/>
      <c r="X776" s="114"/>
      <c r="Y776" s="114"/>
      <c r="Z776" s="114"/>
    </row>
    <row r="777" spans="1:26" ht="15.75" customHeight="1" x14ac:dyDescent="0.25">
      <c r="A777" s="44" t="s">
        <v>424</v>
      </c>
      <c r="B777" s="41" t="s">
        <v>335</v>
      </c>
      <c r="C777" s="43">
        <v>1120728</v>
      </c>
      <c r="D777" s="43">
        <v>662300</v>
      </c>
      <c r="E777" s="43">
        <f>F777-D777</f>
        <v>948700</v>
      </c>
      <c r="F777" s="43">
        <v>1611000</v>
      </c>
      <c r="G777" s="43">
        <v>2427936</v>
      </c>
      <c r="H777" s="114"/>
      <c r="I777" s="60"/>
      <c r="J777" s="60"/>
      <c r="K777" s="114"/>
      <c r="L777" s="114"/>
      <c r="M777" s="60"/>
      <c r="N777" s="60"/>
      <c r="O777" s="114"/>
      <c r="P777" s="114"/>
      <c r="Q777" s="114"/>
      <c r="R777" s="114"/>
      <c r="S777" s="114"/>
      <c r="T777" s="114"/>
      <c r="U777" s="114"/>
      <c r="V777" s="114"/>
      <c r="W777" s="114"/>
      <c r="X777" s="114"/>
      <c r="Y777" s="114"/>
      <c r="Z777" s="114"/>
    </row>
    <row r="778" spans="1:26" ht="15.75" customHeight="1" x14ac:dyDescent="0.25">
      <c r="A778" s="44" t="s">
        <v>992</v>
      </c>
      <c r="B778" s="41"/>
      <c r="C778" s="43"/>
      <c r="D778" s="43"/>
      <c r="E778" s="43"/>
      <c r="F778" s="43"/>
      <c r="G778" s="43"/>
      <c r="H778" s="114"/>
      <c r="I778" s="60"/>
      <c r="J778" s="60"/>
      <c r="K778" s="114"/>
      <c r="L778" s="114"/>
      <c r="M778" s="60"/>
      <c r="N778" s="60">
        <v>24000</v>
      </c>
      <c r="O778" s="114"/>
      <c r="P778" s="114"/>
      <c r="Q778" s="114"/>
      <c r="R778" s="114"/>
      <c r="S778" s="114"/>
      <c r="T778" s="114"/>
      <c r="U778" s="114"/>
      <c r="V778" s="114"/>
      <c r="W778" s="114"/>
      <c r="X778" s="114"/>
      <c r="Y778" s="114"/>
      <c r="Z778" s="114"/>
    </row>
    <row r="779" spans="1:26" ht="15.75" customHeight="1" x14ac:dyDescent="0.25">
      <c r="A779" s="44" t="s">
        <v>864</v>
      </c>
      <c r="B779" s="41"/>
      <c r="C779" s="43"/>
      <c r="D779" s="43"/>
      <c r="E779" s="43"/>
      <c r="F779" s="43"/>
      <c r="G779" s="43"/>
      <c r="H779" s="114"/>
      <c r="I779" s="210" t="s">
        <v>877</v>
      </c>
      <c r="J779" s="211" t="s">
        <v>878</v>
      </c>
      <c r="K779" s="210" t="s">
        <v>879</v>
      </c>
      <c r="L779" s="8" t="s">
        <v>880</v>
      </c>
      <c r="M779" s="210" t="s">
        <v>881</v>
      </c>
      <c r="N779" s="60"/>
      <c r="O779" s="114"/>
      <c r="P779" s="114"/>
      <c r="Q779" s="114"/>
      <c r="R779" s="114"/>
      <c r="S779" s="114"/>
      <c r="T779" s="114"/>
      <c r="U779" s="114"/>
      <c r="V779" s="114"/>
      <c r="W779" s="114"/>
      <c r="X779" s="114"/>
      <c r="Y779" s="114"/>
      <c r="Z779" s="114"/>
    </row>
    <row r="780" spans="1:26" ht="31.5" x14ac:dyDescent="0.25">
      <c r="A780" s="118" t="s">
        <v>993</v>
      </c>
      <c r="B780" s="41"/>
      <c r="C780" s="43"/>
      <c r="D780" s="43"/>
      <c r="E780" s="43"/>
      <c r="F780" s="43"/>
      <c r="G780" s="43"/>
      <c r="H780" s="114"/>
      <c r="I780" s="60">
        <v>678</v>
      </c>
      <c r="J780" s="211">
        <v>2</v>
      </c>
      <c r="K780" s="8">
        <v>22</v>
      </c>
      <c r="L780" s="8">
        <v>12</v>
      </c>
      <c r="M780" s="60">
        <f t="shared" ref="M780:M783" si="135">I780*J780*K780*L780</f>
        <v>357984</v>
      </c>
      <c r="N780" s="60"/>
      <c r="O780" s="114"/>
      <c r="P780" s="114"/>
      <c r="Q780" s="114"/>
      <c r="R780" s="114"/>
      <c r="S780" s="114"/>
      <c r="T780" s="114"/>
      <c r="U780" s="114"/>
      <c r="V780" s="114"/>
      <c r="W780" s="114"/>
      <c r="X780" s="114"/>
      <c r="Y780" s="114"/>
      <c r="Z780" s="114"/>
    </row>
    <row r="781" spans="1:26" ht="31.5" x14ac:dyDescent="0.25">
      <c r="A781" s="118" t="s">
        <v>994</v>
      </c>
      <c r="B781" s="41"/>
      <c r="C781" s="43"/>
      <c r="D781" s="43"/>
      <c r="E781" s="43"/>
      <c r="F781" s="43"/>
      <c r="G781" s="43"/>
      <c r="H781" s="114"/>
      <c r="I781" s="60">
        <v>678</v>
      </c>
      <c r="J781" s="211">
        <v>6</v>
      </c>
      <c r="K781" s="8">
        <v>22</v>
      </c>
      <c r="L781" s="8">
        <v>12</v>
      </c>
      <c r="M781" s="60">
        <f t="shared" si="135"/>
        <v>1073952</v>
      </c>
      <c r="N781" s="60"/>
      <c r="O781" s="114"/>
      <c r="P781" s="114"/>
      <c r="Q781" s="114"/>
      <c r="R781" s="114"/>
      <c r="S781" s="114"/>
      <c r="T781" s="114"/>
      <c r="U781" s="114"/>
      <c r="V781" s="114"/>
      <c r="W781" s="114"/>
      <c r="X781" s="114"/>
      <c r="Y781" s="114"/>
      <c r="Z781" s="114"/>
    </row>
    <row r="782" spans="1:26" ht="15.75" customHeight="1" x14ac:dyDescent="0.25">
      <c r="A782" s="44" t="s">
        <v>995</v>
      </c>
      <c r="B782" s="41"/>
      <c r="C782" s="43"/>
      <c r="D782" s="43"/>
      <c r="E782" s="43"/>
      <c r="F782" s="43"/>
      <c r="G782" s="43"/>
      <c r="H782" s="114"/>
      <c r="I782" s="60">
        <v>678</v>
      </c>
      <c r="J782" s="211">
        <v>3</v>
      </c>
      <c r="K782" s="8">
        <v>26</v>
      </c>
      <c r="L782" s="8">
        <v>12</v>
      </c>
      <c r="M782" s="60">
        <f t="shared" si="135"/>
        <v>634608</v>
      </c>
      <c r="N782" s="60"/>
      <c r="O782" s="114"/>
      <c r="P782" s="114"/>
      <c r="Q782" s="114"/>
      <c r="R782" s="114"/>
      <c r="S782" s="114"/>
      <c r="T782" s="114"/>
      <c r="U782" s="114"/>
      <c r="V782" s="114"/>
      <c r="W782" s="114"/>
      <c r="X782" s="114"/>
      <c r="Y782" s="114"/>
      <c r="Z782" s="114"/>
    </row>
    <row r="783" spans="1:26" ht="31.5" x14ac:dyDescent="0.25">
      <c r="A783" s="118" t="s">
        <v>996</v>
      </c>
      <c r="B783" s="41"/>
      <c r="C783" s="43"/>
      <c r="D783" s="43"/>
      <c r="E783" s="43"/>
      <c r="F783" s="43"/>
      <c r="G783" s="43"/>
      <c r="H783" s="114"/>
      <c r="I783" s="60">
        <v>639</v>
      </c>
      <c r="J783" s="211">
        <v>2</v>
      </c>
      <c r="K783" s="8">
        <v>22</v>
      </c>
      <c r="L783" s="8">
        <v>12</v>
      </c>
      <c r="M783" s="60">
        <f t="shared" si="135"/>
        <v>337392</v>
      </c>
      <c r="N783" s="60">
        <f>SUM(M780:M783)</f>
        <v>2403936</v>
      </c>
      <c r="O783" s="60">
        <f>N778+N783</f>
        <v>2427936</v>
      </c>
      <c r="P783" s="114"/>
      <c r="Q783" s="114"/>
      <c r="R783" s="114"/>
      <c r="S783" s="114"/>
      <c r="T783" s="114"/>
      <c r="U783" s="114"/>
      <c r="V783" s="114"/>
      <c r="W783" s="114"/>
      <c r="X783" s="114"/>
      <c r="Y783" s="114"/>
      <c r="Z783" s="114"/>
    </row>
    <row r="784" spans="1:26" ht="15.75" customHeight="1" x14ac:dyDescent="0.25">
      <c r="A784" s="42" t="s">
        <v>466</v>
      </c>
      <c r="B784" s="41"/>
      <c r="C784" s="54">
        <f t="shared" ref="C784:D784" si="136">SUM(C772:C777)</f>
        <v>1337697.52</v>
      </c>
      <c r="D784" s="54">
        <f t="shared" si="136"/>
        <v>662300</v>
      </c>
      <c r="E784" s="54">
        <f>F784-D784</f>
        <v>1053091</v>
      </c>
      <c r="F784" s="54">
        <f>SUM(F772:F777)</f>
        <v>1715391</v>
      </c>
      <c r="G784" s="54">
        <f>SUM(G771:G777)</f>
        <v>2626260</v>
      </c>
      <c r="H784" s="114"/>
      <c r="I784" s="60"/>
      <c r="J784" s="60"/>
      <c r="K784" s="114"/>
      <c r="L784" s="114"/>
      <c r="M784" s="60"/>
      <c r="N784" s="60"/>
      <c r="O784" s="114"/>
      <c r="P784" s="114"/>
      <c r="Q784" s="114"/>
      <c r="R784" s="114"/>
      <c r="S784" s="114"/>
      <c r="T784" s="114"/>
      <c r="U784" s="114"/>
      <c r="V784" s="114"/>
      <c r="W784" s="114"/>
      <c r="X784" s="114"/>
      <c r="Y784" s="114"/>
      <c r="Z784" s="114"/>
    </row>
    <row r="785" spans="1:26" ht="15.75" customHeight="1" x14ac:dyDescent="0.25">
      <c r="A785" s="17"/>
      <c r="B785" s="41"/>
      <c r="C785" s="55"/>
      <c r="D785" s="55"/>
      <c r="E785" s="43"/>
      <c r="F785" s="55"/>
      <c r="G785" s="55"/>
      <c r="H785" s="114"/>
      <c r="I785" s="60"/>
      <c r="J785" s="60"/>
      <c r="K785" s="114"/>
      <c r="L785" s="114"/>
      <c r="M785" s="60"/>
      <c r="N785" s="60"/>
      <c r="O785" s="114"/>
      <c r="P785" s="114"/>
      <c r="Q785" s="114"/>
      <c r="R785" s="114"/>
      <c r="S785" s="114"/>
      <c r="T785" s="114"/>
      <c r="U785" s="114"/>
      <c r="V785" s="114"/>
      <c r="W785" s="114"/>
      <c r="X785" s="114"/>
      <c r="Y785" s="114"/>
      <c r="Z785" s="114"/>
    </row>
    <row r="786" spans="1:26" ht="15.75" customHeight="1" x14ac:dyDescent="0.25">
      <c r="A786" s="17" t="s">
        <v>467</v>
      </c>
      <c r="B786" s="41"/>
      <c r="C786" s="43">
        <f t="shared" ref="C786:D786" si="137">C784</f>
        <v>1337697.52</v>
      </c>
      <c r="D786" s="43">
        <f t="shared" si="137"/>
        <v>662300</v>
      </c>
      <c r="E786" s="43">
        <f>F786-D786</f>
        <v>1053091</v>
      </c>
      <c r="F786" s="43">
        <f t="shared" ref="F786:G786" si="138">F784</f>
        <v>1715391</v>
      </c>
      <c r="G786" s="43">
        <f t="shared" si="138"/>
        <v>2626260</v>
      </c>
      <c r="H786" s="114"/>
      <c r="I786" s="60"/>
      <c r="J786" s="60"/>
      <c r="K786" s="114"/>
      <c r="L786" s="114"/>
      <c r="M786" s="60"/>
      <c r="N786" s="60"/>
      <c r="O786" s="114"/>
      <c r="P786" s="114"/>
      <c r="Q786" s="114"/>
      <c r="R786" s="114"/>
      <c r="S786" s="114"/>
      <c r="T786" s="114"/>
      <c r="U786" s="114"/>
      <c r="V786" s="114"/>
      <c r="W786" s="114"/>
      <c r="X786" s="114"/>
      <c r="Y786" s="114"/>
      <c r="Z786" s="114"/>
    </row>
    <row r="787" spans="1:26" ht="15.75" customHeight="1" x14ac:dyDescent="0.25">
      <c r="A787" s="17"/>
      <c r="B787" s="41"/>
      <c r="C787" s="43"/>
      <c r="D787" s="43"/>
      <c r="E787" s="43"/>
      <c r="F787" s="43"/>
      <c r="G787" s="43"/>
      <c r="H787" s="114"/>
      <c r="I787" s="60"/>
      <c r="J787" s="60"/>
      <c r="K787" s="114"/>
      <c r="L787" s="114"/>
      <c r="M787" s="60"/>
      <c r="N787" s="60"/>
      <c r="O787" s="114"/>
      <c r="P787" s="114"/>
      <c r="Q787" s="114"/>
      <c r="R787" s="114"/>
      <c r="S787" s="114"/>
      <c r="T787" s="114"/>
      <c r="U787" s="114"/>
      <c r="V787" s="114"/>
      <c r="W787" s="114"/>
      <c r="X787" s="114"/>
      <c r="Y787" s="114"/>
      <c r="Z787" s="114"/>
    </row>
    <row r="788" spans="1:26" ht="15.75" customHeight="1" x14ac:dyDescent="0.25">
      <c r="A788" s="17" t="s">
        <v>529</v>
      </c>
      <c r="B788" s="41"/>
      <c r="C788" s="43"/>
      <c r="D788" s="43"/>
      <c r="E788" s="43"/>
      <c r="F788" s="43"/>
      <c r="G788" s="43"/>
      <c r="H788" s="114"/>
      <c r="I788" s="60"/>
      <c r="J788" s="60"/>
      <c r="K788" s="114"/>
      <c r="L788" s="114"/>
      <c r="M788" s="60"/>
      <c r="N788" s="60"/>
      <c r="O788" s="114"/>
      <c r="P788" s="114"/>
      <c r="Q788" s="114"/>
      <c r="R788" s="114"/>
      <c r="S788" s="114"/>
      <c r="T788" s="114"/>
      <c r="U788" s="114"/>
      <c r="V788" s="114"/>
      <c r="W788" s="114"/>
      <c r="X788" s="114"/>
      <c r="Y788" s="114"/>
      <c r="Z788" s="114"/>
    </row>
    <row r="789" spans="1:26" ht="15.75" customHeight="1" x14ac:dyDescent="0.25">
      <c r="A789" s="17" t="s">
        <v>476</v>
      </c>
      <c r="B789" s="41"/>
      <c r="C789" s="43"/>
      <c r="D789" s="43"/>
      <c r="E789" s="43"/>
      <c r="F789" s="43"/>
      <c r="G789" s="43"/>
      <c r="H789" s="114"/>
      <c r="I789" s="60"/>
      <c r="J789" s="60"/>
      <c r="K789" s="114"/>
      <c r="L789" s="114"/>
      <c r="M789" s="60"/>
      <c r="N789" s="60"/>
      <c r="O789" s="114"/>
      <c r="P789" s="114"/>
      <c r="Q789" s="114"/>
      <c r="R789" s="114"/>
      <c r="S789" s="114"/>
      <c r="T789" s="114"/>
      <c r="U789" s="114"/>
      <c r="V789" s="114"/>
      <c r="W789" s="114"/>
      <c r="X789" s="114"/>
      <c r="Y789" s="114"/>
      <c r="Z789" s="114"/>
    </row>
    <row r="790" spans="1:26" ht="15.75" customHeight="1" x14ac:dyDescent="0.25">
      <c r="A790" s="44" t="s">
        <v>997</v>
      </c>
      <c r="B790" s="41" t="s">
        <v>47</v>
      </c>
      <c r="C790" s="43">
        <v>0</v>
      </c>
      <c r="D790" s="43">
        <v>0</v>
      </c>
      <c r="E790" s="43">
        <v>0</v>
      </c>
      <c r="F790" s="43">
        <v>0</v>
      </c>
      <c r="G790" s="43">
        <v>106000</v>
      </c>
      <c r="H790" s="114"/>
      <c r="I790" s="60"/>
      <c r="J790" s="60"/>
      <c r="K790" s="114"/>
      <c r="L790" s="114"/>
      <c r="M790" s="60"/>
      <c r="N790" s="60"/>
      <c r="O790" s="114"/>
      <c r="P790" s="114"/>
      <c r="Q790" s="114"/>
      <c r="R790" s="114"/>
      <c r="S790" s="114"/>
      <c r="T790" s="114"/>
      <c r="U790" s="114"/>
      <c r="V790" s="114"/>
      <c r="W790" s="114"/>
      <c r="X790" s="114"/>
      <c r="Y790" s="114"/>
      <c r="Z790" s="114"/>
    </row>
    <row r="791" spans="1:26" ht="15.75" customHeight="1" x14ac:dyDescent="0.25">
      <c r="A791" s="460" t="s">
        <v>998</v>
      </c>
      <c r="B791" s="461"/>
      <c r="C791" s="443"/>
      <c r="D791" s="443"/>
      <c r="E791" s="443"/>
      <c r="F791" s="443"/>
      <c r="G791" s="462"/>
      <c r="H791" s="450"/>
      <c r="I791" s="60"/>
      <c r="J791" s="60"/>
      <c r="K791" s="114"/>
      <c r="L791" s="114"/>
      <c r="M791" s="60"/>
      <c r="N791" s="60"/>
      <c r="O791" s="114"/>
      <c r="P791" s="114"/>
      <c r="Q791" s="114"/>
      <c r="R791" s="114"/>
      <c r="S791" s="114"/>
      <c r="T791" s="114"/>
      <c r="U791" s="114"/>
      <c r="V791" s="114"/>
      <c r="W791" s="114"/>
      <c r="X791" s="114"/>
      <c r="Y791" s="114"/>
      <c r="Z791" s="114"/>
    </row>
    <row r="792" spans="1:26" ht="15.75" customHeight="1" x14ac:dyDescent="0.25">
      <c r="A792" s="44" t="s">
        <v>999</v>
      </c>
      <c r="B792" s="41"/>
      <c r="C792" s="43"/>
      <c r="D792" s="43"/>
      <c r="E792" s="43"/>
      <c r="F792" s="43"/>
      <c r="G792" s="43"/>
      <c r="H792" s="114"/>
      <c r="I792" s="60"/>
      <c r="J792" s="60"/>
      <c r="K792" s="114"/>
      <c r="L792" s="114"/>
      <c r="M792" s="60"/>
      <c r="N792" s="60"/>
      <c r="O792" s="114"/>
      <c r="P792" s="114"/>
      <c r="Q792" s="114"/>
      <c r="R792" s="114"/>
      <c r="S792" s="114"/>
      <c r="T792" s="114"/>
      <c r="U792" s="114"/>
      <c r="V792" s="114"/>
      <c r="W792" s="114"/>
      <c r="X792" s="114"/>
      <c r="Y792" s="114"/>
      <c r="Z792" s="114"/>
    </row>
    <row r="793" spans="1:26" ht="15.75" customHeight="1" x14ac:dyDescent="0.25">
      <c r="A793" s="17" t="s">
        <v>1000</v>
      </c>
      <c r="B793" s="41"/>
      <c r="C793" s="54">
        <f t="shared" ref="C793:G793" si="139">C790</f>
        <v>0</v>
      </c>
      <c r="D793" s="54">
        <f t="shared" si="139"/>
        <v>0</v>
      </c>
      <c r="E793" s="54">
        <f t="shared" si="139"/>
        <v>0</v>
      </c>
      <c r="F793" s="54">
        <f t="shared" si="139"/>
        <v>0</v>
      </c>
      <c r="G793" s="54">
        <f t="shared" si="139"/>
        <v>106000</v>
      </c>
      <c r="H793" s="114"/>
      <c r="I793" s="60"/>
      <c r="J793" s="60"/>
      <c r="K793" s="114"/>
      <c r="L793" s="114"/>
      <c r="M793" s="60"/>
      <c r="N793" s="60"/>
      <c r="O793" s="114"/>
      <c r="P793" s="114"/>
      <c r="Q793" s="114"/>
      <c r="R793" s="114"/>
      <c r="S793" s="114"/>
      <c r="T793" s="114"/>
      <c r="U793" s="114"/>
      <c r="V793" s="114"/>
      <c r="W793" s="114"/>
      <c r="X793" s="114"/>
      <c r="Y793" s="114"/>
      <c r="Z793" s="114"/>
    </row>
    <row r="794" spans="1:26" ht="15.75" customHeight="1" x14ac:dyDescent="0.25">
      <c r="A794" s="17"/>
      <c r="B794" s="41"/>
      <c r="C794" s="43"/>
      <c r="D794" s="43"/>
      <c r="E794" s="43"/>
      <c r="F794" s="43"/>
      <c r="G794" s="43"/>
      <c r="H794" s="114"/>
      <c r="I794" s="60"/>
      <c r="J794" s="60"/>
      <c r="K794" s="114"/>
      <c r="L794" s="114"/>
      <c r="M794" s="60"/>
      <c r="N794" s="60"/>
      <c r="O794" s="114"/>
      <c r="P794" s="114"/>
      <c r="Q794" s="114"/>
      <c r="R794" s="114"/>
      <c r="S794" s="114"/>
      <c r="T794" s="114"/>
      <c r="U794" s="114"/>
      <c r="V794" s="114"/>
      <c r="W794" s="114"/>
      <c r="X794" s="114"/>
      <c r="Y794" s="114"/>
      <c r="Z794" s="114"/>
    </row>
    <row r="795" spans="1:26" ht="15.75" customHeight="1" x14ac:dyDescent="0.25">
      <c r="A795" s="50" t="s">
        <v>487</v>
      </c>
      <c r="B795" s="51" t="s">
        <v>488</v>
      </c>
      <c r="C795" s="54">
        <f t="shared" ref="C795:D795" si="140">+C786</f>
        <v>1337697.52</v>
      </c>
      <c r="D795" s="54">
        <f t="shared" si="140"/>
        <v>662300</v>
      </c>
      <c r="E795" s="54">
        <f>F795-D795</f>
        <v>1053091</v>
      </c>
      <c r="F795" s="54">
        <f>+F786</f>
        <v>1715391</v>
      </c>
      <c r="G795" s="54">
        <f>+G786+G793</f>
        <v>2732260</v>
      </c>
      <c r="H795" s="114"/>
      <c r="I795" s="60"/>
      <c r="J795" s="60"/>
      <c r="K795" s="114"/>
      <c r="L795" s="114"/>
      <c r="M795" s="60"/>
      <c r="N795" s="60"/>
      <c r="O795" s="114"/>
      <c r="P795" s="114"/>
      <c r="Q795" s="114"/>
      <c r="R795" s="114"/>
      <c r="S795" s="114"/>
      <c r="T795" s="114"/>
      <c r="U795" s="114"/>
      <c r="V795" s="114"/>
      <c r="W795" s="114"/>
      <c r="X795" s="114"/>
      <c r="Y795" s="114"/>
      <c r="Z795" s="114"/>
    </row>
    <row r="796" spans="1:26" ht="15.75" customHeight="1" x14ac:dyDescent="0.25">
      <c r="A796" s="24"/>
      <c r="B796" s="25"/>
      <c r="C796" s="26"/>
      <c r="D796" s="26"/>
      <c r="E796" s="26"/>
      <c r="F796" s="26"/>
      <c r="G796" s="26"/>
      <c r="H796" s="114"/>
      <c r="I796" s="60"/>
      <c r="J796" s="60"/>
      <c r="K796" s="114"/>
      <c r="L796" s="114"/>
      <c r="M796" s="60"/>
      <c r="N796" s="60"/>
      <c r="O796" s="114"/>
      <c r="P796" s="114"/>
      <c r="Q796" s="114"/>
      <c r="R796" s="114"/>
      <c r="S796" s="114"/>
      <c r="T796" s="114"/>
      <c r="U796" s="114"/>
      <c r="V796" s="114"/>
      <c r="W796" s="114"/>
      <c r="X796" s="114"/>
      <c r="Y796" s="114"/>
      <c r="Z796" s="114"/>
    </row>
    <row r="797" spans="1:26" ht="15.75" customHeight="1" x14ac:dyDescent="0.25">
      <c r="A797" s="24"/>
      <c r="B797" s="25"/>
      <c r="C797" s="24"/>
      <c r="D797" s="24"/>
      <c r="E797" s="24"/>
      <c r="F797" s="15"/>
      <c r="G797" s="15"/>
      <c r="H797" s="15"/>
      <c r="I797" s="16"/>
      <c r="J797" s="16"/>
      <c r="K797" s="15"/>
      <c r="L797" s="15"/>
      <c r="M797" s="16"/>
      <c r="N797" s="16"/>
      <c r="O797" s="15"/>
      <c r="P797" s="15"/>
      <c r="Q797" s="15"/>
      <c r="R797" s="15"/>
      <c r="S797" s="15"/>
      <c r="T797" s="15"/>
      <c r="U797" s="15"/>
      <c r="V797" s="15"/>
      <c r="W797" s="15"/>
      <c r="X797" s="15"/>
      <c r="Y797" s="15"/>
      <c r="Z797" s="15"/>
    </row>
    <row r="798" spans="1:26" ht="15.75" customHeight="1" x14ac:dyDescent="0.25">
      <c r="A798" s="9"/>
      <c r="B798" s="104"/>
      <c r="C798" s="105"/>
      <c r="D798" s="105"/>
      <c r="E798" s="105"/>
      <c r="F798" s="10"/>
      <c r="G798" s="180"/>
      <c r="H798" s="15"/>
      <c r="I798" s="16"/>
      <c r="J798" s="16"/>
      <c r="K798" s="15"/>
      <c r="L798" s="15"/>
      <c r="M798" s="16"/>
      <c r="N798" s="16"/>
      <c r="O798" s="15"/>
      <c r="P798" s="15"/>
      <c r="Q798" s="15"/>
      <c r="R798" s="15"/>
      <c r="S798" s="15"/>
      <c r="T798" s="15"/>
      <c r="U798" s="15"/>
      <c r="V798" s="15"/>
      <c r="W798" s="15"/>
      <c r="X798" s="15"/>
      <c r="Y798" s="15"/>
      <c r="Z798" s="15"/>
    </row>
    <row r="799" spans="1:26" ht="15.75" customHeight="1" x14ac:dyDescent="0.25">
      <c r="A799" s="108" t="s">
        <v>826</v>
      </c>
      <c r="B799" s="25"/>
      <c r="C799" s="26"/>
      <c r="D799" s="26"/>
      <c r="E799" s="26"/>
      <c r="F799" s="14"/>
      <c r="G799" s="181"/>
      <c r="H799" s="15"/>
      <c r="I799" s="16"/>
      <c r="J799" s="16"/>
      <c r="K799" s="15"/>
      <c r="L799" s="15"/>
      <c r="M799" s="16"/>
      <c r="N799" s="16"/>
      <c r="O799" s="15"/>
      <c r="P799" s="15"/>
      <c r="Q799" s="15"/>
      <c r="R799" s="15"/>
      <c r="S799" s="15"/>
      <c r="T799" s="15"/>
      <c r="U799" s="15"/>
      <c r="V799" s="15"/>
      <c r="W799" s="15"/>
      <c r="X799" s="15"/>
      <c r="Y799" s="15"/>
      <c r="Z799" s="15"/>
    </row>
    <row r="800" spans="1:26" ht="15.75" customHeight="1" x14ac:dyDescent="0.25">
      <c r="A800" s="44"/>
      <c r="B800" s="25"/>
      <c r="C800" s="26"/>
      <c r="D800" s="26"/>
      <c r="E800" s="26"/>
      <c r="F800" s="14"/>
      <c r="G800" s="181"/>
      <c r="H800" s="15"/>
      <c r="I800" s="16"/>
      <c r="J800" s="16"/>
      <c r="K800" s="15"/>
      <c r="L800" s="15"/>
      <c r="M800" s="16"/>
      <c r="N800" s="16"/>
      <c r="O800" s="15"/>
      <c r="P800" s="15"/>
      <c r="Q800" s="15"/>
      <c r="R800" s="15"/>
      <c r="S800" s="15"/>
      <c r="T800" s="15"/>
      <c r="U800" s="15"/>
      <c r="V800" s="15"/>
      <c r="W800" s="15"/>
      <c r="X800" s="15"/>
      <c r="Y800" s="15"/>
      <c r="Z800" s="15"/>
    </row>
    <row r="801" spans="1:26" ht="15.75" customHeight="1" x14ac:dyDescent="0.25">
      <c r="A801" s="865" t="s">
        <v>352</v>
      </c>
      <c r="B801" s="866"/>
      <c r="C801" s="866"/>
      <c r="D801" s="866"/>
      <c r="E801" s="866"/>
      <c r="F801" s="866"/>
      <c r="G801" s="867"/>
      <c r="H801" s="15"/>
      <c r="I801" s="16"/>
      <c r="J801" s="16"/>
      <c r="K801" s="15"/>
      <c r="L801" s="15"/>
      <c r="M801" s="16"/>
      <c r="N801" s="16"/>
      <c r="O801" s="15"/>
      <c r="P801" s="15"/>
      <c r="Q801" s="15"/>
      <c r="R801" s="15"/>
      <c r="S801" s="15"/>
      <c r="T801" s="15"/>
      <c r="U801" s="15"/>
      <c r="V801" s="15"/>
      <c r="W801" s="15"/>
      <c r="X801" s="15"/>
      <c r="Y801" s="15"/>
      <c r="Z801" s="15"/>
    </row>
    <row r="802" spans="1:26" ht="15.75" customHeight="1" x14ac:dyDescent="0.25">
      <c r="A802" s="868" t="s">
        <v>353</v>
      </c>
      <c r="B802" s="857" t="s">
        <v>354</v>
      </c>
      <c r="C802" s="870" t="s">
        <v>355</v>
      </c>
      <c r="D802" s="872" t="s">
        <v>356</v>
      </c>
      <c r="E802" s="873"/>
      <c r="F802" s="874"/>
      <c r="G802" s="857" t="s">
        <v>357</v>
      </c>
      <c r="H802" s="15"/>
      <c r="I802" s="16"/>
      <c r="J802" s="16"/>
      <c r="K802" s="15"/>
      <c r="L802" s="15"/>
      <c r="M802" s="16"/>
      <c r="N802" s="16"/>
      <c r="O802" s="15"/>
      <c r="P802" s="15"/>
      <c r="Q802" s="15"/>
      <c r="R802" s="15"/>
      <c r="S802" s="15"/>
      <c r="T802" s="15"/>
      <c r="U802" s="15"/>
      <c r="V802" s="15"/>
      <c r="W802" s="15"/>
      <c r="X802" s="15"/>
      <c r="Y802" s="15"/>
      <c r="Z802" s="15"/>
    </row>
    <row r="803" spans="1:26" ht="15.75" customHeight="1" x14ac:dyDescent="0.25">
      <c r="A803" s="858"/>
      <c r="B803" s="858"/>
      <c r="C803" s="871"/>
      <c r="D803" s="28" t="s">
        <v>358</v>
      </c>
      <c r="E803" s="29" t="s">
        <v>359</v>
      </c>
      <c r="F803" s="875" t="s">
        <v>360</v>
      </c>
      <c r="G803" s="858"/>
      <c r="H803" s="15"/>
      <c r="I803" s="16"/>
      <c r="J803" s="16"/>
      <c r="K803" s="15"/>
      <c r="L803" s="15"/>
      <c r="M803" s="16"/>
      <c r="N803" s="16"/>
      <c r="O803" s="15"/>
      <c r="P803" s="15"/>
      <c r="Q803" s="15"/>
      <c r="R803" s="15"/>
      <c r="S803" s="15"/>
      <c r="T803" s="15"/>
      <c r="U803" s="15"/>
      <c r="V803" s="15"/>
      <c r="W803" s="15"/>
      <c r="X803" s="15"/>
      <c r="Y803" s="15"/>
      <c r="Z803" s="15"/>
    </row>
    <row r="804" spans="1:26" ht="15.75" customHeight="1" x14ac:dyDescent="0.25">
      <c r="A804" s="858"/>
      <c r="B804" s="858"/>
      <c r="C804" s="30" t="s">
        <v>361</v>
      </c>
      <c r="D804" s="31" t="s">
        <v>361</v>
      </c>
      <c r="E804" s="32" t="s">
        <v>362</v>
      </c>
      <c r="F804" s="860"/>
      <c r="G804" s="442" t="s">
        <v>2717</v>
      </c>
      <c r="H804" s="15"/>
      <c r="I804" s="16"/>
      <c r="J804" s="16"/>
      <c r="K804" s="15"/>
      <c r="L804" s="15"/>
      <c r="M804" s="16"/>
      <c r="N804" s="16"/>
      <c r="O804" s="15"/>
      <c r="P804" s="15"/>
      <c r="Q804" s="15"/>
      <c r="R804" s="15"/>
      <c r="S804" s="15"/>
      <c r="T804" s="15"/>
      <c r="U804" s="15"/>
      <c r="V804" s="15"/>
      <c r="W804" s="15"/>
      <c r="X804" s="15"/>
      <c r="Y804" s="15"/>
      <c r="Z804" s="15"/>
    </row>
    <row r="805" spans="1:26" ht="15.75" customHeight="1" x14ac:dyDescent="0.25">
      <c r="A805" s="869"/>
      <c r="B805" s="869"/>
      <c r="C805" s="33">
        <v>2024</v>
      </c>
      <c r="D805" s="34">
        <v>2025</v>
      </c>
      <c r="E805" s="34">
        <v>2025</v>
      </c>
      <c r="F805" s="34">
        <v>2025</v>
      </c>
      <c r="G805" s="36" t="s">
        <v>2668</v>
      </c>
      <c r="H805" s="15"/>
      <c r="I805" s="16"/>
      <c r="J805" s="16"/>
      <c r="K805" s="15"/>
      <c r="L805" s="15"/>
      <c r="M805" s="16"/>
      <c r="N805" s="16"/>
      <c r="O805" s="15"/>
      <c r="P805" s="15"/>
      <c r="Q805" s="15"/>
      <c r="R805" s="15"/>
      <c r="S805" s="15"/>
      <c r="T805" s="15"/>
      <c r="U805" s="15"/>
      <c r="V805" s="15"/>
      <c r="W805" s="15"/>
      <c r="X805" s="15"/>
      <c r="Y805" s="15"/>
      <c r="Z805" s="15"/>
    </row>
    <row r="806" spans="1:26" ht="15.75" customHeight="1" x14ac:dyDescent="0.25">
      <c r="A806" s="9" t="s">
        <v>364</v>
      </c>
      <c r="B806" s="38"/>
      <c r="C806" s="42"/>
      <c r="D806" s="42"/>
      <c r="E806" s="42"/>
      <c r="F806" s="42"/>
      <c r="G806" s="37"/>
      <c r="H806" s="114"/>
      <c r="I806" s="60"/>
      <c r="J806" s="60"/>
      <c r="K806" s="114"/>
      <c r="L806" s="114"/>
      <c r="M806" s="60"/>
      <c r="N806" s="60"/>
      <c r="O806" s="114"/>
      <c r="P806" s="114"/>
      <c r="Q806" s="114"/>
      <c r="R806" s="114"/>
      <c r="S806" s="114"/>
      <c r="T806" s="114"/>
      <c r="U806" s="114"/>
      <c r="V806" s="114"/>
      <c r="W806" s="114"/>
      <c r="X806" s="114"/>
      <c r="Y806" s="114"/>
      <c r="Z806" s="114"/>
    </row>
    <row r="807" spans="1:26" ht="15.75" customHeight="1" x14ac:dyDescent="0.25">
      <c r="A807" s="42" t="s">
        <v>491</v>
      </c>
      <c r="B807" s="49"/>
      <c r="C807" s="43"/>
      <c r="D807" s="43"/>
      <c r="E807" s="43"/>
      <c r="F807" s="43"/>
      <c r="G807" s="43"/>
      <c r="H807" s="114"/>
      <c r="I807" s="60"/>
      <c r="J807" s="60"/>
      <c r="K807" s="114"/>
      <c r="L807" s="114"/>
      <c r="M807" s="60"/>
      <c r="N807" s="60"/>
      <c r="O807" s="114"/>
      <c r="P807" s="114"/>
      <c r="Q807" s="114"/>
      <c r="R807" s="114"/>
      <c r="S807" s="114"/>
      <c r="T807" s="114"/>
      <c r="U807" s="114"/>
      <c r="V807" s="114"/>
      <c r="W807" s="114"/>
      <c r="X807" s="114"/>
      <c r="Y807" s="114"/>
      <c r="Z807" s="114"/>
    </row>
    <row r="808" spans="1:26" ht="15.75" customHeight="1" x14ac:dyDescent="0.25">
      <c r="A808" s="42" t="s">
        <v>499</v>
      </c>
      <c r="B808" s="49"/>
      <c r="C808" s="43"/>
      <c r="D808" s="43"/>
      <c r="E808" s="43"/>
      <c r="F808" s="43"/>
      <c r="G808" s="43"/>
      <c r="H808" s="114"/>
      <c r="I808" s="60"/>
      <c r="J808" s="60"/>
      <c r="K808" s="114"/>
      <c r="L808" s="114"/>
      <c r="M808" s="60"/>
      <c r="N808" s="60"/>
      <c r="O808" s="114"/>
      <c r="P808" s="114"/>
      <c r="Q808" s="114"/>
      <c r="R808" s="114"/>
      <c r="S808" s="114"/>
      <c r="T808" s="114"/>
      <c r="U808" s="114"/>
      <c r="V808" s="114"/>
      <c r="W808" s="114"/>
      <c r="X808" s="114"/>
      <c r="Y808" s="114"/>
      <c r="Z808" s="114"/>
    </row>
    <row r="809" spans="1:26" ht="15.75" customHeight="1" x14ac:dyDescent="0.25">
      <c r="A809" s="48" t="s">
        <v>398</v>
      </c>
      <c r="B809" s="49" t="s">
        <v>195</v>
      </c>
      <c r="C809" s="43">
        <v>26443.01</v>
      </c>
      <c r="D809" s="43">
        <v>29892.44</v>
      </c>
      <c r="E809" s="43">
        <f t="shared" ref="E809:E811" si="141">F809-D809</f>
        <v>2509.5600000000013</v>
      </c>
      <c r="F809" s="43">
        <v>32402</v>
      </c>
      <c r="G809" s="43">
        <v>40053</v>
      </c>
      <c r="H809" s="114"/>
      <c r="I809" s="60"/>
      <c r="J809" s="60"/>
      <c r="K809" s="114"/>
      <c r="L809" s="114"/>
      <c r="M809" s="60"/>
      <c r="N809" s="60"/>
      <c r="O809" s="114"/>
      <c r="P809" s="114"/>
      <c r="Q809" s="114"/>
      <c r="R809" s="114"/>
      <c r="S809" s="114"/>
      <c r="T809" s="114"/>
      <c r="U809" s="114"/>
      <c r="V809" s="114"/>
      <c r="W809" s="114"/>
      <c r="X809" s="114"/>
      <c r="Y809" s="114"/>
      <c r="Z809" s="114"/>
    </row>
    <row r="810" spans="1:26" ht="15.75" customHeight="1" x14ac:dyDescent="0.25">
      <c r="A810" s="44" t="s">
        <v>400</v>
      </c>
      <c r="B810" s="41" t="s">
        <v>221</v>
      </c>
      <c r="C810" s="43">
        <v>0</v>
      </c>
      <c r="D810" s="43">
        <v>77430</v>
      </c>
      <c r="E810" s="43">
        <f t="shared" si="141"/>
        <v>0</v>
      </c>
      <c r="F810" s="43">
        <v>77430</v>
      </c>
      <c r="G810" s="43">
        <v>54000</v>
      </c>
      <c r="H810" s="114"/>
      <c r="I810" s="60"/>
      <c r="J810" s="60"/>
      <c r="K810" s="114"/>
      <c r="L810" s="114"/>
      <c r="M810" s="60"/>
      <c r="N810" s="60"/>
      <c r="O810" s="114"/>
      <c r="P810" s="114"/>
      <c r="Q810" s="114"/>
      <c r="R810" s="114"/>
      <c r="S810" s="114"/>
      <c r="T810" s="114"/>
      <c r="U810" s="114"/>
      <c r="V810" s="114"/>
      <c r="W810" s="114"/>
      <c r="X810" s="114"/>
      <c r="Y810" s="114"/>
      <c r="Z810" s="114"/>
    </row>
    <row r="811" spans="1:26" ht="15.75" customHeight="1" x14ac:dyDescent="0.25">
      <c r="A811" s="48" t="s">
        <v>402</v>
      </c>
      <c r="B811" s="41" t="s">
        <v>225</v>
      </c>
      <c r="C811" s="43">
        <v>492329.25</v>
      </c>
      <c r="D811" s="43">
        <v>33179</v>
      </c>
      <c r="E811" s="43">
        <f t="shared" si="141"/>
        <v>1497</v>
      </c>
      <c r="F811" s="43">
        <v>34676</v>
      </c>
      <c r="G811" s="43">
        <v>46072</v>
      </c>
      <c r="H811" s="114"/>
      <c r="I811" s="60"/>
      <c r="J811" s="60"/>
      <c r="K811" s="114"/>
      <c r="L811" s="114"/>
      <c r="M811" s="60"/>
      <c r="N811" s="60"/>
      <c r="O811" s="114"/>
      <c r="P811" s="114"/>
      <c r="Q811" s="114"/>
      <c r="R811" s="114"/>
      <c r="S811" s="114"/>
      <c r="T811" s="114"/>
      <c r="U811" s="114"/>
      <c r="V811" s="114"/>
      <c r="W811" s="114"/>
      <c r="X811" s="114"/>
      <c r="Y811" s="114"/>
      <c r="Z811" s="114"/>
    </row>
    <row r="812" spans="1:26" ht="15.75" customHeight="1" x14ac:dyDescent="0.25">
      <c r="A812" s="17" t="s">
        <v>424</v>
      </c>
      <c r="B812" s="41"/>
      <c r="C812" s="43"/>
      <c r="D812" s="43"/>
      <c r="E812" s="43"/>
      <c r="F812" s="192"/>
      <c r="G812" s="192"/>
      <c r="H812" s="114"/>
      <c r="I812" s="60"/>
      <c r="J812" s="60"/>
      <c r="K812" s="114"/>
      <c r="L812" s="114"/>
      <c r="M812" s="60"/>
      <c r="N812" s="60"/>
      <c r="O812" s="114"/>
      <c r="P812" s="114"/>
      <c r="Q812" s="114"/>
      <c r="R812" s="114"/>
      <c r="S812" s="114"/>
      <c r="T812" s="114"/>
      <c r="U812" s="114"/>
      <c r="V812" s="114"/>
      <c r="W812" s="114"/>
      <c r="X812" s="114"/>
      <c r="Y812" s="114"/>
      <c r="Z812" s="114"/>
    </row>
    <row r="813" spans="1:26" ht="15.75" customHeight="1" x14ac:dyDescent="0.25">
      <c r="A813" s="48" t="s">
        <v>424</v>
      </c>
      <c r="B813" s="41" t="s">
        <v>335</v>
      </c>
      <c r="C813" s="43">
        <v>1107260</v>
      </c>
      <c r="D813" s="43">
        <v>548076</v>
      </c>
      <c r="E813" s="43">
        <f>F813-D813</f>
        <v>580884</v>
      </c>
      <c r="F813" s="43">
        <v>1128960</v>
      </c>
      <c r="G813" s="43">
        <v>2069952</v>
      </c>
      <c r="H813" s="114"/>
      <c r="I813" s="60"/>
      <c r="J813" s="60"/>
      <c r="K813" s="114"/>
      <c r="L813" s="114"/>
      <c r="M813" s="60"/>
      <c r="N813" s="60"/>
      <c r="O813" s="114"/>
      <c r="P813" s="114"/>
      <c r="Q813" s="114"/>
      <c r="R813" s="114"/>
      <c r="S813" s="114"/>
      <c r="T813" s="114"/>
      <c r="U813" s="114"/>
      <c r="V813" s="114"/>
      <c r="W813" s="114"/>
      <c r="X813" s="114"/>
      <c r="Y813" s="114"/>
      <c r="Z813" s="114"/>
    </row>
    <row r="814" spans="1:26" ht="15.75" customHeight="1" x14ac:dyDescent="0.25">
      <c r="A814" s="48" t="s">
        <v>1001</v>
      </c>
      <c r="B814" s="41"/>
      <c r="C814" s="43"/>
      <c r="D814" s="43"/>
      <c r="E814" s="43"/>
      <c r="F814" s="43"/>
      <c r="G814" s="43"/>
      <c r="H814" s="114"/>
      <c r="I814" s="60"/>
      <c r="J814" s="60"/>
      <c r="K814" s="114"/>
      <c r="L814" s="114"/>
      <c r="M814" s="60"/>
      <c r="N814" s="60">
        <v>24000</v>
      </c>
      <c r="O814" s="114"/>
      <c r="P814" s="114"/>
      <c r="Q814" s="114"/>
      <c r="R814" s="114"/>
      <c r="S814" s="114"/>
      <c r="T814" s="114"/>
      <c r="U814" s="114"/>
      <c r="V814" s="114"/>
      <c r="W814" s="114"/>
      <c r="X814" s="114"/>
      <c r="Y814" s="114"/>
      <c r="Z814" s="114"/>
    </row>
    <row r="815" spans="1:26" ht="15.75" customHeight="1" x14ac:dyDescent="0.25">
      <c r="A815" s="44" t="s">
        <v>847</v>
      </c>
      <c r="B815" s="41"/>
      <c r="C815" s="43"/>
      <c r="D815" s="43"/>
      <c r="E815" s="43"/>
      <c r="F815" s="43"/>
      <c r="G815" s="43"/>
      <c r="H815" s="114"/>
      <c r="I815" s="210" t="s">
        <v>877</v>
      </c>
      <c r="J815" s="211" t="s">
        <v>878</v>
      </c>
      <c r="K815" s="210" t="s">
        <v>879</v>
      </c>
      <c r="L815" s="8" t="s">
        <v>880</v>
      </c>
      <c r="M815" s="210" t="s">
        <v>881</v>
      </c>
      <c r="N815" s="60"/>
      <c r="O815" s="114"/>
      <c r="P815" s="114"/>
      <c r="Q815" s="114"/>
      <c r="R815" s="114"/>
      <c r="S815" s="114"/>
      <c r="T815" s="114"/>
      <c r="U815" s="114"/>
      <c r="V815" s="114"/>
      <c r="W815" s="114"/>
      <c r="X815" s="114"/>
      <c r="Y815" s="114"/>
      <c r="Z815" s="114"/>
    </row>
    <row r="816" spans="1:26" ht="31.5" x14ac:dyDescent="0.25">
      <c r="A816" s="68" t="s">
        <v>1002</v>
      </c>
      <c r="B816" s="41"/>
      <c r="C816" s="43"/>
      <c r="D816" s="43"/>
      <c r="E816" s="43"/>
      <c r="F816" s="43"/>
      <c r="G816" s="43"/>
      <c r="H816" s="114"/>
      <c r="I816" s="60">
        <v>678</v>
      </c>
      <c r="J816" s="211">
        <v>5</v>
      </c>
      <c r="K816" s="8">
        <v>22</v>
      </c>
      <c r="L816" s="8">
        <v>12</v>
      </c>
      <c r="M816" s="60">
        <f t="shared" ref="M816:M819" si="142">I816*J816*K816*L816</f>
        <v>894960</v>
      </c>
      <c r="N816" s="60"/>
      <c r="O816" s="114"/>
      <c r="P816" s="114"/>
      <c r="Q816" s="114"/>
      <c r="R816" s="114"/>
      <c r="S816" s="114"/>
      <c r="T816" s="114"/>
      <c r="U816" s="114"/>
      <c r="V816" s="114"/>
      <c r="W816" s="114"/>
      <c r="X816" s="114"/>
      <c r="Y816" s="114"/>
      <c r="Z816" s="114"/>
    </row>
    <row r="817" spans="1:26" ht="15.75" customHeight="1" x14ac:dyDescent="0.25">
      <c r="A817" s="48" t="s">
        <v>1003</v>
      </c>
      <c r="B817" s="41"/>
      <c r="C817" s="43"/>
      <c r="D817" s="43"/>
      <c r="E817" s="43"/>
      <c r="F817" s="43"/>
      <c r="G817" s="43"/>
      <c r="H817" s="114"/>
      <c r="I817" s="60">
        <v>678</v>
      </c>
      <c r="J817" s="211">
        <v>3</v>
      </c>
      <c r="K817" s="8">
        <v>26</v>
      </c>
      <c r="L817" s="8">
        <v>12</v>
      </c>
      <c r="M817" s="60">
        <f t="shared" si="142"/>
        <v>634608</v>
      </c>
      <c r="N817" s="60"/>
      <c r="O817" s="114"/>
      <c r="P817" s="114"/>
      <c r="Q817" s="114"/>
      <c r="R817" s="114"/>
      <c r="S817" s="114"/>
      <c r="T817" s="114"/>
      <c r="U817" s="114"/>
      <c r="V817" s="114"/>
      <c r="W817" s="114"/>
      <c r="X817" s="114"/>
      <c r="Y817" s="114"/>
      <c r="Z817" s="114"/>
    </row>
    <row r="818" spans="1:26" ht="31.5" x14ac:dyDescent="0.25">
      <c r="A818" s="68" t="s">
        <v>1004</v>
      </c>
      <c r="B818" s="41"/>
      <c r="C818" s="43"/>
      <c r="D818" s="43"/>
      <c r="E818" s="43"/>
      <c r="F818" s="43"/>
      <c r="G818" s="43"/>
      <c r="H818" s="114"/>
      <c r="I818" s="60">
        <v>678</v>
      </c>
      <c r="J818" s="211">
        <v>1</v>
      </c>
      <c r="K818" s="8">
        <v>22</v>
      </c>
      <c r="L818" s="8">
        <v>12</v>
      </c>
      <c r="M818" s="60">
        <f t="shared" si="142"/>
        <v>178992</v>
      </c>
      <c r="N818" s="60"/>
      <c r="O818" s="114"/>
      <c r="P818" s="114"/>
      <c r="Q818" s="114"/>
      <c r="R818" s="114"/>
      <c r="S818" s="114"/>
      <c r="T818" s="114"/>
      <c r="U818" s="114"/>
      <c r="V818" s="114"/>
      <c r="W818" s="114"/>
      <c r="X818" s="114"/>
      <c r="Y818" s="114"/>
      <c r="Z818" s="114"/>
    </row>
    <row r="819" spans="1:26" ht="31.5" x14ac:dyDescent="0.25">
      <c r="A819" s="68" t="s">
        <v>1005</v>
      </c>
      <c r="B819" s="41"/>
      <c r="C819" s="43"/>
      <c r="D819" s="43"/>
      <c r="E819" s="43"/>
      <c r="F819" s="43"/>
      <c r="G819" s="43"/>
      <c r="H819" s="114"/>
      <c r="I819" s="60">
        <v>639</v>
      </c>
      <c r="J819" s="211">
        <v>2</v>
      </c>
      <c r="K819" s="8">
        <v>22</v>
      </c>
      <c r="L819" s="8">
        <v>12</v>
      </c>
      <c r="M819" s="60">
        <f t="shared" si="142"/>
        <v>337392</v>
      </c>
      <c r="N819" s="60">
        <f>SUM(M816:M819)</f>
        <v>2045952</v>
      </c>
      <c r="O819" s="60">
        <f>N814+N819</f>
        <v>2069952</v>
      </c>
      <c r="P819" s="114"/>
      <c r="Q819" s="114"/>
      <c r="R819" s="114"/>
      <c r="S819" s="114"/>
      <c r="T819" s="114"/>
      <c r="U819" s="114"/>
      <c r="V819" s="114"/>
      <c r="W819" s="114"/>
      <c r="X819" s="114"/>
      <c r="Y819" s="114"/>
      <c r="Z819" s="114"/>
    </row>
    <row r="820" spans="1:26" ht="15.75" customHeight="1" x14ac:dyDescent="0.25">
      <c r="A820" s="42" t="s">
        <v>466</v>
      </c>
      <c r="B820" s="41"/>
      <c r="C820" s="54">
        <f>SUM(C808:C813)</f>
        <v>1626032.26</v>
      </c>
      <c r="D820" s="54">
        <f>SUM(D808:D813)</f>
        <v>688577.44</v>
      </c>
      <c r="E820" s="54">
        <f>F820-D820</f>
        <v>584890.56000000006</v>
      </c>
      <c r="F820" s="54">
        <f>SUM(F808:F813)</f>
        <v>1273468</v>
      </c>
      <c r="G820" s="54">
        <f>SUM(G809:G813)</f>
        <v>2210077</v>
      </c>
      <c r="H820" s="114"/>
      <c r="I820" s="60"/>
      <c r="J820" s="60"/>
      <c r="K820" s="114"/>
      <c r="L820" s="114"/>
      <c r="M820" s="60"/>
      <c r="N820" s="60"/>
      <c r="O820" s="114"/>
      <c r="P820" s="114"/>
      <c r="Q820" s="114"/>
      <c r="R820" s="114"/>
      <c r="S820" s="114"/>
      <c r="T820" s="114"/>
      <c r="U820" s="114"/>
      <c r="V820" s="114"/>
      <c r="W820" s="114"/>
      <c r="X820" s="114"/>
      <c r="Y820" s="114"/>
      <c r="Z820" s="114"/>
    </row>
    <row r="821" spans="1:26" ht="15.75" customHeight="1" x14ac:dyDescent="0.25">
      <c r="A821" s="42"/>
      <c r="B821" s="49"/>
      <c r="C821" s="39"/>
      <c r="D821" s="55"/>
      <c r="E821" s="43"/>
      <c r="F821" s="55"/>
      <c r="G821" s="55"/>
      <c r="H821" s="114"/>
      <c r="I821" s="60"/>
      <c r="J821" s="60"/>
      <c r="K821" s="114"/>
      <c r="L821" s="114"/>
      <c r="M821" s="60"/>
      <c r="N821" s="60"/>
      <c r="O821" s="114"/>
      <c r="P821" s="114"/>
      <c r="Q821" s="114"/>
      <c r="R821" s="114"/>
      <c r="S821" s="114"/>
      <c r="T821" s="114"/>
      <c r="U821" s="114"/>
      <c r="V821" s="114"/>
      <c r="W821" s="114"/>
      <c r="X821" s="114"/>
      <c r="Y821" s="114"/>
      <c r="Z821" s="114"/>
    </row>
    <row r="822" spans="1:26" ht="15.75" customHeight="1" x14ac:dyDescent="0.25">
      <c r="A822" s="42" t="s">
        <v>467</v>
      </c>
      <c r="B822" s="49"/>
      <c r="C822" s="45">
        <f t="shared" ref="C822:D822" si="143">C820</f>
        <v>1626032.26</v>
      </c>
      <c r="D822" s="43">
        <f t="shared" si="143"/>
        <v>688577.44</v>
      </c>
      <c r="E822" s="43">
        <f>F822-D822</f>
        <v>584890.56000000006</v>
      </c>
      <c r="F822" s="43">
        <f t="shared" ref="F822:G822" si="144">F820</f>
        <v>1273468</v>
      </c>
      <c r="G822" s="43">
        <f t="shared" si="144"/>
        <v>2210077</v>
      </c>
      <c r="H822" s="114"/>
      <c r="I822" s="60"/>
      <c r="J822" s="60"/>
      <c r="K822" s="114"/>
      <c r="L822" s="114"/>
      <c r="M822" s="60"/>
      <c r="N822" s="60"/>
      <c r="O822" s="114"/>
      <c r="P822" s="114"/>
      <c r="Q822" s="114"/>
      <c r="R822" s="114"/>
      <c r="S822" s="114"/>
      <c r="T822" s="114"/>
      <c r="U822" s="114"/>
      <c r="V822" s="114"/>
      <c r="W822" s="114"/>
      <c r="X822" s="114"/>
      <c r="Y822" s="114"/>
      <c r="Z822" s="114"/>
    </row>
    <row r="823" spans="1:26" ht="15.75" customHeight="1" x14ac:dyDescent="0.25">
      <c r="A823" s="42"/>
      <c r="B823" s="49"/>
      <c r="C823" s="45"/>
      <c r="D823" s="43"/>
      <c r="E823" s="43"/>
      <c r="F823" s="43"/>
      <c r="G823" s="43"/>
      <c r="H823" s="114"/>
      <c r="I823" s="60"/>
      <c r="J823" s="60"/>
      <c r="K823" s="114"/>
      <c r="L823" s="114"/>
      <c r="M823" s="60"/>
      <c r="N823" s="60"/>
      <c r="O823" s="114"/>
      <c r="P823" s="114"/>
      <c r="Q823" s="114"/>
      <c r="R823" s="114"/>
      <c r="S823" s="114"/>
      <c r="T823" s="114"/>
      <c r="U823" s="114"/>
      <c r="V823" s="114"/>
      <c r="W823" s="114"/>
      <c r="X823" s="114"/>
      <c r="Y823" s="114"/>
      <c r="Z823" s="114"/>
    </row>
    <row r="824" spans="1:26" ht="15.75" customHeight="1" x14ac:dyDescent="0.25">
      <c r="A824" s="42" t="s">
        <v>529</v>
      </c>
      <c r="B824" s="49"/>
      <c r="C824" s="199"/>
      <c r="D824" s="172"/>
      <c r="E824" s="43"/>
      <c r="F824" s="172"/>
      <c r="G824" s="45"/>
      <c r="H824" s="114"/>
      <c r="I824" s="60"/>
      <c r="J824" s="60"/>
      <c r="K824" s="114"/>
      <c r="L824" s="114"/>
      <c r="M824" s="60"/>
      <c r="N824" s="60"/>
      <c r="O824" s="114"/>
      <c r="P824" s="114"/>
      <c r="Q824" s="114"/>
      <c r="R824" s="114"/>
      <c r="S824" s="114"/>
      <c r="T824" s="114"/>
      <c r="U824" s="114"/>
      <c r="V824" s="114"/>
      <c r="W824" s="114"/>
      <c r="X824" s="114"/>
      <c r="Y824" s="114"/>
      <c r="Z824" s="114"/>
    </row>
    <row r="825" spans="1:26" ht="15.75" customHeight="1" x14ac:dyDescent="0.25">
      <c r="A825" s="456" t="s">
        <v>476</v>
      </c>
      <c r="B825" s="488"/>
      <c r="C825" s="443"/>
      <c r="D825" s="443"/>
      <c r="E825" s="443"/>
      <c r="F825" s="443"/>
      <c r="G825" s="462"/>
      <c r="H825" s="114"/>
      <c r="I825" s="60"/>
      <c r="J825" s="60"/>
      <c r="K825" s="114"/>
      <c r="L825" s="114"/>
      <c r="M825" s="60"/>
      <c r="N825" s="60"/>
      <c r="O825" s="114"/>
      <c r="P825" s="114"/>
      <c r="Q825" s="114"/>
      <c r="R825" s="114"/>
      <c r="S825" s="114"/>
      <c r="T825" s="114"/>
      <c r="U825" s="114"/>
      <c r="V825" s="114"/>
      <c r="W825" s="114"/>
      <c r="X825" s="114"/>
      <c r="Y825" s="114"/>
      <c r="Z825" s="114"/>
    </row>
    <row r="826" spans="1:26" ht="15.75" customHeight="1" x14ac:dyDescent="0.25">
      <c r="A826" s="460" t="s">
        <v>479</v>
      </c>
      <c r="B826" s="454" t="s">
        <v>47</v>
      </c>
      <c r="C826" s="443">
        <v>0</v>
      </c>
      <c r="D826" s="443">
        <v>0</v>
      </c>
      <c r="E826" s="443">
        <v>0</v>
      </c>
      <c r="F826" s="443">
        <v>0</v>
      </c>
      <c r="G826" s="462">
        <v>106050</v>
      </c>
      <c r="H826" s="114"/>
      <c r="I826" s="60"/>
      <c r="J826" s="60"/>
      <c r="K826" s="114"/>
      <c r="L826" s="114"/>
      <c r="M826" s="60"/>
      <c r="N826" s="60"/>
      <c r="O826" s="114"/>
      <c r="P826" s="114"/>
      <c r="Q826" s="114"/>
      <c r="R826" s="114"/>
      <c r="S826" s="114"/>
      <c r="T826" s="114"/>
      <c r="U826" s="114"/>
      <c r="V826" s="114"/>
      <c r="W826" s="114"/>
      <c r="X826" s="114"/>
      <c r="Y826" s="114"/>
      <c r="Z826" s="114"/>
    </row>
    <row r="827" spans="1:26" ht="15.75" customHeight="1" x14ac:dyDescent="0.25">
      <c r="A827" s="48" t="s">
        <v>1006</v>
      </c>
      <c r="B827" s="41"/>
      <c r="C827" s="43"/>
      <c r="D827" s="43"/>
      <c r="E827" s="43"/>
      <c r="F827" s="43"/>
      <c r="G827" s="43"/>
      <c r="H827" s="114"/>
      <c r="I827" s="60"/>
      <c r="J827" s="60"/>
      <c r="K827" s="114"/>
      <c r="L827" s="114"/>
      <c r="M827" s="60"/>
      <c r="N827" s="60"/>
      <c r="O827" s="114"/>
      <c r="P827" s="114"/>
      <c r="Q827" s="114"/>
      <c r="R827" s="114"/>
      <c r="S827" s="114"/>
      <c r="T827" s="114"/>
      <c r="U827" s="114"/>
      <c r="V827" s="114"/>
      <c r="W827" s="114"/>
      <c r="X827" s="114"/>
      <c r="Y827" s="114"/>
      <c r="Z827" s="114"/>
    </row>
    <row r="828" spans="1:26" ht="15.75" customHeight="1" x14ac:dyDescent="0.25">
      <c r="A828" s="48" t="s">
        <v>1007</v>
      </c>
      <c r="B828" s="41"/>
      <c r="C828" s="43"/>
      <c r="D828" s="43"/>
      <c r="E828" s="43"/>
      <c r="F828" s="43"/>
      <c r="G828" s="43"/>
      <c r="H828" s="114"/>
      <c r="I828" s="60"/>
      <c r="J828" s="60"/>
      <c r="K828" s="114"/>
      <c r="L828" s="114"/>
      <c r="M828" s="60"/>
      <c r="N828" s="60"/>
      <c r="O828" s="114"/>
      <c r="P828" s="114"/>
      <c r="Q828" s="114"/>
      <c r="R828" s="114"/>
      <c r="S828" s="114"/>
      <c r="T828" s="114"/>
      <c r="U828" s="114"/>
      <c r="V828" s="114"/>
      <c r="W828" s="114"/>
      <c r="X828" s="114"/>
      <c r="Y828" s="114"/>
      <c r="Z828" s="114"/>
    </row>
    <row r="829" spans="1:26" ht="15.75" customHeight="1" x14ac:dyDescent="0.25">
      <c r="A829" s="17" t="s">
        <v>536</v>
      </c>
      <c r="B829" s="41"/>
      <c r="C829" s="54">
        <f>SUM(C825:C828)</f>
        <v>0</v>
      </c>
      <c r="D829" s="54">
        <f>SUM(D825:D828)</f>
        <v>0</v>
      </c>
      <c r="E829" s="54">
        <f t="shared" ref="E829" si="145">F829-D829</f>
        <v>0</v>
      </c>
      <c r="F829" s="54">
        <f>SUM(F825:F828)</f>
        <v>0</v>
      </c>
      <c r="G829" s="54">
        <f>SUM(G826:G828)</f>
        <v>106050</v>
      </c>
      <c r="H829" s="114"/>
      <c r="I829" s="60"/>
      <c r="J829" s="60"/>
      <c r="K829" s="114"/>
      <c r="L829" s="114"/>
      <c r="M829" s="60"/>
      <c r="N829" s="60"/>
      <c r="O829" s="114"/>
      <c r="P829" s="114"/>
      <c r="Q829" s="114"/>
      <c r="R829" s="114"/>
      <c r="S829" s="114"/>
      <c r="T829" s="114"/>
      <c r="U829" s="114"/>
      <c r="V829" s="114"/>
      <c r="W829" s="114"/>
      <c r="X829" s="114"/>
      <c r="Y829" s="114"/>
      <c r="Z829" s="114"/>
    </row>
    <row r="830" spans="1:26" ht="15.75" customHeight="1" x14ac:dyDescent="0.25">
      <c r="A830" s="17"/>
      <c r="B830" s="41"/>
      <c r="C830" s="43"/>
      <c r="D830" s="43"/>
      <c r="E830" s="43"/>
      <c r="F830" s="43"/>
      <c r="G830" s="43"/>
      <c r="H830" s="114"/>
      <c r="I830" s="60"/>
      <c r="J830" s="60"/>
      <c r="K830" s="114"/>
      <c r="L830" s="114"/>
      <c r="M830" s="60"/>
      <c r="N830" s="60"/>
      <c r="O830" s="114"/>
      <c r="P830" s="114"/>
      <c r="Q830" s="114"/>
      <c r="R830" s="114"/>
      <c r="S830" s="114"/>
      <c r="T830" s="114"/>
      <c r="U830" s="114"/>
      <c r="V830" s="114"/>
      <c r="W830" s="114"/>
      <c r="X830" s="114"/>
      <c r="Y830" s="114"/>
      <c r="Z830" s="114"/>
    </row>
    <row r="831" spans="1:26" ht="15.75" customHeight="1" x14ac:dyDescent="0.25">
      <c r="A831" s="50" t="s">
        <v>487</v>
      </c>
      <c r="B831" s="51" t="s">
        <v>488</v>
      </c>
      <c r="C831" s="54">
        <f>+C829+C822</f>
        <v>1626032.26</v>
      </c>
      <c r="D831" s="54">
        <f>+D829+D822</f>
        <v>688577.44</v>
      </c>
      <c r="E831" s="54">
        <f>F831-D831</f>
        <v>584890.56000000006</v>
      </c>
      <c r="F831" s="54">
        <f>+F829+F822</f>
        <v>1273468</v>
      </c>
      <c r="G831" s="54">
        <f>+G829+G822</f>
        <v>2316127</v>
      </c>
      <c r="H831" s="114"/>
      <c r="I831" s="60"/>
      <c r="J831" s="60"/>
      <c r="K831" s="114"/>
      <c r="L831" s="114"/>
      <c r="M831" s="60"/>
      <c r="N831" s="60"/>
      <c r="O831" s="114"/>
      <c r="P831" s="114"/>
      <c r="Q831" s="114"/>
      <c r="R831" s="114"/>
      <c r="S831" s="114"/>
      <c r="T831" s="114"/>
      <c r="U831" s="114"/>
      <c r="V831" s="114"/>
      <c r="W831" s="114"/>
      <c r="X831" s="114"/>
      <c r="Y831" s="114"/>
      <c r="Z831" s="114"/>
    </row>
    <row r="832" spans="1:26" ht="15.75" customHeight="1" x14ac:dyDescent="0.25">
      <c r="A832" s="24"/>
      <c r="B832" s="25"/>
      <c r="C832" s="26"/>
      <c r="D832" s="26"/>
      <c r="E832" s="26"/>
      <c r="F832" s="26"/>
      <c r="G832" s="26"/>
      <c r="H832" s="114"/>
      <c r="I832" s="60"/>
      <c r="J832" s="60"/>
      <c r="K832" s="114"/>
      <c r="L832" s="114"/>
      <c r="M832" s="60"/>
      <c r="N832" s="60"/>
      <c r="O832" s="114"/>
      <c r="P832" s="114"/>
      <c r="Q832" s="114"/>
      <c r="R832" s="114"/>
      <c r="S832" s="114"/>
      <c r="T832" s="114"/>
      <c r="U832" s="114"/>
      <c r="V832" s="114"/>
      <c r="W832" s="114"/>
      <c r="X832" s="114"/>
      <c r="Y832" s="114"/>
      <c r="Z832" s="114"/>
    </row>
    <row r="833" spans="1:26" ht="15.75" customHeight="1" x14ac:dyDescent="0.25">
      <c r="A833" s="24"/>
      <c r="B833" s="25"/>
      <c r="C833" s="24"/>
      <c r="D833" s="24"/>
      <c r="E833" s="24"/>
      <c r="F833" s="15"/>
      <c r="G833" s="15"/>
      <c r="H833" s="15"/>
      <c r="I833" s="16"/>
      <c r="J833" s="16"/>
      <c r="K833" s="15"/>
      <c r="L833" s="15"/>
      <c r="M833" s="16"/>
      <c r="N833" s="16"/>
      <c r="O833" s="15"/>
      <c r="P833" s="15"/>
      <c r="Q833" s="15"/>
      <c r="R833" s="15"/>
      <c r="S833" s="15"/>
      <c r="T833" s="15"/>
      <c r="U833" s="15"/>
      <c r="V833" s="15"/>
      <c r="W833" s="15"/>
      <c r="X833" s="15"/>
      <c r="Y833" s="15"/>
      <c r="Z833" s="15"/>
    </row>
    <row r="834" spans="1:26" ht="15.75" customHeight="1" x14ac:dyDescent="0.25">
      <c r="A834" s="9"/>
      <c r="B834" s="104"/>
      <c r="C834" s="105"/>
      <c r="D834" s="105"/>
      <c r="E834" s="105"/>
      <c r="F834" s="10"/>
      <c r="G834" s="180"/>
      <c r="H834" s="15"/>
      <c r="I834" s="16"/>
      <c r="J834" s="16"/>
      <c r="K834" s="15"/>
      <c r="L834" s="15"/>
      <c r="M834" s="16"/>
      <c r="N834" s="16"/>
      <c r="O834" s="15"/>
      <c r="P834" s="15"/>
      <c r="Q834" s="15"/>
      <c r="R834" s="15"/>
      <c r="S834" s="15"/>
      <c r="T834" s="15"/>
      <c r="U834" s="15"/>
      <c r="V834" s="15"/>
      <c r="W834" s="15"/>
      <c r="X834" s="15"/>
      <c r="Y834" s="15"/>
      <c r="Z834" s="15"/>
    </row>
    <row r="835" spans="1:26" ht="15.75" customHeight="1" x14ac:dyDescent="0.25">
      <c r="A835" s="108" t="s">
        <v>828</v>
      </c>
      <c r="B835" s="25"/>
      <c r="C835" s="26"/>
      <c r="D835" s="26"/>
      <c r="E835" s="26"/>
      <c r="F835" s="14"/>
      <c r="G835" s="181"/>
      <c r="H835" s="15"/>
      <c r="I835" s="16"/>
      <c r="J835" s="16"/>
      <c r="K835" s="15"/>
      <c r="L835" s="15"/>
      <c r="M835" s="16"/>
      <c r="N835" s="16"/>
      <c r="O835" s="15"/>
      <c r="P835" s="15"/>
      <c r="Q835" s="15"/>
      <c r="R835" s="15"/>
      <c r="S835" s="15"/>
      <c r="T835" s="15"/>
      <c r="U835" s="15"/>
      <c r="V835" s="15"/>
      <c r="W835" s="15"/>
      <c r="X835" s="15"/>
      <c r="Y835" s="15"/>
      <c r="Z835" s="15"/>
    </row>
    <row r="836" spans="1:26" ht="15.75" customHeight="1" x14ac:dyDescent="0.25">
      <c r="A836" s="44"/>
      <c r="B836" s="25"/>
      <c r="C836" s="26"/>
      <c r="D836" s="26"/>
      <c r="E836" s="26"/>
      <c r="F836" s="14"/>
      <c r="G836" s="181"/>
      <c r="H836" s="15"/>
      <c r="I836" s="16"/>
      <c r="J836" s="16"/>
      <c r="K836" s="15"/>
      <c r="L836" s="15"/>
      <c r="M836" s="16"/>
      <c r="N836" s="16"/>
      <c r="O836" s="15"/>
      <c r="P836" s="15"/>
      <c r="Q836" s="15"/>
      <c r="R836" s="15"/>
      <c r="S836" s="15"/>
      <c r="T836" s="15"/>
      <c r="U836" s="15"/>
      <c r="V836" s="15"/>
      <c r="W836" s="15"/>
      <c r="X836" s="15"/>
      <c r="Y836" s="15"/>
      <c r="Z836" s="15"/>
    </row>
    <row r="837" spans="1:26" ht="15.75" customHeight="1" x14ac:dyDescent="0.25">
      <c r="A837" s="865" t="s">
        <v>352</v>
      </c>
      <c r="B837" s="866"/>
      <c r="C837" s="866"/>
      <c r="D837" s="866"/>
      <c r="E837" s="866"/>
      <c r="F837" s="866"/>
      <c r="G837" s="867"/>
      <c r="H837" s="15"/>
      <c r="I837" s="16"/>
      <c r="J837" s="16"/>
      <c r="K837" s="15"/>
      <c r="L837" s="15"/>
      <c r="M837" s="16"/>
      <c r="N837" s="16"/>
      <c r="O837" s="15"/>
      <c r="P837" s="15"/>
      <c r="Q837" s="15"/>
      <c r="R837" s="15"/>
      <c r="S837" s="15"/>
      <c r="T837" s="15"/>
      <c r="U837" s="15"/>
      <c r="V837" s="15"/>
      <c r="W837" s="15"/>
      <c r="X837" s="15"/>
      <c r="Y837" s="15"/>
      <c r="Z837" s="15"/>
    </row>
    <row r="838" spans="1:26" ht="15.75" customHeight="1" x14ac:dyDescent="0.25">
      <c r="A838" s="868" t="s">
        <v>353</v>
      </c>
      <c r="B838" s="857" t="s">
        <v>354</v>
      </c>
      <c r="C838" s="870" t="s">
        <v>355</v>
      </c>
      <c r="D838" s="872" t="s">
        <v>356</v>
      </c>
      <c r="E838" s="873"/>
      <c r="F838" s="874"/>
      <c r="G838" s="857" t="s">
        <v>357</v>
      </c>
      <c r="H838" s="15"/>
      <c r="I838" s="16"/>
      <c r="J838" s="16"/>
      <c r="K838" s="15"/>
      <c r="L838" s="15"/>
      <c r="M838" s="16"/>
      <c r="N838" s="16"/>
      <c r="O838" s="15"/>
      <c r="P838" s="15"/>
      <c r="Q838" s="15"/>
      <c r="R838" s="15"/>
      <c r="S838" s="15"/>
      <c r="T838" s="15"/>
      <c r="U838" s="15"/>
      <c r="V838" s="15"/>
      <c r="W838" s="15"/>
      <c r="X838" s="15"/>
      <c r="Y838" s="15"/>
      <c r="Z838" s="15"/>
    </row>
    <row r="839" spans="1:26" ht="15.75" customHeight="1" x14ac:dyDescent="0.25">
      <c r="A839" s="858"/>
      <c r="B839" s="858"/>
      <c r="C839" s="871"/>
      <c r="D839" s="28" t="s">
        <v>358</v>
      </c>
      <c r="E839" s="29" t="s">
        <v>359</v>
      </c>
      <c r="F839" s="875" t="s">
        <v>360</v>
      </c>
      <c r="G839" s="858"/>
      <c r="H839" s="15"/>
      <c r="I839" s="16"/>
      <c r="J839" s="16"/>
      <c r="K839" s="15"/>
      <c r="L839" s="15"/>
      <c r="M839" s="16"/>
      <c r="N839" s="16"/>
      <c r="O839" s="15"/>
      <c r="P839" s="15"/>
      <c r="Q839" s="15"/>
      <c r="R839" s="15"/>
      <c r="S839" s="15"/>
      <c r="T839" s="15"/>
      <c r="U839" s="15"/>
      <c r="V839" s="15"/>
      <c r="W839" s="15"/>
      <c r="X839" s="15"/>
      <c r="Y839" s="15"/>
      <c r="Z839" s="15"/>
    </row>
    <row r="840" spans="1:26" ht="15.75" customHeight="1" x14ac:dyDescent="0.25">
      <c r="A840" s="858"/>
      <c r="B840" s="858"/>
      <c r="C840" s="30" t="s">
        <v>361</v>
      </c>
      <c r="D840" s="31" t="s">
        <v>361</v>
      </c>
      <c r="E840" s="32" t="s">
        <v>362</v>
      </c>
      <c r="F840" s="860"/>
      <c r="G840" s="442" t="s">
        <v>2717</v>
      </c>
      <c r="H840" s="15"/>
      <c r="I840" s="16"/>
      <c r="J840" s="16"/>
      <c r="K840" s="15"/>
      <c r="L840" s="15"/>
      <c r="M840" s="16"/>
      <c r="N840" s="16"/>
      <c r="O840" s="15"/>
      <c r="P840" s="15"/>
      <c r="Q840" s="15"/>
      <c r="R840" s="15"/>
      <c r="S840" s="15"/>
      <c r="T840" s="15"/>
      <c r="U840" s="15"/>
      <c r="V840" s="15"/>
      <c r="W840" s="15"/>
      <c r="X840" s="15"/>
      <c r="Y840" s="15"/>
      <c r="Z840" s="15"/>
    </row>
    <row r="841" spans="1:26" ht="15.75" customHeight="1" x14ac:dyDescent="0.25">
      <c r="A841" s="869"/>
      <c r="B841" s="869"/>
      <c r="C841" s="33">
        <v>2024</v>
      </c>
      <c r="D841" s="34">
        <v>2025</v>
      </c>
      <c r="E841" s="34">
        <v>2025</v>
      </c>
      <c r="F841" s="34">
        <v>2025</v>
      </c>
      <c r="G841" s="36" t="s">
        <v>2668</v>
      </c>
      <c r="H841" s="15"/>
      <c r="I841" s="16"/>
      <c r="J841" s="16"/>
      <c r="K841" s="15"/>
      <c r="L841" s="15"/>
      <c r="M841" s="16"/>
      <c r="N841" s="16"/>
      <c r="O841" s="15"/>
      <c r="P841" s="15"/>
      <c r="Q841" s="15"/>
      <c r="R841" s="15"/>
      <c r="S841" s="15"/>
      <c r="T841" s="15"/>
      <c r="U841" s="15"/>
      <c r="V841" s="15"/>
      <c r="W841" s="15"/>
      <c r="X841" s="15"/>
      <c r="Y841" s="15"/>
      <c r="Z841" s="15"/>
    </row>
    <row r="842" spans="1:26" ht="15.75" customHeight="1" x14ac:dyDescent="0.25">
      <c r="A842" s="9" t="s">
        <v>364</v>
      </c>
      <c r="B842" s="38"/>
      <c r="C842" s="42"/>
      <c r="D842" s="42"/>
      <c r="E842" s="42"/>
      <c r="F842" s="42"/>
      <c r="G842" s="37"/>
      <c r="H842" s="114"/>
      <c r="I842" s="60"/>
      <c r="J842" s="60"/>
      <c r="K842" s="114"/>
      <c r="L842" s="114"/>
      <c r="M842" s="60"/>
      <c r="N842" s="60"/>
      <c r="O842" s="114"/>
      <c r="P842" s="114"/>
      <c r="Q842" s="114"/>
      <c r="R842" s="114"/>
      <c r="S842" s="114"/>
      <c r="T842" s="114"/>
      <c r="U842" s="114"/>
      <c r="V842" s="114"/>
      <c r="W842" s="114"/>
      <c r="X842" s="114"/>
      <c r="Y842" s="114"/>
      <c r="Z842" s="114"/>
    </row>
    <row r="843" spans="1:26" ht="15.75" customHeight="1" x14ac:dyDescent="0.25">
      <c r="A843" s="42" t="s">
        <v>491</v>
      </c>
      <c r="B843" s="49"/>
      <c r="C843" s="43"/>
      <c r="D843" s="43"/>
      <c r="E843" s="43"/>
      <c r="F843" s="43"/>
      <c r="G843" s="43"/>
      <c r="H843" s="114"/>
      <c r="I843" s="60"/>
      <c r="J843" s="60"/>
      <c r="K843" s="114"/>
      <c r="L843" s="114"/>
      <c r="M843" s="60"/>
      <c r="N843" s="60"/>
      <c r="O843" s="114"/>
      <c r="P843" s="114"/>
      <c r="Q843" s="114"/>
      <c r="R843" s="114"/>
      <c r="S843" s="114"/>
      <c r="T843" s="114"/>
      <c r="U843" s="114"/>
      <c r="V843" s="114"/>
      <c r="W843" s="114"/>
      <c r="X843" s="114"/>
      <c r="Y843" s="114"/>
      <c r="Z843" s="114"/>
    </row>
    <row r="844" spans="1:26" ht="15.75" customHeight="1" x14ac:dyDescent="0.25">
      <c r="A844" s="42" t="s">
        <v>499</v>
      </c>
      <c r="B844" s="49"/>
      <c r="C844" s="43"/>
      <c r="D844" s="43"/>
      <c r="E844" s="43"/>
      <c r="F844" s="43"/>
      <c r="G844" s="43"/>
      <c r="H844" s="114"/>
      <c r="I844" s="60"/>
      <c r="J844" s="60"/>
      <c r="K844" s="114"/>
      <c r="L844" s="114"/>
      <c r="M844" s="60"/>
      <c r="N844" s="60"/>
      <c r="O844" s="114"/>
      <c r="P844" s="114"/>
      <c r="Q844" s="114"/>
      <c r="R844" s="114"/>
      <c r="S844" s="114"/>
      <c r="T844" s="114"/>
      <c r="U844" s="114"/>
      <c r="V844" s="114"/>
      <c r="W844" s="114"/>
      <c r="X844" s="114"/>
      <c r="Y844" s="114"/>
      <c r="Z844" s="114"/>
    </row>
    <row r="845" spans="1:26" ht="15.75" customHeight="1" x14ac:dyDescent="0.25">
      <c r="A845" s="48" t="s">
        <v>398</v>
      </c>
      <c r="B845" s="49" t="s">
        <v>195</v>
      </c>
      <c r="C845" s="43">
        <v>59760.76</v>
      </c>
      <c r="D845" s="43">
        <v>0</v>
      </c>
      <c r="E845" s="43">
        <f>F845-D845</f>
        <v>66003</v>
      </c>
      <c r="F845" s="43">
        <v>66003</v>
      </c>
      <c r="G845" s="43">
        <v>43782</v>
      </c>
      <c r="H845" s="114"/>
      <c r="I845" s="60"/>
      <c r="J845" s="60"/>
      <c r="K845" s="114"/>
      <c r="L845" s="114"/>
      <c r="M845" s="60"/>
      <c r="N845" s="60"/>
      <c r="O845" s="114"/>
      <c r="P845" s="114"/>
      <c r="Q845" s="114"/>
      <c r="R845" s="114"/>
      <c r="S845" s="114"/>
      <c r="T845" s="114"/>
      <c r="U845" s="114"/>
      <c r="V845" s="114"/>
      <c r="W845" s="114"/>
      <c r="X845" s="114"/>
      <c r="Y845" s="114"/>
      <c r="Z845" s="114"/>
    </row>
    <row r="846" spans="1:26" ht="15.75" customHeight="1" x14ac:dyDescent="0.25">
      <c r="A846" s="48" t="s">
        <v>400</v>
      </c>
      <c r="B846" s="49" t="s">
        <v>221</v>
      </c>
      <c r="C846" s="43">
        <v>0</v>
      </c>
      <c r="D846" s="43">
        <v>0</v>
      </c>
      <c r="E846" s="43">
        <v>8700</v>
      </c>
      <c r="F846" s="43">
        <v>8700</v>
      </c>
      <c r="G846" s="43">
        <v>114000</v>
      </c>
      <c r="H846" s="114"/>
      <c r="I846" s="60"/>
      <c r="J846" s="60"/>
      <c r="K846" s="114"/>
      <c r="L846" s="114"/>
      <c r="M846" s="60"/>
      <c r="N846" s="60"/>
      <c r="O846" s="114"/>
      <c r="P846" s="114"/>
      <c r="Q846" s="114"/>
      <c r="R846" s="114"/>
      <c r="S846" s="114"/>
      <c r="T846" s="114"/>
      <c r="U846" s="114"/>
      <c r="V846" s="114"/>
      <c r="W846" s="114"/>
      <c r="X846" s="114"/>
      <c r="Y846" s="114"/>
      <c r="Z846" s="114"/>
    </row>
    <row r="847" spans="1:26" ht="15.75" customHeight="1" x14ac:dyDescent="0.25">
      <c r="A847" s="48" t="s">
        <v>402</v>
      </c>
      <c r="B847" s="41" t="s">
        <v>225</v>
      </c>
      <c r="C847" s="43">
        <v>363189.16</v>
      </c>
      <c r="D847" s="43">
        <v>0</v>
      </c>
      <c r="E847" s="43">
        <f>F847-D847</f>
        <v>43873</v>
      </c>
      <c r="F847" s="43">
        <v>43873</v>
      </c>
      <c r="G847" s="43">
        <v>35423</v>
      </c>
      <c r="H847" s="114"/>
      <c r="I847" s="60"/>
      <c r="J847" s="60"/>
      <c r="K847" s="114"/>
      <c r="L847" s="114"/>
      <c r="M847" s="60"/>
      <c r="N847" s="60"/>
      <c r="O847" s="114"/>
      <c r="P847" s="114"/>
      <c r="Q847" s="114"/>
      <c r="R847" s="114"/>
      <c r="S847" s="114"/>
      <c r="T847" s="114"/>
      <c r="U847" s="114"/>
      <c r="V847" s="114"/>
      <c r="W847" s="114"/>
      <c r="X847" s="114"/>
      <c r="Y847" s="114"/>
      <c r="Z847" s="114"/>
    </row>
    <row r="848" spans="1:26" ht="15.75" customHeight="1" x14ac:dyDescent="0.25">
      <c r="A848" s="17" t="s">
        <v>424</v>
      </c>
      <c r="B848" s="41"/>
      <c r="C848" s="43"/>
      <c r="D848" s="43"/>
      <c r="E848" s="43"/>
      <c r="F848" s="192"/>
      <c r="G848" s="192"/>
      <c r="H848" s="114"/>
      <c r="I848" s="60"/>
      <c r="J848" s="60"/>
      <c r="K848" s="114"/>
      <c r="L848" s="114"/>
      <c r="M848" s="60"/>
      <c r="N848" s="60"/>
      <c r="O848" s="114"/>
      <c r="P848" s="114"/>
      <c r="Q848" s="114"/>
      <c r="R848" s="114"/>
      <c r="S848" s="114"/>
      <c r="T848" s="114"/>
      <c r="U848" s="114"/>
      <c r="V848" s="114"/>
      <c r="W848" s="114"/>
      <c r="X848" s="114"/>
      <c r="Y848" s="114"/>
      <c r="Z848" s="114"/>
    </row>
    <row r="849" spans="1:26" ht="15.75" customHeight="1" x14ac:dyDescent="0.25">
      <c r="A849" s="48" t="s">
        <v>424</v>
      </c>
      <c r="B849" s="41" t="s">
        <v>335</v>
      </c>
      <c r="C849" s="43">
        <v>1277532</v>
      </c>
      <c r="D849" s="43">
        <v>526047</v>
      </c>
      <c r="E849" s="43">
        <f>F849-D849</f>
        <v>760593</v>
      </c>
      <c r="F849" s="43">
        <v>1286640</v>
      </c>
      <c r="G849" s="43">
        <v>2606928</v>
      </c>
      <c r="H849" s="114"/>
      <c r="I849" s="60"/>
      <c r="J849" s="60"/>
      <c r="K849" s="114"/>
      <c r="L849" s="114"/>
      <c r="M849" s="60"/>
      <c r="N849" s="60"/>
      <c r="O849" s="114"/>
      <c r="P849" s="114"/>
      <c r="Q849" s="114"/>
      <c r="R849" s="114"/>
      <c r="S849" s="114"/>
      <c r="T849" s="114"/>
      <c r="U849" s="114"/>
      <c r="V849" s="114"/>
      <c r="W849" s="114"/>
      <c r="X849" s="114"/>
      <c r="Y849" s="114"/>
      <c r="Z849" s="114"/>
    </row>
    <row r="850" spans="1:26" ht="15.75" customHeight="1" x14ac:dyDescent="0.25">
      <c r="A850" s="48" t="s">
        <v>1001</v>
      </c>
      <c r="B850" s="41"/>
      <c r="C850" s="43"/>
      <c r="D850" s="43"/>
      <c r="E850" s="43"/>
      <c r="F850" s="43"/>
      <c r="G850" s="43"/>
      <c r="H850" s="114"/>
      <c r="I850" s="60"/>
      <c r="J850" s="60"/>
      <c r="K850" s="114"/>
      <c r="L850" s="114"/>
      <c r="M850" s="60"/>
      <c r="N850" s="60">
        <v>24000</v>
      </c>
      <c r="O850" s="114"/>
      <c r="P850" s="114"/>
      <c r="Q850" s="114"/>
      <c r="R850" s="114"/>
      <c r="S850" s="114"/>
      <c r="T850" s="114"/>
      <c r="U850" s="114"/>
      <c r="V850" s="114"/>
      <c r="W850" s="114"/>
      <c r="X850" s="114"/>
      <c r="Y850" s="114"/>
      <c r="Z850" s="114"/>
    </row>
    <row r="851" spans="1:26" ht="15.75" customHeight="1" x14ac:dyDescent="0.25">
      <c r="A851" s="44" t="s">
        <v>847</v>
      </c>
      <c r="B851" s="41"/>
      <c r="C851" s="43"/>
      <c r="D851" s="43"/>
      <c r="E851" s="43"/>
      <c r="F851" s="43"/>
      <c r="G851" s="43"/>
      <c r="H851" s="114"/>
      <c r="I851" s="210" t="s">
        <v>877</v>
      </c>
      <c r="J851" s="211" t="s">
        <v>878</v>
      </c>
      <c r="K851" s="210" t="s">
        <v>879</v>
      </c>
      <c r="L851" s="8" t="s">
        <v>880</v>
      </c>
      <c r="M851" s="210" t="s">
        <v>881</v>
      </c>
      <c r="N851" s="60"/>
      <c r="O851" s="114"/>
      <c r="P851" s="114"/>
      <c r="Q851" s="114"/>
      <c r="R851" s="114"/>
      <c r="S851" s="114"/>
      <c r="T851" s="114"/>
      <c r="U851" s="114"/>
      <c r="V851" s="114"/>
      <c r="W851" s="114"/>
      <c r="X851" s="114"/>
      <c r="Y851" s="114"/>
      <c r="Z851" s="114"/>
    </row>
    <row r="852" spans="1:26" ht="31.5" x14ac:dyDescent="0.25">
      <c r="A852" s="68" t="s">
        <v>1008</v>
      </c>
      <c r="B852" s="41"/>
      <c r="C852" s="43"/>
      <c r="D852" s="43"/>
      <c r="E852" s="43"/>
      <c r="F852" s="43"/>
      <c r="G852" s="43"/>
      <c r="H852" s="114"/>
      <c r="I852" s="60">
        <v>678</v>
      </c>
      <c r="J852" s="211">
        <v>7</v>
      </c>
      <c r="K852" s="8">
        <v>22</v>
      </c>
      <c r="L852" s="8">
        <v>12</v>
      </c>
      <c r="M852" s="60">
        <f t="shared" ref="M852:M855" si="146">I852*J852*K852*L852</f>
        <v>1252944</v>
      </c>
      <c r="N852" s="60"/>
      <c r="O852" s="114"/>
      <c r="P852" s="114"/>
      <c r="Q852" s="114"/>
      <c r="R852" s="114"/>
      <c r="S852" s="114"/>
      <c r="T852" s="114"/>
      <c r="U852" s="114"/>
      <c r="V852" s="114"/>
      <c r="W852" s="114"/>
      <c r="X852" s="114"/>
      <c r="Y852" s="114"/>
      <c r="Z852" s="114"/>
    </row>
    <row r="853" spans="1:26" ht="15.75" customHeight="1" x14ac:dyDescent="0.25">
      <c r="A853" s="48" t="s">
        <v>1003</v>
      </c>
      <c r="B853" s="41"/>
      <c r="C853" s="43"/>
      <c r="D853" s="43"/>
      <c r="E853" s="43"/>
      <c r="F853" s="43"/>
      <c r="G853" s="43"/>
      <c r="H853" s="114"/>
      <c r="I853" s="60">
        <v>678</v>
      </c>
      <c r="J853" s="211">
        <v>3</v>
      </c>
      <c r="K853" s="8">
        <v>26</v>
      </c>
      <c r="L853" s="8">
        <v>12</v>
      </c>
      <c r="M853" s="60">
        <f t="shared" si="146"/>
        <v>634608</v>
      </c>
      <c r="N853" s="60"/>
      <c r="O853" s="114"/>
      <c r="P853" s="114"/>
      <c r="Q853" s="114"/>
      <c r="R853" s="114"/>
      <c r="S853" s="114"/>
      <c r="T853" s="114"/>
      <c r="U853" s="114"/>
      <c r="V853" s="114"/>
      <c r="W853" s="114"/>
      <c r="X853" s="114"/>
      <c r="Y853" s="114"/>
      <c r="Z853" s="114"/>
    </row>
    <row r="854" spans="1:26" ht="31.5" x14ac:dyDescent="0.25">
      <c r="A854" s="68" t="s">
        <v>1009</v>
      </c>
      <c r="B854" s="41"/>
      <c r="C854" s="43"/>
      <c r="D854" s="43"/>
      <c r="E854" s="43"/>
      <c r="F854" s="43"/>
      <c r="G854" s="43"/>
      <c r="H854" s="114"/>
      <c r="I854" s="60">
        <v>678</v>
      </c>
      <c r="J854" s="211">
        <v>2</v>
      </c>
      <c r="K854" s="8">
        <v>22</v>
      </c>
      <c r="L854" s="8">
        <v>12</v>
      </c>
      <c r="M854" s="60">
        <f t="shared" si="146"/>
        <v>357984</v>
      </c>
      <c r="N854" s="60"/>
      <c r="O854" s="114"/>
      <c r="P854" s="114"/>
      <c r="Q854" s="114"/>
      <c r="R854" s="114"/>
      <c r="S854" s="114"/>
      <c r="T854" s="114"/>
      <c r="U854" s="114"/>
      <c r="V854" s="114"/>
      <c r="W854" s="114"/>
      <c r="X854" s="114"/>
      <c r="Y854" s="114"/>
      <c r="Z854" s="114"/>
    </row>
    <row r="855" spans="1:26" ht="31.5" x14ac:dyDescent="0.25">
      <c r="A855" s="68" t="s">
        <v>1005</v>
      </c>
      <c r="B855" s="41"/>
      <c r="C855" s="43"/>
      <c r="D855" s="43"/>
      <c r="E855" s="43"/>
      <c r="F855" s="43"/>
      <c r="G855" s="43"/>
      <c r="H855" s="114"/>
      <c r="I855" s="60">
        <v>639</v>
      </c>
      <c r="J855" s="211">
        <v>2</v>
      </c>
      <c r="K855" s="8">
        <v>22</v>
      </c>
      <c r="L855" s="8">
        <v>12</v>
      </c>
      <c r="M855" s="60">
        <f t="shared" si="146"/>
        <v>337392</v>
      </c>
      <c r="N855" s="60">
        <f>SUM(M852:M855)</f>
        <v>2582928</v>
      </c>
      <c r="O855" s="60">
        <f>N850+N855</f>
        <v>2606928</v>
      </c>
      <c r="P855" s="114"/>
      <c r="Q855" s="114"/>
      <c r="R855" s="114"/>
      <c r="S855" s="114"/>
      <c r="T855" s="114"/>
      <c r="U855" s="114"/>
      <c r="V855" s="114"/>
      <c r="W855" s="114"/>
      <c r="X855" s="114"/>
      <c r="Y855" s="114"/>
      <c r="Z855" s="114"/>
    </row>
    <row r="856" spans="1:26" ht="15.75" customHeight="1" x14ac:dyDescent="0.25">
      <c r="A856" s="42" t="s">
        <v>466</v>
      </c>
      <c r="B856" s="41"/>
      <c r="C856" s="54">
        <f>SUM(C844:C849)</f>
        <v>1700481.92</v>
      </c>
      <c r="D856" s="54">
        <f>SUM(D844:D849)</f>
        <v>526047</v>
      </c>
      <c r="E856" s="54">
        <f>F856-D856</f>
        <v>879169</v>
      </c>
      <c r="F856" s="54">
        <f>SUM(F844:F849)</f>
        <v>1405216</v>
      </c>
      <c r="G856" s="54">
        <f>SUM(G844:G849)</f>
        <v>2800133</v>
      </c>
      <c r="H856" s="114"/>
      <c r="I856" s="60"/>
      <c r="J856" s="60"/>
      <c r="K856" s="114"/>
      <c r="L856" s="114"/>
      <c r="M856" s="60"/>
      <c r="N856" s="60"/>
      <c r="O856" s="114"/>
      <c r="P856" s="114"/>
      <c r="Q856" s="114"/>
      <c r="R856" s="114"/>
      <c r="S856" s="114"/>
      <c r="T856" s="114"/>
      <c r="U856" s="114"/>
      <c r="V856" s="114"/>
      <c r="W856" s="114"/>
      <c r="X856" s="114"/>
      <c r="Y856" s="114"/>
      <c r="Z856" s="114"/>
    </row>
    <row r="857" spans="1:26" ht="15.75" customHeight="1" x14ac:dyDescent="0.25">
      <c r="A857" s="17"/>
      <c r="B857" s="41"/>
      <c r="C857" s="55"/>
      <c r="D857" s="55"/>
      <c r="E857" s="43"/>
      <c r="F857" s="55"/>
      <c r="G857" s="55"/>
      <c r="H857" s="114"/>
      <c r="I857" s="60"/>
      <c r="J857" s="60"/>
      <c r="K857" s="114"/>
      <c r="L857" s="114"/>
      <c r="M857" s="60"/>
      <c r="N857" s="60"/>
      <c r="O857" s="114"/>
      <c r="P857" s="114"/>
      <c r="Q857" s="114"/>
      <c r="R857" s="114"/>
      <c r="S857" s="114"/>
      <c r="T857" s="114"/>
      <c r="U857" s="114"/>
      <c r="V857" s="114"/>
      <c r="W857" s="114"/>
      <c r="X857" s="114"/>
      <c r="Y857" s="114"/>
      <c r="Z857" s="114"/>
    </row>
    <row r="858" spans="1:26" ht="15.75" customHeight="1" x14ac:dyDescent="0.25">
      <c r="A858" s="17" t="s">
        <v>467</v>
      </c>
      <c r="B858" s="41"/>
      <c r="C858" s="43">
        <f t="shared" ref="C858:D858" si="147">C856</f>
        <v>1700481.92</v>
      </c>
      <c r="D858" s="43">
        <f t="shared" si="147"/>
        <v>526047</v>
      </c>
      <c r="E858" s="43">
        <f>F858-D858</f>
        <v>879169</v>
      </c>
      <c r="F858" s="43">
        <f t="shared" ref="F858:G858" si="148">F856</f>
        <v>1405216</v>
      </c>
      <c r="G858" s="43">
        <f t="shared" si="148"/>
        <v>2800133</v>
      </c>
      <c r="H858" s="114"/>
      <c r="I858" s="60"/>
      <c r="J858" s="60"/>
      <c r="K858" s="114"/>
      <c r="L858" s="114"/>
      <c r="M858" s="60"/>
      <c r="N858" s="60"/>
      <c r="O858" s="114"/>
      <c r="P858" s="114"/>
      <c r="Q858" s="114"/>
      <c r="R858" s="114"/>
      <c r="S858" s="114"/>
      <c r="T858" s="114"/>
      <c r="U858" s="114"/>
      <c r="V858" s="114"/>
      <c r="W858" s="114"/>
      <c r="X858" s="114"/>
      <c r="Y858" s="114"/>
      <c r="Z858" s="114"/>
    </row>
    <row r="859" spans="1:26" ht="15.75" customHeight="1" x14ac:dyDescent="0.25">
      <c r="A859" s="17"/>
      <c r="B859" s="41"/>
      <c r="C859" s="43"/>
      <c r="D859" s="43"/>
      <c r="E859" s="43"/>
      <c r="F859" s="43"/>
      <c r="G859" s="43"/>
      <c r="H859" s="114"/>
      <c r="I859" s="60"/>
      <c r="J859" s="60"/>
      <c r="K859" s="114"/>
      <c r="L859" s="114"/>
      <c r="M859" s="60"/>
      <c r="N859" s="60"/>
      <c r="O859" s="114"/>
      <c r="P859" s="114"/>
      <c r="Q859" s="114"/>
      <c r="R859" s="114"/>
      <c r="S859" s="114"/>
      <c r="T859" s="114"/>
      <c r="U859" s="114"/>
      <c r="V859" s="114"/>
      <c r="W859" s="114"/>
      <c r="X859" s="114"/>
      <c r="Y859" s="114"/>
      <c r="Z859" s="114"/>
    </row>
    <row r="860" spans="1:26" ht="15.75" customHeight="1" x14ac:dyDescent="0.25">
      <c r="A860" s="17" t="s">
        <v>529</v>
      </c>
      <c r="B860" s="41"/>
      <c r="C860" s="43"/>
      <c r="D860" s="43"/>
      <c r="E860" s="43"/>
      <c r="F860" s="43"/>
      <c r="G860" s="43"/>
      <c r="H860" s="114"/>
      <c r="I860" s="60"/>
      <c r="J860" s="60"/>
      <c r="K860" s="114"/>
      <c r="L860" s="114"/>
      <c r="M860" s="60"/>
      <c r="N860" s="60"/>
      <c r="O860" s="114"/>
      <c r="P860" s="114"/>
      <c r="Q860" s="114"/>
      <c r="R860" s="114"/>
      <c r="S860" s="114"/>
      <c r="T860" s="114"/>
      <c r="U860" s="114"/>
      <c r="V860" s="114"/>
      <c r="W860" s="114"/>
      <c r="X860" s="114"/>
      <c r="Y860" s="114"/>
      <c r="Z860" s="114"/>
    </row>
    <row r="861" spans="1:26" ht="15.75" customHeight="1" x14ac:dyDescent="0.25">
      <c r="A861" s="17" t="s">
        <v>476</v>
      </c>
      <c r="B861" s="41"/>
      <c r="C861" s="43"/>
      <c r="D861" s="43"/>
      <c r="E861" s="43"/>
      <c r="F861" s="43"/>
      <c r="G861" s="43"/>
      <c r="H861" s="114"/>
      <c r="I861" s="60"/>
      <c r="J861" s="60"/>
      <c r="K861" s="114"/>
      <c r="L861" s="114"/>
      <c r="M861" s="60"/>
      <c r="N861" s="60"/>
      <c r="O861" s="114"/>
      <c r="P861" s="114"/>
      <c r="Q861" s="114"/>
      <c r="R861" s="114"/>
      <c r="S861" s="114"/>
      <c r="T861" s="114"/>
      <c r="U861" s="114"/>
      <c r="V861" s="114"/>
      <c r="W861" s="114"/>
      <c r="X861" s="114"/>
      <c r="Y861" s="114"/>
      <c r="Z861" s="114"/>
    </row>
    <row r="862" spans="1:26" ht="15.75" customHeight="1" x14ac:dyDescent="0.25">
      <c r="A862" s="460" t="s">
        <v>997</v>
      </c>
      <c r="B862" s="454" t="s">
        <v>47</v>
      </c>
      <c r="C862" s="443">
        <v>0</v>
      </c>
      <c r="D862" s="443">
        <v>0</v>
      </c>
      <c r="E862" s="443">
        <v>0</v>
      </c>
      <c r="F862" s="443">
        <v>0</v>
      </c>
      <c r="G862" s="462">
        <v>56050</v>
      </c>
      <c r="H862" s="114"/>
      <c r="I862" s="60"/>
      <c r="J862" s="60"/>
      <c r="K862" s="114"/>
      <c r="L862" s="114"/>
      <c r="M862" s="60"/>
      <c r="N862" s="60"/>
      <c r="O862" s="114"/>
      <c r="P862" s="114"/>
      <c r="Q862" s="114"/>
      <c r="R862" s="114"/>
      <c r="S862" s="114"/>
      <c r="T862" s="114"/>
      <c r="U862" s="114"/>
      <c r="V862" s="114"/>
      <c r="W862" s="114"/>
      <c r="X862" s="114"/>
      <c r="Y862" s="114"/>
      <c r="Z862" s="114"/>
    </row>
    <row r="863" spans="1:26" ht="15.75" customHeight="1" x14ac:dyDescent="0.25">
      <c r="A863" s="460" t="s">
        <v>1010</v>
      </c>
      <c r="B863" s="454"/>
      <c r="C863" s="443"/>
      <c r="D863" s="443"/>
      <c r="E863" s="443"/>
      <c r="F863" s="443"/>
      <c r="G863" s="462"/>
      <c r="H863" s="114"/>
      <c r="I863" s="60"/>
      <c r="J863" s="60"/>
      <c r="K863" s="114"/>
      <c r="L863" s="114"/>
      <c r="M863" s="60"/>
      <c r="N863" s="60"/>
      <c r="O863" s="114"/>
      <c r="P863" s="114"/>
      <c r="Q863" s="114"/>
      <c r="R863" s="114"/>
      <c r="S863" s="114"/>
      <c r="T863" s="114"/>
      <c r="U863" s="114"/>
      <c r="V863" s="114"/>
      <c r="W863" s="114"/>
      <c r="X863" s="114"/>
      <c r="Y863" s="114"/>
      <c r="Z863" s="114"/>
    </row>
    <row r="864" spans="1:26" ht="15.75" customHeight="1" x14ac:dyDescent="0.25">
      <c r="A864" s="189" t="s">
        <v>1011</v>
      </c>
      <c r="B864" s="190" t="s">
        <v>55</v>
      </c>
      <c r="C864" s="43">
        <v>0</v>
      </c>
      <c r="D864" s="43">
        <v>0</v>
      </c>
      <c r="E864" s="43">
        <v>0</v>
      </c>
      <c r="F864" s="43">
        <v>0</v>
      </c>
      <c r="G864" s="43">
        <v>110000</v>
      </c>
      <c r="H864" s="114"/>
      <c r="I864" s="60"/>
      <c r="J864" s="60"/>
      <c r="K864" s="114"/>
      <c r="L864" s="114"/>
      <c r="M864" s="60"/>
      <c r="N864" s="60"/>
      <c r="O864" s="114"/>
      <c r="P864" s="114"/>
      <c r="Q864" s="114"/>
      <c r="R864" s="114"/>
      <c r="S864" s="114"/>
      <c r="T864" s="114"/>
      <c r="U864" s="114"/>
      <c r="V864" s="114"/>
      <c r="W864" s="114"/>
      <c r="X864" s="114"/>
      <c r="Y864" s="114"/>
      <c r="Z864" s="114"/>
    </row>
    <row r="865" spans="1:26" ht="15.75" customHeight="1" x14ac:dyDescent="0.25">
      <c r="A865" s="44" t="s">
        <v>1012</v>
      </c>
      <c r="B865" s="41"/>
      <c r="C865" s="43"/>
      <c r="D865" s="43"/>
      <c r="E865" s="43"/>
      <c r="F865" s="43"/>
      <c r="G865" s="43"/>
      <c r="H865" s="114"/>
      <c r="I865" s="60"/>
      <c r="J865" s="60"/>
      <c r="K865" s="114"/>
      <c r="L865" s="114"/>
      <c r="M865" s="60"/>
      <c r="N865" s="60"/>
      <c r="O865" s="114"/>
      <c r="P865" s="114"/>
      <c r="Q865" s="114"/>
      <c r="R865" s="114"/>
      <c r="S865" s="114"/>
      <c r="T865" s="114"/>
      <c r="U865" s="114"/>
      <c r="V865" s="114"/>
      <c r="W865" s="114"/>
      <c r="X865" s="114"/>
      <c r="Y865" s="114"/>
      <c r="Z865" s="114"/>
    </row>
    <row r="866" spans="1:26" ht="15.75" customHeight="1" x14ac:dyDescent="0.25">
      <c r="A866" s="44" t="s">
        <v>1013</v>
      </c>
      <c r="B866" s="41" t="s">
        <v>83</v>
      </c>
      <c r="C866" s="43">
        <v>0</v>
      </c>
      <c r="D866" s="43">
        <v>0</v>
      </c>
      <c r="E866" s="43">
        <v>0</v>
      </c>
      <c r="F866" s="43">
        <v>0</v>
      </c>
      <c r="G866" s="43">
        <v>100000</v>
      </c>
      <c r="H866" s="114"/>
      <c r="I866" s="60"/>
      <c r="J866" s="60"/>
      <c r="K866" s="114"/>
      <c r="L866" s="114"/>
      <c r="M866" s="60"/>
      <c r="N866" s="60"/>
      <c r="O866" s="114"/>
      <c r="P866" s="114"/>
      <c r="Q866" s="114"/>
      <c r="R866" s="114"/>
      <c r="S866" s="114"/>
      <c r="T866" s="114"/>
      <c r="U866" s="114"/>
      <c r="V866" s="114"/>
      <c r="W866" s="114"/>
      <c r="X866" s="114"/>
      <c r="Y866" s="114"/>
      <c r="Z866" s="114"/>
    </row>
    <row r="867" spans="1:26" ht="15.75" customHeight="1" x14ac:dyDescent="0.25">
      <c r="A867" s="44" t="s">
        <v>1014</v>
      </c>
      <c r="B867" s="41"/>
      <c r="C867" s="43"/>
      <c r="D867" s="43"/>
      <c r="E867" s="43"/>
      <c r="F867" s="43"/>
      <c r="G867" s="43"/>
      <c r="H867" s="114"/>
      <c r="I867" s="60"/>
      <c r="J867" s="60"/>
      <c r="K867" s="114"/>
      <c r="L867" s="114"/>
      <c r="M867" s="60"/>
      <c r="N867" s="60"/>
      <c r="O867" s="114"/>
      <c r="P867" s="114"/>
      <c r="Q867" s="114"/>
      <c r="R867" s="114"/>
      <c r="S867" s="114"/>
      <c r="T867" s="114"/>
      <c r="U867" s="114"/>
      <c r="V867" s="114"/>
      <c r="W867" s="114"/>
      <c r="X867" s="114"/>
      <c r="Y867" s="114"/>
      <c r="Z867" s="114"/>
    </row>
    <row r="868" spans="1:26" ht="15.75" customHeight="1" x14ac:dyDescent="0.25">
      <c r="A868" s="17" t="s">
        <v>536</v>
      </c>
      <c r="B868" s="41"/>
      <c r="C868" s="54">
        <f t="shared" ref="C868:G868" si="149">SUM(C862:C867)</f>
        <v>0</v>
      </c>
      <c r="D868" s="54">
        <f t="shared" si="149"/>
        <v>0</v>
      </c>
      <c r="E868" s="54">
        <f t="shared" si="149"/>
        <v>0</v>
      </c>
      <c r="F868" s="54">
        <f t="shared" si="149"/>
        <v>0</v>
      </c>
      <c r="G868" s="54">
        <f t="shared" si="149"/>
        <v>266050</v>
      </c>
      <c r="H868" s="114"/>
      <c r="I868" s="60"/>
      <c r="J868" s="60"/>
      <c r="K868" s="114"/>
      <c r="L868" s="114"/>
      <c r="M868" s="60"/>
      <c r="N868" s="60"/>
      <c r="O868" s="114"/>
      <c r="P868" s="114"/>
      <c r="Q868" s="114"/>
      <c r="R868" s="114"/>
      <c r="S868" s="114"/>
      <c r="T868" s="114"/>
      <c r="U868" s="114"/>
      <c r="V868" s="114"/>
      <c r="W868" s="114"/>
      <c r="X868" s="114"/>
      <c r="Y868" s="114"/>
      <c r="Z868" s="114"/>
    </row>
    <row r="869" spans="1:26" ht="15.75" customHeight="1" x14ac:dyDescent="0.25">
      <c r="A869" s="17"/>
      <c r="B869" s="41"/>
      <c r="C869" s="43"/>
      <c r="D869" s="43"/>
      <c r="E869" s="43"/>
      <c r="F869" s="43"/>
      <c r="G869" s="43"/>
      <c r="H869" s="114"/>
      <c r="I869" s="60"/>
      <c r="J869" s="60"/>
      <c r="K869" s="114"/>
      <c r="L869" s="114"/>
      <c r="M869" s="60"/>
      <c r="N869" s="60"/>
      <c r="O869" s="114"/>
      <c r="P869" s="114"/>
      <c r="Q869" s="114"/>
      <c r="R869" s="114"/>
      <c r="S869" s="114"/>
      <c r="T869" s="114"/>
      <c r="U869" s="114"/>
      <c r="V869" s="114"/>
      <c r="W869" s="114"/>
      <c r="X869" s="114"/>
      <c r="Y869" s="114"/>
      <c r="Z869" s="114"/>
    </row>
    <row r="870" spans="1:26" ht="15.75" customHeight="1" x14ac:dyDescent="0.25">
      <c r="A870" s="50" t="s">
        <v>487</v>
      </c>
      <c r="B870" s="51" t="s">
        <v>488</v>
      </c>
      <c r="C870" s="54">
        <f t="shared" ref="C870:G870" si="150">+C858+C868</f>
        <v>1700481.92</v>
      </c>
      <c r="D870" s="54">
        <f t="shared" si="150"/>
        <v>526047</v>
      </c>
      <c r="E870" s="54">
        <f t="shared" si="150"/>
        <v>879169</v>
      </c>
      <c r="F870" s="54">
        <f t="shared" si="150"/>
        <v>1405216</v>
      </c>
      <c r="G870" s="54">
        <f t="shared" si="150"/>
        <v>3066183</v>
      </c>
      <c r="H870" s="114"/>
      <c r="I870" s="60"/>
      <c r="J870" s="60"/>
      <c r="K870" s="114"/>
      <c r="L870" s="114"/>
      <c r="M870" s="60"/>
      <c r="N870" s="60"/>
      <c r="O870" s="114"/>
      <c r="P870" s="114"/>
      <c r="Q870" s="114"/>
      <c r="R870" s="114"/>
      <c r="S870" s="114"/>
      <c r="T870" s="114"/>
      <c r="U870" s="114"/>
      <c r="V870" s="114"/>
      <c r="W870" s="114"/>
      <c r="X870" s="114"/>
      <c r="Y870" s="114"/>
      <c r="Z870" s="114"/>
    </row>
    <row r="871" spans="1:26" ht="15.75" customHeight="1" x14ac:dyDescent="0.25">
      <c r="A871" s="24"/>
      <c r="B871" s="25"/>
      <c r="C871" s="26"/>
      <c r="D871" s="26"/>
      <c r="E871" s="26"/>
      <c r="F871" s="26"/>
      <c r="G871" s="26"/>
      <c r="H871" s="114"/>
      <c r="I871" s="60"/>
      <c r="J871" s="60"/>
      <c r="K871" s="114"/>
      <c r="L871" s="114"/>
      <c r="M871" s="60"/>
      <c r="N871" s="60"/>
      <c r="O871" s="114"/>
      <c r="P871" s="114"/>
      <c r="Q871" s="114"/>
      <c r="R871" s="114"/>
      <c r="S871" s="114"/>
      <c r="T871" s="114"/>
      <c r="U871" s="114"/>
      <c r="V871" s="114"/>
      <c r="W871" s="114"/>
      <c r="X871" s="114"/>
      <c r="Y871" s="114"/>
      <c r="Z871" s="114"/>
    </row>
    <row r="872" spans="1:26" ht="15.75" customHeight="1" x14ac:dyDescent="0.25">
      <c r="A872" s="24"/>
      <c r="B872" s="25"/>
      <c r="C872" s="24"/>
      <c r="D872" s="24"/>
      <c r="E872" s="24"/>
      <c r="F872" s="15"/>
      <c r="G872" s="15"/>
      <c r="H872" s="15"/>
      <c r="I872" s="16"/>
      <c r="J872" s="16"/>
      <c r="K872" s="15"/>
      <c r="L872" s="15"/>
      <c r="M872" s="16"/>
      <c r="N872" s="16"/>
      <c r="O872" s="15"/>
      <c r="P872" s="15"/>
      <c r="Q872" s="15"/>
      <c r="R872" s="15"/>
      <c r="S872" s="15"/>
      <c r="T872" s="15"/>
      <c r="U872" s="15"/>
      <c r="V872" s="15"/>
      <c r="W872" s="15"/>
      <c r="X872" s="15"/>
      <c r="Y872" s="15"/>
      <c r="Z872" s="15"/>
    </row>
    <row r="873" spans="1:26" ht="15.75" customHeight="1" x14ac:dyDescent="0.25">
      <c r="A873" s="9"/>
      <c r="B873" s="104"/>
      <c r="C873" s="105"/>
      <c r="D873" s="105"/>
      <c r="E873" s="105"/>
      <c r="F873" s="10"/>
      <c r="G873" s="180"/>
      <c r="H873" s="15"/>
      <c r="I873" s="16"/>
      <c r="J873" s="16"/>
      <c r="K873" s="15"/>
      <c r="L873" s="15"/>
      <c r="M873" s="16"/>
      <c r="N873" s="16"/>
      <c r="O873" s="15"/>
      <c r="P873" s="15"/>
      <c r="Q873" s="15"/>
      <c r="R873" s="15"/>
      <c r="S873" s="15"/>
      <c r="T873" s="15"/>
      <c r="U873" s="15"/>
      <c r="V873" s="15"/>
      <c r="W873" s="15"/>
      <c r="X873" s="15"/>
      <c r="Y873" s="15"/>
      <c r="Z873" s="15"/>
    </row>
    <row r="874" spans="1:26" ht="15.75" customHeight="1" x14ac:dyDescent="0.25">
      <c r="A874" s="108" t="s">
        <v>829</v>
      </c>
      <c r="B874" s="25"/>
      <c r="C874" s="26"/>
      <c r="D874" s="26"/>
      <c r="E874" s="26"/>
      <c r="F874" s="14"/>
      <c r="G874" s="181"/>
      <c r="H874" s="15"/>
      <c r="I874" s="16"/>
      <c r="J874" s="16"/>
      <c r="K874" s="15"/>
      <c r="L874" s="15"/>
      <c r="M874" s="16"/>
      <c r="N874" s="16"/>
      <c r="O874" s="15"/>
      <c r="P874" s="15"/>
      <c r="Q874" s="15"/>
      <c r="R874" s="15"/>
      <c r="S874" s="15"/>
      <c r="T874" s="15"/>
      <c r="U874" s="15"/>
      <c r="V874" s="15"/>
      <c r="W874" s="15"/>
      <c r="X874" s="15"/>
      <c r="Y874" s="15"/>
      <c r="Z874" s="15"/>
    </row>
    <row r="875" spans="1:26" ht="15.75" customHeight="1" x14ac:dyDescent="0.25">
      <c r="A875" s="44"/>
      <c r="B875" s="25"/>
      <c r="C875" s="26"/>
      <c r="D875" s="26"/>
      <c r="E875" s="26"/>
      <c r="F875" s="14"/>
      <c r="G875" s="181"/>
      <c r="H875" s="15"/>
      <c r="I875" s="16"/>
      <c r="J875" s="16"/>
      <c r="K875" s="15"/>
      <c r="L875" s="15"/>
      <c r="M875" s="16"/>
      <c r="N875" s="16"/>
      <c r="O875" s="15"/>
      <c r="P875" s="15"/>
      <c r="Q875" s="15"/>
      <c r="R875" s="15"/>
      <c r="S875" s="15"/>
      <c r="T875" s="15"/>
      <c r="U875" s="15"/>
      <c r="V875" s="15"/>
      <c r="W875" s="15"/>
      <c r="X875" s="15"/>
      <c r="Y875" s="15"/>
      <c r="Z875" s="15"/>
    </row>
    <row r="876" spans="1:26" ht="15.75" customHeight="1" x14ac:dyDescent="0.25">
      <c r="A876" s="865" t="s">
        <v>352</v>
      </c>
      <c r="B876" s="866"/>
      <c r="C876" s="866"/>
      <c r="D876" s="866"/>
      <c r="E876" s="866"/>
      <c r="F876" s="866"/>
      <c r="G876" s="867"/>
      <c r="H876" s="15"/>
      <c r="I876" s="16"/>
      <c r="J876" s="16"/>
      <c r="K876" s="15"/>
      <c r="L876" s="15"/>
      <c r="M876" s="16"/>
      <c r="N876" s="16"/>
      <c r="O876" s="15"/>
      <c r="P876" s="15"/>
      <c r="Q876" s="15"/>
      <c r="R876" s="15"/>
      <c r="S876" s="15"/>
      <c r="T876" s="15"/>
      <c r="U876" s="15"/>
      <c r="V876" s="15"/>
      <c r="W876" s="15"/>
      <c r="X876" s="15"/>
      <c r="Y876" s="15"/>
      <c r="Z876" s="15"/>
    </row>
    <row r="877" spans="1:26" ht="15.75" customHeight="1" x14ac:dyDescent="0.25">
      <c r="A877" s="868" t="s">
        <v>353</v>
      </c>
      <c r="B877" s="857" t="s">
        <v>354</v>
      </c>
      <c r="C877" s="870" t="s">
        <v>355</v>
      </c>
      <c r="D877" s="872" t="s">
        <v>356</v>
      </c>
      <c r="E877" s="873"/>
      <c r="F877" s="874"/>
      <c r="G877" s="857" t="s">
        <v>357</v>
      </c>
      <c r="H877" s="15"/>
      <c r="I877" s="16"/>
      <c r="J877" s="16"/>
      <c r="K877" s="15"/>
      <c r="L877" s="15"/>
      <c r="M877" s="16"/>
      <c r="N877" s="16"/>
      <c r="O877" s="15"/>
      <c r="P877" s="15"/>
      <c r="Q877" s="15"/>
      <c r="R877" s="15"/>
      <c r="S877" s="15"/>
      <c r="T877" s="15"/>
      <c r="U877" s="15"/>
      <c r="V877" s="15"/>
      <c r="W877" s="15"/>
      <c r="X877" s="15"/>
      <c r="Y877" s="15"/>
      <c r="Z877" s="15"/>
    </row>
    <row r="878" spans="1:26" ht="15.75" customHeight="1" x14ac:dyDescent="0.25">
      <c r="A878" s="858"/>
      <c r="B878" s="858"/>
      <c r="C878" s="871"/>
      <c r="D878" s="28" t="s">
        <v>358</v>
      </c>
      <c r="E878" s="29" t="s">
        <v>359</v>
      </c>
      <c r="F878" s="875" t="s">
        <v>360</v>
      </c>
      <c r="G878" s="858"/>
      <c r="H878" s="15"/>
      <c r="I878" s="16"/>
      <c r="J878" s="16"/>
      <c r="K878" s="15"/>
      <c r="L878" s="15"/>
      <c r="M878" s="16"/>
      <c r="N878" s="16"/>
      <c r="O878" s="15"/>
      <c r="P878" s="15"/>
      <c r="Q878" s="15"/>
      <c r="R878" s="15"/>
      <c r="S878" s="15"/>
      <c r="T878" s="15"/>
      <c r="U878" s="15"/>
      <c r="V878" s="15"/>
      <c r="W878" s="15"/>
      <c r="X878" s="15"/>
      <c r="Y878" s="15"/>
      <c r="Z878" s="15"/>
    </row>
    <row r="879" spans="1:26" ht="15.75" customHeight="1" x14ac:dyDescent="0.25">
      <c r="A879" s="858"/>
      <c r="B879" s="858"/>
      <c r="C879" s="30" t="s">
        <v>361</v>
      </c>
      <c r="D879" s="31" t="s">
        <v>361</v>
      </c>
      <c r="E879" s="32" t="s">
        <v>362</v>
      </c>
      <c r="F879" s="860"/>
      <c r="G879" s="442" t="s">
        <v>2717</v>
      </c>
      <c r="H879" s="15"/>
      <c r="I879" s="16"/>
      <c r="J879" s="16"/>
      <c r="K879" s="15"/>
      <c r="L879" s="15"/>
      <c r="M879" s="16"/>
      <c r="N879" s="16"/>
      <c r="O879" s="15"/>
      <c r="P879" s="15"/>
      <c r="Q879" s="15"/>
      <c r="R879" s="15"/>
      <c r="S879" s="15"/>
      <c r="T879" s="15"/>
      <c r="U879" s="15"/>
      <c r="V879" s="15"/>
      <c r="W879" s="15"/>
      <c r="X879" s="15"/>
      <c r="Y879" s="15"/>
      <c r="Z879" s="15"/>
    </row>
    <row r="880" spans="1:26" ht="15.75" customHeight="1" x14ac:dyDescent="0.25">
      <c r="A880" s="869"/>
      <c r="B880" s="869"/>
      <c r="C880" s="33">
        <v>2024</v>
      </c>
      <c r="D880" s="34">
        <v>2025</v>
      </c>
      <c r="E880" s="34">
        <v>2025</v>
      </c>
      <c r="F880" s="34">
        <v>2025</v>
      </c>
      <c r="G880" s="36" t="s">
        <v>2668</v>
      </c>
      <c r="H880" s="15"/>
      <c r="I880" s="16"/>
      <c r="J880" s="16"/>
      <c r="K880" s="15"/>
      <c r="L880" s="15"/>
      <c r="M880" s="16"/>
      <c r="N880" s="16"/>
      <c r="O880" s="15"/>
      <c r="P880" s="15"/>
      <c r="Q880" s="15"/>
      <c r="R880" s="15"/>
      <c r="S880" s="15"/>
      <c r="T880" s="15"/>
      <c r="U880" s="15"/>
      <c r="V880" s="15"/>
      <c r="W880" s="15"/>
      <c r="X880" s="15"/>
      <c r="Y880" s="15"/>
      <c r="Z880" s="15"/>
    </row>
    <row r="881" spans="1:26" ht="15.75" customHeight="1" x14ac:dyDescent="0.25">
      <c r="A881" s="9" t="s">
        <v>364</v>
      </c>
      <c r="B881" s="38"/>
      <c r="C881" s="42"/>
      <c r="D881" s="42"/>
      <c r="E881" s="42"/>
      <c r="F881" s="42"/>
      <c r="G881" s="37"/>
      <c r="H881" s="114"/>
      <c r="I881" s="60"/>
      <c r="J881" s="60"/>
      <c r="K881" s="114"/>
      <c r="L881" s="114"/>
      <c r="M881" s="60"/>
      <c r="N881" s="60"/>
      <c r="O881" s="114"/>
      <c r="P881" s="114"/>
      <c r="Q881" s="114"/>
      <c r="R881" s="114"/>
      <c r="S881" s="114"/>
      <c r="T881" s="114"/>
      <c r="U881" s="114"/>
      <c r="V881" s="114"/>
      <c r="W881" s="114"/>
      <c r="X881" s="114"/>
      <c r="Y881" s="114"/>
      <c r="Z881" s="114"/>
    </row>
    <row r="882" spans="1:26" ht="15.75" customHeight="1" x14ac:dyDescent="0.25">
      <c r="A882" s="42" t="s">
        <v>491</v>
      </c>
      <c r="B882" s="49"/>
      <c r="C882" s="43"/>
      <c r="D882" s="43"/>
      <c r="E882" s="43"/>
      <c r="F882" s="43"/>
      <c r="G882" s="43"/>
      <c r="H882" s="114"/>
      <c r="I882" s="60"/>
      <c r="J882" s="60"/>
      <c r="K882" s="114"/>
      <c r="L882" s="114"/>
      <c r="M882" s="60"/>
      <c r="N882" s="60"/>
      <c r="O882" s="114"/>
      <c r="P882" s="114"/>
      <c r="Q882" s="114"/>
      <c r="R882" s="114"/>
      <c r="S882" s="114"/>
      <c r="T882" s="114"/>
      <c r="U882" s="114"/>
      <c r="V882" s="114"/>
      <c r="W882" s="114"/>
      <c r="X882" s="114"/>
      <c r="Y882" s="114"/>
      <c r="Z882" s="114"/>
    </row>
    <row r="883" spans="1:26" ht="15.75" customHeight="1" x14ac:dyDescent="0.25">
      <c r="A883" s="42" t="s">
        <v>499</v>
      </c>
      <c r="B883" s="49"/>
      <c r="C883" s="43"/>
      <c r="D883" s="43"/>
      <c r="E883" s="43"/>
      <c r="F883" s="43"/>
      <c r="G883" s="43"/>
      <c r="H883" s="114"/>
      <c r="I883" s="60"/>
      <c r="J883" s="60"/>
      <c r="K883" s="114"/>
      <c r="L883" s="114"/>
      <c r="M883" s="60"/>
      <c r="N883" s="60"/>
      <c r="O883" s="114"/>
      <c r="P883" s="114"/>
      <c r="Q883" s="114"/>
      <c r="R883" s="114"/>
      <c r="S883" s="114"/>
      <c r="T883" s="114"/>
      <c r="U883" s="114"/>
      <c r="V883" s="114"/>
      <c r="W883" s="114"/>
      <c r="X883" s="114"/>
      <c r="Y883" s="114"/>
      <c r="Z883" s="114"/>
    </row>
    <row r="884" spans="1:26" ht="15.75" customHeight="1" x14ac:dyDescent="0.25">
      <c r="A884" s="48" t="s">
        <v>398</v>
      </c>
      <c r="B884" s="49" t="s">
        <v>195</v>
      </c>
      <c r="C884" s="43">
        <v>73926.77</v>
      </c>
      <c r="D884" s="43">
        <v>0</v>
      </c>
      <c r="E884" s="43">
        <f t="shared" ref="E884:E886" si="151">F884-D884</f>
        <v>49970</v>
      </c>
      <c r="F884" s="43">
        <v>49970</v>
      </c>
      <c r="G884" s="43">
        <v>20941</v>
      </c>
      <c r="H884" s="114"/>
      <c r="I884" s="60"/>
      <c r="J884" s="60"/>
      <c r="K884" s="114"/>
      <c r="L884" s="114"/>
      <c r="M884" s="60"/>
      <c r="N884" s="60"/>
      <c r="O884" s="114"/>
      <c r="P884" s="114"/>
      <c r="Q884" s="114"/>
      <c r="R884" s="114"/>
      <c r="S884" s="114"/>
      <c r="T884" s="114"/>
      <c r="U884" s="114"/>
      <c r="V884" s="114"/>
      <c r="W884" s="114"/>
      <c r="X884" s="114"/>
      <c r="Y884" s="114"/>
      <c r="Z884" s="114"/>
    </row>
    <row r="885" spans="1:26" ht="15.75" customHeight="1" x14ac:dyDescent="0.25">
      <c r="A885" s="48" t="s">
        <v>402</v>
      </c>
      <c r="B885" s="41" t="s">
        <v>225</v>
      </c>
      <c r="C885" s="43">
        <v>378419.35</v>
      </c>
      <c r="D885" s="43">
        <v>0</v>
      </c>
      <c r="E885" s="43">
        <f t="shared" si="151"/>
        <v>44729</v>
      </c>
      <c r="F885" s="43">
        <v>44729</v>
      </c>
      <c r="G885" s="43">
        <v>43281</v>
      </c>
      <c r="H885" s="114"/>
      <c r="I885" s="60"/>
      <c r="J885" s="60"/>
      <c r="K885" s="114"/>
      <c r="L885" s="114"/>
      <c r="M885" s="60"/>
      <c r="N885" s="60"/>
      <c r="O885" s="114"/>
      <c r="P885" s="114"/>
      <c r="Q885" s="114"/>
      <c r="R885" s="114"/>
      <c r="S885" s="114"/>
      <c r="T885" s="114"/>
      <c r="U885" s="114"/>
      <c r="V885" s="114"/>
      <c r="W885" s="114"/>
      <c r="X885" s="114"/>
      <c r="Y885" s="114"/>
      <c r="Z885" s="114"/>
    </row>
    <row r="886" spans="1:26" ht="15.75" customHeight="1" x14ac:dyDescent="0.25">
      <c r="A886" s="44" t="s">
        <v>400</v>
      </c>
      <c r="B886" s="41" t="s">
        <v>221</v>
      </c>
      <c r="C886" s="43">
        <v>0</v>
      </c>
      <c r="D886" s="43">
        <v>0</v>
      </c>
      <c r="E886" s="43">
        <f t="shared" si="151"/>
        <v>16500</v>
      </c>
      <c r="F886" s="43">
        <v>16500</v>
      </c>
      <c r="G886" s="43">
        <v>50975</v>
      </c>
      <c r="H886" s="114"/>
      <c r="I886" s="60"/>
      <c r="J886" s="60"/>
      <c r="K886" s="114"/>
      <c r="L886" s="114"/>
      <c r="M886" s="60"/>
      <c r="N886" s="60"/>
      <c r="O886" s="114"/>
      <c r="P886" s="114"/>
      <c r="Q886" s="114"/>
      <c r="R886" s="114"/>
      <c r="S886" s="114"/>
      <c r="T886" s="114"/>
      <c r="U886" s="114"/>
      <c r="V886" s="114"/>
      <c r="W886" s="114"/>
      <c r="X886" s="114"/>
      <c r="Y886" s="114"/>
      <c r="Z886" s="114"/>
    </row>
    <row r="887" spans="1:26" ht="15.75" customHeight="1" x14ac:dyDescent="0.25">
      <c r="A887" s="17" t="s">
        <v>424</v>
      </c>
      <c r="B887" s="41"/>
      <c r="C887" s="43"/>
      <c r="D887" s="43"/>
      <c r="E887" s="43"/>
      <c r="F887" s="192"/>
      <c r="G887" s="192"/>
      <c r="H887" s="114"/>
      <c r="I887" s="60"/>
      <c r="J887" s="60"/>
      <c r="K887" s="114"/>
      <c r="L887" s="114"/>
      <c r="M887" s="60"/>
      <c r="N887" s="60"/>
      <c r="O887" s="114"/>
      <c r="P887" s="114"/>
      <c r="Q887" s="114"/>
      <c r="R887" s="114"/>
      <c r="S887" s="114"/>
      <c r="T887" s="114"/>
      <c r="U887" s="114"/>
      <c r="V887" s="114"/>
      <c r="W887" s="114"/>
      <c r="X887" s="114"/>
      <c r="Y887" s="114"/>
      <c r="Z887" s="114"/>
    </row>
    <row r="888" spans="1:26" ht="15.75" customHeight="1" x14ac:dyDescent="0.25">
      <c r="A888" s="48" t="s">
        <v>424</v>
      </c>
      <c r="B888" s="41" t="s">
        <v>335</v>
      </c>
      <c r="C888" s="43">
        <v>1545773</v>
      </c>
      <c r="D888" s="43">
        <f>919500</f>
        <v>919500</v>
      </c>
      <c r="E888" s="43">
        <f>F888-D888</f>
        <v>691500</v>
      </c>
      <c r="F888" s="43">
        <v>1611000</v>
      </c>
      <c r="G888" s="43">
        <v>2427936</v>
      </c>
      <c r="H888" s="114"/>
      <c r="I888" s="60"/>
      <c r="J888" s="60"/>
      <c r="K888" s="114"/>
      <c r="L888" s="114"/>
      <c r="M888" s="60"/>
      <c r="N888" s="60"/>
      <c r="O888" s="114"/>
      <c r="P888" s="114"/>
      <c r="Q888" s="114"/>
      <c r="R888" s="114"/>
      <c r="S888" s="114"/>
      <c r="T888" s="114"/>
      <c r="U888" s="114"/>
      <c r="V888" s="114"/>
      <c r="W888" s="114"/>
      <c r="X888" s="114"/>
      <c r="Y888" s="114"/>
      <c r="Z888" s="114"/>
    </row>
    <row r="889" spans="1:26" ht="15.75" customHeight="1" x14ac:dyDescent="0.25">
      <c r="A889" s="48" t="s">
        <v>992</v>
      </c>
      <c r="B889" s="41"/>
      <c r="C889" s="43"/>
      <c r="D889" s="43"/>
      <c r="E889" s="43"/>
      <c r="F889" s="43"/>
      <c r="G889" s="43"/>
      <c r="H889" s="114"/>
      <c r="I889" s="60"/>
      <c r="J889" s="60"/>
      <c r="K889" s="114"/>
      <c r="L889" s="114"/>
      <c r="M889" s="60"/>
      <c r="N889" s="60">
        <v>24000</v>
      </c>
      <c r="O889" s="114"/>
      <c r="P889" s="114"/>
      <c r="Q889" s="114"/>
      <c r="R889" s="114"/>
      <c r="S889" s="114"/>
      <c r="T889" s="114"/>
      <c r="U889" s="114"/>
      <c r="V889" s="114"/>
      <c r="W889" s="114"/>
      <c r="X889" s="114"/>
      <c r="Y889" s="114"/>
      <c r="Z889" s="114"/>
    </row>
    <row r="890" spans="1:26" ht="15.75" customHeight="1" x14ac:dyDescent="0.25">
      <c r="A890" s="44" t="s">
        <v>864</v>
      </c>
      <c r="B890" s="41"/>
      <c r="C890" s="43"/>
      <c r="D890" s="43"/>
      <c r="E890" s="43"/>
      <c r="F890" s="43"/>
      <c r="G890" s="43"/>
      <c r="H890" s="114"/>
      <c r="I890" s="210" t="s">
        <v>877</v>
      </c>
      <c r="J890" s="211" t="s">
        <v>878</v>
      </c>
      <c r="K890" s="210" t="s">
        <v>879</v>
      </c>
      <c r="L890" s="8" t="s">
        <v>880</v>
      </c>
      <c r="M890" s="210" t="s">
        <v>881</v>
      </c>
      <c r="N890" s="60"/>
      <c r="O890" s="114"/>
      <c r="P890" s="114"/>
      <c r="Q890" s="114"/>
      <c r="R890" s="114"/>
      <c r="S890" s="114"/>
      <c r="T890" s="114"/>
      <c r="U890" s="114"/>
      <c r="V890" s="114"/>
      <c r="W890" s="114"/>
      <c r="X890" s="114"/>
      <c r="Y890" s="114"/>
      <c r="Z890" s="114"/>
    </row>
    <row r="891" spans="1:26" ht="31.5" x14ac:dyDescent="0.25">
      <c r="A891" s="68" t="s">
        <v>1015</v>
      </c>
      <c r="B891" s="41"/>
      <c r="C891" s="43"/>
      <c r="D891" s="43"/>
      <c r="E891" s="43"/>
      <c r="F891" s="43"/>
      <c r="G891" s="43"/>
      <c r="H891" s="114"/>
      <c r="I891" s="60">
        <v>678</v>
      </c>
      <c r="J891" s="211">
        <v>6</v>
      </c>
      <c r="K891" s="8">
        <v>22</v>
      </c>
      <c r="L891" s="8">
        <v>12</v>
      </c>
      <c r="M891" s="60">
        <f t="shared" ref="M891:M894" si="152">I891*J891*K891*L891</f>
        <v>1073952</v>
      </c>
      <c r="N891" s="60"/>
      <c r="O891" s="114"/>
      <c r="P891" s="114"/>
      <c r="Q891" s="114"/>
      <c r="R891" s="114"/>
      <c r="S891" s="114"/>
      <c r="T891" s="114"/>
      <c r="U891" s="114"/>
      <c r="V891" s="114"/>
      <c r="W891" s="114"/>
      <c r="X891" s="114"/>
      <c r="Y891" s="114"/>
      <c r="Z891" s="114"/>
    </row>
    <row r="892" spans="1:26" ht="15.75" customHeight="1" x14ac:dyDescent="0.25">
      <c r="A892" s="48" t="s">
        <v>1016</v>
      </c>
      <c r="B892" s="41"/>
      <c r="C892" s="43"/>
      <c r="D892" s="43"/>
      <c r="E892" s="43"/>
      <c r="F892" s="43"/>
      <c r="G892" s="43"/>
      <c r="H892" s="114"/>
      <c r="I892" s="60">
        <v>678</v>
      </c>
      <c r="J892" s="211">
        <v>3</v>
      </c>
      <c r="K892" s="8">
        <v>26</v>
      </c>
      <c r="L892" s="8">
        <v>12</v>
      </c>
      <c r="M892" s="60">
        <f t="shared" si="152"/>
        <v>634608</v>
      </c>
      <c r="N892" s="60"/>
      <c r="O892" s="114"/>
      <c r="P892" s="114"/>
      <c r="Q892" s="114"/>
      <c r="R892" s="114"/>
      <c r="S892" s="114"/>
      <c r="T892" s="114"/>
      <c r="U892" s="114"/>
      <c r="V892" s="114"/>
      <c r="W892" s="114"/>
      <c r="X892" s="114"/>
      <c r="Y892" s="114"/>
      <c r="Z892" s="114"/>
    </row>
    <row r="893" spans="1:26" ht="31.5" x14ac:dyDescent="0.25">
      <c r="A893" s="68" t="s">
        <v>1017</v>
      </c>
      <c r="B893" s="41"/>
      <c r="C893" s="43"/>
      <c r="D893" s="43"/>
      <c r="E893" s="43"/>
      <c r="F893" s="43"/>
      <c r="G893" s="43"/>
      <c r="H893" s="114"/>
      <c r="I893" s="60">
        <v>678</v>
      </c>
      <c r="J893" s="211">
        <v>2</v>
      </c>
      <c r="K893" s="8">
        <v>22</v>
      </c>
      <c r="L893" s="8">
        <v>12</v>
      </c>
      <c r="M893" s="60">
        <f t="shared" si="152"/>
        <v>357984</v>
      </c>
      <c r="N893" s="60"/>
      <c r="O893" s="114"/>
      <c r="P893" s="114"/>
      <c r="Q893" s="114"/>
      <c r="R893" s="114"/>
      <c r="S893" s="114"/>
      <c r="T893" s="114"/>
      <c r="U893" s="114"/>
      <c r="V893" s="114"/>
      <c r="W893" s="114"/>
      <c r="X893" s="114"/>
      <c r="Y893" s="114"/>
      <c r="Z893" s="114"/>
    </row>
    <row r="894" spans="1:26" ht="31.5" x14ac:dyDescent="0.25">
      <c r="A894" s="68" t="s">
        <v>1018</v>
      </c>
      <c r="B894" s="41"/>
      <c r="C894" s="43"/>
      <c r="D894" s="43"/>
      <c r="E894" s="43"/>
      <c r="F894" s="43"/>
      <c r="G894" s="43"/>
      <c r="H894" s="114"/>
      <c r="I894" s="60">
        <v>639</v>
      </c>
      <c r="J894" s="211">
        <v>2</v>
      </c>
      <c r="K894" s="8">
        <v>22</v>
      </c>
      <c r="L894" s="8">
        <v>12</v>
      </c>
      <c r="M894" s="60">
        <f t="shared" si="152"/>
        <v>337392</v>
      </c>
      <c r="N894" s="60">
        <f>SUM(M891:M894)</f>
        <v>2403936</v>
      </c>
      <c r="O894" s="60">
        <f>N889+N894</f>
        <v>2427936</v>
      </c>
      <c r="P894" s="114"/>
      <c r="Q894" s="114"/>
      <c r="R894" s="114"/>
      <c r="S894" s="114"/>
      <c r="T894" s="114"/>
      <c r="U894" s="114"/>
      <c r="V894" s="114"/>
      <c r="W894" s="114"/>
      <c r="X894" s="114"/>
      <c r="Y894" s="114"/>
      <c r="Z894" s="114"/>
    </row>
    <row r="895" spans="1:26" ht="15.75" customHeight="1" x14ac:dyDescent="0.25">
      <c r="A895" s="42" t="s">
        <v>466</v>
      </c>
      <c r="B895" s="41"/>
      <c r="C895" s="54">
        <f>SUM(C883:C888)</f>
        <v>1998119.12</v>
      </c>
      <c r="D895" s="54">
        <f>SUM(D883:D888)</f>
        <v>919500</v>
      </c>
      <c r="E895" s="54">
        <f>F895-D895</f>
        <v>802699</v>
      </c>
      <c r="F895" s="54">
        <f>SUM(F883:F888)</f>
        <v>1722199</v>
      </c>
      <c r="G895" s="54">
        <f>SUM(G884:G888)</f>
        <v>2543133</v>
      </c>
      <c r="H895" s="114"/>
      <c r="I895" s="60"/>
      <c r="J895" s="60"/>
      <c r="K895" s="114"/>
      <c r="L895" s="114"/>
      <c r="M895" s="60"/>
      <c r="N895" s="60"/>
      <c r="O895" s="114"/>
      <c r="P895" s="114"/>
      <c r="Q895" s="114"/>
      <c r="R895" s="114"/>
      <c r="S895" s="114"/>
      <c r="T895" s="114"/>
      <c r="U895" s="114"/>
      <c r="V895" s="114"/>
      <c r="W895" s="114"/>
      <c r="X895" s="114"/>
      <c r="Y895" s="114"/>
      <c r="Z895" s="114"/>
    </row>
    <row r="896" spans="1:26" ht="15.75" customHeight="1" x14ac:dyDescent="0.25">
      <c r="A896" s="17"/>
      <c r="B896" s="41"/>
      <c r="C896" s="55"/>
      <c r="D896" s="55"/>
      <c r="E896" s="43"/>
      <c r="F896" s="55"/>
      <c r="G896" s="55"/>
      <c r="H896" s="114"/>
      <c r="I896" s="60"/>
      <c r="J896" s="60"/>
      <c r="K896" s="114"/>
      <c r="L896" s="114"/>
      <c r="M896" s="60"/>
      <c r="N896" s="60"/>
      <c r="O896" s="114"/>
      <c r="P896" s="114"/>
      <c r="Q896" s="114"/>
      <c r="R896" s="114"/>
      <c r="S896" s="114"/>
      <c r="T896" s="114"/>
      <c r="U896" s="114"/>
      <c r="V896" s="114"/>
      <c r="W896" s="114"/>
      <c r="X896" s="114"/>
      <c r="Y896" s="114"/>
      <c r="Z896" s="114"/>
    </row>
    <row r="897" spans="1:26" ht="15.75" customHeight="1" x14ac:dyDescent="0.25">
      <c r="A897" s="17" t="s">
        <v>467</v>
      </c>
      <c r="B897" s="41"/>
      <c r="C897" s="43">
        <f t="shared" ref="C897:D897" si="153">C895</f>
        <v>1998119.12</v>
      </c>
      <c r="D897" s="43">
        <f t="shared" si="153"/>
        <v>919500</v>
      </c>
      <c r="E897" s="43">
        <f>F897-D897</f>
        <v>802699</v>
      </c>
      <c r="F897" s="43">
        <f t="shared" ref="F897:G897" si="154">F895</f>
        <v>1722199</v>
      </c>
      <c r="G897" s="43">
        <f t="shared" si="154"/>
        <v>2543133</v>
      </c>
      <c r="H897" s="114"/>
      <c r="I897" s="60"/>
      <c r="J897" s="60"/>
      <c r="K897" s="114"/>
      <c r="L897" s="114"/>
      <c r="M897" s="60"/>
      <c r="N897" s="60"/>
      <c r="O897" s="114"/>
      <c r="P897" s="114"/>
      <c r="Q897" s="114"/>
      <c r="R897" s="114"/>
      <c r="S897" s="114"/>
      <c r="T897" s="114"/>
      <c r="U897" s="114"/>
      <c r="V897" s="114"/>
      <c r="W897" s="114"/>
      <c r="X897" s="114"/>
      <c r="Y897" s="114"/>
      <c r="Z897" s="114"/>
    </row>
    <row r="898" spans="1:26" ht="15.75" customHeight="1" x14ac:dyDescent="0.25">
      <c r="A898" s="17"/>
      <c r="B898" s="41"/>
      <c r="C898" s="43"/>
      <c r="D898" s="43"/>
      <c r="E898" s="43"/>
      <c r="F898" s="43"/>
      <c r="G898" s="43"/>
      <c r="H898" s="114"/>
      <c r="I898" s="60"/>
      <c r="J898" s="60"/>
      <c r="K898" s="114"/>
      <c r="L898" s="114"/>
      <c r="M898" s="60"/>
      <c r="N898" s="60"/>
      <c r="O898" s="114"/>
      <c r="P898" s="114"/>
      <c r="Q898" s="114"/>
      <c r="R898" s="114"/>
      <c r="S898" s="114"/>
      <c r="T898" s="114"/>
      <c r="U898" s="114"/>
      <c r="V898" s="114"/>
      <c r="W898" s="114"/>
      <c r="X898" s="114"/>
      <c r="Y898" s="114"/>
      <c r="Z898" s="114"/>
    </row>
    <row r="899" spans="1:26" ht="15.75" customHeight="1" x14ac:dyDescent="0.25">
      <c r="A899" s="42" t="s">
        <v>529</v>
      </c>
      <c r="B899" s="49"/>
      <c r="C899" s="199"/>
      <c r="D899" s="172"/>
      <c r="E899" s="43"/>
      <c r="F899" s="172"/>
      <c r="G899" s="45"/>
      <c r="H899" s="114"/>
      <c r="I899" s="60"/>
      <c r="J899" s="60"/>
      <c r="K899" s="114"/>
      <c r="L899" s="114"/>
      <c r="M899" s="60"/>
      <c r="N899" s="60"/>
      <c r="O899" s="114"/>
      <c r="P899" s="114"/>
      <c r="Q899" s="114"/>
      <c r="R899" s="114"/>
      <c r="S899" s="114"/>
      <c r="T899" s="114"/>
      <c r="U899" s="114"/>
      <c r="V899" s="114"/>
      <c r="W899" s="114"/>
      <c r="X899" s="114"/>
      <c r="Y899" s="114"/>
      <c r="Z899" s="114"/>
    </row>
    <row r="900" spans="1:26" ht="15.75" customHeight="1" x14ac:dyDescent="0.25">
      <c r="A900" s="42" t="s">
        <v>476</v>
      </c>
      <c r="B900" s="94"/>
      <c r="C900" s="43"/>
      <c r="D900" s="43"/>
      <c r="E900" s="43"/>
      <c r="F900" s="43"/>
      <c r="G900" s="43"/>
      <c r="H900" s="114"/>
      <c r="I900" s="60"/>
      <c r="J900" s="60"/>
      <c r="K900" s="114"/>
      <c r="L900" s="114"/>
      <c r="M900" s="60"/>
      <c r="N900" s="60"/>
      <c r="O900" s="114"/>
      <c r="P900" s="114"/>
      <c r="Q900" s="114"/>
      <c r="R900" s="114"/>
      <c r="S900" s="114"/>
      <c r="T900" s="114"/>
      <c r="U900" s="114"/>
      <c r="V900" s="114"/>
      <c r="W900" s="114"/>
      <c r="X900" s="114"/>
      <c r="Y900" s="114"/>
      <c r="Z900" s="114"/>
    </row>
    <row r="901" spans="1:26" ht="15.75" customHeight="1" x14ac:dyDescent="0.25">
      <c r="A901" s="460" t="s">
        <v>997</v>
      </c>
      <c r="B901" s="461" t="s">
        <v>47</v>
      </c>
      <c r="C901" s="443">
        <v>0</v>
      </c>
      <c r="D901" s="443">
        <v>0</v>
      </c>
      <c r="E901" s="443">
        <v>0</v>
      </c>
      <c r="F901" s="443">
        <v>0</v>
      </c>
      <c r="G901" s="462">
        <v>50000</v>
      </c>
      <c r="H901" s="450"/>
      <c r="I901" s="60"/>
      <c r="J901" s="60"/>
      <c r="K901" s="114"/>
      <c r="L901" s="114"/>
      <c r="M901" s="60"/>
      <c r="N901" s="60"/>
      <c r="O901" s="114"/>
      <c r="P901" s="114"/>
      <c r="Q901" s="114"/>
      <c r="R901" s="114"/>
      <c r="S901" s="114"/>
      <c r="T901" s="114"/>
      <c r="U901" s="114"/>
      <c r="V901" s="114"/>
      <c r="W901" s="114"/>
      <c r="X901" s="114"/>
      <c r="Y901" s="114"/>
      <c r="Z901" s="114"/>
    </row>
    <row r="902" spans="1:26" ht="15.75" customHeight="1" x14ac:dyDescent="0.25">
      <c r="A902" s="48" t="s">
        <v>1019</v>
      </c>
      <c r="B902" s="41"/>
      <c r="C902" s="43"/>
      <c r="D902" s="43"/>
      <c r="E902" s="43"/>
      <c r="F902" s="43"/>
      <c r="G902" s="43"/>
      <c r="H902" s="114"/>
      <c r="I902" s="60"/>
      <c r="J902" s="60"/>
      <c r="K902" s="114"/>
      <c r="L902" s="114"/>
      <c r="M902" s="60"/>
      <c r="N902" s="60"/>
      <c r="O902" s="114"/>
      <c r="P902" s="114"/>
      <c r="Q902" s="114"/>
      <c r="R902" s="114"/>
      <c r="S902" s="114"/>
      <c r="T902" s="114"/>
      <c r="U902" s="114"/>
      <c r="V902" s="114"/>
      <c r="W902" s="114"/>
      <c r="X902" s="114"/>
      <c r="Y902" s="114"/>
      <c r="Z902" s="114"/>
    </row>
    <row r="903" spans="1:26" ht="15.75" customHeight="1" x14ac:dyDescent="0.25">
      <c r="A903" s="17" t="s">
        <v>536</v>
      </c>
      <c r="B903" s="41"/>
      <c r="C903" s="54" t="e">
        <f>#REF!</f>
        <v>#REF!</v>
      </c>
      <c r="D903" s="54" t="e">
        <f>#REF!</f>
        <v>#REF!</v>
      </c>
      <c r="E903" s="54" t="e">
        <f>#REF!</f>
        <v>#REF!</v>
      </c>
      <c r="F903" s="54" t="e">
        <f>#REF!</f>
        <v>#REF!</v>
      </c>
      <c r="G903" s="54">
        <f>SUM(G901:G902)</f>
        <v>50000</v>
      </c>
      <c r="H903" s="114"/>
      <c r="I903" s="60"/>
      <c r="J903" s="60"/>
      <c r="K903" s="114"/>
      <c r="L903" s="114"/>
      <c r="M903" s="60"/>
      <c r="N903" s="60"/>
      <c r="O903" s="114"/>
      <c r="P903" s="114"/>
      <c r="Q903" s="114"/>
      <c r="R903" s="114"/>
      <c r="S903" s="114"/>
      <c r="T903" s="114"/>
      <c r="U903" s="114"/>
      <c r="V903" s="114"/>
      <c r="W903" s="114"/>
      <c r="X903" s="114"/>
      <c r="Y903" s="114"/>
      <c r="Z903" s="114"/>
    </row>
    <row r="904" spans="1:26" ht="15.75" customHeight="1" x14ac:dyDescent="0.25">
      <c r="A904" s="17"/>
      <c r="B904" s="41"/>
      <c r="C904" s="43"/>
      <c r="D904" s="43"/>
      <c r="E904" s="43"/>
      <c r="F904" s="43"/>
      <c r="G904" s="43"/>
      <c r="H904" s="114"/>
      <c r="I904" s="60"/>
      <c r="J904" s="60"/>
      <c r="K904" s="114"/>
      <c r="L904" s="114"/>
      <c r="M904" s="60"/>
      <c r="N904" s="60"/>
      <c r="O904" s="114"/>
      <c r="P904" s="114"/>
      <c r="Q904" s="114"/>
      <c r="R904" s="114"/>
      <c r="S904" s="114"/>
      <c r="T904" s="114"/>
      <c r="U904" s="114"/>
      <c r="V904" s="114"/>
      <c r="W904" s="114"/>
      <c r="X904" s="114"/>
      <c r="Y904" s="114"/>
      <c r="Z904" s="114"/>
    </row>
    <row r="905" spans="1:26" ht="15.75" customHeight="1" x14ac:dyDescent="0.25">
      <c r="A905" s="50" t="s">
        <v>487</v>
      </c>
      <c r="B905" s="51" t="s">
        <v>488</v>
      </c>
      <c r="C905" s="54" t="e">
        <f>C903+C897</f>
        <v>#REF!</v>
      </c>
      <c r="D905" s="54" t="e">
        <f>D903+D897</f>
        <v>#REF!</v>
      </c>
      <c r="E905" s="54" t="e">
        <f>E903+E897</f>
        <v>#REF!</v>
      </c>
      <c r="F905" s="54" t="e">
        <f>F903+F897</f>
        <v>#REF!</v>
      </c>
      <c r="G905" s="54">
        <f>G903+G897</f>
        <v>2593133</v>
      </c>
      <c r="H905" s="114"/>
      <c r="I905" s="60"/>
      <c r="J905" s="60"/>
      <c r="K905" s="114"/>
      <c r="L905" s="114"/>
      <c r="M905" s="60"/>
      <c r="N905" s="60"/>
      <c r="O905" s="114"/>
      <c r="P905" s="114"/>
      <c r="Q905" s="114"/>
      <c r="R905" s="114"/>
      <c r="S905" s="114"/>
      <c r="T905" s="114"/>
      <c r="U905" s="114"/>
      <c r="V905" s="114"/>
      <c r="W905" s="114"/>
      <c r="X905" s="114"/>
      <c r="Y905" s="114"/>
      <c r="Z905" s="114"/>
    </row>
    <row r="906" spans="1:26" ht="15.75" customHeight="1" x14ac:dyDescent="0.25">
      <c r="A906" s="24"/>
      <c r="B906" s="25"/>
      <c r="C906" s="26"/>
      <c r="D906" s="26"/>
      <c r="E906" s="26"/>
      <c r="F906" s="26"/>
      <c r="G906" s="26"/>
      <c r="H906" s="114"/>
      <c r="I906" s="60"/>
      <c r="J906" s="60"/>
      <c r="K906" s="114"/>
      <c r="L906" s="114"/>
      <c r="M906" s="60"/>
      <c r="N906" s="60"/>
      <c r="O906" s="114"/>
      <c r="P906" s="114"/>
      <c r="Q906" s="114"/>
      <c r="R906" s="114"/>
      <c r="S906" s="114"/>
      <c r="T906" s="114"/>
      <c r="U906" s="114"/>
      <c r="V906" s="114"/>
      <c r="W906" s="114"/>
      <c r="X906" s="114"/>
      <c r="Y906" s="114"/>
      <c r="Z906" s="114"/>
    </row>
    <row r="907" spans="1:26" ht="15.75" customHeight="1" x14ac:dyDescent="0.25">
      <c r="A907" s="24"/>
      <c r="B907" s="25"/>
      <c r="C907" s="24"/>
      <c r="D907" s="24"/>
      <c r="E907" s="24"/>
      <c r="F907" s="15"/>
      <c r="G907" s="15"/>
      <c r="H907" s="15"/>
      <c r="I907" s="16"/>
      <c r="J907" s="16"/>
      <c r="K907" s="15"/>
      <c r="L907" s="15"/>
      <c r="M907" s="16"/>
      <c r="N907" s="16"/>
      <c r="O907" s="15"/>
      <c r="P907" s="15"/>
      <c r="Q907" s="15"/>
      <c r="R907" s="15"/>
      <c r="S907" s="15"/>
      <c r="T907" s="15"/>
      <c r="U907" s="15"/>
      <c r="V907" s="15"/>
      <c r="W907" s="15"/>
      <c r="X907" s="15"/>
      <c r="Y907" s="15"/>
      <c r="Z907" s="15"/>
    </row>
    <row r="908" spans="1:26" ht="15.75" customHeight="1" x14ac:dyDescent="0.25">
      <c r="A908" s="9"/>
      <c r="B908" s="104"/>
      <c r="C908" s="105"/>
      <c r="D908" s="105"/>
      <c r="E908" s="105"/>
      <c r="F908" s="10"/>
      <c r="G908" s="180"/>
      <c r="H908" s="15"/>
      <c r="I908" s="16"/>
      <c r="J908" s="16"/>
      <c r="K908" s="15"/>
      <c r="L908" s="15"/>
      <c r="M908" s="16"/>
      <c r="N908" s="16"/>
      <c r="O908" s="15"/>
      <c r="P908" s="15"/>
      <c r="Q908" s="15"/>
      <c r="R908" s="15"/>
      <c r="S908" s="15"/>
      <c r="T908" s="15"/>
      <c r="U908" s="15"/>
      <c r="V908" s="15"/>
      <c r="W908" s="15"/>
      <c r="X908" s="15"/>
      <c r="Y908" s="15"/>
      <c r="Z908" s="15"/>
    </row>
    <row r="909" spans="1:26" ht="15.75" customHeight="1" x14ac:dyDescent="0.25">
      <c r="A909" s="108" t="s">
        <v>830</v>
      </c>
      <c r="B909" s="25"/>
      <c r="C909" s="26"/>
      <c r="D909" s="26"/>
      <c r="E909" s="26"/>
      <c r="F909" s="14"/>
      <c r="G909" s="181"/>
      <c r="H909" s="15"/>
      <c r="I909" s="16"/>
      <c r="J909" s="16"/>
      <c r="K909" s="15"/>
      <c r="L909" s="15"/>
      <c r="M909" s="16"/>
      <c r="N909" s="16"/>
      <c r="O909" s="15"/>
      <c r="P909" s="15"/>
      <c r="Q909" s="15"/>
      <c r="R909" s="15"/>
      <c r="S909" s="15"/>
      <c r="T909" s="15"/>
      <c r="U909" s="15"/>
      <c r="V909" s="15"/>
      <c r="W909" s="15"/>
      <c r="X909" s="15"/>
      <c r="Y909" s="15"/>
      <c r="Z909" s="15"/>
    </row>
    <row r="910" spans="1:26" ht="15.75" customHeight="1" x14ac:dyDescent="0.25">
      <c r="A910" s="44"/>
      <c r="B910" s="25"/>
      <c r="C910" s="26"/>
      <c r="D910" s="26"/>
      <c r="E910" s="26"/>
      <c r="F910" s="14"/>
      <c r="G910" s="181"/>
      <c r="H910" s="15"/>
      <c r="I910" s="16"/>
      <c r="J910" s="16"/>
      <c r="K910" s="15"/>
      <c r="L910" s="15"/>
      <c r="M910" s="16"/>
      <c r="N910" s="16"/>
      <c r="O910" s="15"/>
      <c r="P910" s="15"/>
      <c r="Q910" s="15"/>
      <c r="R910" s="15"/>
      <c r="S910" s="15"/>
      <c r="T910" s="15"/>
      <c r="U910" s="15"/>
      <c r="V910" s="15"/>
      <c r="W910" s="15"/>
      <c r="X910" s="15"/>
      <c r="Y910" s="15"/>
      <c r="Z910" s="15"/>
    </row>
    <row r="911" spans="1:26" ht="15.75" customHeight="1" x14ac:dyDescent="0.25">
      <c r="A911" s="865" t="s">
        <v>352</v>
      </c>
      <c r="B911" s="866"/>
      <c r="C911" s="866"/>
      <c r="D911" s="866"/>
      <c r="E911" s="866"/>
      <c r="F911" s="866"/>
      <c r="G911" s="867"/>
      <c r="H911" s="15"/>
      <c r="I911" s="16"/>
      <c r="J911" s="16"/>
      <c r="K911" s="15"/>
      <c r="L911" s="15"/>
      <c r="M911" s="16"/>
      <c r="N911" s="16"/>
      <c r="O911" s="15"/>
      <c r="P911" s="15"/>
      <c r="Q911" s="15"/>
      <c r="R911" s="15"/>
      <c r="S911" s="15"/>
      <c r="T911" s="15"/>
      <c r="U911" s="15"/>
      <c r="V911" s="15"/>
      <c r="W911" s="15"/>
      <c r="X911" s="15"/>
      <c r="Y911" s="15"/>
      <c r="Z911" s="15"/>
    </row>
    <row r="912" spans="1:26" ht="15.75" customHeight="1" x14ac:dyDescent="0.25">
      <c r="A912" s="868" t="s">
        <v>353</v>
      </c>
      <c r="B912" s="857" t="s">
        <v>354</v>
      </c>
      <c r="C912" s="870" t="s">
        <v>355</v>
      </c>
      <c r="D912" s="872" t="s">
        <v>356</v>
      </c>
      <c r="E912" s="873"/>
      <c r="F912" s="874"/>
      <c r="G912" s="857" t="s">
        <v>357</v>
      </c>
      <c r="H912" s="15"/>
      <c r="I912" s="16"/>
      <c r="J912" s="16"/>
      <c r="K912" s="15"/>
      <c r="L912" s="15"/>
      <c r="M912" s="16"/>
      <c r="N912" s="16"/>
      <c r="O912" s="15"/>
      <c r="P912" s="15"/>
      <c r="Q912" s="15"/>
      <c r="R912" s="15"/>
      <c r="S912" s="15"/>
      <c r="T912" s="15"/>
      <c r="U912" s="15"/>
      <c r="V912" s="15"/>
      <c r="W912" s="15"/>
      <c r="X912" s="15"/>
      <c r="Y912" s="15"/>
      <c r="Z912" s="15"/>
    </row>
    <row r="913" spans="1:26" ht="15.75" customHeight="1" x14ac:dyDescent="0.25">
      <c r="A913" s="858"/>
      <c r="B913" s="858"/>
      <c r="C913" s="871"/>
      <c r="D913" s="28" t="s">
        <v>358</v>
      </c>
      <c r="E913" s="29" t="s">
        <v>359</v>
      </c>
      <c r="F913" s="857" t="s">
        <v>360</v>
      </c>
      <c r="G913" s="858"/>
      <c r="H913" s="15"/>
      <c r="I913" s="16"/>
      <c r="J913" s="16"/>
      <c r="K913" s="15"/>
      <c r="L913" s="15"/>
      <c r="M913" s="16"/>
      <c r="N913" s="16"/>
      <c r="O913" s="15"/>
      <c r="P913" s="15"/>
      <c r="Q913" s="15"/>
      <c r="R913" s="15"/>
      <c r="S913" s="15"/>
      <c r="T913" s="15"/>
      <c r="U913" s="15"/>
      <c r="V913" s="15"/>
      <c r="W913" s="15"/>
      <c r="X913" s="15"/>
      <c r="Y913" s="15"/>
      <c r="Z913" s="15"/>
    </row>
    <row r="914" spans="1:26" ht="15.75" customHeight="1" x14ac:dyDescent="0.25">
      <c r="A914" s="858"/>
      <c r="B914" s="858"/>
      <c r="C914" s="30" t="s">
        <v>361</v>
      </c>
      <c r="D914" s="31" t="s">
        <v>361</v>
      </c>
      <c r="E914" s="32" t="s">
        <v>362</v>
      </c>
      <c r="F914" s="858"/>
      <c r="G914" s="442" t="s">
        <v>2717</v>
      </c>
      <c r="H914" s="15"/>
      <c r="I914" s="16"/>
      <c r="J914" s="16"/>
      <c r="K914" s="15"/>
      <c r="L914" s="15"/>
      <c r="M914" s="16"/>
      <c r="N914" s="16"/>
      <c r="O914" s="15"/>
      <c r="P914" s="15"/>
      <c r="Q914" s="15"/>
      <c r="R914" s="15"/>
      <c r="S914" s="15"/>
      <c r="T914" s="15"/>
      <c r="U914" s="15"/>
      <c r="V914" s="15"/>
      <c r="W914" s="15"/>
      <c r="X914" s="15"/>
      <c r="Y914" s="15"/>
      <c r="Z914" s="15"/>
    </row>
    <row r="915" spans="1:26" ht="15.75" customHeight="1" x14ac:dyDescent="0.25">
      <c r="A915" s="869"/>
      <c r="B915" s="869"/>
      <c r="C915" s="33">
        <v>2024</v>
      </c>
      <c r="D915" s="34">
        <v>2025</v>
      </c>
      <c r="E915" s="34">
        <v>2025</v>
      </c>
      <c r="F915" s="34">
        <v>2025</v>
      </c>
      <c r="G915" s="36" t="s">
        <v>2668</v>
      </c>
      <c r="H915" s="15"/>
      <c r="I915" s="16"/>
      <c r="J915" s="16"/>
      <c r="K915" s="15"/>
      <c r="L915" s="15"/>
      <c r="M915" s="16"/>
      <c r="N915" s="16"/>
      <c r="O915" s="15"/>
      <c r="P915" s="15"/>
      <c r="Q915" s="15"/>
      <c r="R915" s="15"/>
      <c r="S915" s="15"/>
      <c r="T915" s="15"/>
      <c r="U915" s="15"/>
      <c r="V915" s="15"/>
      <c r="W915" s="15"/>
      <c r="X915" s="15"/>
      <c r="Y915" s="15"/>
      <c r="Z915" s="15"/>
    </row>
    <row r="916" spans="1:26" ht="15.75" customHeight="1" x14ac:dyDescent="0.25">
      <c r="A916" s="9" t="s">
        <v>364</v>
      </c>
      <c r="B916" s="38"/>
      <c r="C916" s="42"/>
      <c r="D916" s="42"/>
      <c r="E916" s="42"/>
      <c r="F916" s="42"/>
      <c r="G916" s="37"/>
      <c r="H916" s="114"/>
      <c r="I916" s="60"/>
      <c r="J916" s="60"/>
      <c r="K916" s="114"/>
      <c r="L916" s="114"/>
      <c r="M916" s="60"/>
      <c r="N916" s="60"/>
      <c r="O916" s="114"/>
      <c r="P916" s="114"/>
      <c r="Q916" s="114"/>
      <c r="R916" s="114"/>
      <c r="S916" s="114"/>
      <c r="T916" s="114"/>
      <c r="U916" s="114"/>
      <c r="V916" s="114"/>
      <c r="W916" s="114"/>
      <c r="X916" s="114"/>
      <c r="Y916" s="114"/>
      <c r="Z916" s="114"/>
    </row>
    <row r="917" spans="1:26" ht="15.75" customHeight="1" x14ac:dyDescent="0.25">
      <c r="A917" s="42" t="s">
        <v>491</v>
      </c>
      <c r="B917" s="49"/>
      <c r="C917" s="43"/>
      <c r="D917" s="43"/>
      <c r="E917" s="43"/>
      <c r="F917" s="43"/>
      <c r="G917" s="43"/>
      <c r="H917" s="114"/>
      <c r="I917" s="60"/>
      <c r="J917" s="60"/>
      <c r="K917" s="114"/>
      <c r="L917" s="114"/>
      <c r="M917" s="60"/>
      <c r="N917" s="60"/>
      <c r="O917" s="114"/>
      <c r="P917" s="114"/>
      <c r="Q917" s="114"/>
      <c r="R917" s="114"/>
      <c r="S917" s="114"/>
      <c r="T917" s="114"/>
      <c r="U917" s="114"/>
      <c r="V917" s="114"/>
      <c r="W917" s="114"/>
      <c r="X917" s="114"/>
      <c r="Y917" s="114"/>
      <c r="Z917" s="114"/>
    </row>
    <row r="918" spans="1:26" ht="15.75" customHeight="1" x14ac:dyDescent="0.25">
      <c r="A918" s="17" t="s">
        <v>627</v>
      </c>
      <c r="B918" s="41"/>
      <c r="C918" s="41"/>
      <c r="D918" s="41"/>
      <c r="E918" s="20"/>
      <c r="F918" s="120"/>
      <c r="G918" s="49"/>
      <c r="H918" s="114"/>
      <c r="I918" s="60"/>
      <c r="J918" s="60"/>
      <c r="K918" s="114"/>
      <c r="L918" s="114"/>
      <c r="M918" s="60"/>
      <c r="N918" s="60"/>
      <c r="O918" s="114"/>
      <c r="P918" s="114"/>
      <c r="Q918" s="114"/>
      <c r="R918" s="114"/>
      <c r="S918" s="114"/>
      <c r="T918" s="114"/>
      <c r="U918" s="114"/>
      <c r="V918" s="114"/>
      <c r="W918" s="114"/>
      <c r="X918" s="114"/>
      <c r="Y918" s="114"/>
      <c r="Z918" s="114"/>
    </row>
    <row r="919" spans="1:26" ht="15.75" customHeight="1" x14ac:dyDescent="0.25">
      <c r="A919" s="44" t="s">
        <v>393</v>
      </c>
      <c r="B919" s="41" t="s">
        <v>187</v>
      </c>
      <c r="C919" s="43">
        <v>12429.16</v>
      </c>
      <c r="D919" s="43">
        <v>0</v>
      </c>
      <c r="E919" s="43">
        <f>F919-D919</f>
        <v>80000</v>
      </c>
      <c r="F919" s="43">
        <v>80000</v>
      </c>
      <c r="G919" s="43">
        <v>80000</v>
      </c>
      <c r="H919" s="114"/>
      <c r="I919" s="60"/>
      <c r="J919" s="60"/>
      <c r="K919" s="114"/>
      <c r="L919" s="114"/>
      <c r="M919" s="60"/>
      <c r="N919" s="60"/>
      <c r="O919" s="114"/>
      <c r="P919" s="114"/>
      <c r="Q919" s="114"/>
      <c r="R919" s="114"/>
      <c r="S919" s="114"/>
      <c r="T919" s="114"/>
      <c r="U919" s="114"/>
      <c r="V919" s="114"/>
      <c r="W919" s="114"/>
      <c r="X919" s="114"/>
      <c r="Y919" s="114"/>
      <c r="Z919" s="114"/>
    </row>
    <row r="920" spans="1:26" ht="15.75" customHeight="1" x14ac:dyDescent="0.25">
      <c r="A920" s="17" t="s">
        <v>499</v>
      </c>
      <c r="B920" s="41"/>
      <c r="C920" s="43"/>
      <c r="D920" s="43"/>
      <c r="E920" s="43"/>
      <c r="F920" s="43"/>
      <c r="G920" s="43"/>
      <c r="H920" s="114"/>
      <c r="I920" s="60"/>
      <c r="J920" s="60"/>
      <c r="K920" s="114"/>
      <c r="L920" s="114"/>
      <c r="M920" s="60"/>
      <c r="N920" s="60"/>
      <c r="O920" s="114"/>
      <c r="P920" s="114"/>
      <c r="Q920" s="114"/>
      <c r="R920" s="114"/>
      <c r="S920" s="114"/>
      <c r="T920" s="114"/>
      <c r="U920" s="114"/>
      <c r="V920" s="114"/>
      <c r="W920" s="114"/>
      <c r="X920" s="114"/>
      <c r="Y920" s="114"/>
      <c r="Z920" s="114"/>
    </row>
    <row r="921" spans="1:26" ht="15.75" customHeight="1" x14ac:dyDescent="0.25">
      <c r="A921" s="44" t="s">
        <v>398</v>
      </c>
      <c r="B921" s="41" t="s">
        <v>195</v>
      </c>
      <c r="C921" s="43">
        <v>192155.53</v>
      </c>
      <c r="D921" s="43">
        <v>94943.39</v>
      </c>
      <c r="E921" s="43">
        <f>F921-D921</f>
        <v>95256.61</v>
      </c>
      <c r="F921" s="43">
        <v>190200</v>
      </c>
      <c r="G921" s="43">
        <v>125470</v>
      </c>
      <c r="H921" s="114"/>
      <c r="I921" s="60"/>
      <c r="J921" s="60"/>
      <c r="K921" s="114"/>
      <c r="L921" s="114"/>
      <c r="M921" s="60"/>
      <c r="N921" s="60"/>
      <c r="O921" s="114"/>
      <c r="P921" s="114"/>
      <c r="Q921" s="114"/>
      <c r="R921" s="114"/>
      <c r="S921" s="114"/>
      <c r="T921" s="114"/>
      <c r="U921" s="114"/>
      <c r="V921" s="114"/>
      <c r="W921" s="114"/>
      <c r="X921" s="114"/>
      <c r="Y921" s="114"/>
      <c r="Z921" s="114"/>
    </row>
    <row r="922" spans="1:26" ht="15.75" customHeight="1" x14ac:dyDescent="0.25">
      <c r="A922" s="96" t="s">
        <v>400</v>
      </c>
      <c r="B922" s="41" t="s">
        <v>221</v>
      </c>
      <c r="C922" s="43">
        <v>0</v>
      </c>
      <c r="D922" s="43">
        <v>0</v>
      </c>
      <c r="E922" s="43">
        <v>0</v>
      </c>
      <c r="F922" s="91">
        <v>0</v>
      </c>
      <c r="G922" s="43">
        <v>1150</v>
      </c>
      <c r="H922" s="114"/>
      <c r="I922" s="60"/>
      <c r="J922" s="60"/>
      <c r="K922" s="114"/>
      <c r="L922" s="114"/>
      <c r="M922" s="60"/>
      <c r="N922" s="60"/>
      <c r="O922" s="114"/>
      <c r="P922" s="114"/>
      <c r="Q922" s="114"/>
      <c r="R922" s="114"/>
      <c r="S922" s="114"/>
      <c r="T922" s="114"/>
      <c r="U922" s="114"/>
      <c r="V922" s="114"/>
      <c r="W922" s="114"/>
      <c r="X922" s="114"/>
      <c r="Y922" s="114"/>
      <c r="Z922" s="114"/>
    </row>
    <row r="923" spans="1:26" ht="15.75" customHeight="1" x14ac:dyDescent="0.25">
      <c r="A923" s="44" t="s">
        <v>402</v>
      </c>
      <c r="B923" s="41" t="s">
        <v>225</v>
      </c>
      <c r="C923" s="43">
        <v>58508.4</v>
      </c>
      <c r="D923" s="43">
        <f>23677.68</f>
        <v>23677.68</v>
      </c>
      <c r="E923" s="43">
        <f t="shared" ref="E923" si="155">F923-D923</f>
        <v>23915.32</v>
      </c>
      <c r="F923" s="43">
        <v>47593</v>
      </c>
      <c r="G923" s="43">
        <v>37783</v>
      </c>
      <c r="H923" s="114"/>
      <c r="I923" s="60"/>
      <c r="J923" s="60"/>
      <c r="K923" s="114"/>
      <c r="L923" s="114"/>
      <c r="M923" s="60"/>
      <c r="N923" s="60"/>
      <c r="O923" s="114"/>
      <c r="P923" s="114"/>
      <c r="Q923" s="114"/>
      <c r="R923" s="114"/>
      <c r="S923" s="114"/>
      <c r="T923" s="114"/>
      <c r="U923" s="114"/>
      <c r="V923" s="114"/>
      <c r="W923" s="114"/>
      <c r="X923" s="114"/>
      <c r="Y923" s="114"/>
      <c r="Z923" s="114"/>
    </row>
    <row r="924" spans="1:26" ht="15.75" customHeight="1" x14ac:dyDescent="0.25">
      <c r="A924" s="17" t="s">
        <v>424</v>
      </c>
      <c r="B924" s="41"/>
      <c r="C924" s="43"/>
      <c r="D924" s="43"/>
      <c r="E924" s="43"/>
      <c r="F924" s="43"/>
      <c r="G924" s="43"/>
      <c r="H924" s="114"/>
      <c r="I924" s="60"/>
      <c r="J924" s="60"/>
      <c r="K924" s="114"/>
      <c r="L924" s="114"/>
      <c r="M924" s="60"/>
      <c r="N924" s="60"/>
      <c r="O924" s="114"/>
      <c r="P924" s="114"/>
      <c r="Q924" s="114"/>
      <c r="R924" s="114"/>
      <c r="S924" s="114"/>
      <c r="T924" s="114"/>
      <c r="U924" s="114"/>
      <c r="V924" s="114"/>
      <c r="W924" s="114"/>
      <c r="X924" s="114"/>
      <c r="Y924" s="114"/>
      <c r="Z924" s="114"/>
    </row>
    <row r="925" spans="1:26" ht="15.75" customHeight="1" x14ac:dyDescent="0.25">
      <c r="A925" s="44" t="s">
        <v>424</v>
      </c>
      <c r="B925" s="41" t="s">
        <v>335</v>
      </c>
      <c r="C925" s="43">
        <v>309718.40000000002</v>
      </c>
      <c r="D925" s="43">
        <v>144296.79999999999</v>
      </c>
      <c r="E925" s="43">
        <f>F925-D925</f>
        <v>175593.2</v>
      </c>
      <c r="F925" s="43">
        <v>319890</v>
      </c>
      <c r="G925" s="43">
        <v>980568</v>
      </c>
      <c r="H925" s="114"/>
      <c r="I925" s="60"/>
      <c r="J925" s="60"/>
      <c r="K925" s="114"/>
      <c r="L925" s="114"/>
      <c r="M925" s="60"/>
      <c r="N925" s="60"/>
      <c r="O925" s="114"/>
      <c r="P925" s="114"/>
      <c r="Q925" s="114"/>
      <c r="R925" s="114"/>
      <c r="S925" s="114"/>
      <c r="T925" s="114"/>
      <c r="U925" s="114"/>
      <c r="V925" s="114"/>
      <c r="W925" s="114"/>
      <c r="X925" s="114"/>
      <c r="Y925" s="114"/>
      <c r="Z925" s="114"/>
    </row>
    <row r="926" spans="1:26" ht="15.75" customHeight="1" x14ac:dyDescent="0.25">
      <c r="A926" s="44" t="s">
        <v>1020</v>
      </c>
      <c r="B926" s="41"/>
      <c r="C926" s="43"/>
      <c r="D926" s="43"/>
      <c r="E926" s="43"/>
      <c r="F926" s="43"/>
      <c r="G926" s="43"/>
      <c r="H926" s="114"/>
      <c r="I926" s="60"/>
      <c r="J926" s="60"/>
      <c r="K926" s="114"/>
      <c r="L926" s="114"/>
      <c r="M926" s="60">
        <v>114000</v>
      </c>
      <c r="N926" s="60"/>
      <c r="O926" s="114"/>
      <c r="P926" s="114"/>
      <c r="Q926" s="114"/>
      <c r="R926" s="114"/>
      <c r="S926" s="114"/>
      <c r="T926" s="114"/>
      <c r="U926" s="114"/>
      <c r="V926" s="114"/>
      <c r="W926" s="114"/>
      <c r="X926" s="114"/>
      <c r="Y926" s="114"/>
      <c r="Z926" s="114"/>
    </row>
    <row r="927" spans="1:26" ht="47.25" x14ac:dyDescent="0.25">
      <c r="A927" s="118" t="s">
        <v>1021</v>
      </c>
      <c r="B927" s="41"/>
      <c r="C927" s="43"/>
      <c r="D927" s="43"/>
      <c r="E927" s="43"/>
      <c r="F927" s="43"/>
      <c r="G927" s="43"/>
      <c r="H927" s="114"/>
      <c r="I927" s="60"/>
      <c r="J927" s="60"/>
      <c r="K927" s="114"/>
      <c r="L927" s="114"/>
      <c r="M927" s="60">
        <v>138600</v>
      </c>
      <c r="N927" s="60"/>
      <c r="O927" s="114"/>
      <c r="P927" s="114"/>
      <c r="Q927" s="114"/>
      <c r="R927" s="114"/>
      <c r="S927" s="114"/>
      <c r="T927" s="114"/>
      <c r="U927" s="114"/>
      <c r="V927" s="114"/>
      <c r="W927" s="114"/>
      <c r="X927" s="114"/>
      <c r="Y927" s="114"/>
      <c r="Z927" s="114"/>
    </row>
    <row r="928" spans="1:26" ht="31.5" x14ac:dyDescent="0.25">
      <c r="A928" s="118" t="s">
        <v>2708</v>
      </c>
      <c r="B928" s="41"/>
      <c r="C928" s="43"/>
      <c r="D928" s="43"/>
      <c r="E928" s="43"/>
      <c r="F928" s="43"/>
      <c r="G928" s="43"/>
      <c r="H928" s="114"/>
      <c r="I928" s="60"/>
      <c r="J928" s="60"/>
      <c r="K928" s="114"/>
      <c r="L928" s="114"/>
      <c r="M928" s="60">
        <v>94632</v>
      </c>
      <c r="N928" s="60"/>
      <c r="O928" s="114"/>
      <c r="P928" s="114"/>
      <c r="Q928" s="114"/>
      <c r="R928" s="114"/>
      <c r="S928" s="114"/>
      <c r="T928" s="114"/>
      <c r="U928" s="114"/>
      <c r="V928" s="114"/>
      <c r="W928" s="114"/>
      <c r="X928" s="114"/>
      <c r="Y928" s="114"/>
      <c r="Z928" s="114"/>
    </row>
    <row r="929" spans="1:26" ht="15.75" customHeight="1" x14ac:dyDescent="0.25">
      <c r="A929" s="44" t="s">
        <v>864</v>
      </c>
      <c r="B929" s="41"/>
      <c r="C929" s="43"/>
      <c r="D929" s="43"/>
      <c r="E929" s="43"/>
      <c r="F929" s="43"/>
      <c r="G929" s="43"/>
      <c r="H929" s="114"/>
      <c r="I929" s="210" t="s">
        <v>877</v>
      </c>
      <c r="J929" s="211" t="s">
        <v>878</v>
      </c>
      <c r="K929" s="210" t="s">
        <v>879</v>
      </c>
      <c r="L929" s="8" t="s">
        <v>880</v>
      </c>
      <c r="M929" s="210" t="s">
        <v>881</v>
      </c>
      <c r="N929" s="60"/>
      <c r="O929" s="114"/>
      <c r="P929" s="114"/>
      <c r="Q929" s="114"/>
      <c r="R929" s="114"/>
      <c r="S929" s="114"/>
      <c r="T929" s="114"/>
      <c r="U929" s="114"/>
      <c r="V929" s="114"/>
      <c r="W929" s="114"/>
      <c r="X929" s="114"/>
      <c r="Y929" s="114"/>
      <c r="Z929" s="114"/>
    </row>
    <row r="930" spans="1:26" ht="31.5" x14ac:dyDescent="0.25">
      <c r="A930" s="118" t="s">
        <v>2705</v>
      </c>
      <c r="B930" s="437"/>
      <c r="C930" s="438"/>
      <c r="D930" s="438"/>
      <c r="E930" s="438"/>
      <c r="F930" s="438"/>
      <c r="G930" s="438"/>
      <c r="H930" s="114"/>
      <c r="I930" s="210"/>
      <c r="J930" s="211"/>
      <c r="K930" s="210"/>
      <c r="L930" s="8"/>
      <c r="M930" s="210">
        <f>914*264</f>
        <v>241296</v>
      </c>
      <c r="N930" s="60"/>
      <c r="O930" s="114"/>
      <c r="P930" s="114"/>
      <c r="Q930" s="114"/>
      <c r="R930" s="114"/>
      <c r="S930" s="114"/>
      <c r="T930" s="114"/>
      <c r="U930" s="114"/>
      <c r="V930" s="114"/>
      <c r="W930" s="114"/>
      <c r="X930" s="114"/>
      <c r="Y930" s="114"/>
      <c r="Z930" s="114"/>
    </row>
    <row r="931" spans="1:26" ht="31.5" x14ac:dyDescent="0.25">
      <c r="A931" s="118" t="s">
        <v>2706</v>
      </c>
      <c r="B931" s="437"/>
      <c r="C931" s="438"/>
      <c r="D931" s="438"/>
      <c r="E931" s="438"/>
      <c r="F931" s="438"/>
      <c r="G931" s="438"/>
      <c r="H931" s="114"/>
      <c r="I931" s="210"/>
      <c r="J931" s="211"/>
      <c r="K931" s="210"/>
      <c r="L931" s="8"/>
      <c r="M931" s="210">
        <f>765*264</f>
        <v>201960</v>
      </c>
      <c r="N931" s="60"/>
      <c r="O931" s="114"/>
      <c r="P931" s="114"/>
      <c r="Q931" s="114"/>
      <c r="R931" s="114"/>
      <c r="S931" s="114"/>
      <c r="T931" s="114"/>
      <c r="U931" s="114"/>
      <c r="V931" s="114"/>
      <c r="W931" s="114"/>
      <c r="X931" s="114"/>
      <c r="Y931" s="114"/>
      <c r="Z931" s="114"/>
    </row>
    <row r="932" spans="1:26" ht="31.5" x14ac:dyDescent="0.25">
      <c r="A932" s="118" t="s">
        <v>2707</v>
      </c>
      <c r="B932" s="41"/>
      <c r="C932" s="43"/>
      <c r="D932" s="43"/>
      <c r="E932" s="43"/>
      <c r="F932" s="43"/>
      <c r="G932" s="43"/>
      <c r="H932" s="114"/>
      <c r="I932" s="60">
        <v>678</v>
      </c>
      <c r="J932" s="211">
        <v>2</v>
      </c>
      <c r="K932" s="8">
        <v>22</v>
      </c>
      <c r="L932" s="8">
        <v>12</v>
      </c>
      <c r="M932" s="60">
        <f>264*720</f>
        <v>190080</v>
      </c>
      <c r="N932" s="60">
        <f>M926+M927+M928+M932</f>
        <v>537312</v>
      </c>
      <c r="O932" s="114"/>
      <c r="P932" s="114"/>
      <c r="Q932" s="114"/>
      <c r="R932" s="114"/>
      <c r="S932" s="114"/>
      <c r="T932" s="114"/>
      <c r="U932" s="114"/>
      <c r="V932" s="114"/>
      <c r="W932" s="114"/>
      <c r="X932" s="114"/>
      <c r="Y932" s="114"/>
      <c r="Z932" s="114"/>
    </row>
    <row r="933" spans="1:26" ht="15.75" customHeight="1" x14ac:dyDescent="0.25">
      <c r="A933" s="42" t="s">
        <v>466</v>
      </c>
      <c r="B933" s="41"/>
      <c r="C933" s="54">
        <f>SUM(C919:C925)</f>
        <v>572811.49</v>
      </c>
      <c r="D933" s="54">
        <f>SUM(D919:D925)</f>
        <v>262917.87</v>
      </c>
      <c r="E933" s="54">
        <f>F933-D933</f>
        <v>374765.13</v>
      </c>
      <c r="F933" s="54">
        <f>SUM(F919:F925)</f>
        <v>637683</v>
      </c>
      <c r="G933" s="54">
        <f>SUM(G919:G932)</f>
        <v>1224971</v>
      </c>
      <c r="H933" s="114"/>
      <c r="I933" s="60"/>
      <c r="J933" s="60"/>
      <c r="K933" s="114"/>
      <c r="L933" s="114"/>
      <c r="M933" s="60"/>
      <c r="N933" s="60"/>
      <c r="O933" s="114"/>
      <c r="P933" s="114"/>
      <c r="Q933" s="114"/>
      <c r="R933" s="114"/>
      <c r="S933" s="114"/>
      <c r="T933" s="114"/>
      <c r="U933" s="114"/>
      <c r="V933" s="114"/>
      <c r="W933" s="114"/>
      <c r="X933" s="114"/>
      <c r="Y933" s="114"/>
      <c r="Z933" s="114"/>
    </row>
    <row r="934" spans="1:26" ht="15.75" customHeight="1" x14ac:dyDescent="0.25">
      <c r="A934" s="17"/>
      <c r="B934" s="41"/>
      <c r="C934" s="43"/>
      <c r="D934" s="43"/>
      <c r="E934" s="43"/>
      <c r="F934" s="43"/>
      <c r="G934" s="43"/>
      <c r="H934" s="114"/>
      <c r="I934" s="60"/>
      <c r="J934" s="60"/>
      <c r="K934" s="114"/>
      <c r="L934" s="114"/>
      <c r="M934" s="60"/>
      <c r="N934" s="60"/>
      <c r="O934" s="114"/>
      <c r="P934" s="114"/>
      <c r="Q934" s="114"/>
      <c r="R934" s="114"/>
      <c r="S934" s="114"/>
      <c r="T934" s="114"/>
      <c r="U934" s="114"/>
      <c r="V934" s="114"/>
      <c r="W934" s="114"/>
      <c r="X934" s="114"/>
      <c r="Y934" s="114"/>
      <c r="Z934" s="114"/>
    </row>
    <row r="935" spans="1:26" ht="15.75" customHeight="1" x14ac:dyDescent="0.25">
      <c r="A935" s="456" t="s">
        <v>467</v>
      </c>
      <c r="B935" s="454"/>
      <c r="C935" s="443">
        <f t="shared" ref="C935:D935" si="156">C933</f>
        <v>572811.49</v>
      </c>
      <c r="D935" s="443">
        <f t="shared" si="156"/>
        <v>262917.87</v>
      </c>
      <c r="E935" s="443">
        <f>F935-D935</f>
        <v>374765.13</v>
      </c>
      <c r="F935" s="443">
        <f t="shared" ref="F935:G935" si="157">F933</f>
        <v>637683</v>
      </c>
      <c r="G935" s="462">
        <f t="shared" si="157"/>
        <v>1224971</v>
      </c>
      <c r="H935" s="114"/>
      <c r="I935" s="60"/>
      <c r="J935" s="60"/>
      <c r="K935" s="114"/>
      <c r="L935" s="114"/>
      <c r="M935" s="60"/>
      <c r="N935" s="60"/>
      <c r="O935" s="114"/>
      <c r="P935" s="114"/>
      <c r="Q935" s="114"/>
      <c r="R935" s="114"/>
      <c r="S935" s="114"/>
      <c r="T935" s="114"/>
      <c r="U935" s="114"/>
      <c r="V935" s="114"/>
      <c r="W935" s="114"/>
      <c r="X935" s="114"/>
      <c r="Y935" s="114"/>
      <c r="Z935" s="114"/>
    </row>
    <row r="936" spans="1:26" ht="15.75" customHeight="1" x14ac:dyDescent="0.25">
      <c r="A936" s="456"/>
      <c r="B936" s="454"/>
      <c r="C936" s="443"/>
      <c r="D936" s="443"/>
      <c r="E936" s="443"/>
      <c r="F936" s="443"/>
      <c r="G936" s="462"/>
      <c r="H936" s="114"/>
      <c r="I936" s="60"/>
      <c r="J936" s="60"/>
      <c r="K936" s="114"/>
      <c r="L936" s="114"/>
      <c r="M936" s="60"/>
      <c r="N936" s="60"/>
      <c r="O936" s="114"/>
      <c r="P936" s="114"/>
      <c r="Q936" s="114"/>
      <c r="R936" s="114"/>
      <c r="S936" s="114"/>
      <c r="T936" s="114"/>
      <c r="U936" s="114"/>
      <c r="V936" s="114"/>
      <c r="W936" s="114"/>
      <c r="X936" s="114"/>
      <c r="Y936" s="114"/>
      <c r="Z936" s="114"/>
    </row>
    <row r="937" spans="1:26" ht="15.75" customHeight="1" x14ac:dyDescent="0.25">
      <c r="A937" s="482" t="s">
        <v>487</v>
      </c>
      <c r="B937" s="483" t="s">
        <v>488</v>
      </c>
      <c r="C937" s="457">
        <f t="shared" ref="C937:D937" si="158">C935</f>
        <v>572811.49</v>
      </c>
      <c r="D937" s="457">
        <f t="shared" si="158"/>
        <v>262917.87</v>
      </c>
      <c r="E937" s="457">
        <f>F937-D937</f>
        <v>374765.13</v>
      </c>
      <c r="F937" s="457">
        <f t="shared" ref="F937:G937" si="159">F935</f>
        <v>637683</v>
      </c>
      <c r="G937" s="569">
        <f t="shared" si="159"/>
        <v>1224971</v>
      </c>
      <c r="H937" s="114"/>
      <c r="I937" s="60"/>
      <c r="J937" s="60"/>
      <c r="K937" s="114"/>
      <c r="L937" s="114"/>
      <c r="M937" s="60"/>
      <c r="N937" s="60"/>
      <c r="O937" s="114"/>
      <c r="P937" s="114"/>
      <c r="Q937" s="114"/>
      <c r="R937" s="114"/>
      <c r="S937" s="114"/>
      <c r="T937" s="114"/>
      <c r="U937" s="114"/>
      <c r="V937" s="114"/>
      <c r="W937" s="114"/>
      <c r="X937" s="114"/>
      <c r="Y937" s="114"/>
      <c r="Z937" s="114"/>
    </row>
    <row r="938" spans="1:26" ht="15.75" customHeight="1" x14ac:dyDescent="0.25">
      <c r="A938" s="24"/>
      <c r="B938" s="25"/>
      <c r="C938" s="26"/>
      <c r="D938" s="26"/>
      <c r="E938" s="26"/>
      <c r="F938" s="26"/>
      <c r="G938" s="26"/>
      <c r="H938" s="114"/>
      <c r="I938" s="60"/>
      <c r="J938" s="60"/>
      <c r="K938" s="114"/>
      <c r="L938" s="114"/>
      <c r="M938" s="60"/>
      <c r="N938" s="60"/>
      <c r="O938" s="114"/>
      <c r="P938" s="114"/>
      <c r="Q938" s="114"/>
      <c r="R938" s="114"/>
      <c r="S938" s="114"/>
      <c r="T938" s="114"/>
      <c r="U938" s="114"/>
      <c r="V938" s="114"/>
      <c r="W938" s="114"/>
      <c r="X938" s="114"/>
      <c r="Y938" s="114"/>
      <c r="Z938" s="114"/>
    </row>
    <row r="939" spans="1:26" ht="15.75" customHeight="1" x14ac:dyDescent="0.25">
      <c r="A939" s="24"/>
      <c r="B939" s="25"/>
      <c r="C939" s="24"/>
      <c r="D939" s="24"/>
      <c r="E939" s="24"/>
      <c r="F939" s="15"/>
      <c r="G939" s="15"/>
      <c r="H939" s="15"/>
      <c r="I939" s="16"/>
      <c r="J939" s="16"/>
      <c r="K939" s="15"/>
      <c r="L939" s="15"/>
      <c r="M939" s="16"/>
      <c r="N939" s="16"/>
      <c r="O939" s="15"/>
      <c r="P939" s="15"/>
      <c r="Q939" s="15"/>
      <c r="R939" s="15"/>
      <c r="S939" s="15"/>
      <c r="T939" s="15"/>
      <c r="U939" s="15"/>
      <c r="V939" s="15"/>
      <c r="W939" s="15"/>
      <c r="X939" s="15"/>
      <c r="Y939" s="15"/>
      <c r="Z939" s="15"/>
    </row>
    <row r="940" spans="1:26" ht="15.75" customHeight="1" x14ac:dyDescent="0.25">
      <c r="A940" s="9" t="s">
        <v>488</v>
      </c>
      <c r="B940" s="104"/>
      <c r="C940" s="105"/>
      <c r="D940" s="105"/>
      <c r="E940" s="105"/>
      <c r="F940" s="10"/>
      <c r="G940" s="180"/>
      <c r="H940" s="15"/>
      <c r="I940" s="16"/>
      <c r="J940" s="16"/>
      <c r="K940" s="15"/>
      <c r="L940" s="15"/>
      <c r="M940" s="16"/>
      <c r="N940" s="16"/>
      <c r="O940" s="15"/>
      <c r="P940" s="15"/>
      <c r="Q940" s="15"/>
      <c r="R940" s="15"/>
      <c r="S940" s="15"/>
      <c r="T940" s="15"/>
      <c r="U940" s="15"/>
      <c r="V940" s="15"/>
      <c r="W940" s="15"/>
      <c r="X940" s="15"/>
      <c r="Y940" s="15"/>
      <c r="Z940" s="15"/>
    </row>
    <row r="941" spans="1:26" ht="15.75" customHeight="1" x14ac:dyDescent="0.25">
      <c r="A941" s="108" t="s">
        <v>831</v>
      </c>
      <c r="B941" s="25"/>
      <c r="C941" s="26"/>
      <c r="D941" s="26"/>
      <c r="E941" s="26"/>
      <c r="F941" s="14"/>
      <c r="G941" s="181"/>
      <c r="H941" s="15"/>
      <c r="I941" s="16"/>
      <c r="J941" s="16"/>
      <c r="K941" s="15"/>
      <c r="L941" s="15"/>
      <c r="M941" s="16"/>
      <c r="N941" s="16"/>
      <c r="O941" s="15"/>
      <c r="P941" s="15"/>
      <c r="Q941" s="15"/>
      <c r="R941" s="15"/>
      <c r="S941" s="15"/>
      <c r="T941" s="15"/>
      <c r="U941" s="15"/>
      <c r="V941" s="15"/>
      <c r="W941" s="15"/>
      <c r="X941" s="15"/>
      <c r="Y941" s="15"/>
      <c r="Z941" s="15"/>
    </row>
    <row r="942" spans="1:26" ht="15.75" customHeight="1" x14ac:dyDescent="0.25">
      <c r="A942" s="44"/>
      <c r="B942" s="25"/>
      <c r="C942" s="26"/>
      <c r="D942" s="26"/>
      <c r="E942" s="26"/>
      <c r="F942" s="14"/>
      <c r="G942" s="181"/>
      <c r="H942" s="15"/>
      <c r="I942" s="16"/>
      <c r="J942" s="16"/>
      <c r="K942" s="15"/>
      <c r="L942" s="15"/>
      <c r="M942" s="16"/>
      <c r="N942" s="16"/>
      <c r="O942" s="15"/>
      <c r="P942" s="15"/>
      <c r="Q942" s="15"/>
      <c r="R942" s="15"/>
      <c r="S942" s="15"/>
      <c r="T942" s="15"/>
      <c r="U942" s="15"/>
      <c r="V942" s="15"/>
      <c r="W942" s="15"/>
      <c r="X942" s="15"/>
      <c r="Y942" s="15"/>
      <c r="Z942" s="15"/>
    </row>
    <row r="943" spans="1:26" ht="15.75" customHeight="1" x14ac:dyDescent="0.25">
      <c r="A943" s="865" t="s">
        <v>352</v>
      </c>
      <c r="B943" s="866"/>
      <c r="C943" s="866"/>
      <c r="D943" s="866"/>
      <c r="E943" s="866"/>
      <c r="F943" s="866"/>
      <c r="G943" s="867"/>
      <c r="H943" s="15"/>
      <c r="I943" s="16"/>
      <c r="J943" s="16"/>
      <c r="K943" s="15"/>
      <c r="L943" s="15"/>
      <c r="M943" s="16"/>
      <c r="N943" s="16"/>
      <c r="O943" s="15"/>
      <c r="P943" s="15"/>
      <c r="Q943" s="15"/>
      <c r="R943" s="15"/>
      <c r="S943" s="15"/>
      <c r="T943" s="15"/>
      <c r="U943" s="15"/>
      <c r="V943" s="15"/>
      <c r="W943" s="15"/>
      <c r="X943" s="15"/>
      <c r="Y943" s="15"/>
      <c r="Z943" s="15"/>
    </row>
    <row r="944" spans="1:26" ht="15.75" customHeight="1" x14ac:dyDescent="0.25">
      <c r="A944" s="868" t="s">
        <v>353</v>
      </c>
      <c r="B944" s="857" t="s">
        <v>354</v>
      </c>
      <c r="C944" s="870" t="s">
        <v>355</v>
      </c>
      <c r="D944" s="872" t="s">
        <v>356</v>
      </c>
      <c r="E944" s="873"/>
      <c r="F944" s="874"/>
      <c r="G944" s="857" t="s">
        <v>357</v>
      </c>
      <c r="H944" s="15"/>
      <c r="I944" s="16"/>
      <c r="J944" s="16"/>
      <c r="K944" s="15"/>
      <c r="L944" s="15"/>
      <c r="M944" s="16"/>
      <c r="N944" s="16"/>
      <c r="O944" s="15"/>
      <c r="P944" s="15"/>
      <c r="Q944" s="15"/>
      <c r="R944" s="15"/>
      <c r="S944" s="15"/>
      <c r="T944" s="15"/>
      <c r="U944" s="15"/>
      <c r="V944" s="15"/>
      <c r="W944" s="15"/>
      <c r="X944" s="15"/>
      <c r="Y944" s="15"/>
      <c r="Z944" s="15"/>
    </row>
    <row r="945" spans="1:26" ht="15.75" customHeight="1" x14ac:dyDescent="0.25">
      <c r="A945" s="858"/>
      <c r="B945" s="858"/>
      <c r="C945" s="871"/>
      <c r="D945" s="28" t="s">
        <v>358</v>
      </c>
      <c r="E945" s="29" t="s">
        <v>359</v>
      </c>
      <c r="F945" s="875" t="s">
        <v>360</v>
      </c>
      <c r="G945" s="858"/>
      <c r="H945" s="15"/>
      <c r="I945" s="16"/>
      <c r="J945" s="16"/>
      <c r="K945" s="15"/>
      <c r="L945" s="15"/>
      <c r="M945" s="16"/>
      <c r="N945" s="16"/>
      <c r="O945" s="15"/>
      <c r="P945" s="15"/>
      <c r="Q945" s="15"/>
      <c r="R945" s="15"/>
      <c r="S945" s="15"/>
      <c r="T945" s="15"/>
      <c r="U945" s="15"/>
      <c r="V945" s="15"/>
      <c r="W945" s="15"/>
      <c r="X945" s="15"/>
      <c r="Y945" s="15"/>
      <c r="Z945" s="15"/>
    </row>
    <row r="946" spans="1:26" ht="15.75" customHeight="1" x14ac:dyDescent="0.25">
      <c r="A946" s="858"/>
      <c r="B946" s="858"/>
      <c r="C946" s="30" t="s">
        <v>361</v>
      </c>
      <c r="D946" s="31" t="s">
        <v>361</v>
      </c>
      <c r="E946" s="32" t="s">
        <v>362</v>
      </c>
      <c r="F946" s="860"/>
      <c r="G946" s="442" t="s">
        <v>2717</v>
      </c>
      <c r="H946" s="15"/>
      <c r="I946" s="16"/>
      <c r="J946" s="16"/>
      <c r="K946" s="15"/>
      <c r="L946" s="15"/>
      <c r="M946" s="16"/>
      <c r="N946" s="16"/>
      <c r="O946" s="15"/>
      <c r="P946" s="15"/>
      <c r="Q946" s="15"/>
      <c r="R946" s="15"/>
      <c r="S946" s="15"/>
      <c r="T946" s="15"/>
      <c r="U946" s="15"/>
      <c r="V946" s="15"/>
      <c r="W946" s="15"/>
      <c r="X946" s="15"/>
      <c r="Y946" s="15"/>
      <c r="Z946" s="15"/>
    </row>
    <row r="947" spans="1:26" ht="15.75" customHeight="1" x14ac:dyDescent="0.25">
      <c r="A947" s="869"/>
      <c r="B947" s="869"/>
      <c r="C947" s="33">
        <v>2024</v>
      </c>
      <c r="D947" s="34">
        <v>2025</v>
      </c>
      <c r="E947" s="35">
        <v>2025</v>
      </c>
      <c r="F947" s="34">
        <v>2025</v>
      </c>
      <c r="G947" s="36" t="s">
        <v>2668</v>
      </c>
      <c r="H947" s="15"/>
      <c r="I947" s="16"/>
      <c r="J947" s="16"/>
      <c r="K947" s="14">
        <v>1350971</v>
      </c>
      <c r="L947" s="15"/>
      <c r="M947" s="16"/>
      <c r="N947" s="16"/>
      <c r="O947" s="15"/>
      <c r="P947" s="15"/>
      <c r="Q947" s="15"/>
      <c r="R947" s="15"/>
      <c r="S947" s="15"/>
      <c r="T947" s="15"/>
      <c r="U947" s="15"/>
      <c r="V947" s="15"/>
      <c r="W947" s="15"/>
      <c r="X947" s="15"/>
      <c r="Y947" s="15"/>
      <c r="Z947" s="15"/>
    </row>
    <row r="948" spans="1:26" ht="15.75" customHeight="1" x14ac:dyDescent="0.25">
      <c r="A948" s="9" t="s">
        <v>364</v>
      </c>
      <c r="B948" s="38"/>
      <c r="C948" s="42"/>
      <c r="D948" s="42"/>
      <c r="E948" s="42"/>
      <c r="F948" s="42"/>
      <c r="G948" s="37"/>
      <c r="H948" s="114"/>
      <c r="I948" s="60"/>
      <c r="J948" s="60"/>
      <c r="K948" s="7">
        <f>+G960+G937</f>
        <v>1350971</v>
      </c>
      <c r="L948" s="114"/>
      <c r="M948" s="60"/>
      <c r="N948" s="60"/>
      <c r="O948" s="114"/>
      <c r="P948" s="114"/>
      <c r="Q948" s="114"/>
      <c r="R948" s="114"/>
      <c r="S948" s="114"/>
      <c r="T948" s="114"/>
      <c r="U948" s="114"/>
      <c r="V948" s="114"/>
      <c r="W948" s="114"/>
      <c r="X948" s="114"/>
      <c r="Y948" s="114"/>
      <c r="Z948" s="114"/>
    </row>
    <row r="949" spans="1:26" ht="15.75" customHeight="1" x14ac:dyDescent="0.25">
      <c r="A949" s="42" t="s">
        <v>491</v>
      </c>
      <c r="B949" s="49"/>
      <c r="C949" s="43"/>
      <c r="D949" s="43"/>
      <c r="E949" s="43"/>
      <c r="F949" s="43"/>
      <c r="G949" s="43"/>
      <c r="H949" s="114"/>
      <c r="I949" s="60"/>
      <c r="J949" s="60"/>
      <c r="K949" s="114"/>
      <c r="L949" s="114"/>
      <c r="M949" s="60"/>
      <c r="N949" s="60"/>
      <c r="O949" s="114"/>
      <c r="P949" s="114"/>
      <c r="Q949" s="114"/>
      <c r="R949" s="114"/>
      <c r="S949" s="114"/>
      <c r="T949" s="114"/>
      <c r="U949" s="114"/>
      <c r="V949" s="114"/>
      <c r="W949" s="114"/>
      <c r="X949" s="114"/>
      <c r="Y949" s="114"/>
      <c r="Z949" s="114"/>
    </row>
    <row r="950" spans="1:26" ht="15.75" customHeight="1" x14ac:dyDescent="0.25">
      <c r="A950" s="17" t="s">
        <v>493</v>
      </c>
      <c r="B950" s="41"/>
      <c r="C950" s="43"/>
      <c r="D950" s="43"/>
      <c r="E950" s="43"/>
      <c r="F950" s="43"/>
      <c r="G950" s="43"/>
      <c r="H950" s="114"/>
      <c r="I950" s="60"/>
      <c r="J950" s="60"/>
      <c r="K950" s="114"/>
      <c r="L950" s="114"/>
      <c r="M950" s="60"/>
      <c r="N950" s="60"/>
      <c r="O950" s="114"/>
      <c r="P950" s="114"/>
      <c r="Q950" s="114"/>
      <c r="R950" s="114"/>
      <c r="S950" s="114"/>
      <c r="T950" s="114"/>
      <c r="U950" s="114"/>
      <c r="V950" s="114"/>
      <c r="W950" s="114"/>
      <c r="X950" s="114"/>
      <c r="Y950" s="114"/>
      <c r="Z950" s="114"/>
    </row>
    <row r="951" spans="1:26" ht="15.75" customHeight="1" x14ac:dyDescent="0.25">
      <c r="A951" s="44" t="s">
        <v>396</v>
      </c>
      <c r="B951" s="41" t="s">
        <v>191</v>
      </c>
      <c r="C951" s="43">
        <v>0</v>
      </c>
      <c r="D951" s="43">
        <v>0</v>
      </c>
      <c r="E951" s="43">
        <v>0</v>
      </c>
      <c r="F951" s="43">
        <v>0</v>
      </c>
      <c r="G951" s="43">
        <v>123750</v>
      </c>
      <c r="H951" s="114"/>
      <c r="I951" s="60"/>
      <c r="J951" s="60"/>
      <c r="K951" s="114"/>
      <c r="L951" s="114"/>
      <c r="M951" s="60"/>
      <c r="N951" s="60"/>
      <c r="O951" s="114"/>
      <c r="P951" s="114"/>
      <c r="Q951" s="114"/>
      <c r="R951" s="114"/>
      <c r="S951" s="114"/>
      <c r="T951" s="114"/>
      <c r="U951" s="114"/>
      <c r="V951" s="114"/>
      <c r="W951" s="114"/>
      <c r="X951" s="114"/>
      <c r="Y951" s="114"/>
      <c r="Z951" s="114"/>
    </row>
    <row r="952" spans="1:26" ht="31.5" x14ac:dyDescent="0.25">
      <c r="A952" s="68" t="s">
        <v>1022</v>
      </c>
      <c r="B952" s="49"/>
      <c r="C952" s="43"/>
      <c r="D952" s="43"/>
      <c r="E952" s="43"/>
      <c r="F952" s="43"/>
      <c r="G952" s="43"/>
      <c r="H952" s="114"/>
      <c r="I952" s="60"/>
      <c r="J952" s="60"/>
      <c r="K952" s="114"/>
      <c r="L952" s="114"/>
      <c r="M952" s="60"/>
      <c r="N952" s="60"/>
      <c r="O952" s="114"/>
      <c r="P952" s="114"/>
      <c r="Q952" s="114"/>
      <c r="R952" s="114"/>
      <c r="S952" s="114"/>
      <c r="T952" s="114"/>
      <c r="U952" s="114"/>
      <c r="V952" s="114"/>
      <c r="W952" s="114"/>
      <c r="X952" s="114"/>
      <c r="Y952" s="114"/>
      <c r="Z952" s="114"/>
    </row>
    <row r="953" spans="1:26" ht="15.75" customHeight="1" x14ac:dyDescent="0.25">
      <c r="A953" s="17" t="s">
        <v>424</v>
      </c>
      <c r="B953" s="41"/>
      <c r="C953" s="43"/>
      <c r="D953" s="43"/>
      <c r="E953" s="43"/>
      <c r="F953" s="43"/>
      <c r="G953" s="43"/>
      <c r="H953" s="114"/>
      <c r="I953" s="60"/>
      <c r="J953" s="60"/>
      <c r="K953" s="114"/>
      <c r="L953" s="114"/>
      <c r="M953" s="60"/>
      <c r="N953" s="60"/>
      <c r="O953" s="114"/>
      <c r="P953" s="114"/>
      <c r="Q953" s="114"/>
      <c r="R953" s="114"/>
      <c r="S953" s="114"/>
      <c r="T953" s="114"/>
      <c r="U953" s="114"/>
      <c r="V953" s="114"/>
      <c r="W953" s="114"/>
      <c r="X953" s="114"/>
      <c r="Y953" s="114"/>
      <c r="Z953" s="114"/>
    </row>
    <row r="954" spans="1:26" ht="15.75" customHeight="1" x14ac:dyDescent="0.25">
      <c r="A954" s="44" t="s">
        <v>424</v>
      </c>
      <c r="B954" s="41" t="s">
        <v>335</v>
      </c>
      <c r="C954" s="43">
        <v>196318.3</v>
      </c>
      <c r="D954" s="43">
        <v>121838.64</v>
      </c>
      <c r="E954" s="43">
        <f>F954-D954</f>
        <v>207576.36</v>
      </c>
      <c r="F954" s="43">
        <v>329415</v>
      </c>
      <c r="G954" s="43">
        <v>2250</v>
      </c>
      <c r="H954" s="114"/>
      <c r="I954" s="60"/>
      <c r="J954" s="60"/>
      <c r="K954" s="114"/>
      <c r="L954" s="114"/>
      <c r="M954" s="60"/>
      <c r="N954" s="60"/>
      <c r="O954" s="114"/>
      <c r="P954" s="114"/>
      <c r="Q954" s="114"/>
      <c r="R954" s="114"/>
      <c r="S954" s="114"/>
      <c r="T954" s="114"/>
      <c r="U954" s="114"/>
      <c r="V954" s="114"/>
      <c r="W954" s="114"/>
      <c r="X954" s="114"/>
      <c r="Y954" s="114"/>
      <c r="Z954" s="114"/>
    </row>
    <row r="955" spans="1:26" ht="31.5" x14ac:dyDescent="0.25">
      <c r="A955" s="118" t="s">
        <v>1023</v>
      </c>
      <c r="B955" s="41"/>
      <c r="C955" s="43"/>
      <c r="D955" s="43"/>
      <c r="E955" s="43"/>
      <c r="F955" s="43"/>
      <c r="G955" s="43"/>
      <c r="H955" s="114"/>
      <c r="I955" s="60"/>
      <c r="J955" s="60"/>
      <c r="K955" s="114"/>
      <c r="L955" s="114"/>
      <c r="M955" s="60">
        <v>2250</v>
      </c>
      <c r="N955" s="60"/>
      <c r="O955" s="114"/>
      <c r="P955" s="114"/>
      <c r="Q955" s="114"/>
      <c r="R955" s="114"/>
      <c r="S955" s="114"/>
      <c r="T955" s="114"/>
      <c r="U955" s="114"/>
      <c r="V955" s="114"/>
      <c r="W955" s="114"/>
      <c r="X955" s="114"/>
      <c r="Y955" s="114"/>
      <c r="Z955" s="114"/>
    </row>
    <row r="956" spans="1:26" ht="15.75" customHeight="1" x14ac:dyDescent="0.25">
      <c r="A956" s="42" t="s">
        <v>466</v>
      </c>
      <c r="B956" s="41"/>
      <c r="C956" s="54">
        <f>SUM(C954)</f>
        <v>196318.3</v>
      </c>
      <c r="D956" s="54">
        <f>SUM(D954)</f>
        <v>121838.64</v>
      </c>
      <c r="E956" s="54">
        <f>F956-D956</f>
        <v>207576.36</v>
      </c>
      <c r="F956" s="54">
        <f>SUM(F954)</f>
        <v>329415</v>
      </c>
      <c r="G956" s="54">
        <f>SUM(G951:G955)</f>
        <v>126000</v>
      </c>
      <c r="H956" s="114"/>
      <c r="I956" s="60"/>
      <c r="J956" s="60"/>
      <c r="K956" s="114"/>
      <c r="L956" s="114"/>
      <c r="M956" s="60"/>
      <c r="N956" s="60"/>
      <c r="O956" s="114"/>
      <c r="P956" s="114"/>
      <c r="Q956" s="114"/>
      <c r="R956" s="114"/>
      <c r="S956" s="114"/>
      <c r="T956" s="114"/>
      <c r="U956" s="114"/>
      <c r="V956" s="114"/>
      <c r="W956" s="114"/>
      <c r="X956" s="114"/>
      <c r="Y956" s="114"/>
      <c r="Z956" s="114"/>
    </row>
    <row r="957" spans="1:26" ht="15.75" customHeight="1" x14ac:dyDescent="0.25">
      <c r="A957" s="17"/>
      <c r="B957" s="41"/>
      <c r="C957" s="55"/>
      <c r="D957" s="55"/>
      <c r="E957" s="43"/>
      <c r="F957" s="55"/>
      <c r="G957" s="55"/>
      <c r="H957" s="114"/>
      <c r="I957" s="60"/>
      <c r="J957" s="60"/>
      <c r="K957" s="114"/>
      <c r="L957" s="114"/>
      <c r="M957" s="60"/>
      <c r="N957" s="60"/>
      <c r="O957" s="114"/>
      <c r="P957" s="114"/>
      <c r="Q957" s="114"/>
      <c r="R957" s="114"/>
      <c r="S957" s="114"/>
      <c r="T957" s="114"/>
      <c r="U957" s="114"/>
      <c r="V957" s="114"/>
      <c r="W957" s="114"/>
      <c r="X957" s="114"/>
      <c r="Y957" s="114"/>
      <c r="Z957" s="114"/>
    </row>
    <row r="958" spans="1:26" ht="15.75" customHeight="1" x14ac:dyDescent="0.25">
      <c r="A958" s="17" t="s">
        <v>467</v>
      </c>
      <c r="B958" s="41"/>
      <c r="C958" s="43">
        <f t="shared" ref="C958:D958" si="160">C956</f>
        <v>196318.3</v>
      </c>
      <c r="D958" s="43">
        <f t="shared" si="160"/>
        <v>121838.64</v>
      </c>
      <c r="E958" s="43">
        <f>F958-D958</f>
        <v>207576.36</v>
      </c>
      <c r="F958" s="43">
        <f t="shared" ref="F958:G958" si="161">F956</f>
        <v>329415</v>
      </c>
      <c r="G958" s="43">
        <f t="shared" si="161"/>
        <v>126000</v>
      </c>
      <c r="H958" s="114"/>
      <c r="I958" s="60"/>
      <c r="J958" s="60"/>
      <c r="K958" s="114"/>
      <c r="L958" s="114"/>
      <c r="M958" s="60"/>
      <c r="N958" s="60"/>
      <c r="O958" s="114"/>
      <c r="P958" s="114"/>
      <c r="Q958" s="114"/>
      <c r="R958" s="114"/>
      <c r="S958" s="114"/>
      <c r="T958" s="114"/>
      <c r="U958" s="114"/>
      <c r="V958" s="114"/>
      <c r="W958" s="114"/>
      <c r="X958" s="114"/>
      <c r="Y958" s="114"/>
      <c r="Z958" s="114"/>
    </row>
    <row r="959" spans="1:26" ht="15.75" customHeight="1" x14ac:dyDescent="0.25">
      <c r="A959" s="17"/>
      <c r="B959" s="41"/>
      <c r="C959" s="43"/>
      <c r="D959" s="43"/>
      <c r="E959" s="43"/>
      <c r="F959" s="43"/>
      <c r="G959" s="43"/>
      <c r="H959" s="114"/>
      <c r="I959" s="60"/>
      <c r="J959" s="60"/>
      <c r="K959" s="114"/>
      <c r="L959" s="114"/>
      <c r="M959" s="60"/>
      <c r="N959" s="60"/>
      <c r="O959" s="114"/>
      <c r="P959" s="114"/>
      <c r="Q959" s="114"/>
      <c r="R959" s="114"/>
      <c r="S959" s="114"/>
      <c r="T959" s="114"/>
      <c r="U959" s="114"/>
      <c r="V959" s="114"/>
      <c r="W959" s="114"/>
      <c r="X959" s="114"/>
      <c r="Y959" s="114"/>
      <c r="Z959" s="114"/>
    </row>
    <row r="960" spans="1:26" ht="15.75" customHeight="1" x14ac:dyDescent="0.25">
      <c r="A960" s="50" t="s">
        <v>487</v>
      </c>
      <c r="B960" s="51" t="s">
        <v>488</v>
      </c>
      <c r="C960" s="54">
        <f t="shared" ref="C960:D960" si="162">C958</f>
        <v>196318.3</v>
      </c>
      <c r="D960" s="54">
        <f t="shared" si="162"/>
        <v>121838.64</v>
      </c>
      <c r="E960" s="54">
        <f>F960-D960</f>
        <v>207576.36</v>
      </c>
      <c r="F960" s="54">
        <f t="shared" ref="F960:G960" si="163">F958</f>
        <v>329415</v>
      </c>
      <c r="G960" s="54">
        <f t="shared" si="163"/>
        <v>126000</v>
      </c>
      <c r="H960" s="114"/>
      <c r="I960" s="60"/>
      <c r="J960" s="60"/>
      <c r="K960" s="114"/>
      <c r="L960" s="114"/>
      <c r="M960" s="60"/>
      <c r="N960" s="60"/>
      <c r="O960" s="114"/>
      <c r="P960" s="114"/>
      <c r="Q960" s="114"/>
      <c r="R960" s="114"/>
      <c r="S960" s="114"/>
      <c r="T960" s="114"/>
      <c r="U960" s="114"/>
      <c r="V960" s="114"/>
      <c r="W960" s="114"/>
      <c r="X960" s="114"/>
      <c r="Y960" s="114"/>
      <c r="Z960" s="114"/>
    </row>
    <row r="961" spans="1:26" ht="15.75" customHeight="1" x14ac:dyDescent="0.25">
      <c r="A961" s="24"/>
      <c r="B961" s="25"/>
      <c r="C961" s="26"/>
      <c r="D961" s="26"/>
      <c r="E961" s="26"/>
      <c r="F961" s="26"/>
      <c r="G961" s="26"/>
      <c r="H961" s="114"/>
      <c r="I961" s="60"/>
      <c r="J961" s="60"/>
      <c r="K961" s="114"/>
      <c r="L961" s="114"/>
      <c r="M961" s="60"/>
      <c r="N961" s="60"/>
      <c r="O961" s="114"/>
      <c r="P961" s="114"/>
      <c r="Q961" s="114"/>
      <c r="R961" s="114"/>
      <c r="S961" s="114"/>
      <c r="T961" s="114"/>
      <c r="U961" s="114"/>
      <c r="V961" s="114"/>
      <c r="W961" s="114"/>
      <c r="X961" s="114"/>
      <c r="Y961" s="114"/>
      <c r="Z961" s="114"/>
    </row>
    <row r="962" spans="1:26" ht="15.75" customHeight="1" x14ac:dyDescent="0.25">
      <c r="A962" s="24"/>
      <c r="B962" s="25"/>
      <c r="C962" s="24"/>
      <c r="D962" s="24"/>
      <c r="E962" s="24"/>
      <c r="F962" s="15"/>
      <c r="G962" s="15"/>
      <c r="H962" s="15"/>
      <c r="I962" s="16"/>
      <c r="J962" s="16"/>
      <c r="K962" s="15"/>
      <c r="L962" s="15"/>
      <c r="M962" s="16"/>
      <c r="N962" s="16"/>
      <c r="O962" s="15"/>
      <c r="P962" s="15"/>
      <c r="Q962" s="15"/>
      <c r="R962" s="15"/>
      <c r="S962" s="15"/>
      <c r="T962" s="15"/>
      <c r="U962" s="15"/>
      <c r="V962" s="15"/>
      <c r="W962" s="15"/>
      <c r="X962" s="15"/>
      <c r="Y962" s="15"/>
      <c r="Z962" s="15"/>
    </row>
    <row r="963" spans="1:26" ht="15.75" customHeight="1" x14ac:dyDescent="0.25">
      <c r="A963" s="9"/>
      <c r="B963" s="104"/>
      <c r="C963" s="105"/>
      <c r="D963" s="105"/>
      <c r="E963" s="105"/>
      <c r="F963" s="10"/>
      <c r="G963" s="180"/>
      <c r="H963" s="15"/>
      <c r="I963" s="16"/>
      <c r="J963" s="16"/>
      <c r="K963" s="15"/>
      <c r="L963" s="15"/>
      <c r="M963" s="16"/>
      <c r="N963" s="16"/>
      <c r="O963" s="15"/>
      <c r="P963" s="15"/>
      <c r="Q963" s="15"/>
      <c r="R963" s="15"/>
      <c r="S963" s="15"/>
      <c r="T963" s="15"/>
      <c r="U963" s="15"/>
      <c r="V963" s="15"/>
      <c r="W963" s="15"/>
      <c r="X963" s="15"/>
      <c r="Y963" s="15"/>
      <c r="Z963" s="15"/>
    </row>
    <row r="964" spans="1:26" ht="15.75" customHeight="1" x14ac:dyDescent="0.25">
      <c r="A964" s="108" t="s">
        <v>832</v>
      </c>
      <c r="B964" s="25"/>
      <c r="C964" s="26"/>
      <c r="D964" s="26"/>
      <c r="E964" s="26"/>
      <c r="F964" s="14"/>
      <c r="G964" s="181"/>
      <c r="H964" s="15"/>
      <c r="I964" s="16"/>
      <c r="J964" s="16"/>
      <c r="K964" s="15"/>
      <c r="L964" s="15"/>
      <c r="M964" s="16"/>
      <c r="N964" s="16"/>
      <c r="O964" s="15"/>
      <c r="P964" s="15"/>
      <c r="Q964" s="15"/>
      <c r="R964" s="15"/>
      <c r="S964" s="15"/>
      <c r="T964" s="15"/>
      <c r="U964" s="15"/>
      <c r="V964" s="15"/>
      <c r="W964" s="15"/>
      <c r="X964" s="15"/>
      <c r="Y964" s="15"/>
      <c r="Z964" s="15"/>
    </row>
    <row r="965" spans="1:26" ht="15.75" customHeight="1" x14ac:dyDescent="0.25">
      <c r="A965" s="44"/>
      <c r="B965" s="25"/>
      <c r="C965" s="26"/>
      <c r="D965" s="26"/>
      <c r="E965" s="26"/>
      <c r="F965" s="14"/>
      <c r="G965" s="181"/>
      <c r="H965" s="15"/>
      <c r="I965" s="16"/>
      <c r="J965" s="16"/>
      <c r="K965" s="15"/>
      <c r="L965" s="15"/>
      <c r="M965" s="16"/>
      <c r="N965" s="16"/>
      <c r="O965" s="15"/>
      <c r="P965" s="15"/>
      <c r="Q965" s="15"/>
      <c r="R965" s="15"/>
      <c r="S965" s="15"/>
      <c r="T965" s="15"/>
      <c r="U965" s="15"/>
      <c r="V965" s="15"/>
      <c r="W965" s="15"/>
      <c r="X965" s="15"/>
      <c r="Y965" s="15"/>
      <c r="Z965" s="15"/>
    </row>
    <row r="966" spans="1:26" ht="15.75" customHeight="1" x14ac:dyDescent="0.25">
      <c r="A966" s="865" t="s">
        <v>352</v>
      </c>
      <c r="B966" s="866"/>
      <c r="C966" s="866"/>
      <c r="D966" s="866"/>
      <c r="E966" s="866"/>
      <c r="F966" s="866"/>
      <c r="G966" s="867"/>
      <c r="H966" s="15"/>
      <c r="I966" s="16"/>
      <c r="J966" s="16"/>
      <c r="K966" s="15"/>
      <c r="L966" s="15"/>
      <c r="M966" s="16"/>
      <c r="N966" s="16"/>
      <c r="O966" s="15"/>
      <c r="P966" s="15"/>
      <c r="Q966" s="15"/>
      <c r="R966" s="15"/>
      <c r="S966" s="15"/>
      <c r="T966" s="15"/>
      <c r="U966" s="15"/>
      <c r="V966" s="15"/>
      <c r="W966" s="15"/>
      <c r="X966" s="15"/>
      <c r="Y966" s="15"/>
      <c r="Z966" s="15"/>
    </row>
    <row r="967" spans="1:26" ht="15.75" customHeight="1" x14ac:dyDescent="0.25">
      <c r="A967" s="868" t="s">
        <v>353</v>
      </c>
      <c r="B967" s="857" t="s">
        <v>354</v>
      </c>
      <c r="C967" s="870" t="s">
        <v>355</v>
      </c>
      <c r="D967" s="872" t="s">
        <v>356</v>
      </c>
      <c r="E967" s="873"/>
      <c r="F967" s="874"/>
      <c r="G967" s="857" t="s">
        <v>357</v>
      </c>
      <c r="H967" s="15"/>
      <c r="I967" s="16"/>
      <c r="J967" s="16"/>
      <c r="K967" s="15"/>
      <c r="L967" s="15"/>
      <c r="M967" s="16"/>
      <c r="N967" s="16"/>
      <c r="O967" s="15"/>
      <c r="P967" s="15"/>
      <c r="Q967" s="15"/>
      <c r="R967" s="15"/>
      <c r="S967" s="15"/>
      <c r="T967" s="15"/>
      <c r="U967" s="15"/>
      <c r="V967" s="15"/>
      <c r="W967" s="15"/>
      <c r="X967" s="15"/>
      <c r="Y967" s="15"/>
      <c r="Z967" s="15"/>
    </row>
    <row r="968" spans="1:26" ht="15.75" customHeight="1" x14ac:dyDescent="0.25">
      <c r="A968" s="858"/>
      <c r="B968" s="858"/>
      <c r="C968" s="871"/>
      <c r="D968" s="28" t="s">
        <v>358</v>
      </c>
      <c r="E968" s="29" t="s">
        <v>359</v>
      </c>
      <c r="F968" s="875" t="s">
        <v>360</v>
      </c>
      <c r="G968" s="858"/>
      <c r="H968" s="15"/>
      <c r="I968" s="16"/>
      <c r="J968" s="16"/>
      <c r="K968" s="15"/>
      <c r="L968" s="15"/>
      <c r="M968" s="16"/>
      <c r="N968" s="16"/>
      <c r="O968" s="15"/>
      <c r="P968" s="15"/>
      <c r="Q968" s="15"/>
      <c r="R968" s="15"/>
      <c r="S968" s="15"/>
      <c r="T968" s="15"/>
      <c r="U968" s="15"/>
      <c r="V968" s="15"/>
      <c r="W968" s="15"/>
      <c r="X968" s="15"/>
      <c r="Y968" s="15"/>
      <c r="Z968" s="15"/>
    </row>
    <row r="969" spans="1:26" ht="15.75" customHeight="1" x14ac:dyDescent="0.25">
      <c r="A969" s="858"/>
      <c r="B969" s="858"/>
      <c r="C969" s="30" t="s">
        <v>361</v>
      </c>
      <c r="D969" s="31" t="s">
        <v>361</v>
      </c>
      <c r="E969" s="32" t="s">
        <v>362</v>
      </c>
      <c r="F969" s="860"/>
      <c r="G969" s="442" t="s">
        <v>2717</v>
      </c>
      <c r="H969" s="15"/>
      <c r="I969" s="16"/>
      <c r="J969" s="16"/>
      <c r="K969" s="15"/>
      <c r="L969" s="15"/>
      <c r="M969" s="16"/>
      <c r="N969" s="16"/>
      <c r="O969" s="15"/>
      <c r="P969" s="15"/>
      <c r="Q969" s="15"/>
      <c r="R969" s="15"/>
      <c r="S969" s="15"/>
      <c r="T969" s="15"/>
      <c r="U969" s="15"/>
      <c r="V969" s="15"/>
      <c r="W969" s="15"/>
      <c r="X969" s="15"/>
      <c r="Y969" s="15"/>
      <c r="Z969" s="15"/>
    </row>
    <row r="970" spans="1:26" ht="15.75" customHeight="1" x14ac:dyDescent="0.25">
      <c r="A970" s="869"/>
      <c r="B970" s="869"/>
      <c r="C970" s="33">
        <v>2024</v>
      </c>
      <c r="D970" s="34">
        <v>2025</v>
      </c>
      <c r="E970" s="34">
        <v>2025</v>
      </c>
      <c r="F970" s="34">
        <v>2025</v>
      </c>
      <c r="G970" s="36" t="s">
        <v>2668</v>
      </c>
      <c r="H970" s="15"/>
      <c r="I970" s="16"/>
      <c r="J970" s="16"/>
      <c r="K970" s="15"/>
      <c r="L970" s="15"/>
      <c r="M970" s="16"/>
      <c r="N970" s="16"/>
      <c r="O970" s="15"/>
      <c r="P970" s="15"/>
      <c r="Q970" s="15"/>
      <c r="R970" s="15"/>
      <c r="S970" s="15"/>
      <c r="T970" s="15"/>
      <c r="U970" s="15"/>
      <c r="V970" s="15"/>
      <c r="W970" s="15"/>
      <c r="X970" s="15"/>
      <c r="Y970" s="15"/>
      <c r="Z970" s="15"/>
    </row>
    <row r="971" spans="1:26" ht="15.75" customHeight="1" x14ac:dyDescent="0.25">
      <c r="A971" s="9" t="s">
        <v>364</v>
      </c>
      <c r="B971" s="38"/>
      <c r="C971" s="42"/>
      <c r="D971" s="42"/>
      <c r="E971" s="42"/>
      <c r="F971" s="42"/>
      <c r="G971" s="37"/>
      <c r="H971" s="114"/>
      <c r="I971" s="60"/>
      <c r="J971" s="60"/>
      <c r="K971" s="114"/>
      <c r="L971" s="114"/>
      <c r="M971" s="60"/>
      <c r="N971" s="60"/>
      <c r="O971" s="114"/>
      <c r="P971" s="114"/>
      <c r="Q971" s="114"/>
      <c r="R971" s="114"/>
      <c r="S971" s="114"/>
      <c r="T971" s="114"/>
      <c r="U971" s="114"/>
      <c r="V971" s="114"/>
      <c r="W971" s="114"/>
      <c r="X971" s="114"/>
      <c r="Y971" s="114"/>
      <c r="Z971" s="114"/>
    </row>
    <row r="972" spans="1:26" ht="15.75" customHeight="1" x14ac:dyDescent="0.25">
      <c r="A972" s="42" t="s">
        <v>491</v>
      </c>
      <c r="B972" s="49"/>
      <c r="C972" s="43"/>
      <c r="D972" s="43"/>
      <c r="E972" s="43"/>
      <c r="F972" s="43"/>
      <c r="G972" s="43"/>
      <c r="H972" s="114"/>
      <c r="I972" s="60"/>
      <c r="J972" s="60"/>
      <c r="K972" s="114"/>
      <c r="L972" s="114"/>
      <c r="M972" s="60"/>
      <c r="N972" s="60"/>
      <c r="O972" s="114"/>
      <c r="P972" s="114"/>
      <c r="Q972" s="114"/>
      <c r="R972" s="114"/>
      <c r="S972" s="114"/>
      <c r="T972" s="114"/>
      <c r="U972" s="114"/>
      <c r="V972" s="114"/>
      <c r="W972" s="114"/>
      <c r="X972" s="114"/>
      <c r="Y972" s="114"/>
      <c r="Z972" s="114"/>
    </row>
    <row r="973" spans="1:26" ht="15.75" customHeight="1" x14ac:dyDescent="0.25">
      <c r="A973" s="17" t="s">
        <v>813</v>
      </c>
      <c r="B973" s="41"/>
      <c r="C973" s="43"/>
      <c r="D973" s="43"/>
      <c r="E973" s="43"/>
      <c r="F973" s="43"/>
      <c r="G973" s="43"/>
      <c r="H973" s="114"/>
      <c r="I973" s="60"/>
      <c r="J973" s="60"/>
      <c r="K973" s="114"/>
      <c r="L973" s="114"/>
      <c r="M973" s="60"/>
      <c r="N973" s="60"/>
      <c r="O973" s="114"/>
      <c r="P973" s="114"/>
      <c r="Q973" s="114"/>
      <c r="R973" s="114"/>
      <c r="S973" s="114"/>
      <c r="T973" s="114"/>
      <c r="U973" s="114"/>
      <c r="V973" s="114"/>
      <c r="W973" s="114"/>
      <c r="X973" s="114"/>
      <c r="Y973" s="114"/>
      <c r="Z973" s="114"/>
    </row>
    <row r="974" spans="1:26" ht="15.75" customHeight="1" x14ac:dyDescent="0.25">
      <c r="A974" s="44" t="s">
        <v>814</v>
      </c>
      <c r="B974" s="41" t="s">
        <v>227</v>
      </c>
      <c r="C974" s="43">
        <v>19367.78</v>
      </c>
      <c r="D974" s="43">
        <v>2450.6</v>
      </c>
      <c r="E974" s="43">
        <f t="shared" ref="E974:E975" si="164">F974-D974</f>
        <v>33549.4</v>
      </c>
      <c r="F974" s="43">
        <v>36000</v>
      </c>
      <c r="G974" s="43">
        <v>36000</v>
      </c>
      <c r="H974" s="114"/>
      <c r="I974" s="60"/>
      <c r="J974" s="60"/>
      <c r="K974" s="114"/>
      <c r="L974" s="114"/>
      <c r="M974" s="60"/>
      <c r="N974" s="60"/>
      <c r="O974" s="114"/>
      <c r="P974" s="114"/>
      <c r="Q974" s="114"/>
      <c r="R974" s="114"/>
      <c r="S974" s="114"/>
      <c r="T974" s="114"/>
      <c r="U974" s="114"/>
      <c r="V974" s="114"/>
      <c r="W974" s="114"/>
      <c r="X974" s="114"/>
      <c r="Y974" s="114"/>
      <c r="Z974" s="114"/>
    </row>
    <row r="975" spans="1:26" ht="15.75" customHeight="1" x14ac:dyDescent="0.25">
      <c r="A975" s="44" t="s">
        <v>815</v>
      </c>
      <c r="B975" s="41" t="s">
        <v>229</v>
      </c>
      <c r="C975" s="43">
        <v>139975.01999999999</v>
      </c>
      <c r="D975" s="43">
        <v>68877.3</v>
      </c>
      <c r="E975" s="43">
        <f t="shared" si="164"/>
        <v>171122.7</v>
      </c>
      <c r="F975" s="43">
        <v>240000</v>
      </c>
      <c r="G975" s="43">
        <v>240000</v>
      </c>
      <c r="H975" s="114"/>
      <c r="I975" s="60"/>
      <c r="J975" s="60"/>
      <c r="K975" s="114"/>
      <c r="L975" s="114"/>
      <c r="M975" s="60"/>
      <c r="N975" s="60"/>
      <c r="O975" s="114"/>
      <c r="P975" s="114"/>
      <c r="Q975" s="114"/>
      <c r="R975" s="114"/>
      <c r="S975" s="114"/>
      <c r="T975" s="114"/>
      <c r="U975" s="114"/>
      <c r="V975" s="114"/>
      <c r="W975" s="114"/>
      <c r="X975" s="114"/>
      <c r="Y975" s="114"/>
      <c r="Z975" s="114"/>
    </row>
    <row r="976" spans="1:26" ht="15.75" customHeight="1" x14ac:dyDescent="0.25">
      <c r="A976" s="17" t="s">
        <v>503</v>
      </c>
      <c r="B976" s="41"/>
      <c r="C976" s="43"/>
      <c r="D976" s="43"/>
      <c r="E976" s="43"/>
      <c r="F976" s="43"/>
      <c r="G976" s="43"/>
      <c r="H976" s="114"/>
      <c r="I976" s="60"/>
      <c r="J976" s="60"/>
      <c r="K976" s="114"/>
      <c r="L976" s="114"/>
      <c r="M976" s="60"/>
      <c r="N976" s="60"/>
      <c r="O976" s="114"/>
      <c r="P976" s="114"/>
      <c r="Q976" s="114"/>
      <c r="R976" s="114"/>
      <c r="S976" s="114"/>
      <c r="T976" s="114"/>
      <c r="U976" s="114"/>
      <c r="V976" s="114"/>
      <c r="W976" s="114"/>
      <c r="X976" s="114"/>
      <c r="Y976" s="114"/>
      <c r="Z976" s="114"/>
    </row>
    <row r="977" spans="1:26" ht="15.75" customHeight="1" x14ac:dyDescent="0.25">
      <c r="A977" s="44" t="s">
        <v>405</v>
      </c>
      <c r="B977" s="41" t="s">
        <v>235</v>
      </c>
      <c r="C977" s="43">
        <v>5921</v>
      </c>
      <c r="D977" s="43">
        <v>3140</v>
      </c>
      <c r="E977" s="43">
        <f t="shared" ref="E977:E978" si="165">F977-D977</f>
        <v>2860</v>
      </c>
      <c r="F977" s="43">
        <v>6000</v>
      </c>
      <c r="G977" s="43">
        <v>6000</v>
      </c>
      <c r="H977" s="114"/>
      <c r="I977" s="60"/>
      <c r="J977" s="60"/>
      <c r="K977" s="114"/>
      <c r="L977" s="114"/>
      <c r="M977" s="60"/>
      <c r="N977" s="60"/>
      <c r="O977" s="114"/>
      <c r="P977" s="114"/>
      <c r="Q977" s="114"/>
      <c r="R977" s="114"/>
      <c r="S977" s="114"/>
      <c r="T977" s="114"/>
      <c r="U977" s="114"/>
      <c r="V977" s="114"/>
      <c r="W977" s="114"/>
      <c r="X977" s="114"/>
      <c r="Y977" s="114"/>
      <c r="Z977" s="114"/>
    </row>
    <row r="978" spans="1:26" ht="15.75" customHeight="1" x14ac:dyDescent="0.25">
      <c r="A978" s="44" t="s">
        <v>504</v>
      </c>
      <c r="B978" s="41" t="s">
        <v>237</v>
      </c>
      <c r="C978" s="43">
        <v>24000</v>
      </c>
      <c r="D978" s="43">
        <v>10000.040000000001</v>
      </c>
      <c r="E978" s="43">
        <f t="shared" si="165"/>
        <v>13999.96</v>
      </c>
      <c r="F978" s="43">
        <v>24000</v>
      </c>
      <c r="G978" s="43">
        <v>24000</v>
      </c>
      <c r="H978" s="114"/>
      <c r="I978" s="60"/>
      <c r="J978" s="60"/>
      <c r="K978" s="114"/>
      <c r="L978" s="114"/>
      <c r="M978" s="60"/>
      <c r="N978" s="60"/>
      <c r="O978" s="114"/>
      <c r="P978" s="114"/>
      <c r="Q978" s="114"/>
      <c r="R978" s="114"/>
      <c r="S978" s="114"/>
      <c r="T978" s="114"/>
      <c r="U978" s="114"/>
      <c r="V978" s="114"/>
      <c r="W978" s="114"/>
      <c r="X978" s="114"/>
      <c r="Y978" s="114"/>
      <c r="Z978" s="114"/>
    </row>
    <row r="979" spans="1:26" ht="15.75" customHeight="1" x14ac:dyDescent="0.25">
      <c r="A979" s="17" t="s">
        <v>424</v>
      </c>
      <c r="B979" s="41"/>
      <c r="C979" s="43"/>
      <c r="D979" s="43"/>
      <c r="E979" s="43"/>
      <c r="F979" s="43"/>
      <c r="G979" s="43"/>
      <c r="H979" s="114"/>
      <c r="I979" s="60"/>
      <c r="J979" s="60"/>
      <c r="K979" s="114"/>
      <c r="L979" s="114"/>
      <c r="M979" s="60"/>
      <c r="N979" s="60"/>
      <c r="O979" s="114"/>
      <c r="P979" s="114"/>
      <c r="Q979" s="114"/>
      <c r="R979" s="114"/>
      <c r="S979" s="114"/>
      <c r="T979" s="114"/>
      <c r="U979" s="114"/>
      <c r="V979" s="114"/>
      <c r="W979" s="114"/>
      <c r="X979" s="114"/>
      <c r="Y979" s="114"/>
      <c r="Z979" s="114"/>
    </row>
    <row r="980" spans="1:26" ht="15.75" customHeight="1" x14ac:dyDescent="0.25">
      <c r="A980" s="44" t="s">
        <v>424</v>
      </c>
      <c r="B980" s="41" t="s">
        <v>335</v>
      </c>
      <c r="C980" s="43">
        <v>252000</v>
      </c>
      <c r="D980" s="43">
        <v>88000</v>
      </c>
      <c r="E980" s="43">
        <f>F980-D980</f>
        <v>212000</v>
      </c>
      <c r="F980" s="43">
        <v>300000</v>
      </c>
      <c r="G980" s="43">
        <v>432000</v>
      </c>
      <c r="H980" s="114"/>
      <c r="I980" s="60"/>
      <c r="J980" s="60"/>
      <c r="K980" s="114"/>
      <c r="L980" s="114"/>
      <c r="M980" s="60"/>
      <c r="N980" s="60"/>
      <c r="O980" s="114"/>
      <c r="P980" s="114"/>
      <c r="Q980" s="114"/>
      <c r="R980" s="114"/>
      <c r="S980" s="114"/>
      <c r="T980" s="114"/>
      <c r="U980" s="114"/>
      <c r="V980" s="114"/>
      <c r="W980" s="114"/>
      <c r="X980" s="114"/>
      <c r="Y980" s="114"/>
      <c r="Z980" s="114"/>
    </row>
    <row r="981" spans="1:26" ht="31.5" x14ac:dyDescent="0.25">
      <c r="A981" s="118" t="s">
        <v>1024</v>
      </c>
      <c r="B981" s="41"/>
      <c r="C981" s="43"/>
      <c r="D981" s="43"/>
      <c r="E981" s="43"/>
      <c r="F981" s="43"/>
      <c r="G981" s="43"/>
      <c r="H981" s="114"/>
      <c r="I981" s="218">
        <v>18</v>
      </c>
      <c r="J981" s="219">
        <v>2000</v>
      </c>
      <c r="K981" s="220">
        <v>12</v>
      </c>
      <c r="L981" s="219">
        <f>I981*J981*K981</f>
        <v>432000</v>
      </c>
      <c r="M981" s="60"/>
      <c r="N981" s="60"/>
      <c r="O981" s="114"/>
      <c r="P981" s="114"/>
      <c r="Q981" s="114"/>
      <c r="R981" s="114"/>
      <c r="S981" s="114"/>
      <c r="T981" s="114"/>
      <c r="U981" s="114"/>
      <c r="V981" s="114"/>
      <c r="W981" s="114"/>
      <c r="X981" s="114"/>
      <c r="Y981" s="114"/>
      <c r="Z981" s="114"/>
    </row>
    <row r="982" spans="1:26" ht="15.75" customHeight="1" x14ac:dyDescent="0.25">
      <c r="A982" s="42" t="s">
        <v>466</v>
      </c>
      <c r="B982" s="41"/>
      <c r="C982" s="54">
        <f t="shared" ref="C982:D982" si="166">SUM(C973:C980)</f>
        <v>441263.8</v>
      </c>
      <c r="D982" s="54">
        <f t="shared" si="166"/>
        <v>172467.94</v>
      </c>
      <c r="E982" s="54">
        <f>F982-D982</f>
        <v>433532.06</v>
      </c>
      <c r="F982" s="54">
        <f t="shared" ref="F982:G982" si="167">SUM(F973:F980)</f>
        <v>606000</v>
      </c>
      <c r="G982" s="54">
        <f t="shared" si="167"/>
        <v>738000</v>
      </c>
      <c r="H982" s="114"/>
      <c r="I982" s="60"/>
      <c r="J982" s="60"/>
      <c r="K982" s="114"/>
      <c r="L982" s="114"/>
      <c r="M982" s="60"/>
      <c r="N982" s="60"/>
      <c r="O982" s="114"/>
      <c r="P982" s="114"/>
      <c r="Q982" s="114"/>
      <c r="R982" s="114"/>
      <c r="S982" s="114"/>
      <c r="T982" s="114"/>
      <c r="U982" s="114"/>
      <c r="V982" s="114"/>
      <c r="W982" s="114"/>
      <c r="X982" s="114"/>
      <c r="Y982" s="114"/>
      <c r="Z982" s="114"/>
    </row>
    <row r="983" spans="1:26" ht="15.75" customHeight="1" x14ac:dyDescent="0.25">
      <c r="A983" s="17"/>
      <c r="B983" s="41"/>
      <c r="C983" s="55"/>
      <c r="D983" s="55"/>
      <c r="E983" s="43"/>
      <c r="F983" s="55"/>
      <c r="G983" s="55"/>
      <c r="H983" s="114"/>
      <c r="I983" s="60"/>
      <c r="J983" s="60"/>
      <c r="K983" s="114"/>
      <c r="L983" s="114"/>
      <c r="M983" s="60"/>
      <c r="N983" s="60"/>
      <c r="O983" s="114"/>
      <c r="P983" s="114"/>
      <c r="Q983" s="114"/>
      <c r="R983" s="114"/>
      <c r="S983" s="114"/>
      <c r="T983" s="114"/>
      <c r="U983" s="114"/>
      <c r="V983" s="114"/>
      <c r="W983" s="114"/>
      <c r="X983" s="114"/>
      <c r="Y983" s="114"/>
      <c r="Z983" s="114"/>
    </row>
    <row r="984" spans="1:26" ht="15.75" customHeight="1" x14ac:dyDescent="0.25">
      <c r="A984" s="17" t="s">
        <v>467</v>
      </c>
      <c r="B984" s="41"/>
      <c r="C984" s="43">
        <f t="shared" ref="C984:D984" si="168">C982</f>
        <v>441263.8</v>
      </c>
      <c r="D984" s="43">
        <f t="shared" si="168"/>
        <v>172467.94</v>
      </c>
      <c r="E984" s="43">
        <f>F984-D984</f>
        <v>433532.06</v>
      </c>
      <c r="F984" s="43">
        <f t="shared" ref="F984:G984" si="169">F982</f>
        <v>606000</v>
      </c>
      <c r="G984" s="43">
        <f t="shared" si="169"/>
        <v>738000</v>
      </c>
      <c r="H984" s="114"/>
      <c r="I984" s="60"/>
      <c r="J984" s="60"/>
      <c r="K984" s="114"/>
      <c r="L984" s="114"/>
      <c r="M984" s="60"/>
      <c r="N984" s="60"/>
      <c r="O984" s="114"/>
      <c r="P984" s="114"/>
      <c r="Q984" s="114"/>
      <c r="R984" s="114"/>
      <c r="S984" s="114"/>
      <c r="T984" s="114"/>
      <c r="U984" s="114"/>
      <c r="V984" s="114"/>
      <c r="W984" s="114"/>
      <c r="X984" s="114"/>
      <c r="Y984" s="114"/>
      <c r="Z984" s="114"/>
    </row>
    <row r="985" spans="1:26" ht="15.75" customHeight="1" x14ac:dyDescent="0.25">
      <c r="A985" s="17"/>
      <c r="B985" s="41"/>
      <c r="C985" s="43"/>
      <c r="D985" s="43"/>
      <c r="E985" s="43"/>
      <c r="F985" s="43"/>
      <c r="G985" s="43"/>
      <c r="H985" s="114"/>
      <c r="I985" s="60"/>
      <c r="J985" s="60"/>
      <c r="K985" s="114"/>
      <c r="L985" s="114"/>
      <c r="M985" s="60"/>
      <c r="N985" s="60"/>
      <c r="O985" s="114"/>
      <c r="P985" s="114"/>
      <c r="Q985" s="114"/>
      <c r="R985" s="114"/>
      <c r="S985" s="114"/>
      <c r="T985" s="114"/>
      <c r="U985" s="114"/>
      <c r="V985" s="114"/>
      <c r="W985" s="114"/>
      <c r="X985" s="114"/>
      <c r="Y985" s="114"/>
      <c r="Z985" s="114"/>
    </row>
    <row r="986" spans="1:26" ht="15.75" customHeight="1" x14ac:dyDescent="0.25">
      <c r="A986" s="50" t="s">
        <v>487</v>
      </c>
      <c r="B986" s="51" t="s">
        <v>488</v>
      </c>
      <c r="C986" s="54">
        <f t="shared" ref="C986:D986" si="170">C984</f>
        <v>441263.8</v>
      </c>
      <c r="D986" s="54">
        <f t="shared" si="170"/>
        <v>172467.94</v>
      </c>
      <c r="E986" s="54">
        <f>F986-D986</f>
        <v>433532.06</v>
      </c>
      <c r="F986" s="54">
        <f t="shared" ref="F986:G986" si="171">F984</f>
        <v>606000</v>
      </c>
      <c r="G986" s="54">
        <f t="shared" si="171"/>
        <v>738000</v>
      </c>
      <c r="H986" s="114"/>
      <c r="I986" s="60"/>
      <c r="J986" s="60"/>
      <c r="K986" s="114"/>
      <c r="L986" s="114"/>
      <c r="M986" s="60"/>
      <c r="N986" s="60"/>
      <c r="O986" s="114"/>
      <c r="P986" s="114"/>
      <c r="Q986" s="114"/>
      <c r="R986" s="114"/>
      <c r="S986" s="114"/>
      <c r="T986" s="114"/>
      <c r="U986" s="114"/>
      <c r="V986" s="114"/>
      <c r="W986" s="114"/>
      <c r="X986" s="114"/>
      <c r="Y986" s="114"/>
      <c r="Z986" s="114"/>
    </row>
    <row r="987" spans="1:26" ht="15.75" customHeight="1" x14ac:dyDescent="0.25">
      <c r="A987" s="18"/>
      <c r="B987" s="25"/>
      <c r="C987" s="103"/>
      <c r="D987" s="24"/>
      <c r="E987" s="24"/>
      <c r="F987" s="103"/>
      <c r="G987" s="26"/>
      <c r="H987" s="114"/>
      <c r="I987" s="60"/>
      <c r="J987" s="60"/>
      <c r="K987" s="114"/>
      <c r="L987" s="114"/>
      <c r="M987" s="60"/>
      <c r="N987" s="60"/>
      <c r="O987" s="114"/>
      <c r="P987" s="114"/>
      <c r="Q987" s="114"/>
      <c r="R987" s="114"/>
      <c r="S987" s="114"/>
      <c r="T987" s="114"/>
      <c r="U987" s="114"/>
      <c r="V987" s="114"/>
      <c r="W987" s="114"/>
      <c r="X987" s="114"/>
      <c r="Y987" s="114"/>
      <c r="Z987" s="114"/>
    </row>
    <row r="988" spans="1:26" ht="15.75" customHeight="1" x14ac:dyDescent="0.25">
      <c r="A988" s="24"/>
      <c r="B988" s="25"/>
      <c r="C988" s="24"/>
      <c r="D988" s="24"/>
      <c r="E988" s="24"/>
      <c r="F988" s="15"/>
      <c r="G988" s="15"/>
      <c r="H988" s="15"/>
      <c r="I988" s="16"/>
      <c r="J988" s="16"/>
      <c r="K988" s="15"/>
      <c r="L988" s="15"/>
      <c r="M988" s="16"/>
      <c r="N988" s="16"/>
      <c r="O988" s="15"/>
      <c r="P988" s="15"/>
      <c r="Q988" s="15"/>
      <c r="R988" s="15"/>
      <c r="S988" s="15"/>
      <c r="T988" s="15"/>
      <c r="U988" s="15"/>
      <c r="V988" s="15"/>
      <c r="W988" s="15"/>
      <c r="X988" s="15"/>
      <c r="Y988" s="15"/>
      <c r="Z988" s="15"/>
    </row>
    <row r="989" spans="1:26" ht="15.75" customHeight="1" x14ac:dyDescent="0.25">
      <c r="A989" s="9"/>
      <c r="B989" s="104"/>
      <c r="C989" s="105"/>
      <c r="D989" s="105"/>
      <c r="E989" s="105"/>
      <c r="F989" s="10"/>
      <c r="G989" s="180"/>
      <c r="H989" s="15"/>
      <c r="I989" s="16"/>
      <c r="J989" s="16"/>
      <c r="K989" s="15"/>
      <c r="L989" s="15"/>
      <c r="M989" s="16"/>
      <c r="N989" s="16"/>
      <c r="O989" s="15"/>
      <c r="P989" s="15"/>
      <c r="Q989" s="15"/>
      <c r="R989" s="15"/>
      <c r="S989" s="15"/>
      <c r="T989" s="15"/>
      <c r="U989" s="15"/>
      <c r="V989" s="15"/>
      <c r="W989" s="15"/>
      <c r="X989" s="15"/>
      <c r="Y989" s="15"/>
      <c r="Z989" s="15"/>
    </row>
    <row r="990" spans="1:26" ht="15.75" customHeight="1" x14ac:dyDescent="0.25">
      <c r="A990" s="108" t="s">
        <v>833</v>
      </c>
      <c r="B990" s="25"/>
      <c r="C990" s="26"/>
      <c r="D990" s="26"/>
      <c r="E990" s="26"/>
      <c r="F990" s="14"/>
      <c r="G990" s="181"/>
      <c r="H990" s="15"/>
      <c r="I990" s="16"/>
      <c r="J990" s="16"/>
      <c r="K990" s="15"/>
      <c r="L990" s="15"/>
      <c r="M990" s="16"/>
      <c r="N990" s="16"/>
      <c r="O990" s="15"/>
      <c r="P990" s="15"/>
      <c r="Q990" s="15"/>
      <c r="R990" s="15"/>
      <c r="S990" s="15"/>
      <c r="T990" s="15"/>
      <c r="U990" s="15"/>
      <c r="V990" s="15"/>
      <c r="W990" s="15"/>
      <c r="X990" s="15"/>
      <c r="Y990" s="15"/>
      <c r="Z990" s="15"/>
    </row>
    <row r="991" spans="1:26" ht="15.75" customHeight="1" x14ac:dyDescent="0.25">
      <c r="A991" s="44"/>
      <c r="B991" s="25"/>
      <c r="C991" s="26"/>
      <c r="D991" s="26"/>
      <c r="E991" s="26"/>
      <c r="F991" s="14"/>
      <c r="G991" s="181"/>
      <c r="H991" s="15"/>
      <c r="I991" s="16"/>
      <c r="J991" s="16"/>
      <c r="K991" s="15"/>
      <c r="L991" s="15"/>
      <c r="M991" s="16"/>
      <c r="N991" s="16"/>
      <c r="O991" s="15"/>
      <c r="P991" s="15"/>
      <c r="Q991" s="15"/>
      <c r="R991" s="15"/>
      <c r="S991" s="15"/>
      <c r="T991" s="15"/>
      <c r="U991" s="15"/>
      <c r="V991" s="15"/>
      <c r="W991" s="15"/>
      <c r="X991" s="15"/>
      <c r="Y991" s="15"/>
      <c r="Z991" s="15"/>
    </row>
    <row r="992" spans="1:26" ht="15.75" customHeight="1" x14ac:dyDescent="0.25">
      <c r="A992" s="865" t="s">
        <v>352</v>
      </c>
      <c r="B992" s="866"/>
      <c r="C992" s="866"/>
      <c r="D992" s="866"/>
      <c r="E992" s="866"/>
      <c r="F992" s="866"/>
      <c r="G992" s="867"/>
      <c r="H992" s="15"/>
      <c r="I992" s="16"/>
      <c r="J992" s="16"/>
      <c r="K992" s="15"/>
      <c r="L992" s="15"/>
      <c r="M992" s="16"/>
      <c r="N992" s="16"/>
      <c r="O992" s="15"/>
      <c r="P992" s="15"/>
      <c r="Q992" s="15"/>
      <c r="R992" s="15"/>
      <c r="S992" s="15"/>
      <c r="T992" s="15"/>
      <c r="U992" s="15"/>
      <c r="V992" s="15"/>
      <c r="W992" s="15"/>
      <c r="X992" s="15"/>
      <c r="Y992" s="15"/>
      <c r="Z992" s="15"/>
    </row>
    <row r="993" spans="1:26" ht="15.75" customHeight="1" x14ac:dyDescent="0.25">
      <c r="A993" s="868" t="s">
        <v>353</v>
      </c>
      <c r="B993" s="857" t="s">
        <v>354</v>
      </c>
      <c r="C993" s="870" t="s">
        <v>355</v>
      </c>
      <c r="D993" s="872" t="s">
        <v>356</v>
      </c>
      <c r="E993" s="873"/>
      <c r="F993" s="874"/>
      <c r="G993" s="857" t="s">
        <v>357</v>
      </c>
      <c r="H993" s="15"/>
      <c r="I993" s="16"/>
      <c r="J993" s="16"/>
      <c r="K993" s="15"/>
      <c r="L993" s="15"/>
      <c r="M993" s="16"/>
      <c r="N993" s="16"/>
      <c r="O993" s="15"/>
      <c r="P993" s="15"/>
      <c r="Q993" s="15"/>
      <c r="R993" s="15"/>
      <c r="S993" s="15"/>
      <c r="T993" s="15"/>
      <c r="U993" s="15"/>
      <c r="V993" s="15"/>
      <c r="W993" s="15"/>
      <c r="X993" s="15"/>
      <c r="Y993" s="15"/>
      <c r="Z993" s="15"/>
    </row>
    <row r="994" spans="1:26" ht="15.75" customHeight="1" x14ac:dyDescent="0.25">
      <c r="A994" s="858"/>
      <c r="B994" s="858"/>
      <c r="C994" s="871"/>
      <c r="D994" s="28" t="s">
        <v>358</v>
      </c>
      <c r="E994" s="29" t="s">
        <v>359</v>
      </c>
      <c r="F994" s="875" t="s">
        <v>360</v>
      </c>
      <c r="G994" s="858"/>
      <c r="H994" s="15"/>
      <c r="I994" s="16"/>
      <c r="J994" s="16"/>
      <c r="K994" s="15"/>
      <c r="L994" s="15"/>
      <c r="M994" s="16"/>
      <c r="N994" s="16"/>
      <c r="O994" s="15"/>
      <c r="P994" s="15"/>
      <c r="Q994" s="15"/>
      <c r="R994" s="15"/>
      <c r="S994" s="15"/>
      <c r="T994" s="15"/>
      <c r="U994" s="15"/>
      <c r="V994" s="15"/>
      <c r="W994" s="15"/>
      <c r="X994" s="15"/>
      <c r="Y994" s="15"/>
      <c r="Z994" s="15"/>
    </row>
    <row r="995" spans="1:26" ht="15.75" customHeight="1" x14ac:dyDescent="0.25">
      <c r="A995" s="858"/>
      <c r="B995" s="858"/>
      <c r="C995" s="30" t="s">
        <v>361</v>
      </c>
      <c r="D995" s="31" t="s">
        <v>361</v>
      </c>
      <c r="E995" s="32" t="s">
        <v>362</v>
      </c>
      <c r="F995" s="860"/>
      <c r="G995" s="442" t="s">
        <v>2717</v>
      </c>
      <c r="H995" s="15"/>
      <c r="I995" s="16"/>
      <c r="J995" s="16"/>
      <c r="K995" s="15"/>
      <c r="L995" s="15"/>
      <c r="M995" s="16"/>
      <c r="N995" s="16"/>
      <c r="O995" s="15"/>
      <c r="P995" s="15"/>
      <c r="Q995" s="15"/>
      <c r="R995" s="15"/>
      <c r="S995" s="15"/>
      <c r="T995" s="15"/>
      <c r="U995" s="15"/>
      <c r="V995" s="15"/>
      <c r="W995" s="15"/>
      <c r="X995" s="15"/>
      <c r="Y995" s="15"/>
      <c r="Z995" s="15"/>
    </row>
    <row r="996" spans="1:26" ht="15.75" customHeight="1" x14ac:dyDescent="0.25">
      <c r="A996" s="869"/>
      <c r="B996" s="869"/>
      <c r="C996" s="33">
        <v>2024</v>
      </c>
      <c r="D996" s="34">
        <v>2025</v>
      </c>
      <c r="E996" s="35">
        <v>2025</v>
      </c>
      <c r="F996" s="34">
        <v>2025</v>
      </c>
      <c r="G996" s="36" t="s">
        <v>2668</v>
      </c>
      <c r="H996" s="15"/>
      <c r="I996" s="16"/>
      <c r="J996" s="16"/>
      <c r="K996" s="15"/>
      <c r="L996" s="15"/>
      <c r="M996" s="16"/>
      <c r="N996" s="16"/>
      <c r="O996" s="15"/>
      <c r="P996" s="15"/>
      <c r="Q996" s="15"/>
      <c r="R996" s="15"/>
      <c r="S996" s="15"/>
      <c r="T996" s="15"/>
      <c r="U996" s="15"/>
      <c r="V996" s="15"/>
      <c r="W996" s="15"/>
      <c r="X996" s="15"/>
      <c r="Y996" s="15"/>
      <c r="Z996" s="15"/>
    </row>
    <row r="997" spans="1:26" ht="15.75" customHeight="1" x14ac:dyDescent="0.25">
      <c r="A997" s="9" t="s">
        <v>364</v>
      </c>
      <c r="B997" s="38"/>
      <c r="C997" s="42"/>
      <c r="D997" s="42"/>
      <c r="E997" s="42"/>
      <c r="F997" s="42"/>
      <c r="G997" s="37"/>
      <c r="H997" s="114"/>
      <c r="I997" s="60"/>
      <c r="J997" s="60"/>
      <c r="K997" s="114"/>
      <c r="L997" s="114"/>
      <c r="M997" s="60"/>
      <c r="N997" s="60"/>
      <c r="O997" s="114"/>
      <c r="P997" s="114"/>
      <c r="Q997" s="114"/>
      <c r="R997" s="114"/>
      <c r="S997" s="114"/>
      <c r="T997" s="114"/>
      <c r="U997" s="114"/>
      <c r="V997" s="114"/>
      <c r="W997" s="114"/>
      <c r="X997" s="114"/>
      <c r="Y997" s="114"/>
      <c r="Z997" s="114"/>
    </row>
    <row r="998" spans="1:26" ht="15.75" customHeight="1" x14ac:dyDescent="0.25">
      <c r="A998" s="42" t="s">
        <v>491</v>
      </c>
      <c r="B998" s="49"/>
      <c r="C998" s="43"/>
      <c r="D998" s="43"/>
      <c r="E998" s="43"/>
      <c r="F998" s="43"/>
      <c r="G998" s="43"/>
      <c r="H998" s="114"/>
      <c r="I998" s="60"/>
      <c r="J998" s="60"/>
      <c r="K998" s="114"/>
      <c r="L998" s="114"/>
      <c r="M998" s="60"/>
      <c r="N998" s="60"/>
      <c r="O998" s="114"/>
      <c r="P998" s="114"/>
      <c r="Q998" s="114"/>
      <c r="R998" s="114"/>
      <c r="S998" s="114"/>
      <c r="T998" s="114"/>
      <c r="U998" s="114"/>
      <c r="V998" s="114"/>
      <c r="W998" s="114"/>
      <c r="X998" s="114"/>
      <c r="Y998" s="114"/>
      <c r="Z998" s="114"/>
    </row>
    <row r="999" spans="1:26" ht="15.75" customHeight="1" x14ac:dyDescent="0.25">
      <c r="A999" s="17" t="s">
        <v>812</v>
      </c>
      <c r="B999" s="41"/>
      <c r="C999" s="43"/>
      <c r="D999" s="43"/>
      <c r="E999" s="43"/>
      <c r="F999" s="43"/>
      <c r="G999" s="43"/>
      <c r="H999" s="114"/>
      <c r="I999" s="60"/>
      <c r="J999" s="60"/>
      <c r="K999" s="114"/>
      <c r="L999" s="114"/>
      <c r="M999" s="60"/>
      <c r="N999" s="60"/>
      <c r="O999" s="114"/>
      <c r="P999" s="114"/>
      <c r="Q999" s="114"/>
      <c r="R999" s="114"/>
      <c r="S999" s="114"/>
      <c r="T999" s="114"/>
      <c r="U999" s="114"/>
      <c r="V999" s="114"/>
      <c r="W999" s="114"/>
      <c r="X999" s="114"/>
      <c r="Y999" s="114"/>
      <c r="Z999" s="114"/>
    </row>
    <row r="1000" spans="1:26" ht="15.75" customHeight="1" x14ac:dyDescent="0.25">
      <c r="A1000" s="44" t="s">
        <v>398</v>
      </c>
      <c r="B1000" s="41" t="s">
        <v>195</v>
      </c>
      <c r="C1000" s="43">
        <v>111905.42</v>
      </c>
      <c r="D1000" s="43">
        <v>0</v>
      </c>
      <c r="E1000" s="43">
        <f t="shared" ref="E1000:E1001" si="172">F1000-D1000</f>
        <v>306863</v>
      </c>
      <c r="F1000" s="43">
        <v>306863</v>
      </c>
      <c r="G1000" s="43">
        <v>192696</v>
      </c>
      <c r="H1000" s="114"/>
      <c r="I1000" s="60"/>
      <c r="J1000" s="60"/>
      <c r="K1000" s="114"/>
      <c r="L1000" s="114"/>
      <c r="M1000" s="60"/>
      <c r="N1000" s="60"/>
      <c r="O1000" s="114"/>
      <c r="P1000" s="114"/>
      <c r="Q1000" s="114"/>
      <c r="R1000" s="114"/>
      <c r="S1000" s="114"/>
      <c r="T1000" s="114"/>
      <c r="U1000" s="114"/>
      <c r="V1000" s="114"/>
      <c r="W1000" s="114"/>
      <c r="X1000" s="114"/>
      <c r="Y1000" s="114"/>
      <c r="Z1000" s="114"/>
    </row>
    <row r="1001" spans="1:26" ht="15.75" customHeight="1" x14ac:dyDescent="0.25">
      <c r="A1001" s="44" t="s">
        <v>402</v>
      </c>
      <c r="B1001" s="41" t="s">
        <v>225</v>
      </c>
      <c r="C1001" s="43">
        <v>101033</v>
      </c>
      <c r="D1001" s="43">
        <v>0</v>
      </c>
      <c r="E1001" s="43">
        <f t="shared" si="172"/>
        <v>0</v>
      </c>
      <c r="F1001" s="43">
        <v>0</v>
      </c>
      <c r="G1001" s="43">
        <v>113612</v>
      </c>
      <c r="H1001" s="114"/>
      <c r="I1001" s="60"/>
      <c r="J1001" s="60"/>
      <c r="K1001" s="114"/>
      <c r="L1001" s="114"/>
      <c r="M1001" s="60"/>
      <c r="N1001" s="60"/>
      <c r="O1001" s="114"/>
      <c r="P1001" s="114"/>
      <c r="Q1001" s="114"/>
      <c r="R1001" s="114"/>
      <c r="S1001" s="114"/>
      <c r="T1001" s="114"/>
      <c r="U1001" s="114"/>
      <c r="V1001" s="114"/>
      <c r="W1001" s="114"/>
      <c r="X1001" s="114"/>
      <c r="Y1001" s="114"/>
      <c r="Z1001" s="114"/>
    </row>
    <row r="1002" spans="1:26" ht="15.75" customHeight="1" x14ac:dyDescent="0.25">
      <c r="A1002" s="17" t="s">
        <v>503</v>
      </c>
      <c r="B1002" s="41"/>
      <c r="C1002" s="43"/>
      <c r="D1002" s="43"/>
      <c r="E1002" s="43"/>
      <c r="F1002" s="43"/>
      <c r="G1002" s="43"/>
      <c r="H1002" s="114"/>
      <c r="I1002" s="60"/>
      <c r="J1002" s="60"/>
      <c r="K1002" s="114"/>
      <c r="L1002" s="114"/>
      <c r="M1002" s="60"/>
      <c r="N1002" s="60"/>
      <c r="O1002" s="114"/>
      <c r="P1002" s="114"/>
      <c r="Q1002" s="114"/>
      <c r="R1002" s="114"/>
      <c r="S1002" s="114"/>
      <c r="T1002" s="114"/>
      <c r="U1002" s="114"/>
      <c r="V1002" s="114"/>
      <c r="W1002" s="114"/>
      <c r="X1002" s="114"/>
      <c r="Y1002" s="114"/>
      <c r="Z1002" s="114"/>
    </row>
    <row r="1003" spans="1:26" ht="15.75" customHeight="1" x14ac:dyDescent="0.25">
      <c r="A1003" s="44" t="s">
        <v>504</v>
      </c>
      <c r="B1003" s="41" t="s">
        <v>237</v>
      </c>
      <c r="C1003" s="43">
        <v>37712.94</v>
      </c>
      <c r="D1003" s="43">
        <v>12049.18</v>
      </c>
      <c r="E1003" s="43">
        <f>F1003-D1003</f>
        <v>35950.82</v>
      </c>
      <c r="F1003" s="43">
        <v>48000</v>
      </c>
      <c r="G1003" s="43">
        <v>48000</v>
      </c>
      <c r="H1003" s="114"/>
      <c r="I1003" s="60"/>
      <c r="J1003" s="60"/>
      <c r="K1003" s="114"/>
      <c r="L1003" s="114"/>
      <c r="M1003" s="60"/>
      <c r="N1003" s="60"/>
      <c r="O1003" s="114"/>
      <c r="P1003" s="114"/>
      <c r="Q1003" s="114"/>
      <c r="R1003" s="114"/>
      <c r="S1003" s="114"/>
      <c r="T1003" s="114"/>
      <c r="U1003" s="114"/>
      <c r="V1003" s="114"/>
      <c r="W1003" s="114"/>
      <c r="X1003" s="114"/>
      <c r="Y1003" s="114"/>
      <c r="Z1003" s="114"/>
    </row>
    <row r="1004" spans="1:26" ht="15.75" customHeight="1" x14ac:dyDescent="0.25">
      <c r="A1004" s="118" t="s">
        <v>405</v>
      </c>
      <c r="B1004" s="172" t="s">
        <v>235</v>
      </c>
      <c r="C1004" s="43">
        <v>0</v>
      </c>
      <c r="D1004" s="43">
        <v>0</v>
      </c>
      <c r="E1004" s="43">
        <v>0</v>
      </c>
      <c r="F1004" s="43">
        <v>0</v>
      </c>
      <c r="G1004" s="43">
        <v>18000</v>
      </c>
      <c r="H1004" s="114"/>
      <c r="I1004" s="60"/>
      <c r="J1004" s="60"/>
      <c r="K1004" s="114"/>
      <c r="L1004" s="114"/>
      <c r="M1004" s="60"/>
      <c r="N1004" s="60"/>
      <c r="O1004" s="114"/>
      <c r="P1004" s="114"/>
      <c r="Q1004" s="114"/>
      <c r="R1004" s="114"/>
      <c r="S1004" s="114"/>
      <c r="T1004" s="114"/>
      <c r="U1004" s="114"/>
      <c r="V1004" s="114"/>
      <c r="W1004" s="114"/>
      <c r="X1004" s="114"/>
      <c r="Y1004" s="114"/>
      <c r="Z1004" s="114"/>
    </row>
    <row r="1005" spans="1:26" ht="15.75" customHeight="1" x14ac:dyDescent="0.25">
      <c r="A1005" s="17" t="s">
        <v>424</v>
      </c>
      <c r="B1005" s="41"/>
      <c r="C1005" s="43"/>
      <c r="D1005" s="43"/>
      <c r="E1005" s="43"/>
      <c r="F1005" s="43"/>
      <c r="G1005" s="43"/>
      <c r="H1005" s="114"/>
      <c r="I1005" s="60"/>
      <c r="J1005" s="60"/>
      <c r="K1005" s="114"/>
      <c r="L1005" s="114"/>
      <c r="M1005" s="60"/>
      <c r="N1005" s="60"/>
      <c r="O1005" s="114"/>
      <c r="P1005" s="114"/>
      <c r="Q1005" s="114"/>
      <c r="R1005" s="114"/>
      <c r="S1005" s="114"/>
      <c r="T1005" s="114"/>
      <c r="U1005" s="114"/>
      <c r="V1005" s="114"/>
      <c r="W1005" s="114"/>
      <c r="X1005" s="114"/>
      <c r="Y1005" s="114"/>
      <c r="Z1005" s="114"/>
    </row>
    <row r="1006" spans="1:26" ht="15.75" customHeight="1" x14ac:dyDescent="0.25">
      <c r="A1006" s="44" t="s">
        <v>424</v>
      </c>
      <c r="B1006" s="41" t="s">
        <v>335</v>
      </c>
      <c r="C1006" s="43">
        <v>1105291.8400000001</v>
      </c>
      <c r="D1006" s="43">
        <v>688835.62</v>
      </c>
      <c r="E1006" s="43">
        <f>F1006-D1006</f>
        <v>1019244.38</v>
      </c>
      <c r="F1006" s="43">
        <v>1708080</v>
      </c>
      <c r="G1006" s="43">
        <v>2261904</v>
      </c>
      <c r="H1006" s="114"/>
      <c r="N1006" s="60"/>
      <c r="O1006" s="114"/>
      <c r="P1006" s="114"/>
      <c r="Q1006" s="114"/>
      <c r="R1006" s="114"/>
      <c r="S1006" s="114"/>
      <c r="T1006" s="114"/>
      <c r="U1006" s="114"/>
      <c r="V1006" s="114"/>
      <c r="W1006" s="114"/>
      <c r="X1006" s="114"/>
      <c r="Y1006" s="114"/>
      <c r="Z1006" s="114"/>
    </row>
    <row r="1007" spans="1:26" ht="15.75" customHeight="1" x14ac:dyDescent="0.25">
      <c r="A1007" s="44" t="s">
        <v>1025</v>
      </c>
      <c r="B1007" s="41"/>
      <c r="C1007" s="43"/>
      <c r="D1007" s="43"/>
      <c r="E1007" s="43"/>
      <c r="F1007" s="43"/>
      <c r="G1007" s="43"/>
      <c r="H1007" s="114"/>
      <c r="M1007" s="40">
        <v>114000</v>
      </c>
      <c r="N1007" s="60"/>
      <c r="O1007" s="114"/>
      <c r="P1007" s="114"/>
      <c r="Q1007" s="114"/>
      <c r="R1007" s="114"/>
      <c r="S1007" s="114"/>
      <c r="T1007" s="114"/>
      <c r="U1007" s="114"/>
      <c r="V1007" s="114"/>
      <c r="W1007" s="114"/>
      <c r="X1007" s="114"/>
      <c r="Y1007" s="114"/>
      <c r="Z1007" s="114"/>
    </row>
    <row r="1008" spans="1:26" ht="15.75" customHeight="1" x14ac:dyDescent="0.25">
      <c r="A1008" s="44" t="s">
        <v>864</v>
      </c>
      <c r="B1008" s="41"/>
      <c r="C1008" s="43"/>
      <c r="D1008" s="43"/>
      <c r="E1008" s="43"/>
      <c r="F1008" s="43"/>
      <c r="G1008" s="43"/>
      <c r="H1008" s="114"/>
      <c r="I1008" s="210" t="s">
        <v>877</v>
      </c>
      <c r="J1008" s="211" t="s">
        <v>878</v>
      </c>
      <c r="K1008" s="210" t="s">
        <v>879</v>
      </c>
      <c r="L1008" s="8" t="s">
        <v>880</v>
      </c>
      <c r="M1008" s="210" t="s">
        <v>881</v>
      </c>
      <c r="N1008" s="60"/>
      <c r="O1008" s="114"/>
      <c r="P1008" s="114"/>
      <c r="Q1008" s="114"/>
      <c r="R1008" s="114"/>
      <c r="S1008" s="114"/>
      <c r="T1008" s="114"/>
      <c r="U1008" s="114"/>
      <c r="V1008" s="114"/>
      <c r="W1008" s="114"/>
      <c r="X1008" s="114"/>
      <c r="Y1008" s="114"/>
      <c r="Z1008" s="114"/>
    </row>
    <row r="1009" spans="1:26" ht="31.5" x14ac:dyDescent="0.25">
      <c r="A1009" s="118" t="s">
        <v>1026</v>
      </c>
      <c r="B1009" s="41"/>
      <c r="C1009" s="43"/>
      <c r="D1009" s="43"/>
      <c r="E1009" s="43"/>
      <c r="F1009" s="43"/>
      <c r="G1009" s="43"/>
      <c r="H1009" s="114"/>
      <c r="I1009" s="60">
        <v>678</v>
      </c>
      <c r="J1009" s="211">
        <v>12</v>
      </c>
      <c r="K1009" s="8">
        <v>22</v>
      </c>
      <c r="L1009" s="8">
        <v>12</v>
      </c>
      <c r="M1009" s="60">
        <f>I1009*J1009*K1009*L1009</f>
        <v>2147904</v>
      </c>
      <c r="N1009" s="60">
        <f>M1007+M1009</f>
        <v>2261904</v>
      </c>
      <c r="O1009" s="114"/>
      <c r="P1009" s="114"/>
      <c r="Q1009" s="114"/>
      <c r="R1009" s="114"/>
      <c r="S1009" s="114"/>
      <c r="T1009" s="114"/>
      <c r="U1009" s="114"/>
      <c r="V1009" s="114"/>
      <c r="W1009" s="114"/>
      <c r="X1009" s="114"/>
      <c r="Y1009" s="114"/>
      <c r="Z1009" s="114"/>
    </row>
    <row r="1010" spans="1:26" ht="15.75" customHeight="1" x14ac:dyDescent="0.25">
      <c r="A1010" s="42" t="s">
        <v>466</v>
      </c>
      <c r="B1010" s="41"/>
      <c r="C1010" s="54">
        <f>SUM(C1000:C1006)</f>
        <v>1355943.2000000002</v>
      </c>
      <c r="D1010" s="54">
        <f>SUM(D1000:D1006)</f>
        <v>700884.8</v>
      </c>
      <c r="E1010" s="54">
        <f>F1010-D1010</f>
        <v>1362058.2</v>
      </c>
      <c r="F1010" s="54">
        <f>SUM(F1000:F1006)</f>
        <v>2062943</v>
      </c>
      <c r="G1010" s="54">
        <f>SUM(G1000:G1009)</f>
        <v>2634212</v>
      </c>
      <c r="H1010" s="114"/>
      <c r="O1010" s="114"/>
      <c r="P1010" s="114"/>
      <c r="Q1010" s="114"/>
      <c r="R1010" s="114"/>
      <c r="S1010" s="114"/>
      <c r="T1010" s="114"/>
      <c r="U1010" s="114"/>
      <c r="V1010" s="114"/>
      <c r="W1010" s="114"/>
      <c r="X1010" s="114"/>
      <c r="Y1010" s="114"/>
      <c r="Z1010" s="114"/>
    </row>
    <row r="1011" spans="1:26" ht="15.75" customHeight="1" x14ac:dyDescent="0.25">
      <c r="A1011" s="17"/>
      <c r="B1011" s="41"/>
      <c r="C1011" s="55"/>
      <c r="D1011" s="55"/>
      <c r="E1011" s="43"/>
      <c r="F1011" s="55"/>
      <c r="G1011" s="55"/>
      <c r="H1011" s="114"/>
      <c r="I1011" s="60"/>
      <c r="J1011" s="60"/>
      <c r="K1011" s="114"/>
      <c r="L1011" s="114"/>
      <c r="M1011" s="60"/>
      <c r="N1011" s="60"/>
      <c r="O1011" s="114"/>
      <c r="P1011" s="114"/>
      <c r="Q1011" s="114"/>
      <c r="R1011" s="114"/>
      <c r="S1011" s="114"/>
      <c r="T1011" s="114"/>
      <c r="U1011" s="114"/>
      <c r="V1011" s="114"/>
      <c r="W1011" s="114"/>
      <c r="X1011" s="114"/>
      <c r="Y1011" s="114"/>
      <c r="Z1011" s="114"/>
    </row>
    <row r="1012" spans="1:26" ht="15.75" customHeight="1" x14ac:dyDescent="0.25">
      <c r="A1012" s="17" t="s">
        <v>467</v>
      </c>
      <c r="B1012" s="41"/>
      <c r="C1012" s="43">
        <f t="shared" ref="C1012:D1012" si="173">C1010</f>
        <v>1355943.2000000002</v>
      </c>
      <c r="D1012" s="43">
        <f t="shared" si="173"/>
        <v>700884.8</v>
      </c>
      <c r="E1012" s="43">
        <f>F1012-D1012</f>
        <v>1362058.2</v>
      </c>
      <c r="F1012" s="43">
        <f t="shared" ref="F1012:G1012" si="174">F1010</f>
        <v>2062943</v>
      </c>
      <c r="G1012" s="43">
        <f t="shared" si="174"/>
        <v>2634212</v>
      </c>
      <c r="H1012" s="114"/>
      <c r="I1012" s="60"/>
      <c r="J1012" s="60"/>
      <c r="K1012" s="114"/>
      <c r="L1012" s="114"/>
      <c r="M1012" s="60"/>
      <c r="N1012" s="60"/>
      <c r="O1012" s="114"/>
      <c r="P1012" s="114"/>
      <c r="Q1012" s="114"/>
      <c r="R1012" s="114"/>
      <c r="S1012" s="114"/>
      <c r="T1012" s="114"/>
      <c r="U1012" s="114"/>
      <c r="V1012" s="114"/>
      <c r="W1012" s="114"/>
      <c r="X1012" s="114"/>
      <c r="Y1012" s="114"/>
      <c r="Z1012" s="114"/>
    </row>
    <row r="1013" spans="1:26" ht="15.75" customHeight="1" x14ac:dyDescent="0.25">
      <c r="A1013" s="161"/>
      <c r="B1013" s="41"/>
      <c r="C1013" s="43"/>
      <c r="D1013" s="43"/>
      <c r="E1013" s="43"/>
      <c r="F1013" s="43"/>
      <c r="G1013" s="43"/>
      <c r="H1013" s="114"/>
      <c r="I1013" s="60"/>
      <c r="J1013" s="60"/>
      <c r="K1013" s="114"/>
      <c r="L1013" s="114"/>
      <c r="M1013" s="60"/>
      <c r="N1013" s="60"/>
      <c r="O1013" s="114"/>
      <c r="P1013" s="114"/>
      <c r="Q1013" s="114"/>
      <c r="R1013" s="114"/>
      <c r="S1013" s="114"/>
      <c r="T1013" s="114"/>
      <c r="U1013" s="114"/>
      <c r="V1013" s="114"/>
      <c r="W1013" s="114"/>
      <c r="X1013" s="114"/>
      <c r="Y1013" s="114"/>
      <c r="Z1013" s="114"/>
    </row>
    <row r="1014" spans="1:26" ht="15.75" customHeight="1" x14ac:dyDescent="0.25">
      <c r="A1014" s="50" t="s">
        <v>487</v>
      </c>
      <c r="B1014" s="51" t="s">
        <v>488</v>
      </c>
      <c r="C1014" s="54" t="e">
        <f>C1012+#REF!</f>
        <v>#REF!</v>
      </c>
      <c r="D1014" s="54" t="e">
        <f>D1012+#REF!</f>
        <v>#REF!</v>
      </c>
      <c r="E1014" s="54" t="e">
        <f>F1014-D1014</f>
        <v>#REF!</v>
      </c>
      <c r="F1014" s="54" t="e">
        <f>F1012+#REF!</f>
        <v>#REF!</v>
      </c>
      <c r="G1014" s="54">
        <f>+G1012</f>
        <v>2634212</v>
      </c>
      <c r="H1014" s="114"/>
      <c r="I1014" s="60"/>
      <c r="J1014" s="60"/>
      <c r="K1014" s="114"/>
      <c r="L1014" s="114"/>
      <c r="M1014" s="60"/>
      <c r="N1014" s="60"/>
      <c r="O1014" s="114"/>
      <c r="P1014" s="114"/>
      <c r="Q1014" s="114"/>
      <c r="R1014" s="114"/>
      <c r="S1014" s="114"/>
      <c r="T1014" s="114"/>
      <c r="U1014" s="114"/>
      <c r="V1014" s="114"/>
      <c r="W1014" s="114"/>
      <c r="X1014" s="114"/>
      <c r="Y1014" s="114"/>
      <c r="Z1014" s="114"/>
    </row>
    <row r="1015" spans="1:26" ht="15.75" customHeight="1" x14ac:dyDescent="0.25">
      <c r="A1015" s="24"/>
      <c r="B1015" s="25"/>
      <c r="C1015" s="26"/>
      <c r="D1015" s="26"/>
      <c r="E1015" s="26"/>
      <c r="F1015" s="26"/>
      <c r="G1015" s="26"/>
      <c r="H1015" s="114"/>
      <c r="I1015" s="60"/>
      <c r="J1015" s="60"/>
      <c r="K1015" s="114"/>
      <c r="L1015" s="114"/>
      <c r="M1015" s="60"/>
      <c r="N1015" s="60"/>
      <c r="O1015" s="114"/>
      <c r="P1015" s="114"/>
      <c r="Q1015" s="114"/>
      <c r="R1015" s="114"/>
      <c r="S1015" s="114"/>
      <c r="T1015" s="114"/>
      <c r="U1015" s="114"/>
      <c r="V1015" s="114"/>
      <c r="W1015" s="114"/>
      <c r="X1015" s="114"/>
      <c r="Y1015" s="114"/>
      <c r="Z1015" s="114"/>
    </row>
    <row r="1016" spans="1:26" ht="15.75" customHeight="1" x14ac:dyDescent="0.25">
      <c r="A1016" s="24"/>
      <c r="B1016" s="25"/>
      <c r="C1016" s="24"/>
      <c r="D1016" s="24"/>
      <c r="E1016" s="24"/>
      <c r="F1016" s="15"/>
      <c r="G1016" s="15"/>
      <c r="H1016" s="15"/>
      <c r="I1016" s="16"/>
      <c r="J1016" s="16"/>
      <c r="K1016" s="15"/>
      <c r="L1016" s="15"/>
      <c r="M1016" s="16"/>
      <c r="N1016" s="16"/>
      <c r="O1016" s="15"/>
      <c r="P1016" s="15"/>
      <c r="Q1016" s="15"/>
      <c r="R1016" s="15"/>
      <c r="S1016" s="15"/>
      <c r="T1016" s="15"/>
      <c r="U1016" s="15"/>
      <c r="V1016" s="15"/>
      <c r="W1016" s="15"/>
      <c r="X1016" s="15"/>
      <c r="Y1016" s="15"/>
      <c r="Z1016" s="15"/>
    </row>
    <row r="1017" spans="1:26" ht="15.75" customHeight="1" x14ac:dyDescent="0.25">
      <c r="A1017" s="9"/>
      <c r="B1017" s="104"/>
      <c r="C1017" s="105"/>
      <c r="D1017" s="105"/>
      <c r="E1017" s="105"/>
      <c r="F1017" s="10"/>
      <c r="G1017" s="180"/>
      <c r="H1017" s="15"/>
      <c r="I1017" s="16"/>
      <c r="J1017" s="16"/>
      <c r="K1017" s="15"/>
      <c r="L1017" s="15"/>
      <c r="M1017" s="16"/>
      <c r="N1017" s="16"/>
      <c r="O1017" s="15"/>
      <c r="P1017" s="15"/>
      <c r="Q1017" s="15"/>
      <c r="R1017" s="15"/>
      <c r="S1017" s="15"/>
      <c r="T1017" s="15"/>
      <c r="U1017" s="15"/>
      <c r="V1017" s="15"/>
      <c r="W1017" s="15"/>
      <c r="X1017" s="15"/>
      <c r="Y1017" s="15"/>
      <c r="Z1017" s="15"/>
    </row>
    <row r="1018" spans="1:26" ht="15.75" customHeight="1" x14ac:dyDescent="0.25">
      <c r="A1018" s="108" t="s">
        <v>834</v>
      </c>
      <c r="B1018" s="25"/>
      <c r="C1018" s="26"/>
      <c r="D1018" s="26"/>
      <c r="E1018" s="26"/>
      <c r="F1018" s="14"/>
      <c r="G1018" s="181"/>
      <c r="H1018" s="15"/>
      <c r="I1018" s="16"/>
      <c r="J1018" s="16"/>
      <c r="K1018" s="15"/>
      <c r="L1018" s="15"/>
      <c r="M1018" s="16"/>
      <c r="N1018" s="16"/>
      <c r="O1018" s="15"/>
      <c r="P1018" s="15"/>
      <c r="Q1018" s="15"/>
      <c r="R1018" s="15"/>
      <c r="S1018" s="15"/>
      <c r="T1018" s="15"/>
      <c r="U1018" s="15"/>
      <c r="V1018" s="15"/>
      <c r="W1018" s="15"/>
      <c r="X1018" s="15"/>
      <c r="Y1018" s="15"/>
      <c r="Z1018" s="15"/>
    </row>
    <row r="1019" spans="1:26" ht="15.75" customHeight="1" x14ac:dyDescent="0.25">
      <c r="A1019" s="44"/>
      <c r="B1019" s="25"/>
      <c r="C1019" s="26"/>
      <c r="D1019" s="26"/>
      <c r="E1019" s="26"/>
      <c r="F1019" s="14"/>
      <c r="G1019" s="181"/>
      <c r="H1019" s="15"/>
      <c r="I1019" s="16"/>
      <c r="J1019" s="16"/>
      <c r="K1019" s="15"/>
      <c r="L1019" s="15"/>
      <c r="M1019" s="16"/>
      <c r="N1019" s="16"/>
      <c r="O1019" s="15"/>
      <c r="P1019" s="15"/>
      <c r="Q1019" s="15"/>
      <c r="R1019" s="15"/>
      <c r="S1019" s="15"/>
      <c r="T1019" s="15"/>
      <c r="U1019" s="15"/>
      <c r="V1019" s="15"/>
      <c r="W1019" s="15"/>
      <c r="X1019" s="15"/>
      <c r="Y1019" s="15"/>
      <c r="Z1019" s="15"/>
    </row>
    <row r="1020" spans="1:26" ht="15.75" customHeight="1" x14ac:dyDescent="0.25">
      <c r="A1020" s="865" t="s">
        <v>352</v>
      </c>
      <c r="B1020" s="866"/>
      <c r="C1020" s="866"/>
      <c r="D1020" s="866"/>
      <c r="E1020" s="866"/>
      <c r="F1020" s="866"/>
      <c r="G1020" s="867"/>
      <c r="H1020" s="15"/>
      <c r="I1020" s="16"/>
      <c r="J1020" s="16"/>
      <c r="K1020" s="15"/>
      <c r="L1020" s="15"/>
      <c r="M1020" s="16"/>
      <c r="N1020" s="16"/>
      <c r="O1020" s="15"/>
      <c r="P1020" s="15"/>
      <c r="Q1020" s="15"/>
      <c r="R1020" s="15"/>
      <c r="S1020" s="15"/>
      <c r="T1020" s="15"/>
      <c r="U1020" s="15"/>
      <c r="V1020" s="15"/>
      <c r="W1020" s="15"/>
      <c r="X1020" s="15"/>
      <c r="Y1020" s="15"/>
      <c r="Z1020" s="15"/>
    </row>
    <row r="1021" spans="1:26" ht="15.75" customHeight="1" x14ac:dyDescent="0.25">
      <c r="A1021" s="868" t="s">
        <v>353</v>
      </c>
      <c r="B1021" s="857" t="s">
        <v>354</v>
      </c>
      <c r="C1021" s="870" t="s">
        <v>355</v>
      </c>
      <c r="D1021" s="872" t="s">
        <v>356</v>
      </c>
      <c r="E1021" s="873"/>
      <c r="F1021" s="874"/>
      <c r="G1021" s="857" t="s">
        <v>357</v>
      </c>
      <c r="H1021" s="15"/>
      <c r="I1021" s="16"/>
      <c r="J1021" s="16"/>
      <c r="K1021" s="15"/>
      <c r="L1021" s="15"/>
      <c r="M1021" s="16"/>
      <c r="N1021" s="16"/>
      <c r="O1021" s="15"/>
      <c r="P1021" s="15"/>
      <c r="Q1021" s="15"/>
      <c r="R1021" s="15"/>
      <c r="S1021" s="15"/>
      <c r="T1021" s="15"/>
      <c r="U1021" s="15"/>
      <c r="V1021" s="15"/>
      <c r="W1021" s="15"/>
      <c r="X1021" s="15"/>
      <c r="Y1021" s="15"/>
      <c r="Z1021" s="15"/>
    </row>
    <row r="1022" spans="1:26" ht="15.75" customHeight="1" x14ac:dyDescent="0.25">
      <c r="A1022" s="858"/>
      <c r="B1022" s="858"/>
      <c r="C1022" s="871"/>
      <c r="D1022" s="28" t="s">
        <v>358</v>
      </c>
      <c r="E1022" s="29" t="s">
        <v>359</v>
      </c>
      <c r="F1022" s="875" t="s">
        <v>360</v>
      </c>
      <c r="G1022" s="858"/>
      <c r="H1022" s="15"/>
      <c r="I1022" s="16"/>
      <c r="J1022" s="16"/>
      <c r="K1022" s="15"/>
      <c r="L1022" s="15"/>
      <c r="M1022" s="16"/>
      <c r="N1022" s="16"/>
      <c r="O1022" s="15"/>
      <c r="P1022" s="15"/>
      <c r="Q1022" s="15"/>
      <c r="R1022" s="15"/>
      <c r="S1022" s="15"/>
      <c r="T1022" s="15"/>
      <c r="U1022" s="15"/>
      <c r="V1022" s="15"/>
      <c r="W1022" s="15"/>
      <c r="X1022" s="15"/>
      <c r="Y1022" s="15"/>
      <c r="Z1022" s="15"/>
    </row>
    <row r="1023" spans="1:26" ht="15.75" customHeight="1" x14ac:dyDescent="0.25">
      <c r="A1023" s="858"/>
      <c r="B1023" s="858"/>
      <c r="C1023" s="30" t="s">
        <v>361</v>
      </c>
      <c r="D1023" s="31" t="s">
        <v>361</v>
      </c>
      <c r="E1023" s="32" t="s">
        <v>362</v>
      </c>
      <c r="F1023" s="860"/>
      <c r="G1023" s="442" t="s">
        <v>2717</v>
      </c>
      <c r="H1023" s="15"/>
      <c r="I1023" s="16"/>
      <c r="J1023" s="16"/>
      <c r="K1023" s="15"/>
      <c r="L1023" s="15"/>
      <c r="M1023" s="16"/>
      <c r="N1023" s="16"/>
      <c r="O1023" s="15"/>
      <c r="P1023" s="15"/>
      <c r="Q1023" s="15"/>
      <c r="R1023" s="15"/>
      <c r="S1023" s="15"/>
      <c r="T1023" s="15"/>
      <c r="U1023" s="15"/>
      <c r="V1023" s="15"/>
      <c r="W1023" s="15"/>
      <c r="X1023" s="15"/>
      <c r="Y1023" s="15"/>
      <c r="Z1023" s="15"/>
    </row>
    <row r="1024" spans="1:26" ht="15.75" customHeight="1" x14ac:dyDescent="0.25">
      <c r="A1024" s="869"/>
      <c r="B1024" s="869"/>
      <c r="C1024" s="33">
        <v>2024</v>
      </c>
      <c r="D1024" s="34">
        <v>2025</v>
      </c>
      <c r="E1024" s="34">
        <v>2025</v>
      </c>
      <c r="F1024" s="34">
        <v>2025</v>
      </c>
      <c r="G1024" s="36" t="s">
        <v>2668</v>
      </c>
      <c r="H1024" s="15"/>
      <c r="I1024" s="16"/>
      <c r="J1024" s="16"/>
      <c r="K1024" s="15"/>
      <c r="L1024" s="15"/>
      <c r="M1024" s="16"/>
      <c r="N1024" s="16"/>
      <c r="O1024" s="15"/>
      <c r="P1024" s="15"/>
      <c r="Q1024" s="15"/>
      <c r="R1024" s="15"/>
      <c r="S1024" s="15"/>
      <c r="T1024" s="15"/>
      <c r="U1024" s="15"/>
      <c r="V1024" s="15"/>
      <c r="W1024" s="15"/>
      <c r="X1024" s="15"/>
      <c r="Y1024" s="15"/>
      <c r="Z1024" s="15"/>
    </row>
    <row r="1025" spans="1:26" ht="15.75" customHeight="1" x14ac:dyDescent="0.25">
      <c r="A1025" s="9" t="s">
        <v>364</v>
      </c>
      <c r="B1025" s="38"/>
      <c r="C1025" s="42"/>
      <c r="D1025" s="42"/>
      <c r="E1025" s="42"/>
      <c r="F1025" s="42"/>
      <c r="G1025" s="37"/>
      <c r="H1025" s="114"/>
      <c r="I1025" s="60"/>
      <c r="J1025" s="60"/>
      <c r="K1025" s="114"/>
      <c r="L1025" s="114"/>
      <c r="M1025" s="60"/>
      <c r="N1025" s="60"/>
      <c r="O1025" s="114"/>
      <c r="P1025" s="114"/>
      <c r="Q1025" s="114"/>
      <c r="R1025" s="114"/>
      <c r="S1025" s="114"/>
      <c r="T1025" s="114"/>
      <c r="U1025" s="114"/>
      <c r="V1025" s="114"/>
      <c r="W1025" s="114"/>
      <c r="X1025" s="114"/>
      <c r="Y1025" s="114"/>
      <c r="Z1025" s="114"/>
    </row>
    <row r="1026" spans="1:26" ht="15.75" customHeight="1" x14ac:dyDescent="0.25">
      <c r="A1026" s="42" t="s">
        <v>491</v>
      </c>
      <c r="B1026" s="49"/>
      <c r="C1026" s="43"/>
      <c r="D1026" s="43"/>
      <c r="E1026" s="43"/>
      <c r="F1026" s="43"/>
      <c r="G1026" s="43"/>
      <c r="H1026" s="114"/>
      <c r="I1026" s="60"/>
      <c r="J1026" s="60"/>
      <c r="K1026" s="114"/>
      <c r="L1026" s="114"/>
      <c r="M1026" s="60"/>
      <c r="N1026" s="60"/>
      <c r="O1026" s="114"/>
      <c r="P1026" s="114"/>
      <c r="Q1026" s="114"/>
      <c r="R1026" s="114"/>
      <c r="S1026" s="114"/>
      <c r="T1026" s="114"/>
      <c r="U1026" s="114"/>
      <c r="V1026" s="114"/>
      <c r="W1026" s="114"/>
      <c r="X1026" s="114"/>
      <c r="Y1026" s="114"/>
      <c r="Z1026" s="114"/>
    </row>
    <row r="1027" spans="1:26" ht="15.75" customHeight="1" x14ac:dyDescent="0.25">
      <c r="A1027" s="17" t="s">
        <v>499</v>
      </c>
      <c r="B1027" s="41"/>
      <c r="C1027" s="43"/>
      <c r="D1027" s="43"/>
      <c r="E1027" s="43"/>
      <c r="F1027" s="43"/>
      <c r="G1027" s="43"/>
      <c r="H1027" s="114"/>
      <c r="I1027" s="60"/>
      <c r="J1027" s="60"/>
      <c r="K1027" s="114"/>
      <c r="L1027" s="114"/>
      <c r="M1027" s="60"/>
      <c r="N1027" s="60"/>
      <c r="O1027" s="114"/>
      <c r="P1027" s="114"/>
      <c r="Q1027" s="114"/>
      <c r="R1027" s="114"/>
      <c r="S1027" s="114"/>
      <c r="T1027" s="114"/>
      <c r="U1027" s="114"/>
      <c r="V1027" s="114"/>
      <c r="W1027" s="114"/>
      <c r="X1027" s="114"/>
      <c r="Y1027" s="114"/>
      <c r="Z1027" s="114"/>
    </row>
    <row r="1028" spans="1:26" ht="15.75" customHeight="1" x14ac:dyDescent="0.25">
      <c r="A1028" s="44" t="s">
        <v>398</v>
      </c>
      <c r="B1028" s="41" t="s">
        <v>195</v>
      </c>
      <c r="C1028" s="43">
        <v>39396.699999999997</v>
      </c>
      <c r="D1028" s="43">
        <v>16497.5</v>
      </c>
      <c r="E1028" s="43">
        <f t="shared" ref="E1028" si="175">F1028-D1028</f>
        <v>16497.5</v>
      </c>
      <c r="F1028" s="43">
        <v>32995</v>
      </c>
      <c r="G1028" s="43">
        <v>32995</v>
      </c>
      <c r="H1028" s="114"/>
      <c r="I1028" s="60"/>
      <c r="J1028" s="60"/>
      <c r="K1028" s="114"/>
      <c r="L1028" s="114"/>
      <c r="M1028" s="60"/>
      <c r="N1028" s="60"/>
      <c r="O1028" s="114"/>
      <c r="P1028" s="114"/>
      <c r="Q1028" s="114"/>
      <c r="R1028" s="114"/>
      <c r="S1028" s="114"/>
      <c r="T1028" s="114"/>
      <c r="U1028" s="114"/>
      <c r="V1028" s="114"/>
      <c r="W1028" s="114"/>
      <c r="X1028" s="114"/>
      <c r="Y1028" s="114"/>
      <c r="Z1028" s="114"/>
    </row>
    <row r="1029" spans="1:26" ht="15.75" customHeight="1" x14ac:dyDescent="0.25">
      <c r="A1029" s="17" t="s">
        <v>511</v>
      </c>
      <c r="B1029" s="41"/>
      <c r="C1029" s="42"/>
      <c r="D1029" s="42"/>
      <c r="E1029" s="43"/>
      <c r="F1029" s="43"/>
      <c r="G1029" s="43"/>
      <c r="H1029" s="114"/>
      <c r="I1029" s="60"/>
      <c r="J1029" s="60"/>
      <c r="K1029" s="114"/>
      <c r="L1029" s="114"/>
      <c r="M1029" s="60"/>
      <c r="N1029" s="60"/>
      <c r="O1029" s="114"/>
      <c r="P1029" s="114"/>
      <c r="Q1029" s="114"/>
      <c r="R1029" s="114"/>
      <c r="S1029" s="114"/>
      <c r="T1029" s="114"/>
      <c r="U1029" s="114"/>
      <c r="V1029" s="114"/>
      <c r="W1029" s="114"/>
      <c r="X1029" s="114"/>
      <c r="Y1029" s="114"/>
      <c r="Z1029" s="114"/>
    </row>
    <row r="1030" spans="1:26" ht="15.75" customHeight="1" x14ac:dyDescent="0.25">
      <c r="A1030" s="44" t="s">
        <v>424</v>
      </c>
      <c r="B1030" s="41" t="s">
        <v>335</v>
      </c>
      <c r="C1030" s="43">
        <v>729000</v>
      </c>
      <c r="D1030" s="43">
        <v>450000</v>
      </c>
      <c r="E1030" s="43">
        <f>F1030-D1030</f>
        <v>450000</v>
      </c>
      <c r="F1030" s="43">
        <v>900000</v>
      </c>
      <c r="G1030" s="43">
        <v>1920000</v>
      </c>
      <c r="H1030" s="114"/>
      <c r="I1030" s="60"/>
      <c r="J1030" s="60"/>
      <c r="K1030" s="114"/>
      <c r="L1030" s="114"/>
      <c r="M1030" s="60"/>
      <c r="N1030" s="60"/>
      <c r="O1030" s="114"/>
      <c r="P1030" s="114"/>
      <c r="Q1030" s="114"/>
      <c r="R1030" s="114"/>
      <c r="S1030" s="114"/>
      <c r="T1030" s="114"/>
      <c r="U1030" s="114"/>
      <c r="V1030" s="114"/>
      <c r="W1030" s="114"/>
      <c r="X1030" s="114"/>
      <c r="Y1030" s="114"/>
      <c r="Z1030" s="114"/>
    </row>
    <row r="1031" spans="1:26" ht="31.5" x14ac:dyDescent="0.25">
      <c r="A1031" s="118" t="s">
        <v>1028</v>
      </c>
      <c r="B1031" s="41"/>
      <c r="C1031" s="43"/>
      <c r="D1031" s="43"/>
      <c r="E1031" s="43"/>
      <c r="F1031" s="43"/>
      <c r="G1031" s="43"/>
      <c r="H1031" s="114"/>
      <c r="I1031" s="218">
        <v>80</v>
      </c>
      <c r="J1031" s="219">
        <v>2000</v>
      </c>
      <c r="K1031" s="220">
        <v>12</v>
      </c>
      <c r="L1031" s="219">
        <f>I1031*J1031*K1031</f>
        <v>1920000</v>
      </c>
      <c r="M1031" s="60"/>
      <c r="N1031" s="60"/>
      <c r="O1031" s="114"/>
      <c r="P1031" s="114"/>
      <c r="Q1031" s="114"/>
      <c r="R1031" s="114"/>
      <c r="S1031" s="114"/>
      <c r="T1031" s="114"/>
      <c r="U1031" s="114"/>
      <c r="V1031" s="114"/>
      <c r="W1031" s="114"/>
      <c r="X1031" s="114"/>
      <c r="Y1031" s="114"/>
      <c r="Z1031" s="114"/>
    </row>
    <row r="1032" spans="1:26" ht="15.75" customHeight="1" x14ac:dyDescent="0.25">
      <c r="A1032" s="42" t="s">
        <v>466</v>
      </c>
      <c r="B1032" s="41"/>
      <c r="C1032" s="54">
        <f>SUM(C1027:C1030)</f>
        <v>768396.7</v>
      </c>
      <c r="D1032" s="54">
        <f>SUM(D1027:D1030)</f>
        <v>466497.5</v>
      </c>
      <c r="E1032" s="54">
        <f>F1032-D1032</f>
        <v>466497.5</v>
      </c>
      <c r="F1032" s="54">
        <f>SUM(F1027:F1030)</f>
        <v>932995</v>
      </c>
      <c r="G1032" s="54">
        <f>SUM(G1027:G1030)</f>
        <v>1952995</v>
      </c>
      <c r="H1032" s="114"/>
      <c r="I1032" s="60"/>
      <c r="J1032" s="60"/>
      <c r="K1032" s="114"/>
      <c r="L1032" s="114"/>
      <c r="M1032" s="60"/>
      <c r="N1032" s="60"/>
      <c r="O1032" s="114"/>
      <c r="P1032" s="114"/>
      <c r="Q1032" s="114"/>
      <c r="R1032" s="114"/>
      <c r="S1032" s="114"/>
      <c r="T1032" s="114"/>
      <c r="U1032" s="114"/>
      <c r="V1032" s="114"/>
      <c r="W1032" s="114"/>
      <c r="X1032" s="114"/>
      <c r="Y1032" s="114"/>
      <c r="Z1032" s="114"/>
    </row>
    <row r="1033" spans="1:26" ht="15.75" customHeight="1" x14ac:dyDescent="0.25">
      <c r="A1033" s="17"/>
      <c r="B1033" s="41"/>
      <c r="C1033" s="55"/>
      <c r="D1033" s="55"/>
      <c r="E1033" s="43"/>
      <c r="F1033" s="55"/>
      <c r="G1033" s="55"/>
      <c r="H1033" s="114"/>
      <c r="I1033" s="60"/>
      <c r="J1033" s="60"/>
      <c r="K1033" s="114"/>
      <c r="L1033" s="114"/>
      <c r="M1033" s="60"/>
      <c r="N1033" s="60"/>
      <c r="O1033" s="114"/>
      <c r="P1033" s="114"/>
      <c r="Q1033" s="114"/>
      <c r="R1033" s="114"/>
      <c r="S1033" s="114"/>
      <c r="T1033" s="114"/>
      <c r="U1033" s="114"/>
      <c r="V1033" s="114"/>
      <c r="W1033" s="114"/>
      <c r="X1033" s="114"/>
      <c r="Y1033" s="114"/>
      <c r="Z1033" s="114"/>
    </row>
    <row r="1034" spans="1:26" ht="15.75" customHeight="1" x14ac:dyDescent="0.25">
      <c r="A1034" s="17" t="s">
        <v>467</v>
      </c>
      <c r="B1034" s="41"/>
      <c r="C1034" s="43">
        <f t="shared" ref="C1034:D1034" si="176">C1032</f>
        <v>768396.7</v>
      </c>
      <c r="D1034" s="43">
        <f t="shared" si="176"/>
        <v>466497.5</v>
      </c>
      <c r="E1034" s="43">
        <f>F1034-D1034</f>
        <v>466497.5</v>
      </c>
      <c r="F1034" s="43">
        <f t="shared" ref="F1034:G1034" si="177">F1032</f>
        <v>932995</v>
      </c>
      <c r="G1034" s="43">
        <f t="shared" si="177"/>
        <v>1952995</v>
      </c>
      <c r="H1034" s="114"/>
      <c r="I1034" s="60"/>
      <c r="J1034" s="60"/>
      <c r="K1034" s="114"/>
      <c r="L1034" s="114"/>
      <c r="M1034" s="60"/>
      <c r="N1034" s="60"/>
      <c r="O1034" s="114"/>
      <c r="P1034" s="114"/>
      <c r="Q1034" s="114"/>
      <c r="R1034" s="114"/>
      <c r="S1034" s="114"/>
      <c r="T1034" s="114"/>
      <c r="U1034" s="114"/>
      <c r="V1034" s="114"/>
      <c r="W1034" s="114"/>
      <c r="X1034" s="114"/>
      <c r="Y1034" s="114"/>
      <c r="Z1034" s="114"/>
    </row>
    <row r="1035" spans="1:26" ht="15.75" customHeight="1" x14ac:dyDescent="0.25">
      <c r="A1035" s="17"/>
      <c r="B1035" s="41"/>
      <c r="C1035" s="43"/>
      <c r="D1035" s="43"/>
      <c r="E1035" s="43"/>
      <c r="F1035" s="43"/>
      <c r="G1035" s="43"/>
      <c r="H1035" s="114"/>
      <c r="I1035" s="60"/>
      <c r="J1035" s="60"/>
      <c r="K1035" s="114"/>
      <c r="L1035" s="114"/>
      <c r="M1035" s="60"/>
      <c r="N1035" s="60"/>
      <c r="O1035" s="114"/>
      <c r="P1035" s="114"/>
      <c r="Q1035" s="114"/>
      <c r="R1035" s="114"/>
      <c r="S1035" s="114"/>
      <c r="T1035" s="114"/>
      <c r="U1035" s="114"/>
      <c r="V1035" s="114"/>
      <c r="W1035" s="114"/>
      <c r="X1035" s="114"/>
      <c r="Y1035" s="114"/>
      <c r="Z1035" s="114"/>
    </row>
    <row r="1036" spans="1:26" ht="15.75" customHeight="1" x14ac:dyDescent="0.25">
      <c r="A1036" s="50" t="s">
        <v>487</v>
      </c>
      <c r="B1036" s="51" t="s">
        <v>488</v>
      </c>
      <c r="C1036" s="54" t="e">
        <f>C1034+#REF!</f>
        <v>#REF!</v>
      </c>
      <c r="D1036" s="54" t="e">
        <f>D1034+#REF!</f>
        <v>#REF!</v>
      </c>
      <c r="E1036" s="54" t="e">
        <f>F1036-D1036</f>
        <v>#REF!</v>
      </c>
      <c r="F1036" s="54" t="e">
        <f>F1034+#REF!</f>
        <v>#REF!</v>
      </c>
      <c r="G1036" s="54">
        <f>+G1034</f>
        <v>1952995</v>
      </c>
      <c r="H1036" s="114"/>
      <c r="I1036" s="60"/>
      <c r="J1036" s="60"/>
      <c r="K1036" s="114"/>
      <c r="L1036" s="114"/>
      <c r="M1036" s="60"/>
      <c r="N1036" s="60"/>
      <c r="O1036" s="114"/>
      <c r="P1036" s="114"/>
      <c r="Q1036" s="114"/>
      <c r="R1036" s="114"/>
      <c r="S1036" s="114"/>
      <c r="T1036" s="114"/>
      <c r="U1036" s="114"/>
      <c r="V1036" s="114"/>
      <c r="W1036" s="114"/>
      <c r="X1036" s="114"/>
      <c r="Y1036" s="114"/>
      <c r="Z1036" s="114"/>
    </row>
    <row r="1037" spans="1:26" ht="15.75" x14ac:dyDescent="0.25">
      <c r="A1037" s="24"/>
      <c r="B1037" s="25"/>
      <c r="C1037" s="26"/>
      <c r="D1037" s="26"/>
      <c r="E1037" s="26"/>
      <c r="F1037" s="26"/>
      <c r="G1037" s="26"/>
      <c r="H1037" s="114"/>
      <c r="I1037" s="60"/>
      <c r="J1037" s="60"/>
      <c r="K1037" s="114"/>
      <c r="L1037" s="114"/>
      <c r="M1037" s="60"/>
      <c r="N1037" s="60"/>
      <c r="O1037" s="114"/>
      <c r="P1037" s="114"/>
      <c r="Q1037" s="114"/>
      <c r="R1037" s="114"/>
      <c r="S1037" s="114"/>
      <c r="T1037" s="114"/>
      <c r="U1037" s="114"/>
      <c r="V1037" s="114"/>
      <c r="W1037" s="114"/>
      <c r="X1037" s="114"/>
      <c r="Y1037" s="114"/>
      <c r="Z1037" s="114"/>
    </row>
    <row r="1038" spans="1:26" ht="15.75" customHeight="1" x14ac:dyDescent="0.25">
      <c r="A1038" s="148"/>
      <c r="B1038" s="155"/>
      <c r="C1038" s="148"/>
      <c r="D1038" s="148"/>
      <c r="E1038" s="148"/>
      <c r="F1038" s="150"/>
      <c r="G1038" s="150"/>
      <c r="H1038" s="114"/>
      <c r="I1038" s="60"/>
      <c r="J1038" s="60"/>
      <c r="K1038" s="114"/>
      <c r="L1038" s="114"/>
      <c r="M1038" s="60"/>
      <c r="N1038" s="60"/>
      <c r="O1038" s="114"/>
      <c r="P1038" s="114"/>
      <c r="Q1038" s="114"/>
      <c r="R1038" s="114"/>
      <c r="S1038" s="114"/>
      <c r="T1038" s="114"/>
      <c r="U1038" s="114"/>
      <c r="V1038" s="114"/>
      <c r="W1038" s="114"/>
      <c r="X1038" s="114"/>
      <c r="Y1038" s="114"/>
      <c r="Z1038" s="114"/>
    </row>
    <row r="1039" spans="1:26" ht="15.75" customHeight="1" x14ac:dyDescent="0.25">
      <c r="A1039" s="9"/>
      <c r="B1039" s="104"/>
      <c r="C1039" s="105"/>
      <c r="D1039" s="105"/>
      <c r="E1039" s="105"/>
      <c r="F1039" s="10"/>
      <c r="G1039" s="180"/>
      <c r="H1039" s="15"/>
      <c r="I1039" s="16"/>
      <c r="J1039" s="16"/>
      <c r="K1039" s="15"/>
      <c r="L1039" s="15"/>
      <c r="M1039" s="16"/>
      <c r="N1039" s="16"/>
      <c r="O1039" s="15"/>
      <c r="P1039" s="15"/>
      <c r="Q1039" s="15"/>
      <c r="R1039" s="15"/>
      <c r="S1039" s="15"/>
      <c r="T1039" s="15"/>
      <c r="U1039" s="15"/>
      <c r="V1039" s="15"/>
      <c r="W1039" s="15"/>
      <c r="X1039" s="15"/>
      <c r="Y1039" s="15"/>
      <c r="Z1039" s="15"/>
    </row>
    <row r="1040" spans="1:26" ht="30.75" customHeight="1" x14ac:dyDescent="0.25">
      <c r="A1040" s="878" t="s">
        <v>1029</v>
      </c>
      <c r="B1040" s="879"/>
      <c r="C1040" s="879"/>
      <c r="D1040" s="879"/>
      <c r="E1040" s="879"/>
      <c r="F1040" s="879"/>
      <c r="G1040" s="880"/>
      <c r="H1040" s="15"/>
      <c r="I1040" s="16"/>
      <c r="J1040" s="16"/>
      <c r="K1040" s="15"/>
      <c r="L1040" s="15"/>
      <c r="M1040" s="16"/>
      <c r="N1040" s="16"/>
      <c r="O1040" s="15"/>
      <c r="P1040" s="15"/>
      <c r="Q1040" s="15"/>
      <c r="R1040" s="15"/>
      <c r="S1040" s="15"/>
      <c r="T1040" s="15"/>
      <c r="U1040" s="15"/>
      <c r="V1040" s="15"/>
      <c r="W1040" s="15"/>
      <c r="X1040" s="15"/>
      <c r="Y1040" s="15"/>
      <c r="Z1040" s="15"/>
    </row>
    <row r="1041" spans="1:26" ht="15.75" customHeight="1" x14ac:dyDescent="0.25">
      <c r="A1041" s="44"/>
      <c r="B1041" s="25"/>
      <c r="C1041" s="26"/>
      <c r="D1041" s="26"/>
      <c r="E1041" s="26"/>
      <c r="F1041" s="14"/>
      <c r="G1041" s="181"/>
      <c r="H1041" s="15"/>
      <c r="I1041" s="16"/>
      <c r="J1041" s="16"/>
      <c r="K1041" s="15"/>
      <c r="L1041" s="15"/>
      <c r="M1041" s="16"/>
      <c r="N1041" s="16"/>
      <c r="O1041" s="15"/>
      <c r="P1041" s="15"/>
      <c r="Q1041" s="15"/>
      <c r="R1041" s="15"/>
      <c r="S1041" s="15"/>
      <c r="T1041" s="15"/>
      <c r="U1041" s="15"/>
      <c r="V1041" s="15"/>
      <c r="W1041" s="15"/>
      <c r="X1041" s="15"/>
      <c r="Y1041" s="15"/>
      <c r="Z1041" s="15"/>
    </row>
    <row r="1042" spans="1:26" ht="15.75" customHeight="1" x14ac:dyDescent="0.25">
      <c r="A1042" s="865" t="s">
        <v>352</v>
      </c>
      <c r="B1042" s="866"/>
      <c r="C1042" s="866"/>
      <c r="D1042" s="866"/>
      <c r="E1042" s="866"/>
      <c r="F1042" s="866"/>
      <c r="G1042" s="867"/>
      <c r="H1042" s="15"/>
      <c r="I1042" s="16"/>
      <c r="J1042" s="16"/>
      <c r="K1042" s="15"/>
      <c r="L1042" s="15"/>
      <c r="M1042" s="16"/>
      <c r="N1042" s="16"/>
      <c r="O1042" s="15"/>
      <c r="P1042" s="15"/>
      <c r="Q1042" s="15"/>
      <c r="R1042" s="15"/>
      <c r="S1042" s="15"/>
      <c r="T1042" s="15"/>
      <c r="U1042" s="15"/>
      <c r="V1042" s="15"/>
      <c r="W1042" s="15"/>
      <c r="X1042" s="15"/>
      <c r="Y1042" s="15"/>
      <c r="Z1042" s="15"/>
    </row>
    <row r="1043" spans="1:26" ht="15.75" customHeight="1" x14ac:dyDescent="0.25">
      <c r="A1043" s="868" t="s">
        <v>353</v>
      </c>
      <c r="B1043" s="857" t="s">
        <v>354</v>
      </c>
      <c r="C1043" s="870" t="s">
        <v>355</v>
      </c>
      <c r="D1043" s="872" t="s">
        <v>356</v>
      </c>
      <c r="E1043" s="873"/>
      <c r="F1043" s="874"/>
      <c r="G1043" s="857" t="s">
        <v>357</v>
      </c>
      <c r="H1043" s="15"/>
      <c r="I1043" s="16"/>
      <c r="J1043" s="16"/>
      <c r="K1043" s="15"/>
      <c r="L1043" s="15"/>
      <c r="M1043" s="16"/>
      <c r="N1043" s="16"/>
      <c r="O1043" s="15"/>
      <c r="P1043" s="15"/>
      <c r="Q1043" s="15"/>
      <c r="R1043" s="15"/>
      <c r="S1043" s="15"/>
      <c r="T1043" s="15"/>
      <c r="U1043" s="15"/>
      <c r="V1043" s="15"/>
      <c r="W1043" s="15"/>
      <c r="X1043" s="15"/>
      <c r="Y1043" s="15"/>
      <c r="Z1043" s="15"/>
    </row>
    <row r="1044" spans="1:26" ht="15.75" customHeight="1" x14ac:dyDescent="0.25">
      <c r="A1044" s="858"/>
      <c r="B1044" s="858"/>
      <c r="C1044" s="871"/>
      <c r="D1044" s="28" t="s">
        <v>358</v>
      </c>
      <c r="E1044" s="29" t="s">
        <v>359</v>
      </c>
      <c r="F1044" s="857" t="s">
        <v>360</v>
      </c>
      <c r="G1044" s="858"/>
      <c r="H1044" s="15"/>
      <c r="I1044" s="16"/>
      <c r="J1044" s="16"/>
      <c r="K1044" s="15"/>
      <c r="L1044" s="15"/>
      <c r="M1044" s="16"/>
      <c r="N1044" s="16"/>
      <c r="O1044" s="15"/>
      <c r="P1044" s="15"/>
      <c r="Q1044" s="15"/>
      <c r="R1044" s="15"/>
      <c r="S1044" s="15"/>
      <c r="T1044" s="15"/>
      <c r="U1044" s="15"/>
      <c r="V1044" s="15"/>
      <c r="W1044" s="15"/>
      <c r="X1044" s="15"/>
      <c r="Y1044" s="15"/>
      <c r="Z1044" s="15"/>
    </row>
    <row r="1045" spans="1:26" ht="15.75" customHeight="1" x14ac:dyDescent="0.25">
      <c r="A1045" s="858"/>
      <c r="B1045" s="858"/>
      <c r="C1045" s="30" t="s">
        <v>361</v>
      </c>
      <c r="D1045" s="31" t="s">
        <v>361</v>
      </c>
      <c r="E1045" s="32" t="s">
        <v>362</v>
      </c>
      <c r="F1045" s="858"/>
      <c r="G1045" s="442" t="s">
        <v>2717</v>
      </c>
      <c r="H1045" s="15"/>
      <c r="I1045" s="16"/>
      <c r="J1045" s="16"/>
      <c r="K1045" s="15"/>
      <c r="L1045" s="15"/>
      <c r="M1045" s="16"/>
      <c r="N1045" s="16"/>
      <c r="O1045" s="15"/>
      <c r="P1045" s="15"/>
      <c r="Q1045" s="15"/>
      <c r="R1045" s="15"/>
      <c r="S1045" s="15"/>
      <c r="T1045" s="15"/>
      <c r="U1045" s="15"/>
      <c r="V1045" s="15"/>
      <c r="W1045" s="15"/>
      <c r="X1045" s="15"/>
      <c r="Y1045" s="15"/>
      <c r="Z1045" s="15"/>
    </row>
    <row r="1046" spans="1:26" ht="15.75" customHeight="1" x14ac:dyDescent="0.25">
      <c r="A1046" s="869"/>
      <c r="B1046" s="869"/>
      <c r="C1046" s="33">
        <v>2024</v>
      </c>
      <c r="D1046" s="34">
        <v>2025</v>
      </c>
      <c r="E1046" s="34">
        <v>2025</v>
      </c>
      <c r="F1046" s="34">
        <v>2025</v>
      </c>
      <c r="G1046" s="36" t="s">
        <v>2668</v>
      </c>
      <c r="H1046" s="15"/>
      <c r="I1046" s="16"/>
      <c r="J1046" s="16"/>
      <c r="K1046" s="15"/>
      <c r="L1046" s="15"/>
      <c r="M1046" s="16"/>
      <c r="N1046" s="16"/>
      <c r="O1046" s="15"/>
      <c r="P1046" s="15"/>
      <c r="Q1046" s="15"/>
      <c r="R1046" s="15"/>
      <c r="S1046" s="15"/>
      <c r="T1046" s="15"/>
      <c r="U1046" s="15"/>
      <c r="V1046" s="15"/>
      <c r="W1046" s="15"/>
      <c r="X1046" s="15"/>
      <c r="Y1046" s="15"/>
      <c r="Z1046" s="15"/>
    </row>
    <row r="1047" spans="1:26" ht="15.75" customHeight="1" x14ac:dyDescent="0.25">
      <c r="A1047" s="9" t="s">
        <v>364</v>
      </c>
      <c r="B1047" s="38"/>
      <c r="C1047" s="42"/>
      <c r="D1047" s="42"/>
      <c r="E1047" s="42"/>
      <c r="F1047" s="42"/>
      <c r="G1047" s="37"/>
      <c r="H1047" s="114"/>
      <c r="I1047" s="60"/>
      <c r="J1047" s="60"/>
      <c r="K1047" s="114"/>
      <c r="L1047" s="114"/>
      <c r="M1047" s="60"/>
      <c r="N1047" s="60"/>
      <c r="O1047" s="114"/>
      <c r="P1047" s="114"/>
      <c r="Q1047" s="114"/>
      <c r="R1047" s="114"/>
      <c r="S1047" s="114"/>
      <c r="T1047" s="114"/>
      <c r="U1047" s="114"/>
      <c r="V1047" s="114"/>
      <c r="W1047" s="114"/>
      <c r="X1047" s="114"/>
      <c r="Y1047" s="114"/>
      <c r="Z1047" s="114"/>
    </row>
    <row r="1048" spans="1:26" ht="15.75" customHeight="1" x14ac:dyDescent="0.25">
      <c r="A1048" s="42" t="s">
        <v>622</v>
      </c>
      <c r="B1048" s="41"/>
      <c r="C1048" s="42"/>
      <c r="D1048" s="42"/>
      <c r="E1048" s="42"/>
      <c r="F1048" s="42"/>
      <c r="G1048" s="42"/>
      <c r="H1048" s="114"/>
      <c r="I1048" s="60"/>
      <c r="J1048" s="60"/>
      <c r="K1048" s="114"/>
      <c r="L1048" s="114"/>
      <c r="M1048" s="60"/>
      <c r="N1048" s="60"/>
      <c r="O1048" s="114"/>
      <c r="P1048" s="114"/>
      <c r="Q1048" s="114"/>
      <c r="R1048" s="114"/>
      <c r="S1048" s="114"/>
      <c r="T1048" s="114"/>
      <c r="U1048" s="114"/>
      <c r="V1048" s="114"/>
      <c r="W1048" s="114"/>
      <c r="X1048" s="114"/>
      <c r="Y1048" s="114"/>
      <c r="Z1048" s="114"/>
    </row>
    <row r="1049" spans="1:26" ht="15.75" customHeight="1" x14ac:dyDescent="0.25">
      <c r="A1049" s="17" t="s">
        <v>366</v>
      </c>
      <c r="B1049" s="41"/>
      <c r="C1049" s="42"/>
      <c r="D1049" s="42"/>
      <c r="E1049" s="42"/>
      <c r="F1049" s="42"/>
      <c r="G1049" s="42"/>
      <c r="H1049" s="114"/>
      <c r="I1049" s="60"/>
      <c r="J1049" s="60"/>
      <c r="K1049" s="114"/>
      <c r="L1049" s="114"/>
      <c r="M1049" s="60"/>
      <c r="N1049" s="60"/>
      <c r="O1049" s="114"/>
      <c r="P1049" s="114"/>
      <c r="Q1049" s="114"/>
      <c r="R1049" s="114"/>
      <c r="S1049" s="114"/>
      <c r="T1049" s="114"/>
      <c r="U1049" s="114"/>
      <c r="V1049" s="114"/>
      <c r="W1049" s="114"/>
      <c r="X1049" s="114"/>
      <c r="Y1049" s="114"/>
      <c r="Z1049" s="114"/>
    </row>
    <row r="1050" spans="1:26" ht="15.75" customHeight="1" x14ac:dyDescent="0.25">
      <c r="A1050" s="44" t="s">
        <v>367</v>
      </c>
      <c r="B1050" s="41" t="s">
        <v>121</v>
      </c>
      <c r="C1050" s="91">
        <v>0</v>
      </c>
      <c r="D1050" s="91">
        <v>0</v>
      </c>
      <c r="E1050" s="91">
        <f t="shared" ref="E1050:E1051" si="178">F1050-D1050</f>
        <v>50000000</v>
      </c>
      <c r="F1050" s="91">
        <v>50000000</v>
      </c>
      <c r="G1050" s="91">
        <v>50000000</v>
      </c>
      <c r="H1050" s="114"/>
      <c r="I1050" s="60"/>
      <c r="J1050" s="60"/>
      <c r="K1050" s="114"/>
      <c r="L1050" s="114"/>
      <c r="M1050" s="60"/>
      <c r="N1050" s="60"/>
      <c r="O1050" s="114"/>
      <c r="P1050" s="114"/>
      <c r="Q1050" s="114"/>
      <c r="R1050" s="114"/>
      <c r="S1050" s="114"/>
      <c r="T1050" s="114"/>
      <c r="U1050" s="114"/>
      <c r="V1050" s="114"/>
      <c r="W1050" s="114"/>
      <c r="X1050" s="114"/>
      <c r="Y1050" s="114"/>
      <c r="Z1050" s="114"/>
    </row>
    <row r="1051" spans="1:26" ht="15.75" customHeight="1" x14ac:dyDescent="0.25">
      <c r="A1051" s="42" t="s">
        <v>632</v>
      </c>
      <c r="B1051" s="49"/>
      <c r="C1051" s="54">
        <f t="shared" ref="C1051:D1051" si="179">SUM(C1050)</f>
        <v>0</v>
      </c>
      <c r="D1051" s="54">
        <f t="shared" si="179"/>
        <v>0</v>
      </c>
      <c r="E1051" s="221">
        <f t="shared" si="178"/>
        <v>50000000</v>
      </c>
      <c r="F1051" s="54">
        <f t="shared" ref="F1051:G1051" si="180">SUM(F1050)</f>
        <v>50000000</v>
      </c>
      <c r="G1051" s="54">
        <f t="shared" si="180"/>
        <v>50000000</v>
      </c>
      <c r="H1051" s="114"/>
      <c r="I1051" s="60"/>
      <c r="J1051" s="60"/>
      <c r="K1051" s="114"/>
      <c r="L1051" s="114"/>
      <c r="M1051" s="60"/>
      <c r="N1051" s="60"/>
      <c r="O1051" s="114"/>
      <c r="P1051" s="114"/>
      <c r="Q1051" s="114"/>
      <c r="R1051" s="114"/>
      <c r="S1051" s="114"/>
      <c r="T1051" s="114"/>
      <c r="U1051" s="114"/>
      <c r="V1051" s="114"/>
      <c r="W1051" s="114"/>
      <c r="X1051" s="114"/>
      <c r="Y1051" s="114"/>
      <c r="Z1051" s="114"/>
    </row>
    <row r="1052" spans="1:26" ht="15.75" customHeight="1" x14ac:dyDescent="0.25">
      <c r="A1052" s="198"/>
      <c r="B1052" s="41"/>
      <c r="C1052" s="41"/>
      <c r="D1052" s="41"/>
      <c r="E1052" s="91"/>
      <c r="F1052" s="41"/>
      <c r="G1052" s="41"/>
      <c r="H1052" s="114"/>
      <c r="I1052" s="60"/>
      <c r="J1052" s="60"/>
      <c r="K1052" s="114"/>
      <c r="L1052" s="114"/>
      <c r="M1052" s="60"/>
      <c r="N1052" s="60"/>
      <c r="O1052" s="114"/>
      <c r="P1052" s="114"/>
      <c r="Q1052" s="114"/>
      <c r="R1052" s="114"/>
      <c r="S1052" s="114"/>
      <c r="T1052" s="114"/>
      <c r="U1052" s="114"/>
      <c r="V1052" s="114"/>
      <c r="W1052" s="114"/>
      <c r="X1052" s="114"/>
      <c r="Y1052" s="114"/>
      <c r="Z1052" s="114"/>
    </row>
    <row r="1053" spans="1:26" ht="15.75" customHeight="1" x14ac:dyDescent="0.25">
      <c r="A1053" s="17" t="s">
        <v>467</v>
      </c>
      <c r="B1053" s="41"/>
      <c r="C1053" s="43">
        <f t="shared" ref="C1053:D1053" si="181">C1051</f>
        <v>0</v>
      </c>
      <c r="D1053" s="43">
        <f t="shared" si="181"/>
        <v>0</v>
      </c>
      <c r="E1053" s="91">
        <f>F1053-D1053</f>
        <v>50000000</v>
      </c>
      <c r="F1053" s="43">
        <f t="shared" ref="F1053:G1053" si="182">F1051</f>
        <v>50000000</v>
      </c>
      <c r="G1053" s="43">
        <f t="shared" si="182"/>
        <v>50000000</v>
      </c>
      <c r="H1053" s="114"/>
      <c r="I1053" s="60"/>
      <c r="J1053" s="60"/>
      <c r="K1053" s="114"/>
      <c r="L1053" s="114"/>
      <c r="M1053" s="60"/>
      <c r="N1053" s="60"/>
      <c r="O1053" s="114"/>
      <c r="P1053" s="114"/>
      <c r="Q1053" s="114"/>
      <c r="R1053" s="114"/>
      <c r="S1053" s="114"/>
      <c r="T1053" s="114"/>
      <c r="U1053" s="114"/>
      <c r="V1053" s="114"/>
      <c r="W1053" s="114"/>
      <c r="X1053" s="114"/>
      <c r="Y1053" s="114"/>
      <c r="Z1053" s="114"/>
    </row>
    <row r="1054" spans="1:26" ht="15.75" customHeight="1" x14ac:dyDescent="0.25">
      <c r="A1054" s="42"/>
      <c r="B1054" s="42"/>
      <c r="C1054" s="42"/>
      <c r="D1054" s="42"/>
      <c r="E1054" s="91"/>
      <c r="F1054" s="42"/>
      <c r="G1054" s="42"/>
      <c r="H1054" s="114"/>
      <c r="I1054" s="60"/>
      <c r="J1054" s="60"/>
      <c r="K1054" s="114"/>
      <c r="L1054" s="114"/>
      <c r="M1054" s="60"/>
      <c r="N1054" s="60"/>
      <c r="O1054" s="114"/>
      <c r="P1054" s="114"/>
      <c r="Q1054" s="114"/>
      <c r="R1054" s="114"/>
      <c r="S1054" s="114"/>
      <c r="T1054" s="114"/>
      <c r="U1054" s="114"/>
      <c r="V1054" s="114"/>
      <c r="W1054" s="114"/>
      <c r="X1054" s="114"/>
      <c r="Y1054" s="114"/>
      <c r="Z1054" s="114"/>
    </row>
    <row r="1055" spans="1:26" ht="15.75" customHeight="1" x14ac:dyDescent="0.25">
      <c r="A1055" s="50" t="s">
        <v>487</v>
      </c>
      <c r="B1055" s="51" t="s">
        <v>488</v>
      </c>
      <c r="C1055" s="54">
        <f t="shared" ref="C1055:D1055" si="183">C1053</f>
        <v>0</v>
      </c>
      <c r="D1055" s="54">
        <f t="shared" si="183"/>
        <v>0</v>
      </c>
      <c r="E1055" s="221">
        <f>F1055-D1055</f>
        <v>50000000</v>
      </c>
      <c r="F1055" s="54">
        <f t="shared" ref="F1055:G1055" si="184">F1053</f>
        <v>50000000</v>
      </c>
      <c r="G1055" s="54">
        <f t="shared" si="184"/>
        <v>50000000</v>
      </c>
      <c r="H1055" s="114"/>
      <c r="I1055" s="60"/>
      <c r="J1055" s="60"/>
      <c r="K1055" s="114"/>
      <c r="L1055" s="114"/>
      <c r="M1055" s="60"/>
      <c r="N1055" s="60"/>
      <c r="O1055" s="114"/>
      <c r="P1055" s="114"/>
      <c r="Q1055" s="114"/>
      <c r="R1055" s="114"/>
      <c r="S1055" s="114"/>
      <c r="T1055" s="114"/>
      <c r="U1055" s="114"/>
      <c r="V1055" s="114"/>
      <c r="W1055" s="114"/>
      <c r="X1055" s="114"/>
      <c r="Y1055" s="114"/>
      <c r="Z1055" s="114"/>
    </row>
    <row r="1056" spans="1:26" ht="15.75" customHeight="1" x14ac:dyDescent="0.25">
      <c r="A1056" s="148"/>
      <c r="B1056" s="155"/>
      <c r="C1056" s="148"/>
      <c r="D1056" s="148"/>
      <c r="E1056" s="148"/>
      <c r="F1056" s="150"/>
      <c r="G1056" s="150"/>
      <c r="H1056" s="114"/>
      <c r="I1056" s="60"/>
      <c r="J1056" s="60"/>
      <c r="K1056" s="114"/>
      <c r="L1056" s="114"/>
      <c r="M1056" s="60"/>
      <c r="N1056" s="60"/>
      <c r="O1056" s="114"/>
      <c r="P1056" s="114"/>
      <c r="Q1056" s="114"/>
      <c r="R1056" s="114"/>
      <c r="S1056" s="114"/>
      <c r="T1056" s="114"/>
      <c r="U1056" s="114"/>
      <c r="V1056" s="114"/>
      <c r="W1056" s="114"/>
      <c r="X1056" s="114"/>
      <c r="Y1056" s="114"/>
      <c r="Z1056" s="114"/>
    </row>
    <row r="1057" spans="1:26" ht="15.75" customHeight="1" x14ac:dyDescent="0.25">
      <c r="A1057" s="148"/>
      <c r="B1057" s="155"/>
      <c r="C1057" s="148"/>
      <c r="D1057" s="148"/>
      <c r="E1057" s="148"/>
      <c r="F1057" s="150"/>
      <c r="G1057" s="150"/>
      <c r="H1057" s="114"/>
      <c r="I1057" s="60"/>
      <c r="J1057" s="60"/>
      <c r="K1057" s="114"/>
      <c r="L1057" s="114"/>
      <c r="M1057" s="60"/>
      <c r="N1057" s="60"/>
      <c r="O1057" s="114"/>
      <c r="P1057" s="114"/>
      <c r="Q1057" s="114"/>
      <c r="R1057" s="114"/>
      <c r="S1057" s="114"/>
      <c r="T1057" s="114"/>
      <c r="U1057" s="114"/>
      <c r="V1057" s="114"/>
      <c r="W1057" s="114"/>
      <c r="X1057" s="114"/>
      <c r="Y1057" s="114"/>
      <c r="Z1057" s="114"/>
    </row>
    <row r="1058" spans="1:26" ht="15" customHeight="1" x14ac:dyDescent="0.25">
      <c r="A1058" s="9"/>
      <c r="B1058" s="104"/>
      <c r="C1058" s="105"/>
      <c r="D1058" s="105"/>
      <c r="E1058" s="105"/>
      <c r="F1058" s="10"/>
      <c r="G1058" s="180"/>
      <c r="H1058" s="15"/>
      <c r="I1058" s="16"/>
      <c r="J1058" s="16"/>
      <c r="K1058" s="15"/>
      <c r="L1058" s="15"/>
      <c r="M1058" s="16"/>
      <c r="N1058" s="16"/>
      <c r="O1058" s="15"/>
      <c r="P1058" s="15"/>
      <c r="Q1058" s="15"/>
      <c r="R1058" s="15"/>
      <c r="S1058" s="15"/>
      <c r="T1058" s="15"/>
      <c r="U1058" s="15"/>
      <c r="V1058" s="15"/>
      <c r="W1058" s="15"/>
      <c r="X1058" s="15"/>
      <c r="Y1058" s="15"/>
      <c r="Z1058" s="15"/>
    </row>
    <row r="1059" spans="1:26" ht="15" customHeight="1" x14ac:dyDescent="0.25">
      <c r="A1059" s="108" t="s">
        <v>1030</v>
      </c>
      <c r="B1059" s="25"/>
      <c r="C1059" s="26"/>
      <c r="D1059" s="26"/>
      <c r="E1059" s="26"/>
      <c r="F1059" s="14"/>
      <c r="G1059" s="181"/>
      <c r="H1059" s="15"/>
      <c r="I1059" s="16"/>
      <c r="J1059" s="16"/>
      <c r="K1059" s="15"/>
      <c r="L1059" s="15"/>
      <c r="M1059" s="16"/>
      <c r="N1059" s="16"/>
      <c r="O1059" s="15"/>
      <c r="P1059" s="15"/>
      <c r="Q1059" s="15"/>
      <c r="R1059" s="15"/>
      <c r="S1059" s="15"/>
      <c r="T1059" s="15"/>
      <c r="U1059" s="15"/>
      <c r="V1059" s="15"/>
      <c r="W1059" s="15"/>
      <c r="X1059" s="15"/>
      <c r="Y1059" s="15"/>
      <c r="Z1059" s="15"/>
    </row>
    <row r="1060" spans="1:26" ht="15" customHeight="1" x14ac:dyDescent="0.25">
      <c r="A1060" s="44"/>
      <c r="B1060" s="25"/>
      <c r="C1060" s="26"/>
      <c r="D1060" s="26"/>
      <c r="E1060" s="26"/>
      <c r="F1060" s="14"/>
      <c r="G1060" s="181"/>
      <c r="H1060" s="15"/>
      <c r="I1060" s="16"/>
      <c r="J1060" s="16"/>
      <c r="K1060" s="15"/>
      <c r="L1060" s="15"/>
      <c r="M1060" s="16"/>
      <c r="N1060" s="16"/>
      <c r="O1060" s="15"/>
      <c r="P1060" s="15"/>
      <c r="Q1060" s="15"/>
      <c r="R1060" s="15"/>
      <c r="S1060" s="15"/>
      <c r="T1060" s="15"/>
      <c r="U1060" s="15"/>
      <c r="V1060" s="15"/>
      <c r="W1060" s="15"/>
      <c r="X1060" s="15"/>
      <c r="Y1060" s="15"/>
      <c r="Z1060" s="15"/>
    </row>
    <row r="1061" spans="1:26" ht="15" customHeight="1" x14ac:dyDescent="0.25">
      <c r="A1061" s="865" t="s">
        <v>352</v>
      </c>
      <c r="B1061" s="866"/>
      <c r="C1061" s="866"/>
      <c r="D1061" s="866"/>
      <c r="E1061" s="866"/>
      <c r="F1061" s="866"/>
      <c r="G1061" s="867"/>
      <c r="H1061" s="15"/>
      <c r="I1061" s="16"/>
      <c r="J1061" s="16"/>
      <c r="K1061" s="15"/>
      <c r="L1061" s="15"/>
      <c r="M1061" s="16"/>
      <c r="N1061" s="16"/>
      <c r="O1061" s="15"/>
      <c r="P1061" s="15"/>
      <c r="Q1061" s="15"/>
      <c r="R1061" s="15"/>
      <c r="S1061" s="15"/>
      <c r="T1061" s="15"/>
      <c r="U1061" s="15"/>
      <c r="V1061" s="15"/>
      <c r="W1061" s="15"/>
      <c r="X1061" s="15"/>
      <c r="Y1061" s="15"/>
      <c r="Z1061" s="15"/>
    </row>
    <row r="1062" spans="1:26" ht="15" customHeight="1" x14ac:dyDescent="0.25">
      <c r="A1062" s="868" t="s">
        <v>353</v>
      </c>
      <c r="B1062" s="857" t="s">
        <v>354</v>
      </c>
      <c r="C1062" s="870" t="s">
        <v>355</v>
      </c>
      <c r="D1062" s="872" t="s">
        <v>356</v>
      </c>
      <c r="E1062" s="873"/>
      <c r="F1062" s="874"/>
      <c r="G1062" s="857" t="s">
        <v>357</v>
      </c>
      <c r="H1062" s="15"/>
      <c r="I1062" s="16"/>
      <c r="J1062" s="16"/>
      <c r="K1062" s="15"/>
      <c r="L1062" s="15"/>
      <c r="M1062" s="16"/>
      <c r="N1062" s="16"/>
      <c r="O1062" s="15"/>
      <c r="P1062" s="15"/>
      <c r="Q1062" s="15"/>
      <c r="R1062" s="15"/>
      <c r="S1062" s="15"/>
      <c r="T1062" s="15"/>
      <c r="U1062" s="15"/>
      <c r="V1062" s="15"/>
      <c r="W1062" s="15"/>
      <c r="X1062" s="15"/>
      <c r="Y1062" s="15"/>
      <c r="Z1062" s="15"/>
    </row>
    <row r="1063" spans="1:26" ht="15" customHeight="1" x14ac:dyDescent="0.25">
      <c r="A1063" s="858"/>
      <c r="B1063" s="858"/>
      <c r="C1063" s="871"/>
      <c r="D1063" s="28" t="s">
        <v>358</v>
      </c>
      <c r="E1063" s="29" t="s">
        <v>359</v>
      </c>
      <c r="F1063" s="875" t="s">
        <v>360</v>
      </c>
      <c r="G1063" s="858"/>
      <c r="H1063" s="15"/>
      <c r="I1063" s="16"/>
      <c r="J1063" s="16"/>
      <c r="K1063" s="15"/>
      <c r="L1063" s="15"/>
      <c r="M1063" s="16"/>
      <c r="N1063" s="16"/>
      <c r="O1063" s="15"/>
      <c r="P1063" s="15"/>
      <c r="Q1063" s="15"/>
      <c r="R1063" s="15"/>
      <c r="S1063" s="15"/>
      <c r="T1063" s="15"/>
      <c r="U1063" s="15"/>
      <c r="V1063" s="15"/>
      <c r="W1063" s="15"/>
      <c r="X1063" s="15"/>
      <c r="Y1063" s="15"/>
      <c r="Z1063" s="15"/>
    </row>
    <row r="1064" spans="1:26" ht="15" customHeight="1" x14ac:dyDescent="0.25">
      <c r="A1064" s="858"/>
      <c r="B1064" s="858"/>
      <c r="C1064" s="30" t="s">
        <v>361</v>
      </c>
      <c r="D1064" s="31" t="s">
        <v>361</v>
      </c>
      <c r="E1064" s="32" t="s">
        <v>362</v>
      </c>
      <c r="F1064" s="860"/>
      <c r="G1064" s="442" t="s">
        <v>2717</v>
      </c>
      <c r="H1064" s="15"/>
      <c r="I1064" s="16"/>
      <c r="J1064" s="16"/>
      <c r="K1064" s="15"/>
      <c r="L1064" s="15"/>
      <c r="M1064" s="16"/>
      <c r="N1064" s="16"/>
      <c r="O1064" s="15"/>
      <c r="P1064" s="15"/>
      <c r="Q1064" s="15"/>
      <c r="R1064" s="15"/>
      <c r="S1064" s="15"/>
      <c r="T1064" s="15"/>
      <c r="U1064" s="15"/>
      <c r="V1064" s="15"/>
      <c r="W1064" s="15"/>
      <c r="X1064" s="15"/>
      <c r="Y1064" s="15"/>
      <c r="Z1064" s="15"/>
    </row>
    <row r="1065" spans="1:26" ht="15" customHeight="1" x14ac:dyDescent="0.25">
      <c r="A1065" s="869"/>
      <c r="B1065" s="869"/>
      <c r="C1065" s="33">
        <v>2024</v>
      </c>
      <c r="D1065" s="34">
        <v>2025</v>
      </c>
      <c r="E1065" s="34">
        <v>2025</v>
      </c>
      <c r="F1065" s="34">
        <v>2025</v>
      </c>
      <c r="G1065" s="36" t="s">
        <v>2668</v>
      </c>
      <c r="H1065" s="15"/>
      <c r="I1065" s="16"/>
      <c r="J1065" s="16"/>
      <c r="K1065" s="15"/>
      <c r="L1065" s="15"/>
      <c r="M1065" s="16"/>
      <c r="N1065" s="16"/>
      <c r="O1065" s="15"/>
      <c r="P1065" s="15"/>
      <c r="Q1065" s="15"/>
      <c r="R1065" s="15"/>
      <c r="S1065" s="15"/>
      <c r="T1065" s="15"/>
      <c r="U1065" s="15"/>
      <c r="V1065" s="15"/>
      <c r="W1065" s="15"/>
      <c r="X1065" s="15"/>
      <c r="Y1065" s="15"/>
      <c r="Z1065" s="15"/>
    </row>
    <row r="1066" spans="1:26" ht="13.15" customHeight="1" x14ac:dyDescent="0.25">
      <c r="A1066" s="9" t="s">
        <v>364</v>
      </c>
      <c r="B1066" s="38"/>
      <c r="C1066" s="42"/>
      <c r="D1066" s="42"/>
      <c r="E1066" s="42"/>
      <c r="F1066" s="42"/>
      <c r="G1066" s="37"/>
      <c r="H1066" s="114"/>
      <c r="I1066" s="60"/>
      <c r="J1066" s="60"/>
      <c r="K1066" s="114"/>
      <c r="L1066" s="114"/>
      <c r="M1066" s="60"/>
      <c r="N1066" s="60"/>
      <c r="O1066" s="114"/>
      <c r="P1066" s="114"/>
      <c r="Q1066" s="114"/>
      <c r="R1066" s="114"/>
      <c r="S1066" s="114"/>
      <c r="T1066" s="114"/>
      <c r="U1066" s="114"/>
      <c r="V1066" s="114"/>
      <c r="W1066" s="114"/>
      <c r="X1066" s="114"/>
      <c r="Y1066" s="114"/>
      <c r="Z1066" s="114"/>
    </row>
    <row r="1067" spans="1:26" ht="13.15" customHeight="1" x14ac:dyDescent="0.25">
      <c r="A1067" s="42" t="s">
        <v>491</v>
      </c>
      <c r="B1067" s="49"/>
      <c r="C1067" s="43"/>
      <c r="D1067" s="43"/>
      <c r="E1067" s="43"/>
      <c r="F1067" s="43"/>
      <c r="G1067" s="43"/>
      <c r="H1067" s="114"/>
      <c r="I1067" s="60"/>
      <c r="J1067" s="60"/>
      <c r="K1067" s="114"/>
      <c r="L1067" s="114"/>
      <c r="M1067" s="60"/>
      <c r="N1067" s="60"/>
      <c r="O1067" s="114"/>
      <c r="P1067" s="114"/>
      <c r="Q1067" s="114"/>
      <c r="R1067" s="114"/>
      <c r="S1067" s="114"/>
      <c r="T1067" s="114"/>
      <c r="U1067" s="114"/>
      <c r="V1067" s="114"/>
      <c r="W1067" s="114"/>
      <c r="X1067" s="114"/>
      <c r="Y1067" s="114"/>
      <c r="Z1067" s="114"/>
    </row>
    <row r="1068" spans="1:26" ht="13.15" customHeight="1" x14ac:dyDescent="0.25">
      <c r="A1068" s="17" t="s">
        <v>499</v>
      </c>
      <c r="B1068" s="41"/>
      <c r="C1068" s="43"/>
      <c r="D1068" s="43"/>
      <c r="E1068" s="43"/>
      <c r="F1068" s="43"/>
      <c r="G1068" s="43"/>
      <c r="H1068" s="114"/>
      <c r="I1068" s="60"/>
      <c r="J1068" s="60"/>
      <c r="K1068" s="114"/>
      <c r="L1068" s="114"/>
      <c r="M1068" s="60"/>
      <c r="N1068" s="60"/>
      <c r="O1068" s="114"/>
      <c r="P1068" s="114"/>
      <c r="Q1068" s="114"/>
      <c r="R1068" s="114"/>
      <c r="S1068" s="114"/>
      <c r="T1068" s="114"/>
      <c r="U1068" s="114"/>
      <c r="V1068" s="114"/>
      <c r="W1068" s="114"/>
      <c r="X1068" s="114"/>
      <c r="Y1068" s="114"/>
      <c r="Z1068" s="114"/>
    </row>
    <row r="1069" spans="1:26" ht="13.15" customHeight="1" x14ac:dyDescent="0.25">
      <c r="A1069" s="44" t="s">
        <v>398</v>
      </c>
      <c r="B1069" s="41" t="s">
        <v>195</v>
      </c>
      <c r="C1069" s="43">
        <v>34112.699999999997</v>
      </c>
      <c r="D1069" s="43">
        <v>0</v>
      </c>
      <c r="E1069" s="43">
        <f t="shared" ref="E1069:E1071" si="185">F1069-D1069</f>
        <v>47062</v>
      </c>
      <c r="F1069" s="43">
        <v>47062</v>
      </c>
      <c r="G1069" s="43">
        <v>37005</v>
      </c>
      <c r="H1069" s="114"/>
      <c r="I1069" s="60"/>
      <c r="J1069" s="60"/>
      <c r="K1069" s="114"/>
      <c r="L1069" s="114"/>
      <c r="M1069" s="60"/>
      <c r="N1069" s="60"/>
      <c r="O1069" s="114"/>
      <c r="P1069" s="114"/>
      <c r="Q1069" s="114"/>
      <c r="R1069" s="114"/>
      <c r="S1069" s="114"/>
      <c r="T1069" s="114"/>
      <c r="U1069" s="114"/>
      <c r="V1069" s="114"/>
      <c r="W1069" s="114"/>
      <c r="X1069" s="114"/>
      <c r="Y1069" s="114"/>
      <c r="Z1069" s="114"/>
    </row>
    <row r="1070" spans="1:26" ht="13.15" customHeight="1" x14ac:dyDescent="0.25">
      <c r="A1070" s="96" t="s">
        <v>400</v>
      </c>
      <c r="B1070" s="41" t="s">
        <v>221</v>
      </c>
      <c r="C1070" s="43">
        <v>0</v>
      </c>
      <c r="D1070" s="43">
        <v>0</v>
      </c>
      <c r="E1070" s="43">
        <f t="shared" si="185"/>
        <v>10773</v>
      </c>
      <c r="F1070" s="43">
        <v>10773</v>
      </c>
      <c r="G1070" s="43">
        <v>35000</v>
      </c>
      <c r="H1070" s="114"/>
      <c r="I1070" s="60"/>
      <c r="J1070" s="60"/>
      <c r="K1070" s="114"/>
      <c r="L1070" s="114"/>
      <c r="M1070" s="60"/>
      <c r="N1070" s="60"/>
      <c r="O1070" s="114"/>
      <c r="P1070" s="114"/>
      <c r="Q1070" s="114"/>
      <c r="R1070" s="114"/>
      <c r="S1070" s="114"/>
      <c r="T1070" s="114"/>
      <c r="U1070" s="114"/>
      <c r="V1070" s="114"/>
      <c r="W1070" s="114"/>
      <c r="X1070" s="114"/>
      <c r="Y1070" s="114"/>
      <c r="Z1070" s="114"/>
    </row>
    <row r="1071" spans="1:26" ht="13.15" customHeight="1" x14ac:dyDescent="0.25">
      <c r="A1071" s="44" t="s">
        <v>402</v>
      </c>
      <c r="B1071" s="41" t="s">
        <v>225</v>
      </c>
      <c r="C1071" s="43">
        <v>163719.28</v>
      </c>
      <c r="D1071" s="43">
        <v>62393.5</v>
      </c>
      <c r="E1071" s="43">
        <f t="shared" si="185"/>
        <v>123437.5</v>
      </c>
      <c r="F1071" s="43">
        <v>185831</v>
      </c>
      <c r="G1071" s="43">
        <v>171522</v>
      </c>
      <c r="H1071" s="114"/>
      <c r="I1071" s="60"/>
      <c r="J1071" s="60"/>
      <c r="K1071" s="114"/>
      <c r="L1071" s="114"/>
      <c r="M1071" s="60"/>
      <c r="N1071" s="60"/>
      <c r="O1071" s="114"/>
      <c r="P1071" s="114"/>
      <c r="Q1071" s="114"/>
      <c r="R1071" s="114"/>
      <c r="S1071" s="114"/>
      <c r="T1071" s="114"/>
      <c r="U1071" s="114"/>
      <c r="V1071" s="114"/>
      <c r="W1071" s="114"/>
      <c r="X1071" s="114"/>
      <c r="Y1071" s="114"/>
      <c r="Z1071" s="114"/>
    </row>
    <row r="1072" spans="1:26" ht="13.15" customHeight="1" x14ac:dyDescent="0.25">
      <c r="A1072" s="17" t="s">
        <v>813</v>
      </c>
      <c r="B1072" s="41"/>
      <c r="C1072" s="43"/>
      <c r="D1072" s="43"/>
      <c r="E1072" s="43"/>
      <c r="F1072" s="43"/>
      <c r="G1072" s="43"/>
      <c r="H1072" s="114"/>
      <c r="I1072" s="60"/>
      <c r="J1072" s="60"/>
      <c r="K1072" s="114"/>
      <c r="L1072" s="114"/>
      <c r="M1072" s="60"/>
      <c r="N1072" s="60"/>
      <c r="O1072" s="114"/>
      <c r="P1072" s="114"/>
      <c r="Q1072" s="114"/>
      <c r="R1072" s="114"/>
      <c r="S1072" s="114"/>
      <c r="T1072" s="114"/>
      <c r="U1072" s="114"/>
      <c r="V1072" s="114"/>
      <c r="W1072" s="114"/>
      <c r="X1072" s="114"/>
      <c r="Y1072" s="114"/>
      <c r="Z1072" s="114"/>
    </row>
    <row r="1073" spans="1:26" ht="13.15" customHeight="1" x14ac:dyDescent="0.25">
      <c r="A1073" s="44" t="s">
        <v>814</v>
      </c>
      <c r="B1073" s="41" t="s">
        <v>227</v>
      </c>
      <c r="C1073" s="43">
        <v>186909.84</v>
      </c>
      <c r="D1073" s="43">
        <v>76531.100000000006</v>
      </c>
      <c r="E1073" s="43">
        <f>F1073-D1073</f>
        <v>203468.9</v>
      </c>
      <c r="F1073" s="43">
        <v>280000</v>
      </c>
      <c r="G1073" s="43">
        <v>250000</v>
      </c>
      <c r="H1073" s="114"/>
      <c r="I1073" s="60"/>
      <c r="J1073" s="60"/>
      <c r="K1073" s="114"/>
      <c r="L1073" s="114"/>
      <c r="M1073" s="60"/>
      <c r="N1073" s="60"/>
      <c r="O1073" s="114"/>
      <c r="P1073" s="114"/>
      <c r="Q1073" s="114"/>
      <c r="R1073" s="114"/>
      <c r="S1073" s="114"/>
      <c r="T1073" s="114"/>
      <c r="U1073" s="114"/>
      <c r="V1073" s="114"/>
      <c r="W1073" s="114"/>
      <c r="X1073" s="114"/>
      <c r="Y1073" s="114"/>
      <c r="Z1073" s="114"/>
    </row>
    <row r="1074" spans="1:26" ht="13.15" customHeight="1" x14ac:dyDescent="0.25">
      <c r="A1074" s="17" t="s">
        <v>503</v>
      </c>
      <c r="B1074" s="41"/>
      <c r="C1074" s="43"/>
      <c r="D1074" s="43"/>
      <c r="E1074" s="43"/>
      <c r="F1074" s="43"/>
      <c r="G1074" s="43"/>
      <c r="H1074" s="114"/>
      <c r="I1074" s="60"/>
      <c r="J1074" s="60"/>
      <c r="K1074" s="114"/>
      <c r="L1074" s="114"/>
      <c r="M1074" s="60"/>
      <c r="N1074" s="60"/>
      <c r="O1074" s="114"/>
      <c r="P1074" s="114"/>
      <c r="Q1074" s="114"/>
      <c r="R1074" s="114"/>
      <c r="S1074" s="114"/>
      <c r="T1074" s="114"/>
      <c r="U1074" s="114"/>
      <c r="V1074" s="114"/>
      <c r="W1074" s="114"/>
      <c r="X1074" s="114"/>
      <c r="Y1074" s="114"/>
      <c r="Z1074" s="114"/>
    </row>
    <row r="1075" spans="1:26" ht="13.15" customHeight="1" x14ac:dyDescent="0.25">
      <c r="A1075" s="44" t="s">
        <v>643</v>
      </c>
      <c r="B1075" s="41" t="s">
        <v>233</v>
      </c>
      <c r="C1075" s="43">
        <v>24000</v>
      </c>
      <c r="D1075" s="43">
        <v>12000.06</v>
      </c>
      <c r="E1075" s="43">
        <f>F1075-D1075</f>
        <v>12099.94</v>
      </c>
      <c r="F1075" s="43">
        <v>24100</v>
      </c>
      <c r="G1075" s="43">
        <v>24100</v>
      </c>
      <c r="H1075" s="114"/>
      <c r="I1075" s="60"/>
      <c r="J1075" s="60"/>
      <c r="K1075" s="114"/>
      <c r="L1075" s="114"/>
      <c r="M1075" s="60"/>
      <c r="N1075" s="60"/>
      <c r="O1075" s="114"/>
      <c r="P1075" s="114"/>
      <c r="Q1075" s="114"/>
      <c r="R1075" s="114"/>
      <c r="S1075" s="114"/>
      <c r="T1075" s="114"/>
      <c r="U1075" s="114"/>
      <c r="V1075" s="114"/>
      <c r="W1075" s="114"/>
      <c r="X1075" s="114"/>
      <c r="Y1075" s="114"/>
      <c r="Z1075" s="114"/>
    </row>
    <row r="1076" spans="1:26" ht="13.15" customHeight="1" x14ac:dyDescent="0.25">
      <c r="A1076" s="17" t="s">
        <v>506</v>
      </c>
      <c r="B1076" s="41"/>
      <c r="C1076" s="43"/>
      <c r="D1076" s="43"/>
      <c r="E1076" s="43"/>
      <c r="F1076" s="43"/>
      <c r="G1076" s="43"/>
      <c r="H1076" s="114"/>
      <c r="I1076" s="60"/>
      <c r="J1076" s="60"/>
      <c r="K1076" s="114"/>
      <c r="L1076" s="114"/>
      <c r="M1076" s="60"/>
      <c r="N1076" s="60"/>
      <c r="O1076" s="114"/>
      <c r="P1076" s="114"/>
      <c r="Q1076" s="114"/>
      <c r="R1076" s="114"/>
      <c r="S1076" s="114"/>
      <c r="T1076" s="114"/>
      <c r="U1076" s="114"/>
      <c r="V1076" s="114"/>
      <c r="W1076" s="114"/>
      <c r="X1076" s="114"/>
      <c r="Y1076" s="114"/>
      <c r="Z1076" s="114"/>
    </row>
    <row r="1077" spans="1:26" ht="13.15" customHeight="1" x14ac:dyDescent="0.25">
      <c r="A1077" s="44" t="s">
        <v>725</v>
      </c>
      <c r="B1077" s="41" t="s">
        <v>283</v>
      </c>
      <c r="C1077" s="43">
        <v>0</v>
      </c>
      <c r="D1077" s="43">
        <v>0</v>
      </c>
      <c r="E1077" s="43">
        <f>F1077-D1077</f>
        <v>250000</v>
      </c>
      <c r="F1077" s="43">
        <v>250000</v>
      </c>
      <c r="G1077" s="43">
        <v>250000</v>
      </c>
      <c r="H1077" s="114"/>
      <c r="I1077" s="60"/>
      <c r="J1077" s="60"/>
      <c r="K1077" s="114"/>
      <c r="L1077" s="114"/>
      <c r="M1077" s="60"/>
      <c r="N1077" s="60"/>
      <c r="O1077" s="114"/>
      <c r="P1077" s="114"/>
      <c r="Q1077" s="114"/>
      <c r="R1077" s="114"/>
      <c r="S1077" s="114"/>
      <c r="T1077" s="114"/>
      <c r="U1077" s="114"/>
      <c r="V1077" s="114"/>
      <c r="W1077" s="114"/>
      <c r="X1077" s="114"/>
      <c r="Y1077" s="114"/>
      <c r="Z1077" s="114"/>
    </row>
    <row r="1078" spans="1:26" ht="13.15" customHeight="1" x14ac:dyDescent="0.25">
      <c r="A1078" s="17" t="s">
        <v>511</v>
      </c>
      <c r="B1078" s="41"/>
      <c r="C1078" s="42"/>
      <c r="D1078" s="42"/>
      <c r="E1078" s="43"/>
      <c r="F1078" s="43"/>
      <c r="G1078" s="43"/>
      <c r="H1078" s="114"/>
      <c r="I1078" s="60"/>
      <c r="J1078" s="60"/>
      <c r="K1078" s="114"/>
      <c r="L1078" s="114"/>
      <c r="M1078" s="60"/>
      <c r="N1078" s="60"/>
      <c r="O1078" s="114"/>
      <c r="P1078" s="114"/>
      <c r="Q1078" s="114"/>
      <c r="R1078" s="114"/>
      <c r="S1078" s="114"/>
      <c r="T1078" s="114"/>
      <c r="U1078" s="114"/>
      <c r="V1078" s="114"/>
      <c r="W1078" s="114"/>
      <c r="X1078" s="114"/>
      <c r="Y1078" s="114"/>
      <c r="Z1078" s="114"/>
    </row>
    <row r="1079" spans="1:26" ht="13.15" customHeight="1" x14ac:dyDescent="0.25">
      <c r="A1079" s="44" t="s">
        <v>424</v>
      </c>
      <c r="B1079" s="41" t="s">
        <v>335</v>
      </c>
      <c r="C1079" s="43">
        <v>1800707</v>
      </c>
      <c r="D1079" s="43">
        <v>726607</v>
      </c>
      <c r="E1079" s="43">
        <f>F1079-D1079</f>
        <v>1169713</v>
      </c>
      <c r="F1079" s="43">
        <v>1896320</v>
      </c>
      <c r="G1079" s="43">
        <v>2770032</v>
      </c>
      <c r="H1079" s="114"/>
      <c r="I1079" s="60"/>
      <c r="J1079" s="60"/>
      <c r="K1079" s="114"/>
      <c r="L1079" s="114"/>
      <c r="M1079" s="60"/>
      <c r="N1079" s="60"/>
      <c r="O1079" s="114"/>
      <c r="P1079" s="114"/>
      <c r="Q1079" s="114"/>
      <c r="R1079" s="114"/>
      <c r="S1079" s="114"/>
      <c r="T1079" s="114"/>
      <c r="U1079" s="114"/>
      <c r="V1079" s="114"/>
      <c r="W1079" s="114"/>
      <c r="X1079" s="114"/>
      <c r="Y1079" s="114"/>
      <c r="Z1079" s="114"/>
    </row>
    <row r="1080" spans="1:26" ht="13.15" customHeight="1" x14ac:dyDescent="0.25">
      <c r="A1080" s="44" t="s">
        <v>1031</v>
      </c>
      <c r="B1080" s="41"/>
      <c r="C1080" s="43"/>
      <c r="D1080" s="43"/>
      <c r="E1080" s="43"/>
      <c r="F1080" s="43"/>
      <c r="G1080" s="43"/>
      <c r="H1080" s="114"/>
      <c r="I1080" s="60"/>
      <c r="J1080" s="60"/>
      <c r="K1080" s="114"/>
      <c r="L1080" s="114"/>
      <c r="M1080" s="60"/>
      <c r="N1080" s="60">
        <v>120000</v>
      </c>
      <c r="O1080" s="114"/>
      <c r="P1080" s="114"/>
      <c r="Q1080" s="114"/>
      <c r="R1080" s="114"/>
      <c r="S1080" s="114"/>
      <c r="T1080" s="114"/>
      <c r="U1080" s="114"/>
      <c r="V1080" s="114"/>
      <c r="W1080" s="114"/>
      <c r="X1080" s="114"/>
      <c r="Y1080" s="114"/>
      <c r="Z1080" s="114"/>
    </row>
    <row r="1081" spans="1:26" ht="13.15" customHeight="1" x14ac:dyDescent="0.25">
      <c r="A1081" s="44" t="s">
        <v>864</v>
      </c>
      <c r="B1081" s="41"/>
      <c r="C1081" s="43"/>
      <c r="D1081" s="43"/>
      <c r="E1081" s="43"/>
      <c r="F1081" s="43"/>
      <c r="G1081" s="43"/>
      <c r="H1081" s="114"/>
      <c r="I1081" s="210" t="s">
        <v>877</v>
      </c>
      <c r="J1081" s="211" t="s">
        <v>878</v>
      </c>
      <c r="K1081" s="210" t="s">
        <v>879</v>
      </c>
      <c r="L1081" s="8" t="s">
        <v>880</v>
      </c>
      <c r="M1081" s="210" t="s">
        <v>881</v>
      </c>
      <c r="N1081" s="60"/>
      <c r="O1081" s="114"/>
      <c r="P1081" s="114"/>
      <c r="Q1081" s="114"/>
      <c r="R1081" s="114"/>
      <c r="S1081" s="114"/>
      <c r="T1081" s="114"/>
      <c r="U1081" s="114"/>
      <c r="V1081" s="114"/>
      <c r="W1081" s="114"/>
      <c r="X1081" s="114"/>
      <c r="Y1081" s="114"/>
      <c r="Z1081" s="114"/>
    </row>
    <row r="1082" spans="1:26" ht="28.15" customHeight="1" x14ac:dyDescent="0.25">
      <c r="A1082" s="118" t="s">
        <v>1032</v>
      </c>
      <c r="B1082" s="41"/>
      <c r="C1082" s="43"/>
      <c r="D1082" s="43"/>
      <c r="E1082" s="43"/>
      <c r="F1082" s="43"/>
      <c r="G1082" s="43"/>
      <c r="H1082" s="114"/>
      <c r="I1082" s="60">
        <v>765</v>
      </c>
      <c r="J1082" s="211">
        <v>2</v>
      </c>
      <c r="K1082" s="8">
        <v>26</v>
      </c>
      <c r="L1082" s="8">
        <v>12</v>
      </c>
      <c r="M1082" s="60">
        <f t="shared" ref="M1082:M1084" si="186">I1082*J1082*K1082*L1082</f>
        <v>477360</v>
      </c>
      <c r="N1082" s="60"/>
      <c r="O1082" s="114"/>
      <c r="P1082" s="114"/>
      <c r="Q1082" s="114"/>
      <c r="R1082" s="114"/>
      <c r="S1082" s="114"/>
      <c r="T1082" s="114"/>
      <c r="U1082" s="114"/>
      <c r="V1082" s="114"/>
      <c r="W1082" s="114"/>
      <c r="X1082" s="114"/>
      <c r="Y1082" s="114"/>
      <c r="Z1082" s="114"/>
    </row>
    <row r="1083" spans="1:26" ht="28.15" customHeight="1" x14ac:dyDescent="0.25">
      <c r="A1083" s="118" t="s">
        <v>1033</v>
      </c>
      <c r="B1083" s="41"/>
      <c r="C1083" s="43"/>
      <c r="D1083" s="43"/>
      <c r="E1083" s="43"/>
      <c r="F1083" s="43"/>
      <c r="G1083" s="43"/>
      <c r="H1083" s="114"/>
      <c r="I1083" s="60">
        <v>678</v>
      </c>
      <c r="J1083" s="211">
        <v>1</v>
      </c>
      <c r="K1083" s="8">
        <v>22</v>
      </c>
      <c r="L1083" s="8">
        <v>12</v>
      </c>
      <c r="M1083" s="60">
        <f t="shared" si="186"/>
        <v>178992</v>
      </c>
      <c r="N1083" s="60"/>
      <c r="O1083" s="114"/>
      <c r="P1083" s="114"/>
      <c r="Q1083" s="114"/>
      <c r="R1083" s="114"/>
      <c r="S1083" s="114"/>
      <c r="T1083" s="114"/>
      <c r="U1083" s="114"/>
      <c r="V1083" s="114"/>
      <c r="W1083" s="114"/>
      <c r="X1083" s="114"/>
      <c r="Y1083" s="114"/>
      <c r="Z1083" s="114"/>
    </row>
    <row r="1084" spans="1:26" ht="28.15" customHeight="1" x14ac:dyDescent="0.25">
      <c r="A1084" s="118" t="s">
        <v>1034</v>
      </c>
      <c r="B1084" s="41"/>
      <c r="C1084" s="43"/>
      <c r="D1084" s="43"/>
      <c r="E1084" s="43"/>
      <c r="F1084" s="43"/>
      <c r="G1084" s="43"/>
      <c r="H1084" s="114"/>
      <c r="I1084" s="60">
        <v>639</v>
      </c>
      <c r="J1084" s="211">
        <v>10</v>
      </c>
      <c r="K1084" s="8">
        <v>26</v>
      </c>
      <c r="L1084" s="8">
        <v>12</v>
      </c>
      <c r="M1084" s="60">
        <f t="shared" si="186"/>
        <v>1993680</v>
      </c>
      <c r="N1084" s="60">
        <f>SUM(M1082:M1084)</f>
        <v>2650032</v>
      </c>
      <c r="O1084" s="60">
        <f>N1080+N1084</f>
        <v>2770032</v>
      </c>
      <c r="P1084" s="114"/>
      <c r="Q1084" s="114"/>
      <c r="R1084" s="114"/>
      <c r="S1084" s="114"/>
      <c r="T1084" s="114"/>
      <c r="U1084" s="114"/>
      <c r="V1084" s="114"/>
      <c r="W1084" s="114"/>
      <c r="X1084" s="114"/>
      <c r="Y1084" s="114"/>
      <c r="Z1084" s="114"/>
    </row>
    <row r="1085" spans="1:26" ht="15" customHeight="1" x14ac:dyDescent="0.25">
      <c r="A1085" s="42" t="s">
        <v>466</v>
      </c>
      <c r="B1085" s="41"/>
      <c r="C1085" s="54">
        <f t="shared" ref="C1085:D1085" si="187">SUM(C1069:C1079)</f>
        <v>2209448.8199999998</v>
      </c>
      <c r="D1085" s="54">
        <f t="shared" si="187"/>
        <v>877531.66</v>
      </c>
      <c r="E1085" s="54">
        <f>F1085-D1085</f>
        <v>1816554.3399999999</v>
      </c>
      <c r="F1085" s="54">
        <f t="shared" ref="F1085:G1085" si="188">SUM(F1069:F1079)</f>
        <v>2694086</v>
      </c>
      <c r="G1085" s="54">
        <f t="shared" si="188"/>
        <v>3537659</v>
      </c>
      <c r="H1085" s="114"/>
      <c r="I1085" s="60"/>
      <c r="J1085" s="60"/>
      <c r="K1085" s="114"/>
      <c r="L1085" s="114"/>
      <c r="M1085" s="60"/>
      <c r="N1085" s="60"/>
      <c r="O1085" s="114"/>
      <c r="P1085" s="114"/>
      <c r="Q1085" s="114"/>
      <c r="R1085" s="114"/>
      <c r="S1085" s="114"/>
      <c r="T1085" s="114"/>
      <c r="U1085" s="114"/>
      <c r="V1085" s="114"/>
      <c r="W1085" s="114"/>
      <c r="X1085" s="114"/>
      <c r="Y1085" s="114"/>
      <c r="Z1085" s="114"/>
    </row>
    <row r="1086" spans="1:26" ht="11.45" customHeight="1" x14ac:dyDescent="0.25">
      <c r="A1086" s="17"/>
      <c r="B1086" s="41"/>
      <c r="C1086" s="55"/>
      <c r="D1086" s="55"/>
      <c r="E1086" s="43"/>
      <c r="F1086" s="55"/>
      <c r="G1086" s="55"/>
      <c r="H1086" s="114"/>
      <c r="I1086" s="60"/>
      <c r="J1086" s="60"/>
      <c r="K1086" s="114"/>
      <c r="L1086" s="114"/>
      <c r="M1086" s="60"/>
      <c r="N1086" s="60"/>
      <c r="O1086" s="114"/>
      <c r="P1086" s="114"/>
      <c r="Q1086" s="114"/>
      <c r="R1086" s="114"/>
      <c r="S1086" s="114"/>
      <c r="T1086" s="114"/>
      <c r="U1086" s="114"/>
      <c r="V1086" s="114"/>
      <c r="W1086" s="114"/>
      <c r="X1086" s="114"/>
      <c r="Y1086" s="114"/>
      <c r="Z1086" s="114"/>
    </row>
    <row r="1087" spans="1:26" ht="15" customHeight="1" x14ac:dyDescent="0.25">
      <c r="A1087" s="17" t="s">
        <v>467</v>
      </c>
      <c r="B1087" s="41"/>
      <c r="C1087" s="43">
        <f t="shared" ref="C1087:D1087" si="189">C1085</f>
        <v>2209448.8199999998</v>
      </c>
      <c r="D1087" s="43">
        <f t="shared" si="189"/>
        <v>877531.66</v>
      </c>
      <c r="E1087" s="43">
        <f>F1087-D1087</f>
        <v>1816554.3399999999</v>
      </c>
      <c r="F1087" s="43">
        <f t="shared" ref="F1087:G1087" si="190">F1085</f>
        <v>2694086</v>
      </c>
      <c r="G1087" s="43">
        <f t="shared" si="190"/>
        <v>3537659</v>
      </c>
      <c r="H1087" s="114"/>
      <c r="I1087" s="60"/>
      <c r="J1087" s="60"/>
      <c r="K1087" s="114"/>
      <c r="L1087" s="114"/>
      <c r="M1087" s="60"/>
      <c r="N1087" s="60"/>
      <c r="O1087" s="114"/>
      <c r="P1087" s="114"/>
      <c r="Q1087" s="114"/>
      <c r="R1087" s="114"/>
      <c r="S1087" s="114"/>
      <c r="T1087" s="114"/>
      <c r="U1087" s="114"/>
      <c r="V1087" s="114"/>
      <c r="W1087" s="114"/>
      <c r="X1087" s="114"/>
      <c r="Y1087" s="114"/>
      <c r="Z1087" s="114"/>
    </row>
    <row r="1088" spans="1:26" ht="15" customHeight="1" x14ac:dyDescent="0.25">
      <c r="A1088" s="50"/>
      <c r="B1088" s="51"/>
      <c r="C1088" s="53"/>
      <c r="D1088" s="53"/>
      <c r="E1088" s="53"/>
      <c r="F1088" s="53"/>
      <c r="G1088" s="53"/>
      <c r="H1088" s="114"/>
      <c r="I1088" s="60"/>
      <c r="J1088" s="60"/>
      <c r="K1088" s="114"/>
      <c r="L1088" s="114"/>
      <c r="M1088" s="60"/>
      <c r="N1088" s="60"/>
      <c r="O1088" s="114"/>
      <c r="P1088" s="114"/>
      <c r="Q1088" s="114"/>
      <c r="R1088" s="114"/>
      <c r="S1088" s="114"/>
      <c r="T1088" s="114"/>
      <c r="U1088" s="114"/>
      <c r="V1088" s="114"/>
      <c r="W1088" s="114"/>
      <c r="X1088" s="114"/>
      <c r="Y1088" s="114"/>
      <c r="Z1088" s="114"/>
    </row>
    <row r="1089" spans="1:26" ht="15" customHeight="1" x14ac:dyDescent="0.25">
      <c r="A1089" s="50" t="s">
        <v>487</v>
      </c>
      <c r="B1089" s="51" t="s">
        <v>488</v>
      </c>
      <c r="C1089" s="54" t="e">
        <f>C1087+#REF!</f>
        <v>#REF!</v>
      </c>
      <c r="D1089" s="54" t="e">
        <f>D1087+#REF!</f>
        <v>#REF!</v>
      </c>
      <c r="E1089" s="54" t="e">
        <f>F1089-D1089</f>
        <v>#REF!</v>
      </c>
      <c r="F1089" s="54" t="e">
        <f>F1087+#REF!</f>
        <v>#REF!</v>
      </c>
      <c r="G1089" s="54">
        <f>+G1087</f>
        <v>3537659</v>
      </c>
      <c r="H1089" s="114"/>
      <c r="I1089" s="60"/>
      <c r="J1089" s="60"/>
      <c r="K1089" s="114"/>
      <c r="L1089" s="114"/>
      <c r="M1089" s="60"/>
      <c r="N1089" s="60"/>
      <c r="O1089" s="114"/>
      <c r="P1089" s="114"/>
      <c r="Q1089" s="114"/>
      <c r="R1089" s="114"/>
      <c r="S1089" s="114"/>
      <c r="T1089" s="114"/>
      <c r="U1089" s="114"/>
      <c r="V1089" s="114"/>
      <c r="W1089" s="114"/>
      <c r="X1089" s="114"/>
      <c r="Y1089" s="114"/>
      <c r="Z1089" s="114"/>
    </row>
    <row r="1090" spans="1:26" ht="15.75" customHeight="1" x14ac:dyDescent="0.25">
      <c r="A1090" s="24"/>
      <c r="B1090" s="25"/>
      <c r="C1090" s="26"/>
      <c r="D1090" s="26"/>
      <c r="E1090" s="26"/>
      <c r="F1090" s="26"/>
      <c r="G1090" s="26"/>
      <c r="H1090" s="114"/>
      <c r="I1090" s="60"/>
      <c r="J1090" s="60"/>
      <c r="K1090" s="114"/>
      <c r="L1090" s="114"/>
      <c r="M1090" s="60"/>
      <c r="N1090" s="60"/>
      <c r="O1090" s="114"/>
      <c r="P1090" s="114"/>
      <c r="Q1090" s="114"/>
      <c r="R1090" s="114"/>
      <c r="S1090" s="114"/>
      <c r="T1090" s="114"/>
      <c r="U1090" s="114"/>
      <c r="V1090" s="114"/>
      <c r="W1090" s="114"/>
      <c r="X1090" s="114"/>
      <c r="Y1090" s="114"/>
      <c r="Z1090" s="114"/>
    </row>
    <row r="1091" spans="1:26" ht="15.75" customHeight="1" x14ac:dyDescent="0.25">
      <c r="A1091" s="24"/>
      <c r="B1091" s="25"/>
      <c r="C1091" s="24"/>
      <c r="D1091" s="24"/>
      <c r="E1091" s="24"/>
      <c r="F1091" s="15"/>
      <c r="G1091" s="15"/>
      <c r="H1091" s="15"/>
      <c r="I1091" s="16"/>
      <c r="J1091" s="16"/>
      <c r="K1091" s="15"/>
      <c r="L1091" s="15"/>
      <c r="M1091" s="16"/>
      <c r="N1091" s="16"/>
      <c r="O1091" s="15"/>
      <c r="P1091" s="15"/>
      <c r="Q1091" s="15"/>
      <c r="R1091" s="15"/>
      <c r="S1091" s="15"/>
      <c r="T1091" s="15"/>
      <c r="U1091" s="15"/>
      <c r="V1091" s="15"/>
      <c r="W1091" s="15"/>
      <c r="X1091" s="15"/>
      <c r="Y1091" s="15"/>
      <c r="Z1091" s="15"/>
    </row>
    <row r="1092" spans="1:26" ht="15.75" customHeight="1" x14ac:dyDescent="0.25">
      <c r="A1092" s="9"/>
      <c r="B1092" s="104"/>
      <c r="C1092" s="105"/>
      <c r="D1092" s="105"/>
      <c r="E1092" s="105"/>
      <c r="F1092" s="10"/>
      <c r="G1092" s="180"/>
      <c r="H1092" s="15"/>
      <c r="I1092" s="16"/>
      <c r="J1092" s="16"/>
      <c r="K1092" s="15"/>
      <c r="L1092" s="15"/>
      <c r="M1092" s="16"/>
      <c r="N1092" s="16"/>
      <c r="O1092" s="15"/>
      <c r="P1092" s="15"/>
      <c r="Q1092" s="15"/>
      <c r="R1092" s="15"/>
      <c r="S1092" s="15"/>
      <c r="T1092" s="15"/>
      <c r="U1092" s="15"/>
      <c r="V1092" s="15"/>
      <c r="W1092" s="15"/>
      <c r="X1092" s="15"/>
      <c r="Y1092" s="15"/>
      <c r="Z1092" s="15"/>
    </row>
    <row r="1093" spans="1:26" ht="15.75" customHeight="1" x14ac:dyDescent="0.25">
      <c r="A1093" s="108" t="s">
        <v>1035</v>
      </c>
      <c r="B1093" s="25"/>
      <c r="C1093" s="26"/>
      <c r="D1093" s="26"/>
      <c r="E1093" s="26"/>
      <c r="F1093" s="14"/>
      <c r="G1093" s="181"/>
      <c r="H1093" s="15"/>
      <c r="I1093" s="16"/>
      <c r="J1093" s="16"/>
      <c r="K1093" s="15"/>
      <c r="L1093" s="15"/>
      <c r="M1093" s="16"/>
      <c r="N1093" s="16"/>
      <c r="O1093" s="15"/>
      <c r="P1093" s="15"/>
      <c r="Q1093" s="15"/>
      <c r="R1093" s="15"/>
      <c r="S1093" s="15"/>
      <c r="T1093" s="15"/>
      <c r="U1093" s="15"/>
      <c r="V1093" s="15"/>
      <c r="W1093" s="15"/>
      <c r="X1093" s="15"/>
      <c r="Y1093" s="15"/>
      <c r="Z1093" s="15"/>
    </row>
    <row r="1094" spans="1:26" ht="15.75" customHeight="1" x14ac:dyDescent="0.25">
      <c r="A1094" s="44"/>
      <c r="B1094" s="25"/>
      <c r="C1094" s="26"/>
      <c r="D1094" s="26"/>
      <c r="E1094" s="26"/>
      <c r="F1094" s="14"/>
      <c r="G1094" s="181"/>
      <c r="H1094" s="15"/>
      <c r="I1094" s="16"/>
      <c r="J1094" s="16"/>
      <c r="K1094" s="15"/>
      <c r="L1094" s="15"/>
      <c r="M1094" s="16"/>
      <c r="N1094" s="16"/>
      <c r="O1094" s="15"/>
      <c r="P1094" s="15"/>
      <c r="Q1094" s="15"/>
      <c r="R1094" s="15"/>
      <c r="S1094" s="15"/>
      <c r="T1094" s="15"/>
      <c r="U1094" s="15"/>
      <c r="V1094" s="15"/>
      <c r="W1094" s="15"/>
      <c r="X1094" s="15"/>
      <c r="Y1094" s="15"/>
      <c r="Z1094" s="15"/>
    </row>
    <row r="1095" spans="1:26" ht="15.75" customHeight="1" x14ac:dyDescent="0.25">
      <c r="A1095" s="865" t="s">
        <v>352</v>
      </c>
      <c r="B1095" s="866"/>
      <c r="C1095" s="866"/>
      <c r="D1095" s="866"/>
      <c r="E1095" s="866"/>
      <c r="F1095" s="866"/>
      <c r="G1095" s="867"/>
      <c r="H1095" s="15"/>
      <c r="I1095" s="16"/>
      <c r="J1095" s="16"/>
      <c r="K1095" s="15"/>
      <c r="L1095" s="15"/>
      <c r="M1095" s="16"/>
      <c r="N1095" s="16"/>
      <c r="O1095" s="15"/>
      <c r="P1095" s="15"/>
      <c r="Q1095" s="15"/>
      <c r="R1095" s="15"/>
      <c r="S1095" s="15"/>
      <c r="T1095" s="15"/>
      <c r="U1095" s="15"/>
      <c r="V1095" s="15"/>
      <c r="W1095" s="15"/>
      <c r="X1095" s="15"/>
      <c r="Y1095" s="15"/>
      <c r="Z1095" s="15"/>
    </row>
    <row r="1096" spans="1:26" ht="15.75" customHeight="1" x14ac:dyDescent="0.25">
      <c r="A1096" s="868" t="s">
        <v>353</v>
      </c>
      <c r="B1096" s="857" t="s">
        <v>354</v>
      </c>
      <c r="C1096" s="870" t="s">
        <v>355</v>
      </c>
      <c r="D1096" s="872" t="s">
        <v>356</v>
      </c>
      <c r="E1096" s="873"/>
      <c r="F1096" s="874"/>
      <c r="G1096" s="857" t="s">
        <v>357</v>
      </c>
      <c r="H1096" s="15"/>
      <c r="I1096" s="16"/>
      <c r="J1096" s="16"/>
      <c r="K1096" s="15"/>
      <c r="L1096" s="15"/>
      <c r="M1096" s="16"/>
      <c r="N1096" s="16"/>
      <c r="O1096" s="15"/>
      <c r="P1096" s="15"/>
      <c r="Q1096" s="15"/>
      <c r="R1096" s="15"/>
      <c r="S1096" s="15"/>
      <c r="T1096" s="15"/>
      <c r="U1096" s="15"/>
      <c r="V1096" s="15"/>
      <c r="W1096" s="15"/>
      <c r="X1096" s="15"/>
      <c r="Y1096" s="15"/>
      <c r="Z1096" s="15"/>
    </row>
    <row r="1097" spans="1:26" ht="15.75" customHeight="1" x14ac:dyDescent="0.25">
      <c r="A1097" s="858"/>
      <c r="B1097" s="858"/>
      <c r="C1097" s="871"/>
      <c r="D1097" s="28" t="s">
        <v>358</v>
      </c>
      <c r="E1097" s="29" t="s">
        <v>359</v>
      </c>
      <c r="F1097" s="875" t="s">
        <v>360</v>
      </c>
      <c r="G1097" s="858"/>
      <c r="H1097" s="15"/>
      <c r="I1097" s="16"/>
      <c r="J1097" s="16"/>
      <c r="K1097" s="15"/>
      <c r="L1097" s="15"/>
      <c r="M1097" s="16"/>
      <c r="N1097" s="16"/>
      <c r="O1097" s="15"/>
      <c r="P1097" s="15"/>
      <c r="Q1097" s="15"/>
      <c r="R1097" s="15"/>
      <c r="S1097" s="15"/>
      <c r="T1097" s="15"/>
      <c r="U1097" s="15"/>
      <c r="V1097" s="15"/>
      <c r="W1097" s="15"/>
      <c r="X1097" s="15"/>
      <c r="Y1097" s="15"/>
      <c r="Z1097" s="15"/>
    </row>
    <row r="1098" spans="1:26" ht="15.75" customHeight="1" x14ac:dyDescent="0.25">
      <c r="A1098" s="858"/>
      <c r="B1098" s="858"/>
      <c r="C1098" s="30" t="s">
        <v>361</v>
      </c>
      <c r="D1098" s="31" t="s">
        <v>361</v>
      </c>
      <c r="E1098" s="32" t="s">
        <v>362</v>
      </c>
      <c r="F1098" s="860"/>
      <c r="G1098" s="442" t="s">
        <v>2717</v>
      </c>
      <c r="H1098" s="15"/>
      <c r="I1098" s="16"/>
      <c r="J1098" s="16"/>
      <c r="K1098" s="15"/>
      <c r="L1098" s="15"/>
      <c r="M1098" s="16"/>
      <c r="N1098" s="16"/>
      <c r="O1098" s="15"/>
      <c r="P1098" s="15"/>
      <c r="Q1098" s="15"/>
      <c r="R1098" s="15"/>
      <c r="S1098" s="15"/>
      <c r="T1098" s="15"/>
      <c r="U1098" s="15"/>
      <c r="V1098" s="15"/>
      <c r="W1098" s="15"/>
      <c r="X1098" s="15"/>
      <c r="Y1098" s="15"/>
      <c r="Z1098" s="15"/>
    </row>
    <row r="1099" spans="1:26" ht="15.75" customHeight="1" x14ac:dyDescent="0.25">
      <c r="A1099" s="869"/>
      <c r="B1099" s="869"/>
      <c r="C1099" s="33">
        <v>2024</v>
      </c>
      <c r="D1099" s="34">
        <v>2025</v>
      </c>
      <c r="E1099" s="34">
        <v>2025</v>
      </c>
      <c r="F1099" s="34">
        <v>2025</v>
      </c>
      <c r="G1099" s="36" t="s">
        <v>2668</v>
      </c>
      <c r="H1099" s="15"/>
      <c r="I1099" s="16"/>
      <c r="J1099" s="16"/>
      <c r="K1099" s="15"/>
      <c r="L1099" s="15"/>
      <c r="M1099" s="16"/>
      <c r="N1099" s="16"/>
      <c r="O1099" s="15"/>
      <c r="P1099" s="15"/>
      <c r="Q1099" s="15"/>
      <c r="R1099" s="15"/>
      <c r="S1099" s="15"/>
      <c r="T1099" s="15"/>
      <c r="U1099" s="15"/>
      <c r="V1099" s="15"/>
      <c r="W1099" s="15"/>
      <c r="X1099" s="15"/>
      <c r="Y1099" s="15"/>
      <c r="Z1099" s="15"/>
    </row>
    <row r="1100" spans="1:26" ht="15.75" customHeight="1" x14ac:dyDescent="0.25">
      <c r="A1100" s="9" t="s">
        <v>364</v>
      </c>
      <c r="B1100" s="38"/>
      <c r="C1100" s="42"/>
      <c r="D1100" s="42"/>
      <c r="E1100" s="42"/>
      <c r="F1100" s="42"/>
      <c r="G1100" s="37"/>
      <c r="I1100" s="40"/>
      <c r="J1100" s="40"/>
      <c r="M1100" s="40"/>
      <c r="N1100" s="40"/>
    </row>
    <row r="1101" spans="1:26" ht="15.75" customHeight="1" x14ac:dyDescent="0.25">
      <c r="A1101" s="42" t="s">
        <v>491</v>
      </c>
      <c r="B1101" s="49"/>
      <c r="C1101" s="43"/>
      <c r="D1101" s="43"/>
      <c r="E1101" s="43"/>
      <c r="F1101" s="43"/>
      <c r="G1101" s="43"/>
      <c r="I1101" s="40"/>
      <c r="J1101" s="40"/>
      <c r="M1101" s="40"/>
      <c r="N1101" s="40"/>
    </row>
    <row r="1102" spans="1:26" ht="15.75" customHeight="1" x14ac:dyDescent="0.25">
      <c r="A1102" s="17" t="s">
        <v>499</v>
      </c>
      <c r="B1102" s="41"/>
      <c r="C1102" s="43"/>
      <c r="D1102" s="43"/>
      <c r="E1102" s="43"/>
      <c r="F1102" s="43"/>
      <c r="G1102" s="43"/>
      <c r="H1102" s="114"/>
      <c r="I1102" s="60"/>
      <c r="J1102" s="60"/>
      <c r="K1102" s="114"/>
      <c r="L1102" s="114"/>
      <c r="M1102" s="60"/>
      <c r="N1102" s="60"/>
      <c r="O1102" s="114"/>
      <c r="P1102" s="114"/>
      <c r="Q1102" s="114"/>
      <c r="R1102" s="114"/>
      <c r="S1102" s="114"/>
      <c r="T1102" s="114"/>
      <c r="U1102" s="114"/>
      <c r="V1102" s="114"/>
      <c r="W1102" s="114"/>
      <c r="X1102" s="114"/>
      <c r="Y1102" s="114"/>
      <c r="Z1102" s="114"/>
    </row>
    <row r="1103" spans="1:26" ht="15.75" customHeight="1" x14ac:dyDescent="0.25">
      <c r="A1103" s="44" t="s">
        <v>398</v>
      </c>
      <c r="B1103" s="41" t="s">
        <v>195</v>
      </c>
      <c r="C1103" s="43">
        <v>49122.44</v>
      </c>
      <c r="D1103" s="43">
        <v>0</v>
      </c>
      <c r="E1103" s="43">
        <f t="shared" ref="E1103:E1105" si="191">F1103-D1103</f>
        <v>64327</v>
      </c>
      <c r="F1103" s="43">
        <v>64327</v>
      </c>
      <c r="G1103" s="43">
        <v>75000</v>
      </c>
      <c r="H1103" s="114"/>
      <c r="I1103" s="60"/>
      <c r="J1103" s="60"/>
      <c r="K1103" s="114"/>
      <c r="L1103" s="114"/>
      <c r="M1103" s="60"/>
      <c r="N1103" s="60"/>
      <c r="O1103" s="114"/>
      <c r="P1103" s="114"/>
      <c r="Q1103" s="114"/>
      <c r="R1103" s="114"/>
      <c r="S1103" s="114"/>
      <c r="T1103" s="114"/>
      <c r="U1103" s="114"/>
      <c r="V1103" s="114"/>
      <c r="W1103" s="114"/>
      <c r="X1103" s="114"/>
      <c r="Y1103" s="114"/>
      <c r="Z1103" s="114"/>
    </row>
    <row r="1104" spans="1:26" ht="15.75" customHeight="1" x14ac:dyDescent="0.25">
      <c r="A1104" s="44" t="s">
        <v>400</v>
      </c>
      <c r="B1104" s="41" t="s">
        <v>221</v>
      </c>
      <c r="C1104" s="43">
        <v>0</v>
      </c>
      <c r="D1104" s="43">
        <v>0</v>
      </c>
      <c r="E1104" s="43">
        <f t="shared" si="191"/>
        <v>495162</v>
      </c>
      <c r="F1104" s="43">
        <v>495162</v>
      </c>
      <c r="G1104" s="43">
        <v>106121</v>
      </c>
      <c r="H1104" s="114"/>
      <c r="I1104" s="60"/>
      <c r="J1104" s="60"/>
      <c r="K1104" s="114"/>
      <c r="L1104" s="114"/>
      <c r="M1104" s="60"/>
      <c r="N1104" s="60"/>
      <c r="O1104" s="114"/>
      <c r="P1104" s="114"/>
      <c r="Q1104" s="114"/>
      <c r="R1104" s="114"/>
      <c r="S1104" s="114"/>
      <c r="T1104" s="114"/>
      <c r="U1104" s="114"/>
      <c r="V1104" s="114"/>
      <c r="W1104" s="114"/>
      <c r="X1104" s="114"/>
      <c r="Y1104" s="114"/>
      <c r="Z1104" s="114"/>
    </row>
    <row r="1105" spans="1:26" ht="15.75" customHeight="1" x14ac:dyDescent="0.25">
      <c r="A1105" s="44" t="s">
        <v>402</v>
      </c>
      <c r="B1105" s="41" t="s">
        <v>225</v>
      </c>
      <c r="C1105" s="43">
        <v>1486661.31</v>
      </c>
      <c r="D1105" s="43">
        <v>623199</v>
      </c>
      <c r="E1105" s="43">
        <f t="shared" si="191"/>
        <v>628994</v>
      </c>
      <c r="F1105" s="43">
        <v>1252193</v>
      </c>
      <c r="G1105" s="43">
        <v>1293457</v>
      </c>
      <c r="H1105" s="114"/>
      <c r="I1105" s="60"/>
      <c r="J1105" s="60"/>
      <c r="K1105" s="114"/>
      <c r="L1105" s="114"/>
      <c r="M1105" s="60"/>
      <c r="N1105" s="60"/>
      <c r="O1105" s="114"/>
      <c r="P1105" s="114"/>
      <c r="Q1105" s="114"/>
      <c r="R1105" s="114"/>
      <c r="S1105" s="114"/>
      <c r="T1105" s="114"/>
      <c r="U1105" s="114"/>
      <c r="V1105" s="114"/>
      <c r="W1105" s="114"/>
      <c r="X1105" s="114"/>
      <c r="Y1105" s="114"/>
      <c r="Z1105" s="114"/>
    </row>
    <row r="1106" spans="1:26" ht="15.75" customHeight="1" x14ac:dyDescent="0.25">
      <c r="A1106" s="17" t="s">
        <v>503</v>
      </c>
      <c r="B1106" s="41"/>
      <c r="C1106" s="43"/>
      <c r="D1106" s="43"/>
      <c r="E1106" s="43"/>
      <c r="F1106" s="43"/>
      <c r="G1106" s="43"/>
      <c r="H1106" s="114"/>
      <c r="I1106" s="60"/>
      <c r="J1106" s="60"/>
      <c r="K1106" s="114"/>
      <c r="L1106" s="114"/>
      <c r="M1106" s="60"/>
      <c r="N1106" s="60"/>
      <c r="O1106" s="114"/>
      <c r="P1106" s="114"/>
      <c r="Q1106" s="114"/>
      <c r="R1106" s="114"/>
      <c r="S1106" s="114"/>
      <c r="T1106" s="114"/>
      <c r="U1106" s="114"/>
      <c r="V1106" s="114"/>
      <c r="W1106" s="114"/>
      <c r="X1106" s="114"/>
      <c r="Y1106" s="114"/>
      <c r="Z1106" s="114"/>
    </row>
    <row r="1107" spans="1:26" ht="15.75" customHeight="1" x14ac:dyDescent="0.25">
      <c r="A1107" s="44" t="s">
        <v>1036</v>
      </c>
      <c r="B1107" s="41" t="s">
        <v>233</v>
      </c>
      <c r="C1107" s="43">
        <v>12484.37</v>
      </c>
      <c r="D1107" s="43">
        <v>5196</v>
      </c>
      <c r="E1107" s="43">
        <f>F1107-D1107</f>
        <v>24684</v>
      </c>
      <c r="F1107" s="43">
        <v>29880</v>
      </c>
      <c r="G1107" s="43">
        <v>29880</v>
      </c>
      <c r="H1107" s="114"/>
      <c r="I1107" s="60"/>
      <c r="J1107" s="60"/>
      <c r="K1107" s="114"/>
      <c r="L1107" s="114"/>
      <c r="M1107" s="60"/>
      <c r="N1107" s="60"/>
      <c r="O1107" s="114"/>
      <c r="P1107" s="114"/>
      <c r="Q1107" s="114"/>
      <c r="R1107" s="114"/>
      <c r="S1107" s="114"/>
      <c r="T1107" s="114"/>
      <c r="U1107" s="114"/>
      <c r="V1107" s="114"/>
      <c r="W1107" s="114"/>
      <c r="X1107" s="114"/>
      <c r="Y1107" s="114"/>
      <c r="Z1107" s="114"/>
    </row>
    <row r="1108" spans="1:26" ht="15.75" customHeight="1" x14ac:dyDescent="0.25">
      <c r="A1108" s="17" t="s">
        <v>511</v>
      </c>
      <c r="B1108" s="41"/>
      <c r="C1108" s="47"/>
      <c r="D1108" s="47"/>
      <c r="E1108" s="43"/>
      <c r="F1108" s="43"/>
      <c r="G1108" s="43"/>
      <c r="H1108" s="114"/>
      <c r="I1108" s="60"/>
      <c r="J1108" s="60"/>
      <c r="K1108" s="114"/>
      <c r="L1108" s="114"/>
      <c r="M1108" s="60"/>
      <c r="N1108" s="60"/>
      <c r="O1108" s="114"/>
      <c r="P1108" s="114"/>
      <c r="Q1108" s="114"/>
      <c r="R1108" s="114"/>
      <c r="S1108" s="114"/>
      <c r="T1108" s="114"/>
      <c r="U1108" s="114"/>
      <c r="V1108" s="114"/>
      <c r="W1108" s="114"/>
      <c r="X1108" s="114"/>
      <c r="Y1108" s="114"/>
      <c r="Z1108" s="114"/>
    </row>
    <row r="1109" spans="1:26" ht="15.75" customHeight="1" x14ac:dyDescent="0.25">
      <c r="A1109" s="96" t="s">
        <v>424</v>
      </c>
      <c r="B1109" s="41" t="s">
        <v>335</v>
      </c>
      <c r="C1109" s="47">
        <v>28092601</v>
      </c>
      <c r="D1109" s="43">
        <v>11034810</v>
      </c>
      <c r="E1109" s="43">
        <f>F1109-D1109</f>
        <v>17189250</v>
      </c>
      <c r="F1109" s="43">
        <v>28224060</v>
      </c>
      <c r="G1109" s="43">
        <v>46496280</v>
      </c>
      <c r="H1109" s="114"/>
      <c r="I1109" s="60"/>
      <c r="J1109" s="60"/>
      <c r="K1109" s="114"/>
      <c r="L1109" s="114"/>
      <c r="M1109" s="60"/>
      <c r="N1109" s="60"/>
      <c r="O1109" s="114"/>
      <c r="P1109" s="114"/>
      <c r="Q1109" s="114"/>
      <c r="R1109" s="114"/>
      <c r="S1109" s="114"/>
      <c r="T1109" s="114"/>
      <c r="U1109" s="114"/>
      <c r="V1109" s="114"/>
      <c r="W1109" s="114"/>
      <c r="X1109" s="114"/>
      <c r="Y1109" s="114"/>
      <c r="Z1109" s="114"/>
    </row>
    <row r="1110" spans="1:26" ht="15.75" customHeight="1" x14ac:dyDescent="0.25">
      <c r="A1110" s="96" t="s">
        <v>1037</v>
      </c>
      <c r="B1110" s="41"/>
      <c r="C1110" s="47"/>
      <c r="D1110" s="43"/>
      <c r="E1110" s="43"/>
      <c r="F1110" s="43"/>
      <c r="G1110" s="43"/>
      <c r="H1110" s="114"/>
      <c r="I1110" s="60"/>
      <c r="J1110" s="60"/>
      <c r="K1110" s="114"/>
      <c r="L1110" s="114"/>
      <c r="M1110" s="60"/>
      <c r="N1110" s="60">
        <v>200000</v>
      </c>
      <c r="O1110" s="114"/>
      <c r="P1110" s="114"/>
      <c r="Q1110" s="114"/>
      <c r="R1110" s="114"/>
      <c r="S1110" s="114"/>
      <c r="T1110" s="114"/>
      <c r="U1110" s="114"/>
      <c r="V1110" s="114"/>
      <c r="W1110" s="114"/>
      <c r="X1110" s="114"/>
      <c r="Y1110" s="114"/>
      <c r="Z1110" s="114"/>
    </row>
    <row r="1111" spans="1:26" ht="15.75" customHeight="1" x14ac:dyDescent="0.25">
      <c r="A1111" s="96" t="s">
        <v>1038</v>
      </c>
      <c r="B1111" s="41"/>
      <c r="C1111" s="47"/>
      <c r="D1111" s="43"/>
      <c r="E1111" s="43"/>
      <c r="F1111" s="43"/>
      <c r="G1111" s="43"/>
      <c r="H1111" s="114"/>
      <c r="I1111" s="60"/>
      <c r="J1111" s="60"/>
      <c r="K1111" s="114"/>
      <c r="L1111" s="114"/>
      <c r="M1111" s="60"/>
      <c r="N1111" s="60">
        <v>4000000</v>
      </c>
      <c r="O1111" s="114"/>
      <c r="P1111" s="114"/>
      <c r="Q1111" s="114"/>
      <c r="R1111" s="114"/>
      <c r="S1111" s="114"/>
      <c r="T1111" s="114"/>
      <c r="U1111" s="114"/>
      <c r="V1111" s="114"/>
      <c r="W1111" s="114"/>
      <c r="X1111" s="114"/>
      <c r="Y1111" s="114"/>
      <c r="Z1111" s="114"/>
    </row>
    <row r="1112" spans="1:26" ht="15.75" customHeight="1" x14ac:dyDescent="0.25">
      <c r="A1112" s="44" t="s">
        <v>864</v>
      </c>
      <c r="B1112" s="41"/>
      <c r="C1112" s="47"/>
      <c r="D1112" s="43"/>
      <c r="E1112" s="43"/>
      <c r="F1112" s="43"/>
      <c r="G1112" s="43"/>
      <c r="H1112" s="114"/>
      <c r="I1112" s="210" t="s">
        <v>877</v>
      </c>
      <c r="J1112" s="211" t="s">
        <v>878</v>
      </c>
      <c r="K1112" s="210" t="s">
        <v>879</v>
      </c>
      <c r="L1112" s="8" t="s">
        <v>880</v>
      </c>
      <c r="M1112" s="210" t="s">
        <v>881</v>
      </c>
      <c r="N1112" s="60"/>
      <c r="O1112" s="114"/>
      <c r="P1112" s="114"/>
      <c r="Q1112" s="114"/>
      <c r="R1112" s="114"/>
      <c r="S1112" s="114"/>
      <c r="T1112" s="114"/>
      <c r="U1112" s="114"/>
      <c r="V1112" s="114"/>
      <c r="W1112" s="114"/>
      <c r="X1112" s="114"/>
      <c r="Y1112" s="114"/>
      <c r="Z1112" s="114"/>
    </row>
    <row r="1113" spans="1:26" ht="31.5" x14ac:dyDescent="0.25">
      <c r="A1113" s="295" t="s">
        <v>1039</v>
      </c>
      <c r="B1113" s="41"/>
      <c r="C1113" s="47"/>
      <c r="D1113" s="43"/>
      <c r="E1113" s="43"/>
      <c r="F1113" s="43"/>
      <c r="G1113" s="43"/>
      <c r="H1113" s="114"/>
      <c r="I1113" s="60">
        <v>1466</v>
      </c>
      <c r="J1113" s="211">
        <v>2</v>
      </c>
      <c r="K1113" s="8">
        <v>26</v>
      </c>
      <c r="L1113" s="8">
        <v>12</v>
      </c>
      <c r="M1113" s="60">
        <f t="shared" ref="M1113:M1114" si="192">I1113*J1113*K1113*L1113</f>
        <v>914784</v>
      </c>
      <c r="N1113" s="60"/>
      <c r="O1113" s="114"/>
      <c r="P1113" s="114"/>
      <c r="Q1113" s="114"/>
      <c r="R1113" s="114"/>
      <c r="S1113" s="114"/>
      <c r="T1113" s="114"/>
      <c r="U1113" s="114"/>
      <c r="V1113" s="114"/>
      <c r="W1113" s="114"/>
      <c r="X1113" s="114"/>
      <c r="Y1113" s="114"/>
      <c r="Z1113" s="114"/>
    </row>
    <row r="1114" spans="1:26" ht="15.75" customHeight="1" x14ac:dyDescent="0.25">
      <c r="A1114" s="96" t="s">
        <v>1040</v>
      </c>
      <c r="B1114" s="41"/>
      <c r="C1114" s="47"/>
      <c r="D1114" s="43"/>
      <c r="E1114" s="43"/>
      <c r="F1114" s="43"/>
      <c r="G1114" s="43"/>
      <c r="H1114" s="114"/>
      <c r="I1114" s="60">
        <v>720</v>
      </c>
      <c r="J1114" s="211">
        <v>1</v>
      </c>
      <c r="K1114" s="8">
        <v>26</v>
      </c>
      <c r="L1114" s="8">
        <v>12</v>
      </c>
      <c r="M1114" s="60">
        <f t="shared" si="192"/>
        <v>224640</v>
      </c>
      <c r="N1114" s="60"/>
      <c r="O1114" s="114"/>
      <c r="P1114" s="114"/>
      <c r="Q1114" s="114"/>
      <c r="R1114" s="114"/>
      <c r="S1114" s="114"/>
      <c r="T1114" s="114"/>
      <c r="U1114" s="114"/>
      <c r="V1114" s="114"/>
      <c r="W1114" s="114"/>
      <c r="X1114" s="114"/>
      <c r="Y1114" s="114"/>
      <c r="Z1114" s="114"/>
    </row>
    <row r="1115" spans="1:26" ht="15.75" customHeight="1" x14ac:dyDescent="0.25">
      <c r="A1115" s="96" t="s">
        <v>1041</v>
      </c>
      <c r="B1115" s="41"/>
      <c r="C1115" s="47"/>
      <c r="D1115" s="43"/>
      <c r="E1115" s="43"/>
      <c r="F1115" s="43"/>
      <c r="G1115" s="43"/>
      <c r="H1115" s="114"/>
      <c r="I1115" s="60"/>
      <c r="J1115" s="211"/>
      <c r="K1115" s="8"/>
      <c r="L1115" s="8"/>
      <c r="M1115" s="60"/>
      <c r="N1115" s="60"/>
      <c r="O1115" s="114"/>
      <c r="P1115" s="114"/>
      <c r="Q1115" s="114"/>
      <c r="R1115" s="114"/>
      <c r="S1115" s="114"/>
      <c r="T1115" s="114"/>
      <c r="U1115" s="114"/>
      <c r="V1115" s="114"/>
      <c r="W1115" s="114"/>
      <c r="X1115" s="114"/>
      <c r="Y1115" s="114"/>
      <c r="Z1115" s="114"/>
    </row>
    <row r="1116" spans="1:26" ht="15.75" customHeight="1" x14ac:dyDescent="0.25">
      <c r="A1116" s="96" t="s">
        <v>1042</v>
      </c>
      <c r="B1116" s="41"/>
      <c r="C1116" s="47"/>
      <c r="D1116" s="43"/>
      <c r="E1116" s="43"/>
      <c r="F1116" s="43"/>
      <c r="G1116" s="43"/>
      <c r="H1116" s="114"/>
      <c r="I1116" s="60">
        <v>861</v>
      </c>
      <c r="J1116" s="211">
        <v>1</v>
      </c>
      <c r="K1116" s="8">
        <v>26</v>
      </c>
      <c r="L1116" s="8">
        <v>12</v>
      </c>
      <c r="M1116" s="60">
        <f t="shared" ref="M1116:M1117" si="193">I1116*J1116*K1116*L1116</f>
        <v>268632</v>
      </c>
      <c r="N1116" s="60"/>
      <c r="O1116" s="114"/>
      <c r="P1116" s="114"/>
      <c r="Q1116" s="114"/>
      <c r="R1116" s="114"/>
      <c r="S1116" s="114"/>
      <c r="T1116" s="114"/>
      <c r="U1116" s="114"/>
      <c r="V1116" s="114"/>
      <c r="W1116" s="114"/>
      <c r="X1116" s="114"/>
      <c r="Y1116" s="114"/>
      <c r="Z1116" s="114"/>
    </row>
    <row r="1117" spans="1:26" ht="15.75" customHeight="1" x14ac:dyDescent="0.25">
      <c r="A1117" s="96" t="s">
        <v>1043</v>
      </c>
      <c r="B1117" s="41"/>
      <c r="C1117" s="47"/>
      <c r="D1117" s="43"/>
      <c r="E1117" s="43"/>
      <c r="F1117" s="43"/>
      <c r="G1117" s="43"/>
      <c r="H1117" s="114"/>
      <c r="I1117" s="60">
        <v>639</v>
      </c>
      <c r="J1117" s="211">
        <v>20</v>
      </c>
      <c r="K1117" s="8">
        <v>26</v>
      </c>
      <c r="L1117" s="8">
        <v>12</v>
      </c>
      <c r="M1117" s="60">
        <f t="shared" si="193"/>
        <v>3987360</v>
      </c>
      <c r="N1117" s="60"/>
      <c r="O1117" s="114"/>
      <c r="P1117" s="114"/>
      <c r="Q1117" s="114"/>
      <c r="R1117" s="114"/>
      <c r="S1117" s="114"/>
      <c r="T1117" s="114"/>
      <c r="U1117" s="114"/>
      <c r="V1117" s="114"/>
      <c r="W1117" s="114"/>
      <c r="X1117" s="114"/>
      <c r="Y1117" s="114"/>
      <c r="Z1117" s="114"/>
    </row>
    <row r="1118" spans="1:26" ht="15.75" customHeight="1" x14ac:dyDescent="0.25">
      <c r="A1118" s="96" t="s">
        <v>1044</v>
      </c>
      <c r="B1118" s="41"/>
      <c r="C1118" s="47"/>
      <c r="D1118" s="43"/>
      <c r="E1118" s="43"/>
      <c r="F1118" s="43"/>
      <c r="G1118" s="43"/>
      <c r="H1118" s="114"/>
      <c r="I1118" s="60"/>
      <c r="J1118" s="211"/>
      <c r="K1118" s="8"/>
      <c r="L1118" s="8"/>
      <c r="M1118" s="60"/>
      <c r="N1118" s="60"/>
      <c r="O1118" s="114"/>
      <c r="P1118" s="114"/>
      <c r="Q1118" s="114"/>
      <c r="R1118" s="114"/>
      <c r="S1118" s="114"/>
      <c r="T1118" s="114"/>
      <c r="U1118" s="114"/>
      <c r="V1118" s="114"/>
      <c r="W1118" s="114"/>
      <c r="X1118" s="114"/>
      <c r="Y1118" s="114"/>
      <c r="Z1118" s="114"/>
    </row>
    <row r="1119" spans="1:26" ht="15.75" customHeight="1" x14ac:dyDescent="0.25">
      <c r="A1119" s="96" t="s">
        <v>1042</v>
      </c>
      <c r="B1119" s="41"/>
      <c r="C1119" s="47"/>
      <c r="D1119" s="43"/>
      <c r="E1119" s="43"/>
      <c r="F1119" s="43"/>
      <c r="G1119" s="43"/>
      <c r="H1119" s="114"/>
      <c r="I1119" s="60">
        <v>861</v>
      </c>
      <c r="J1119" s="211">
        <v>1</v>
      </c>
      <c r="K1119" s="8">
        <v>26</v>
      </c>
      <c r="L1119" s="8">
        <v>12</v>
      </c>
      <c r="M1119" s="60">
        <f t="shared" ref="M1119:M1121" si="194">I1119*J1119*K1119*L1119</f>
        <v>268632</v>
      </c>
      <c r="N1119" s="60"/>
      <c r="O1119" s="114"/>
      <c r="P1119" s="114"/>
      <c r="Q1119" s="114"/>
      <c r="R1119" s="114"/>
      <c r="S1119" s="114"/>
      <c r="T1119" s="114"/>
      <c r="U1119" s="114"/>
      <c r="V1119" s="114"/>
      <c r="W1119" s="114"/>
      <c r="X1119" s="114"/>
      <c r="Y1119" s="114"/>
      <c r="Z1119" s="114"/>
    </row>
    <row r="1120" spans="1:26" ht="15.75" customHeight="1" x14ac:dyDescent="0.25">
      <c r="A1120" s="96" t="s">
        <v>1045</v>
      </c>
      <c r="B1120" s="41"/>
      <c r="C1120" s="47"/>
      <c r="D1120" s="43"/>
      <c r="E1120" s="43"/>
      <c r="F1120" s="43"/>
      <c r="G1120" s="43"/>
      <c r="H1120" s="114"/>
      <c r="I1120" s="60">
        <v>720</v>
      </c>
      <c r="J1120" s="211">
        <v>4</v>
      </c>
      <c r="K1120" s="8">
        <v>26</v>
      </c>
      <c r="L1120" s="8">
        <v>12</v>
      </c>
      <c r="M1120" s="60">
        <f t="shared" si="194"/>
        <v>898560</v>
      </c>
      <c r="N1120" s="60"/>
      <c r="O1120" s="114"/>
      <c r="P1120" s="114"/>
      <c r="Q1120" s="114"/>
      <c r="R1120" s="114"/>
      <c r="S1120" s="114"/>
      <c r="T1120" s="114"/>
      <c r="U1120" s="114"/>
      <c r="V1120" s="114"/>
      <c r="W1120" s="114"/>
      <c r="X1120" s="114"/>
      <c r="Y1120" s="114"/>
      <c r="Z1120" s="114"/>
    </row>
    <row r="1121" spans="1:26" ht="15.75" customHeight="1" x14ac:dyDescent="0.25">
      <c r="A1121" s="96" t="s">
        <v>1046</v>
      </c>
      <c r="B1121" s="41"/>
      <c r="C1121" s="47"/>
      <c r="D1121" s="43"/>
      <c r="E1121" s="43"/>
      <c r="F1121" s="43"/>
      <c r="G1121" s="43"/>
      <c r="H1121" s="114"/>
      <c r="I1121" s="60">
        <v>639</v>
      </c>
      <c r="J1121" s="211">
        <v>80</v>
      </c>
      <c r="K1121" s="8">
        <v>26</v>
      </c>
      <c r="L1121" s="8">
        <v>12</v>
      </c>
      <c r="M1121" s="60">
        <f t="shared" si="194"/>
        <v>15949440</v>
      </c>
      <c r="N1121" s="60"/>
      <c r="O1121" s="114"/>
      <c r="P1121" s="114"/>
      <c r="Q1121" s="114"/>
      <c r="R1121" s="114"/>
      <c r="S1121" s="114"/>
      <c r="T1121" s="114"/>
      <c r="U1121" s="114"/>
      <c r="V1121" s="114"/>
      <c r="W1121" s="114"/>
      <c r="X1121" s="114"/>
      <c r="Y1121" s="114"/>
      <c r="Z1121" s="114"/>
    </row>
    <row r="1122" spans="1:26" ht="15.75" customHeight="1" x14ac:dyDescent="0.25">
      <c r="A1122" s="96" t="s">
        <v>1047</v>
      </c>
      <c r="B1122" s="41"/>
      <c r="C1122" s="47"/>
      <c r="D1122" s="43"/>
      <c r="E1122" s="43"/>
      <c r="F1122" s="43"/>
      <c r="G1122" s="43"/>
      <c r="H1122" s="114"/>
      <c r="I1122" s="60"/>
      <c r="J1122" s="211"/>
      <c r="K1122" s="8"/>
      <c r="L1122" s="8"/>
      <c r="M1122" s="60"/>
      <c r="N1122" s="60"/>
      <c r="O1122" s="114"/>
      <c r="P1122" s="114"/>
      <c r="Q1122" s="114"/>
      <c r="R1122" s="114"/>
      <c r="S1122" s="114"/>
      <c r="T1122" s="114"/>
      <c r="U1122" s="114"/>
      <c r="V1122" s="114"/>
      <c r="W1122" s="114"/>
      <c r="X1122" s="114"/>
      <c r="Y1122" s="114"/>
      <c r="Z1122" s="114"/>
    </row>
    <row r="1123" spans="1:26" ht="15.75" customHeight="1" x14ac:dyDescent="0.25">
      <c r="A1123" s="96" t="s">
        <v>1042</v>
      </c>
      <c r="B1123" s="41"/>
      <c r="C1123" s="47"/>
      <c r="D1123" s="43"/>
      <c r="E1123" s="43"/>
      <c r="F1123" s="43"/>
      <c r="G1123" s="43"/>
      <c r="H1123" s="114"/>
      <c r="I1123" s="60">
        <v>861</v>
      </c>
      <c r="J1123" s="211">
        <v>1</v>
      </c>
      <c r="K1123" s="8">
        <v>26</v>
      </c>
      <c r="L1123" s="8">
        <v>12</v>
      </c>
      <c r="M1123" s="60">
        <f t="shared" ref="M1123:M1125" si="195">I1123*J1123*K1123*L1123</f>
        <v>268632</v>
      </c>
      <c r="N1123" s="60"/>
      <c r="O1123" s="114"/>
      <c r="P1123" s="114"/>
      <c r="Q1123" s="114"/>
      <c r="R1123" s="114"/>
      <c r="S1123" s="114"/>
      <c r="T1123" s="114"/>
      <c r="U1123" s="114"/>
      <c r="V1123" s="114"/>
      <c r="W1123" s="114"/>
      <c r="X1123" s="114"/>
      <c r="Y1123" s="114"/>
      <c r="Z1123" s="114"/>
    </row>
    <row r="1124" spans="1:26" ht="15.75" customHeight="1" x14ac:dyDescent="0.25">
      <c r="A1124" s="468" t="s">
        <v>1048</v>
      </c>
      <c r="B1124" s="461"/>
      <c r="C1124" s="489"/>
      <c r="D1124" s="443"/>
      <c r="E1124" s="443"/>
      <c r="F1124" s="443"/>
      <c r="G1124" s="462"/>
      <c r="H1124" s="450"/>
      <c r="I1124" s="60">
        <v>720</v>
      </c>
      <c r="J1124" s="211">
        <v>7</v>
      </c>
      <c r="K1124" s="8">
        <v>26</v>
      </c>
      <c r="L1124" s="8">
        <v>12</v>
      </c>
      <c r="M1124" s="60">
        <f t="shared" si="195"/>
        <v>1572480</v>
      </c>
      <c r="N1124" s="60"/>
      <c r="O1124" s="114"/>
      <c r="P1124" s="114"/>
      <c r="Q1124" s="114"/>
      <c r="R1124" s="114"/>
      <c r="S1124" s="114"/>
      <c r="T1124" s="114"/>
      <c r="U1124" s="114"/>
      <c r="V1124" s="114"/>
      <c r="W1124" s="114"/>
      <c r="X1124" s="114"/>
      <c r="Y1124" s="114"/>
      <c r="Z1124" s="114"/>
    </row>
    <row r="1125" spans="1:26" ht="15.75" customHeight="1" x14ac:dyDescent="0.25">
      <c r="A1125" s="96" t="s">
        <v>1049</v>
      </c>
      <c r="B1125" s="41"/>
      <c r="C1125" s="47"/>
      <c r="D1125" s="43"/>
      <c r="E1125" s="43"/>
      <c r="F1125" s="43"/>
      <c r="G1125" s="43"/>
      <c r="H1125" s="114"/>
      <c r="I1125" s="60">
        <v>639</v>
      </c>
      <c r="J1125" s="211">
        <v>90</v>
      </c>
      <c r="K1125" s="8">
        <v>26</v>
      </c>
      <c r="L1125" s="8">
        <v>12</v>
      </c>
      <c r="M1125" s="60">
        <f t="shared" si="195"/>
        <v>17943120</v>
      </c>
      <c r="N1125" s="60">
        <f>SUM(M1113:M1125)</f>
        <v>42296280</v>
      </c>
      <c r="O1125" s="60">
        <f>N1110+N1111+N1125</f>
        <v>46496280</v>
      </c>
      <c r="P1125" s="114"/>
      <c r="Q1125" s="114"/>
      <c r="R1125" s="114"/>
      <c r="S1125" s="114"/>
      <c r="T1125" s="114"/>
      <c r="U1125" s="114"/>
      <c r="V1125" s="114"/>
      <c r="W1125" s="114"/>
      <c r="X1125" s="114"/>
      <c r="Y1125" s="114"/>
      <c r="Z1125" s="114"/>
    </row>
    <row r="1126" spans="1:26" ht="15.75" customHeight="1" x14ac:dyDescent="0.25">
      <c r="A1126" s="42" t="s">
        <v>466</v>
      </c>
      <c r="B1126" s="41"/>
      <c r="C1126" s="54">
        <f t="shared" ref="C1126:D1126" si="196">SUM(C1102:C1109)</f>
        <v>29640869.120000001</v>
      </c>
      <c r="D1126" s="54">
        <f t="shared" si="196"/>
        <v>11663205</v>
      </c>
      <c r="E1126" s="54">
        <f>F1126-D1126</f>
        <v>18402417</v>
      </c>
      <c r="F1126" s="54">
        <f>SUM(F1102:F1109)</f>
        <v>30065622</v>
      </c>
      <c r="G1126" s="54">
        <f>SUM(G1103:G1109)</f>
        <v>48000738</v>
      </c>
      <c r="H1126" s="114"/>
      <c r="I1126" s="60"/>
      <c r="J1126" s="60"/>
      <c r="K1126" s="114"/>
      <c r="L1126" s="114"/>
      <c r="M1126" s="60"/>
      <c r="N1126" s="60"/>
      <c r="O1126" s="114"/>
      <c r="P1126" s="114"/>
      <c r="Q1126" s="114"/>
      <c r="R1126" s="114"/>
      <c r="S1126" s="114"/>
      <c r="T1126" s="114"/>
      <c r="U1126" s="114"/>
      <c r="V1126" s="114"/>
      <c r="W1126" s="114"/>
      <c r="X1126" s="114"/>
      <c r="Y1126" s="114"/>
      <c r="Z1126" s="114"/>
    </row>
    <row r="1127" spans="1:26" ht="15.75" customHeight="1" x14ac:dyDescent="0.25">
      <c r="A1127" s="17"/>
      <c r="B1127" s="41"/>
      <c r="C1127" s="55"/>
      <c r="D1127" s="55"/>
      <c r="E1127" s="43"/>
      <c r="F1127" s="55"/>
      <c r="G1127" s="55"/>
      <c r="H1127" s="114"/>
      <c r="I1127" s="60"/>
      <c r="J1127" s="60"/>
      <c r="K1127" s="114"/>
      <c r="L1127" s="114"/>
      <c r="M1127" s="60"/>
      <c r="N1127" s="60"/>
      <c r="O1127" s="114"/>
      <c r="P1127" s="114"/>
      <c r="Q1127" s="114"/>
      <c r="R1127" s="114"/>
      <c r="S1127" s="114"/>
      <c r="T1127" s="114"/>
      <c r="U1127" s="114"/>
      <c r="V1127" s="114"/>
      <c r="W1127" s="114"/>
      <c r="X1127" s="114"/>
      <c r="Y1127" s="114"/>
      <c r="Z1127" s="114"/>
    </row>
    <row r="1128" spans="1:26" ht="15.75" customHeight="1" x14ac:dyDescent="0.25">
      <c r="A1128" s="17" t="s">
        <v>467</v>
      </c>
      <c r="B1128" s="41"/>
      <c r="C1128" s="43">
        <f t="shared" ref="C1128:D1128" si="197">C1126</f>
        <v>29640869.120000001</v>
      </c>
      <c r="D1128" s="43">
        <f t="shared" si="197"/>
        <v>11663205</v>
      </c>
      <c r="E1128" s="43">
        <f>F1128-D1128</f>
        <v>18402417</v>
      </c>
      <c r="F1128" s="43">
        <f t="shared" ref="F1128:G1128" si="198">F1126</f>
        <v>30065622</v>
      </c>
      <c r="G1128" s="43">
        <f t="shared" si="198"/>
        <v>48000738</v>
      </c>
      <c r="H1128" s="114"/>
      <c r="I1128" s="60"/>
      <c r="J1128" s="60"/>
      <c r="K1128" s="114"/>
      <c r="L1128" s="114"/>
      <c r="M1128" s="60"/>
      <c r="N1128" s="60"/>
      <c r="O1128" s="114"/>
      <c r="P1128" s="114"/>
      <c r="Q1128" s="114"/>
      <c r="R1128" s="114"/>
      <c r="S1128" s="114"/>
      <c r="T1128" s="114"/>
      <c r="U1128" s="114"/>
      <c r="V1128" s="114"/>
      <c r="W1128" s="114"/>
      <c r="X1128" s="114"/>
      <c r="Y1128" s="114"/>
      <c r="Z1128" s="114"/>
    </row>
    <row r="1129" spans="1:26" ht="15.75" customHeight="1" x14ac:dyDescent="0.25">
      <c r="A1129" s="17"/>
      <c r="B1129" s="41"/>
      <c r="C1129" s="43"/>
      <c r="D1129" s="43"/>
      <c r="E1129" s="43"/>
      <c r="F1129" s="43"/>
      <c r="G1129" s="43"/>
      <c r="H1129" s="114"/>
      <c r="I1129" s="60"/>
      <c r="J1129" s="60"/>
      <c r="K1129" s="114"/>
      <c r="L1129" s="114"/>
      <c r="M1129" s="60"/>
      <c r="N1129" s="60"/>
      <c r="O1129" s="114"/>
      <c r="P1129" s="114"/>
      <c r="Q1129" s="114"/>
      <c r="R1129" s="114"/>
      <c r="S1129" s="114"/>
      <c r="T1129" s="114"/>
      <c r="U1129" s="114"/>
      <c r="V1129" s="114"/>
      <c r="W1129" s="114"/>
      <c r="X1129" s="114"/>
      <c r="Y1129" s="114"/>
      <c r="Z1129" s="114"/>
    </row>
    <row r="1130" spans="1:26" ht="15.75" customHeight="1" x14ac:dyDescent="0.25">
      <c r="A1130" s="17" t="s">
        <v>529</v>
      </c>
      <c r="B1130" s="41"/>
      <c r="C1130" s="43"/>
      <c r="D1130" s="43"/>
      <c r="E1130" s="43"/>
      <c r="F1130" s="43"/>
      <c r="G1130" s="43"/>
      <c r="H1130" s="114"/>
      <c r="I1130" s="60"/>
      <c r="J1130" s="60"/>
      <c r="K1130" s="114"/>
      <c r="L1130" s="114"/>
      <c r="M1130" s="60"/>
      <c r="N1130" s="60"/>
      <c r="O1130" s="114"/>
      <c r="P1130" s="114"/>
      <c r="Q1130" s="114"/>
      <c r="R1130" s="114"/>
      <c r="S1130" s="114"/>
      <c r="T1130" s="114"/>
      <c r="U1130" s="114"/>
      <c r="V1130" s="114"/>
      <c r="W1130" s="114"/>
      <c r="X1130" s="114"/>
      <c r="Y1130" s="114"/>
      <c r="Z1130" s="114"/>
    </row>
    <row r="1131" spans="1:26" ht="15.75" customHeight="1" x14ac:dyDescent="0.25">
      <c r="A1131" s="17" t="s">
        <v>476</v>
      </c>
      <c r="B1131" s="94"/>
      <c r="C1131" s="43"/>
      <c r="D1131" s="43"/>
      <c r="E1131" s="43"/>
      <c r="F1131" s="43"/>
      <c r="G1131" s="43"/>
      <c r="H1131" s="114"/>
      <c r="I1131" s="60"/>
      <c r="J1131" s="60"/>
      <c r="K1131" s="114"/>
      <c r="L1131" s="114"/>
      <c r="M1131" s="60"/>
      <c r="N1131" s="60"/>
      <c r="O1131" s="114"/>
      <c r="P1131" s="114"/>
      <c r="Q1131" s="114"/>
      <c r="R1131" s="114"/>
      <c r="S1131" s="114"/>
      <c r="T1131" s="114"/>
      <c r="U1131" s="114"/>
      <c r="V1131" s="114"/>
      <c r="W1131" s="114"/>
      <c r="X1131" s="114"/>
      <c r="Y1131" s="114"/>
      <c r="Z1131" s="114"/>
    </row>
    <row r="1132" spans="1:26" ht="15.75" customHeight="1" x14ac:dyDescent="0.25">
      <c r="A1132" s="44" t="s">
        <v>1051</v>
      </c>
      <c r="B1132" s="41" t="s">
        <v>83</v>
      </c>
      <c r="C1132" s="43">
        <v>0</v>
      </c>
      <c r="D1132" s="43">
        <v>0</v>
      </c>
      <c r="E1132" s="43">
        <v>0</v>
      </c>
      <c r="F1132" s="43">
        <v>0</v>
      </c>
      <c r="G1132" s="43">
        <v>3700000</v>
      </c>
      <c r="H1132" s="114"/>
      <c r="I1132" s="60"/>
      <c r="J1132" s="60"/>
      <c r="K1132" s="114"/>
      <c r="L1132" s="114"/>
      <c r="M1132" s="60"/>
      <c r="N1132" s="60"/>
      <c r="O1132" s="114"/>
      <c r="P1132" s="114"/>
      <c r="Q1132" s="114"/>
      <c r="R1132" s="114"/>
      <c r="S1132" s="114"/>
      <c r="T1132" s="114"/>
      <c r="U1132" s="114"/>
      <c r="V1132" s="114"/>
      <c r="W1132" s="114"/>
      <c r="X1132" s="114"/>
      <c r="Y1132" s="114"/>
      <c r="Z1132" s="114"/>
    </row>
    <row r="1133" spans="1:26" ht="15.75" customHeight="1" x14ac:dyDescent="0.25">
      <c r="A1133" s="44" t="s">
        <v>1052</v>
      </c>
      <c r="B1133" s="41"/>
      <c r="C1133" s="43"/>
      <c r="D1133" s="43"/>
      <c r="E1133" s="43"/>
      <c r="F1133" s="43"/>
      <c r="G1133" s="43"/>
      <c r="H1133" s="114"/>
      <c r="I1133" s="60"/>
      <c r="J1133" s="60"/>
      <c r="K1133" s="114"/>
      <c r="L1133" s="114"/>
      <c r="M1133" s="60"/>
      <c r="N1133" s="60"/>
      <c r="O1133" s="114"/>
      <c r="P1133" s="114"/>
      <c r="Q1133" s="114"/>
      <c r="R1133" s="114"/>
      <c r="S1133" s="114"/>
      <c r="T1133" s="114"/>
      <c r="U1133" s="114"/>
      <c r="V1133" s="114"/>
      <c r="W1133" s="114"/>
      <c r="X1133" s="114"/>
      <c r="Y1133" s="114"/>
      <c r="Z1133" s="114"/>
    </row>
    <row r="1134" spans="1:26" ht="15.75" customHeight="1" x14ac:dyDescent="0.25">
      <c r="A1134" s="17" t="s">
        <v>536</v>
      </c>
      <c r="B1134" s="41"/>
      <c r="C1134" s="54">
        <f>SUM(C1132:C1132)</f>
        <v>0</v>
      </c>
      <c r="D1134" s="54">
        <f>SUM(D1132:D1132)</f>
        <v>0</v>
      </c>
      <c r="E1134" s="54">
        <f>F1134-D1134</f>
        <v>0</v>
      </c>
      <c r="F1134" s="54">
        <f>SUM(F1132:F1132)</f>
        <v>0</v>
      </c>
      <c r="G1134" s="54">
        <f>SUM(G1132:G1132)</f>
        <v>3700000</v>
      </c>
      <c r="H1134" s="114"/>
      <c r="I1134" s="60"/>
      <c r="J1134" s="60"/>
      <c r="K1134" s="114"/>
      <c r="L1134" s="114"/>
      <c r="M1134" s="60"/>
      <c r="N1134" s="60"/>
      <c r="O1134" s="114"/>
      <c r="P1134" s="114"/>
      <c r="Q1134" s="114"/>
      <c r="R1134" s="114"/>
      <c r="S1134" s="114"/>
      <c r="T1134" s="114"/>
      <c r="U1134" s="114"/>
      <c r="V1134" s="114"/>
      <c r="W1134" s="114"/>
      <c r="X1134" s="114"/>
      <c r="Y1134" s="114"/>
      <c r="Z1134" s="114"/>
    </row>
    <row r="1135" spans="1:26" ht="15.75" customHeight="1" x14ac:dyDescent="0.25">
      <c r="A1135" s="17"/>
      <c r="B1135" s="41"/>
      <c r="C1135" s="43"/>
      <c r="D1135" s="43"/>
      <c r="E1135" s="43"/>
      <c r="F1135" s="43"/>
      <c r="G1135" s="43"/>
      <c r="H1135" s="114"/>
      <c r="I1135" s="60"/>
      <c r="J1135" s="60"/>
      <c r="K1135" s="114"/>
      <c r="L1135" s="114"/>
      <c r="M1135" s="60"/>
      <c r="N1135" s="60"/>
      <c r="O1135" s="114"/>
      <c r="P1135" s="114"/>
      <c r="Q1135" s="114"/>
      <c r="R1135" s="114"/>
      <c r="S1135" s="114"/>
      <c r="T1135" s="114"/>
      <c r="U1135" s="114"/>
      <c r="V1135" s="114"/>
      <c r="W1135" s="114"/>
      <c r="X1135" s="114"/>
      <c r="Y1135" s="114"/>
      <c r="Z1135" s="114"/>
    </row>
    <row r="1136" spans="1:26" ht="15.75" customHeight="1" x14ac:dyDescent="0.25">
      <c r="A1136" s="50" t="s">
        <v>487</v>
      </c>
      <c r="B1136" s="51" t="s">
        <v>488</v>
      </c>
      <c r="C1136" s="54">
        <f>+C1134+C1128</f>
        <v>29640869.120000001</v>
      </c>
      <c r="D1136" s="54">
        <f>+D1134+D1128</f>
        <v>11663205</v>
      </c>
      <c r="E1136" s="54">
        <f>F1136-D1136</f>
        <v>18402417</v>
      </c>
      <c r="F1136" s="54">
        <f>+F1134+F1128</f>
        <v>30065622</v>
      </c>
      <c r="G1136" s="54">
        <f>G1134+G1128</f>
        <v>51700738</v>
      </c>
      <c r="H1136" s="114"/>
      <c r="I1136" s="60"/>
      <c r="J1136" s="60"/>
      <c r="K1136" s="114"/>
      <c r="L1136" s="114"/>
      <c r="M1136" s="60"/>
      <c r="N1136" s="60"/>
      <c r="O1136" s="114"/>
      <c r="P1136" s="114"/>
      <c r="Q1136" s="114"/>
      <c r="R1136" s="114"/>
      <c r="S1136" s="114"/>
      <c r="T1136" s="114"/>
      <c r="U1136" s="114"/>
      <c r="V1136" s="114"/>
      <c r="W1136" s="114"/>
      <c r="X1136" s="114"/>
      <c r="Y1136" s="114"/>
      <c r="Z1136" s="114"/>
    </row>
    <row r="1137" spans="1:26" ht="15.75" customHeight="1" x14ac:dyDescent="0.25">
      <c r="A1137" s="15" t="s">
        <v>488</v>
      </c>
      <c r="B1137" s="15"/>
      <c r="C1137" s="103"/>
      <c r="D1137" s="24"/>
      <c r="E1137" s="24"/>
      <c r="F1137" s="103"/>
      <c r="G1137" s="114"/>
      <c r="H1137" s="114"/>
      <c r="I1137" s="60"/>
      <c r="J1137" s="60"/>
      <c r="K1137" s="114"/>
      <c r="L1137" s="114"/>
      <c r="M1137" s="60"/>
      <c r="N1137" s="60"/>
      <c r="O1137" s="114"/>
      <c r="P1137" s="114"/>
      <c r="Q1137" s="114"/>
      <c r="R1137" s="114"/>
      <c r="S1137" s="114"/>
      <c r="T1137" s="114"/>
      <c r="U1137" s="114"/>
      <c r="V1137" s="114"/>
      <c r="W1137" s="114"/>
      <c r="X1137" s="114"/>
      <c r="Y1137" s="114"/>
      <c r="Z1137" s="114"/>
    </row>
    <row r="1138" spans="1:26" ht="15.75" customHeight="1" x14ac:dyDescent="0.25">
      <c r="A1138" s="24"/>
      <c r="B1138" s="25"/>
      <c r="C1138" s="24"/>
      <c r="D1138" s="24"/>
      <c r="E1138" s="24"/>
      <c r="F1138" s="15"/>
      <c r="G1138" s="15"/>
      <c r="H1138" s="15"/>
      <c r="I1138" s="16"/>
      <c r="J1138" s="16"/>
      <c r="K1138" s="15"/>
      <c r="L1138" s="15"/>
      <c r="M1138" s="16"/>
      <c r="N1138" s="16"/>
      <c r="O1138" s="15"/>
      <c r="P1138" s="15"/>
      <c r="Q1138" s="15"/>
      <c r="R1138" s="15"/>
      <c r="S1138" s="15"/>
      <c r="T1138" s="15"/>
      <c r="U1138" s="15"/>
      <c r="V1138" s="15"/>
      <c r="W1138" s="15"/>
      <c r="X1138" s="15"/>
      <c r="Y1138" s="15"/>
      <c r="Z1138" s="15"/>
    </row>
    <row r="1139" spans="1:26" ht="15.75" customHeight="1" x14ac:dyDescent="0.25">
      <c r="A1139" s="9" t="s">
        <v>348</v>
      </c>
      <c r="B1139" s="104"/>
      <c r="C1139" s="105"/>
      <c r="D1139" s="105"/>
      <c r="E1139" s="105"/>
      <c r="F1139" s="10"/>
      <c r="G1139" s="180"/>
      <c r="H1139" s="15"/>
      <c r="I1139" s="16"/>
      <c r="J1139" s="16"/>
      <c r="K1139" s="15"/>
      <c r="L1139" s="15"/>
      <c r="M1139" s="16"/>
      <c r="N1139" s="16"/>
      <c r="O1139" s="15"/>
      <c r="P1139" s="15"/>
      <c r="Q1139" s="15"/>
      <c r="R1139" s="15"/>
      <c r="S1139" s="15"/>
      <c r="T1139" s="15"/>
      <c r="U1139" s="15"/>
      <c r="V1139" s="15"/>
      <c r="W1139" s="15"/>
      <c r="X1139" s="15"/>
      <c r="Y1139" s="15"/>
      <c r="Z1139" s="15"/>
    </row>
    <row r="1140" spans="1:26" ht="15.75" customHeight="1" x14ac:dyDescent="0.25">
      <c r="A1140" s="17" t="s">
        <v>489</v>
      </c>
      <c r="B1140" s="25"/>
      <c r="C1140" s="24"/>
      <c r="D1140" s="24"/>
      <c r="E1140" s="24"/>
      <c r="F1140" s="15"/>
      <c r="G1140" s="181"/>
      <c r="H1140" s="15"/>
      <c r="I1140" s="16"/>
      <c r="J1140" s="16"/>
      <c r="K1140" s="15"/>
      <c r="L1140" s="15"/>
      <c r="M1140" s="16"/>
      <c r="N1140" s="16"/>
      <c r="O1140" s="15"/>
      <c r="P1140" s="15"/>
      <c r="Q1140" s="15"/>
      <c r="R1140" s="15"/>
      <c r="S1140" s="15"/>
      <c r="T1140" s="15"/>
      <c r="U1140" s="15"/>
      <c r="V1140" s="15"/>
      <c r="W1140" s="15"/>
      <c r="X1140" s="15"/>
      <c r="Y1140" s="15"/>
      <c r="Z1140" s="15"/>
    </row>
    <row r="1141" spans="1:26" ht="15.75" customHeight="1" x14ac:dyDescent="0.25">
      <c r="A1141" s="17"/>
      <c r="B1141" s="25"/>
      <c r="C1141" s="24"/>
      <c r="D1141" s="24"/>
      <c r="E1141" s="24"/>
      <c r="F1141" s="15"/>
      <c r="G1141" s="181"/>
      <c r="H1141" s="15"/>
      <c r="I1141" s="16"/>
      <c r="J1141" s="16"/>
      <c r="K1141" s="15"/>
      <c r="L1141" s="15"/>
      <c r="M1141" s="16"/>
      <c r="N1141" s="16"/>
      <c r="O1141" s="15"/>
      <c r="P1141" s="15"/>
      <c r="Q1141" s="15"/>
      <c r="R1141" s="15"/>
      <c r="S1141" s="15"/>
      <c r="T1141" s="15"/>
      <c r="U1141" s="15"/>
      <c r="V1141" s="15"/>
      <c r="W1141" s="15"/>
      <c r="X1141" s="15"/>
      <c r="Y1141" s="15"/>
      <c r="Z1141" s="15"/>
    </row>
    <row r="1142" spans="1:26" ht="15.75" customHeight="1" x14ac:dyDescent="0.25">
      <c r="A1142" s="108" t="s">
        <v>1053</v>
      </c>
      <c r="B1142" s="25"/>
      <c r="C1142" s="26"/>
      <c r="D1142" s="26"/>
      <c r="E1142" s="26"/>
      <c r="F1142" s="14"/>
      <c r="G1142" s="181"/>
      <c r="H1142" s="15"/>
      <c r="I1142" s="16"/>
      <c r="J1142" s="16"/>
      <c r="K1142" s="15"/>
      <c r="L1142" s="15"/>
      <c r="M1142" s="16"/>
      <c r="N1142" s="16"/>
      <c r="O1142" s="15"/>
      <c r="P1142" s="15"/>
      <c r="Q1142" s="15"/>
      <c r="R1142" s="15"/>
      <c r="S1142" s="15"/>
      <c r="T1142" s="15"/>
      <c r="U1142" s="15"/>
      <c r="V1142" s="15"/>
      <c r="W1142" s="15"/>
      <c r="X1142" s="15"/>
      <c r="Y1142" s="15"/>
      <c r="Z1142" s="15"/>
    </row>
    <row r="1143" spans="1:26" ht="15.75" customHeight="1" x14ac:dyDescent="0.25">
      <c r="A1143" s="44"/>
      <c r="B1143" s="25"/>
      <c r="C1143" s="26"/>
      <c r="D1143" s="26"/>
      <c r="E1143" s="26"/>
      <c r="F1143" s="14"/>
      <c r="G1143" s="181"/>
      <c r="H1143" s="15"/>
      <c r="I1143" s="16"/>
      <c r="J1143" s="16"/>
      <c r="K1143" s="15"/>
      <c r="L1143" s="15"/>
      <c r="M1143" s="16"/>
      <c r="N1143" s="16"/>
      <c r="O1143" s="15"/>
      <c r="P1143" s="15"/>
      <c r="Q1143" s="15"/>
      <c r="R1143" s="15"/>
      <c r="S1143" s="15"/>
      <c r="T1143" s="15"/>
      <c r="U1143" s="15"/>
      <c r="V1143" s="15"/>
      <c r="W1143" s="15"/>
      <c r="X1143" s="15"/>
      <c r="Y1143" s="15"/>
      <c r="Z1143" s="15"/>
    </row>
    <row r="1144" spans="1:26" ht="15.75" customHeight="1" x14ac:dyDescent="0.25">
      <c r="A1144" s="865" t="s">
        <v>352</v>
      </c>
      <c r="B1144" s="866"/>
      <c r="C1144" s="866"/>
      <c r="D1144" s="866"/>
      <c r="E1144" s="866"/>
      <c r="F1144" s="866"/>
      <c r="G1144" s="867"/>
      <c r="H1144" s="15"/>
      <c r="I1144" s="16"/>
      <c r="J1144" s="16"/>
      <c r="K1144" s="15"/>
      <c r="L1144" s="15"/>
      <c r="M1144" s="16"/>
      <c r="N1144" s="16"/>
      <c r="O1144" s="15"/>
      <c r="P1144" s="15"/>
      <c r="Q1144" s="15"/>
      <c r="R1144" s="15"/>
      <c r="S1144" s="15"/>
      <c r="T1144" s="15"/>
      <c r="U1144" s="15"/>
      <c r="V1144" s="15"/>
      <c r="W1144" s="15"/>
      <c r="X1144" s="15"/>
      <c r="Y1144" s="15"/>
      <c r="Z1144" s="15"/>
    </row>
    <row r="1145" spans="1:26" ht="15.75" customHeight="1" x14ac:dyDescent="0.25">
      <c r="A1145" s="868" t="s">
        <v>353</v>
      </c>
      <c r="B1145" s="857" t="s">
        <v>354</v>
      </c>
      <c r="C1145" s="870" t="s">
        <v>355</v>
      </c>
      <c r="D1145" s="872" t="s">
        <v>356</v>
      </c>
      <c r="E1145" s="873"/>
      <c r="F1145" s="874"/>
      <c r="G1145" s="857" t="s">
        <v>357</v>
      </c>
      <c r="H1145" s="15"/>
      <c r="I1145" s="16"/>
      <c r="J1145" s="16"/>
      <c r="K1145" s="15"/>
      <c r="L1145" s="15"/>
      <c r="M1145" s="16"/>
      <c r="N1145" s="16"/>
      <c r="O1145" s="15"/>
      <c r="P1145" s="15"/>
      <c r="Q1145" s="15"/>
      <c r="R1145" s="15"/>
      <c r="S1145" s="15"/>
      <c r="T1145" s="15"/>
      <c r="U1145" s="15"/>
      <c r="V1145" s="15"/>
      <c r="W1145" s="15"/>
      <c r="X1145" s="15"/>
      <c r="Y1145" s="15"/>
      <c r="Z1145" s="15"/>
    </row>
    <row r="1146" spans="1:26" ht="15.75" customHeight="1" x14ac:dyDescent="0.25">
      <c r="A1146" s="858"/>
      <c r="B1146" s="858"/>
      <c r="C1146" s="871"/>
      <c r="D1146" s="28" t="s">
        <v>358</v>
      </c>
      <c r="E1146" s="29" t="s">
        <v>359</v>
      </c>
      <c r="F1146" s="875" t="s">
        <v>360</v>
      </c>
      <c r="G1146" s="858"/>
      <c r="H1146" s="15"/>
      <c r="I1146" s="16"/>
      <c r="J1146" s="16"/>
      <c r="K1146" s="15"/>
      <c r="L1146" s="15"/>
      <c r="M1146" s="16"/>
      <c r="N1146" s="16"/>
      <c r="O1146" s="15"/>
      <c r="P1146" s="15"/>
      <c r="Q1146" s="15"/>
      <c r="R1146" s="15"/>
      <c r="S1146" s="15"/>
      <c r="T1146" s="15"/>
      <c r="U1146" s="15"/>
      <c r="V1146" s="15"/>
      <c r="W1146" s="15"/>
      <c r="X1146" s="15"/>
      <c r="Y1146" s="15"/>
      <c r="Z1146" s="15"/>
    </row>
    <row r="1147" spans="1:26" ht="15.75" customHeight="1" x14ac:dyDescent="0.25">
      <c r="A1147" s="858"/>
      <c r="B1147" s="858"/>
      <c r="C1147" s="30" t="s">
        <v>361</v>
      </c>
      <c r="D1147" s="31" t="s">
        <v>361</v>
      </c>
      <c r="E1147" s="32" t="s">
        <v>362</v>
      </c>
      <c r="F1147" s="860"/>
      <c r="G1147" s="442" t="s">
        <v>2717</v>
      </c>
      <c r="H1147" s="15"/>
      <c r="I1147" s="16"/>
      <c r="J1147" s="16"/>
      <c r="K1147" s="15"/>
      <c r="L1147" s="15"/>
      <c r="M1147" s="16"/>
      <c r="N1147" s="16"/>
      <c r="O1147" s="15"/>
      <c r="P1147" s="15"/>
      <c r="Q1147" s="15"/>
      <c r="R1147" s="15"/>
      <c r="S1147" s="15"/>
      <c r="T1147" s="15"/>
      <c r="U1147" s="15"/>
      <c r="V1147" s="15"/>
      <c r="W1147" s="15"/>
      <c r="X1147" s="15"/>
      <c r="Y1147" s="15"/>
      <c r="Z1147" s="15"/>
    </row>
    <row r="1148" spans="1:26" ht="15.75" customHeight="1" x14ac:dyDescent="0.25">
      <c r="A1148" s="869"/>
      <c r="B1148" s="869"/>
      <c r="C1148" s="33">
        <v>2024</v>
      </c>
      <c r="D1148" s="34">
        <v>2025</v>
      </c>
      <c r="E1148" s="34">
        <v>2025</v>
      </c>
      <c r="F1148" s="34">
        <v>2025</v>
      </c>
      <c r="G1148" s="36" t="s">
        <v>2668</v>
      </c>
      <c r="H1148" s="15"/>
      <c r="I1148" s="16"/>
      <c r="J1148" s="16"/>
      <c r="K1148" s="15"/>
      <c r="L1148" s="15"/>
      <c r="M1148" s="16"/>
      <c r="N1148" s="16"/>
      <c r="O1148" s="15"/>
      <c r="P1148" s="15"/>
      <c r="Q1148" s="15"/>
      <c r="R1148" s="15"/>
      <c r="S1148" s="15"/>
      <c r="T1148" s="15"/>
      <c r="U1148" s="15"/>
      <c r="V1148" s="15"/>
      <c r="W1148" s="15"/>
      <c r="X1148" s="15"/>
      <c r="Y1148" s="15"/>
      <c r="Z1148" s="15"/>
    </row>
    <row r="1149" spans="1:26" ht="15.75" customHeight="1" x14ac:dyDescent="0.25">
      <c r="A1149" s="9" t="s">
        <v>364</v>
      </c>
      <c r="B1149" s="38"/>
      <c r="C1149" s="42"/>
      <c r="D1149" s="42"/>
      <c r="E1149" s="42"/>
      <c r="F1149" s="42"/>
      <c r="G1149" s="37"/>
      <c r="H1149" s="114"/>
      <c r="I1149" s="60"/>
      <c r="J1149" s="60"/>
      <c r="K1149" s="114"/>
      <c r="L1149" s="114"/>
      <c r="M1149" s="60"/>
      <c r="N1149" s="60"/>
      <c r="O1149" s="114"/>
      <c r="P1149" s="114"/>
      <c r="Q1149" s="114"/>
      <c r="R1149" s="114"/>
      <c r="S1149" s="114"/>
      <c r="T1149" s="114"/>
      <c r="U1149" s="114"/>
      <c r="V1149" s="114"/>
      <c r="W1149" s="114"/>
      <c r="X1149" s="114"/>
      <c r="Y1149" s="114"/>
      <c r="Z1149" s="114"/>
    </row>
    <row r="1150" spans="1:26" ht="15.75" customHeight="1" x14ac:dyDescent="0.25">
      <c r="A1150" s="42" t="s">
        <v>491</v>
      </c>
      <c r="B1150" s="49"/>
      <c r="C1150" s="43"/>
      <c r="D1150" s="43"/>
      <c r="E1150" s="43"/>
      <c r="F1150" s="43"/>
      <c r="G1150" s="43"/>
      <c r="H1150" s="114"/>
      <c r="I1150" s="60"/>
      <c r="J1150" s="60"/>
      <c r="K1150" s="114"/>
      <c r="L1150" s="114"/>
      <c r="M1150" s="60"/>
      <c r="N1150" s="60"/>
      <c r="O1150" s="114"/>
      <c r="P1150" s="114"/>
      <c r="Q1150" s="114"/>
      <c r="R1150" s="114"/>
      <c r="S1150" s="114"/>
      <c r="T1150" s="114"/>
      <c r="U1150" s="114"/>
      <c r="V1150" s="114"/>
      <c r="W1150" s="114"/>
      <c r="X1150" s="114"/>
      <c r="Y1150" s="114"/>
      <c r="Z1150" s="114"/>
    </row>
    <row r="1151" spans="1:26" ht="15.75" customHeight="1" x14ac:dyDescent="0.25">
      <c r="A1151" s="146" t="s">
        <v>627</v>
      </c>
      <c r="B1151" s="49"/>
      <c r="C1151" s="43"/>
      <c r="D1151" s="43"/>
      <c r="E1151" s="43"/>
      <c r="F1151" s="43"/>
      <c r="G1151" s="43"/>
      <c r="H1151" s="114"/>
      <c r="I1151" s="60"/>
      <c r="J1151" s="60"/>
      <c r="K1151" s="114"/>
      <c r="L1151" s="114"/>
      <c r="M1151" s="60"/>
      <c r="N1151" s="60"/>
      <c r="O1151" s="114"/>
      <c r="P1151" s="114"/>
      <c r="Q1151" s="114"/>
      <c r="R1151" s="114"/>
      <c r="S1151" s="114"/>
      <c r="T1151" s="114"/>
      <c r="U1151" s="114"/>
      <c r="V1151" s="114"/>
      <c r="W1151" s="114"/>
      <c r="X1151" s="114"/>
      <c r="Y1151" s="114"/>
      <c r="Z1151" s="114"/>
    </row>
    <row r="1152" spans="1:26" ht="15.75" customHeight="1" x14ac:dyDescent="0.25">
      <c r="A1152" s="74" t="s">
        <v>1054</v>
      </c>
      <c r="B1152" s="49" t="s">
        <v>187</v>
      </c>
      <c r="C1152" s="43">
        <v>0</v>
      </c>
      <c r="D1152" s="43">
        <v>0</v>
      </c>
      <c r="E1152" s="43">
        <f>F1152-D1152</f>
        <v>50000</v>
      </c>
      <c r="F1152" s="43">
        <v>50000</v>
      </c>
      <c r="G1152" s="43">
        <v>50000</v>
      </c>
      <c r="H1152" s="114"/>
      <c r="I1152" s="60"/>
      <c r="J1152" s="60"/>
      <c r="K1152" s="114"/>
      <c r="L1152" s="114"/>
      <c r="M1152" s="60"/>
      <c r="N1152" s="60"/>
      <c r="O1152" s="114"/>
      <c r="P1152" s="114"/>
      <c r="Q1152" s="114"/>
      <c r="R1152" s="114"/>
      <c r="S1152" s="114"/>
      <c r="T1152" s="114"/>
      <c r="U1152" s="114"/>
      <c r="V1152" s="114"/>
      <c r="W1152" s="114"/>
      <c r="X1152" s="114"/>
      <c r="Y1152" s="114"/>
      <c r="Z1152" s="114"/>
    </row>
    <row r="1153" spans="1:26" ht="15.75" customHeight="1" x14ac:dyDescent="0.25">
      <c r="A1153" s="42" t="s">
        <v>1055</v>
      </c>
      <c r="B1153" s="49"/>
      <c r="C1153" s="43"/>
      <c r="D1153" s="43"/>
      <c r="E1153" s="43"/>
      <c r="F1153" s="43"/>
      <c r="G1153" s="43"/>
      <c r="H1153" s="114"/>
      <c r="I1153" s="60"/>
      <c r="J1153" s="60"/>
      <c r="K1153" s="114"/>
      <c r="L1153" s="114"/>
      <c r="M1153" s="60"/>
      <c r="N1153" s="60"/>
      <c r="O1153" s="114"/>
      <c r="P1153" s="114"/>
      <c r="Q1153" s="114"/>
      <c r="R1153" s="114"/>
      <c r="S1153" s="114"/>
      <c r="T1153" s="114"/>
      <c r="U1153" s="114"/>
      <c r="V1153" s="114"/>
      <c r="W1153" s="114"/>
      <c r="X1153" s="114"/>
      <c r="Y1153" s="114"/>
      <c r="Z1153" s="114"/>
    </row>
    <row r="1154" spans="1:26" ht="15.75" customHeight="1" x14ac:dyDescent="0.25">
      <c r="A1154" s="42" t="s">
        <v>493</v>
      </c>
      <c r="B1154" s="25"/>
      <c r="C1154" s="43"/>
      <c r="D1154" s="43"/>
      <c r="E1154" s="43"/>
      <c r="F1154" s="43"/>
      <c r="G1154" s="43"/>
      <c r="H1154" s="114"/>
      <c r="I1154" s="60"/>
      <c r="J1154" s="60"/>
      <c r="K1154" s="114"/>
      <c r="L1154" s="114"/>
      <c r="M1154" s="60"/>
      <c r="N1154" s="60"/>
      <c r="O1154" s="114"/>
      <c r="P1154" s="114"/>
      <c r="Q1154" s="114"/>
      <c r="R1154" s="114"/>
      <c r="S1154" s="114"/>
      <c r="T1154" s="114"/>
      <c r="U1154" s="114"/>
      <c r="V1154" s="114"/>
      <c r="W1154" s="114"/>
      <c r="X1154" s="114"/>
      <c r="Y1154" s="114"/>
      <c r="Z1154" s="114"/>
    </row>
    <row r="1155" spans="1:26" ht="15.75" customHeight="1" x14ac:dyDescent="0.25">
      <c r="A1155" s="44" t="s">
        <v>396</v>
      </c>
      <c r="B1155" s="190" t="s">
        <v>191</v>
      </c>
      <c r="C1155" s="43">
        <v>0</v>
      </c>
      <c r="D1155" s="43">
        <v>0</v>
      </c>
      <c r="E1155" s="43">
        <v>0</v>
      </c>
      <c r="F1155" s="43">
        <v>0</v>
      </c>
      <c r="G1155" s="43">
        <v>82450</v>
      </c>
      <c r="H1155" s="114"/>
      <c r="I1155" s="60"/>
      <c r="J1155" s="60"/>
      <c r="K1155" s="114"/>
      <c r="L1155" s="114"/>
      <c r="M1155" s="60"/>
      <c r="N1155" s="60"/>
      <c r="O1155" s="114"/>
      <c r="P1155" s="114"/>
      <c r="Q1155" s="114"/>
      <c r="R1155" s="114"/>
      <c r="S1155" s="114"/>
      <c r="T1155" s="114"/>
      <c r="U1155" s="114"/>
      <c r="V1155" s="114"/>
      <c r="W1155" s="114"/>
      <c r="X1155" s="114"/>
      <c r="Y1155" s="114"/>
      <c r="Z1155" s="114"/>
    </row>
    <row r="1156" spans="1:26" ht="31.5" x14ac:dyDescent="0.25">
      <c r="A1156" s="490" t="s">
        <v>1056</v>
      </c>
      <c r="B1156" s="41"/>
      <c r="C1156" s="43"/>
      <c r="D1156" s="43"/>
      <c r="E1156" s="43"/>
      <c r="F1156" s="43"/>
      <c r="G1156" s="48"/>
      <c r="H1156" s="114"/>
      <c r="I1156" s="60"/>
      <c r="J1156" s="60"/>
      <c r="K1156" s="114"/>
      <c r="L1156" s="114"/>
      <c r="M1156" s="60"/>
      <c r="N1156" s="60"/>
      <c r="O1156" s="114"/>
      <c r="P1156" s="114"/>
      <c r="Q1156" s="114"/>
      <c r="R1156" s="114"/>
      <c r="S1156" s="114"/>
      <c r="T1156" s="114"/>
      <c r="U1156" s="114"/>
      <c r="V1156" s="114"/>
      <c r="W1156" s="114"/>
      <c r="X1156" s="114"/>
      <c r="Y1156" s="114"/>
      <c r="Z1156" s="114"/>
    </row>
    <row r="1157" spans="1:26" ht="15.75" customHeight="1" x14ac:dyDescent="0.25">
      <c r="A1157" s="17" t="s">
        <v>499</v>
      </c>
      <c r="B1157" s="41"/>
      <c r="C1157" s="43"/>
      <c r="D1157" s="43"/>
      <c r="E1157" s="43"/>
      <c r="F1157" s="43"/>
      <c r="G1157" s="48"/>
      <c r="H1157" s="114"/>
      <c r="I1157" s="60"/>
      <c r="J1157" s="60"/>
      <c r="K1157" s="114"/>
      <c r="L1157" s="114"/>
      <c r="M1157" s="60"/>
      <c r="N1157" s="60"/>
      <c r="O1157" s="114"/>
      <c r="P1157" s="114"/>
      <c r="Q1157" s="114"/>
      <c r="R1157" s="114"/>
      <c r="S1157" s="114"/>
      <c r="T1157" s="114"/>
      <c r="U1157" s="114"/>
      <c r="V1157" s="114"/>
      <c r="W1157" s="114"/>
      <c r="X1157" s="114"/>
      <c r="Y1157" s="114"/>
      <c r="Z1157" s="114"/>
    </row>
    <row r="1158" spans="1:26" ht="15.75" customHeight="1" x14ac:dyDescent="0.25">
      <c r="A1158" s="44" t="s">
        <v>398</v>
      </c>
      <c r="B1158" s="41" t="s">
        <v>195</v>
      </c>
      <c r="C1158" s="43">
        <v>67344.14</v>
      </c>
      <c r="D1158" s="43">
        <v>34674.94</v>
      </c>
      <c r="E1158" s="43">
        <f t="shared" ref="E1158:E1162" si="199">F1158-D1158</f>
        <v>27659.059999999998</v>
      </c>
      <c r="F1158" s="43">
        <v>62334</v>
      </c>
      <c r="G1158" s="43">
        <v>59590</v>
      </c>
      <c r="H1158" s="114"/>
      <c r="I1158" s="60"/>
      <c r="J1158" s="60"/>
      <c r="K1158" s="114"/>
      <c r="L1158" s="114"/>
      <c r="M1158" s="60"/>
      <c r="N1158" s="60"/>
      <c r="O1158" s="114"/>
      <c r="P1158" s="114"/>
      <c r="Q1158" s="114"/>
      <c r="R1158" s="114"/>
      <c r="S1158" s="114"/>
      <c r="T1158" s="114"/>
      <c r="U1158" s="114"/>
      <c r="V1158" s="114"/>
      <c r="W1158" s="114"/>
      <c r="X1158" s="114"/>
      <c r="Y1158" s="114"/>
      <c r="Z1158" s="114"/>
    </row>
    <row r="1159" spans="1:26" ht="15.75" customHeight="1" x14ac:dyDescent="0.25">
      <c r="A1159" s="44" t="s">
        <v>835</v>
      </c>
      <c r="B1159" s="41" t="s">
        <v>213</v>
      </c>
      <c r="C1159" s="43">
        <v>473577.09</v>
      </c>
      <c r="D1159" s="43">
        <v>201551.6</v>
      </c>
      <c r="E1159" s="43">
        <f t="shared" si="199"/>
        <v>267822.40000000002</v>
      </c>
      <c r="F1159" s="43">
        <v>469374</v>
      </c>
      <c r="G1159" s="43">
        <v>469374</v>
      </c>
      <c r="H1159" s="114"/>
      <c r="I1159" s="60"/>
      <c r="J1159" s="60"/>
      <c r="K1159" s="114"/>
      <c r="L1159" s="114"/>
      <c r="M1159" s="60"/>
      <c r="N1159" s="60"/>
      <c r="O1159" s="114"/>
      <c r="P1159" s="114"/>
      <c r="Q1159" s="114"/>
      <c r="R1159" s="114"/>
      <c r="S1159" s="114"/>
      <c r="T1159" s="114"/>
      <c r="U1159" s="114"/>
      <c r="V1159" s="114"/>
      <c r="W1159" s="114"/>
      <c r="X1159" s="114"/>
      <c r="Y1159" s="114"/>
      <c r="Z1159" s="114"/>
    </row>
    <row r="1160" spans="1:26" ht="15.75" customHeight="1" x14ac:dyDescent="0.25">
      <c r="A1160" s="96" t="s">
        <v>400</v>
      </c>
      <c r="B1160" s="41" t="s">
        <v>221</v>
      </c>
      <c r="C1160" s="43"/>
      <c r="D1160" s="43">
        <v>221140</v>
      </c>
      <c r="E1160" s="43">
        <f t="shared" si="199"/>
        <v>182932</v>
      </c>
      <c r="F1160" s="43">
        <v>404072</v>
      </c>
      <c r="G1160" s="43">
        <v>605248</v>
      </c>
      <c r="H1160" s="114"/>
      <c r="I1160" s="60"/>
      <c r="J1160" s="60"/>
      <c r="K1160" s="114"/>
      <c r="L1160" s="114"/>
      <c r="M1160" s="60"/>
      <c r="N1160" s="60"/>
      <c r="O1160" s="114"/>
      <c r="P1160" s="114"/>
      <c r="Q1160" s="114"/>
      <c r="R1160" s="114"/>
      <c r="S1160" s="114"/>
      <c r="T1160" s="114"/>
      <c r="U1160" s="114"/>
      <c r="V1160" s="114"/>
      <c r="W1160" s="114"/>
      <c r="X1160" s="114"/>
      <c r="Y1160" s="114"/>
      <c r="Z1160" s="114"/>
    </row>
    <row r="1161" spans="1:26" ht="15.75" customHeight="1" x14ac:dyDescent="0.25">
      <c r="A1161" s="96" t="s">
        <v>401</v>
      </c>
      <c r="B1161" s="41" t="s">
        <v>223</v>
      </c>
      <c r="C1161" s="43"/>
      <c r="D1161" s="43">
        <v>8800</v>
      </c>
      <c r="E1161" s="43">
        <f t="shared" si="199"/>
        <v>200</v>
      </c>
      <c r="F1161" s="43">
        <v>9000</v>
      </c>
      <c r="G1161" s="43">
        <v>18740</v>
      </c>
      <c r="H1161" s="114"/>
      <c r="I1161" s="60"/>
      <c r="J1161" s="60"/>
      <c r="K1161" s="439">
        <v>18878774</v>
      </c>
      <c r="L1161" s="114"/>
      <c r="M1161" s="60"/>
      <c r="N1161" s="60"/>
      <c r="O1161" s="114"/>
      <c r="P1161" s="114"/>
      <c r="Q1161" s="114"/>
      <c r="R1161" s="114"/>
      <c r="S1161" s="114"/>
      <c r="T1161" s="114"/>
      <c r="U1161" s="114"/>
      <c r="V1161" s="114"/>
      <c r="W1161" s="114"/>
      <c r="X1161" s="114"/>
      <c r="Y1161" s="114"/>
      <c r="Z1161" s="114"/>
    </row>
    <row r="1162" spans="1:26" ht="15.75" customHeight="1" x14ac:dyDescent="0.25">
      <c r="A1162" s="44" t="s">
        <v>402</v>
      </c>
      <c r="B1162" s="41" t="s">
        <v>225</v>
      </c>
      <c r="C1162" s="43">
        <v>1526395.46</v>
      </c>
      <c r="D1162" s="43">
        <v>330095.58</v>
      </c>
      <c r="E1162" s="43">
        <f t="shared" si="199"/>
        <v>408033.42</v>
      </c>
      <c r="F1162" s="43">
        <v>738129</v>
      </c>
      <c r="G1162" s="43">
        <v>874296</v>
      </c>
      <c r="H1162" s="114"/>
      <c r="I1162" s="60"/>
      <c r="J1162" s="60"/>
      <c r="K1162" s="114"/>
      <c r="L1162" s="114"/>
      <c r="M1162" s="60"/>
      <c r="N1162" s="60"/>
      <c r="O1162" s="114"/>
      <c r="P1162" s="114"/>
      <c r="Q1162" s="114"/>
      <c r="R1162" s="114"/>
      <c r="S1162" s="114"/>
      <c r="T1162" s="114"/>
      <c r="U1162" s="114"/>
      <c r="V1162" s="114"/>
      <c r="W1162" s="114"/>
      <c r="X1162" s="114"/>
      <c r="Y1162" s="114"/>
      <c r="Z1162" s="114"/>
    </row>
    <row r="1163" spans="1:26" ht="15.75" customHeight="1" x14ac:dyDescent="0.25">
      <c r="A1163" s="44" t="s">
        <v>1057</v>
      </c>
      <c r="B1163" s="41"/>
      <c r="C1163" s="43"/>
      <c r="D1163" s="43"/>
      <c r="E1163" s="43"/>
      <c r="F1163" s="43"/>
      <c r="G1163" s="43"/>
      <c r="H1163" s="114"/>
      <c r="I1163" s="60">
        <v>17229</v>
      </c>
      <c r="J1163" s="60"/>
      <c r="K1163" s="7">
        <f>+K1161-G1221</f>
        <v>0</v>
      </c>
      <c r="L1163" s="114"/>
      <c r="M1163" s="60"/>
      <c r="N1163" s="60"/>
      <c r="O1163" s="114"/>
      <c r="P1163" s="114"/>
      <c r="Q1163" s="114"/>
      <c r="R1163" s="114"/>
      <c r="S1163" s="114"/>
      <c r="T1163" s="114"/>
      <c r="U1163" s="114"/>
      <c r="V1163" s="114"/>
      <c r="W1163" s="114"/>
      <c r="X1163" s="114"/>
      <c r="Y1163" s="114"/>
      <c r="Z1163" s="114"/>
    </row>
    <row r="1164" spans="1:26" ht="15.75" customHeight="1" x14ac:dyDescent="0.25">
      <c r="A1164" s="44" t="s">
        <v>1058</v>
      </c>
      <c r="B1164" s="41"/>
      <c r="C1164" s="43"/>
      <c r="D1164" s="43"/>
      <c r="E1164" s="43"/>
      <c r="F1164" s="43"/>
      <c r="G1164" s="43"/>
      <c r="H1164" s="114"/>
      <c r="I1164" s="60">
        <v>129550</v>
      </c>
      <c r="J1164" s="60"/>
      <c r="K1164" s="114"/>
      <c r="L1164" s="114"/>
      <c r="M1164" s="60"/>
      <c r="N1164" s="60"/>
      <c r="O1164" s="114"/>
      <c r="P1164" s="114"/>
      <c r="Q1164" s="114"/>
      <c r="R1164" s="114"/>
      <c r="S1164" s="114"/>
      <c r="T1164" s="114"/>
      <c r="U1164" s="114"/>
      <c r="V1164" s="114"/>
      <c r="W1164" s="114"/>
      <c r="X1164" s="114"/>
      <c r="Y1164" s="114"/>
      <c r="Z1164" s="114"/>
    </row>
    <row r="1165" spans="1:26" ht="15.75" customHeight="1" x14ac:dyDescent="0.25">
      <c r="A1165" s="44" t="s">
        <v>1059</v>
      </c>
      <c r="B1165" s="41"/>
      <c r="C1165" s="43"/>
      <c r="D1165" s="43"/>
      <c r="E1165" s="43"/>
      <c r="F1165" s="43"/>
      <c r="G1165" s="43"/>
      <c r="H1165" s="114"/>
      <c r="I1165" s="60">
        <v>50650</v>
      </c>
      <c r="J1165" s="60"/>
      <c r="K1165" s="114"/>
      <c r="L1165" s="114"/>
      <c r="M1165" s="60"/>
      <c r="N1165" s="60"/>
      <c r="O1165" s="114"/>
      <c r="P1165" s="114"/>
      <c r="Q1165" s="114"/>
      <c r="R1165" s="114"/>
      <c r="S1165" s="114"/>
      <c r="T1165" s="114"/>
      <c r="U1165" s="114"/>
      <c r="V1165" s="114"/>
      <c r="W1165" s="114"/>
      <c r="X1165" s="114"/>
      <c r="Y1165" s="114"/>
      <c r="Z1165" s="114"/>
    </row>
    <row r="1166" spans="1:26" ht="15.75" customHeight="1" x14ac:dyDescent="0.25">
      <c r="A1166" s="44" t="s">
        <v>1060</v>
      </c>
      <c r="B1166" s="41"/>
      <c r="C1166" s="43"/>
      <c r="D1166" s="43"/>
      <c r="E1166" s="43"/>
      <c r="F1166" s="43"/>
      <c r="G1166" s="43"/>
      <c r="H1166" s="114"/>
      <c r="I1166" s="60">
        <v>134378</v>
      </c>
      <c r="J1166" s="60"/>
      <c r="K1166" s="114"/>
      <c r="L1166" s="114"/>
      <c r="M1166" s="60"/>
      <c r="N1166" s="60"/>
      <c r="O1166" s="114"/>
      <c r="P1166" s="114"/>
      <c r="Q1166" s="114"/>
      <c r="R1166" s="114"/>
      <c r="S1166" s="114"/>
      <c r="T1166" s="114"/>
      <c r="U1166" s="114"/>
      <c r="V1166" s="114"/>
      <c r="W1166" s="114"/>
      <c r="X1166" s="114"/>
      <c r="Y1166" s="114"/>
      <c r="Z1166" s="114"/>
    </row>
    <row r="1167" spans="1:26" ht="15.75" customHeight="1" x14ac:dyDescent="0.25">
      <c r="A1167" s="44" t="s">
        <v>1061</v>
      </c>
      <c r="B1167" s="41"/>
      <c r="C1167" s="43"/>
      <c r="D1167" s="43"/>
      <c r="E1167" s="43"/>
      <c r="F1167" s="43"/>
      <c r="G1167" s="43"/>
      <c r="H1167" s="114"/>
      <c r="I1167" s="60">
        <v>90310</v>
      </c>
      <c r="J1167" s="60"/>
      <c r="K1167" s="114"/>
      <c r="L1167" s="114"/>
      <c r="M1167" s="60"/>
      <c r="N1167" s="60"/>
      <c r="O1167" s="114"/>
      <c r="P1167" s="114"/>
      <c r="Q1167" s="114"/>
      <c r="R1167" s="114"/>
      <c r="S1167" s="114"/>
      <c r="T1167" s="114"/>
      <c r="U1167" s="114"/>
      <c r="V1167" s="114"/>
      <c r="W1167" s="114"/>
      <c r="X1167" s="114"/>
      <c r="Y1167" s="114"/>
      <c r="Z1167" s="114"/>
    </row>
    <row r="1168" spans="1:26" ht="15.75" customHeight="1" x14ac:dyDescent="0.25">
      <c r="A1168" s="48" t="s">
        <v>1062</v>
      </c>
      <c r="B1168" s="41"/>
      <c r="C1168" s="43"/>
      <c r="D1168" s="43"/>
      <c r="E1168" s="43"/>
      <c r="F1168" s="43"/>
      <c r="G1168" s="43"/>
      <c r="H1168" s="114"/>
      <c r="I1168" s="60">
        <v>119000</v>
      </c>
      <c r="J1168" s="60"/>
      <c r="K1168" s="114"/>
      <c r="L1168" s="114"/>
      <c r="M1168" s="60"/>
      <c r="N1168" s="60"/>
      <c r="O1168" s="114"/>
      <c r="P1168" s="114"/>
      <c r="Q1168" s="114"/>
      <c r="R1168" s="114"/>
      <c r="S1168" s="114"/>
      <c r="T1168" s="114"/>
      <c r="U1168" s="114"/>
      <c r="V1168" s="114"/>
      <c r="W1168" s="114"/>
      <c r="X1168" s="114"/>
      <c r="Y1168" s="114"/>
      <c r="Z1168" s="114"/>
    </row>
    <row r="1169" spans="1:26" ht="31.5" x14ac:dyDescent="0.25">
      <c r="A1169" s="118" t="s">
        <v>1063</v>
      </c>
      <c r="B1169" s="20"/>
      <c r="C1169" s="43"/>
      <c r="D1169" s="43"/>
      <c r="E1169" s="43"/>
      <c r="F1169" s="43"/>
      <c r="G1169" s="43"/>
      <c r="H1169" s="114"/>
      <c r="I1169" s="60">
        <v>160979</v>
      </c>
      <c r="J1169" s="60"/>
      <c r="K1169" s="114"/>
      <c r="L1169" s="114"/>
      <c r="M1169" s="60"/>
      <c r="N1169" s="60"/>
      <c r="O1169" s="114"/>
      <c r="P1169" s="114"/>
      <c r="Q1169" s="114"/>
      <c r="R1169" s="114"/>
      <c r="S1169" s="114"/>
      <c r="T1169" s="114"/>
      <c r="U1169" s="114"/>
      <c r="V1169" s="114"/>
      <c r="W1169" s="114"/>
      <c r="X1169" s="114"/>
      <c r="Y1169" s="114"/>
      <c r="Z1169" s="114"/>
    </row>
    <row r="1170" spans="1:26" ht="15.75" customHeight="1" x14ac:dyDescent="0.25">
      <c r="A1170" s="44" t="s">
        <v>1064</v>
      </c>
      <c r="B1170" s="20"/>
      <c r="C1170" s="43"/>
      <c r="D1170" s="43"/>
      <c r="E1170" s="43"/>
      <c r="F1170" s="43"/>
      <c r="G1170" s="43"/>
      <c r="H1170" s="114"/>
      <c r="I1170" s="60">
        <v>172200</v>
      </c>
      <c r="J1170" s="60">
        <f>SUM(I1163:I1170)</f>
        <v>874296</v>
      </c>
      <c r="K1170" s="114"/>
      <c r="L1170" s="114"/>
      <c r="M1170" s="60"/>
      <c r="N1170" s="60"/>
      <c r="O1170" s="114"/>
      <c r="P1170" s="114"/>
      <c r="Q1170" s="114"/>
      <c r="R1170" s="114"/>
      <c r="S1170" s="114"/>
      <c r="T1170" s="114"/>
      <c r="U1170" s="114"/>
      <c r="V1170" s="114"/>
      <c r="W1170" s="114"/>
      <c r="X1170" s="114"/>
      <c r="Y1170" s="114"/>
      <c r="Z1170" s="114"/>
    </row>
    <row r="1171" spans="1:26" ht="15.75" customHeight="1" x14ac:dyDescent="0.25">
      <c r="A1171" s="17" t="s">
        <v>511</v>
      </c>
      <c r="B1171" s="41"/>
      <c r="C1171" s="43"/>
      <c r="D1171" s="43"/>
      <c r="E1171" s="43"/>
      <c r="F1171" s="43"/>
      <c r="G1171" s="43"/>
      <c r="H1171" s="114"/>
      <c r="I1171" s="60"/>
      <c r="J1171" s="60"/>
      <c r="K1171" s="114"/>
      <c r="L1171" s="114"/>
      <c r="M1171" s="60"/>
      <c r="N1171" s="60"/>
      <c r="O1171" s="114"/>
      <c r="P1171" s="114"/>
      <c r="Q1171" s="114"/>
      <c r="R1171" s="114"/>
      <c r="S1171" s="114"/>
      <c r="T1171" s="114"/>
      <c r="U1171" s="114"/>
      <c r="V1171" s="114"/>
      <c r="W1171" s="114"/>
      <c r="X1171" s="114"/>
      <c r="Y1171" s="114"/>
      <c r="Z1171" s="114"/>
    </row>
    <row r="1172" spans="1:26" ht="15.75" customHeight="1" x14ac:dyDescent="0.25">
      <c r="A1172" s="44" t="s">
        <v>424</v>
      </c>
      <c r="B1172" s="41" t="s">
        <v>335</v>
      </c>
      <c r="C1172" s="43">
        <v>7366856.2999999998</v>
      </c>
      <c r="D1172" s="43">
        <f>42236.16+3542288</f>
        <v>3584524.16</v>
      </c>
      <c r="E1172" s="43">
        <f>F1172-D1172</f>
        <v>7711635.8399999999</v>
      </c>
      <c r="F1172" s="43">
        <v>11296160</v>
      </c>
      <c r="G1172" s="440">
        <v>16661326</v>
      </c>
      <c r="H1172" s="114"/>
      <c r="I1172" s="60"/>
      <c r="J1172" s="60"/>
      <c r="K1172" s="114"/>
      <c r="L1172" s="114"/>
      <c r="M1172" s="60"/>
      <c r="N1172" s="60"/>
      <c r="O1172" s="114"/>
      <c r="P1172" s="114"/>
      <c r="Q1172" s="114"/>
      <c r="R1172" s="114"/>
      <c r="S1172" s="114"/>
      <c r="T1172" s="114"/>
      <c r="U1172" s="114"/>
      <c r="V1172" s="114"/>
      <c r="W1172" s="114"/>
      <c r="X1172" s="114"/>
      <c r="Y1172" s="114"/>
      <c r="Z1172" s="114"/>
    </row>
    <row r="1173" spans="1:26" ht="15.75" customHeight="1" x14ac:dyDescent="0.25">
      <c r="A1173" s="44" t="s">
        <v>1065</v>
      </c>
      <c r="B1173" s="41"/>
      <c r="C1173" s="43"/>
      <c r="D1173" s="43"/>
      <c r="E1173" s="43"/>
      <c r="F1173" s="43"/>
      <c r="G1173" s="43"/>
      <c r="H1173" s="114"/>
      <c r="I1173" s="60"/>
      <c r="J1173" s="60"/>
      <c r="K1173" s="114"/>
      <c r="L1173" s="114"/>
      <c r="M1173" s="60"/>
      <c r="N1173" s="60">
        <v>735550</v>
      </c>
      <c r="O1173" s="114"/>
      <c r="P1173" s="114"/>
      <c r="Q1173" s="114"/>
      <c r="R1173" s="114"/>
      <c r="S1173" s="114"/>
      <c r="T1173" s="114"/>
      <c r="U1173" s="114"/>
      <c r="V1173" s="114"/>
      <c r="W1173" s="114"/>
      <c r="X1173" s="114"/>
      <c r="Y1173" s="114"/>
      <c r="Z1173" s="114"/>
    </row>
    <row r="1174" spans="1:26" ht="15.75" customHeight="1" x14ac:dyDescent="0.25">
      <c r="A1174" s="44" t="s">
        <v>1066</v>
      </c>
      <c r="B1174" s="41"/>
      <c r="C1174" s="43"/>
      <c r="D1174" s="43"/>
      <c r="E1174" s="43"/>
      <c r="F1174" s="43"/>
      <c r="G1174" s="43"/>
      <c r="H1174" s="114"/>
      <c r="I1174" s="60"/>
      <c r="J1174" s="60"/>
      <c r="K1174" s="114"/>
      <c r="L1174" s="114"/>
      <c r="M1174" s="60"/>
      <c r="N1174" s="60">
        <v>52800</v>
      </c>
      <c r="O1174" s="114"/>
      <c r="P1174" s="114"/>
      <c r="Q1174" s="114"/>
      <c r="R1174" s="114"/>
      <c r="S1174" s="114"/>
      <c r="T1174" s="114"/>
      <c r="U1174" s="114"/>
      <c r="V1174" s="114"/>
      <c r="W1174" s="114"/>
      <c r="X1174" s="114"/>
      <c r="Y1174" s="114"/>
      <c r="Z1174" s="114"/>
    </row>
    <row r="1175" spans="1:26" ht="31.5" x14ac:dyDescent="0.25">
      <c r="A1175" s="118" t="s">
        <v>1067</v>
      </c>
      <c r="B1175" s="41"/>
      <c r="C1175" s="43"/>
      <c r="D1175" s="43"/>
      <c r="E1175" s="43"/>
      <c r="F1175" s="43"/>
      <c r="G1175" s="43"/>
      <c r="H1175" s="114"/>
      <c r="I1175" s="60"/>
      <c r="J1175" s="60"/>
      <c r="K1175" s="114"/>
      <c r="L1175" s="114"/>
      <c r="M1175" s="60"/>
      <c r="N1175" s="60">
        <v>31680</v>
      </c>
      <c r="O1175" s="114"/>
      <c r="P1175" s="114"/>
      <c r="Q1175" s="114"/>
      <c r="R1175" s="114"/>
      <c r="S1175" s="114"/>
      <c r="T1175" s="114"/>
      <c r="U1175" s="114"/>
      <c r="V1175" s="114"/>
      <c r="W1175" s="114"/>
      <c r="X1175" s="114"/>
      <c r="Y1175" s="114"/>
      <c r="Z1175" s="114"/>
    </row>
    <row r="1176" spans="1:26" ht="15.75" customHeight="1" x14ac:dyDescent="0.25">
      <c r="A1176" s="44" t="s">
        <v>864</v>
      </c>
      <c r="B1176" s="41"/>
      <c r="C1176" s="43"/>
      <c r="D1176" s="43"/>
      <c r="E1176" s="43"/>
      <c r="F1176" s="43"/>
      <c r="G1176" s="43"/>
      <c r="H1176" s="114"/>
      <c r="I1176" s="60"/>
      <c r="J1176" s="60"/>
      <c r="K1176" s="114"/>
      <c r="L1176" s="114"/>
      <c r="M1176" s="60"/>
      <c r="N1176" s="60"/>
      <c r="O1176" s="114"/>
      <c r="P1176" s="114"/>
      <c r="Q1176" s="114"/>
      <c r="R1176" s="114"/>
      <c r="S1176" s="114"/>
      <c r="T1176" s="114"/>
      <c r="U1176" s="114"/>
      <c r="V1176" s="114"/>
      <c r="W1176" s="114"/>
      <c r="X1176" s="114"/>
      <c r="Y1176" s="114"/>
      <c r="Z1176" s="114"/>
    </row>
    <row r="1177" spans="1:26" ht="15.75" customHeight="1" x14ac:dyDescent="0.25">
      <c r="A1177" s="17" t="s">
        <v>1068</v>
      </c>
      <c r="B1177" s="41"/>
      <c r="C1177" s="43"/>
      <c r="D1177" s="43"/>
      <c r="E1177" s="43"/>
      <c r="F1177" s="43"/>
      <c r="G1177" s="43"/>
      <c r="H1177" s="114"/>
      <c r="I1177" s="210" t="s">
        <v>877</v>
      </c>
      <c r="J1177" s="211" t="s">
        <v>878</v>
      </c>
      <c r="K1177" s="210" t="s">
        <v>879</v>
      </c>
      <c r="L1177" s="8" t="s">
        <v>880</v>
      </c>
      <c r="M1177" s="210" t="s">
        <v>881</v>
      </c>
      <c r="N1177" s="60"/>
      <c r="O1177" s="114"/>
      <c r="P1177" s="114"/>
      <c r="Q1177" s="114"/>
      <c r="R1177" s="114"/>
      <c r="S1177" s="114"/>
      <c r="T1177" s="114"/>
      <c r="U1177" s="114"/>
      <c r="V1177" s="114"/>
      <c r="W1177" s="114"/>
      <c r="X1177" s="114"/>
      <c r="Y1177" s="114"/>
      <c r="Z1177" s="114"/>
    </row>
    <row r="1178" spans="1:26" ht="31.5" x14ac:dyDescent="0.25">
      <c r="A1178" s="118" t="s">
        <v>1069</v>
      </c>
      <c r="B1178" s="41"/>
      <c r="C1178" s="43"/>
      <c r="D1178" s="43"/>
      <c r="E1178" s="43"/>
      <c r="F1178" s="43"/>
      <c r="G1178" s="43"/>
      <c r="H1178" s="114"/>
      <c r="I1178" s="60">
        <v>639</v>
      </c>
      <c r="J1178" s="211">
        <v>2</v>
      </c>
      <c r="K1178" s="8">
        <v>26</v>
      </c>
      <c r="L1178" s="8">
        <v>12</v>
      </c>
      <c r="M1178" s="60">
        <f t="shared" ref="M1178:M1182" si="200">I1178*J1178*K1178*L1178</f>
        <v>398736</v>
      </c>
      <c r="N1178" s="60"/>
      <c r="O1178" s="114"/>
      <c r="P1178" s="114"/>
      <c r="Q1178" s="114"/>
      <c r="R1178" s="114"/>
      <c r="S1178" s="114"/>
      <c r="T1178" s="114"/>
      <c r="U1178" s="114"/>
      <c r="V1178" s="114"/>
      <c r="W1178" s="114"/>
      <c r="X1178" s="114"/>
      <c r="Y1178" s="114"/>
      <c r="Z1178" s="114"/>
    </row>
    <row r="1179" spans="1:26" ht="31.5" x14ac:dyDescent="0.25">
      <c r="A1179" s="118" t="s">
        <v>1070</v>
      </c>
      <c r="B1179" s="41"/>
      <c r="C1179" s="43"/>
      <c r="D1179" s="43"/>
      <c r="E1179" s="43"/>
      <c r="F1179" s="43"/>
      <c r="G1179" s="43"/>
      <c r="H1179" s="114"/>
      <c r="I1179" s="60">
        <v>639</v>
      </c>
      <c r="J1179" s="211">
        <v>8</v>
      </c>
      <c r="K1179" s="8">
        <v>26</v>
      </c>
      <c r="L1179" s="8">
        <v>12</v>
      </c>
      <c r="M1179" s="60">
        <f t="shared" si="200"/>
        <v>1594944</v>
      </c>
      <c r="N1179" s="60"/>
      <c r="O1179" s="114"/>
      <c r="P1179" s="114"/>
      <c r="Q1179" s="114"/>
      <c r="R1179" s="114"/>
      <c r="S1179" s="114"/>
      <c r="T1179" s="114"/>
      <c r="U1179" s="114"/>
      <c r="V1179" s="114"/>
      <c r="W1179" s="114"/>
      <c r="X1179" s="114"/>
      <c r="Y1179" s="114"/>
      <c r="Z1179" s="114"/>
    </row>
    <row r="1180" spans="1:26" ht="31.5" x14ac:dyDescent="0.25">
      <c r="A1180" s="118" t="s">
        <v>1071</v>
      </c>
      <c r="B1180" s="41"/>
      <c r="C1180" s="43"/>
      <c r="D1180" s="43"/>
      <c r="E1180" s="43"/>
      <c r="F1180" s="43"/>
      <c r="G1180" s="43"/>
      <c r="H1180" s="114"/>
      <c r="I1180" s="60">
        <v>678</v>
      </c>
      <c r="J1180" s="211">
        <v>5</v>
      </c>
      <c r="K1180" s="8">
        <v>26</v>
      </c>
      <c r="L1180" s="8">
        <v>12</v>
      </c>
      <c r="M1180" s="60">
        <f t="shared" si="200"/>
        <v>1057680</v>
      </c>
      <c r="N1180" s="60"/>
      <c r="O1180" s="114"/>
      <c r="P1180" s="114"/>
      <c r="Q1180" s="114"/>
      <c r="R1180" s="114"/>
      <c r="S1180" s="114"/>
      <c r="T1180" s="114"/>
      <c r="U1180" s="114"/>
      <c r="V1180" s="114"/>
      <c r="W1180" s="114"/>
      <c r="X1180" s="114"/>
      <c r="Y1180" s="114"/>
      <c r="Z1180" s="114"/>
    </row>
    <row r="1181" spans="1:26" ht="31.5" x14ac:dyDescent="0.25">
      <c r="A1181" s="118" t="s">
        <v>1072</v>
      </c>
      <c r="B1181" s="41"/>
      <c r="C1181" s="43"/>
      <c r="D1181" s="43"/>
      <c r="E1181" s="43"/>
      <c r="F1181" s="43"/>
      <c r="G1181" s="43"/>
      <c r="H1181" s="114"/>
      <c r="I1181" s="60">
        <v>765</v>
      </c>
      <c r="J1181" s="211">
        <v>2</v>
      </c>
      <c r="K1181" s="8">
        <v>26</v>
      </c>
      <c r="L1181" s="8">
        <v>12</v>
      </c>
      <c r="M1181" s="60">
        <f t="shared" si="200"/>
        <v>477360</v>
      </c>
      <c r="N1181" s="60"/>
      <c r="O1181" s="114"/>
      <c r="P1181" s="114"/>
      <c r="Q1181" s="114"/>
      <c r="R1181" s="114"/>
      <c r="S1181" s="114"/>
      <c r="T1181" s="114"/>
      <c r="U1181" s="114"/>
      <c r="V1181" s="114"/>
      <c r="W1181" s="114"/>
      <c r="X1181" s="114"/>
      <c r="Y1181" s="114"/>
      <c r="Z1181" s="114"/>
    </row>
    <row r="1182" spans="1:26" ht="31.5" x14ac:dyDescent="0.25">
      <c r="A1182" s="612" t="s">
        <v>1073</v>
      </c>
      <c r="B1182" s="483"/>
      <c r="C1182" s="457"/>
      <c r="D1182" s="457"/>
      <c r="E1182" s="457"/>
      <c r="F1182" s="457"/>
      <c r="G1182" s="457"/>
      <c r="H1182" s="114"/>
      <c r="I1182" s="60">
        <v>1466</v>
      </c>
      <c r="J1182" s="211">
        <v>1</v>
      </c>
      <c r="K1182" s="8">
        <v>26</v>
      </c>
      <c r="L1182" s="8">
        <v>12</v>
      </c>
      <c r="M1182" s="60">
        <f t="shared" si="200"/>
        <v>457392</v>
      </c>
      <c r="N1182" s="60"/>
      <c r="O1182" s="114"/>
      <c r="P1182" s="114"/>
      <c r="Q1182" s="114"/>
      <c r="R1182" s="114"/>
      <c r="S1182" s="114"/>
      <c r="T1182" s="114"/>
      <c r="U1182" s="114"/>
      <c r="V1182" s="114"/>
      <c r="W1182" s="114"/>
      <c r="X1182" s="114"/>
      <c r="Y1182" s="114"/>
      <c r="Z1182" s="114"/>
    </row>
    <row r="1183" spans="1:26" ht="15.75" customHeight="1" x14ac:dyDescent="0.25">
      <c r="A1183" s="613" t="s">
        <v>1074</v>
      </c>
      <c r="B1183" s="601"/>
      <c r="C1183" s="448"/>
      <c r="D1183" s="448"/>
      <c r="E1183" s="448"/>
      <c r="F1183" s="448"/>
      <c r="G1183" s="448"/>
      <c r="H1183" s="114"/>
      <c r="I1183" s="60"/>
      <c r="J1183" s="211"/>
      <c r="K1183" s="8"/>
      <c r="L1183" s="8"/>
      <c r="M1183" s="60"/>
      <c r="N1183" s="60"/>
      <c r="O1183" s="114"/>
      <c r="P1183" s="114"/>
      <c r="Q1183" s="114"/>
      <c r="R1183" s="114"/>
      <c r="S1183" s="114"/>
      <c r="T1183" s="114"/>
      <c r="U1183" s="114"/>
      <c r="V1183" s="114"/>
      <c r="W1183" s="114"/>
      <c r="X1183" s="114"/>
      <c r="Y1183" s="114"/>
      <c r="Z1183" s="114"/>
    </row>
    <row r="1184" spans="1:26" ht="15.75" customHeight="1" x14ac:dyDescent="0.25">
      <c r="A1184" s="118" t="s">
        <v>2713</v>
      </c>
      <c r="B1184" s="437"/>
      <c r="C1184" s="438"/>
      <c r="D1184" s="438"/>
      <c r="E1184" s="438"/>
      <c r="F1184" s="438"/>
      <c r="G1184" s="438"/>
      <c r="H1184" s="114"/>
      <c r="I1184" s="60">
        <v>914</v>
      </c>
      <c r="J1184" s="211">
        <v>1</v>
      </c>
      <c r="K1184" s="8">
        <v>22</v>
      </c>
      <c r="L1184" s="8">
        <v>12</v>
      </c>
      <c r="M1184" s="60">
        <f>I1184*J1184*K1184*L1184</f>
        <v>241296</v>
      </c>
      <c r="N1184" s="60"/>
      <c r="O1184" s="114"/>
      <c r="P1184" s="114"/>
      <c r="Q1184" s="114"/>
      <c r="R1184" s="114"/>
      <c r="S1184" s="114"/>
      <c r="T1184" s="114"/>
      <c r="U1184" s="114"/>
      <c r="V1184" s="114"/>
      <c r="W1184" s="114"/>
      <c r="X1184" s="114"/>
      <c r="Y1184" s="114"/>
      <c r="Z1184" s="114"/>
    </row>
    <row r="1185" spans="1:26" ht="29.45" customHeight="1" x14ac:dyDescent="0.25">
      <c r="A1185" s="118" t="s">
        <v>2714</v>
      </c>
      <c r="B1185" s="41"/>
      <c r="C1185" s="43"/>
      <c r="D1185" s="43"/>
      <c r="E1185" s="43"/>
      <c r="F1185" s="43"/>
      <c r="G1185" s="43"/>
      <c r="H1185" s="114"/>
      <c r="I1185" s="60">
        <v>678</v>
      </c>
      <c r="J1185" s="211">
        <v>2</v>
      </c>
      <c r="K1185" s="8">
        <v>22</v>
      </c>
      <c r="L1185" s="8">
        <v>12</v>
      </c>
      <c r="M1185" s="60">
        <f>I1185*J1185*K1185*L1185</f>
        <v>357984</v>
      </c>
      <c r="N1185" s="60"/>
      <c r="O1185" s="114"/>
      <c r="P1185" s="114"/>
      <c r="Q1185" s="114"/>
      <c r="R1185" s="114"/>
      <c r="S1185" s="114"/>
      <c r="T1185" s="114"/>
      <c r="U1185" s="114"/>
      <c r="V1185" s="114"/>
      <c r="W1185" s="114"/>
      <c r="X1185" s="114"/>
      <c r="Y1185" s="114"/>
      <c r="Z1185" s="114"/>
    </row>
    <row r="1186" spans="1:26" ht="15.75" customHeight="1" x14ac:dyDescent="0.25">
      <c r="A1186" s="222" t="s">
        <v>1075</v>
      </c>
      <c r="B1186" s="41"/>
      <c r="C1186" s="43"/>
      <c r="D1186" s="43"/>
      <c r="E1186" s="43"/>
      <c r="F1186" s="43"/>
      <c r="G1186" s="43"/>
      <c r="H1186" s="114"/>
      <c r="I1186" s="60"/>
      <c r="J1186" s="211"/>
      <c r="K1186" s="8"/>
      <c r="L1186" s="8"/>
      <c r="M1186" s="60"/>
      <c r="N1186" s="60"/>
      <c r="O1186" s="114"/>
      <c r="P1186" s="114"/>
      <c r="Q1186" s="114"/>
      <c r="R1186" s="114"/>
      <c r="S1186" s="114"/>
      <c r="T1186" s="114"/>
      <c r="U1186" s="114"/>
      <c r="V1186" s="114"/>
      <c r="W1186" s="114"/>
      <c r="X1186" s="114"/>
      <c r="Y1186" s="114"/>
      <c r="Z1186" s="114"/>
    </row>
    <row r="1187" spans="1:26" ht="28.9" customHeight="1" x14ac:dyDescent="0.25">
      <c r="A1187" s="118" t="s">
        <v>2715</v>
      </c>
      <c r="B1187" s="41"/>
      <c r="C1187" s="43"/>
      <c r="D1187" s="43"/>
      <c r="E1187" s="43"/>
      <c r="F1187" s="43"/>
      <c r="G1187" s="43"/>
      <c r="H1187" s="114"/>
      <c r="I1187" s="60">
        <v>861</v>
      </c>
      <c r="J1187" s="211">
        <v>1</v>
      </c>
      <c r="K1187" s="8">
        <v>22</v>
      </c>
      <c r="L1187" s="8">
        <v>12</v>
      </c>
      <c r="M1187" s="60">
        <f t="shared" ref="M1187:M1189" si="201">I1187*J1187*K1187*L1187</f>
        <v>227304</v>
      </c>
      <c r="N1187" s="60"/>
      <c r="O1187" s="114"/>
      <c r="P1187" s="114"/>
      <c r="Q1187" s="114"/>
      <c r="R1187" s="114"/>
      <c r="S1187" s="114"/>
      <c r="T1187" s="114"/>
      <c r="U1187" s="114"/>
      <c r="V1187" s="114"/>
      <c r="W1187" s="114"/>
      <c r="X1187" s="114"/>
      <c r="Y1187" s="114"/>
      <c r="Z1187" s="114"/>
    </row>
    <row r="1188" spans="1:26" ht="28.9" customHeight="1" x14ac:dyDescent="0.25">
      <c r="A1188" s="118" t="s">
        <v>1077</v>
      </c>
      <c r="B1188" s="41"/>
      <c r="C1188" s="43"/>
      <c r="D1188" s="43"/>
      <c r="E1188" s="43"/>
      <c r="F1188" s="43"/>
      <c r="G1188" s="43"/>
      <c r="H1188" s="114"/>
      <c r="I1188" s="60">
        <v>678</v>
      </c>
      <c r="J1188" s="211">
        <v>1</v>
      </c>
      <c r="K1188" s="8">
        <v>22</v>
      </c>
      <c r="L1188" s="8">
        <v>12</v>
      </c>
      <c r="M1188" s="60">
        <f t="shared" si="201"/>
        <v>178992</v>
      </c>
      <c r="N1188" s="60"/>
      <c r="O1188" s="114"/>
      <c r="P1188" s="114"/>
      <c r="Q1188" s="114"/>
      <c r="R1188" s="114"/>
      <c r="S1188" s="114"/>
      <c r="T1188" s="114"/>
      <c r="U1188" s="114"/>
      <c r="V1188" s="114"/>
      <c r="W1188" s="114"/>
      <c r="X1188" s="114"/>
      <c r="Y1188" s="114"/>
      <c r="Z1188" s="114"/>
    </row>
    <row r="1189" spans="1:26" ht="28.9" customHeight="1" x14ac:dyDescent="0.25">
      <c r="A1189" s="118" t="s">
        <v>1078</v>
      </c>
      <c r="B1189" s="41"/>
      <c r="C1189" s="43"/>
      <c r="D1189" s="43"/>
      <c r="E1189" s="43"/>
      <c r="F1189" s="43"/>
      <c r="G1189" s="43"/>
      <c r="H1189" s="114"/>
      <c r="I1189" s="60">
        <v>720</v>
      </c>
      <c r="J1189" s="211">
        <v>1</v>
      </c>
      <c r="K1189" s="8">
        <v>22</v>
      </c>
      <c r="L1189" s="8">
        <v>12</v>
      </c>
      <c r="M1189" s="60">
        <f t="shared" si="201"/>
        <v>190080</v>
      </c>
      <c r="N1189" s="60"/>
      <c r="O1189" s="114"/>
      <c r="P1189" s="114"/>
      <c r="Q1189" s="114"/>
      <c r="R1189" s="114"/>
      <c r="S1189" s="114"/>
      <c r="T1189" s="114"/>
      <c r="U1189" s="114"/>
      <c r="V1189" s="114"/>
      <c r="W1189" s="114"/>
      <c r="X1189" s="114"/>
      <c r="Y1189" s="114"/>
      <c r="Z1189" s="114"/>
    </row>
    <row r="1190" spans="1:26" ht="15.75" customHeight="1" x14ac:dyDescent="0.25">
      <c r="A1190" s="17" t="s">
        <v>1079</v>
      </c>
      <c r="B1190" s="41"/>
      <c r="C1190" s="43"/>
      <c r="D1190" s="43"/>
      <c r="E1190" s="43"/>
      <c r="F1190" s="43"/>
      <c r="G1190" s="43"/>
      <c r="H1190" s="114"/>
      <c r="I1190" s="60"/>
      <c r="J1190" s="211"/>
      <c r="K1190" s="8"/>
      <c r="L1190" s="8"/>
      <c r="M1190" s="60"/>
      <c r="N1190" s="60"/>
      <c r="O1190" s="114"/>
      <c r="P1190" s="114"/>
      <c r="Q1190" s="114"/>
      <c r="R1190" s="114"/>
      <c r="S1190" s="114"/>
      <c r="T1190" s="114"/>
      <c r="U1190" s="114"/>
      <c r="V1190" s="114"/>
      <c r="W1190" s="114"/>
      <c r="X1190" s="114"/>
      <c r="Y1190" s="114"/>
      <c r="Z1190" s="114"/>
    </row>
    <row r="1191" spans="1:26" ht="28.15" customHeight="1" x14ac:dyDescent="0.25">
      <c r="A1191" s="118" t="s">
        <v>1080</v>
      </c>
      <c r="B1191" s="41"/>
      <c r="C1191" s="43"/>
      <c r="D1191" s="43"/>
      <c r="E1191" s="43"/>
      <c r="F1191" s="43"/>
      <c r="G1191" s="43"/>
      <c r="H1191" s="114"/>
      <c r="I1191" s="60">
        <v>639</v>
      </c>
      <c r="J1191" s="211">
        <v>1</v>
      </c>
      <c r="K1191" s="8">
        <v>26</v>
      </c>
      <c r="L1191" s="8">
        <v>12</v>
      </c>
      <c r="M1191" s="60">
        <f t="shared" ref="M1191:M1197" si="202">I1191*J1191*K1191*L1191</f>
        <v>199368</v>
      </c>
      <c r="N1191" s="60"/>
      <c r="O1191" s="114"/>
      <c r="P1191" s="114"/>
      <c r="Q1191" s="114"/>
      <c r="R1191" s="114"/>
      <c r="S1191" s="114"/>
      <c r="T1191" s="114"/>
      <c r="U1191" s="114"/>
      <c r="V1191" s="114"/>
      <c r="W1191" s="114"/>
      <c r="X1191" s="114"/>
      <c r="Y1191" s="114"/>
      <c r="Z1191" s="114"/>
    </row>
    <row r="1192" spans="1:26" ht="28.15" customHeight="1" x14ac:dyDescent="0.25">
      <c r="A1192" s="118" t="s">
        <v>1081</v>
      </c>
      <c r="B1192" s="41"/>
      <c r="C1192" s="43"/>
      <c r="D1192" s="43"/>
      <c r="E1192" s="43"/>
      <c r="F1192" s="43"/>
      <c r="G1192" s="43"/>
      <c r="H1192" s="114"/>
      <c r="I1192" s="60">
        <v>678</v>
      </c>
      <c r="J1192" s="223">
        <v>6</v>
      </c>
      <c r="K1192" s="8">
        <v>26</v>
      </c>
      <c r="L1192" s="8">
        <v>12</v>
      </c>
      <c r="M1192" s="60">
        <f t="shared" si="202"/>
        <v>1269216</v>
      </c>
      <c r="N1192" s="60"/>
      <c r="O1192" s="114"/>
      <c r="P1192" s="114"/>
      <c r="Q1192" s="114"/>
      <c r="R1192" s="114"/>
      <c r="S1192" s="114"/>
      <c r="T1192" s="114"/>
      <c r="U1192" s="114"/>
      <c r="V1192" s="114"/>
      <c r="W1192" s="114"/>
      <c r="X1192" s="114"/>
      <c r="Y1192" s="114"/>
      <c r="Z1192" s="114"/>
    </row>
    <row r="1193" spans="1:26" ht="28.15" customHeight="1" x14ac:dyDescent="0.25">
      <c r="A1193" s="118" t="s">
        <v>1082</v>
      </c>
      <c r="B1193" s="41"/>
      <c r="C1193" s="43"/>
      <c r="D1193" s="43"/>
      <c r="E1193" s="43"/>
      <c r="F1193" s="43"/>
      <c r="G1193" s="43"/>
      <c r="H1193" s="114"/>
      <c r="I1193" s="60">
        <v>678</v>
      </c>
      <c r="J1193" s="223">
        <v>4</v>
      </c>
      <c r="K1193" s="8">
        <v>26</v>
      </c>
      <c r="L1193" s="8">
        <v>12</v>
      </c>
      <c r="M1193" s="60">
        <f t="shared" si="202"/>
        <v>846144</v>
      </c>
      <c r="N1193" s="60"/>
      <c r="O1193" s="114"/>
      <c r="P1193" s="114"/>
      <c r="Q1193" s="114"/>
      <c r="R1193" s="114"/>
      <c r="S1193" s="114"/>
      <c r="T1193" s="114"/>
      <c r="U1193" s="114"/>
      <c r="V1193" s="114"/>
      <c r="W1193" s="114"/>
      <c r="X1193" s="114"/>
      <c r="Y1193" s="114"/>
      <c r="Z1193" s="114"/>
    </row>
    <row r="1194" spans="1:26" ht="28.15" customHeight="1" x14ac:dyDescent="0.25">
      <c r="A1194" s="479" t="s">
        <v>1083</v>
      </c>
      <c r="B1194" s="454"/>
      <c r="C1194" s="443"/>
      <c r="D1194" s="443"/>
      <c r="E1194" s="443"/>
      <c r="F1194" s="443"/>
      <c r="G1194" s="462"/>
      <c r="H1194" s="114"/>
      <c r="I1194" s="60">
        <v>678</v>
      </c>
      <c r="J1194" s="223">
        <v>12</v>
      </c>
      <c r="K1194" s="8">
        <v>26</v>
      </c>
      <c r="L1194" s="8">
        <v>12</v>
      </c>
      <c r="M1194" s="60">
        <f t="shared" si="202"/>
        <v>2538432</v>
      </c>
      <c r="N1194" s="60"/>
      <c r="O1194" s="114"/>
      <c r="P1194" s="114"/>
      <c r="Q1194" s="114"/>
      <c r="R1194" s="114"/>
      <c r="S1194" s="114"/>
      <c r="T1194" s="114"/>
      <c r="U1194" s="114"/>
      <c r="V1194" s="114"/>
      <c r="W1194" s="114"/>
      <c r="X1194" s="114"/>
      <c r="Y1194" s="114"/>
      <c r="Z1194" s="114"/>
    </row>
    <row r="1195" spans="1:26" ht="28.15" customHeight="1" x14ac:dyDescent="0.25">
      <c r="A1195" s="479" t="s">
        <v>1084</v>
      </c>
      <c r="B1195" s="454"/>
      <c r="C1195" s="443"/>
      <c r="D1195" s="443"/>
      <c r="E1195" s="443"/>
      <c r="F1195" s="443"/>
      <c r="G1195" s="462"/>
      <c r="H1195" s="114"/>
      <c r="I1195" s="60">
        <v>765</v>
      </c>
      <c r="J1195" s="211">
        <v>1</v>
      </c>
      <c r="K1195" s="8">
        <v>26</v>
      </c>
      <c r="L1195" s="8">
        <v>12</v>
      </c>
      <c r="M1195" s="60">
        <f t="shared" si="202"/>
        <v>238680</v>
      </c>
      <c r="N1195" s="60"/>
      <c r="O1195" s="114"/>
      <c r="P1195" s="114"/>
      <c r="Q1195" s="114"/>
      <c r="R1195" s="114"/>
      <c r="S1195" s="114"/>
      <c r="T1195" s="114"/>
      <c r="U1195" s="114"/>
      <c r="V1195" s="114"/>
      <c r="W1195" s="114"/>
      <c r="X1195" s="114"/>
      <c r="Y1195" s="114"/>
      <c r="Z1195" s="114"/>
    </row>
    <row r="1196" spans="1:26" ht="28.15" customHeight="1" x14ac:dyDescent="0.25">
      <c r="A1196" s="118" t="s">
        <v>1085</v>
      </c>
      <c r="B1196" s="41"/>
      <c r="C1196" s="43"/>
      <c r="D1196" s="43"/>
      <c r="E1196" s="43"/>
      <c r="F1196" s="43"/>
      <c r="G1196" s="43"/>
      <c r="H1196" s="114"/>
      <c r="I1196" s="60">
        <v>812</v>
      </c>
      <c r="J1196" s="211">
        <v>1</v>
      </c>
      <c r="K1196" s="8">
        <v>26</v>
      </c>
      <c r="L1196" s="8">
        <v>12</v>
      </c>
      <c r="M1196" s="60">
        <f t="shared" si="202"/>
        <v>253344</v>
      </c>
      <c r="N1196" s="60"/>
      <c r="O1196" s="114"/>
      <c r="P1196" s="114"/>
      <c r="Q1196" s="114"/>
      <c r="R1196" s="114"/>
      <c r="S1196" s="114"/>
      <c r="T1196" s="114"/>
      <c r="U1196" s="114"/>
      <c r="V1196" s="114"/>
      <c r="W1196" s="114"/>
      <c r="X1196" s="114"/>
      <c r="Y1196" s="114"/>
      <c r="Z1196" s="114"/>
    </row>
    <row r="1197" spans="1:26" ht="29.45" customHeight="1" x14ac:dyDescent="0.25">
      <c r="A1197" s="118" t="s">
        <v>1086</v>
      </c>
      <c r="B1197" s="41"/>
      <c r="C1197" s="43"/>
      <c r="D1197" s="43"/>
      <c r="E1197" s="43"/>
      <c r="F1197" s="43"/>
      <c r="G1197" s="43"/>
      <c r="H1197" s="114"/>
      <c r="I1197" s="60">
        <v>861</v>
      </c>
      <c r="J1197" s="211">
        <v>1</v>
      </c>
      <c r="K1197" s="8">
        <v>26</v>
      </c>
      <c r="L1197" s="8">
        <v>12</v>
      </c>
      <c r="M1197" s="60">
        <f t="shared" si="202"/>
        <v>268632</v>
      </c>
      <c r="N1197" s="60"/>
      <c r="O1197" s="114"/>
      <c r="P1197" s="114"/>
      <c r="Q1197" s="114"/>
      <c r="R1197" s="114"/>
      <c r="S1197" s="114"/>
      <c r="T1197" s="114"/>
      <c r="U1197" s="114"/>
      <c r="V1197" s="114"/>
      <c r="W1197" s="114"/>
      <c r="X1197" s="114"/>
      <c r="Y1197" s="114"/>
      <c r="Z1197" s="114"/>
    </row>
    <row r="1198" spans="1:26" ht="15.75" x14ac:dyDescent="0.25">
      <c r="A1198" s="44" t="s">
        <v>2709</v>
      </c>
      <c r="B1198" s="41"/>
      <c r="C1198" s="43"/>
      <c r="D1198" s="43"/>
      <c r="E1198" s="43"/>
      <c r="F1198" s="43"/>
      <c r="G1198" s="43"/>
      <c r="H1198" s="114"/>
      <c r="I1198" s="60"/>
      <c r="J1198" s="60"/>
      <c r="K1198" s="114"/>
      <c r="L1198" s="114"/>
      <c r="M1198" s="60"/>
      <c r="N1198" s="60"/>
      <c r="O1198" s="114"/>
      <c r="P1198" s="114"/>
      <c r="Q1198" s="114"/>
      <c r="R1198" s="114"/>
      <c r="S1198" s="114"/>
      <c r="T1198" s="114"/>
      <c r="U1198" s="114"/>
      <c r="V1198" s="114"/>
      <c r="W1198" s="114"/>
      <c r="X1198" s="114"/>
      <c r="Y1198" s="114"/>
      <c r="Z1198" s="114"/>
    </row>
    <row r="1199" spans="1:26" ht="28.15" customHeight="1" x14ac:dyDescent="0.25">
      <c r="A1199" s="118" t="s">
        <v>1076</v>
      </c>
      <c r="B1199" s="41"/>
      <c r="C1199" s="43"/>
      <c r="D1199" s="43"/>
      <c r="E1199" s="43"/>
      <c r="F1199" s="43"/>
      <c r="G1199" s="43"/>
      <c r="H1199" s="114"/>
      <c r="I1199" s="60">
        <v>678</v>
      </c>
      <c r="J1199" s="8">
        <v>1</v>
      </c>
      <c r="K1199" s="8">
        <v>22</v>
      </c>
      <c r="L1199" s="8">
        <v>12</v>
      </c>
      <c r="M1199" s="60">
        <f t="shared" ref="M1199:M1203" si="203">I1199*J1199*K1199*L1199</f>
        <v>178992</v>
      </c>
      <c r="N1199" s="60"/>
      <c r="O1199" s="114"/>
      <c r="P1199" s="114"/>
      <c r="Q1199" s="114"/>
      <c r="R1199" s="114"/>
      <c r="S1199" s="114"/>
      <c r="T1199" s="114"/>
      <c r="U1199" s="114"/>
      <c r="V1199" s="114"/>
      <c r="W1199" s="114"/>
      <c r="X1199" s="114"/>
      <c r="Y1199" s="114"/>
      <c r="Z1199" s="114"/>
    </row>
    <row r="1200" spans="1:26" ht="28.15" customHeight="1" x14ac:dyDescent="0.25">
      <c r="A1200" s="118" t="s">
        <v>1087</v>
      </c>
      <c r="B1200" s="41"/>
      <c r="C1200" s="43"/>
      <c r="D1200" s="43"/>
      <c r="E1200" s="43"/>
      <c r="F1200" s="43"/>
      <c r="G1200" s="43"/>
      <c r="H1200" s="114"/>
      <c r="I1200" s="60">
        <v>639</v>
      </c>
      <c r="J1200" s="8">
        <v>2</v>
      </c>
      <c r="K1200" s="8">
        <v>22</v>
      </c>
      <c r="L1200" s="8">
        <v>12</v>
      </c>
      <c r="M1200" s="60">
        <f t="shared" si="203"/>
        <v>337392</v>
      </c>
      <c r="N1200" s="60"/>
      <c r="O1200" s="114"/>
      <c r="P1200" s="114"/>
      <c r="Q1200" s="114"/>
      <c r="R1200" s="114"/>
      <c r="S1200" s="114"/>
      <c r="T1200" s="114"/>
      <c r="U1200" s="114"/>
      <c r="V1200" s="114"/>
      <c r="W1200" s="114"/>
      <c r="X1200" s="114"/>
      <c r="Y1200" s="114"/>
      <c r="Z1200" s="114"/>
    </row>
    <row r="1201" spans="1:26" ht="28.15" customHeight="1" x14ac:dyDescent="0.25">
      <c r="A1201" s="118" t="s">
        <v>2716</v>
      </c>
      <c r="B1201" s="41"/>
      <c r="C1201" s="43"/>
      <c r="D1201" s="43"/>
      <c r="E1201" s="43"/>
      <c r="F1201" s="43"/>
      <c r="G1201" s="43"/>
      <c r="H1201" s="114"/>
      <c r="I1201" s="60">
        <v>678</v>
      </c>
      <c r="J1201" s="211">
        <v>14</v>
      </c>
      <c r="K1201" s="8">
        <v>22</v>
      </c>
      <c r="L1201" s="8">
        <v>12</v>
      </c>
      <c r="M1201" s="60">
        <f t="shared" si="203"/>
        <v>2505888</v>
      </c>
      <c r="N1201" s="60"/>
      <c r="O1201" s="114"/>
      <c r="P1201" s="114"/>
      <c r="Q1201" s="114"/>
      <c r="R1201" s="114"/>
      <c r="S1201" s="114"/>
      <c r="T1201" s="114"/>
      <c r="U1201" s="114"/>
      <c r="V1201" s="114"/>
      <c r="W1201" s="114"/>
      <c r="X1201" s="114"/>
      <c r="Y1201" s="114"/>
      <c r="Z1201" s="114"/>
    </row>
    <row r="1202" spans="1:26" ht="28.15" customHeight="1" x14ac:dyDescent="0.25">
      <c r="A1202" s="118" t="s">
        <v>1088</v>
      </c>
      <c r="B1202" s="41"/>
      <c r="C1202" s="43"/>
      <c r="D1202" s="43"/>
      <c r="E1202" s="43"/>
      <c r="F1202" s="43"/>
      <c r="G1202" s="43"/>
      <c r="H1202" s="114"/>
      <c r="I1202" s="60">
        <v>765</v>
      </c>
      <c r="J1202" s="8">
        <v>1</v>
      </c>
      <c r="K1202" s="8">
        <v>22</v>
      </c>
      <c r="L1202" s="8">
        <v>12</v>
      </c>
      <c r="M1202" s="60">
        <f t="shared" si="203"/>
        <v>201960</v>
      </c>
      <c r="N1202" s="60"/>
      <c r="O1202" s="114"/>
      <c r="P1202" s="114"/>
      <c r="Q1202" s="114"/>
      <c r="R1202" s="114"/>
      <c r="S1202" s="114"/>
      <c r="T1202" s="114"/>
      <c r="U1202" s="114"/>
      <c r="V1202" s="114"/>
      <c r="W1202" s="114"/>
      <c r="X1202" s="114"/>
      <c r="Y1202" s="114"/>
      <c r="Z1202" s="114"/>
    </row>
    <row r="1203" spans="1:26" ht="28.15" customHeight="1" x14ac:dyDescent="0.25">
      <c r="A1203" s="118" t="s">
        <v>1089</v>
      </c>
      <c r="B1203" s="41"/>
      <c r="C1203" s="43"/>
      <c r="D1203" s="43"/>
      <c r="E1203" s="43"/>
      <c r="F1203" s="43"/>
      <c r="G1203" s="43"/>
      <c r="H1203" s="114"/>
      <c r="I1203" s="60">
        <v>812</v>
      </c>
      <c r="J1203" s="8">
        <v>1</v>
      </c>
      <c r="K1203" s="8">
        <v>22</v>
      </c>
      <c r="L1203" s="8">
        <v>12</v>
      </c>
      <c r="M1203" s="60">
        <f t="shared" si="203"/>
        <v>214368</v>
      </c>
      <c r="N1203" s="60"/>
      <c r="O1203" s="114"/>
      <c r="P1203" s="114"/>
      <c r="Q1203" s="114"/>
      <c r="R1203" s="114"/>
      <c r="S1203" s="114"/>
      <c r="T1203" s="114"/>
      <c r="U1203" s="114"/>
      <c r="V1203" s="114"/>
      <c r="W1203" s="114"/>
      <c r="X1203" s="114"/>
      <c r="Y1203" s="114"/>
      <c r="Z1203" s="114"/>
    </row>
    <row r="1204" spans="1:26" ht="15.75" customHeight="1" x14ac:dyDescent="0.25">
      <c r="A1204" s="44" t="s">
        <v>2710</v>
      </c>
      <c r="B1204" s="41"/>
      <c r="C1204" s="43"/>
      <c r="D1204" s="43"/>
      <c r="E1204" s="43"/>
      <c r="F1204" s="43"/>
      <c r="G1204" s="43"/>
      <c r="H1204" s="114"/>
      <c r="I1204" s="60"/>
      <c r="J1204" s="8"/>
      <c r="K1204" s="8"/>
      <c r="L1204" s="8"/>
      <c r="M1204" s="60"/>
      <c r="N1204" s="60"/>
      <c r="O1204" s="114"/>
      <c r="P1204" s="114"/>
      <c r="Q1204" s="114"/>
      <c r="R1204" s="114"/>
      <c r="S1204" s="114"/>
      <c r="T1204" s="114"/>
      <c r="U1204" s="114"/>
      <c r="V1204" s="114"/>
      <c r="W1204" s="114"/>
      <c r="X1204" s="114"/>
      <c r="Y1204" s="114"/>
      <c r="Z1204" s="114"/>
    </row>
    <row r="1205" spans="1:26" ht="15.75" customHeight="1" x14ac:dyDescent="0.25">
      <c r="A1205" s="44" t="s">
        <v>1090</v>
      </c>
      <c r="B1205" s="41"/>
      <c r="C1205" s="43"/>
      <c r="D1205" s="43"/>
      <c r="E1205" s="43"/>
      <c r="F1205" s="43"/>
      <c r="G1205" s="43"/>
      <c r="H1205" s="114"/>
      <c r="I1205" s="60">
        <v>639</v>
      </c>
      <c r="J1205" s="8">
        <v>3</v>
      </c>
      <c r="K1205" s="8">
        <v>26</v>
      </c>
      <c r="L1205" s="8">
        <v>12</v>
      </c>
      <c r="M1205" s="60">
        <f t="shared" ref="M1205:M1206" si="204">I1205*J1205*K1205*L1205</f>
        <v>598104</v>
      </c>
      <c r="N1205" s="60"/>
      <c r="O1205" s="114"/>
      <c r="P1205" s="114"/>
      <c r="Q1205" s="114"/>
      <c r="R1205" s="114"/>
      <c r="S1205" s="114"/>
      <c r="T1205" s="114"/>
      <c r="U1205" s="114"/>
      <c r="V1205" s="114"/>
      <c r="W1205" s="114"/>
      <c r="X1205" s="114"/>
      <c r="Y1205" s="114"/>
      <c r="Z1205" s="114"/>
    </row>
    <row r="1206" spans="1:26" ht="29.45" customHeight="1" x14ac:dyDescent="0.25">
      <c r="A1206" s="118" t="s">
        <v>1091</v>
      </c>
      <c r="B1206" s="41"/>
      <c r="C1206" s="43"/>
      <c r="D1206" s="43"/>
      <c r="E1206" s="43"/>
      <c r="F1206" s="43"/>
      <c r="G1206" s="43"/>
      <c r="H1206" s="114"/>
      <c r="I1206" s="60">
        <v>678</v>
      </c>
      <c r="J1206" s="8">
        <v>1</v>
      </c>
      <c r="K1206" s="8">
        <v>26</v>
      </c>
      <c r="L1206" s="8">
        <v>12</v>
      </c>
      <c r="M1206" s="60">
        <f t="shared" si="204"/>
        <v>211536</v>
      </c>
      <c r="N1206" s="60"/>
      <c r="O1206" s="114"/>
      <c r="P1206" s="114"/>
      <c r="Q1206" s="114"/>
      <c r="R1206" s="114"/>
      <c r="S1206" s="114"/>
      <c r="T1206" s="114"/>
      <c r="U1206" s="114"/>
      <c r="V1206" s="114"/>
      <c r="W1206" s="114"/>
      <c r="X1206" s="114"/>
      <c r="Y1206" s="114"/>
      <c r="Z1206" s="114"/>
    </row>
    <row r="1207" spans="1:26" ht="15.75" customHeight="1" x14ac:dyDescent="0.25">
      <c r="A1207" s="44" t="s">
        <v>2711</v>
      </c>
      <c r="B1207" s="41"/>
      <c r="C1207" s="43"/>
      <c r="D1207" s="43"/>
      <c r="E1207" s="43"/>
      <c r="F1207" s="43"/>
      <c r="G1207" s="43"/>
      <c r="H1207" s="114"/>
      <c r="I1207" s="60"/>
      <c r="J1207" s="60"/>
      <c r="K1207" s="114"/>
      <c r="L1207" s="114"/>
      <c r="M1207" s="60"/>
      <c r="N1207" s="60"/>
      <c r="O1207" s="114"/>
      <c r="P1207" s="114"/>
      <c r="Q1207" s="114"/>
      <c r="R1207" s="114"/>
      <c r="S1207" s="114"/>
      <c r="T1207" s="114"/>
      <c r="U1207" s="114"/>
      <c r="V1207" s="114"/>
      <c r="W1207" s="114"/>
      <c r="X1207" s="114"/>
      <c r="Y1207" s="114"/>
      <c r="Z1207" s="114"/>
    </row>
    <row r="1208" spans="1:26" ht="15.75" customHeight="1" x14ac:dyDescent="0.25">
      <c r="A1208" s="44" t="s">
        <v>1092</v>
      </c>
      <c r="B1208" s="41"/>
      <c r="C1208" s="43"/>
      <c r="D1208" s="43"/>
      <c r="E1208" s="43"/>
      <c r="F1208" s="43"/>
      <c r="G1208" s="43"/>
      <c r="H1208" s="114"/>
      <c r="I1208" s="60">
        <v>639</v>
      </c>
      <c r="J1208" s="8">
        <v>2</v>
      </c>
      <c r="K1208" s="8">
        <v>26</v>
      </c>
      <c r="L1208" s="8">
        <v>12</v>
      </c>
      <c r="M1208" s="60">
        <f>I1208*J1208*K1208*L1208</f>
        <v>398736</v>
      </c>
      <c r="N1208" s="60"/>
      <c r="O1208" s="114"/>
      <c r="P1208" s="114"/>
      <c r="Q1208" s="114"/>
      <c r="R1208" s="114"/>
      <c r="S1208" s="114"/>
      <c r="T1208" s="114"/>
      <c r="U1208" s="114"/>
      <c r="V1208" s="114"/>
      <c r="W1208" s="114"/>
      <c r="X1208" s="114"/>
      <c r="Y1208" s="114"/>
      <c r="Z1208" s="114"/>
    </row>
    <row r="1209" spans="1:26" ht="15.75" customHeight="1" x14ac:dyDescent="0.25">
      <c r="A1209" s="44" t="s">
        <v>2712</v>
      </c>
      <c r="B1209" s="41"/>
      <c r="C1209" s="43"/>
      <c r="D1209" s="43"/>
      <c r="E1209" s="43"/>
      <c r="F1209" s="43"/>
      <c r="G1209" s="43"/>
      <c r="H1209" s="114"/>
      <c r="I1209" s="60"/>
      <c r="J1209" s="60"/>
      <c r="K1209" s="114"/>
      <c r="L1209" s="114"/>
      <c r="M1209" s="60"/>
      <c r="N1209" s="60"/>
      <c r="O1209" s="114"/>
      <c r="P1209" s="114"/>
      <c r="Q1209" s="114"/>
      <c r="R1209" s="114"/>
      <c r="S1209" s="114"/>
      <c r="T1209" s="114"/>
      <c r="U1209" s="114"/>
      <c r="V1209" s="114"/>
      <c r="W1209" s="114"/>
      <c r="X1209" s="114"/>
      <c r="Y1209" s="114"/>
      <c r="Z1209" s="114"/>
    </row>
    <row r="1210" spans="1:26" ht="15.75" customHeight="1" x14ac:dyDescent="0.25">
      <c r="A1210" s="44" t="s">
        <v>1092</v>
      </c>
      <c r="B1210" s="41"/>
      <c r="C1210" s="43"/>
      <c r="D1210" s="43"/>
      <c r="E1210" s="43"/>
      <c r="F1210" s="43"/>
      <c r="G1210" s="43"/>
      <c r="H1210" s="114"/>
      <c r="I1210" s="60">
        <v>639</v>
      </c>
      <c r="J1210" s="8">
        <v>2</v>
      </c>
      <c r="K1210" s="8">
        <v>26</v>
      </c>
      <c r="L1210" s="8">
        <v>12</v>
      </c>
      <c r="M1210" s="60">
        <f>I1210*J1210*K1210*L1210</f>
        <v>398736</v>
      </c>
      <c r="N1210" s="60">
        <f>SUM(M1178:M1210)</f>
        <v>15841296</v>
      </c>
      <c r="O1210" s="60">
        <f>SUM(N1173:N1210)</f>
        <v>16661326</v>
      </c>
      <c r="P1210" s="114"/>
      <c r="Q1210" s="114"/>
      <c r="R1210" s="114"/>
      <c r="S1210" s="114"/>
      <c r="T1210" s="114"/>
      <c r="U1210" s="114"/>
      <c r="V1210" s="114"/>
      <c r="W1210" s="114"/>
      <c r="X1210" s="114"/>
      <c r="Y1210" s="114"/>
      <c r="Z1210" s="114"/>
    </row>
    <row r="1211" spans="1:26" ht="15.75" customHeight="1" x14ac:dyDescent="0.25">
      <c r="A1211" s="42" t="s">
        <v>466</v>
      </c>
      <c r="B1211" s="41"/>
      <c r="C1211" s="54">
        <f>SUM(C1158:C1172)</f>
        <v>9434172.9900000002</v>
      </c>
      <c r="D1211" s="54">
        <f>SUM(D1158:D1172)</f>
        <v>4380786.28</v>
      </c>
      <c r="E1211" s="54">
        <f t="shared" ref="E1211:E1213" si="205">F1211-D1211</f>
        <v>8648282.7199999988</v>
      </c>
      <c r="F1211" s="54">
        <f>SUM(F1152:F1172)</f>
        <v>13029069</v>
      </c>
      <c r="G1211" s="54">
        <f>SUM(G1152:G1210)</f>
        <v>18821024</v>
      </c>
      <c r="H1211" s="114"/>
      <c r="I1211" s="60"/>
      <c r="J1211" s="60"/>
      <c r="K1211" s="114"/>
      <c r="L1211" s="114"/>
      <c r="M1211" s="60"/>
      <c r="N1211" s="60"/>
      <c r="O1211" s="114"/>
      <c r="P1211" s="114"/>
      <c r="Q1211" s="114"/>
      <c r="R1211" s="114"/>
      <c r="S1211" s="114"/>
      <c r="T1211" s="114"/>
      <c r="U1211" s="114"/>
      <c r="V1211" s="114"/>
      <c r="W1211" s="114"/>
      <c r="X1211" s="114"/>
      <c r="Y1211" s="114"/>
      <c r="Z1211" s="114"/>
    </row>
    <row r="1212" spans="1:26" ht="15.75" customHeight="1" x14ac:dyDescent="0.25">
      <c r="A1212" s="17"/>
      <c r="B1212" s="41"/>
      <c r="C1212" s="39"/>
      <c r="D1212" s="55"/>
      <c r="E1212" s="43">
        <f t="shared" si="205"/>
        <v>0</v>
      </c>
      <c r="F1212" s="200"/>
      <c r="G1212" s="200"/>
      <c r="H1212" s="114"/>
      <c r="I1212" s="60"/>
      <c r="J1212" s="60"/>
      <c r="K1212" s="114"/>
      <c r="L1212" s="114"/>
      <c r="M1212" s="60"/>
      <c r="N1212" s="60"/>
      <c r="O1212" s="114"/>
      <c r="P1212" s="114"/>
      <c r="Q1212" s="114"/>
      <c r="R1212" s="114"/>
      <c r="S1212" s="114"/>
      <c r="T1212" s="114"/>
      <c r="U1212" s="114"/>
      <c r="V1212" s="114"/>
      <c r="W1212" s="114"/>
      <c r="X1212" s="114"/>
      <c r="Y1212" s="114"/>
      <c r="Z1212" s="114"/>
    </row>
    <row r="1213" spans="1:26" ht="15.75" customHeight="1" x14ac:dyDescent="0.25">
      <c r="A1213" s="42" t="s">
        <v>467</v>
      </c>
      <c r="B1213" s="25"/>
      <c r="C1213" s="43">
        <f t="shared" ref="C1213:D1213" si="206">C1211</f>
        <v>9434172.9900000002</v>
      </c>
      <c r="D1213" s="43">
        <f t="shared" si="206"/>
        <v>4380786.28</v>
      </c>
      <c r="E1213" s="43">
        <f t="shared" si="205"/>
        <v>8648282.7199999988</v>
      </c>
      <c r="F1213" s="484">
        <f t="shared" ref="F1213:G1213" si="207">F1211</f>
        <v>13029069</v>
      </c>
      <c r="G1213" s="444">
        <f t="shared" si="207"/>
        <v>18821024</v>
      </c>
      <c r="H1213" s="114"/>
      <c r="I1213" s="60"/>
      <c r="J1213" s="60"/>
      <c r="K1213" s="114"/>
      <c r="L1213" s="114"/>
      <c r="M1213" s="60"/>
      <c r="N1213" s="60"/>
      <c r="O1213" s="114"/>
      <c r="P1213" s="114"/>
      <c r="Q1213" s="114"/>
      <c r="R1213" s="114"/>
      <c r="S1213" s="114"/>
      <c r="T1213" s="114"/>
      <c r="U1213" s="114"/>
      <c r="V1213" s="114"/>
      <c r="W1213" s="114"/>
      <c r="X1213" s="114"/>
      <c r="Y1213" s="114"/>
      <c r="Z1213" s="114"/>
    </row>
    <row r="1214" spans="1:26" ht="15.75" customHeight="1" x14ac:dyDescent="0.25">
      <c r="A1214" s="42"/>
      <c r="B1214" s="25"/>
      <c r="C1214" s="43"/>
      <c r="D1214" s="43"/>
      <c r="E1214" s="43"/>
      <c r="F1214" s="484"/>
      <c r="G1214" s="444"/>
      <c r="H1214" s="114"/>
      <c r="I1214" s="60"/>
      <c r="J1214" s="60"/>
      <c r="K1214" s="114"/>
      <c r="L1214" s="114"/>
      <c r="M1214" s="60"/>
      <c r="N1214" s="60"/>
      <c r="O1214" s="114"/>
      <c r="P1214" s="114"/>
      <c r="Q1214" s="114"/>
      <c r="R1214" s="114"/>
      <c r="S1214" s="114"/>
      <c r="T1214" s="114"/>
      <c r="U1214" s="114"/>
      <c r="V1214" s="114"/>
      <c r="W1214" s="114"/>
      <c r="X1214" s="114"/>
      <c r="Y1214" s="114"/>
      <c r="Z1214" s="114"/>
    </row>
    <row r="1215" spans="1:26" ht="15.75" customHeight="1" x14ac:dyDescent="0.25">
      <c r="A1215" s="17" t="s">
        <v>529</v>
      </c>
      <c r="B1215" s="41"/>
      <c r="C1215" s="43"/>
      <c r="D1215" s="43"/>
      <c r="E1215" s="43"/>
      <c r="F1215" s="484"/>
      <c r="G1215" s="444"/>
      <c r="H1215" s="114"/>
      <c r="I1215" s="60"/>
      <c r="J1215" s="60"/>
      <c r="K1215" s="114"/>
      <c r="L1215" s="114"/>
      <c r="M1215" s="60"/>
      <c r="N1215" s="60"/>
      <c r="O1215" s="114"/>
      <c r="P1215" s="114"/>
      <c r="Q1215" s="114"/>
      <c r="R1215" s="114"/>
      <c r="S1215" s="114"/>
      <c r="T1215" s="114"/>
      <c r="U1215" s="114"/>
      <c r="V1215" s="114"/>
      <c r="W1215" s="114"/>
      <c r="X1215" s="114"/>
      <c r="Y1215" s="114"/>
      <c r="Z1215" s="114"/>
    </row>
    <row r="1216" spans="1:26" ht="15.75" customHeight="1" x14ac:dyDescent="0.25">
      <c r="A1216" s="17" t="s">
        <v>476</v>
      </c>
      <c r="B1216" s="41"/>
      <c r="C1216" s="43"/>
      <c r="D1216" s="43"/>
      <c r="E1216" s="43"/>
      <c r="F1216" s="43"/>
      <c r="G1216" s="43"/>
      <c r="H1216" s="114"/>
      <c r="I1216" s="60"/>
      <c r="J1216" s="60"/>
      <c r="K1216" s="114"/>
      <c r="L1216" s="114"/>
      <c r="M1216" s="60"/>
      <c r="N1216" s="60"/>
      <c r="O1216" s="114"/>
      <c r="P1216" s="114"/>
      <c r="Q1216" s="114"/>
      <c r="R1216" s="114"/>
      <c r="S1216" s="114"/>
      <c r="T1216" s="114"/>
      <c r="U1216" s="114"/>
      <c r="V1216" s="114"/>
      <c r="W1216" s="114"/>
      <c r="X1216" s="114"/>
      <c r="Y1216" s="114"/>
      <c r="Z1216" s="114"/>
    </row>
    <row r="1217" spans="1:26" ht="15.75" customHeight="1" x14ac:dyDescent="0.25">
      <c r="A1217" s="96" t="s">
        <v>479</v>
      </c>
      <c r="B1217" s="41" t="s">
        <v>47</v>
      </c>
      <c r="C1217" s="43">
        <v>0</v>
      </c>
      <c r="D1217" s="43">
        <v>0</v>
      </c>
      <c r="E1217" s="43">
        <v>0</v>
      </c>
      <c r="F1217" s="43">
        <v>0</v>
      </c>
      <c r="G1217" s="43">
        <v>57750</v>
      </c>
      <c r="H1217" s="114"/>
      <c r="I1217" s="60"/>
      <c r="J1217" s="60"/>
      <c r="K1217" s="114"/>
      <c r="L1217" s="114"/>
      <c r="M1217" s="60"/>
      <c r="N1217" s="60"/>
      <c r="O1217" s="114"/>
      <c r="P1217" s="114"/>
      <c r="Q1217" s="114"/>
      <c r="R1217" s="114"/>
      <c r="S1217" s="114"/>
      <c r="T1217" s="114"/>
      <c r="U1217" s="114"/>
      <c r="V1217" s="114"/>
      <c r="W1217" s="114"/>
      <c r="X1217" s="114"/>
      <c r="Y1217" s="114"/>
      <c r="Z1217" s="114"/>
    </row>
    <row r="1218" spans="1:26" ht="15.75" customHeight="1" x14ac:dyDescent="0.25">
      <c r="A1218" s="96" t="s">
        <v>1093</v>
      </c>
      <c r="B1218" s="41"/>
      <c r="C1218" s="43"/>
      <c r="D1218" s="43"/>
      <c r="E1218" s="43"/>
      <c r="F1218" s="43"/>
      <c r="G1218" s="43"/>
      <c r="H1218" s="114"/>
      <c r="I1218" s="60"/>
      <c r="J1218" s="60"/>
      <c r="K1218" s="114"/>
      <c r="L1218" s="114"/>
      <c r="M1218" s="60"/>
      <c r="N1218" s="60"/>
      <c r="O1218" s="114"/>
      <c r="P1218" s="114"/>
      <c r="Q1218" s="114"/>
      <c r="R1218" s="114"/>
      <c r="S1218" s="114"/>
      <c r="T1218" s="114"/>
      <c r="U1218" s="114"/>
      <c r="V1218" s="114"/>
      <c r="W1218" s="114"/>
      <c r="X1218" s="114"/>
      <c r="Y1218" s="114"/>
      <c r="Z1218" s="114"/>
    </row>
    <row r="1219" spans="1:26" ht="15.75" customHeight="1" x14ac:dyDescent="0.25">
      <c r="A1219" s="17" t="s">
        <v>536</v>
      </c>
      <c r="B1219" s="41"/>
      <c r="C1219" s="54" t="e">
        <f>SUM(#REF!)</f>
        <v>#REF!</v>
      </c>
      <c r="D1219" s="54" t="e">
        <f>SUM(#REF!)</f>
        <v>#REF!</v>
      </c>
      <c r="E1219" s="54" t="e">
        <f t="shared" ref="E1219" si="208">F1219-D1219</f>
        <v>#REF!</v>
      </c>
      <c r="F1219" s="54" t="e">
        <f>SUM(#REF!)</f>
        <v>#REF!</v>
      </c>
      <c r="G1219" s="54">
        <f>SUM(G1216:G1218)</f>
        <v>57750</v>
      </c>
      <c r="H1219" s="114"/>
      <c r="I1219" s="60"/>
      <c r="J1219" s="60"/>
      <c r="K1219" s="114"/>
      <c r="L1219" s="114"/>
      <c r="M1219" s="60"/>
      <c r="N1219" s="60"/>
      <c r="O1219" s="114"/>
      <c r="P1219" s="114"/>
      <c r="Q1219" s="114"/>
      <c r="R1219" s="114"/>
      <c r="S1219" s="114"/>
      <c r="T1219" s="114"/>
      <c r="U1219" s="114"/>
      <c r="V1219" s="114"/>
      <c r="W1219" s="114"/>
      <c r="X1219" s="114"/>
      <c r="Y1219" s="114"/>
      <c r="Z1219" s="114"/>
    </row>
    <row r="1220" spans="1:26" ht="15.75" customHeight="1" x14ac:dyDescent="0.25">
      <c r="A1220" s="160"/>
      <c r="B1220" s="224"/>
      <c r="C1220" s="53"/>
      <c r="D1220" s="53"/>
      <c r="E1220" s="53"/>
      <c r="F1220" s="484"/>
      <c r="G1220" s="491"/>
      <c r="H1220" s="114"/>
      <c r="I1220" s="60"/>
      <c r="J1220" s="60"/>
      <c r="K1220" s="114"/>
      <c r="L1220" s="114"/>
      <c r="M1220" s="60"/>
      <c r="N1220" s="60"/>
      <c r="O1220" s="114"/>
      <c r="P1220" s="114"/>
      <c r="Q1220" s="114"/>
      <c r="R1220" s="114"/>
      <c r="S1220" s="114"/>
      <c r="T1220" s="114"/>
      <c r="U1220" s="114"/>
      <c r="V1220" s="114"/>
      <c r="W1220" s="114"/>
      <c r="X1220" s="114"/>
      <c r="Y1220" s="114"/>
      <c r="Z1220" s="114"/>
    </row>
    <row r="1221" spans="1:26" ht="15.75" customHeight="1" x14ac:dyDescent="0.25">
      <c r="A1221" s="160" t="s">
        <v>487</v>
      </c>
      <c r="B1221" s="51" t="s">
        <v>488</v>
      </c>
      <c r="C1221" s="54" t="e">
        <f>C1213+C1219</f>
        <v>#REF!</v>
      </c>
      <c r="D1221" s="54" t="e">
        <f>D1213+D1219</f>
        <v>#REF!</v>
      </c>
      <c r="E1221" s="54" t="e">
        <f>F1221-D1221</f>
        <v>#REF!</v>
      </c>
      <c r="F1221" s="54" t="e">
        <f>F1213+F1219</f>
        <v>#REF!</v>
      </c>
      <c r="G1221" s="54">
        <f>G1213+G1219</f>
        <v>18878774</v>
      </c>
      <c r="H1221" s="114"/>
      <c r="I1221" s="60"/>
      <c r="J1221" s="60"/>
      <c r="K1221" s="114"/>
      <c r="L1221" s="114"/>
      <c r="M1221" s="60"/>
      <c r="N1221" s="60"/>
      <c r="O1221" s="114"/>
      <c r="P1221" s="114"/>
      <c r="Q1221" s="114"/>
      <c r="R1221" s="114"/>
      <c r="S1221" s="114"/>
      <c r="T1221" s="114"/>
      <c r="U1221" s="114"/>
      <c r="V1221" s="114"/>
      <c r="W1221" s="114"/>
      <c r="X1221" s="114"/>
      <c r="Y1221" s="114"/>
      <c r="Z1221" s="114"/>
    </row>
    <row r="1222" spans="1:26" ht="15.75" customHeight="1" x14ac:dyDescent="0.25">
      <c r="A1222" s="24"/>
      <c r="B1222" s="25"/>
      <c r="C1222" s="26"/>
      <c r="D1222" s="26"/>
      <c r="E1222" s="26"/>
      <c r="F1222" s="26"/>
      <c r="G1222" s="26"/>
      <c r="H1222" s="114"/>
      <c r="I1222" s="60"/>
      <c r="J1222" s="60"/>
      <c r="K1222" s="114"/>
      <c r="L1222" s="114"/>
      <c r="M1222" s="60"/>
      <c r="N1222" s="60"/>
      <c r="O1222" s="114"/>
      <c r="P1222" s="114"/>
      <c r="Q1222" s="114"/>
      <c r="R1222" s="114"/>
      <c r="S1222" s="114"/>
      <c r="T1222" s="114"/>
      <c r="U1222" s="114"/>
      <c r="V1222" s="114"/>
      <c r="W1222" s="114"/>
      <c r="X1222" s="114"/>
      <c r="Y1222" s="114"/>
      <c r="Z1222" s="114"/>
    </row>
    <row r="1223" spans="1:26" ht="15.75" customHeight="1" x14ac:dyDescent="0.25">
      <c r="A1223" s="24"/>
      <c r="B1223" s="25"/>
      <c r="C1223" s="24"/>
      <c r="D1223" s="24"/>
      <c r="E1223" s="24"/>
      <c r="F1223" s="15"/>
      <c r="G1223" s="15"/>
      <c r="H1223" s="15"/>
      <c r="I1223" s="16"/>
      <c r="J1223" s="16"/>
      <c r="K1223" s="15"/>
      <c r="L1223" s="15"/>
      <c r="M1223" s="16"/>
      <c r="N1223" s="16"/>
      <c r="O1223" s="15"/>
      <c r="P1223" s="15"/>
      <c r="Q1223" s="15"/>
      <c r="R1223" s="15"/>
      <c r="S1223" s="15"/>
      <c r="T1223" s="15"/>
      <c r="U1223" s="15"/>
      <c r="V1223" s="15"/>
      <c r="W1223" s="15"/>
      <c r="X1223" s="15"/>
      <c r="Y1223" s="15"/>
      <c r="Z1223" s="15"/>
    </row>
    <row r="1224" spans="1:26" ht="15.75" customHeight="1" x14ac:dyDescent="0.25">
      <c r="A1224" s="9"/>
      <c r="B1224" s="104"/>
      <c r="C1224" s="105"/>
      <c r="D1224" s="105"/>
      <c r="E1224" s="105"/>
      <c r="F1224" s="10"/>
      <c r="G1224" s="180"/>
      <c r="H1224" s="15"/>
      <c r="I1224" s="16"/>
      <c r="J1224" s="16"/>
      <c r="K1224" s="15"/>
      <c r="L1224" s="15"/>
      <c r="M1224" s="16"/>
      <c r="N1224" s="16"/>
      <c r="O1224" s="15"/>
      <c r="P1224" s="15"/>
      <c r="Q1224" s="15"/>
      <c r="R1224" s="15"/>
      <c r="S1224" s="15"/>
      <c r="T1224" s="15"/>
      <c r="U1224" s="15"/>
      <c r="V1224" s="15"/>
      <c r="W1224" s="15"/>
      <c r="X1224" s="15"/>
      <c r="Y1224" s="15"/>
      <c r="Z1224" s="15"/>
    </row>
    <row r="1225" spans="1:26" ht="15.75" customHeight="1" x14ac:dyDescent="0.25">
      <c r="A1225" s="108" t="s">
        <v>1094</v>
      </c>
      <c r="B1225" s="25"/>
      <c r="C1225" s="26"/>
      <c r="D1225" s="26"/>
      <c r="E1225" s="26"/>
      <c r="F1225" s="14"/>
      <c r="G1225" s="181"/>
      <c r="H1225" s="15"/>
      <c r="I1225" s="16"/>
      <c r="J1225" s="16"/>
      <c r="K1225" s="15"/>
      <c r="L1225" s="15"/>
      <c r="M1225" s="16"/>
      <c r="N1225" s="16"/>
      <c r="O1225" s="15"/>
      <c r="P1225" s="15"/>
      <c r="Q1225" s="15"/>
      <c r="R1225" s="15"/>
      <c r="S1225" s="15"/>
      <c r="T1225" s="15"/>
      <c r="U1225" s="15"/>
      <c r="V1225" s="15"/>
      <c r="W1225" s="15"/>
      <c r="X1225" s="15"/>
      <c r="Y1225" s="15"/>
      <c r="Z1225" s="15"/>
    </row>
    <row r="1226" spans="1:26" ht="15.75" customHeight="1" x14ac:dyDescent="0.25">
      <c r="A1226" s="44"/>
      <c r="B1226" s="25"/>
      <c r="C1226" s="26"/>
      <c r="D1226" s="26"/>
      <c r="E1226" s="26"/>
      <c r="F1226" s="14"/>
      <c r="G1226" s="181"/>
      <c r="H1226" s="15"/>
      <c r="I1226" s="16"/>
      <c r="J1226" s="16"/>
      <c r="K1226" s="15"/>
      <c r="L1226" s="15"/>
      <c r="M1226" s="16"/>
      <c r="N1226" s="16"/>
      <c r="O1226" s="15"/>
      <c r="P1226" s="15"/>
      <c r="Q1226" s="15"/>
      <c r="R1226" s="15"/>
      <c r="S1226" s="15"/>
      <c r="T1226" s="15"/>
      <c r="U1226" s="15"/>
      <c r="V1226" s="15"/>
      <c r="W1226" s="15"/>
      <c r="X1226" s="15"/>
      <c r="Y1226" s="15"/>
      <c r="Z1226" s="15"/>
    </row>
    <row r="1227" spans="1:26" ht="15.75" customHeight="1" x14ac:dyDescent="0.25">
      <c r="A1227" s="865" t="s">
        <v>352</v>
      </c>
      <c r="B1227" s="866"/>
      <c r="C1227" s="866"/>
      <c r="D1227" s="866"/>
      <c r="E1227" s="866"/>
      <c r="F1227" s="866"/>
      <c r="G1227" s="867"/>
      <c r="H1227" s="15"/>
      <c r="I1227" s="16"/>
      <c r="J1227" s="16"/>
      <c r="K1227" s="15"/>
      <c r="L1227" s="15"/>
      <c r="M1227" s="16"/>
      <c r="N1227" s="16"/>
      <c r="O1227" s="15"/>
      <c r="P1227" s="15"/>
      <c r="Q1227" s="15"/>
      <c r="R1227" s="15"/>
      <c r="S1227" s="15"/>
      <c r="T1227" s="15"/>
      <c r="U1227" s="15"/>
      <c r="V1227" s="15"/>
      <c r="W1227" s="15"/>
      <c r="X1227" s="15"/>
      <c r="Y1227" s="15"/>
      <c r="Z1227" s="15"/>
    </row>
    <row r="1228" spans="1:26" ht="15.75" customHeight="1" x14ac:dyDescent="0.25">
      <c r="A1228" s="868" t="s">
        <v>353</v>
      </c>
      <c r="B1228" s="857" t="s">
        <v>354</v>
      </c>
      <c r="C1228" s="870" t="s">
        <v>355</v>
      </c>
      <c r="D1228" s="872" t="s">
        <v>356</v>
      </c>
      <c r="E1228" s="873"/>
      <c r="F1228" s="874"/>
      <c r="G1228" s="857" t="s">
        <v>357</v>
      </c>
      <c r="H1228" s="15"/>
      <c r="I1228" s="16"/>
      <c r="J1228" s="16"/>
      <c r="K1228" s="15"/>
      <c r="L1228" s="15"/>
      <c r="M1228" s="16"/>
      <c r="N1228" s="16"/>
      <c r="O1228" s="15"/>
      <c r="P1228" s="15"/>
      <c r="Q1228" s="15"/>
      <c r="R1228" s="15"/>
      <c r="S1228" s="15"/>
      <c r="T1228" s="15"/>
      <c r="U1228" s="15"/>
      <c r="V1228" s="15"/>
      <c r="W1228" s="15"/>
      <c r="X1228" s="15"/>
      <c r="Y1228" s="15"/>
      <c r="Z1228" s="15"/>
    </row>
    <row r="1229" spans="1:26" ht="15.75" customHeight="1" x14ac:dyDescent="0.25">
      <c r="A1229" s="858"/>
      <c r="B1229" s="858"/>
      <c r="C1229" s="871"/>
      <c r="D1229" s="28" t="s">
        <v>358</v>
      </c>
      <c r="E1229" s="29" t="s">
        <v>359</v>
      </c>
      <c r="F1229" s="875" t="s">
        <v>360</v>
      </c>
      <c r="G1229" s="858"/>
      <c r="H1229" s="15"/>
      <c r="I1229" s="16"/>
      <c r="J1229" s="16"/>
      <c r="K1229" s="15"/>
      <c r="L1229" s="15"/>
      <c r="M1229" s="16"/>
      <c r="N1229" s="16"/>
      <c r="O1229" s="15"/>
      <c r="P1229" s="15"/>
      <c r="Q1229" s="15"/>
      <c r="R1229" s="15"/>
      <c r="S1229" s="15"/>
      <c r="T1229" s="15"/>
      <c r="U1229" s="15"/>
      <c r="V1229" s="15"/>
      <c r="W1229" s="15"/>
      <c r="X1229" s="15"/>
      <c r="Y1229" s="15"/>
      <c r="Z1229" s="15"/>
    </row>
    <row r="1230" spans="1:26" ht="15.75" customHeight="1" x14ac:dyDescent="0.25">
      <c r="A1230" s="858"/>
      <c r="B1230" s="858"/>
      <c r="C1230" s="30" t="s">
        <v>361</v>
      </c>
      <c r="D1230" s="31" t="s">
        <v>361</v>
      </c>
      <c r="E1230" s="32" t="s">
        <v>362</v>
      </c>
      <c r="F1230" s="860"/>
      <c r="G1230" s="442" t="s">
        <v>2717</v>
      </c>
      <c r="H1230" s="15"/>
      <c r="I1230" s="16"/>
      <c r="J1230" s="16"/>
      <c r="K1230" s="15"/>
      <c r="L1230" s="15"/>
      <c r="M1230" s="16"/>
      <c r="N1230" s="16"/>
      <c r="O1230" s="15"/>
      <c r="P1230" s="15"/>
      <c r="Q1230" s="15"/>
      <c r="R1230" s="15"/>
      <c r="S1230" s="15"/>
      <c r="T1230" s="15"/>
      <c r="U1230" s="15"/>
      <c r="V1230" s="15"/>
      <c r="W1230" s="15"/>
      <c r="X1230" s="15"/>
      <c r="Y1230" s="15"/>
      <c r="Z1230" s="15"/>
    </row>
    <row r="1231" spans="1:26" ht="15.75" customHeight="1" x14ac:dyDescent="0.25">
      <c r="A1231" s="869"/>
      <c r="B1231" s="869"/>
      <c r="C1231" s="33">
        <v>2024</v>
      </c>
      <c r="D1231" s="34">
        <v>2025</v>
      </c>
      <c r="E1231" s="34">
        <v>2025</v>
      </c>
      <c r="F1231" s="34">
        <v>2025</v>
      </c>
      <c r="G1231" s="36" t="s">
        <v>2668</v>
      </c>
      <c r="H1231" s="15"/>
      <c r="I1231" s="16"/>
      <c r="J1231" s="16"/>
      <c r="K1231" s="15"/>
      <c r="L1231" s="15"/>
      <c r="M1231" s="16"/>
      <c r="N1231" s="16"/>
      <c r="O1231" s="15"/>
      <c r="P1231" s="15"/>
      <c r="Q1231" s="15"/>
      <c r="R1231" s="15"/>
      <c r="S1231" s="15"/>
      <c r="T1231" s="15"/>
      <c r="U1231" s="15"/>
      <c r="V1231" s="15"/>
      <c r="W1231" s="15"/>
      <c r="X1231" s="15"/>
      <c r="Y1231" s="15"/>
      <c r="Z1231" s="15"/>
    </row>
    <row r="1232" spans="1:26" ht="15.75" customHeight="1" x14ac:dyDescent="0.25">
      <c r="A1232" s="9" t="s">
        <v>364</v>
      </c>
      <c r="B1232" s="38"/>
      <c r="C1232" s="42"/>
      <c r="D1232" s="42"/>
      <c r="E1232" s="42"/>
      <c r="F1232" s="42"/>
      <c r="G1232" s="37"/>
      <c r="I1232" s="40"/>
      <c r="J1232" s="40"/>
      <c r="M1232" s="40"/>
      <c r="N1232" s="40"/>
    </row>
    <row r="1233" spans="1:26" ht="15.75" customHeight="1" x14ac:dyDescent="0.25">
      <c r="A1233" s="42" t="s">
        <v>491</v>
      </c>
      <c r="B1233" s="49"/>
      <c r="C1233" s="43"/>
      <c r="D1233" s="43"/>
      <c r="E1233" s="43"/>
      <c r="F1233" s="43"/>
      <c r="G1233" s="43"/>
      <c r="I1233" s="40"/>
      <c r="J1233" s="40"/>
      <c r="M1233" s="40"/>
      <c r="N1233" s="40"/>
    </row>
    <row r="1234" spans="1:26" ht="15.75" customHeight="1" x14ac:dyDescent="0.25">
      <c r="A1234" s="17" t="s">
        <v>511</v>
      </c>
      <c r="B1234" s="41"/>
      <c r="C1234" s="41"/>
      <c r="D1234" s="41"/>
      <c r="E1234" s="20"/>
      <c r="F1234" s="120"/>
      <c r="G1234" s="49"/>
      <c r="I1234" s="40"/>
      <c r="J1234" s="40"/>
      <c r="M1234" s="40"/>
      <c r="N1234" s="40"/>
    </row>
    <row r="1235" spans="1:26" ht="15.75" customHeight="1" x14ac:dyDescent="0.25">
      <c r="A1235" s="44" t="s">
        <v>424</v>
      </c>
      <c r="B1235" s="41" t="s">
        <v>335</v>
      </c>
      <c r="C1235" s="43">
        <v>0</v>
      </c>
      <c r="D1235" s="43">
        <v>0</v>
      </c>
      <c r="E1235" s="43">
        <f>F1235-D1235</f>
        <v>3000000</v>
      </c>
      <c r="F1235" s="43">
        <v>3000000</v>
      </c>
      <c r="G1235" s="43">
        <v>3000000</v>
      </c>
      <c r="H1235" s="114"/>
      <c r="I1235" s="60"/>
      <c r="J1235" s="60"/>
      <c r="K1235" s="114"/>
      <c r="L1235" s="114"/>
      <c r="M1235" s="60"/>
      <c r="N1235" s="60"/>
      <c r="O1235" s="114"/>
      <c r="P1235" s="114"/>
      <c r="Q1235" s="114"/>
      <c r="R1235" s="114"/>
      <c r="S1235" s="114"/>
      <c r="T1235" s="114"/>
      <c r="U1235" s="114"/>
      <c r="V1235" s="114"/>
      <c r="W1235" s="114"/>
      <c r="X1235" s="114"/>
      <c r="Y1235" s="114"/>
      <c r="Z1235" s="114"/>
    </row>
    <row r="1236" spans="1:26" ht="15.75" customHeight="1" x14ac:dyDescent="0.25">
      <c r="A1236" s="44" t="s">
        <v>1095</v>
      </c>
      <c r="B1236" s="41"/>
      <c r="C1236" s="43"/>
      <c r="D1236" s="43"/>
      <c r="E1236" s="43"/>
      <c r="F1236" s="43"/>
      <c r="G1236" s="43"/>
      <c r="H1236" s="114"/>
      <c r="I1236" s="60">
        <v>500000</v>
      </c>
      <c r="J1236" s="60"/>
      <c r="K1236" s="114"/>
      <c r="L1236" s="114"/>
      <c r="M1236" s="60"/>
      <c r="N1236" s="60"/>
      <c r="O1236" s="114"/>
      <c r="P1236" s="114"/>
      <c r="Q1236" s="114"/>
      <c r="R1236" s="114"/>
      <c r="S1236" s="114"/>
      <c r="T1236" s="114"/>
      <c r="U1236" s="114"/>
      <c r="V1236" s="114"/>
      <c r="W1236" s="114"/>
      <c r="X1236" s="114"/>
      <c r="Y1236" s="114"/>
      <c r="Z1236" s="114"/>
    </row>
    <row r="1237" spans="1:26" ht="15.75" customHeight="1" x14ac:dyDescent="0.25">
      <c r="A1237" s="44" t="s">
        <v>1096</v>
      </c>
      <c r="B1237" s="41"/>
      <c r="C1237" s="43"/>
      <c r="D1237" s="43"/>
      <c r="E1237" s="43"/>
      <c r="F1237" s="43"/>
      <c r="G1237" s="43"/>
      <c r="H1237" s="114"/>
      <c r="I1237" s="60">
        <v>299700</v>
      </c>
      <c r="J1237" s="60"/>
      <c r="K1237" s="114"/>
      <c r="L1237" s="114"/>
      <c r="M1237" s="60"/>
      <c r="N1237" s="60"/>
      <c r="O1237" s="114"/>
      <c r="P1237" s="114"/>
      <c r="Q1237" s="114"/>
      <c r="R1237" s="114"/>
      <c r="S1237" s="114"/>
      <c r="T1237" s="114"/>
      <c r="U1237" s="114"/>
      <c r="V1237" s="114"/>
      <c r="W1237" s="114"/>
      <c r="X1237" s="114"/>
      <c r="Y1237" s="114"/>
      <c r="Z1237" s="114"/>
    </row>
    <row r="1238" spans="1:26" ht="15.75" customHeight="1" x14ac:dyDescent="0.25">
      <c r="A1238" s="44" t="s">
        <v>1097</v>
      </c>
      <c r="B1238" s="41"/>
      <c r="C1238" s="43"/>
      <c r="D1238" s="43"/>
      <c r="E1238" s="43"/>
      <c r="F1238" s="43"/>
      <c r="G1238" s="43"/>
      <c r="H1238" s="114"/>
      <c r="I1238" s="60">
        <v>361860</v>
      </c>
      <c r="J1238" s="60"/>
      <c r="K1238" s="114"/>
      <c r="L1238" s="114"/>
      <c r="M1238" s="60"/>
      <c r="N1238" s="60"/>
      <c r="O1238" s="114"/>
      <c r="P1238" s="114"/>
      <c r="Q1238" s="114"/>
      <c r="R1238" s="114"/>
      <c r="S1238" s="114"/>
      <c r="T1238" s="114"/>
      <c r="U1238" s="114"/>
      <c r="V1238" s="114"/>
      <c r="W1238" s="114"/>
      <c r="X1238" s="114"/>
      <c r="Y1238" s="114"/>
      <c r="Z1238" s="114"/>
    </row>
    <row r="1239" spans="1:26" ht="15.75" customHeight="1" x14ac:dyDescent="0.25">
      <c r="A1239" s="44" t="s">
        <v>1098</v>
      </c>
      <c r="B1239" s="41"/>
      <c r="C1239" s="43"/>
      <c r="D1239" s="43"/>
      <c r="E1239" s="43"/>
      <c r="F1239" s="43"/>
      <c r="G1239" s="43"/>
      <c r="H1239" s="114"/>
      <c r="I1239" s="60">
        <v>500000</v>
      </c>
      <c r="J1239" s="60"/>
      <c r="K1239" s="114"/>
      <c r="L1239" s="114"/>
      <c r="M1239" s="60"/>
      <c r="N1239" s="60"/>
      <c r="O1239" s="114"/>
      <c r="P1239" s="114"/>
      <c r="Q1239" s="114"/>
      <c r="R1239" s="114"/>
      <c r="S1239" s="114"/>
      <c r="T1239" s="114"/>
      <c r="U1239" s="114"/>
      <c r="V1239" s="114"/>
      <c r="W1239" s="114"/>
      <c r="X1239" s="114"/>
      <c r="Y1239" s="114"/>
      <c r="Z1239" s="114"/>
    </row>
    <row r="1240" spans="1:26" ht="15.75" customHeight="1" x14ac:dyDescent="0.25">
      <c r="A1240" s="44" t="s">
        <v>1099</v>
      </c>
      <c r="B1240" s="41"/>
      <c r="C1240" s="43"/>
      <c r="D1240" s="43"/>
      <c r="E1240" s="43"/>
      <c r="F1240" s="43"/>
      <c r="G1240" s="43"/>
      <c r="H1240" s="114"/>
      <c r="I1240" s="60">
        <v>600000</v>
      </c>
      <c r="J1240" s="60"/>
      <c r="K1240" s="114"/>
      <c r="L1240" s="114"/>
      <c r="M1240" s="60"/>
      <c r="N1240" s="60"/>
      <c r="O1240" s="114"/>
      <c r="P1240" s="114"/>
      <c r="Q1240" s="114"/>
      <c r="R1240" s="114"/>
      <c r="S1240" s="114"/>
      <c r="T1240" s="114"/>
      <c r="U1240" s="114"/>
      <c r="V1240" s="114"/>
      <c r="W1240" s="114"/>
      <c r="X1240" s="114"/>
      <c r="Y1240" s="114"/>
      <c r="Z1240" s="114"/>
    </row>
    <row r="1241" spans="1:26" ht="15.75" customHeight="1" x14ac:dyDescent="0.25">
      <c r="A1241" s="44" t="s">
        <v>1100</v>
      </c>
      <c r="B1241" s="41"/>
      <c r="C1241" s="43"/>
      <c r="D1241" s="43"/>
      <c r="E1241" s="43"/>
      <c r="F1241" s="43"/>
      <c r="G1241" s="43"/>
      <c r="H1241" s="114"/>
      <c r="I1241" s="60">
        <v>250000</v>
      </c>
      <c r="J1241" s="60"/>
      <c r="K1241" s="114"/>
      <c r="L1241" s="114"/>
      <c r="M1241" s="60"/>
      <c r="N1241" s="60"/>
      <c r="O1241" s="114"/>
      <c r="P1241" s="114"/>
      <c r="Q1241" s="114"/>
      <c r="R1241" s="114"/>
      <c r="S1241" s="114"/>
      <c r="T1241" s="114"/>
      <c r="U1241" s="114"/>
      <c r="V1241" s="114"/>
      <c r="W1241" s="114"/>
      <c r="X1241" s="114"/>
      <c r="Y1241" s="114"/>
      <c r="Z1241" s="114"/>
    </row>
    <row r="1242" spans="1:26" ht="15.75" customHeight="1" x14ac:dyDescent="0.25">
      <c r="A1242" s="44" t="s">
        <v>1101</v>
      </c>
      <c r="B1242" s="41"/>
      <c r="C1242" s="43"/>
      <c r="D1242" s="43"/>
      <c r="E1242" s="43"/>
      <c r="F1242" s="43"/>
      <c r="G1242" s="43"/>
      <c r="H1242" s="114"/>
      <c r="I1242" s="60">
        <v>309448</v>
      </c>
      <c r="J1242" s="60"/>
      <c r="K1242" s="114"/>
      <c r="L1242" s="114"/>
      <c r="M1242" s="60"/>
      <c r="N1242" s="60"/>
      <c r="O1242" s="114"/>
      <c r="P1242" s="114"/>
      <c r="Q1242" s="114"/>
      <c r="R1242" s="114"/>
      <c r="S1242" s="114"/>
      <c r="T1242" s="114"/>
      <c r="U1242" s="114"/>
      <c r="V1242" s="114"/>
      <c r="W1242" s="114"/>
      <c r="X1242" s="114"/>
      <c r="Y1242" s="114"/>
      <c r="Z1242" s="114"/>
    </row>
    <row r="1243" spans="1:26" ht="15.75" customHeight="1" x14ac:dyDescent="0.25">
      <c r="A1243" s="44" t="s">
        <v>885</v>
      </c>
      <c r="B1243" s="41"/>
      <c r="C1243" s="43"/>
      <c r="D1243" s="43"/>
      <c r="E1243" s="43"/>
      <c r="F1243" s="43"/>
      <c r="G1243" s="43"/>
      <c r="H1243" s="114"/>
      <c r="I1243" s="60"/>
      <c r="J1243" s="60"/>
      <c r="K1243" s="114"/>
      <c r="L1243" s="114"/>
      <c r="M1243" s="60"/>
      <c r="N1243" s="60"/>
      <c r="O1243" s="114"/>
      <c r="P1243" s="114"/>
      <c r="Q1243" s="114"/>
      <c r="R1243" s="114"/>
      <c r="S1243" s="114"/>
      <c r="T1243" s="114"/>
      <c r="U1243" s="114"/>
      <c r="V1243" s="114"/>
      <c r="W1243" s="114"/>
      <c r="X1243" s="114"/>
      <c r="Y1243" s="114"/>
      <c r="Z1243" s="114"/>
    </row>
    <row r="1244" spans="1:26" ht="15.75" customHeight="1" x14ac:dyDescent="0.25">
      <c r="A1244" s="44" t="s">
        <v>1102</v>
      </c>
      <c r="B1244" s="41"/>
      <c r="C1244" s="43"/>
      <c r="D1244" s="43"/>
      <c r="E1244" s="43"/>
      <c r="F1244" s="43"/>
      <c r="G1244" s="43"/>
      <c r="H1244" s="114"/>
      <c r="I1244" s="60">
        <v>178992</v>
      </c>
      <c r="J1244" s="60">
        <f>SUM(I1236:I1244)</f>
        <v>3000000</v>
      </c>
      <c r="K1244" s="114"/>
      <c r="L1244" s="114"/>
      <c r="M1244" s="60"/>
      <c r="N1244" s="60"/>
      <c r="O1244" s="114"/>
      <c r="P1244" s="114"/>
      <c r="Q1244" s="114"/>
      <c r="R1244" s="114"/>
      <c r="S1244" s="114"/>
      <c r="T1244" s="114"/>
      <c r="U1244" s="114"/>
      <c r="V1244" s="114"/>
      <c r="W1244" s="114"/>
      <c r="X1244" s="114"/>
      <c r="Y1244" s="114"/>
      <c r="Z1244" s="114"/>
    </row>
    <row r="1245" spans="1:26" ht="15.75" customHeight="1" x14ac:dyDescent="0.25">
      <c r="A1245" s="42" t="s">
        <v>466</v>
      </c>
      <c r="B1245" s="41"/>
      <c r="C1245" s="54">
        <f t="shared" ref="C1245:D1245" si="209">SUM(C1235)</f>
        <v>0</v>
      </c>
      <c r="D1245" s="54">
        <f t="shared" si="209"/>
        <v>0</v>
      </c>
      <c r="E1245" s="54">
        <f>F1245-D1245</f>
        <v>3000000</v>
      </c>
      <c r="F1245" s="54">
        <f>SUM(F1235)</f>
        <v>3000000</v>
      </c>
      <c r="G1245" s="54">
        <f>G1235</f>
        <v>3000000</v>
      </c>
      <c r="H1245" s="114"/>
      <c r="I1245" s="60"/>
      <c r="J1245" s="60"/>
      <c r="K1245" s="114"/>
      <c r="L1245" s="114"/>
      <c r="M1245" s="60"/>
      <c r="N1245" s="60"/>
      <c r="O1245" s="114"/>
      <c r="P1245" s="114"/>
      <c r="Q1245" s="114"/>
      <c r="R1245" s="114"/>
      <c r="S1245" s="114"/>
      <c r="T1245" s="114"/>
      <c r="U1245" s="114"/>
      <c r="V1245" s="114"/>
      <c r="W1245" s="114"/>
      <c r="X1245" s="114"/>
      <c r="Y1245" s="114"/>
      <c r="Z1245" s="114"/>
    </row>
    <row r="1246" spans="1:26" ht="15.75" customHeight="1" x14ac:dyDescent="0.25">
      <c r="A1246" s="17"/>
      <c r="B1246" s="41"/>
      <c r="C1246" s="55"/>
      <c r="D1246" s="55"/>
      <c r="E1246" s="43"/>
      <c r="F1246" s="55"/>
      <c r="G1246" s="55"/>
      <c r="H1246" s="114"/>
      <c r="I1246" s="60"/>
      <c r="J1246" s="60"/>
      <c r="K1246" s="114"/>
      <c r="L1246" s="114"/>
      <c r="M1246" s="60"/>
      <c r="N1246" s="60"/>
      <c r="O1246" s="114"/>
      <c r="P1246" s="114"/>
      <c r="Q1246" s="114"/>
      <c r="R1246" s="114"/>
      <c r="S1246" s="114"/>
      <c r="T1246" s="114"/>
      <c r="U1246" s="114"/>
      <c r="V1246" s="114"/>
      <c r="W1246" s="114"/>
      <c r="X1246" s="114"/>
      <c r="Y1246" s="114"/>
      <c r="Z1246" s="114"/>
    </row>
    <row r="1247" spans="1:26" ht="15.75" customHeight="1" x14ac:dyDescent="0.25">
      <c r="A1247" s="17" t="s">
        <v>467</v>
      </c>
      <c r="B1247" s="41"/>
      <c r="C1247" s="43">
        <f t="shared" ref="C1247:D1247" si="210">C1245</f>
        <v>0</v>
      </c>
      <c r="D1247" s="43">
        <f t="shared" si="210"/>
        <v>0</v>
      </c>
      <c r="E1247" s="43">
        <f>F1247-D1247</f>
        <v>3000000</v>
      </c>
      <c r="F1247" s="43">
        <f t="shared" ref="F1247:G1247" si="211">F1245</f>
        <v>3000000</v>
      </c>
      <c r="G1247" s="43">
        <f t="shared" si="211"/>
        <v>3000000</v>
      </c>
      <c r="H1247" s="114"/>
      <c r="I1247" s="60"/>
      <c r="J1247" s="60"/>
      <c r="K1247" s="114"/>
      <c r="L1247" s="114"/>
      <c r="M1247" s="60"/>
      <c r="N1247" s="60"/>
      <c r="O1247" s="114"/>
      <c r="P1247" s="114"/>
      <c r="Q1247" s="114"/>
      <c r="R1247" s="114"/>
      <c r="S1247" s="114"/>
      <c r="T1247" s="114"/>
      <c r="U1247" s="114"/>
      <c r="V1247" s="114"/>
      <c r="W1247" s="114"/>
      <c r="X1247" s="114"/>
      <c r="Y1247" s="114"/>
      <c r="Z1247" s="114"/>
    </row>
    <row r="1248" spans="1:26" ht="15.75" customHeight="1" x14ac:dyDescent="0.25">
      <c r="A1248" s="17"/>
      <c r="B1248" s="41"/>
      <c r="C1248" s="43"/>
      <c r="D1248" s="43"/>
      <c r="E1248" s="43"/>
      <c r="F1248" s="43"/>
      <c r="G1248" s="43"/>
      <c r="H1248" s="114"/>
      <c r="I1248" s="60"/>
      <c r="J1248" s="60"/>
      <c r="K1248" s="114"/>
      <c r="L1248" s="114"/>
      <c r="M1248" s="60"/>
      <c r="N1248" s="60"/>
      <c r="O1248" s="114"/>
      <c r="P1248" s="114"/>
      <c r="Q1248" s="114"/>
      <c r="R1248" s="114"/>
      <c r="S1248" s="114"/>
      <c r="T1248" s="114"/>
      <c r="U1248" s="114"/>
      <c r="V1248" s="114"/>
      <c r="W1248" s="114"/>
      <c r="X1248" s="114"/>
      <c r="Y1248" s="114"/>
      <c r="Z1248" s="114"/>
    </row>
    <row r="1249" spans="1:26" ht="15.75" customHeight="1" x14ac:dyDescent="0.25">
      <c r="A1249" s="50" t="s">
        <v>487</v>
      </c>
      <c r="B1249" s="51" t="s">
        <v>488</v>
      </c>
      <c r="C1249" s="54">
        <f t="shared" ref="C1249:D1249" si="212">C1247</f>
        <v>0</v>
      </c>
      <c r="D1249" s="54">
        <f t="shared" si="212"/>
        <v>0</v>
      </c>
      <c r="E1249" s="54">
        <f>F1249-D1249</f>
        <v>3000000</v>
      </c>
      <c r="F1249" s="54">
        <f t="shared" ref="F1249:G1249" si="213">F1247</f>
        <v>3000000</v>
      </c>
      <c r="G1249" s="54">
        <f t="shared" si="213"/>
        <v>3000000</v>
      </c>
      <c r="H1249" s="114"/>
      <c r="I1249" s="60"/>
      <c r="J1249" s="60"/>
      <c r="K1249" s="114"/>
      <c r="L1249" s="114"/>
      <c r="M1249" s="60"/>
      <c r="N1249" s="60"/>
      <c r="O1249" s="114"/>
      <c r="P1249" s="114"/>
      <c r="Q1249" s="114"/>
      <c r="R1249" s="114"/>
      <c r="S1249" s="114"/>
      <c r="T1249" s="114"/>
      <c r="U1249" s="114"/>
      <c r="V1249" s="114"/>
      <c r="W1249" s="114"/>
      <c r="X1249" s="114"/>
      <c r="Y1249" s="114"/>
      <c r="Z1249" s="114"/>
    </row>
    <row r="1250" spans="1:26" ht="15.75" customHeight="1" x14ac:dyDescent="0.25">
      <c r="A1250" s="24"/>
      <c r="B1250" s="25"/>
      <c r="C1250" s="26"/>
      <c r="D1250" s="26"/>
      <c r="E1250" s="26"/>
      <c r="F1250" s="26"/>
      <c r="G1250" s="26"/>
      <c r="H1250" s="114"/>
      <c r="I1250" s="60"/>
      <c r="J1250" s="60"/>
      <c r="K1250" s="114"/>
      <c r="L1250" s="114"/>
      <c r="M1250" s="60"/>
      <c r="N1250" s="60"/>
      <c r="O1250" s="114"/>
      <c r="P1250" s="114"/>
      <c r="Q1250" s="114"/>
      <c r="R1250" s="114"/>
      <c r="S1250" s="114"/>
      <c r="T1250" s="114"/>
      <c r="U1250" s="114"/>
      <c r="V1250" s="114"/>
      <c r="W1250" s="114"/>
      <c r="X1250" s="114"/>
      <c r="Y1250" s="114"/>
      <c r="Z1250" s="114"/>
    </row>
    <row r="1251" spans="1:26" ht="15.75" customHeight="1" x14ac:dyDescent="0.25">
      <c r="A1251" s="24"/>
      <c r="B1251" s="25"/>
      <c r="C1251" s="24"/>
      <c r="D1251" s="24"/>
      <c r="E1251" s="24"/>
      <c r="F1251" s="15"/>
      <c r="G1251" s="15"/>
      <c r="H1251" s="15"/>
      <c r="I1251" s="16"/>
      <c r="J1251" s="16"/>
      <c r="K1251" s="15"/>
      <c r="L1251" s="15"/>
      <c r="M1251" s="16"/>
      <c r="N1251" s="16"/>
      <c r="O1251" s="15"/>
      <c r="P1251" s="15"/>
      <c r="Q1251" s="15"/>
      <c r="R1251" s="15"/>
      <c r="S1251" s="15"/>
      <c r="T1251" s="15"/>
      <c r="U1251" s="15"/>
      <c r="V1251" s="15"/>
      <c r="W1251" s="15"/>
      <c r="X1251" s="15"/>
      <c r="Y1251" s="15"/>
      <c r="Z1251" s="15"/>
    </row>
    <row r="1252" spans="1:26" ht="15.75" customHeight="1" x14ac:dyDescent="0.25">
      <c r="A1252" s="9"/>
      <c r="B1252" s="104"/>
      <c r="C1252" s="105"/>
      <c r="D1252" s="105"/>
      <c r="E1252" s="105"/>
      <c r="F1252" s="10"/>
      <c r="G1252" s="180"/>
      <c r="H1252" s="15"/>
      <c r="I1252" s="16"/>
      <c r="J1252" s="16"/>
      <c r="K1252" s="15"/>
      <c r="L1252" s="15"/>
      <c r="M1252" s="16"/>
      <c r="N1252" s="16"/>
      <c r="O1252" s="15"/>
      <c r="P1252" s="15"/>
      <c r="Q1252" s="15"/>
      <c r="R1252" s="15"/>
      <c r="S1252" s="15"/>
      <c r="T1252" s="15"/>
      <c r="U1252" s="15"/>
      <c r="V1252" s="15"/>
      <c r="W1252" s="15"/>
      <c r="X1252" s="15"/>
      <c r="Y1252" s="15"/>
      <c r="Z1252" s="15"/>
    </row>
    <row r="1253" spans="1:26" ht="15.75" customHeight="1" x14ac:dyDescent="0.25">
      <c r="A1253" s="108" t="s">
        <v>1103</v>
      </c>
      <c r="B1253" s="25"/>
      <c r="C1253" s="26"/>
      <c r="D1253" s="26"/>
      <c r="E1253" s="26"/>
      <c r="F1253" s="14"/>
      <c r="G1253" s="181"/>
      <c r="H1253" s="15"/>
      <c r="I1253" s="16"/>
      <c r="J1253" s="16"/>
      <c r="K1253" s="15"/>
      <c r="L1253" s="15"/>
      <c r="M1253" s="16"/>
      <c r="N1253" s="16"/>
      <c r="O1253" s="15"/>
      <c r="P1253" s="15"/>
      <c r="Q1253" s="15"/>
      <c r="R1253" s="15"/>
      <c r="S1253" s="15"/>
      <c r="T1253" s="15"/>
      <c r="U1253" s="15"/>
      <c r="V1253" s="15"/>
      <c r="W1253" s="15"/>
      <c r="X1253" s="15"/>
      <c r="Y1253" s="15"/>
      <c r="Z1253" s="15"/>
    </row>
    <row r="1254" spans="1:26" ht="15.75" customHeight="1" x14ac:dyDescent="0.25">
      <c r="A1254" s="44"/>
      <c r="B1254" s="25"/>
      <c r="C1254" s="26"/>
      <c r="D1254" s="26"/>
      <c r="E1254" s="26"/>
      <c r="F1254" s="14"/>
      <c r="G1254" s="181"/>
      <c r="H1254" s="15"/>
      <c r="I1254" s="16"/>
      <c r="J1254" s="16"/>
      <c r="K1254" s="15"/>
      <c r="L1254" s="15"/>
      <c r="M1254" s="16"/>
      <c r="N1254" s="16"/>
      <c r="O1254" s="15"/>
      <c r="P1254" s="15"/>
      <c r="Q1254" s="15"/>
      <c r="R1254" s="15"/>
      <c r="S1254" s="15"/>
      <c r="T1254" s="15"/>
      <c r="U1254" s="15"/>
      <c r="V1254" s="15"/>
      <c r="W1254" s="15"/>
      <c r="X1254" s="15"/>
      <c r="Y1254" s="15"/>
      <c r="Z1254" s="15"/>
    </row>
    <row r="1255" spans="1:26" ht="15.75" customHeight="1" x14ac:dyDescent="0.25">
      <c r="A1255" s="865" t="s">
        <v>352</v>
      </c>
      <c r="B1255" s="866"/>
      <c r="C1255" s="866"/>
      <c r="D1255" s="866"/>
      <c r="E1255" s="866"/>
      <c r="F1255" s="866"/>
      <c r="G1255" s="867"/>
      <c r="H1255" s="15"/>
      <c r="I1255" s="16"/>
      <c r="J1255" s="16"/>
      <c r="K1255" s="15"/>
      <c r="L1255" s="15"/>
      <c r="M1255" s="16"/>
      <c r="N1255" s="16"/>
      <c r="O1255" s="15"/>
      <c r="P1255" s="15"/>
      <c r="Q1255" s="15"/>
      <c r="R1255" s="15"/>
      <c r="S1255" s="15"/>
      <c r="T1255" s="15"/>
      <c r="U1255" s="15"/>
      <c r="V1255" s="15"/>
      <c r="W1255" s="15"/>
      <c r="X1255" s="15"/>
      <c r="Y1255" s="15"/>
      <c r="Z1255" s="15"/>
    </row>
    <row r="1256" spans="1:26" ht="15.75" customHeight="1" x14ac:dyDescent="0.25">
      <c r="A1256" s="868" t="s">
        <v>353</v>
      </c>
      <c r="B1256" s="857" t="s">
        <v>354</v>
      </c>
      <c r="C1256" s="870" t="s">
        <v>355</v>
      </c>
      <c r="D1256" s="872" t="s">
        <v>356</v>
      </c>
      <c r="E1256" s="873"/>
      <c r="F1256" s="874"/>
      <c r="G1256" s="857" t="s">
        <v>357</v>
      </c>
      <c r="H1256" s="15"/>
      <c r="I1256" s="16"/>
      <c r="J1256" s="16"/>
      <c r="K1256" s="15"/>
      <c r="L1256" s="15"/>
      <c r="M1256" s="16"/>
      <c r="N1256" s="16"/>
      <c r="O1256" s="15"/>
      <c r="P1256" s="15"/>
      <c r="Q1256" s="15"/>
      <c r="R1256" s="15"/>
      <c r="S1256" s="15"/>
      <c r="T1256" s="15"/>
      <c r="U1256" s="15"/>
      <c r="V1256" s="15"/>
      <c r="W1256" s="15"/>
      <c r="X1256" s="15"/>
      <c r="Y1256" s="15"/>
      <c r="Z1256" s="15"/>
    </row>
    <row r="1257" spans="1:26" ht="15.75" customHeight="1" x14ac:dyDescent="0.25">
      <c r="A1257" s="858"/>
      <c r="B1257" s="858"/>
      <c r="C1257" s="871"/>
      <c r="D1257" s="28" t="s">
        <v>358</v>
      </c>
      <c r="E1257" s="29" t="s">
        <v>359</v>
      </c>
      <c r="F1257" s="875" t="s">
        <v>360</v>
      </c>
      <c r="G1257" s="858"/>
      <c r="H1257" s="15"/>
      <c r="I1257" s="16"/>
      <c r="J1257" s="16"/>
      <c r="K1257" s="15"/>
      <c r="L1257" s="15"/>
      <c r="M1257" s="16"/>
      <c r="N1257" s="16"/>
      <c r="O1257" s="15"/>
      <c r="P1257" s="15"/>
      <c r="Q1257" s="15"/>
      <c r="R1257" s="15"/>
      <c r="S1257" s="15"/>
      <c r="T1257" s="15"/>
      <c r="U1257" s="15"/>
      <c r="V1257" s="15"/>
      <c r="W1257" s="15"/>
      <c r="X1257" s="15"/>
      <c r="Y1257" s="15"/>
      <c r="Z1257" s="15"/>
    </row>
    <row r="1258" spans="1:26" ht="15.75" customHeight="1" x14ac:dyDescent="0.25">
      <c r="A1258" s="858"/>
      <c r="B1258" s="858"/>
      <c r="C1258" s="30" t="s">
        <v>361</v>
      </c>
      <c r="D1258" s="31" t="s">
        <v>361</v>
      </c>
      <c r="E1258" s="32" t="s">
        <v>362</v>
      </c>
      <c r="F1258" s="860"/>
      <c r="G1258" s="442" t="s">
        <v>2717</v>
      </c>
      <c r="H1258" s="15"/>
      <c r="I1258" s="16"/>
      <c r="J1258" s="16"/>
      <c r="K1258" s="15"/>
      <c r="L1258" s="15"/>
      <c r="M1258" s="16"/>
      <c r="N1258" s="16"/>
      <c r="O1258" s="15"/>
      <c r="P1258" s="15"/>
      <c r="Q1258" s="15"/>
      <c r="R1258" s="15"/>
      <c r="S1258" s="15"/>
      <c r="T1258" s="15"/>
      <c r="U1258" s="15"/>
      <c r="V1258" s="15"/>
      <c r="W1258" s="15"/>
      <c r="X1258" s="15"/>
      <c r="Y1258" s="15"/>
      <c r="Z1258" s="15"/>
    </row>
    <row r="1259" spans="1:26" ht="15.75" customHeight="1" x14ac:dyDescent="0.25">
      <c r="A1259" s="869"/>
      <c r="B1259" s="869"/>
      <c r="C1259" s="33">
        <v>2024</v>
      </c>
      <c r="D1259" s="34">
        <v>2025</v>
      </c>
      <c r="E1259" s="34">
        <v>2025</v>
      </c>
      <c r="F1259" s="34">
        <v>2025</v>
      </c>
      <c r="G1259" s="36" t="s">
        <v>2668</v>
      </c>
      <c r="H1259" s="15"/>
      <c r="I1259" s="16"/>
      <c r="J1259" s="16"/>
      <c r="K1259" s="15"/>
      <c r="L1259" s="15"/>
      <c r="M1259" s="16"/>
      <c r="N1259" s="16"/>
      <c r="O1259" s="15"/>
      <c r="P1259" s="15"/>
      <c r="Q1259" s="15"/>
      <c r="R1259" s="15"/>
      <c r="S1259" s="15"/>
      <c r="T1259" s="15"/>
      <c r="U1259" s="15"/>
      <c r="V1259" s="15"/>
      <c r="W1259" s="15"/>
      <c r="X1259" s="15"/>
      <c r="Y1259" s="15"/>
      <c r="Z1259" s="15"/>
    </row>
    <row r="1260" spans="1:26" ht="15.75" customHeight="1" x14ac:dyDescent="0.25">
      <c r="A1260" s="9" t="s">
        <v>364</v>
      </c>
      <c r="B1260" s="38"/>
      <c r="C1260" s="42"/>
      <c r="D1260" s="42"/>
      <c r="E1260" s="42"/>
      <c r="F1260" s="42"/>
      <c r="G1260" s="37"/>
      <c r="I1260" s="40"/>
      <c r="J1260" s="40"/>
      <c r="M1260" s="40"/>
      <c r="N1260" s="40"/>
    </row>
    <row r="1261" spans="1:26" ht="15.75" customHeight="1" x14ac:dyDescent="0.25">
      <c r="A1261" s="42" t="s">
        <v>491</v>
      </c>
      <c r="B1261" s="49"/>
      <c r="C1261" s="43"/>
      <c r="D1261" s="43"/>
      <c r="E1261" s="43"/>
      <c r="F1261" s="43"/>
      <c r="G1261" s="43"/>
      <c r="H1261" s="114"/>
      <c r="I1261" s="60"/>
      <c r="J1261" s="60"/>
      <c r="K1261" s="114"/>
      <c r="L1261" s="114"/>
      <c r="M1261" s="60"/>
      <c r="N1261" s="60"/>
      <c r="O1261" s="114"/>
      <c r="P1261" s="114"/>
      <c r="Q1261" s="114"/>
      <c r="R1261" s="114"/>
      <c r="S1261" s="114"/>
      <c r="T1261" s="114"/>
      <c r="U1261" s="114"/>
      <c r="V1261" s="114"/>
      <c r="W1261" s="114"/>
      <c r="X1261" s="114"/>
      <c r="Y1261" s="114"/>
      <c r="Z1261" s="114"/>
    </row>
    <row r="1262" spans="1:26" ht="15.75" customHeight="1" x14ac:dyDescent="0.25">
      <c r="A1262" s="17" t="s">
        <v>499</v>
      </c>
      <c r="B1262" s="41"/>
      <c r="C1262" s="43"/>
      <c r="D1262" s="43"/>
      <c r="E1262" s="43"/>
      <c r="F1262" s="43"/>
      <c r="G1262" s="43"/>
      <c r="H1262" s="114"/>
      <c r="I1262" s="60"/>
      <c r="J1262" s="60"/>
      <c r="K1262" s="114"/>
      <c r="L1262" s="114"/>
      <c r="M1262" s="60"/>
      <c r="N1262" s="60"/>
      <c r="O1262" s="114"/>
      <c r="P1262" s="114"/>
      <c r="Q1262" s="114"/>
      <c r="R1262" s="114"/>
      <c r="S1262" s="114"/>
      <c r="T1262" s="114"/>
      <c r="U1262" s="114"/>
      <c r="V1262" s="114"/>
      <c r="W1262" s="114"/>
      <c r="X1262" s="114"/>
      <c r="Y1262" s="114"/>
      <c r="Z1262" s="114"/>
    </row>
    <row r="1263" spans="1:26" ht="15.75" customHeight="1" x14ac:dyDescent="0.25">
      <c r="A1263" s="44" t="s">
        <v>398</v>
      </c>
      <c r="B1263" s="41" t="s">
        <v>195</v>
      </c>
      <c r="C1263" s="43">
        <v>30830.880000000001</v>
      </c>
      <c r="D1263" s="43">
        <v>14983.93</v>
      </c>
      <c r="E1263" s="43">
        <f>F1263-D1263</f>
        <v>15430.07</v>
      </c>
      <c r="F1263" s="43">
        <v>30414</v>
      </c>
      <c r="G1263" s="43">
        <v>27910</v>
      </c>
      <c r="H1263" s="114"/>
      <c r="I1263" s="60"/>
      <c r="J1263" s="60"/>
      <c r="K1263" s="114"/>
      <c r="L1263" s="114"/>
      <c r="M1263" s="60"/>
      <c r="N1263" s="60"/>
      <c r="O1263" s="114"/>
      <c r="P1263" s="114"/>
      <c r="Q1263" s="114"/>
      <c r="R1263" s="114"/>
      <c r="S1263" s="114"/>
      <c r="T1263" s="114"/>
      <c r="U1263" s="114"/>
      <c r="V1263" s="114"/>
      <c r="W1263" s="114"/>
      <c r="X1263" s="114"/>
      <c r="Y1263" s="114"/>
      <c r="Z1263" s="114"/>
    </row>
    <row r="1264" spans="1:26" ht="15.75" customHeight="1" x14ac:dyDescent="0.25">
      <c r="A1264" s="44" t="s">
        <v>400</v>
      </c>
      <c r="B1264" s="41" t="s">
        <v>223</v>
      </c>
      <c r="C1264" s="43">
        <v>0</v>
      </c>
      <c r="D1264" s="43">
        <v>0</v>
      </c>
      <c r="E1264" s="43">
        <v>0</v>
      </c>
      <c r="F1264" s="43">
        <v>0</v>
      </c>
      <c r="G1264" s="43">
        <v>34450</v>
      </c>
      <c r="H1264" s="114"/>
      <c r="I1264" s="60"/>
      <c r="J1264" s="60"/>
      <c r="K1264" s="114"/>
      <c r="L1264" s="114"/>
      <c r="M1264" s="60"/>
      <c r="N1264" s="60"/>
      <c r="O1264" s="114"/>
      <c r="P1264" s="114"/>
      <c r="Q1264" s="114"/>
      <c r="R1264" s="114"/>
      <c r="S1264" s="114"/>
      <c r="T1264" s="114"/>
      <c r="U1264" s="114"/>
      <c r="V1264" s="114"/>
      <c r="W1264" s="114"/>
      <c r="X1264" s="114"/>
      <c r="Y1264" s="114"/>
      <c r="Z1264" s="114"/>
    </row>
    <row r="1265" spans="1:26" ht="15.75" customHeight="1" x14ac:dyDescent="0.25">
      <c r="A1265" s="44" t="s">
        <v>402</v>
      </c>
      <c r="B1265" s="41" t="s">
        <v>225</v>
      </c>
      <c r="C1265" s="43">
        <v>6137373</v>
      </c>
      <c r="D1265" s="43">
        <v>2984045</v>
      </c>
      <c r="E1265" s="43">
        <f>F1265-D1265</f>
        <v>2985652</v>
      </c>
      <c r="F1265" s="43">
        <v>5969697</v>
      </c>
      <c r="G1265" s="43">
        <v>7715240</v>
      </c>
      <c r="H1265" s="114"/>
      <c r="I1265" s="60"/>
      <c r="J1265" s="60"/>
      <c r="K1265" s="114"/>
      <c r="L1265" s="114"/>
      <c r="M1265" s="60"/>
      <c r="N1265" s="60"/>
      <c r="O1265" s="114"/>
      <c r="P1265" s="114"/>
      <c r="Q1265" s="114"/>
      <c r="R1265" s="114"/>
      <c r="S1265" s="114"/>
      <c r="T1265" s="114"/>
      <c r="U1265" s="114"/>
      <c r="V1265" s="114"/>
      <c r="W1265" s="114"/>
      <c r="X1265" s="114"/>
      <c r="Y1265" s="114"/>
      <c r="Z1265" s="114"/>
    </row>
    <row r="1266" spans="1:26" ht="15.75" customHeight="1" x14ac:dyDescent="0.25">
      <c r="A1266" s="17" t="s">
        <v>503</v>
      </c>
      <c r="B1266" s="41"/>
      <c r="C1266" s="43"/>
      <c r="D1266" s="43"/>
      <c r="E1266" s="43"/>
      <c r="F1266" s="43"/>
      <c r="G1266" s="43"/>
      <c r="H1266" s="114"/>
      <c r="I1266" s="60"/>
      <c r="J1266" s="60"/>
      <c r="K1266" s="114"/>
      <c r="L1266" s="114"/>
      <c r="M1266" s="60"/>
      <c r="N1266" s="60"/>
      <c r="O1266" s="114"/>
      <c r="P1266" s="114"/>
      <c r="Q1266" s="114"/>
      <c r="R1266" s="114"/>
      <c r="S1266" s="114"/>
      <c r="T1266" s="114"/>
      <c r="U1266" s="114"/>
      <c r="V1266" s="114"/>
      <c r="W1266" s="114"/>
      <c r="X1266" s="114"/>
      <c r="Y1266" s="114"/>
      <c r="Z1266" s="114"/>
    </row>
    <row r="1267" spans="1:26" ht="15.75" customHeight="1" x14ac:dyDescent="0.25">
      <c r="A1267" s="44" t="s">
        <v>405</v>
      </c>
      <c r="B1267" s="41" t="s">
        <v>235</v>
      </c>
      <c r="C1267" s="43">
        <v>29369.55</v>
      </c>
      <c r="D1267" s="43">
        <v>14693.7</v>
      </c>
      <c r="E1267" s="43">
        <f>F1267-D1267</f>
        <v>14706.3</v>
      </c>
      <c r="F1267" s="43">
        <v>29400</v>
      </c>
      <c r="G1267" s="43">
        <v>29400</v>
      </c>
      <c r="H1267" s="114"/>
      <c r="I1267" s="60"/>
      <c r="J1267" s="60"/>
      <c r="K1267" s="114"/>
      <c r="L1267" s="114"/>
      <c r="M1267" s="60"/>
      <c r="N1267" s="60"/>
      <c r="O1267" s="114"/>
      <c r="P1267" s="114"/>
      <c r="Q1267" s="114"/>
      <c r="R1267" s="114"/>
      <c r="S1267" s="114"/>
      <c r="T1267" s="114"/>
      <c r="U1267" s="114"/>
      <c r="V1267" s="114"/>
      <c r="W1267" s="114"/>
      <c r="X1267" s="114"/>
      <c r="Y1267" s="114"/>
      <c r="Z1267" s="114"/>
    </row>
    <row r="1268" spans="1:26" ht="15.75" customHeight="1" x14ac:dyDescent="0.25">
      <c r="A1268" s="17" t="s">
        <v>511</v>
      </c>
      <c r="B1268" s="41"/>
      <c r="C1268" s="43"/>
      <c r="D1268" s="43"/>
      <c r="E1268" s="43"/>
      <c r="F1268" s="43"/>
      <c r="G1268" s="43"/>
      <c r="H1268" s="114"/>
      <c r="I1268" s="60"/>
      <c r="J1268" s="60"/>
      <c r="K1268" s="114"/>
      <c r="L1268" s="114"/>
      <c r="M1268" s="60"/>
      <c r="N1268" s="60"/>
      <c r="O1268" s="114"/>
      <c r="P1268" s="114"/>
      <c r="Q1268" s="114"/>
      <c r="R1268" s="114"/>
      <c r="S1268" s="114"/>
      <c r="T1268" s="114"/>
      <c r="U1268" s="114"/>
      <c r="V1268" s="114"/>
      <c r="W1268" s="114"/>
      <c r="X1268" s="114"/>
      <c r="Y1268" s="114"/>
      <c r="Z1268" s="114"/>
    </row>
    <row r="1269" spans="1:26" ht="15.75" customHeight="1" x14ac:dyDescent="0.25">
      <c r="A1269" s="44" t="s">
        <v>836</v>
      </c>
      <c r="B1269" s="41" t="s">
        <v>327</v>
      </c>
      <c r="C1269" s="43">
        <v>220500</v>
      </c>
      <c r="D1269" s="43">
        <v>147000</v>
      </c>
      <c r="E1269" s="43">
        <f t="shared" ref="E1269:E1270" si="214">F1269-D1269</f>
        <v>147000</v>
      </c>
      <c r="F1269" s="43">
        <v>294000</v>
      </c>
      <c r="G1269" s="43">
        <v>294000</v>
      </c>
      <c r="H1269" s="114"/>
      <c r="I1269" s="60"/>
      <c r="J1269" s="60"/>
      <c r="K1269" s="114"/>
      <c r="L1269" s="114"/>
      <c r="M1269" s="60"/>
      <c r="N1269" s="60"/>
      <c r="O1269" s="114"/>
      <c r="P1269" s="114"/>
      <c r="Q1269" s="114"/>
      <c r="R1269" s="114"/>
      <c r="S1269" s="114"/>
      <c r="T1269" s="114"/>
      <c r="U1269" s="114"/>
      <c r="V1269" s="114"/>
      <c r="W1269" s="114"/>
      <c r="X1269" s="114"/>
      <c r="Y1269" s="114"/>
      <c r="Z1269" s="114"/>
    </row>
    <row r="1270" spans="1:26" ht="15.75" customHeight="1" x14ac:dyDescent="0.25">
      <c r="A1270" s="44" t="s">
        <v>424</v>
      </c>
      <c r="B1270" s="41" t="s">
        <v>335</v>
      </c>
      <c r="C1270" s="43">
        <v>1734841</v>
      </c>
      <c r="D1270" s="43">
        <v>818736</v>
      </c>
      <c r="E1270" s="43">
        <f t="shared" si="214"/>
        <v>1172784</v>
      </c>
      <c r="F1270" s="43">
        <v>1991520</v>
      </c>
      <c r="G1270" s="43">
        <v>3282552</v>
      </c>
      <c r="H1270" s="114"/>
      <c r="I1270" s="60"/>
      <c r="J1270" s="60"/>
      <c r="K1270" s="114"/>
      <c r="L1270" s="114"/>
      <c r="M1270" s="60"/>
      <c r="N1270" s="60"/>
      <c r="O1270" s="114"/>
      <c r="P1270" s="114"/>
      <c r="Q1270" s="114"/>
      <c r="R1270" s="114"/>
      <c r="S1270" s="114"/>
      <c r="T1270" s="114"/>
      <c r="U1270" s="114"/>
      <c r="V1270" s="114"/>
      <c r="W1270" s="114"/>
      <c r="X1270" s="114"/>
      <c r="Y1270" s="114"/>
      <c r="Z1270" s="114"/>
    </row>
    <row r="1271" spans="1:26" ht="15.75" customHeight="1" x14ac:dyDescent="0.25">
      <c r="A1271" s="44" t="s">
        <v>885</v>
      </c>
      <c r="B1271" s="41"/>
      <c r="C1271" s="43"/>
      <c r="D1271" s="43"/>
      <c r="E1271" s="43"/>
      <c r="F1271" s="43"/>
      <c r="G1271" s="43"/>
      <c r="H1271" s="114"/>
      <c r="I1271" s="210" t="s">
        <v>877</v>
      </c>
      <c r="J1271" s="211" t="s">
        <v>878</v>
      </c>
      <c r="K1271" s="210" t="s">
        <v>879</v>
      </c>
      <c r="L1271" s="8" t="s">
        <v>880</v>
      </c>
      <c r="M1271" s="210" t="s">
        <v>881</v>
      </c>
      <c r="N1271" s="60"/>
      <c r="O1271" s="114"/>
      <c r="P1271" s="114"/>
      <c r="Q1271" s="114"/>
      <c r="R1271" s="114"/>
      <c r="S1271" s="114"/>
      <c r="T1271" s="114"/>
      <c r="U1271" s="114"/>
      <c r="V1271" s="114"/>
      <c r="W1271" s="114"/>
      <c r="X1271" s="114"/>
      <c r="Y1271" s="114"/>
      <c r="Z1271" s="114"/>
    </row>
    <row r="1272" spans="1:26" ht="31.5" x14ac:dyDescent="0.25">
      <c r="A1272" s="118" t="s">
        <v>1104</v>
      </c>
      <c r="B1272" s="41"/>
      <c r="C1272" s="43"/>
      <c r="D1272" s="43"/>
      <c r="E1272" s="43"/>
      <c r="F1272" s="43"/>
      <c r="G1272" s="43"/>
      <c r="H1272" s="114"/>
      <c r="I1272" s="60">
        <v>861</v>
      </c>
      <c r="J1272" s="211">
        <v>1</v>
      </c>
      <c r="K1272" s="8">
        <v>26</v>
      </c>
      <c r="L1272" s="8">
        <v>12</v>
      </c>
      <c r="M1272" s="60">
        <f t="shared" ref="M1272:M1277" si="215">I1272*J1272*K1272*L1272</f>
        <v>268632</v>
      </c>
      <c r="N1272" s="60"/>
      <c r="O1272" s="114"/>
      <c r="P1272" s="114"/>
      <c r="Q1272" s="114"/>
      <c r="R1272" s="114"/>
      <c r="S1272" s="114"/>
      <c r="T1272" s="114"/>
      <c r="U1272" s="114"/>
      <c r="V1272" s="114"/>
      <c r="W1272" s="114"/>
      <c r="X1272" s="114"/>
      <c r="Y1272" s="114"/>
      <c r="Z1272" s="114"/>
    </row>
    <row r="1273" spans="1:26" ht="31.5" x14ac:dyDescent="0.25">
      <c r="A1273" s="612" t="s">
        <v>1105</v>
      </c>
      <c r="B1273" s="483"/>
      <c r="C1273" s="457"/>
      <c r="D1273" s="457"/>
      <c r="E1273" s="457"/>
      <c r="F1273" s="457"/>
      <c r="G1273" s="457"/>
      <c r="H1273" s="114"/>
      <c r="I1273" s="60">
        <v>678</v>
      </c>
      <c r="J1273" s="211">
        <v>2</v>
      </c>
      <c r="K1273" s="8">
        <v>26</v>
      </c>
      <c r="L1273" s="8">
        <v>12</v>
      </c>
      <c r="M1273" s="60">
        <f t="shared" si="215"/>
        <v>423072</v>
      </c>
      <c r="N1273" s="60"/>
      <c r="O1273" s="114"/>
      <c r="P1273" s="114"/>
      <c r="Q1273" s="114"/>
      <c r="R1273" s="114"/>
      <c r="S1273" s="114"/>
      <c r="T1273" s="114"/>
      <c r="U1273" s="114"/>
      <c r="V1273" s="114"/>
      <c r="W1273" s="114"/>
      <c r="X1273" s="114"/>
      <c r="Y1273" s="114"/>
      <c r="Z1273" s="114"/>
    </row>
    <row r="1274" spans="1:26" ht="31.5" x14ac:dyDescent="0.25">
      <c r="A1274" s="614" t="s">
        <v>1106</v>
      </c>
      <c r="B1274" s="601"/>
      <c r="C1274" s="448"/>
      <c r="D1274" s="448"/>
      <c r="E1274" s="448"/>
      <c r="F1274" s="448"/>
      <c r="G1274" s="448"/>
      <c r="H1274" s="114"/>
      <c r="I1274" s="60">
        <v>678</v>
      </c>
      <c r="J1274" s="211">
        <v>2</v>
      </c>
      <c r="K1274" s="8">
        <v>26</v>
      </c>
      <c r="L1274" s="8">
        <v>12</v>
      </c>
      <c r="M1274" s="60">
        <f t="shared" si="215"/>
        <v>423072</v>
      </c>
      <c r="N1274" s="60"/>
      <c r="O1274" s="114"/>
      <c r="P1274" s="114"/>
      <c r="Q1274" s="114"/>
      <c r="R1274" s="114"/>
      <c r="S1274" s="114"/>
      <c r="T1274" s="114"/>
      <c r="U1274" s="114"/>
      <c r="V1274" s="114"/>
      <c r="W1274" s="114"/>
      <c r="X1274" s="114"/>
      <c r="Y1274" s="114"/>
      <c r="Z1274" s="114"/>
    </row>
    <row r="1275" spans="1:26" ht="15.75" customHeight="1" x14ac:dyDescent="0.25">
      <c r="A1275" s="44" t="s">
        <v>1107</v>
      </c>
      <c r="B1275" s="41"/>
      <c r="C1275" s="43"/>
      <c r="D1275" s="43"/>
      <c r="E1275" s="43"/>
      <c r="F1275" s="43"/>
      <c r="G1275" s="43"/>
      <c r="H1275" s="114"/>
      <c r="I1275" s="60">
        <v>720</v>
      </c>
      <c r="J1275" s="211">
        <v>2</v>
      </c>
      <c r="K1275" s="8">
        <v>26</v>
      </c>
      <c r="L1275" s="8">
        <v>12</v>
      </c>
      <c r="M1275" s="60">
        <f t="shared" si="215"/>
        <v>449280</v>
      </c>
      <c r="N1275" s="60"/>
      <c r="O1275" s="114"/>
      <c r="P1275" s="114"/>
      <c r="Q1275" s="114"/>
      <c r="R1275" s="114"/>
      <c r="S1275" s="114"/>
      <c r="T1275" s="114"/>
      <c r="U1275" s="114"/>
      <c r="V1275" s="114"/>
      <c r="W1275" s="114"/>
      <c r="X1275" s="114"/>
      <c r="Y1275" s="114"/>
      <c r="Z1275" s="114"/>
    </row>
    <row r="1276" spans="1:26" ht="15.75" customHeight="1" x14ac:dyDescent="0.25">
      <c r="A1276" s="44" t="s">
        <v>1108</v>
      </c>
      <c r="B1276" s="41"/>
      <c r="C1276" s="43"/>
      <c r="D1276" s="43"/>
      <c r="E1276" s="43"/>
      <c r="F1276" s="43"/>
      <c r="G1276" s="43"/>
      <c r="H1276" s="114"/>
      <c r="I1276" s="60">
        <v>720</v>
      </c>
      <c r="J1276" s="211">
        <v>2</v>
      </c>
      <c r="K1276" s="8">
        <v>26</v>
      </c>
      <c r="L1276" s="8">
        <v>12</v>
      </c>
      <c r="M1276" s="60">
        <f t="shared" si="215"/>
        <v>449280</v>
      </c>
      <c r="N1276" s="60"/>
      <c r="O1276" s="114"/>
      <c r="P1276" s="114"/>
      <c r="Q1276" s="114"/>
      <c r="R1276" s="114"/>
      <c r="S1276" s="114"/>
      <c r="T1276" s="114"/>
      <c r="U1276" s="114"/>
      <c r="V1276" s="114"/>
      <c r="W1276" s="114"/>
      <c r="X1276" s="114"/>
      <c r="Y1276" s="114"/>
      <c r="Z1276" s="114"/>
    </row>
    <row r="1277" spans="1:26" ht="31.5" x14ac:dyDescent="0.25">
      <c r="A1277" s="118" t="s">
        <v>1109</v>
      </c>
      <c r="B1277" s="41"/>
      <c r="C1277" s="43"/>
      <c r="D1277" s="43"/>
      <c r="E1277" s="43"/>
      <c r="F1277" s="43"/>
      <c r="G1277" s="43"/>
      <c r="H1277" s="114"/>
      <c r="I1277" s="60">
        <v>678</v>
      </c>
      <c r="J1277" s="211">
        <v>6</v>
      </c>
      <c r="K1277" s="8">
        <v>26</v>
      </c>
      <c r="L1277" s="8">
        <v>12</v>
      </c>
      <c r="M1277" s="60">
        <f t="shared" si="215"/>
        <v>1269216</v>
      </c>
      <c r="N1277" s="60">
        <f>SUM(M1272:M1277)</f>
        <v>3282552</v>
      </c>
      <c r="O1277" s="114"/>
      <c r="P1277" s="114"/>
      <c r="Q1277" s="114"/>
      <c r="R1277" s="114"/>
      <c r="S1277" s="114"/>
      <c r="T1277" s="114"/>
      <c r="U1277" s="114"/>
      <c r="V1277" s="114"/>
      <c r="W1277" s="114"/>
      <c r="X1277" s="114"/>
      <c r="Y1277" s="114"/>
      <c r="Z1277" s="114"/>
    </row>
    <row r="1278" spans="1:26" ht="15.75" customHeight="1" x14ac:dyDescent="0.25">
      <c r="A1278" s="42" t="s">
        <v>466</v>
      </c>
      <c r="B1278" s="41"/>
      <c r="C1278" s="54">
        <f t="shared" ref="C1278:D1278" si="216">SUM(C1262:C1270)</f>
        <v>8152914.4299999997</v>
      </c>
      <c r="D1278" s="54">
        <f t="shared" si="216"/>
        <v>3979458.6300000004</v>
      </c>
      <c r="E1278" s="54">
        <f>F1278-D1278</f>
        <v>4335572.3699999992</v>
      </c>
      <c r="F1278" s="54">
        <f>SUM(F1262:F1270)</f>
        <v>8315031</v>
      </c>
      <c r="G1278" s="54">
        <f>SUM(G1263:G1270)</f>
        <v>11383552</v>
      </c>
      <c r="H1278" s="114"/>
      <c r="I1278" s="60"/>
      <c r="J1278" s="60"/>
      <c r="K1278" s="114"/>
      <c r="L1278" s="114"/>
      <c r="M1278" s="60"/>
      <c r="N1278" s="60"/>
      <c r="O1278" s="114"/>
      <c r="P1278" s="114"/>
      <c r="Q1278" s="114"/>
      <c r="R1278" s="114"/>
      <c r="S1278" s="114"/>
      <c r="T1278" s="114"/>
      <c r="U1278" s="114"/>
      <c r="V1278" s="114"/>
      <c r="W1278" s="114"/>
      <c r="X1278" s="114"/>
      <c r="Y1278" s="114"/>
      <c r="Z1278" s="114"/>
    </row>
    <row r="1279" spans="1:26" ht="15.75" customHeight="1" x14ac:dyDescent="0.25">
      <c r="A1279" s="17"/>
      <c r="B1279" s="41"/>
      <c r="C1279" s="55"/>
      <c r="D1279" s="55"/>
      <c r="E1279" s="43"/>
      <c r="F1279" s="55"/>
      <c r="G1279" s="55"/>
      <c r="H1279" s="114"/>
      <c r="I1279" s="60"/>
      <c r="J1279" s="60"/>
      <c r="K1279" s="114"/>
      <c r="L1279" s="114"/>
      <c r="M1279" s="60"/>
      <c r="N1279" s="60"/>
      <c r="O1279" s="114"/>
      <c r="P1279" s="114"/>
      <c r="Q1279" s="114"/>
      <c r="R1279" s="114"/>
      <c r="S1279" s="114"/>
      <c r="T1279" s="114"/>
      <c r="U1279" s="114"/>
      <c r="V1279" s="114"/>
      <c r="W1279" s="114"/>
      <c r="X1279" s="114"/>
      <c r="Y1279" s="114"/>
      <c r="Z1279" s="114"/>
    </row>
    <row r="1280" spans="1:26" ht="15.75" customHeight="1" x14ac:dyDescent="0.25">
      <c r="A1280" s="17" t="s">
        <v>467</v>
      </c>
      <c r="B1280" s="41"/>
      <c r="C1280" s="43">
        <f t="shared" ref="C1280:D1280" si="217">C1278</f>
        <v>8152914.4299999997</v>
      </c>
      <c r="D1280" s="43">
        <f t="shared" si="217"/>
        <v>3979458.6300000004</v>
      </c>
      <c r="E1280" s="43">
        <f>F1280-D1280</f>
        <v>4335572.3699999992</v>
      </c>
      <c r="F1280" s="43">
        <f t="shared" ref="F1280:G1280" si="218">F1278</f>
        <v>8315031</v>
      </c>
      <c r="G1280" s="43">
        <f t="shared" si="218"/>
        <v>11383552</v>
      </c>
      <c r="H1280" s="114"/>
      <c r="I1280" s="60"/>
      <c r="J1280" s="60"/>
      <c r="K1280" s="114"/>
      <c r="L1280" s="114"/>
      <c r="M1280" s="60"/>
      <c r="N1280" s="60"/>
      <c r="O1280" s="114"/>
      <c r="P1280" s="114"/>
      <c r="Q1280" s="114"/>
      <c r="R1280" s="114"/>
      <c r="S1280" s="114"/>
      <c r="T1280" s="114"/>
      <c r="U1280" s="114"/>
      <c r="V1280" s="114"/>
      <c r="W1280" s="114"/>
      <c r="X1280" s="114"/>
      <c r="Y1280" s="114"/>
      <c r="Z1280" s="114"/>
    </row>
    <row r="1281" spans="1:26" ht="15.75" customHeight="1" x14ac:dyDescent="0.25">
      <c r="A1281" s="17"/>
      <c r="B1281" s="41"/>
      <c r="C1281" s="43"/>
      <c r="D1281" s="43"/>
      <c r="E1281" s="43"/>
      <c r="F1281" s="43"/>
      <c r="G1281" s="43"/>
      <c r="H1281" s="114"/>
      <c r="I1281" s="60"/>
      <c r="J1281" s="60"/>
      <c r="K1281" s="114"/>
      <c r="L1281" s="114"/>
      <c r="M1281" s="60"/>
      <c r="N1281" s="60"/>
      <c r="O1281" s="114"/>
      <c r="P1281" s="114"/>
      <c r="Q1281" s="114"/>
      <c r="R1281" s="114"/>
      <c r="S1281" s="114"/>
      <c r="T1281" s="114"/>
      <c r="U1281" s="114"/>
      <c r="V1281" s="114"/>
      <c r="W1281" s="114"/>
      <c r="X1281" s="114"/>
      <c r="Y1281" s="114"/>
      <c r="Z1281" s="114"/>
    </row>
    <row r="1282" spans="1:26" ht="15.75" customHeight="1" x14ac:dyDescent="0.25">
      <c r="A1282" s="456" t="s">
        <v>529</v>
      </c>
      <c r="B1282" s="461"/>
      <c r="C1282" s="443"/>
      <c r="D1282" s="443"/>
      <c r="E1282" s="443"/>
      <c r="F1282" s="443"/>
      <c r="G1282" s="462"/>
      <c r="H1282" s="450"/>
      <c r="I1282" s="60"/>
      <c r="J1282" s="60"/>
      <c r="K1282" s="114"/>
      <c r="L1282" s="114"/>
      <c r="M1282" s="60"/>
      <c r="N1282" s="60"/>
      <c r="O1282" s="114"/>
      <c r="P1282" s="114"/>
      <c r="Q1282" s="114"/>
      <c r="R1282" s="114"/>
      <c r="S1282" s="114"/>
      <c r="T1282" s="114"/>
      <c r="U1282" s="114"/>
      <c r="V1282" s="114"/>
      <c r="W1282" s="114"/>
      <c r="X1282" s="114"/>
      <c r="Y1282" s="114"/>
      <c r="Z1282" s="114"/>
    </row>
    <row r="1283" spans="1:26" ht="15.75" customHeight="1" x14ac:dyDescent="0.25">
      <c r="A1283" s="17" t="s">
        <v>476</v>
      </c>
      <c r="B1283" s="41"/>
      <c r="C1283" s="43"/>
      <c r="D1283" s="43"/>
      <c r="E1283" s="43"/>
      <c r="F1283" s="43"/>
      <c r="G1283" s="43"/>
      <c r="H1283" s="114"/>
      <c r="I1283" s="60"/>
      <c r="J1283" s="60"/>
      <c r="K1283" s="114"/>
      <c r="L1283" s="114"/>
      <c r="M1283" s="60"/>
      <c r="N1283" s="60"/>
      <c r="O1283" s="114"/>
      <c r="P1283" s="114"/>
      <c r="Q1283" s="114"/>
      <c r="R1283" s="114"/>
      <c r="S1283" s="114"/>
      <c r="T1283" s="114"/>
      <c r="U1283" s="114"/>
      <c r="V1283" s="114"/>
      <c r="W1283" s="114"/>
      <c r="X1283" s="114"/>
      <c r="Y1283" s="114"/>
      <c r="Z1283" s="114"/>
    </row>
    <row r="1284" spans="1:26" ht="15.75" customHeight="1" x14ac:dyDescent="0.25">
      <c r="A1284" s="44" t="s">
        <v>1110</v>
      </c>
      <c r="B1284" s="41" t="s">
        <v>55</v>
      </c>
      <c r="C1284" s="43">
        <v>0</v>
      </c>
      <c r="D1284" s="43">
        <v>0</v>
      </c>
      <c r="E1284" s="43">
        <v>0</v>
      </c>
      <c r="F1284" s="43">
        <v>0</v>
      </c>
      <c r="G1284" s="43">
        <v>3600000</v>
      </c>
      <c r="H1284" s="114"/>
      <c r="I1284" s="60"/>
      <c r="J1284" s="60"/>
      <c r="K1284" s="114"/>
      <c r="L1284" s="114"/>
      <c r="M1284" s="60"/>
      <c r="N1284" s="60"/>
      <c r="O1284" s="114"/>
      <c r="P1284" s="114"/>
      <c r="Q1284" s="114"/>
      <c r="R1284" s="114"/>
      <c r="S1284" s="114"/>
      <c r="T1284" s="114"/>
      <c r="U1284" s="114"/>
      <c r="V1284" s="114"/>
      <c r="W1284" s="114"/>
      <c r="X1284" s="114"/>
      <c r="Y1284" s="114"/>
      <c r="Z1284" s="114"/>
    </row>
    <row r="1285" spans="1:26" ht="15.75" customHeight="1" x14ac:dyDescent="0.25">
      <c r="A1285" s="44" t="s">
        <v>1111</v>
      </c>
      <c r="B1285" s="41"/>
      <c r="C1285" s="43"/>
      <c r="D1285" s="43"/>
      <c r="E1285" s="43"/>
      <c r="F1285" s="43"/>
      <c r="G1285" s="43"/>
      <c r="H1285" s="114"/>
      <c r="I1285" s="60"/>
      <c r="J1285" s="60"/>
      <c r="K1285" s="114"/>
      <c r="L1285" s="114"/>
      <c r="M1285" s="60"/>
      <c r="N1285" s="60"/>
      <c r="O1285" s="114"/>
      <c r="P1285" s="114"/>
      <c r="Q1285" s="114"/>
      <c r="R1285" s="114"/>
      <c r="S1285" s="114"/>
      <c r="T1285" s="114"/>
      <c r="U1285" s="114"/>
      <c r="V1285" s="114"/>
      <c r="W1285" s="114"/>
      <c r="X1285" s="114"/>
      <c r="Y1285" s="114"/>
      <c r="Z1285" s="114"/>
    </row>
    <row r="1286" spans="1:26" ht="15.75" customHeight="1" x14ac:dyDescent="0.25">
      <c r="A1286" s="17" t="s">
        <v>536</v>
      </c>
      <c r="B1286" s="41"/>
      <c r="C1286" s="54">
        <f t="shared" ref="C1286:G1286" si="219">SUM(C1284)</f>
        <v>0</v>
      </c>
      <c r="D1286" s="54">
        <f t="shared" si="219"/>
        <v>0</v>
      </c>
      <c r="E1286" s="54">
        <f t="shared" si="219"/>
        <v>0</v>
      </c>
      <c r="F1286" s="54">
        <f t="shared" si="219"/>
        <v>0</v>
      </c>
      <c r="G1286" s="54">
        <f t="shared" si="219"/>
        <v>3600000</v>
      </c>
      <c r="H1286" s="114"/>
      <c r="I1286" s="60"/>
      <c r="J1286" s="60"/>
      <c r="K1286" s="114"/>
      <c r="L1286" s="114"/>
      <c r="M1286" s="60"/>
      <c r="N1286" s="60"/>
      <c r="O1286" s="114"/>
      <c r="P1286" s="114"/>
      <c r="Q1286" s="114"/>
      <c r="R1286" s="114"/>
      <c r="S1286" s="114"/>
      <c r="T1286" s="114"/>
      <c r="U1286" s="114"/>
      <c r="V1286" s="114"/>
      <c r="W1286" s="114"/>
      <c r="X1286" s="114"/>
      <c r="Y1286" s="114"/>
      <c r="Z1286" s="114"/>
    </row>
    <row r="1287" spans="1:26" ht="15.75" customHeight="1" x14ac:dyDescent="0.25">
      <c r="A1287" s="17"/>
      <c r="B1287" s="41"/>
      <c r="C1287" s="43"/>
      <c r="D1287" s="43"/>
      <c r="E1287" s="43"/>
      <c r="F1287" s="43"/>
      <c r="G1287" s="43"/>
      <c r="H1287" s="114"/>
      <c r="I1287" s="60"/>
      <c r="J1287" s="60"/>
      <c r="K1287" s="114"/>
      <c r="L1287" s="114"/>
      <c r="M1287" s="60"/>
      <c r="N1287" s="60"/>
      <c r="O1287" s="114"/>
      <c r="P1287" s="114"/>
      <c r="Q1287" s="114"/>
      <c r="R1287" s="114"/>
      <c r="S1287" s="114"/>
      <c r="T1287" s="114"/>
      <c r="U1287" s="114"/>
      <c r="V1287" s="114"/>
      <c r="W1287" s="114"/>
      <c r="X1287" s="114"/>
      <c r="Y1287" s="114"/>
      <c r="Z1287" s="114"/>
    </row>
    <row r="1288" spans="1:26" ht="15.75" customHeight="1" x14ac:dyDescent="0.25">
      <c r="A1288" s="50" t="s">
        <v>487</v>
      </c>
      <c r="B1288" s="51" t="s">
        <v>488</v>
      </c>
      <c r="C1288" s="54">
        <f>C1280</f>
        <v>8152914.4299999997</v>
      </c>
      <c r="D1288" s="54">
        <f>D1280</f>
        <v>3979458.6300000004</v>
      </c>
      <c r="E1288" s="54">
        <f>F1288-D1288</f>
        <v>4335572.3699999992</v>
      </c>
      <c r="F1288" s="54">
        <f>F1280</f>
        <v>8315031</v>
      </c>
      <c r="G1288" s="54">
        <f>G1280+G1286</f>
        <v>14983552</v>
      </c>
      <c r="H1288" s="114"/>
      <c r="I1288" s="60"/>
      <c r="J1288" s="60"/>
      <c r="K1288" s="114"/>
      <c r="L1288" s="114"/>
      <c r="M1288" s="60"/>
      <c r="N1288" s="60"/>
      <c r="O1288" s="114"/>
      <c r="P1288" s="114"/>
      <c r="Q1288" s="114"/>
      <c r="R1288" s="114"/>
      <c r="S1288" s="114"/>
      <c r="T1288" s="114"/>
      <c r="U1288" s="114"/>
      <c r="V1288" s="114"/>
      <c r="W1288" s="114"/>
      <c r="X1288" s="114"/>
      <c r="Y1288" s="114"/>
      <c r="Z1288" s="114"/>
    </row>
    <row r="1289" spans="1:26" ht="15.75" customHeight="1" x14ac:dyDescent="0.25">
      <c r="A1289" s="105"/>
      <c r="B1289" s="104"/>
      <c r="C1289" s="81"/>
      <c r="D1289" s="81"/>
      <c r="E1289" s="81"/>
      <c r="F1289" s="81"/>
      <c r="G1289" s="81"/>
      <c r="H1289" s="114"/>
      <c r="I1289" s="60"/>
      <c r="J1289" s="60"/>
      <c r="K1289" s="114"/>
      <c r="L1289" s="114"/>
      <c r="M1289" s="60"/>
      <c r="N1289" s="60"/>
      <c r="O1289" s="114"/>
      <c r="P1289" s="114"/>
      <c r="Q1289" s="114"/>
      <c r="R1289" s="114"/>
      <c r="S1289" s="114"/>
      <c r="T1289" s="114"/>
      <c r="U1289" s="114"/>
      <c r="V1289" s="114"/>
      <c r="W1289" s="114"/>
      <c r="X1289" s="114"/>
      <c r="Y1289" s="114"/>
      <c r="Z1289" s="114"/>
    </row>
    <row r="1290" spans="1:26" ht="15.75" customHeight="1" x14ac:dyDescent="0.25">
      <c r="A1290" s="24"/>
      <c r="B1290" s="25"/>
      <c r="C1290" s="24"/>
      <c r="D1290" s="24"/>
      <c r="E1290" s="24"/>
      <c r="F1290" s="15"/>
      <c r="G1290" s="15"/>
      <c r="H1290" s="15"/>
      <c r="I1290" s="16"/>
      <c r="J1290" s="16"/>
      <c r="K1290" s="15"/>
      <c r="L1290" s="15"/>
      <c r="M1290" s="16"/>
      <c r="N1290" s="16"/>
      <c r="O1290" s="15"/>
      <c r="P1290" s="15"/>
      <c r="Q1290" s="15"/>
      <c r="R1290" s="15"/>
      <c r="S1290" s="15"/>
      <c r="T1290" s="15"/>
      <c r="U1290" s="15"/>
      <c r="V1290" s="15"/>
      <c r="W1290" s="15"/>
      <c r="X1290" s="15"/>
      <c r="Y1290" s="15"/>
      <c r="Z1290" s="15"/>
    </row>
    <row r="1291" spans="1:26" ht="15.75" customHeight="1" x14ac:dyDescent="0.25">
      <c r="A1291" s="9"/>
      <c r="B1291" s="104"/>
      <c r="C1291" s="105"/>
      <c r="D1291" s="105"/>
      <c r="E1291" s="105"/>
      <c r="F1291" s="10"/>
      <c r="G1291" s="180"/>
      <c r="H1291" s="15"/>
      <c r="I1291" s="16"/>
      <c r="J1291" s="16"/>
      <c r="K1291" s="15"/>
      <c r="L1291" s="15"/>
      <c r="M1291" s="16"/>
      <c r="N1291" s="16"/>
      <c r="O1291" s="15"/>
      <c r="P1291" s="15"/>
      <c r="Q1291" s="15"/>
      <c r="R1291" s="15"/>
      <c r="S1291" s="15"/>
      <c r="T1291" s="15"/>
      <c r="U1291" s="15"/>
      <c r="V1291" s="15"/>
      <c r="W1291" s="15"/>
      <c r="X1291" s="15"/>
      <c r="Y1291" s="15"/>
      <c r="Z1291" s="15"/>
    </row>
    <row r="1292" spans="1:26" ht="15.75" customHeight="1" x14ac:dyDescent="0.25">
      <c r="A1292" s="225" t="s">
        <v>1112</v>
      </c>
      <c r="B1292" s="25"/>
      <c r="C1292" s="26"/>
      <c r="D1292" s="26"/>
      <c r="E1292" s="26"/>
      <c r="F1292" s="14"/>
      <c r="G1292" s="181"/>
      <c r="H1292" s="15"/>
      <c r="I1292" s="16"/>
      <c r="J1292" s="16"/>
      <c r="K1292" s="15"/>
      <c r="L1292" s="15"/>
      <c r="M1292" s="16"/>
      <c r="N1292" s="16"/>
      <c r="O1292" s="15"/>
      <c r="P1292" s="15"/>
      <c r="Q1292" s="15"/>
      <c r="R1292" s="15"/>
      <c r="S1292" s="15"/>
      <c r="T1292" s="15"/>
      <c r="U1292" s="15"/>
      <c r="V1292" s="15"/>
      <c r="W1292" s="15"/>
      <c r="X1292" s="15"/>
      <c r="Y1292" s="15"/>
      <c r="Z1292" s="15"/>
    </row>
    <row r="1293" spans="1:26" ht="15.75" customHeight="1" x14ac:dyDescent="0.25">
      <c r="A1293" s="44"/>
      <c r="B1293" s="25"/>
      <c r="C1293" s="26"/>
      <c r="D1293" s="26"/>
      <c r="E1293" s="26"/>
      <c r="F1293" s="14"/>
      <c r="G1293" s="181"/>
      <c r="H1293" s="15"/>
      <c r="I1293" s="16"/>
      <c r="J1293" s="16"/>
      <c r="K1293" s="15"/>
      <c r="L1293" s="15"/>
      <c r="M1293" s="16"/>
      <c r="N1293" s="16"/>
      <c r="O1293" s="15"/>
      <c r="P1293" s="15"/>
      <c r="Q1293" s="15"/>
      <c r="R1293" s="15"/>
      <c r="S1293" s="15"/>
      <c r="T1293" s="15"/>
      <c r="U1293" s="15"/>
      <c r="V1293" s="15"/>
      <c r="W1293" s="15"/>
      <c r="X1293" s="15"/>
      <c r="Y1293" s="15"/>
      <c r="Z1293" s="15"/>
    </row>
    <row r="1294" spans="1:26" ht="15.75" customHeight="1" x14ac:dyDescent="0.25">
      <c r="A1294" s="865" t="s">
        <v>352</v>
      </c>
      <c r="B1294" s="866"/>
      <c r="C1294" s="866"/>
      <c r="D1294" s="866"/>
      <c r="E1294" s="866"/>
      <c r="F1294" s="866"/>
      <c r="G1294" s="867"/>
      <c r="H1294" s="15"/>
      <c r="I1294" s="16"/>
      <c r="J1294" s="16"/>
      <c r="K1294" s="15"/>
      <c r="L1294" s="15"/>
      <c r="M1294" s="16"/>
      <c r="N1294" s="16"/>
      <c r="O1294" s="15"/>
      <c r="P1294" s="15"/>
      <c r="Q1294" s="15"/>
      <c r="R1294" s="15"/>
      <c r="S1294" s="15"/>
      <c r="T1294" s="15"/>
      <c r="U1294" s="15"/>
      <c r="V1294" s="15"/>
      <c r="W1294" s="15"/>
      <c r="X1294" s="15"/>
      <c r="Y1294" s="15"/>
      <c r="Z1294" s="15"/>
    </row>
    <row r="1295" spans="1:26" ht="15.75" customHeight="1" x14ac:dyDescent="0.25">
      <c r="A1295" s="868" t="s">
        <v>353</v>
      </c>
      <c r="B1295" s="857" t="s">
        <v>354</v>
      </c>
      <c r="C1295" s="870" t="s">
        <v>355</v>
      </c>
      <c r="D1295" s="872" t="s">
        <v>356</v>
      </c>
      <c r="E1295" s="873"/>
      <c r="F1295" s="874"/>
      <c r="G1295" s="857" t="s">
        <v>357</v>
      </c>
      <c r="H1295" s="15"/>
      <c r="I1295" s="16"/>
      <c r="J1295" s="16"/>
      <c r="K1295" s="15"/>
      <c r="L1295" s="15"/>
      <c r="M1295" s="16"/>
      <c r="N1295" s="16"/>
      <c r="O1295" s="15"/>
      <c r="P1295" s="15"/>
      <c r="Q1295" s="15"/>
      <c r="R1295" s="15"/>
      <c r="S1295" s="15"/>
      <c r="T1295" s="15"/>
      <c r="U1295" s="15"/>
      <c r="V1295" s="15"/>
      <c r="W1295" s="15"/>
      <c r="X1295" s="15"/>
      <c r="Y1295" s="15"/>
      <c r="Z1295" s="15"/>
    </row>
    <row r="1296" spans="1:26" ht="15.75" customHeight="1" x14ac:dyDescent="0.25">
      <c r="A1296" s="858"/>
      <c r="B1296" s="858"/>
      <c r="C1296" s="871"/>
      <c r="D1296" s="28" t="s">
        <v>358</v>
      </c>
      <c r="E1296" s="29" t="s">
        <v>359</v>
      </c>
      <c r="F1296" s="875" t="s">
        <v>360</v>
      </c>
      <c r="G1296" s="858"/>
      <c r="H1296" s="15"/>
      <c r="I1296" s="16"/>
      <c r="J1296" s="16"/>
      <c r="K1296" s="15"/>
      <c r="L1296" s="15"/>
      <c r="M1296" s="16"/>
      <c r="N1296" s="16"/>
      <c r="O1296" s="15"/>
      <c r="P1296" s="15"/>
      <c r="Q1296" s="15"/>
      <c r="R1296" s="15"/>
      <c r="S1296" s="15"/>
      <c r="T1296" s="15"/>
      <c r="U1296" s="15"/>
      <c r="V1296" s="15"/>
      <c r="W1296" s="15"/>
      <c r="X1296" s="15"/>
      <c r="Y1296" s="15"/>
      <c r="Z1296" s="15"/>
    </row>
    <row r="1297" spans="1:26" ht="15.75" customHeight="1" x14ac:dyDescent="0.25">
      <c r="A1297" s="858"/>
      <c r="B1297" s="858"/>
      <c r="C1297" s="30" t="s">
        <v>361</v>
      </c>
      <c r="D1297" s="31" t="s">
        <v>361</v>
      </c>
      <c r="E1297" s="32" t="s">
        <v>362</v>
      </c>
      <c r="F1297" s="860"/>
      <c r="G1297" s="442" t="s">
        <v>2717</v>
      </c>
      <c r="H1297" s="15"/>
      <c r="I1297" s="16"/>
      <c r="J1297" s="16"/>
      <c r="K1297" s="15"/>
      <c r="L1297" s="15"/>
      <c r="M1297" s="16"/>
      <c r="N1297" s="16"/>
      <c r="O1297" s="15"/>
      <c r="P1297" s="15"/>
      <c r="Q1297" s="15"/>
      <c r="R1297" s="15"/>
      <c r="S1297" s="15"/>
      <c r="T1297" s="15"/>
      <c r="U1297" s="15"/>
      <c r="V1297" s="15"/>
      <c r="W1297" s="15"/>
      <c r="X1297" s="15"/>
      <c r="Y1297" s="15"/>
      <c r="Z1297" s="15"/>
    </row>
    <row r="1298" spans="1:26" ht="15.75" customHeight="1" x14ac:dyDescent="0.25">
      <c r="A1298" s="869"/>
      <c r="B1298" s="869"/>
      <c r="C1298" s="33">
        <v>2024</v>
      </c>
      <c r="D1298" s="34">
        <v>2025</v>
      </c>
      <c r="E1298" s="34">
        <v>2025</v>
      </c>
      <c r="F1298" s="34">
        <v>2025</v>
      </c>
      <c r="G1298" s="36" t="s">
        <v>2668</v>
      </c>
      <c r="H1298" s="15"/>
      <c r="I1298" s="16"/>
      <c r="J1298" s="16"/>
      <c r="K1298" s="15"/>
      <c r="L1298" s="15"/>
      <c r="M1298" s="16"/>
      <c r="N1298" s="16"/>
      <c r="O1298" s="15"/>
      <c r="P1298" s="15"/>
      <c r="Q1298" s="15"/>
      <c r="R1298" s="15"/>
      <c r="S1298" s="15"/>
      <c r="T1298" s="15"/>
      <c r="U1298" s="15"/>
      <c r="V1298" s="15"/>
      <c r="W1298" s="15"/>
      <c r="X1298" s="15"/>
      <c r="Y1298" s="15"/>
      <c r="Z1298" s="15"/>
    </row>
    <row r="1299" spans="1:26" ht="15.75" customHeight="1" x14ac:dyDescent="0.25">
      <c r="A1299" s="9" t="s">
        <v>364</v>
      </c>
      <c r="B1299" s="38"/>
      <c r="C1299" s="42"/>
      <c r="D1299" s="42"/>
      <c r="E1299" s="42"/>
      <c r="F1299" s="42"/>
      <c r="G1299" s="37"/>
      <c r="I1299" s="40"/>
      <c r="J1299" s="40"/>
      <c r="M1299" s="40"/>
      <c r="N1299" s="40"/>
    </row>
    <row r="1300" spans="1:26" ht="15.75" customHeight="1" x14ac:dyDescent="0.25">
      <c r="A1300" s="42" t="s">
        <v>491</v>
      </c>
      <c r="B1300" s="49"/>
      <c r="C1300" s="43"/>
      <c r="D1300" s="43"/>
      <c r="E1300" s="43"/>
      <c r="F1300" s="43"/>
      <c r="G1300" s="43"/>
      <c r="H1300" s="114"/>
      <c r="I1300" s="60"/>
      <c r="J1300" s="60"/>
      <c r="K1300" s="114"/>
      <c r="L1300" s="114"/>
      <c r="M1300" s="60"/>
      <c r="N1300" s="60"/>
      <c r="O1300" s="114"/>
      <c r="P1300" s="114"/>
      <c r="Q1300" s="114"/>
      <c r="R1300" s="114"/>
      <c r="S1300" s="114"/>
      <c r="T1300" s="114"/>
      <c r="U1300" s="114"/>
      <c r="V1300" s="114"/>
      <c r="W1300" s="114"/>
      <c r="X1300" s="114"/>
      <c r="Y1300" s="114"/>
      <c r="Z1300" s="114"/>
    </row>
    <row r="1301" spans="1:26" ht="15.75" customHeight="1" x14ac:dyDescent="0.25">
      <c r="A1301" s="17" t="s">
        <v>499</v>
      </c>
      <c r="B1301" s="41"/>
      <c r="C1301" s="43"/>
      <c r="D1301" s="43"/>
      <c r="E1301" s="56"/>
      <c r="F1301" s="43"/>
      <c r="G1301" s="45"/>
      <c r="H1301" s="114"/>
      <c r="I1301" s="60"/>
      <c r="J1301" s="60"/>
      <c r="K1301" s="114"/>
      <c r="L1301" s="114"/>
      <c r="M1301" s="60"/>
      <c r="N1301" s="60"/>
      <c r="O1301" s="114"/>
      <c r="P1301" s="114"/>
      <c r="Q1301" s="114"/>
      <c r="R1301" s="114"/>
      <c r="S1301" s="114"/>
      <c r="T1301" s="114"/>
      <c r="U1301" s="114"/>
      <c r="V1301" s="114"/>
      <c r="W1301" s="114"/>
      <c r="X1301" s="114"/>
      <c r="Y1301" s="114"/>
      <c r="Z1301" s="114"/>
    </row>
    <row r="1302" spans="1:26" ht="15.75" customHeight="1" x14ac:dyDescent="0.25">
      <c r="A1302" s="44" t="s">
        <v>398</v>
      </c>
      <c r="B1302" s="41" t="s">
        <v>195</v>
      </c>
      <c r="C1302" s="43">
        <v>0</v>
      </c>
      <c r="D1302" s="43">
        <v>0</v>
      </c>
      <c r="E1302" s="56">
        <v>0</v>
      </c>
      <c r="F1302" s="43">
        <v>0</v>
      </c>
      <c r="G1302" s="45">
        <v>100000</v>
      </c>
      <c r="H1302" s="114"/>
      <c r="I1302" s="60"/>
      <c r="J1302" s="60"/>
      <c r="K1302" s="114"/>
      <c r="L1302" s="114"/>
      <c r="M1302" s="60"/>
      <c r="N1302" s="60"/>
      <c r="O1302" s="114"/>
      <c r="P1302" s="114"/>
      <c r="Q1302" s="114"/>
      <c r="R1302" s="114"/>
      <c r="S1302" s="114"/>
      <c r="T1302" s="114"/>
      <c r="U1302" s="114"/>
      <c r="V1302" s="114"/>
      <c r="W1302" s="114"/>
      <c r="X1302" s="114"/>
      <c r="Y1302" s="114"/>
      <c r="Z1302" s="114"/>
    </row>
    <row r="1303" spans="1:26" ht="15.75" customHeight="1" x14ac:dyDescent="0.25">
      <c r="A1303" s="17" t="s">
        <v>511</v>
      </c>
      <c r="B1303" s="41"/>
      <c r="C1303" s="43"/>
      <c r="D1303" s="43"/>
      <c r="E1303" s="56"/>
      <c r="F1303" s="43"/>
      <c r="G1303" s="45"/>
      <c r="H1303" s="114"/>
      <c r="I1303" s="60"/>
      <c r="J1303" s="60"/>
      <c r="K1303" s="114"/>
      <c r="L1303" s="114"/>
      <c r="M1303" s="60"/>
      <c r="N1303" s="60"/>
      <c r="O1303" s="114"/>
      <c r="P1303" s="114"/>
      <c r="Q1303" s="114"/>
      <c r="R1303" s="114"/>
      <c r="S1303" s="114"/>
      <c r="T1303" s="114"/>
      <c r="U1303" s="114"/>
      <c r="V1303" s="114"/>
      <c r="W1303" s="114"/>
      <c r="X1303" s="114"/>
      <c r="Y1303" s="114"/>
      <c r="Z1303" s="114"/>
    </row>
    <row r="1304" spans="1:26" ht="15.75" customHeight="1" x14ac:dyDescent="0.25">
      <c r="A1304" s="44" t="s">
        <v>837</v>
      </c>
      <c r="B1304" s="41" t="s">
        <v>333</v>
      </c>
      <c r="C1304" s="43">
        <v>66207083</v>
      </c>
      <c r="D1304" s="43">
        <v>50205403</v>
      </c>
      <c r="E1304" s="43">
        <f t="shared" ref="E1304:E1305" si="220">F1304-D1304</f>
        <v>16762657</v>
      </c>
      <c r="F1304" s="43">
        <v>66968060</v>
      </c>
      <c r="G1304" s="43">
        <v>60000000</v>
      </c>
      <c r="H1304" s="114"/>
      <c r="I1304" s="60"/>
      <c r="J1304" s="60"/>
      <c r="K1304" s="114"/>
      <c r="L1304" s="114"/>
      <c r="M1304" s="60"/>
      <c r="N1304" s="60"/>
      <c r="O1304" s="114"/>
      <c r="P1304" s="114"/>
      <c r="Q1304" s="114"/>
      <c r="R1304" s="114"/>
      <c r="S1304" s="114"/>
      <c r="T1304" s="114"/>
      <c r="U1304" s="114"/>
      <c r="V1304" s="114"/>
      <c r="W1304" s="114"/>
      <c r="X1304" s="114"/>
      <c r="Y1304" s="114"/>
      <c r="Z1304" s="114"/>
    </row>
    <row r="1305" spans="1:26" ht="15.75" customHeight="1" x14ac:dyDescent="0.25">
      <c r="A1305" s="44" t="s">
        <v>424</v>
      </c>
      <c r="B1305" s="41" t="s">
        <v>335</v>
      </c>
      <c r="C1305" s="43">
        <v>398525</v>
      </c>
      <c r="D1305" s="43">
        <v>166032</v>
      </c>
      <c r="E1305" s="43">
        <f t="shared" si="220"/>
        <v>249048</v>
      </c>
      <c r="F1305" s="43">
        <v>415080</v>
      </c>
      <c r="G1305" s="43">
        <v>1537392</v>
      </c>
      <c r="H1305" s="114"/>
      <c r="I1305" s="60"/>
      <c r="J1305" s="60"/>
      <c r="K1305" s="114"/>
      <c r="L1305" s="114"/>
      <c r="M1305" s="60"/>
      <c r="N1305" s="60"/>
      <c r="O1305" s="114"/>
      <c r="P1305" s="114"/>
      <c r="Q1305" s="114"/>
      <c r="R1305" s="114"/>
      <c r="S1305" s="114"/>
      <c r="T1305" s="114"/>
      <c r="U1305" s="114"/>
      <c r="V1305" s="114"/>
      <c r="W1305" s="114"/>
      <c r="X1305" s="114"/>
      <c r="Y1305" s="114"/>
      <c r="Z1305" s="114"/>
    </row>
    <row r="1306" spans="1:26" ht="31.5" x14ac:dyDescent="0.25">
      <c r="A1306" s="295" t="s">
        <v>1113</v>
      </c>
      <c r="B1306" s="41"/>
      <c r="C1306" s="43"/>
      <c r="D1306" s="43"/>
      <c r="E1306" s="43"/>
      <c r="F1306" s="43"/>
      <c r="G1306" s="43"/>
      <c r="H1306" s="114">
        <v>1200000</v>
      </c>
      <c r="I1306" s="60"/>
      <c r="J1306" s="60"/>
      <c r="K1306" s="114"/>
      <c r="L1306" s="114"/>
      <c r="M1306" s="60"/>
      <c r="N1306" s="60"/>
      <c r="O1306" s="114"/>
      <c r="P1306" s="114"/>
      <c r="Q1306" s="114"/>
      <c r="R1306" s="114"/>
      <c r="S1306" s="114"/>
      <c r="T1306" s="114"/>
      <c r="U1306" s="114"/>
      <c r="V1306" s="114"/>
      <c r="W1306" s="114"/>
      <c r="X1306" s="114"/>
      <c r="Y1306" s="114"/>
      <c r="Z1306" s="114"/>
    </row>
    <row r="1307" spans="1:26" ht="15.75" customHeight="1" x14ac:dyDescent="0.25">
      <c r="A1307" s="96" t="s">
        <v>648</v>
      </c>
      <c r="B1307" s="41"/>
      <c r="C1307" s="43"/>
      <c r="D1307" s="43"/>
      <c r="E1307" s="43"/>
      <c r="F1307" s="43"/>
      <c r="G1307" s="43"/>
      <c r="H1307" s="114"/>
      <c r="I1307" s="60"/>
      <c r="J1307" s="60"/>
      <c r="K1307" s="114"/>
      <c r="L1307" s="114"/>
      <c r="M1307" s="60"/>
      <c r="N1307" s="60"/>
      <c r="O1307" s="114"/>
      <c r="P1307" s="114"/>
      <c r="Q1307" s="114"/>
      <c r="R1307" s="114"/>
      <c r="S1307" s="114"/>
      <c r="T1307" s="114"/>
      <c r="U1307" s="114"/>
      <c r="V1307" s="114"/>
      <c r="W1307" s="114"/>
      <c r="X1307" s="114"/>
      <c r="Y1307" s="114"/>
      <c r="Z1307" s="114"/>
    </row>
    <row r="1308" spans="1:26" ht="15.75" customHeight="1" x14ac:dyDescent="0.25">
      <c r="A1308" s="74" t="s">
        <v>1114</v>
      </c>
      <c r="B1308" s="41"/>
      <c r="C1308" s="43"/>
      <c r="D1308" s="43"/>
      <c r="E1308" s="43"/>
      <c r="F1308" s="43"/>
      <c r="G1308" s="43"/>
      <c r="H1308" s="114">
        <f>2*639*22*12</f>
        <v>337392</v>
      </c>
      <c r="I1308" s="60"/>
      <c r="J1308" s="60"/>
      <c r="K1308" s="114"/>
      <c r="L1308" s="114"/>
      <c r="M1308" s="60"/>
      <c r="N1308" s="60"/>
      <c r="O1308" s="114"/>
      <c r="P1308" s="114"/>
      <c r="Q1308" s="114"/>
      <c r="R1308" s="114"/>
      <c r="S1308" s="114"/>
      <c r="T1308" s="114"/>
      <c r="U1308" s="114"/>
      <c r="V1308" s="114"/>
      <c r="W1308" s="114"/>
      <c r="X1308" s="114"/>
      <c r="Y1308" s="114"/>
      <c r="Z1308" s="114"/>
    </row>
    <row r="1309" spans="1:26" ht="15.75" customHeight="1" x14ac:dyDescent="0.25">
      <c r="A1309" s="42" t="s">
        <v>466</v>
      </c>
      <c r="B1309" s="41"/>
      <c r="C1309" s="54">
        <f t="shared" ref="C1309:D1309" si="221">SUM(C1304:C1305)</f>
        <v>66605608</v>
      </c>
      <c r="D1309" s="54">
        <f t="shared" si="221"/>
        <v>50371435</v>
      </c>
      <c r="E1309" s="54">
        <f>F1309-D1309</f>
        <v>17011705</v>
      </c>
      <c r="F1309" s="54">
        <f>SUM(F1304:F1305)</f>
        <v>67383140</v>
      </c>
      <c r="G1309" s="54">
        <f>SUM(G1302:G1305)</f>
        <v>61637392</v>
      </c>
      <c r="H1309" s="114"/>
      <c r="I1309" s="60"/>
      <c r="J1309" s="60"/>
      <c r="K1309" s="114"/>
      <c r="L1309" s="114"/>
      <c r="M1309" s="60"/>
      <c r="N1309" s="60"/>
      <c r="O1309" s="114"/>
      <c r="P1309" s="114"/>
      <c r="Q1309" s="114"/>
      <c r="R1309" s="114"/>
      <c r="S1309" s="114"/>
      <c r="T1309" s="114"/>
      <c r="U1309" s="114"/>
      <c r="V1309" s="114"/>
      <c r="W1309" s="114"/>
      <c r="X1309" s="114"/>
      <c r="Y1309" s="114"/>
      <c r="Z1309" s="114"/>
    </row>
    <row r="1310" spans="1:26" ht="15.75" customHeight="1" x14ac:dyDescent="0.25">
      <c r="A1310" s="17"/>
      <c r="B1310" s="41"/>
      <c r="C1310" s="55"/>
      <c r="D1310" s="55"/>
      <c r="E1310" s="43"/>
      <c r="F1310" s="55"/>
      <c r="G1310" s="55"/>
      <c r="H1310" s="114"/>
      <c r="I1310" s="60"/>
      <c r="J1310" s="60"/>
      <c r="K1310" s="114"/>
      <c r="L1310" s="114"/>
      <c r="M1310" s="60"/>
      <c r="N1310" s="60"/>
      <c r="O1310" s="114"/>
      <c r="P1310" s="114"/>
      <c r="Q1310" s="114"/>
      <c r="R1310" s="114"/>
      <c r="S1310" s="114"/>
      <c r="T1310" s="114"/>
      <c r="U1310" s="114"/>
      <c r="V1310" s="114"/>
      <c r="W1310" s="114"/>
      <c r="X1310" s="114"/>
      <c r="Y1310" s="114"/>
      <c r="Z1310" s="114"/>
    </row>
    <row r="1311" spans="1:26" ht="15.75" customHeight="1" x14ac:dyDescent="0.25">
      <c r="A1311" s="17" t="s">
        <v>467</v>
      </c>
      <c r="B1311" s="41"/>
      <c r="C1311" s="43">
        <f t="shared" ref="C1311:D1311" si="222">C1309</f>
        <v>66605608</v>
      </c>
      <c r="D1311" s="43">
        <f t="shared" si="222"/>
        <v>50371435</v>
      </c>
      <c r="E1311" s="43">
        <f>F1311-D1311</f>
        <v>17011705</v>
      </c>
      <c r="F1311" s="43">
        <f t="shared" ref="F1311:G1311" si="223">F1309</f>
        <v>67383140</v>
      </c>
      <c r="G1311" s="43">
        <f t="shared" si="223"/>
        <v>61637392</v>
      </c>
      <c r="H1311" s="114"/>
      <c r="I1311" s="60"/>
      <c r="J1311" s="60"/>
      <c r="K1311" s="114"/>
      <c r="L1311" s="114"/>
      <c r="M1311" s="60"/>
      <c r="N1311" s="60"/>
      <c r="O1311" s="114"/>
      <c r="P1311" s="114"/>
      <c r="Q1311" s="114"/>
      <c r="R1311" s="114"/>
      <c r="S1311" s="114"/>
      <c r="T1311" s="114"/>
      <c r="U1311" s="114"/>
      <c r="V1311" s="114"/>
      <c r="W1311" s="114"/>
      <c r="X1311" s="114"/>
      <c r="Y1311" s="114"/>
      <c r="Z1311" s="114"/>
    </row>
    <row r="1312" spans="1:26" ht="15.75" customHeight="1" x14ac:dyDescent="0.25">
      <c r="A1312" s="17"/>
      <c r="B1312" s="41"/>
      <c r="C1312" s="43"/>
      <c r="D1312" s="43"/>
      <c r="E1312" s="43"/>
      <c r="F1312" s="43"/>
      <c r="G1312" s="43"/>
      <c r="H1312" s="114"/>
      <c r="I1312" s="60"/>
      <c r="J1312" s="60"/>
      <c r="K1312" s="114"/>
      <c r="L1312" s="114"/>
      <c r="M1312" s="60"/>
      <c r="N1312" s="60"/>
      <c r="O1312" s="114"/>
      <c r="P1312" s="114"/>
      <c r="Q1312" s="114"/>
      <c r="R1312" s="114"/>
      <c r="S1312" s="114"/>
      <c r="T1312" s="114"/>
      <c r="U1312" s="114"/>
      <c r="V1312" s="114"/>
      <c r="W1312" s="114"/>
      <c r="X1312" s="114"/>
      <c r="Y1312" s="114"/>
      <c r="Z1312" s="114"/>
    </row>
    <row r="1313" spans="1:26" ht="15.75" customHeight="1" x14ac:dyDescent="0.25">
      <c r="A1313" s="50" t="s">
        <v>487</v>
      </c>
      <c r="B1313" s="51" t="s">
        <v>488</v>
      </c>
      <c r="C1313" s="54">
        <f t="shared" ref="C1313:D1313" si="224">C1311</f>
        <v>66605608</v>
      </c>
      <c r="D1313" s="54">
        <f t="shared" si="224"/>
        <v>50371435</v>
      </c>
      <c r="E1313" s="54">
        <f>F1313-D1313</f>
        <v>17011705</v>
      </c>
      <c r="F1313" s="54">
        <f t="shared" ref="F1313:G1313" si="225">F1311</f>
        <v>67383140</v>
      </c>
      <c r="G1313" s="54">
        <f t="shared" si="225"/>
        <v>61637392</v>
      </c>
      <c r="H1313" s="114"/>
      <c r="I1313" s="60"/>
      <c r="J1313" s="60"/>
      <c r="K1313" s="114"/>
      <c r="L1313" s="114"/>
      <c r="M1313" s="60"/>
      <c r="N1313" s="60"/>
      <c r="O1313" s="114"/>
      <c r="P1313" s="114"/>
      <c r="Q1313" s="114"/>
      <c r="R1313" s="114"/>
      <c r="S1313" s="114"/>
      <c r="T1313" s="114"/>
      <c r="U1313" s="114"/>
      <c r="V1313" s="114"/>
      <c r="W1313" s="114"/>
      <c r="X1313" s="114"/>
      <c r="Y1313" s="114"/>
      <c r="Z1313" s="114"/>
    </row>
    <row r="1314" spans="1:26" ht="15.75" customHeight="1" x14ac:dyDescent="0.25">
      <c r="A1314" s="24"/>
      <c r="B1314" s="25"/>
      <c r="C1314" s="26"/>
      <c r="D1314" s="26"/>
      <c r="E1314" s="26"/>
      <c r="F1314" s="26"/>
      <c r="G1314" s="26"/>
      <c r="H1314" s="114"/>
      <c r="I1314" s="60"/>
      <c r="J1314" s="60"/>
      <c r="K1314" s="114"/>
      <c r="L1314" s="114"/>
      <c r="M1314" s="60"/>
      <c r="N1314" s="60"/>
      <c r="O1314" s="114"/>
      <c r="P1314" s="114"/>
      <c r="Q1314" s="114"/>
      <c r="R1314" s="114"/>
      <c r="S1314" s="114"/>
      <c r="T1314" s="114"/>
      <c r="U1314" s="114"/>
      <c r="V1314" s="114"/>
      <c r="W1314" s="114"/>
      <c r="X1314" s="114"/>
      <c r="Y1314" s="114"/>
      <c r="Z1314" s="114"/>
    </row>
    <row r="1315" spans="1:26" ht="15.75" customHeight="1" x14ac:dyDescent="0.25">
      <c r="A1315" s="24"/>
      <c r="B1315" s="25"/>
      <c r="C1315" s="24"/>
      <c r="D1315" s="24"/>
      <c r="E1315" s="24"/>
      <c r="F1315" s="15"/>
      <c r="G1315" s="15"/>
      <c r="H1315" s="15"/>
      <c r="I1315" s="16"/>
      <c r="J1315" s="16"/>
      <c r="K1315" s="15"/>
      <c r="L1315" s="15"/>
      <c r="M1315" s="16"/>
      <c r="N1315" s="16"/>
      <c r="O1315" s="15"/>
      <c r="P1315" s="15"/>
      <c r="Q1315" s="15"/>
      <c r="R1315" s="15"/>
      <c r="S1315" s="15"/>
      <c r="T1315" s="15"/>
      <c r="U1315" s="15"/>
      <c r="V1315" s="15"/>
      <c r="W1315" s="15"/>
      <c r="X1315" s="15"/>
      <c r="Y1315" s="15"/>
      <c r="Z1315" s="15"/>
    </row>
    <row r="1316" spans="1:26" ht="15.75" customHeight="1" x14ac:dyDescent="0.25">
      <c r="A1316" s="9"/>
      <c r="B1316" s="104"/>
      <c r="C1316" s="105"/>
      <c r="D1316" s="105"/>
      <c r="E1316" s="105"/>
      <c r="F1316" s="10"/>
      <c r="G1316" s="180"/>
      <c r="H1316" s="15"/>
      <c r="I1316" s="16"/>
      <c r="J1316" s="16"/>
      <c r="K1316" s="15"/>
      <c r="L1316" s="15"/>
      <c r="M1316" s="16"/>
      <c r="N1316" s="16"/>
      <c r="O1316" s="15"/>
      <c r="P1316" s="15"/>
      <c r="Q1316" s="15"/>
      <c r="R1316" s="15"/>
      <c r="S1316" s="15"/>
      <c r="T1316" s="15"/>
      <c r="U1316" s="15"/>
      <c r="V1316" s="15"/>
      <c r="W1316" s="15"/>
      <c r="X1316" s="15"/>
      <c r="Y1316" s="15"/>
      <c r="Z1316" s="15"/>
    </row>
    <row r="1317" spans="1:26" ht="15.75" customHeight="1" x14ac:dyDescent="0.25">
      <c r="A1317" s="225" t="s">
        <v>1115</v>
      </c>
      <c r="B1317" s="25"/>
      <c r="C1317" s="26"/>
      <c r="D1317" s="26"/>
      <c r="E1317" s="26"/>
      <c r="F1317" s="14"/>
      <c r="G1317" s="181"/>
      <c r="H1317" s="15"/>
      <c r="I1317" s="16"/>
      <c r="J1317" s="16"/>
      <c r="K1317" s="15"/>
      <c r="L1317" s="15"/>
      <c r="M1317" s="16"/>
      <c r="N1317" s="16"/>
      <c r="O1317" s="15"/>
      <c r="P1317" s="15"/>
      <c r="Q1317" s="15"/>
      <c r="R1317" s="15"/>
      <c r="S1317" s="15"/>
      <c r="T1317" s="15"/>
      <c r="U1317" s="15"/>
      <c r="V1317" s="15"/>
      <c r="W1317" s="15"/>
      <c r="X1317" s="15"/>
      <c r="Y1317" s="15"/>
      <c r="Z1317" s="15"/>
    </row>
    <row r="1318" spans="1:26" ht="15.75" customHeight="1" x14ac:dyDescent="0.25">
      <c r="A1318" s="44"/>
      <c r="B1318" s="25"/>
      <c r="C1318" s="26"/>
      <c r="D1318" s="26"/>
      <c r="E1318" s="26"/>
      <c r="F1318" s="14"/>
      <c r="G1318" s="181"/>
      <c r="H1318" s="15"/>
      <c r="I1318" s="16"/>
      <c r="J1318" s="16"/>
      <c r="K1318" s="15"/>
      <c r="L1318" s="15"/>
      <c r="M1318" s="16"/>
      <c r="N1318" s="16"/>
      <c r="O1318" s="15"/>
      <c r="P1318" s="15"/>
      <c r="Q1318" s="15"/>
      <c r="R1318" s="15"/>
      <c r="S1318" s="15"/>
      <c r="T1318" s="15"/>
      <c r="U1318" s="15"/>
      <c r="V1318" s="15"/>
      <c r="W1318" s="15"/>
      <c r="X1318" s="15"/>
      <c r="Y1318" s="15"/>
      <c r="Z1318" s="15"/>
    </row>
    <row r="1319" spans="1:26" ht="15.75" customHeight="1" x14ac:dyDescent="0.25">
      <c r="A1319" s="865" t="s">
        <v>352</v>
      </c>
      <c r="B1319" s="866"/>
      <c r="C1319" s="866"/>
      <c r="D1319" s="866"/>
      <c r="E1319" s="866"/>
      <c r="F1319" s="866"/>
      <c r="G1319" s="867"/>
      <c r="H1319" s="15"/>
      <c r="I1319" s="16"/>
      <c r="J1319" s="16"/>
      <c r="K1319" s="15"/>
      <c r="L1319" s="15"/>
      <c r="M1319" s="16"/>
      <c r="N1319" s="16"/>
      <c r="O1319" s="15"/>
      <c r="P1319" s="15"/>
      <c r="Q1319" s="15"/>
      <c r="R1319" s="15"/>
      <c r="S1319" s="15"/>
      <c r="T1319" s="15"/>
      <c r="U1319" s="15"/>
      <c r="V1319" s="15"/>
      <c r="W1319" s="15"/>
      <c r="X1319" s="15"/>
      <c r="Y1319" s="15"/>
      <c r="Z1319" s="15"/>
    </row>
    <row r="1320" spans="1:26" ht="15.75" customHeight="1" x14ac:dyDescent="0.25">
      <c r="A1320" s="868" t="s">
        <v>353</v>
      </c>
      <c r="B1320" s="857" t="s">
        <v>354</v>
      </c>
      <c r="C1320" s="870" t="s">
        <v>355</v>
      </c>
      <c r="D1320" s="872" t="s">
        <v>356</v>
      </c>
      <c r="E1320" s="873"/>
      <c r="F1320" s="874"/>
      <c r="G1320" s="857" t="s">
        <v>357</v>
      </c>
      <c r="H1320" s="15"/>
      <c r="I1320" s="16"/>
      <c r="J1320" s="16"/>
      <c r="K1320" s="15"/>
      <c r="L1320" s="15"/>
      <c r="M1320" s="16"/>
      <c r="N1320" s="16"/>
      <c r="O1320" s="15"/>
      <c r="P1320" s="15"/>
      <c r="Q1320" s="15"/>
      <c r="R1320" s="15"/>
      <c r="S1320" s="15"/>
      <c r="T1320" s="15"/>
      <c r="U1320" s="15"/>
      <c r="V1320" s="15"/>
      <c r="W1320" s="15"/>
      <c r="X1320" s="15"/>
      <c r="Y1320" s="15"/>
      <c r="Z1320" s="15"/>
    </row>
    <row r="1321" spans="1:26" ht="15.75" customHeight="1" x14ac:dyDescent="0.25">
      <c r="A1321" s="858"/>
      <c r="B1321" s="858"/>
      <c r="C1321" s="871"/>
      <c r="D1321" s="28" t="s">
        <v>358</v>
      </c>
      <c r="E1321" s="29" t="s">
        <v>359</v>
      </c>
      <c r="F1321" s="875" t="s">
        <v>360</v>
      </c>
      <c r="G1321" s="858"/>
      <c r="H1321" s="15"/>
      <c r="I1321" s="16"/>
      <c r="J1321" s="16"/>
      <c r="K1321" s="15"/>
      <c r="L1321" s="15"/>
      <c r="M1321" s="16"/>
      <c r="N1321" s="16"/>
      <c r="O1321" s="15"/>
      <c r="P1321" s="15"/>
      <c r="Q1321" s="15"/>
      <c r="R1321" s="15"/>
      <c r="S1321" s="15"/>
      <c r="T1321" s="15"/>
      <c r="U1321" s="15"/>
      <c r="V1321" s="15"/>
      <c r="W1321" s="15"/>
      <c r="X1321" s="15"/>
      <c r="Y1321" s="15"/>
      <c r="Z1321" s="15"/>
    </row>
    <row r="1322" spans="1:26" ht="15.75" customHeight="1" x14ac:dyDescent="0.25">
      <c r="A1322" s="858"/>
      <c r="B1322" s="858"/>
      <c r="C1322" s="30" t="s">
        <v>361</v>
      </c>
      <c r="D1322" s="31" t="s">
        <v>361</v>
      </c>
      <c r="E1322" s="32" t="s">
        <v>362</v>
      </c>
      <c r="F1322" s="860"/>
      <c r="G1322" s="442" t="s">
        <v>2717</v>
      </c>
      <c r="H1322" s="15"/>
      <c r="I1322" s="16"/>
      <c r="J1322" s="16"/>
      <c r="K1322" s="15"/>
      <c r="L1322" s="15"/>
      <c r="M1322" s="16"/>
      <c r="N1322" s="16"/>
      <c r="O1322" s="15"/>
      <c r="P1322" s="15"/>
      <c r="Q1322" s="15"/>
      <c r="R1322" s="15"/>
      <c r="S1322" s="15"/>
      <c r="T1322" s="15"/>
      <c r="U1322" s="15"/>
      <c r="V1322" s="15"/>
      <c r="W1322" s="15"/>
      <c r="X1322" s="15"/>
      <c r="Y1322" s="15"/>
      <c r="Z1322" s="15"/>
    </row>
    <row r="1323" spans="1:26" ht="15.75" customHeight="1" x14ac:dyDescent="0.25">
      <c r="A1323" s="869"/>
      <c r="B1323" s="869"/>
      <c r="C1323" s="33">
        <v>2024</v>
      </c>
      <c r="D1323" s="34">
        <v>2025</v>
      </c>
      <c r="E1323" s="34">
        <v>2025</v>
      </c>
      <c r="F1323" s="34">
        <v>2025</v>
      </c>
      <c r="G1323" s="36" t="s">
        <v>2668</v>
      </c>
      <c r="H1323" s="15"/>
      <c r="I1323" s="16"/>
      <c r="J1323" s="16"/>
      <c r="K1323" s="15"/>
      <c r="L1323" s="15"/>
      <c r="M1323" s="16"/>
      <c r="N1323" s="16"/>
      <c r="O1323" s="15"/>
      <c r="P1323" s="15"/>
      <c r="Q1323" s="15"/>
      <c r="R1323" s="15"/>
      <c r="S1323" s="15"/>
      <c r="T1323" s="15"/>
      <c r="U1323" s="15"/>
      <c r="V1323" s="15"/>
      <c r="W1323" s="15"/>
      <c r="X1323" s="15"/>
      <c r="Y1323" s="15"/>
      <c r="Z1323" s="15"/>
    </row>
    <row r="1324" spans="1:26" ht="15.75" customHeight="1" x14ac:dyDescent="0.25">
      <c r="A1324" s="9" t="s">
        <v>364</v>
      </c>
      <c r="B1324" s="38"/>
      <c r="C1324" s="42"/>
      <c r="D1324" s="42"/>
      <c r="E1324" s="42"/>
      <c r="F1324" s="42"/>
      <c r="G1324" s="37"/>
      <c r="I1324" s="40"/>
      <c r="J1324" s="40"/>
      <c r="M1324" s="40"/>
      <c r="N1324" s="40"/>
    </row>
    <row r="1325" spans="1:26" ht="15.75" customHeight="1" x14ac:dyDescent="0.25">
      <c r="A1325" s="42" t="s">
        <v>491</v>
      </c>
      <c r="B1325" s="49"/>
      <c r="C1325" s="43"/>
      <c r="D1325" s="43"/>
      <c r="E1325" s="43"/>
      <c r="F1325" s="43"/>
      <c r="G1325" s="43"/>
      <c r="I1325" s="40"/>
      <c r="J1325" s="40"/>
      <c r="M1325" s="40"/>
      <c r="N1325" s="40"/>
    </row>
    <row r="1326" spans="1:26" ht="15.75" customHeight="1" x14ac:dyDescent="0.25">
      <c r="A1326" s="17" t="s">
        <v>642</v>
      </c>
      <c r="B1326" s="41"/>
      <c r="C1326" s="43"/>
      <c r="D1326" s="43"/>
      <c r="E1326" s="43"/>
      <c r="F1326" s="43"/>
      <c r="G1326" s="43"/>
      <c r="I1326" s="40"/>
      <c r="J1326" s="40"/>
      <c r="M1326" s="40"/>
      <c r="N1326" s="40"/>
    </row>
    <row r="1327" spans="1:26" ht="15.75" customHeight="1" x14ac:dyDescent="0.25">
      <c r="A1327" s="44" t="s">
        <v>393</v>
      </c>
      <c r="B1327" s="41" t="s">
        <v>187</v>
      </c>
      <c r="C1327" s="43">
        <v>0</v>
      </c>
      <c r="D1327" s="43">
        <v>0</v>
      </c>
      <c r="E1327" s="43">
        <v>0</v>
      </c>
      <c r="F1327" s="43">
        <v>0</v>
      </c>
      <c r="G1327" s="43">
        <v>20000</v>
      </c>
      <c r="I1327" s="40"/>
      <c r="J1327" s="40"/>
      <c r="M1327" s="40"/>
      <c r="N1327" s="40"/>
    </row>
    <row r="1328" spans="1:26" ht="15.75" customHeight="1" x14ac:dyDescent="0.25">
      <c r="A1328" s="17" t="s">
        <v>493</v>
      </c>
      <c r="B1328" s="41"/>
      <c r="C1328" s="43"/>
      <c r="D1328" s="43"/>
      <c r="E1328" s="43"/>
      <c r="F1328" s="43"/>
      <c r="G1328" s="43"/>
      <c r="I1328" s="40"/>
      <c r="J1328" s="40"/>
      <c r="M1328" s="40"/>
      <c r="N1328" s="40"/>
    </row>
    <row r="1329" spans="1:26" ht="15.75" customHeight="1" x14ac:dyDescent="0.25">
      <c r="A1329" s="44" t="s">
        <v>396</v>
      </c>
      <c r="B1329" s="41" t="s">
        <v>191</v>
      </c>
      <c r="C1329" s="43">
        <v>55497</v>
      </c>
      <c r="D1329" s="43">
        <v>0</v>
      </c>
      <c r="E1329" s="43">
        <f>F1329-D1329</f>
        <v>43000</v>
      </c>
      <c r="F1329" s="43">
        <v>43000</v>
      </c>
      <c r="G1329" s="43">
        <v>37000</v>
      </c>
      <c r="I1329" s="40"/>
      <c r="J1329" s="40"/>
      <c r="M1329" s="40"/>
      <c r="N1329" s="40"/>
    </row>
    <row r="1330" spans="1:26" ht="15.75" customHeight="1" x14ac:dyDescent="0.25">
      <c r="A1330" s="42" t="s">
        <v>499</v>
      </c>
      <c r="B1330" s="41"/>
      <c r="C1330" s="43"/>
      <c r="D1330" s="43"/>
      <c r="E1330" s="43"/>
      <c r="F1330" s="43"/>
      <c r="G1330" s="43"/>
      <c r="H1330" s="114"/>
      <c r="I1330" s="60"/>
      <c r="J1330" s="60"/>
      <c r="K1330" s="114"/>
      <c r="L1330" s="114"/>
      <c r="M1330" s="60"/>
      <c r="N1330" s="60"/>
      <c r="O1330" s="114"/>
      <c r="P1330" s="114"/>
      <c r="Q1330" s="114"/>
      <c r="R1330" s="114"/>
      <c r="S1330" s="114"/>
      <c r="T1330" s="114"/>
      <c r="U1330" s="114"/>
      <c r="V1330" s="114"/>
      <c r="W1330" s="114"/>
      <c r="X1330" s="114"/>
      <c r="Y1330" s="114"/>
      <c r="Z1330" s="114"/>
    </row>
    <row r="1331" spans="1:26" ht="15.75" customHeight="1" x14ac:dyDescent="0.25">
      <c r="A1331" s="44" t="s">
        <v>398</v>
      </c>
      <c r="B1331" s="41" t="s">
        <v>195</v>
      </c>
      <c r="C1331" s="43">
        <v>27171.52</v>
      </c>
      <c r="D1331" s="43">
        <v>0</v>
      </c>
      <c r="E1331" s="43">
        <f t="shared" ref="E1331:E1333" si="226">F1331-D1331</f>
        <v>79629</v>
      </c>
      <c r="F1331" s="43">
        <v>79629</v>
      </c>
      <c r="G1331" s="43">
        <v>70370</v>
      </c>
      <c r="H1331" s="114"/>
      <c r="I1331" s="60"/>
      <c r="J1331" s="60"/>
      <c r="K1331" s="114"/>
      <c r="L1331" s="114"/>
      <c r="M1331" s="60"/>
      <c r="N1331" s="60"/>
      <c r="O1331" s="114"/>
      <c r="P1331" s="114"/>
      <c r="Q1331" s="114"/>
      <c r="R1331" s="114"/>
      <c r="S1331" s="114"/>
      <c r="T1331" s="114"/>
      <c r="U1331" s="114"/>
      <c r="V1331" s="114"/>
      <c r="W1331" s="114"/>
      <c r="X1331" s="114"/>
      <c r="Y1331" s="114"/>
      <c r="Z1331" s="114"/>
    </row>
    <row r="1332" spans="1:26" ht="15.75" customHeight="1" x14ac:dyDescent="0.25">
      <c r="A1332" s="96" t="s">
        <v>400</v>
      </c>
      <c r="B1332" s="41" t="s">
        <v>614</v>
      </c>
      <c r="C1332" s="43">
        <v>0</v>
      </c>
      <c r="D1332" s="43">
        <v>0</v>
      </c>
      <c r="E1332" s="43">
        <f t="shared" si="226"/>
        <v>95000</v>
      </c>
      <c r="F1332" s="43">
        <v>95000</v>
      </c>
      <c r="G1332" s="43">
        <v>68500</v>
      </c>
      <c r="H1332" s="114"/>
      <c r="I1332" s="60"/>
      <c r="J1332" s="60"/>
      <c r="K1332" s="114"/>
      <c r="L1332" s="114"/>
      <c r="M1332" s="60"/>
      <c r="N1332" s="60"/>
      <c r="O1332" s="114"/>
      <c r="P1332" s="114"/>
      <c r="Q1332" s="114"/>
      <c r="R1332" s="114"/>
      <c r="S1332" s="114"/>
      <c r="T1332" s="114"/>
      <c r="U1332" s="114"/>
      <c r="V1332" s="114"/>
      <c r="W1332" s="114"/>
      <c r="X1332" s="114"/>
      <c r="Y1332" s="114"/>
      <c r="Z1332" s="114"/>
    </row>
    <row r="1333" spans="1:26" ht="15.75" customHeight="1" x14ac:dyDescent="0.25">
      <c r="A1333" s="44" t="s">
        <v>402</v>
      </c>
      <c r="B1333" s="41" t="s">
        <v>225</v>
      </c>
      <c r="C1333" s="43">
        <v>51681.3</v>
      </c>
      <c r="D1333" s="43">
        <v>0</v>
      </c>
      <c r="E1333" s="43">
        <f t="shared" si="226"/>
        <v>4900</v>
      </c>
      <c r="F1333" s="43">
        <v>4900</v>
      </c>
      <c r="G1333" s="43">
        <v>50000</v>
      </c>
      <c r="H1333" s="114"/>
      <c r="I1333" s="60"/>
      <c r="J1333" s="60"/>
      <c r="K1333" s="114"/>
      <c r="L1333" s="114"/>
      <c r="M1333" s="60"/>
      <c r="N1333" s="60"/>
      <c r="O1333" s="114"/>
      <c r="P1333" s="114"/>
      <c r="Q1333" s="114"/>
      <c r="R1333" s="114"/>
      <c r="S1333" s="114"/>
      <c r="T1333" s="114"/>
      <c r="U1333" s="114"/>
      <c r="V1333" s="114"/>
      <c r="W1333" s="114"/>
      <c r="X1333" s="114"/>
      <c r="Y1333" s="114"/>
      <c r="Z1333" s="114"/>
    </row>
    <row r="1334" spans="1:26" ht="15.75" customHeight="1" x14ac:dyDescent="0.25">
      <c r="A1334" s="17" t="s">
        <v>511</v>
      </c>
      <c r="B1334" s="41"/>
      <c r="C1334" s="42"/>
      <c r="D1334" s="42"/>
      <c r="E1334" s="43"/>
      <c r="F1334" s="43"/>
      <c r="G1334" s="43"/>
      <c r="H1334" s="114"/>
      <c r="I1334" s="60"/>
      <c r="J1334" s="60"/>
      <c r="K1334" s="114"/>
      <c r="L1334" s="114"/>
      <c r="M1334" s="60"/>
      <c r="N1334" s="60"/>
      <c r="O1334" s="114"/>
      <c r="P1334" s="114"/>
      <c r="Q1334" s="114"/>
      <c r="R1334" s="114"/>
      <c r="S1334" s="114"/>
      <c r="T1334" s="114"/>
      <c r="U1334" s="114"/>
      <c r="V1334" s="114"/>
      <c r="W1334" s="114"/>
      <c r="X1334" s="114"/>
      <c r="Y1334" s="114"/>
      <c r="Z1334" s="114"/>
    </row>
    <row r="1335" spans="1:26" ht="15.75" customHeight="1" x14ac:dyDescent="0.25">
      <c r="A1335" s="44" t="s">
        <v>424</v>
      </c>
      <c r="B1335" s="41" t="s">
        <v>335</v>
      </c>
      <c r="C1335" s="43">
        <v>1654605</v>
      </c>
      <c r="D1335" s="43">
        <v>642798</v>
      </c>
      <c r="E1335" s="43">
        <f>F1335-D1335</f>
        <v>1084122</v>
      </c>
      <c r="F1335" s="43">
        <v>1726920</v>
      </c>
      <c r="G1335" s="43">
        <v>2213640</v>
      </c>
      <c r="H1335" s="114"/>
      <c r="I1335" s="60"/>
      <c r="J1335" s="60"/>
      <c r="K1335" s="114"/>
      <c r="L1335" s="114"/>
      <c r="M1335" s="60"/>
      <c r="N1335" s="60"/>
      <c r="O1335" s="114"/>
      <c r="P1335" s="114"/>
      <c r="Q1335" s="114"/>
      <c r="R1335" s="114"/>
      <c r="S1335" s="114"/>
      <c r="T1335" s="114"/>
      <c r="U1335" s="114"/>
      <c r="V1335" s="114"/>
      <c r="W1335" s="114"/>
      <c r="X1335" s="114"/>
      <c r="Y1335" s="114"/>
      <c r="Z1335" s="114"/>
    </row>
    <row r="1336" spans="1:26" ht="15.75" customHeight="1" x14ac:dyDescent="0.25">
      <c r="A1336" s="44" t="s">
        <v>864</v>
      </c>
      <c r="B1336" s="41"/>
      <c r="C1336" s="43"/>
      <c r="D1336" s="43"/>
      <c r="E1336" s="43"/>
      <c r="F1336" s="43"/>
      <c r="G1336" s="43"/>
      <c r="H1336" s="114"/>
      <c r="I1336" s="210" t="s">
        <v>877</v>
      </c>
      <c r="J1336" s="211" t="s">
        <v>878</v>
      </c>
      <c r="K1336" s="210" t="s">
        <v>879</v>
      </c>
      <c r="L1336" s="8" t="s">
        <v>880</v>
      </c>
      <c r="M1336" s="210" t="s">
        <v>881</v>
      </c>
      <c r="N1336" s="60"/>
      <c r="O1336" s="114"/>
      <c r="P1336" s="114"/>
      <c r="Q1336" s="114"/>
      <c r="R1336" s="114"/>
      <c r="S1336" s="114"/>
      <c r="T1336" s="114"/>
      <c r="U1336" s="114"/>
      <c r="V1336" s="114"/>
      <c r="W1336" s="114"/>
      <c r="X1336" s="114"/>
      <c r="Y1336" s="114"/>
      <c r="Z1336" s="114"/>
    </row>
    <row r="1337" spans="1:26" ht="31.5" x14ac:dyDescent="0.25">
      <c r="A1337" s="118" t="s">
        <v>1116</v>
      </c>
      <c r="B1337" s="41"/>
      <c r="C1337" s="43"/>
      <c r="D1337" s="43"/>
      <c r="E1337" s="43"/>
      <c r="F1337" s="43"/>
      <c r="G1337" s="43"/>
      <c r="H1337" s="114"/>
      <c r="I1337" s="60">
        <v>678</v>
      </c>
      <c r="J1337" s="211">
        <v>1</v>
      </c>
      <c r="K1337" s="8">
        <v>22</v>
      </c>
      <c r="L1337" s="8">
        <v>12</v>
      </c>
      <c r="M1337" s="60">
        <f t="shared" ref="M1337:M1341" si="227">I1337*J1337*K1337*L1337</f>
        <v>178992</v>
      </c>
      <c r="N1337" s="60"/>
      <c r="O1337" s="114"/>
      <c r="P1337" s="114"/>
      <c r="Q1337" s="114"/>
      <c r="R1337" s="114"/>
      <c r="S1337" s="114"/>
      <c r="T1337" s="114"/>
      <c r="U1337" s="114"/>
      <c r="V1337" s="114"/>
      <c r="W1337" s="114"/>
      <c r="X1337" s="114"/>
      <c r="Y1337" s="114"/>
      <c r="Z1337" s="114"/>
    </row>
    <row r="1338" spans="1:26" ht="31.5" x14ac:dyDescent="0.25">
      <c r="A1338" s="118" t="s">
        <v>1117</v>
      </c>
      <c r="B1338" s="41"/>
      <c r="C1338" s="43"/>
      <c r="D1338" s="43"/>
      <c r="E1338" s="43"/>
      <c r="F1338" s="43"/>
      <c r="G1338" s="43"/>
      <c r="H1338" s="114"/>
      <c r="I1338" s="60">
        <v>678</v>
      </c>
      <c r="J1338" s="211">
        <v>1</v>
      </c>
      <c r="K1338" s="8">
        <v>22</v>
      </c>
      <c r="L1338" s="8">
        <v>12</v>
      </c>
      <c r="M1338" s="60">
        <f t="shared" si="227"/>
        <v>178992</v>
      </c>
      <c r="N1338" s="60"/>
      <c r="O1338" s="114"/>
      <c r="P1338" s="114"/>
      <c r="Q1338" s="114"/>
      <c r="R1338" s="114"/>
      <c r="S1338" s="114"/>
      <c r="T1338" s="114"/>
      <c r="U1338" s="114"/>
      <c r="V1338" s="114"/>
      <c r="W1338" s="114"/>
      <c r="X1338" s="114"/>
      <c r="Y1338" s="114"/>
      <c r="Z1338" s="114"/>
    </row>
    <row r="1339" spans="1:26" ht="31.5" x14ac:dyDescent="0.25">
      <c r="A1339" s="118" t="s">
        <v>1118</v>
      </c>
      <c r="B1339" s="41"/>
      <c r="C1339" s="43"/>
      <c r="D1339" s="43"/>
      <c r="E1339" s="43"/>
      <c r="F1339" s="43"/>
      <c r="G1339" s="43"/>
      <c r="H1339" s="114"/>
      <c r="I1339" s="60">
        <v>639</v>
      </c>
      <c r="J1339" s="211">
        <v>2</v>
      </c>
      <c r="K1339" s="8">
        <v>22</v>
      </c>
      <c r="L1339" s="8">
        <v>12</v>
      </c>
      <c r="M1339" s="60">
        <f t="shared" si="227"/>
        <v>337392</v>
      </c>
      <c r="N1339" s="60"/>
      <c r="O1339" s="114"/>
      <c r="P1339" s="114"/>
      <c r="Q1339" s="114"/>
      <c r="R1339" s="114"/>
      <c r="S1339" s="114"/>
      <c r="T1339" s="114"/>
      <c r="U1339" s="114"/>
      <c r="V1339" s="114"/>
      <c r="W1339" s="114"/>
      <c r="X1339" s="114"/>
      <c r="Y1339" s="114"/>
      <c r="Z1339" s="114"/>
    </row>
    <row r="1340" spans="1:26" ht="31.5" x14ac:dyDescent="0.25">
      <c r="A1340" s="118" t="s">
        <v>1119</v>
      </c>
      <c r="B1340" s="41"/>
      <c r="C1340" s="43"/>
      <c r="D1340" s="43"/>
      <c r="E1340" s="43"/>
      <c r="F1340" s="43"/>
      <c r="G1340" s="43"/>
      <c r="H1340" s="114"/>
      <c r="I1340" s="60">
        <v>639</v>
      </c>
      <c r="J1340" s="211">
        <v>4</v>
      </c>
      <c r="K1340" s="8">
        <v>22</v>
      </c>
      <c r="L1340" s="8">
        <v>12</v>
      </c>
      <c r="M1340" s="60">
        <f t="shared" si="227"/>
        <v>674784</v>
      </c>
      <c r="N1340" s="60"/>
      <c r="O1340" s="114"/>
      <c r="P1340" s="114"/>
      <c r="Q1340" s="114"/>
      <c r="R1340" s="114"/>
      <c r="S1340" s="114"/>
      <c r="T1340" s="114"/>
      <c r="U1340" s="114"/>
      <c r="V1340" s="114"/>
      <c r="W1340" s="114"/>
      <c r="X1340" s="114"/>
      <c r="Y1340" s="114"/>
      <c r="Z1340" s="114"/>
    </row>
    <row r="1341" spans="1:26" ht="31.5" x14ac:dyDescent="0.25">
      <c r="A1341" s="118" t="s">
        <v>1120</v>
      </c>
      <c r="B1341" s="41"/>
      <c r="C1341" s="43"/>
      <c r="D1341" s="43"/>
      <c r="E1341" s="43"/>
      <c r="F1341" s="43"/>
      <c r="G1341" s="43"/>
      <c r="H1341" s="114"/>
      <c r="I1341" s="60">
        <v>639</v>
      </c>
      <c r="J1341" s="211">
        <v>5</v>
      </c>
      <c r="K1341" s="8">
        <v>22</v>
      </c>
      <c r="L1341" s="8">
        <v>12</v>
      </c>
      <c r="M1341" s="60">
        <f t="shared" si="227"/>
        <v>843480</v>
      </c>
      <c r="N1341" s="60">
        <f>SUM(M1337:M1341)</f>
        <v>2213640</v>
      </c>
      <c r="O1341" s="114"/>
      <c r="P1341" s="114"/>
      <c r="Q1341" s="114"/>
      <c r="R1341" s="114"/>
      <c r="S1341" s="114"/>
      <c r="T1341" s="114"/>
      <c r="U1341" s="114"/>
      <c r="V1341" s="114"/>
      <c r="W1341" s="114"/>
      <c r="X1341" s="114"/>
      <c r="Y1341" s="114"/>
      <c r="Z1341" s="114"/>
    </row>
    <row r="1342" spans="1:26" ht="15.75" customHeight="1" x14ac:dyDescent="0.25">
      <c r="A1342" s="42" t="s">
        <v>466</v>
      </c>
      <c r="B1342" s="41"/>
      <c r="C1342" s="54">
        <f>SUM(C1329:C1335)</f>
        <v>1788954.82</v>
      </c>
      <c r="D1342" s="54">
        <f>SUM(D1329:D1335)</f>
        <v>642798</v>
      </c>
      <c r="E1342" s="54">
        <f>F1342-D1342</f>
        <v>1306651</v>
      </c>
      <c r="F1342" s="54">
        <f>SUM(F1329:F1335)</f>
        <v>1949449</v>
      </c>
      <c r="G1342" s="54">
        <f>SUM(G1327:G1335)</f>
        <v>2459510</v>
      </c>
      <c r="H1342" s="114"/>
      <c r="I1342" s="60"/>
      <c r="J1342" s="60"/>
      <c r="K1342" s="114"/>
      <c r="L1342" s="114"/>
      <c r="M1342" s="60"/>
      <c r="N1342" s="60"/>
      <c r="O1342" s="114"/>
      <c r="P1342" s="114"/>
      <c r="Q1342" s="114"/>
      <c r="R1342" s="114"/>
      <c r="S1342" s="114"/>
      <c r="T1342" s="114"/>
      <c r="U1342" s="114"/>
      <c r="V1342" s="114"/>
      <c r="W1342" s="114"/>
      <c r="X1342" s="114"/>
      <c r="Y1342" s="114"/>
      <c r="Z1342" s="114"/>
    </row>
    <row r="1343" spans="1:26" ht="15.75" customHeight="1" x14ac:dyDescent="0.25">
      <c r="A1343" s="17"/>
      <c r="B1343" s="41"/>
      <c r="C1343" s="55"/>
      <c r="D1343" s="55"/>
      <c r="E1343" s="43"/>
      <c r="F1343" s="55"/>
      <c r="G1343" s="55"/>
      <c r="H1343" s="114"/>
      <c r="I1343" s="60"/>
      <c r="J1343" s="60"/>
      <c r="K1343" s="114"/>
      <c r="L1343" s="114"/>
      <c r="M1343" s="60"/>
      <c r="N1343" s="60"/>
      <c r="O1343" s="114"/>
      <c r="P1343" s="114"/>
      <c r="Q1343" s="114"/>
      <c r="R1343" s="114"/>
      <c r="S1343" s="114"/>
      <c r="T1343" s="114"/>
      <c r="U1343" s="114"/>
      <c r="V1343" s="114"/>
      <c r="W1343" s="114"/>
      <c r="X1343" s="114"/>
      <c r="Y1343" s="114"/>
      <c r="Z1343" s="114"/>
    </row>
    <row r="1344" spans="1:26" ht="15.75" customHeight="1" x14ac:dyDescent="0.25">
      <c r="A1344" s="446" t="s">
        <v>467</v>
      </c>
      <c r="B1344" s="437"/>
      <c r="C1344" s="438">
        <f t="shared" ref="C1344:D1344" si="228">C1342</f>
        <v>1788954.82</v>
      </c>
      <c r="D1344" s="438">
        <f t="shared" si="228"/>
        <v>642798</v>
      </c>
      <c r="E1344" s="438">
        <f>F1344-D1344</f>
        <v>1306651</v>
      </c>
      <c r="F1344" s="438">
        <f t="shared" ref="F1344:G1344" si="229">F1342</f>
        <v>1949449</v>
      </c>
      <c r="G1344" s="438">
        <f t="shared" si="229"/>
        <v>2459510</v>
      </c>
      <c r="H1344" s="114"/>
      <c r="I1344" s="60"/>
      <c r="J1344" s="60"/>
      <c r="K1344" s="114"/>
      <c r="L1344" s="114"/>
      <c r="M1344" s="60"/>
      <c r="N1344" s="60"/>
      <c r="O1344" s="114"/>
      <c r="P1344" s="114"/>
      <c r="Q1344" s="114"/>
      <c r="R1344" s="114"/>
      <c r="S1344" s="114"/>
      <c r="T1344" s="114"/>
      <c r="U1344" s="114"/>
      <c r="V1344" s="114"/>
      <c r="W1344" s="114"/>
      <c r="X1344" s="114"/>
      <c r="Y1344" s="114"/>
      <c r="Z1344" s="114"/>
    </row>
    <row r="1345" spans="1:26" ht="15.75" customHeight="1" x14ac:dyDescent="0.25">
      <c r="A1345" s="446"/>
      <c r="B1345" s="437"/>
      <c r="C1345" s="438"/>
      <c r="D1345" s="438"/>
      <c r="E1345" s="438"/>
      <c r="F1345" s="438"/>
      <c r="G1345" s="438"/>
      <c r="H1345" s="114"/>
      <c r="I1345" s="60"/>
      <c r="J1345" s="60"/>
      <c r="K1345" s="114"/>
      <c r="L1345" s="114"/>
      <c r="M1345" s="60"/>
      <c r="N1345" s="60"/>
      <c r="O1345" s="114"/>
      <c r="P1345" s="114"/>
      <c r="Q1345" s="114"/>
      <c r="R1345" s="114"/>
      <c r="S1345" s="114"/>
      <c r="T1345" s="114"/>
      <c r="U1345" s="114"/>
      <c r="V1345" s="114"/>
      <c r="W1345" s="114"/>
      <c r="X1345" s="114"/>
      <c r="Y1345" s="114"/>
      <c r="Z1345" s="114"/>
    </row>
    <row r="1346" spans="1:26" ht="15.75" customHeight="1" x14ac:dyDescent="0.25">
      <c r="A1346" s="50" t="s">
        <v>487</v>
      </c>
      <c r="B1346" s="51" t="s">
        <v>488</v>
      </c>
      <c r="C1346" s="54">
        <f t="shared" ref="C1346:D1346" si="230">C1344</f>
        <v>1788954.82</v>
      </c>
      <c r="D1346" s="54">
        <f t="shared" si="230"/>
        <v>642798</v>
      </c>
      <c r="E1346" s="54">
        <f>F1346-D1346</f>
        <v>1306651</v>
      </c>
      <c r="F1346" s="54">
        <f t="shared" ref="F1346:G1346" si="231">F1344</f>
        <v>1949449</v>
      </c>
      <c r="G1346" s="54">
        <f t="shared" si="231"/>
        <v>2459510</v>
      </c>
      <c r="H1346" s="114"/>
      <c r="I1346" s="60"/>
      <c r="J1346" s="60"/>
      <c r="K1346" s="114"/>
      <c r="L1346" s="114"/>
      <c r="M1346" s="60"/>
      <c r="N1346" s="60"/>
      <c r="O1346" s="114"/>
      <c r="P1346" s="114"/>
      <c r="Q1346" s="114"/>
      <c r="R1346" s="114"/>
      <c r="S1346" s="114"/>
      <c r="T1346" s="114"/>
      <c r="U1346" s="114"/>
      <c r="V1346" s="114"/>
      <c r="W1346" s="114"/>
      <c r="X1346" s="114"/>
      <c r="Y1346" s="114"/>
      <c r="Z1346" s="114"/>
    </row>
    <row r="1347" spans="1:26" ht="15.75" customHeight="1" x14ac:dyDescent="0.25">
      <c r="A1347" s="24"/>
      <c r="B1347" s="25"/>
      <c r="C1347" s="26"/>
      <c r="D1347" s="26"/>
      <c r="E1347" s="26"/>
      <c r="F1347" s="26"/>
      <c r="G1347" s="26"/>
      <c r="H1347" s="114"/>
      <c r="I1347" s="60"/>
      <c r="J1347" s="60"/>
      <c r="K1347" s="114"/>
      <c r="L1347" s="114"/>
      <c r="M1347" s="60"/>
      <c r="N1347" s="60"/>
      <c r="O1347" s="114"/>
      <c r="P1347" s="114"/>
      <c r="Q1347" s="114"/>
      <c r="R1347" s="114"/>
      <c r="S1347" s="114"/>
      <c r="T1347" s="114"/>
      <c r="U1347" s="114"/>
      <c r="V1347" s="114"/>
      <c r="W1347" s="114"/>
      <c r="X1347" s="114"/>
      <c r="Y1347" s="114"/>
      <c r="Z1347" s="114"/>
    </row>
    <row r="1348" spans="1:26" ht="15.75" customHeight="1" x14ac:dyDescent="0.25">
      <c r="A1348" s="24"/>
      <c r="B1348" s="25"/>
      <c r="C1348" s="24"/>
      <c r="D1348" s="24"/>
      <c r="E1348" s="24"/>
      <c r="F1348" s="15"/>
      <c r="G1348" s="15"/>
      <c r="H1348" s="15"/>
      <c r="I1348" s="16"/>
      <c r="J1348" s="16"/>
      <c r="K1348" s="15"/>
      <c r="L1348" s="15"/>
      <c r="M1348" s="16"/>
      <c r="N1348" s="16"/>
      <c r="O1348" s="15"/>
      <c r="P1348" s="15"/>
      <c r="Q1348" s="15"/>
      <c r="R1348" s="15"/>
      <c r="S1348" s="15"/>
      <c r="T1348" s="15"/>
      <c r="U1348" s="15"/>
      <c r="V1348" s="15"/>
      <c r="W1348" s="15"/>
      <c r="X1348" s="15"/>
      <c r="Y1348" s="15"/>
      <c r="Z1348" s="15"/>
    </row>
    <row r="1349" spans="1:26" ht="15.75" customHeight="1" x14ac:dyDescent="0.25">
      <c r="A1349" s="9"/>
      <c r="B1349" s="104"/>
      <c r="C1349" s="105"/>
      <c r="D1349" s="105"/>
      <c r="E1349" s="105"/>
      <c r="F1349" s="10"/>
      <c r="G1349" s="180"/>
      <c r="H1349" s="15"/>
      <c r="I1349" s="16"/>
      <c r="J1349" s="16"/>
      <c r="K1349" s="15"/>
      <c r="L1349" s="15"/>
      <c r="M1349" s="16"/>
      <c r="N1349" s="16"/>
      <c r="O1349" s="15"/>
      <c r="P1349" s="15"/>
      <c r="Q1349" s="15"/>
      <c r="R1349" s="15"/>
      <c r="S1349" s="15"/>
      <c r="T1349" s="15"/>
      <c r="U1349" s="15"/>
      <c r="V1349" s="15"/>
      <c r="W1349" s="15"/>
      <c r="X1349" s="15"/>
      <c r="Y1349" s="15"/>
      <c r="Z1349" s="15"/>
    </row>
    <row r="1350" spans="1:26" ht="15.75" customHeight="1" x14ac:dyDescent="0.25">
      <c r="A1350" s="108" t="s">
        <v>1121</v>
      </c>
      <c r="B1350" s="25"/>
      <c r="C1350" s="26"/>
      <c r="D1350" s="26"/>
      <c r="E1350" s="26"/>
      <c r="F1350" s="14"/>
      <c r="G1350" s="181"/>
      <c r="H1350" s="15"/>
      <c r="I1350" s="16"/>
      <c r="J1350" s="16"/>
      <c r="K1350" s="15"/>
      <c r="L1350" s="15"/>
      <c r="M1350" s="16"/>
      <c r="N1350" s="16"/>
      <c r="O1350" s="15"/>
      <c r="P1350" s="15"/>
      <c r="Q1350" s="15"/>
      <c r="R1350" s="15"/>
      <c r="S1350" s="15"/>
      <c r="T1350" s="15"/>
      <c r="U1350" s="15"/>
      <c r="V1350" s="15"/>
      <c r="W1350" s="15"/>
      <c r="X1350" s="15"/>
      <c r="Y1350" s="15"/>
      <c r="Z1350" s="15"/>
    </row>
    <row r="1351" spans="1:26" ht="15.75" customHeight="1" x14ac:dyDescent="0.25">
      <c r="A1351" s="44"/>
      <c r="B1351" s="25"/>
      <c r="C1351" s="26"/>
      <c r="D1351" s="26"/>
      <c r="E1351" s="26"/>
      <c r="F1351" s="14"/>
      <c r="G1351" s="181"/>
      <c r="H1351" s="15"/>
      <c r="I1351" s="16"/>
      <c r="J1351" s="16"/>
      <c r="K1351" s="15"/>
      <c r="L1351" s="15"/>
      <c r="M1351" s="16"/>
      <c r="N1351" s="16"/>
      <c r="O1351" s="15"/>
      <c r="P1351" s="15"/>
      <c r="Q1351" s="15"/>
      <c r="R1351" s="15"/>
      <c r="S1351" s="15"/>
      <c r="T1351" s="15"/>
      <c r="U1351" s="15"/>
      <c r="V1351" s="15"/>
      <c r="W1351" s="15"/>
      <c r="X1351" s="15"/>
      <c r="Y1351" s="15"/>
      <c r="Z1351" s="15"/>
    </row>
    <row r="1352" spans="1:26" ht="15.75" customHeight="1" x14ac:dyDescent="0.25">
      <c r="A1352" s="865" t="s">
        <v>352</v>
      </c>
      <c r="B1352" s="866"/>
      <c r="C1352" s="866"/>
      <c r="D1352" s="866"/>
      <c r="E1352" s="866"/>
      <c r="F1352" s="866"/>
      <c r="G1352" s="867"/>
      <c r="H1352" s="15"/>
      <c r="I1352" s="16"/>
      <c r="J1352" s="16"/>
      <c r="K1352" s="15"/>
      <c r="L1352" s="15"/>
      <c r="M1352" s="16"/>
      <c r="N1352" s="16"/>
      <c r="O1352" s="15"/>
      <c r="P1352" s="15"/>
      <c r="Q1352" s="15"/>
      <c r="R1352" s="15"/>
      <c r="S1352" s="15"/>
      <c r="T1352" s="15"/>
      <c r="U1352" s="15"/>
      <c r="V1352" s="15"/>
      <c r="W1352" s="15"/>
      <c r="X1352" s="15"/>
      <c r="Y1352" s="15"/>
      <c r="Z1352" s="15"/>
    </row>
    <row r="1353" spans="1:26" ht="15.75" customHeight="1" x14ac:dyDescent="0.25">
      <c r="A1353" s="868" t="s">
        <v>353</v>
      </c>
      <c r="B1353" s="857" t="s">
        <v>354</v>
      </c>
      <c r="C1353" s="870" t="s">
        <v>355</v>
      </c>
      <c r="D1353" s="872" t="s">
        <v>356</v>
      </c>
      <c r="E1353" s="873"/>
      <c r="F1353" s="874"/>
      <c r="G1353" s="857" t="s">
        <v>357</v>
      </c>
      <c r="H1353" s="15"/>
      <c r="I1353" s="16"/>
      <c r="J1353" s="16"/>
      <c r="K1353" s="15"/>
      <c r="L1353" s="15"/>
      <c r="M1353" s="16"/>
      <c r="N1353" s="16"/>
      <c r="O1353" s="15"/>
      <c r="P1353" s="15"/>
      <c r="Q1353" s="15"/>
      <c r="R1353" s="15"/>
      <c r="S1353" s="15"/>
      <c r="T1353" s="15"/>
      <c r="U1353" s="15"/>
      <c r="V1353" s="15"/>
      <c r="W1353" s="15"/>
      <c r="X1353" s="15"/>
      <c r="Y1353" s="15"/>
      <c r="Z1353" s="15"/>
    </row>
    <row r="1354" spans="1:26" ht="15.75" customHeight="1" x14ac:dyDescent="0.25">
      <c r="A1354" s="858"/>
      <c r="B1354" s="858"/>
      <c r="C1354" s="871"/>
      <c r="D1354" s="28" t="s">
        <v>358</v>
      </c>
      <c r="E1354" s="29" t="s">
        <v>359</v>
      </c>
      <c r="F1354" s="875" t="s">
        <v>360</v>
      </c>
      <c r="G1354" s="858"/>
      <c r="H1354" s="15"/>
      <c r="I1354" s="16"/>
      <c r="J1354" s="16"/>
      <c r="K1354" s="15"/>
      <c r="L1354" s="15"/>
      <c r="M1354" s="16"/>
      <c r="N1354" s="16"/>
      <c r="O1354" s="15"/>
      <c r="P1354" s="15"/>
      <c r="Q1354" s="15"/>
      <c r="R1354" s="15"/>
      <c r="S1354" s="15"/>
      <c r="T1354" s="15"/>
      <c r="U1354" s="15"/>
      <c r="V1354" s="15"/>
      <c r="W1354" s="15"/>
      <c r="X1354" s="15"/>
      <c r="Y1354" s="15"/>
      <c r="Z1354" s="15"/>
    </row>
    <row r="1355" spans="1:26" ht="15.75" customHeight="1" x14ac:dyDescent="0.25">
      <c r="A1355" s="858"/>
      <c r="B1355" s="858"/>
      <c r="C1355" s="30" t="s">
        <v>361</v>
      </c>
      <c r="D1355" s="31" t="s">
        <v>361</v>
      </c>
      <c r="E1355" s="32" t="s">
        <v>362</v>
      </c>
      <c r="F1355" s="860"/>
      <c r="G1355" s="442" t="s">
        <v>2717</v>
      </c>
      <c r="H1355" s="15"/>
      <c r="I1355" s="16"/>
      <c r="J1355" s="16"/>
      <c r="K1355" s="15"/>
      <c r="L1355" s="15"/>
      <c r="M1355" s="16"/>
      <c r="N1355" s="16"/>
      <c r="O1355" s="15"/>
      <c r="P1355" s="15"/>
      <c r="Q1355" s="15"/>
      <c r="R1355" s="15"/>
      <c r="S1355" s="15"/>
      <c r="T1355" s="15"/>
      <c r="U1355" s="15"/>
      <c r="V1355" s="15"/>
      <c r="W1355" s="15"/>
      <c r="X1355" s="15"/>
      <c r="Y1355" s="15"/>
      <c r="Z1355" s="15"/>
    </row>
    <row r="1356" spans="1:26" ht="15.75" customHeight="1" x14ac:dyDescent="0.25">
      <c r="A1356" s="869"/>
      <c r="B1356" s="869"/>
      <c r="C1356" s="33">
        <v>2024</v>
      </c>
      <c r="D1356" s="34">
        <v>2025</v>
      </c>
      <c r="E1356" s="34">
        <v>2025</v>
      </c>
      <c r="F1356" s="34">
        <v>2025</v>
      </c>
      <c r="G1356" s="36" t="s">
        <v>2668</v>
      </c>
      <c r="H1356" s="15"/>
      <c r="I1356" s="16"/>
      <c r="J1356" s="16"/>
      <c r="K1356" s="15"/>
      <c r="L1356" s="15"/>
      <c r="M1356" s="16"/>
      <c r="N1356" s="16"/>
      <c r="O1356" s="15"/>
      <c r="P1356" s="15"/>
      <c r="Q1356" s="15"/>
      <c r="R1356" s="15"/>
      <c r="S1356" s="15"/>
      <c r="T1356" s="15"/>
      <c r="U1356" s="15"/>
      <c r="V1356" s="15"/>
      <c r="W1356" s="15"/>
      <c r="X1356" s="15"/>
      <c r="Y1356" s="15"/>
      <c r="Z1356" s="15"/>
    </row>
    <row r="1357" spans="1:26" ht="15.75" customHeight="1" x14ac:dyDescent="0.25">
      <c r="A1357" s="9" t="s">
        <v>364</v>
      </c>
      <c r="B1357" s="38"/>
      <c r="C1357" s="42"/>
      <c r="D1357" s="42"/>
      <c r="E1357" s="42"/>
      <c r="F1357" s="42"/>
      <c r="G1357" s="37"/>
      <c r="I1357" s="40"/>
      <c r="J1357" s="40"/>
      <c r="M1357" s="40"/>
      <c r="N1357" s="40"/>
    </row>
    <row r="1358" spans="1:26" ht="15.75" customHeight="1" x14ac:dyDescent="0.25">
      <c r="A1358" s="42" t="s">
        <v>491</v>
      </c>
      <c r="B1358" s="49"/>
      <c r="C1358" s="43"/>
      <c r="D1358" s="43"/>
      <c r="E1358" s="43"/>
      <c r="F1358" s="43"/>
      <c r="G1358" s="43"/>
      <c r="H1358" s="114"/>
      <c r="I1358" s="60"/>
      <c r="J1358" s="60"/>
      <c r="K1358" s="114"/>
      <c r="L1358" s="114"/>
      <c r="M1358" s="60"/>
      <c r="N1358" s="60"/>
      <c r="O1358" s="114"/>
      <c r="P1358" s="114"/>
      <c r="Q1358" s="114"/>
      <c r="R1358" s="114"/>
      <c r="S1358" s="114"/>
      <c r="T1358" s="114"/>
      <c r="U1358" s="114"/>
      <c r="V1358" s="114"/>
      <c r="W1358" s="114"/>
      <c r="X1358" s="114"/>
      <c r="Y1358" s="114"/>
      <c r="Z1358" s="114"/>
    </row>
    <row r="1359" spans="1:26" ht="15.75" customHeight="1" x14ac:dyDescent="0.25">
      <c r="A1359" s="42" t="s">
        <v>642</v>
      </c>
      <c r="B1359" s="49"/>
      <c r="C1359" s="43"/>
      <c r="D1359" s="43"/>
      <c r="E1359" s="43"/>
      <c r="F1359" s="43"/>
      <c r="G1359" s="43"/>
      <c r="H1359" s="114"/>
      <c r="I1359" s="60"/>
      <c r="J1359" s="60"/>
      <c r="K1359" s="114"/>
      <c r="L1359" s="114"/>
      <c r="M1359" s="60"/>
      <c r="N1359" s="60"/>
      <c r="O1359" s="114"/>
      <c r="P1359" s="114"/>
      <c r="Q1359" s="114"/>
      <c r="R1359" s="114"/>
      <c r="S1359" s="114"/>
      <c r="T1359" s="114"/>
      <c r="U1359" s="114"/>
      <c r="V1359" s="114"/>
      <c r="W1359" s="114"/>
      <c r="X1359" s="114"/>
      <c r="Y1359" s="114"/>
      <c r="Z1359" s="114"/>
    </row>
    <row r="1360" spans="1:26" ht="15.75" customHeight="1" x14ac:dyDescent="0.25">
      <c r="A1360" s="48" t="s">
        <v>393</v>
      </c>
      <c r="B1360" s="49" t="s">
        <v>187</v>
      </c>
      <c r="C1360" s="43">
        <v>0</v>
      </c>
      <c r="D1360" s="43">
        <v>27000.45</v>
      </c>
      <c r="E1360" s="43">
        <f>F1360-D1360</f>
        <v>2999.5499999999993</v>
      </c>
      <c r="F1360" s="43">
        <v>30000</v>
      </c>
      <c r="G1360" s="43">
        <v>30000</v>
      </c>
      <c r="H1360" s="114"/>
      <c r="I1360" s="60"/>
      <c r="J1360" s="60"/>
      <c r="K1360" s="114"/>
      <c r="L1360" s="114"/>
      <c r="M1360" s="60"/>
      <c r="N1360" s="60"/>
      <c r="O1360" s="114"/>
      <c r="P1360" s="114"/>
      <c r="Q1360" s="114"/>
      <c r="R1360" s="114"/>
      <c r="S1360" s="114"/>
      <c r="T1360" s="114"/>
      <c r="U1360" s="114"/>
      <c r="V1360" s="114"/>
      <c r="W1360" s="114"/>
      <c r="X1360" s="114"/>
      <c r="Y1360" s="114"/>
      <c r="Z1360" s="114"/>
    </row>
    <row r="1361" spans="1:26" ht="15.75" customHeight="1" x14ac:dyDescent="0.25">
      <c r="A1361" s="42" t="s">
        <v>493</v>
      </c>
      <c r="B1361" s="41"/>
      <c r="C1361" s="43"/>
      <c r="D1361" s="43"/>
      <c r="E1361" s="43"/>
      <c r="F1361" s="43"/>
      <c r="G1361" s="43"/>
      <c r="H1361" s="114"/>
      <c r="I1361" s="60"/>
      <c r="J1361" s="60"/>
      <c r="K1361" s="114"/>
      <c r="L1361" s="114"/>
      <c r="M1361" s="60"/>
      <c r="N1361" s="60"/>
      <c r="O1361" s="114"/>
      <c r="P1361" s="114"/>
      <c r="Q1361" s="114"/>
      <c r="R1361" s="114"/>
      <c r="S1361" s="114"/>
      <c r="T1361" s="114"/>
      <c r="U1361" s="114"/>
      <c r="V1361" s="114"/>
      <c r="W1361" s="114"/>
      <c r="X1361" s="114"/>
      <c r="Y1361" s="114"/>
      <c r="Z1361" s="114"/>
    </row>
    <row r="1362" spans="1:26" ht="15.75" customHeight="1" x14ac:dyDescent="0.25">
      <c r="A1362" s="44" t="s">
        <v>396</v>
      </c>
      <c r="B1362" s="41" t="s">
        <v>191</v>
      </c>
      <c r="C1362" s="43">
        <v>379795</v>
      </c>
      <c r="D1362" s="43">
        <v>673746.5</v>
      </c>
      <c r="E1362" s="43">
        <f>F1362-D1362</f>
        <v>339.5</v>
      </c>
      <c r="F1362" s="43">
        <v>674086</v>
      </c>
      <c r="G1362" s="43">
        <v>753200</v>
      </c>
      <c r="H1362" s="114"/>
      <c r="I1362" s="60"/>
      <c r="J1362" s="60"/>
      <c r="K1362" s="114"/>
      <c r="L1362" s="114"/>
      <c r="M1362" s="60"/>
      <c r="N1362" s="60"/>
      <c r="O1362" s="114"/>
      <c r="P1362" s="114"/>
      <c r="Q1362" s="114"/>
      <c r="R1362" s="114"/>
      <c r="S1362" s="114"/>
      <c r="T1362" s="114"/>
      <c r="U1362" s="114"/>
      <c r="V1362" s="114"/>
      <c r="W1362" s="114"/>
      <c r="X1362" s="114"/>
      <c r="Y1362" s="114"/>
      <c r="Z1362" s="114"/>
    </row>
    <row r="1363" spans="1:26" ht="31.5" x14ac:dyDescent="0.25">
      <c r="A1363" s="118" t="s">
        <v>1122</v>
      </c>
      <c r="B1363" s="41"/>
      <c r="C1363" s="43"/>
      <c r="D1363" s="43"/>
      <c r="E1363" s="43"/>
      <c r="F1363" s="43"/>
      <c r="G1363" s="43"/>
      <c r="H1363" s="114"/>
      <c r="I1363" s="60">
        <v>72000</v>
      </c>
      <c r="J1363" s="60"/>
      <c r="K1363" s="114"/>
      <c r="L1363" s="114"/>
      <c r="M1363" s="60"/>
      <c r="N1363" s="60"/>
      <c r="O1363" s="114"/>
      <c r="P1363" s="114"/>
      <c r="Q1363" s="114"/>
      <c r="R1363" s="114"/>
      <c r="S1363" s="114"/>
      <c r="T1363" s="114"/>
      <c r="U1363" s="114"/>
      <c r="V1363" s="114"/>
      <c r="W1363" s="114"/>
      <c r="X1363" s="114"/>
      <c r="Y1363" s="114"/>
      <c r="Z1363" s="114"/>
    </row>
    <row r="1364" spans="1:26" ht="15.75" customHeight="1" x14ac:dyDescent="0.25">
      <c r="A1364" s="44" t="s">
        <v>1123</v>
      </c>
      <c r="B1364" s="41"/>
      <c r="C1364" s="43"/>
      <c r="D1364" s="43"/>
      <c r="E1364" s="43"/>
      <c r="F1364" s="43"/>
      <c r="G1364" s="43"/>
      <c r="H1364" s="114"/>
      <c r="I1364" s="60">
        <v>300000</v>
      </c>
      <c r="J1364" s="60"/>
      <c r="K1364" s="114"/>
      <c r="L1364" s="114"/>
      <c r="M1364" s="60"/>
      <c r="N1364" s="60"/>
      <c r="O1364" s="114"/>
      <c r="P1364" s="114"/>
      <c r="Q1364" s="114"/>
      <c r="R1364" s="114"/>
      <c r="S1364" s="114"/>
      <c r="T1364" s="114"/>
      <c r="U1364" s="114"/>
      <c r="V1364" s="114"/>
      <c r="W1364" s="114"/>
      <c r="X1364" s="114"/>
      <c r="Y1364" s="114"/>
      <c r="Z1364" s="114"/>
    </row>
    <row r="1365" spans="1:26" ht="15.75" customHeight="1" x14ac:dyDescent="0.25">
      <c r="A1365" s="44" t="s">
        <v>1124</v>
      </c>
      <c r="B1365" s="41"/>
      <c r="C1365" s="43"/>
      <c r="D1365" s="43"/>
      <c r="E1365" s="43"/>
      <c r="F1365" s="43"/>
      <c r="G1365" s="43"/>
      <c r="H1365" s="114"/>
      <c r="I1365" s="60">
        <v>381200</v>
      </c>
      <c r="J1365" s="60">
        <f>SUM(I1363:I1365)</f>
        <v>753200</v>
      </c>
      <c r="K1365" s="114"/>
      <c r="L1365" s="114"/>
      <c r="M1365" s="60"/>
      <c r="N1365" s="60"/>
      <c r="O1365" s="114"/>
      <c r="P1365" s="114"/>
      <c r="Q1365" s="114"/>
      <c r="R1365" s="114"/>
      <c r="S1365" s="114"/>
      <c r="T1365" s="114"/>
      <c r="U1365" s="114"/>
      <c r="V1365" s="114"/>
      <c r="W1365" s="114"/>
      <c r="X1365" s="114"/>
      <c r="Y1365" s="114"/>
      <c r="Z1365" s="114"/>
    </row>
    <row r="1366" spans="1:26" ht="15.75" customHeight="1" x14ac:dyDescent="0.25">
      <c r="A1366" s="17" t="s">
        <v>499</v>
      </c>
      <c r="B1366" s="41"/>
      <c r="C1366" s="43"/>
      <c r="D1366" s="43"/>
      <c r="E1366" s="43"/>
      <c r="F1366" s="43"/>
      <c r="G1366" s="43"/>
      <c r="H1366" s="114"/>
      <c r="I1366" s="60"/>
      <c r="J1366" s="60"/>
      <c r="K1366" s="114"/>
      <c r="L1366" s="114"/>
      <c r="M1366" s="60"/>
      <c r="N1366" s="60"/>
      <c r="O1366" s="114"/>
      <c r="P1366" s="114"/>
      <c r="Q1366" s="114"/>
      <c r="R1366" s="114"/>
      <c r="S1366" s="114"/>
      <c r="T1366" s="114"/>
      <c r="U1366" s="114"/>
      <c r="V1366" s="114"/>
      <c r="W1366" s="114"/>
      <c r="X1366" s="114"/>
      <c r="Y1366" s="114"/>
      <c r="Z1366" s="114"/>
    </row>
    <row r="1367" spans="1:26" ht="15.75" customHeight="1" x14ac:dyDescent="0.25">
      <c r="A1367" s="44" t="s">
        <v>398</v>
      </c>
      <c r="B1367" s="41" t="s">
        <v>195</v>
      </c>
      <c r="C1367" s="43">
        <v>42065</v>
      </c>
      <c r="D1367" s="43">
        <v>43632.07</v>
      </c>
      <c r="E1367" s="43">
        <f t="shared" ref="E1367:E1368" si="232">F1367-D1367</f>
        <v>60.930000000000291</v>
      </c>
      <c r="F1367" s="43">
        <v>43693</v>
      </c>
      <c r="G1367" s="43">
        <v>99946</v>
      </c>
      <c r="H1367" s="114"/>
      <c r="I1367" s="60"/>
      <c r="J1367" s="60"/>
      <c r="K1367" s="114"/>
      <c r="L1367" s="114"/>
      <c r="M1367" s="60"/>
      <c r="N1367" s="60"/>
      <c r="O1367" s="114"/>
      <c r="P1367" s="114"/>
      <c r="Q1367" s="114"/>
      <c r="R1367" s="114"/>
      <c r="S1367" s="114"/>
      <c r="T1367" s="114"/>
      <c r="U1367" s="114"/>
      <c r="V1367" s="114"/>
      <c r="W1367" s="114"/>
      <c r="X1367" s="114"/>
      <c r="Y1367" s="114"/>
      <c r="Z1367" s="114"/>
    </row>
    <row r="1368" spans="1:26" ht="15.75" customHeight="1" x14ac:dyDescent="0.25">
      <c r="A1368" s="44" t="s">
        <v>402</v>
      </c>
      <c r="B1368" s="41" t="s">
        <v>225</v>
      </c>
      <c r="C1368" s="43">
        <v>69713.759999999995</v>
      </c>
      <c r="D1368" s="43">
        <v>0</v>
      </c>
      <c r="E1368" s="43">
        <f t="shared" si="232"/>
        <v>27052</v>
      </c>
      <c r="F1368" s="43">
        <v>27052</v>
      </c>
      <c r="G1368" s="43">
        <v>49922</v>
      </c>
      <c r="H1368" s="114"/>
      <c r="I1368" s="60"/>
      <c r="J1368" s="60"/>
      <c r="K1368" s="114"/>
      <c r="L1368" s="114"/>
      <c r="M1368" s="60"/>
      <c r="N1368" s="60"/>
      <c r="O1368" s="114"/>
      <c r="P1368" s="114"/>
      <c r="Q1368" s="114"/>
      <c r="R1368" s="114"/>
      <c r="S1368" s="114"/>
      <c r="T1368" s="114"/>
      <c r="U1368" s="114"/>
      <c r="V1368" s="114"/>
      <c r="W1368" s="114"/>
      <c r="X1368" s="114"/>
      <c r="Y1368" s="114"/>
      <c r="Z1368" s="114"/>
    </row>
    <row r="1369" spans="1:26" ht="15.75" customHeight="1" x14ac:dyDescent="0.25">
      <c r="A1369" s="17" t="s">
        <v>511</v>
      </c>
      <c r="B1369" s="41"/>
      <c r="C1369" s="42"/>
      <c r="D1369" s="42"/>
      <c r="E1369" s="43"/>
      <c r="F1369" s="43"/>
      <c r="G1369" s="43"/>
      <c r="H1369" s="114"/>
      <c r="I1369" s="60"/>
      <c r="J1369" s="60"/>
      <c r="K1369" s="114"/>
      <c r="L1369" s="114"/>
      <c r="M1369" s="60"/>
      <c r="N1369" s="60"/>
      <c r="O1369" s="114"/>
      <c r="P1369" s="114"/>
      <c r="Q1369" s="114"/>
      <c r="R1369" s="114"/>
      <c r="S1369" s="114"/>
      <c r="T1369" s="114"/>
      <c r="U1369" s="114"/>
      <c r="V1369" s="114"/>
      <c r="W1369" s="114"/>
      <c r="X1369" s="114"/>
      <c r="Y1369" s="114"/>
      <c r="Z1369" s="114"/>
    </row>
    <row r="1370" spans="1:26" ht="15.75" customHeight="1" x14ac:dyDescent="0.25">
      <c r="A1370" s="44" t="s">
        <v>424</v>
      </c>
      <c r="B1370" s="41" t="s">
        <v>335</v>
      </c>
      <c r="C1370" s="43">
        <v>572202</v>
      </c>
      <c r="D1370" s="43">
        <f>99258+212256</f>
        <v>311514</v>
      </c>
      <c r="E1370" s="43">
        <f>F1370-D1370</f>
        <v>319126</v>
      </c>
      <c r="F1370" s="43">
        <v>630640</v>
      </c>
      <c r="G1370" s="43">
        <v>720664</v>
      </c>
      <c r="H1370" s="114"/>
      <c r="I1370" s="60"/>
      <c r="J1370" s="60"/>
      <c r="K1370" s="114"/>
      <c r="L1370" s="114"/>
      <c r="M1370" s="60"/>
      <c r="N1370" s="60"/>
      <c r="O1370" s="114"/>
      <c r="P1370" s="114"/>
      <c r="Q1370" s="114"/>
      <c r="R1370" s="114"/>
      <c r="S1370" s="114"/>
      <c r="T1370" s="114"/>
      <c r="U1370" s="114"/>
      <c r="V1370" s="114"/>
      <c r="W1370" s="114"/>
      <c r="X1370" s="114"/>
      <c r="Y1370" s="114"/>
      <c r="Z1370" s="114"/>
    </row>
    <row r="1371" spans="1:26" ht="15.75" customHeight="1" x14ac:dyDescent="0.25">
      <c r="A1371" s="44" t="s">
        <v>1125</v>
      </c>
      <c r="B1371" s="41"/>
      <c r="C1371" s="43"/>
      <c r="D1371" s="43"/>
      <c r="E1371" s="43"/>
      <c r="F1371" s="43"/>
      <c r="G1371" s="43"/>
      <c r="H1371" s="114"/>
      <c r="I1371" s="60"/>
      <c r="J1371" s="60"/>
      <c r="K1371" s="114"/>
      <c r="L1371" s="114"/>
      <c r="M1371" s="60"/>
      <c r="N1371" s="60">
        <v>50000</v>
      </c>
      <c r="O1371" s="114"/>
      <c r="P1371" s="114"/>
      <c r="Q1371" s="114"/>
      <c r="R1371" s="114"/>
      <c r="S1371" s="114"/>
      <c r="T1371" s="114"/>
      <c r="U1371" s="114"/>
      <c r="V1371" s="114"/>
      <c r="W1371" s="114"/>
      <c r="X1371" s="114"/>
      <c r="Y1371" s="114"/>
      <c r="Z1371" s="114"/>
    </row>
    <row r="1372" spans="1:26" ht="15.75" customHeight="1" x14ac:dyDescent="0.25">
      <c r="A1372" s="44" t="s">
        <v>1126</v>
      </c>
      <c r="B1372" s="41"/>
      <c r="C1372" s="43"/>
      <c r="D1372" s="43"/>
      <c r="E1372" s="43"/>
      <c r="F1372" s="43"/>
      <c r="G1372" s="43"/>
      <c r="H1372" s="114"/>
      <c r="I1372" s="60"/>
      <c r="J1372" s="60"/>
      <c r="K1372" s="114"/>
      <c r="L1372" s="114"/>
      <c r="M1372" s="60"/>
      <c r="N1372" s="60">
        <v>50000</v>
      </c>
      <c r="O1372" s="114"/>
      <c r="P1372" s="114"/>
      <c r="Q1372" s="114"/>
      <c r="R1372" s="114"/>
      <c r="S1372" s="114"/>
      <c r="T1372" s="114"/>
      <c r="U1372" s="114"/>
      <c r="V1372" s="114"/>
      <c r="W1372" s="114"/>
      <c r="X1372" s="114"/>
      <c r="Y1372" s="114"/>
      <c r="Z1372" s="114"/>
    </row>
    <row r="1373" spans="1:26" ht="15.75" customHeight="1" x14ac:dyDescent="0.25">
      <c r="A1373" s="44" t="s">
        <v>885</v>
      </c>
      <c r="B1373" s="41"/>
      <c r="C1373" s="43"/>
      <c r="D1373" s="43"/>
      <c r="E1373" s="43"/>
      <c r="F1373" s="43"/>
      <c r="G1373" s="43"/>
      <c r="H1373" s="114"/>
      <c r="I1373" s="210" t="s">
        <v>877</v>
      </c>
      <c r="J1373" s="211" t="s">
        <v>878</v>
      </c>
      <c r="K1373" s="210" t="s">
        <v>879</v>
      </c>
      <c r="L1373" s="8" t="s">
        <v>880</v>
      </c>
      <c r="M1373" s="210" t="s">
        <v>881</v>
      </c>
      <c r="N1373" s="60"/>
      <c r="O1373" s="114"/>
      <c r="P1373" s="114"/>
      <c r="Q1373" s="114"/>
      <c r="R1373" s="114"/>
      <c r="S1373" s="114"/>
      <c r="T1373" s="114"/>
      <c r="U1373" s="114"/>
      <c r="V1373" s="114"/>
      <c r="W1373" s="114"/>
      <c r="X1373" s="114"/>
      <c r="Y1373" s="114"/>
      <c r="Z1373" s="114"/>
    </row>
    <row r="1374" spans="1:26" ht="15.75" customHeight="1" x14ac:dyDescent="0.25">
      <c r="A1374" s="44" t="s">
        <v>1127</v>
      </c>
      <c r="B1374" s="41"/>
      <c r="C1374" s="43"/>
      <c r="D1374" s="43"/>
      <c r="E1374" s="43"/>
      <c r="F1374" s="43"/>
      <c r="G1374" s="43"/>
      <c r="H1374" s="114"/>
      <c r="I1374" s="60">
        <v>861</v>
      </c>
      <c r="J1374" s="211">
        <v>1</v>
      </c>
      <c r="K1374" s="8">
        <v>22</v>
      </c>
      <c r="L1374" s="8">
        <v>12</v>
      </c>
      <c r="M1374" s="60">
        <f t="shared" ref="M1374:M1376" si="233">I1374*J1374*K1374*L1374</f>
        <v>227304</v>
      </c>
      <c r="N1374" s="60"/>
      <c r="O1374" s="114"/>
      <c r="P1374" s="114"/>
      <c r="Q1374" s="114"/>
      <c r="R1374" s="114"/>
      <c r="S1374" s="114"/>
      <c r="T1374" s="114"/>
      <c r="U1374" s="114"/>
      <c r="V1374" s="114"/>
      <c r="W1374" s="114"/>
      <c r="X1374" s="114"/>
      <c r="Y1374" s="114"/>
      <c r="Z1374" s="114"/>
    </row>
    <row r="1375" spans="1:26" ht="15.75" customHeight="1" x14ac:dyDescent="0.25">
      <c r="A1375" s="44" t="s">
        <v>1128</v>
      </c>
      <c r="B1375" s="41"/>
      <c r="C1375" s="43"/>
      <c r="D1375" s="43"/>
      <c r="E1375" s="43"/>
      <c r="F1375" s="43"/>
      <c r="G1375" s="43"/>
      <c r="H1375" s="114"/>
      <c r="I1375" s="60">
        <v>812</v>
      </c>
      <c r="J1375" s="211">
        <v>1</v>
      </c>
      <c r="K1375" s="8">
        <v>22</v>
      </c>
      <c r="L1375" s="8">
        <v>12</v>
      </c>
      <c r="M1375" s="60">
        <f t="shared" si="233"/>
        <v>214368</v>
      </c>
      <c r="N1375" s="60"/>
      <c r="O1375" s="114"/>
      <c r="P1375" s="114"/>
      <c r="Q1375" s="114"/>
      <c r="R1375" s="114"/>
      <c r="S1375" s="114"/>
      <c r="T1375" s="114"/>
      <c r="U1375" s="114"/>
      <c r="V1375" s="114"/>
      <c r="W1375" s="114"/>
      <c r="X1375" s="114"/>
      <c r="Y1375" s="114"/>
      <c r="Z1375" s="114"/>
    </row>
    <row r="1376" spans="1:26" ht="15.75" customHeight="1" x14ac:dyDescent="0.25">
      <c r="A1376" s="44" t="s">
        <v>1102</v>
      </c>
      <c r="B1376" s="41"/>
      <c r="C1376" s="43"/>
      <c r="D1376" s="43"/>
      <c r="E1376" s="43"/>
      <c r="F1376" s="43"/>
      <c r="G1376" s="43"/>
      <c r="H1376" s="114"/>
      <c r="I1376" s="60">
        <v>678</v>
      </c>
      <c r="J1376" s="211">
        <v>1</v>
      </c>
      <c r="K1376" s="8">
        <v>22</v>
      </c>
      <c r="L1376" s="8">
        <v>12</v>
      </c>
      <c r="M1376" s="60">
        <f t="shared" si="233"/>
        <v>178992</v>
      </c>
      <c r="N1376" s="60">
        <f>SUM(M1374:M1376)</f>
        <v>620664</v>
      </c>
      <c r="O1376" s="60">
        <f>SUM(N1371:N1376)</f>
        <v>720664</v>
      </c>
      <c r="P1376" s="114"/>
      <c r="Q1376" s="114"/>
      <c r="R1376" s="114"/>
      <c r="S1376" s="114"/>
      <c r="T1376" s="114"/>
      <c r="U1376" s="114"/>
      <c r="V1376" s="114"/>
      <c r="W1376" s="114"/>
      <c r="X1376" s="114"/>
      <c r="Y1376" s="114"/>
      <c r="Z1376" s="114"/>
    </row>
    <row r="1377" spans="1:26" ht="15.75" customHeight="1" x14ac:dyDescent="0.25">
      <c r="A1377" s="42" t="s">
        <v>466</v>
      </c>
      <c r="B1377" s="41"/>
      <c r="C1377" s="54">
        <f t="shared" ref="C1377:D1377" si="234">SUM(C1360:C1370)</f>
        <v>1063775.76</v>
      </c>
      <c r="D1377" s="54">
        <f t="shared" si="234"/>
        <v>1055893.02</v>
      </c>
      <c r="E1377" s="54">
        <f>F1377-D1377</f>
        <v>349577.98</v>
      </c>
      <c r="F1377" s="54">
        <f t="shared" ref="F1377:G1377" si="235">SUM(F1360:F1370)</f>
        <v>1405471</v>
      </c>
      <c r="G1377" s="54">
        <f t="shared" si="235"/>
        <v>1653732</v>
      </c>
      <c r="H1377" s="114"/>
      <c r="I1377" s="60"/>
      <c r="J1377" s="211"/>
      <c r="K1377" s="8"/>
      <c r="L1377" s="8"/>
      <c r="M1377" s="60"/>
      <c r="N1377" s="60"/>
      <c r="O1377" s="114"/>
      <c r="P1377" s="114"/>
      <c r="Q1377" s="114"/>
      <c r="R1377" s="114"/>
      <c r="S1377" s="114"/>
      <c r="T1377" s="114"/>
      <c r="U1377" s="114"/>
      <c r="V1377" s="114"/>
      <c r="W1377" s="114"/>
      <c r="X1377" s="114"/>
      <c r="Y1377" s="114"/>
      <c r="Z1377" s="114"/>
    </row>
    <row r="1378" spans="1:26" ht="15.75" customHeight="1" x14ac:dyDescent="0.25">
      <c r="A1378" s="17"/>
      <c r="B1378" s="41"/>
      <c r="C1378" s="55"/>
      <c r="D1378" s="55"/>
      <c r="E1378" s="43"/>
      <c r="F1378" s="55"/>
      <c r="G1378" s="55"/>
      <c r="H1378" s="114"/>
      <c r="I1378" s="60"/>
      <c r="J1378" s="60"/>
      <c r="K1378" s="114"/>
      <c r="L1378" s="114"/>
      <c r="M1378" s="60"/>
      <c r="N1378" s="60"/>
      <c r="O1378" s="114"/>
      <c r="P1378" s="114"/>
      <c r="Q1378" s="114"/>
      <c r="R1378" s="114"/>
      <c r="S1378" s="114"/>
      <c r="T1378" s="114"/>
      <c r="U1378" s="114"/>
      <c r="V1378" s="114"/>
      <c r="W1378" s="114"/>
      <c r="X1378" s="114"/>
      <c r="Y1378" s="114"/>
      <c r="Z1378" s="114"/>
    </row>
    <row r="1379" spans="1:26" ht="15.75" customHeight="1" x14ac:dyDescent="0.25">
      <c r="A1379" s="17" t="s">
        <v>467</v>
      </c>
      <c r="B1379" s="41"/>
      <c r="C1379" s="43">
        <f t="shared" ref="C1379:D1379" si="236">C1377</f>
        <v>1063775.76</v>
      </c>
      <c r="D1379" s="43">
        <f t="shared" si="236"/>
        <v>1055893.02</v>
      </c>
      <c r="E1379" s="43">
        <f>F1379-D1379</f>
        <v>349577.98</v>
      </c>
      <c r="F1379" s="43">
        <f t="shared" ref="F1379:G1379" si="237">F1377</f>
        <v>1405471</v>
      </c>
      <c r="G1379" s="43">
        <f t="shared" si="237"/>
        <v>1653732</v>
      </c>
      <c r="H1379" s="114"/>
      <c r="I1379" s="60"/>
      <c r="J1379" s="60"/>
      <c r="K1379" s="114"/>
      <c r="L1379" s="114"/>
      <c r="M1379" s="60"/>
      <c r="N1379" s="60"/>
      <c r="O1379" s="114"/>
      <c r="P1379" s="114"/>
      <c r="Q1379" s="114"/>
      <c r="R1379" s="114"/>
      <c r="S1379" s="114"/>
      <c r="T1379" s="114"/>
      <c r="U1379" s="114"/>
      <c r="V1379" s="114"/>
      <c r="W1379" s="114"/>
      <c r="X1379" s="114"/>
      <c r="Y1379" s="114"/>
      <c r="Z1379" s="114"/>
    </row>
    <row r="1380" spans="1:26" ht="15.75" customHeight="1" x14ac:dyDescent="0.25">
      <c r="A1380" s="17"/>
      <c r="B1380" s="41"/>
      <c r="C1380" s="43"/>
      <c r="D1380" s="43"/>
      <c r="E1380" s="43"/>
      <c r="F1380" s="43"/>
      <c r="G1380" s="43"/>
      <c r="H1380" s="114"/>
      <c r="I1380" s="60"/>
      <c r="J1380" s="60"/>
      <c r="K1380" s="114"/>
      <c r="L1380" s="114"/>
      <c r="M1380" s="60"/>
      <c r="N1380" s="60"/>
      <c r="O1380" s="114"/>
      <c r="P1380" s="114"/>
      <c r="Q1380" s="114"/>
      <c r="R1380" s="114"/>
      <c r="S1380" s="114"/>
      <c r="T1380" s="114"/>
      <c r="U1380" s="114"/>
      <c r="V1380" s="114"/>
      <c r="W1380" s="114"/>
      <c r="X1380" s="114"/>
      <c r="Y1380" s="114"/>
      <c r="Z1380" s="114"/>
    </row>
    <row r="1381" spans="1:26" ht="15.75" customHeight="1" x14ac:dyDescent="0.25">
      <c r="A1381" s="50" t="s">
        <v>487</v>
      </c>
      <c r="B1381" s="51" t="s">
        <v>488</v>
      </c>
      <c r="C1381" s="54">
        <f t="shared" ref="C1381:D1381" si="238">++C1379</f>
        <v>1063775.76</v>
      </c>
      <c r="D1381" s="54">
        <f t="shared" si="238"/>
        <v>1055893.02</v>
      </c>
      <c r="E1381" s="54">
        <f>F1381-D1381</f>
        <v>349577.98</v>
      </c>
      <c r="F1381" s="54">
        <f t="shared" ref="F1381:G1381" si="239">++F1379</f>
        <v>1405471</v>
      </c>
      <c r="G1381" s="54">
        <f t="shared" si="239"/>
        <v>1653732</v>
      </c>
      <c r="H1381" s="114"/>
      <c r="I1381" s="60"/>
      <c r="J1381" s="60"/>
      <c r="K1381" s="114"/>
      <c r="L1381" s="114"/>
      <c r="M1381" s="60"/>
      <c r="N1381" s="60"/>
      <c r="O1381" s="114"/>
      <c r="P1381" s="114"/>
      <c r="Q1381" s="114"/>
      <c r="R1381" s="114"/>
      <c r="S1381" s="114"/>
      <c r="T1381" s="114"/>
      <c r="U1381" s="114"/>
      <c r="V1381" s="114"/>
      <c r="W1381" s="114"/>
      <c r="X1381" s="114"/>
      <c r="Y1381" s="114"/>
      <c r="Z1381" s="114"/>
    </row>
    <row r="1382" spans="1:26" ht="15.75" customHeight="1" x14ac:dyDescent="0.25">
      <c r="A1382" s="24"/>
      <c r="B1382" s="25"/>
      <c r="C1382" s="26"/>
      <c r="D1382" s="26"/>
      <c r="E1382" s="26"/>
      <c r="F1382" s="26"/>
      <c r="G1382" s="26"/>
      <c r="H1382" s="114"/>
      <c r="I1382" s="60"/>
      <c r="J1382" s="60"/>
      <c r="K1382" s="114"/>
      <c r="L1382" s="114"/>
      <c r="M1382" s="60"/>
      <c r="N1382" s="60"/>
      <c r="O1382" s="114"/>
      <c r="P1382" s="114"/>
      <c r="Q1382" s="114"/>
      <c r="R1382" s="114"/>
      <c r="S1382" s="114"/>
      <c r="T1382" s="114"/>
      <c r="U1382" s="114"/>
      <c r="V1382" s="114"/>
      <c r="W1382" s="114"/>
      <c r="X1382" s="114"/>
      <c r="Y1382" s="114"/>
      <c r="Z1382" s="114"/>
    </row>
    <row r="1383" spans="1:26" ht="15.75" customHeight="1" x14ac:dyDescent="0.25">
      <c r="A1383" s="24"/>
      <c r="B1383" s="25"/>
      <c r="C1383" s="24"/>
      <c r="D1383" s="24"/>
      <c r="E1383" s="24"/>
      <c r="F1383" s="15"/>
      <c r="G1383" s="15"/>
      <c r="H1383" s="15"/>
      <c r="I1383" s="16"/>
      <c r="J1383" s="16"/>
      <c r="K1383" s="15"/>
      <c r="L1383" s="15"/>
      <c r="M1383" s="16"/>
      <c r="N1383" s="16"/>
      <c r="O1383" s="15"/>
      <c r="P1383" s="15"/>
      <c r="Q1383" s="15"/>
      <c r="R1383" s="15"/>
      <c r="S1383" s="15"/>
      <c r="T1383" s="15"/>
      <c r="U1383" s="15"/>
      <c r="V1383" s="15"/>
      <c r="W1383" s="15"/>
      <c r="X1383" s="15"/>
      <c r="Y1383" s="15"/>
      <c r="Z1383" s="15"/>
    </row>
    <row r="1384" spans="1:26" ht="15.75" customHeight="1" x14ac:dyDescent="0.25">
      <c r="A1384" s="9"/>
      <c r="B1384" s="104"/>
      <c r="C1384" s="105"/>
      <c r="D1384" s="105"/>
      <c r="E1384" s="105"/>
      <c r="F1384" s="10"/>
      <c r="G1384" s="180"/>
      <c r="H1384" s="15"/>
      <c r="I1384" s="16"/>
      <c r="J1384" s="16"/>
      <c r="K1384" s="15"/>
      <c r="L1384" s="15"/>
      <c r="M1384" s="16"/>
      <c r="N1384" s="16"/>
      <c r="O1384" s="15"/>
      <c r="P1384" s="15"/>
      <c r="Q1384" s="15"/>
      <c r="R1384" s="15"/>
      <c r="S1384" s="15"/>
      <c r="T1384" s="15"/>
      <c r="U1384" s="15"/>
      <c r="V1384" s="15"/>
      <c r="W1384" s="15"/>
      <c r="X1384" s="15"/>
      <c r="Y1384" s="15"/>
      <c r="Z1384" s="15"/>
    </row>
    <row r="1385" spans="1:26" ht="15.75" customHeight="1" x14ac:dyDescent="0.25">
      <c r="A1385" s="108" t="s">
        <v>1129</v>
      </c>
      <c r="B1385" s="25"/>
      <c r="C1385" s="26"/>
      <c r="D1385" s="26"/>
      <c r="E1385" s="26"/>
      <c r="F1385" s="14"/>
      <c r="G1385" s="181"/>
      <c r="H1385" s="15"/>
      <c r="I1385" s="16"/>
      <c r="J1385" s="16"/>
      <c r="K1385" s="15"/>
      <c r="L1385" s="15"/>
      <c r="M1385" s="16"/>
      <c r="N1385" s="16"/>
      <c r="O1385" s="15"/>
      <c r="P1385" s="15"/>
      <c r="Q1385" s="15"/>
      <c r="R1385" s="15"/>
      <c r="S1385" s="15"/>
      <c r="T1385" s="15"/>
      <c r="U1385" s="15"/>
      <c r="V1385" s="15"/>
      <c r="W1385" s="15"/>
      <c r="X1385" s="15"/>
      <c r="Y1385" s="15"/>
      <c r="Z1385" s="15"/>
    </row>
    <row r="1386" spans="1:26" ht="15.75" customHeight="1" x14ac:dyDescent="0.25">
      <c r="A1386" s="44"/>
      <c r="B1386" s="25"/>
      <c r="C1386" s="26"/>
      <c r="D1386" s="26"/>
      <c r="E1386" s="26"/>
      <c r="F1386" s="14"/>
      <c r="G1386" s="181"/>
      <c r="H1386" s="15"/>
      <c r="I1386" s="16"/>
      <c r="J1386" s="16"/>
      <c r="K1386" s="15"/>
      <c r="L1386" s="15"/>
      <c r="M1386" s="16"/>
      <c r="N1386" s="16"/>
      <c r="O1386" s="15"/>
      <c r="P1386" s="15"/>
      <c r="Q1386" s="15"/>
      <c r="R1386" s="15"/>
      <c r="S1386" s="15"/>
      <c r="T1386" s="15"/>
      <c r="U1386" s="15"/>
      <c r="V1386" s="15"/>
      <c r="W1386" s="15"/>
      <c r="X1386" s="15"/>
      <c r="Y1386" s="15"/>
      <c r="Z1386" s="15"/>
    </row>
    <row r="1387" spans="1:26" ht="15.75" customHeight="1" x14ac:dyDescent="0.25">
      <c r="A1387" s="865" t="s">
        <v>352</v>
      </c>
      <c r="B1387" s="866"/>
      <c r="C1387" s="866"/>
      <c r="D1387" s="866"/>
      <c r="E1387" s="866"/>
      <c r="F1387" s="866"/>
      <c r="G1387" s="867"/>
      <c r="H1387" s="15"/>
      <c r="I1387" s="16"/>
      <c r="J1387" s="16"/>
      <c r="K1387" s="15"/>
      <c r="L1387" s="15"/>
      <c r="M1387" s="16"/>
      <c r="N1387" s="16"/>
      <c r="O1387" s="15"/>
      <c r="P1387" s="15"/>
      <c r="Q1387" s="15"/>
      <c r="R1387" s="15"/>
      <c r="S1387" s="15"/>
      <c r="T1387" s="15"/>
      <c r="U1387" s="15"/>
      <c r="V1387" s="15"/>
      <c r="W1387" s="15"/>
      <c r="X1387" s="15"/>
      <c r="Y1387" s="15"/>
      <c r="Z1387" s="15"/>
    </row>
    <row r="1388" spans="1:26" ht="15.75" customHeight="1" x14ac:dyDescent="0.25">
      <c r="A1388" s="868" t="s">
        <v>353</v>
      </c>
      <c r="B1388" s="857" t="s">
        <v>354</v>
      </c>
      <c r="C1388" s="870" t="s">
        <v>355</v>
      </c>
      <c r="D1388" s="872" t="s">
        <v>356</v>
      </c>
      <c r="E1388" s="873"/>
      <c r="F1388" s="874"/>
      <c r="G1388" s="857" t="s">
        <v>357</v>
      </c>
      <c r="H1388" s="15"/>
      <c r="I1388" s="16"/>
      <c r="J1388" s="16"/>
      <c r="K1388" s="15"/>
      <c r="L1388" s="15"/>
      <c r="M1388" s="16"/>
      <c r="N1388" s="16"/>
      <c r="O1388" s="15"/>
      <c r="P1388" s="15"/>
      <c r="Q1388" s="15"/>
      <c r="R1388" s="15"/>
      <c r="S1388" s="15"/>
      <c r="T1388" s="15"/>
      <c r="U1388" s="15"/>
      <c r="V1388" s="15"/>
      <c r="W1388" s="15"/>
      <c r="X1388" s="15"/>
      <c r="Y1388" s="15"/>
      <c r="Z1388" s="15"/>
    </row>
    <row r="1389" spans="1:26" ht="15.75" customHeight="1" x14ac:dyDescent="0.25">
      <c r="A1389" s="858"/>
      <c r="B1389" s="858"/>
      <c r="C1389" s="871"/>
      <c r="D1389" s="28" t="s">
        <v>358</v>
      </c>
      <c r="E1389" s="29" t="s">
        <v>359</v>
      </c>
      <c r="F1389" s="875" t="s">
        <v>360</v>
      </c>
      <c r="G1389" s="858"/>
      <c r="H1389" s="15"/>
      <c r="I1389" s="16"/>
      <c r="J1389" s="16"/>
      <c r="K1389" s="15"/>
      <c r="L1389" s="15"/>
      <c r="M1389" s="16"/>
      <c r="N1389" s="16"/>
      <c r="O1389" s="15"/>
      <c r="P1389" s="15"/>
      <c r="Q1389" s="15"/>
      <c r="R1389" s="15"/>
      <c r="S1389" s="15"/>
      <c r="T1389" s="15"/>
      <c r="U1389" s="15"/>
      <c r="V1389" s="15"/>
      <c r="W1389" s="15"/>
      <c r="X1389" s="15"/>
      <c r="Y1389" s="15"/>
      <c r="Z1389" s="15"/>
    </row>
    <row r="1390" spans="1:26" ht="15.75" customHeight="1" x14ac:dyDescent="0.25">
      <c r="A1390" s="858"/>
      <c r="B1390" s="858"/>
      <c r="C1390" s="30" t="s">
        <v>361</v>
      </c>
      <c r="D1390" s="31" t="s">
        <v>361</v>
      </c>
      <c r="E1390" s="32" t="s">
        <v>362</v>
      </c>
      <c r="F1390" s="860"/>
      <c r="G1390" s="442" t="s">
        <v>2717</v>
      </c>
      <c r="H1390" s="15"/>
      <c r="I1390" s="16"/>
      <c r="J1390" s="16"/>
      <c r="K1390" s="15"/>
      <c r="L1390" s="15"/>
      <c r="M1390" s="16"/>
      <c r="N1390" s="16"/>
      <c r="O1390" s="15"/>
      <c r="P1390" s="15"/>
      <c r="Q1390" s="15"/>
      <c r="R1390" s="15"/>
      <c r="S1390" s="15"/>
      <c r="T1390" s="15"/>
      <c r="U1390" s="15"/>
      <c r="V1390" s="15"/>
      <c r="W1390" s="15"/>
      <c r="X1390" s="15"/>
      <c r="Y1390" s="15"/>
      <c r="Z1390" s="15"/>
    </row>
    <row r="1391" spans="1:26" ht="15.75" customHeight="1" x14ac:dyDescent="0.25">
      <c r="A1391" s="869"/>
      <c r="B1391" s="869"/>
      <c r="C1391" s="33">
        <v>2024</v>
      </c>
      <c r="D1391" s="34">
        <v>2025</v>
      </c>
      <c r="E1391" s="34">
        <v>2025</v>
      </c>
      <c r="F1391" s="34">
        <v>2025</v>
      </c>
      <c r="G1391" s="36" t="s">
        <v>2668</v>
      </c>
      <c r="H1391" s="15"/>
      <c r="I1391" s="16"/>
      <c r="J1391" s="16"/>
      <c r="K1391" s="15"/>
      <c r="L1391" s="15"/>
      <c r="M1391" s="16"/>
      <c r="N1391" s="16"/>
      <c r="O1391" s="15"/>
      <c r="P1391" s="15"/>
      <c r="Q1391" s="15"/>
      <c r="R1391" s="15"/>
      <c r="S1391" s="15"/>
      <c r="T1391" s="15"/>
      <c r="U1391" s="15"/>
      <c r="V1391" s="15"/>
      <c r="W1391" s="15"/>
      <c r="X1391" s="15"/>
      <c r="Y1391" s="15"/>
      <c r="Z1391" s="15"/>
    </row>
    <row r="1392" spans="1:26" ht="15.75" customHeight="1" x14ac:dyDescent="0.25">
      <c r="A1392" s="9" t="s">
        <v>364</v>
      </c>
      <c r="B1392" s="38"/>
      <c r="C1392" s="42"/>
      <c r="D1392" s="42"/>
      <c r="E1392" s="42"/>
      <c r="F1392" s="42"/>
      <c r="G1392" s="37"/>
      <c r="I1392" s="40"/>
      <c r="J1392" s="40"/>
      <c r="M1392" s="40"/>
      <c r="N1392" s="40"/>
    </row>
    <row r="1393" spans="1:26" ht="15.75" customHeight="1" x14ac:dyDescent="0.25">
      <c r="A1393" s="42" t="s">
        <v>491</v>
      </c>
      <c r="B1393" s="49"/>
      <c r="C1393" s="43"/>
      <c r="D1393" s="43"/>
      <c r="E1393" s="43"/>
      <c r="F1393" s="43"/>
      <c r="G1393" s="43"/>
      <c r="H1393" s="114"/>
      <c r="I1393" s="60"/>
      <c r="J1393" s="60"/>
      <c r="K1393" s="114"/>
      <c r="L1393" s="114"/>
      <c r="M1393" s="60"/>
      <c r="N1393" s="60"/>
      <c r="O1393" s="114"/>
      <c r="P1393" s="114"/>
      <c r="Q1393" s="114"/>
      <c r="R1393" s="114"/>
      <c r="S1393" s="114"/>
      <c r="T1393" s="114"/>
      <c r="U1393" s="114"/>
      <c r="V1393" s="114"/>
      <c r="W1393" s="114"/>
      <c r="X1393" s="114"/>
      <c r="Y1393" s="114"/>
      <c r="Z1393" s="114"/>
    </row>
    <row r="1394" spans="1:26" ht="15.75" customHeight="1" x14ac:dyDescent="0.25">
      <c r="A1394" s="42" t="s">
        <v>493</v>
      </c>
      <c r="B1394" s="41"/>
      <c r="C1394" s="43"/>
      <c r="D1394" s="43"/>
      <c r="E1394" s="43"/>
      <c r="F1394" s="43"/>
      <c r="G1394" s="43"/>
      <c r="H1394" s="114"/>
      <c r="I1394" s="60"/>
      <c r="J1394" s="60"/>
      <c r="K1394" s="114"/>
      <c r="L1394" s="114"/>
      <c r="M1394" s="60"/>
      <c r="N1394" s="60"/>
      <c r="O1394" s="114"/>
      <c r="P1394" s="114"/>
      <c r="Q1394" s="114"/>
      <c r="R1394" s="114"/>
      <c r="S1394" s="114"/>
      <c r="T1394" s="114"/>
      <c r="U1394" s="114"/>
      <c r="V1394" s="114"/>
      <c r="W1394" s="114"/>
      <c r="X1394" s="114"/>
      <c r="Y1394" s="114"/>
      <c r="Z1394" s="114"/>
    </row>
    <row r="1395" spans="1:26" ht="15.75" customHeight="1" x14ac:dyDescent="0.25">
      <c r="A1395" s="44" t="s">
        <v>396</v>
      </c>
      <c r="B1395" s="41" t="s">
        <v>191</v>
      </c>
      <c r="C1395" s="43">
        <v>0</v>
      </c>
      <c r="D1395" s="43">
        <v>190960</v>
      </c>
      <c r="E1395" s="43">
        <f>F1395-D1395</f>
        <v>85030</v>
      </c>
      <c r="F1395" s="43">
        <v>275990</v>
      </c>
      <c r="G1395" s="43">
        <v>250000</v>
      </c>
      <c r="H1395" s="114"/>
      <c r="I1395" s="60"/>
      <c r="J1395" s="60"/>
      <c r="K1395" s="114"/>
      <c r="L1395" s="114"/>
      <c r="M1395" s="60"/>
      <c r="N1395" s="60"/>
      <c r="O1395" s="114"/>
      <c r="P1395" s="114"/>
      <c r="Q1395" s="114"/>
      <c r="R1395" s="114"/>
      <c r="S1395" s="114"/>
      <c r="T1395" s="114"/>
      <c r="U1395" s="114"/>
      <c r="V1395" s="114"/>
      <c r="W1395" s="114"/>
      <c r="X1395" s="114"/>
      <c r="Y1395" s="114"/>
      <c r="Z1395" s="114"/>
    </row>
    <row r="1396" spans="1:26" ht="15.75" customHeight="1" x14ac:dyDescent="0.25">
      <c r="A1396" s="44" t="s">
        <v>1130</v>
      </c>
      <c r="B1396" s="41"/>
      <c r="C1396" s="43"/>
      <c r="D1396" s="43"/>
      <c r="E1396" s="43"/>
      <c r="F1396" s="43"/>
      <c r="G1396" s="43"/>
      <c r="H1396" s="114"/>
      <c r="I1396" s="60"/>
      <c r="J1396" s="60"/>
      <c r="K1396" s="114"/>
      <c r="L1396" s="114"/>
      <c r="M1396" s="60"/>
      <c r="N1396" s="60"/>
      <c r="O1396" s="114"/>
      <c r="P1396" s="114"/>
      <c r="Q1396" s="114"/>
      <c r="R1396" s="114"/>
      <c r="S1396" s="114"/>
      <c r="T1396" s="114"/>
      <c r="U1396" s="114"/>
      <c r="V1396" s="114"/>
      <c r="W1396" s="114"/>
      <c r="X1396" s="114"/>
      <c r="Y1396" s="114"/>
      <c r="Z1396" s="114"/>
    </row>
    <row r="1397" spans="1:26" ht="15.75" customHeight="1" x14ac:dyDescent="0.25">
      <c r="A1397" s="17" t="s">
        <v>511</v>
      </c>
      <c r="B1397" s="41"/>
      <c r="C1397" s="42"/>
      <c r="D1397" s="42"/>
      <c r="E1397" s="43"/>
      <c r="F1397" s="43"/>
      <c r="G1397" s="43"/>
      <c r="H1397" s="114"/>
      <c r="I1397" s="60"/>
      <c r="J1397" s="60"/>
      <c r="K1397" s="114"/>
      <c r="L1397" s="114"/>
      <c r="M1397" s="60"/>
      <c r="N1397" s="60"/>
      <c r="O1397" s="114"/>
      <c r="P1397" s="114"/>
      <c r="Q1397" s="114"/>
      <c r="R1397" s="114"/>
      <c r="S1397" s="114"/>
      <c r="T1397" s="114"/>
      <c r="U1397" s="114"/>
      <c r="V1397" s="114"/>
      <c r="W1397" s="114"/>
      <c r="X1397" s="114"/>
      <c r="Y1397" s="114"/>
      <c r="Z1397" s="114"/>
    </row>
    <row r="1398" spans="1:26" ht="15.75" customHeight="1" x14ac:dyDescent="0.25">
      <c r="A1398" s="44" t="s">
        <v>424</v>
      </c>
      <c r="B1398" s="41" t="s">
        <v>335</v>
      </c>
      <c r="C1398" s="43">
        <v>560584</v>
      </c>
      <c r="D1398" s="43">
        <v>248823</v>
      </c>
      <c r="E1398" s="43">
        <f>F1398-D1398</f>
        <v>165137</v>
      </c>
      <c r="F1398" s="43">
        <v>413960</v>
      </c>
      <c r="G1398" s="43">
        <v>547688</v>
      </c>
      <c r="H1398" s="114"/>
      <c r="I1398" s="60"/>
      <c r="J1398" s="60"/>
      <c r="K1398" s="114"/>
      <c r="L1398" s="114"/>
      <c r="M1398" s="60"/>
      <c r="N1398" s="60"/>
      <c r="O1398" s="114"/>
      <c r="P1398" s="114"/>
      <c r="Q1398" s="114"/>
      <c r="R1398" s="114"/>
      <c r="S1398" s="114"/>
      <c r="T1398" s="114"/>
      <c r="U1398" s="114"/>
      <c r="V1398" s="114"/>
      <c r="W1398" s="114"/>
      <c r="X1398" s="114"/>
      <c r="Y1398" s="114"/>
      <c r="Z1398" s="114"/>
    </row>
    <row r="1399" spans="1:26" ht="15.75" customHeight="1" x14ac:dyDescent="0.25">
      <c r="A1399" s="44" t="s">
        <v>1131</v>
      </c>
      <c r="B1399" s="41"/>
      <c r="C1399" s="43"/>
      <c r="D1399" s="43"/>
      <c r="E1399" s="43"/>
      <c r="F1399" s="43"/>
      <c r="G1399" s="43"/>
      <c r="H1399" s="114"/>
      <c r="I1399" s="210"/>
      <c r="J1399" s="211"/>
      <c r="K1399" s="210"/>
      <c r="L1399" s="8"/>
      <c r="M1399" s="210"/>
      <c r="N1399" s="60">
        <v>200000</v>
      </c>
      <c r="O1399" s="114"/>
      <c r="P1399" s="114"/>
      <c r="Q1399" s="114"/>
      <c r="R1399" s="114"/>
      <c r="S1399" s="114"/>
      <c r="T1399" s="114"/>
      <c r="U1399" s="114"/>
      <c r="V1399" s="114"/>
      <c r="W1399" s="114"/>
      <c r="X1399" s="114"/>
      <c r="Y1399" s="114"/>
      <c r="Z1399" s="114"/>
    </row>
    <row r="1400" spans="1:26" ht="15.75" customHeight="1" x14ac:dyDescent="0.25">
      <c r="A1400" s="44" t="s">
        <v>885</v>
      </c>
      <c r="B1400" s="41"/>
      <c r="C1400" s="43"/>
      <c r="D1400" s="43"/>
      <c r="E1400" s="43"/>
      <c r="F1400" s="43"/>
      <c r="G1400" s="43"/>
      <c r="H1400" s="114"/>
      <c r="I1400" s="210" t="s">
        <v>877</v>
      </c>
      <c r="J1400" s="211" t="s">
        <v>878</v>
      </c>
      <c r="K1400" s="210" t="s">
        <v>879</v>
      </c>
      <c r="L1400" s="8" t="s">
        <v>880</v>
      </c>
      <c r="M1400" s="210" t="s">
        <v>881</v>
      </c>
      <c r="N1400" s="60"/>
      <c r="O1400" s="114"/>
      <c r="P1400" s="114"/>
      <c r="Q1400" s="114"/>
      <c r="R1400" s="114"/>
      <c r="S1400" s="114"/>
      <c r="T1400" s="114"/>
      <c r="U1400" s="114"/>
      <c r="V1400" s="114"/>
      <c r="W1400" s="114"/>
      <c r="X1400" s="114"/>
      <c r="Y1400" s="114"/>
      <c r="Z1400" s="114"/>
    </row>
    <row r="1401" spans="1:26" ht="15.75" customHeight="1" x14ac:dyDescent="0.25">
      <c r="A1401" s="44" t="s">
        <v>1102</v>
      </c>
      <c r="B1401" s="41"/>
      <c r="C1401" s="43"/>
      <c r="D1401" s="43"/>
      <c r="E1401" s="43"/>
      <c r="F1401" s="43"/>
      <c r="G1401" s="43"/>
      <c r="H1401" s="114"/>
      <c r="I1401" s="60">
        <v>678</v>
      </c>
      <c r="J1401" s="211">
        <v>1</v>
      </c>
      <c r="K1401" s="8">
        <v>22</v>
      </c>
      <c r="L1401" s="8">
        <v>12</v>
      </c>
      <c r="M1401" s="60">
        <f t="shared" ref="M1401:M1402" si="240">I1401*J1401*K1401*L1401</f>
        <v>178992</v>
      </c>
      <c r="N1401" s="60"/>
      <c r="O1401" s="114"/>
      <c r="P1401" s="114"/>
      <c r="Q1401" s="114"/>
      <c r="R1401" s="114"/>
      <c r="S1401" s="114"/>
      <c r="T1401" s="114"/>
      <c r="U1401" s="114"/>
      <c r="V1401" s="114"/>
      <c r="W1401" s="114"/>
      <c r="X1401" s="114"/>
      <c r="Y1401" s="114"/>
      <c r="Z1401" s="114"/>
    </row>
    <row r="1402" spans="1:26" ht="15.75" customHeight="1" x14ac:dyDescent="0.25">
      <c r="A1402" s="44" t="s">
        <v>1132</v>
      </c>
      <c r="B1402" s="41"/>
      <c r="C1402" s="43"/>
      <c r="D1402" s="43"/>
      <c r="E1402" s="43"/>
      <c r="F1402" s="43"/>
      <c r="G1402" s="43"/>
      <c r="H1402" s="114"/>
      <c r="I1402" s="60">
        <v>639</v>
      </c>
      <c r="J1402" s="211">
        <v>1</v>
      </c>
      <c r="K1402" s="8">
        <v>22</v>
      </c>
      <c r="L1402" s="8">
        <v>12</v>
      </c>
      <c r="M1402" s="60">
        <f t="shared" si="240"/>
        <v>168696</v>
      </c>
      <c r="N1402" s="60">
        <f>SUM(M1401:M1402)</f>
        <v>347688</v>
      </c>
      <c r="O1402" s="60">
        <f>N1399+N1402</f>
        <v>547688</v>
      </c>
      <c r="P1402" s="114"/>
      <c r="Q1402" s="114"/>
      <c r="R1402" s="114"/>
      <c r="S1402" s="114"/>
      <c r="T1402" s="114"/>
      <c r="U1402" s="114"/>
      <c r="V1402" s="114"/>
      <c r="W1402" s="114"/>
      <c r="X1402" s="114"/>
      <c r="Y1402" s="114"/>
      <c r="Z1402" s="114"/>
    </row>
    <row r="1403" spans="1:26" ht="15.75" customHeight="1" x14ac:dyDescent="0.25">
      <c r="A1403" s="42" t="s">
        <v>466</v>
      </c>
      <c r="B1403" s="41"/>
      <c r="C1403" s="54">
        <f t="shared" ref="C1403:D1403" si="241">SUM(C1395:C1398)</f>
        <v>560584</v>
      </c>
      <c r="D1403" s="54">
        <f t="shared" si="241"/>
        <v>439783</v>
      </c>
      <c r="E1403" s="54">
        <f>F1403-D1403</f>
        <v>250167</v>
      </c>
      <c r="F1403" s="54">
        <f t="shared" ref="F1403:G1403" si="242">SUM(F1395:F1398)</f>
        <v>689950</v>
      </c>
      <c r="G1403" s="54">
        <f t="shared" si="242"/>
        <v>797688</v>
      </c>
      <c r="H1403" s="114"/>
      <c r="I1403" s="60"/>
      <c r="J1403" s="60"/>
      <c r="K1403" s="114"/>
      <c r="L1403" s="114"/>
      <c r="M1403" s="60"/>
      <c r="N1403" s="60"/>
      <c r="O1403" s="114"/>
      <c r="P1403" s="114"/>
      <c r="Q1403" s="114"/>
      <c r="R1403" s="114"/>
      <c r="S1403" s="114"/>
      <c r="T1403" s="114"/>
      <c r="U1403" s="114"/>
      <c r="V1403" s="114"/>
      <c r="W1403" s="114"/>
      <c r="X1403" s="114"/>
      <c r="Y1403" s="114"/>
      <c r="Z1403" s="114"/>
    </row>
    <row r="1404" spans="1:26" ht="15.75" customHeight="1" x14ac:dyDescent="0.25">
      <c r="A1404" s="17"/>
      <c r="B1404" s="41"/>
      <c r="C1404" s="55"/>
      <c r="D1404" s="55"/>
      <c r="E1404" s="43"/>
      <c r="F1404" s="55"/>
      <c r="G1404" s="55"/>
      <c r="H1404" s="114"/>
      <c r="I1404" s="60"/>
      <c r="J1404" s="60"/>
      <c r="K1404" s="114"/>
      <c r="L1404" s="114"/>
      <c r="M1404" s="60"/>
      <c r="N1404" s="60"/>
      <c r="O1404" s="114"/>
      <c r="P1404" s="114"/>
      <c r="Q1404" s="114"/>
      <c r="R1404" s="114"/>
      <c r="S1404" s="114"/>
      <c r="T1404" s="114"/>
      <c r="U1404" s="114"/>
      <c r="V1404" s="114"/>
      <c r="W1404" s="114"/>
      <c r="X1404" s="114"/>
      <c r="Y1404" s="114"/>
      <c r="Z1404" s="114"/>
    </row>
    <row r="1405" spans="1:26" ht="15.75" customHeight="1" x14ac:dyDescent="0.25">
      <c r="A1405" s="17" t="s">
        <v>467</v>
      </c>
      <c r="B1405" s="41"/>
      <c r="C1405" s="43">
        <f t="shared" ref="C1405:D1405" si="243">C1403</f>
        <v>560584</v>
      </c>
      <c r="D1405" s="43">
        <f t="shared" si="243"/>
        <v>439783</v>
      </c>
      <c r="E1405" s="43">
        <f>F1405-D1405</f>
        <v>250167</v>
      </c>
      <c r="F1405" s="43">
        <f t="shared" ref="F1405:G1405" si="244">F1403</f>
        <v>689950</v>
      </c>
      <c r="G1405" s="43">
        <f t="shared" si="244"/>
        <v>797688</v>
      </c>
      <c r="H1405" s="114"/>
      <c r="I1405" s="60"/>
      <c r="J1405" s="60"/>
      <c r="K1405" s="114"/>
      <c r="L1405" s="114"/>
      <c r="M1405" s="60"/>
      <c r="N1405" s="60"/>
      <c r="O1405" s="114"/>
      <c r="P1405" s="114"/>
      <c r="Q1405" s="114"/>
      <c r="R1405" s="114"/>
      <c r="S1405" s="114"/>
      <c r="T1405" s="114"/>
      <c r="U1405" s="114"/>
      <c r="V1405" s="114"/>
      <c r="W1405" s="114"/>
      <c r="X1405" s="114"/>
      <c r="Y1405" s="114"/>
      <c r="Z1405" s="114"/>
    </row>
    <row r="1406" spans="1:26" ht="15.75" customHeight="1" x14ac:dyDescent="0.25">
      <c r="A1406" s="17"/>
      <c r="B1406" s="41"/>
      <c r="C1406" s="43"/>
      <c r="D1406" s="43"/>
      <c r="E1406" s="43"/>
      <c r="F1406" s="43"/>
      <c r="G1406" s="43"/>
      <c r="H1406" s="114"/>
      <c r="I1406" s="60"/>
      <c r="J1406" s="60"/>
      <c r="K1406" s="114"/>
      <c r="L1406" s="114"/>
      <c r="M1406" s="60"/>
      <c r="N1406" s="60"/>
      <c r="O1406" s="114"/>
      <c r="P1406" s="114"/>
      <c r="Q1406" s="114"/>
      <c r="R1406" s="114"/>
      <c r="S1406" s="114"/>
      <c r="T1406" s="114"/>
      <c r="U1406" s="114"/>
      <c r="V1406" s="114"/>
      <c r="W1406" s="114"/>
      <c r="X1406" s="114"/>
      <c r="Y1406" s="114"/>
      <c r="Z1406" s="114"/>
    </row>
    <row r="1407" spans="1:26" ht="15.75" customHeight="1" x14ac:dyDescent="0.25">
      <c r="A1407" s="50" t="s">
        <v>487</v>
      </c>
      <c r="B1407" s="51" t="s">
        <v>488</v>
      </c>
      <c r="C1407" s="54">
        <f t="shared" ref="C1407:D1407" si="245">C1405</f>
        <v>560584</v>
      </c>
      <c r="D1407" s="54">
        <f t="shared" si="245"/>
        <v>439783</v>
      </c>
      <c r="E1407" s="54">
        <f>F1407-D1407</f>
        <v>250167</v>
      </c>
      <c r="F1407" s="54">
        <f t="shared" ref="F1407:G1407" si="246">F1405</f>
        <v>689950</v>
      </c>
      <c r="G1407" s="54">
        <f t="shared" si="246"/>
        <v>797688</v>
      </c>
      <c r="H1407" s="114"/>
      <c r="I1407" s="60"/>
      <c r="J1407" s="60"/>
      <c r="K1407" s="114"/>
      <c r="L1407" s="114"/>
      <c r="M1407" s="60"/>
      <c r="N1407" s="60"/>
      <c r="O1407" s="114"/>
      <c r="P1407" s="114"/>
      <c r="Q1407" s="114"/>
      <c r="R1407" s="114"/>
      <c r="S1407" s="114"/>
      <c r="T1407" s="114"/>
      <c r="U1407" s="114"/>
      <c r="V1407" s="114"/>
      <c r="W1407" s="114"/>
      <c r="X1407" s="114"/>
      <c r="Y1407" s="114"/>
      <c r="Z1407" s="114"/>
    </row>
    <row r="1408" spans="1:26" ht="15.75" customHeight="1" x14ac:dyDescent="0.25">
      <c r="A1408" s="24"/>
      <c r="B1408" s="25"/>
      <c r="C1408" s="26"/>
      <c r="D1408" s="26"/>
      <c r="E1408" s="26"/>
      <c r="F1408" s="26"/>
      <c r="G1408" s="26"/>
      <c r="H1408" s="114"/>
      <c r="I1408" s="60"/>
      <c r="J1408" s="60"/>
      <c r="K1408" s="114"/>
      <c r="L1408" s="114"/>
      <c r="M1408" s="60"/>
      <c r="N1408" s="60"/>
      <c r="O1408" s="114"/>
      <c r="P1408" s="114"/>
      <c r="Q1408" s="114"/>
      <c r="R1408" s="114"/>
      <c r="S1408" s="114"/>
      <c r="T1408" s="114"/>
      <c r="U1408" s="114"/>
      <c r="V1408" s="114"/>
      <c r="W1408" s="114"/>
      <c r="X1408" s="114"/>
      <c r="Y1408" s="114"/>
      <c r="Z1408" s="114"/>
    </row>
    <row r="1409" spans="1:26" ht="15.75" customHeight="1" x14ac:dyDescent="0.25">
      <c r="A1409" s="24"/>
      <c r="B1409" s="25"/>
      <c r="C1409" s="24"/>
      <c r="D1409" s="24"/>
      <c r="E1409" s="24"/>
      <c r="F1409" s="15"/>
      <c r="G1409" s="15"/>
      <c r="H1409" s="15"/>
      <c r="I1409" s="16"/>
      <c r="J1409" s="16"/>
      <c r="K1409" s="15"/>
      <c r="L1409" s="15"/>
      <c r="M1409" s="16"/>
      <c r="N1409" s="16"/>
      <c r="O1409" s="15"/>
      <c r="P1409" s="15"/>
      <c r="Q1409" s="15"/>
      <c r="R1409" s="15"/>
      <c r="S1409" s="15"/>
      <c r="T1409" s="15"/>
      <c r="U1409" s="15"/>
      <c r="V1409" s="15"/>
      <c r="W1409" s="15"/>
      <c r="X1409" s="15"/>
      <c r="Y1409" s="15"/>
      <c r="Z1409" s="15"/>
    </row>
    <row r="1410" spans="1:26" ht="15.75" customHeight="1" x14ac:dyDescent="0.25">
      <c r="A1410" s="9"/>
      <c r="B1410" s="104"/>
      <c r="C1410" s="105"/>
      <c r="D1410" s="105"/>
      <c r="E1410" s="105"/>
      <c r="F1410" s="10"/>
      <c r="G1410" s="180"/>
      <c r="H1410" s="15"/>
      <c r="I1410" s="16"/>
      <c r="J1410" s="16"/>
      <c r="K1410" s="15"/>
      <c r="L1410" s="15"/>
      <c r="M1410" s="16"/>
      <c r="N1410" s="16"/>
      <c r="O1410" s="15"/>
      <c r="P1410" s="15"/>
      <c r="Q1410" s="15"/>
      <c r="R1410" s="15"/>
      <c r="S1410" s="15"/>
      <c r="T1410" s="15"/>
      <c r="U1410" s="15"/>
      <c r="V1410" s="15"/>
      <c r="W1410" s="15"/>
      <c r="X1410" s="15"/>
      <c r="Y1410" s="15"/>
      <c r="Z1410" s="15"/>
    </row>
    <row r="1411" spans="1:26" ht="15.75" customHeight="1" x14ac:dyDescent="0.25">
      <c r="A1411" s="108" t="s">
        <v>1133</v>
      </c>
      <c r="B1411" s="25"/>
      <c r="C1411" s="26"/>
      <c r="D1411" s="26"/>
      <c r="E1411" s="26"/>
      <c r="F1411" s="14"/>
      <c r="G1411" s="181"/>
      <c r="H1411" s="15"/>
      <c r="I1411" s="16"/>
      <c r="J1411" s="16"/>
      <c r="K1411" s="15"/>
      <c r="L1411" s="15"/>
      <c r="M1411" s="16"/>
      <c r="N1411" s="16"/>
      <c r="O1411" s="15"/>
      <c r="P1411" s="15"/>
      <c r="Q1411" s="15"/>
      <c r="R1411" s="15"/>
      <c r="S1411" s="15"/>
      <c r="T1411" s="15"/>
      <c r="U1411" s="15"/>
      <c r="V1411" s="15"/>
      <c r="W1411" s="15"/>
      <c r="X1411" s="15"/>
      <c r="Y1411" s="15"/>
      <c r="Z1411" s="15"/>
    </row>
    <row r="1412" spans="1:26" ht="15.75" customHeight="1" x14ac:dyDescent="0.25">
      <c r="A1412" s="44"/>
      <c r="B1412" s="25"/>
      <c r="C1412" s="26"/>
      <c r="D1412" s="26"/>
      <c r="E1412" s="26"/>
      <c r="F1412" s="14"/>
      <c r="G1412" s="181"/>
      <c r="H1412" s="15"/>
      <c r="I1412" s="16"/>
      <c r="J1412" s="16"/>
      <c r="K1412" s="15"/>
      <c r="L1412" s="15"/>
      <c r="M1412" s="16"/>
      <c r="N1412" s="16"/>
      <c r="O1412" s="15"/>
      <c r="P1412" s="15"/>
      <c r="Q1412" s="15"/>
      <c r="R1412" s="15"/>
      <c r="S1412" s="15"/>
      <c r="T1412" s="15"/>
      <c r="U1412" s="15"/>
      <c r="V1412" s="15"/>
      <c r="W1412" s="15"/>
      <c r="X1412" s="15"/>
      <c r="Y1412" s="15"/>
      <c r="Z1412" s="15"/>
    </row>
    <row r="1413" spans="1:26" ht="15.75" customHeight="1" x14ac:dyDescent="0.25">
      <c r="A1413" s="865" t="s">
        <v>352</v>
      </c>
      <c r="B1413" s="866"/>
      <c r="C1413" s="866"/>
      <c r="D1413" s="866"/>
      <c r="E1413" s="866"/>
      <c r="F1413" s="866"/>
      <c r="G1413" s="867"/>
      <c r="H1413" s="15"/>
      <c r="I1413" s="16"/>
      <c r="J1413" s="16"/>
      <c r="K1413" s="15"/>
      <c r="L1413" s="15"/>
      <c r="M1413" s="16"/>
      <c r="N1413" s="16"/>
      <c r="O1413" s="15"/>
      <c r="P1413" s="15"/>
      <c r="Q1413" s="15"/>
      <c r="R1413" s="15"/>
      <c r="S1413" s="15"/>
      <c r="T1413" s="15"/>
      <c r="U1413" s="15"/>
      <c r="V1413" s="15"/>
      <c r="W1413" s="15"/>
      <c r="X1413" s="15"/>
      <c r="Y1413" s="15"/>
      <c r="Z1413" s="15"/>
    </row>
    <row r="1414" spans="1:26" ht="15.75" customHeight="1" x14ac:dyDescent="0.25">
      <c r="A1414" s="868" t="s">
        <v>353</v>
      </c>
      <c r="B1414" s="857" t="s">
        <v>354</v>
      </c>
      <c r="C1414" s="870" t="s">
        <v>355</v>
      </c>
      <c r="D1414" s="872" t="s">
        <v>356</v>
      </c>
      <c r="E1414" s="873"/>
      <c r="F1414" s="874"/>
      <c r="G1414" s="857" t="s">
        <v>357</v>
      </c>
      <c r="H1414" s="15"/>
      <c r="I1414" s="16"/>
      <c r="J1414" s="16"/>
      <c r="K1414" s="15"/>
      <c r="L1414" s="15"/>
      <c r="M1414" s="16"/>
      <c r="N1414" s="16"/>
      <c r="O1414" s="15"/>
      <c r="P1414" s="15"/>
      <c r="Q1414" s="15"/>
      <c r="R1414" s="15"/>
      <c r="S1414" s="15"/>
      <c r="T1414" s="15"/>
      <c r="U1414" s="15"/>
      <c r="V1414" s="15"/>
      <c r="W1414" s="15"/>
      <c r="X1414" s="15"/>
      <c r="Y1414" s="15"/>
      <c r="Z1414" s="15"/>
    </row>
    <row r="1415" spans="1:26" ht="15.75" customHeight="1" x14ac:dyDescent="0.25">
      <c r="A1415" s="858"/>
      <c r="B1415" s="858"/>
      <c r="C1415" s="871"/>
      <c r="D1415" s="28" t="s">
        <v>358</v>
      </c>
      <c r="E1415" s="29" t="s">
        <v>359</v>
      </c>
      <c r="F1415" s="875" t="s">
        <v>360</v>
      </c>
      <c r="G1415" s="858"/>
      <c r="H1415" s="15"/>
      <c r="I1415" s="16"/>
      <c r="J1415" s="16"/>
      <c r="K1415" s="15"/>
      <c r="L1415" s="15"/>
      <c r="M1415" s="16"/>
      <c r="N1415" s="16"/>
      <c r="O1415" s="15"/>
      <c r="P1415" s="15"/>
      <c r="Q1415" s="15"/>
      <c r="R1415" s="15"/>
      <c r="S1415" s="15"/>
      <c r="T1415" s="15"/>
      <c r="U1415" s="15"/>
      <c r="V1415" s="15"/>
      <c r="W1415" s="15"/>
      <c r="X1415" s="15"/>
      <c r="Y1415" s="15"/>
      <c r="Z1415" s="15"/>
    </row>
    <row r="1416" spans="1:26" ht="15.75" customHeight="1" x14ac:dyDescent="0.25">
      <c r="A1416" s="858"/>
      <c r="B1416" s="858"/>
      <c r="C1416" s="30" t="s">
        <v>361</v>
      </c>
      <c r="D1416" s="31" t="s">
        <v>361</v>
      </c>
      <c r="E1416" s="32" t="s">
        <v>362</v>
      </c>
      <c r="F1416" s="860"/>
      <c r="G1416" s="442" t="s">
        <v>2717</v>
      </c>
      <c r="H1416" s="15"/>
      <c r="I1416" s="16"/>
      <c r="J1416" s="16"/>
      <c r="K1416" s="15"/>
      <c r="L1416" s="15"/>
      <c r="M1416" s="16"/>
      <c r="N1416" s="16"/>
      <c r="O1416" s="15"/>
      <c r="P1416" s="15"/>
      <c r="Q1416" s="15"/>
      <c r="R1416" s="15"/>
      <c r="S1416" s="15"/>
      <c r="T1416" s="15"/>
      <c r="U1416" s="15"/>
      <c r="V1416" s="15"/>
      <c r="W1416" s="15"/>
      <c r="X1416" s="15"/>
      <c r="Y1416" s="15"/>
      <c r="Z1416" s="15"/>
    </row>
    <row r="1417" spans="1:26" ht="15.75" customHeight="1" x14ac:dyDescent="0.25">
      <c r="A1417" s="869"/>
      <c r="B1417" s="869"/>
      <c r="C1417" s="33">
        <v>2024</v>
      </c>
      <c r="D1417" s="34">
        <v>2025</v>
      </c>
      <c r="E1417" s="34">
        <v>2025</v>
      </c>
      <c r="F1417" s="34">
        <v>2025</v>
      </c>
      <c r="G1417" s="36" t="s">
        <v>2668</v>
      </c>
      <c r="H1417" s="15"/>
      <c r="I1417" s="16"/>
      <c r="J1417" s="16"/>
      <c r="K1417" s="15"/>
      <c r="L1417" s="15"/>
      <c r="M1417" s="16"/>
      <c r="N1417" s="16"/>
      <c r="O1417" s="15"/>
      <c r="P1417" s="15"/>
      <c r="Q1417" s="15"/>
      <c r="R1417" s="15"/>
      <c r="S1417" s="15"/>
      <c r="T1417" s="15"/>
      <c r="U1417" s="15"/>
      <c r="V1417" s="15"/>
      <c r="W1417" s="15"/>
      <c r="X1417" s="15"/>
      <c r="Y1417" s="15"/>
      <c r="Z1417" s="15"/>
    </row>
    <row r="1418" spans="1:26" ht="15.75" customHeight="1" x14ac:dyDescent="0.25">
      <c r="A1418" s="9" t="s">
        <v>364</v>
      </c>
      <c r="B1418" s="38"/>
      <c r="C1418" s="42"/>
      <c r="D1418" s="42"/>
      <c r="E1418" s="42"/>
      <c r="F1418" s="42"/>
      <c r="G1418" s="37"/>
      <c r="H1418" s="114"/>
      <c r="I1418" s="60"/>
      <c r="J1418" s="60"/>
      <c r="K1418" s="114"/>
      <c r="L1418" s="114"/>
      <c r="M1418" s="60"/>
      <c r="N1418" s="60"/>
      <c r="O1418" s="114"/>
      <c r="P1418" s="114"/>
      <c r="Q1418" s="114"/>
      <c r="R1418" s="114"/>
      <c r="S1418" s="114"/>
      <c r="T1418" s="114"/>
      <c r="U1418" s="114"/>
      <c r="V1418" s="114"/>
      <c r="W1418" s="114"/>
      <c r="X1418" s="114"/>
      <c r="Y1418" s="114"/>
      <c r="Z1418" s="114"/>
    </row>
    <row r="1419" spans="1:26" ht="15.75" customHeight="1" x14ac:dyDescent="0.25">
      <c r="A1419" s="42" t="s">
        <v>491</v>
      </c>
      <c r="B1419" s="49"/>
      <c r="C1419" s="43"/>
      <c r="D1419" s="43"/>
      <c r="E1419" s="43"/>
      <c r="F1419" s="43"/>
      <c r="G1419" s="43"/>
      <c r="H1419" s="114"/>
      <c r="I1419" s="60"/>
      <c r="J1419" s="60"/>
      <c r="K1419" s="114"/>
      <c r="L1419" s="114"/>
      <c r="M1419" s="60"/>
      <c r="N1419" s="60"/>
      <c r="O1419" s="114"/>
      <c r="P1419" s="114"/>
      <c r="Q1419" s="114"/>
      <c r="R1419" s="114"/>
      <c r="S1419" s="114"/>
      <c r="T1419" s="114"/>
      <c r="U1419" s="114"/>
      <c r="V1419" s="114"/>
      <c r="W1419" s="114"/>
      <c r="X1419" s="114"/>
      <c r="Y1419" s="114"/>
      <c r="Z1419" s="114"/>
    </row>
    <row r="1420" spans="1:26" ht="15.75" customHeight="1" x14ac:dyDescent="0.25">
      <c r="A1420" s="17" t="s">
        <v>511</v>
      </c>
      <c r="B1420" s="41"/>
      <c r="C1420" s="42"/>
      <c r="D1420" s="42"/>
      <c r="E1420" s="43"/>
      <c r="F1420" s="43"/>
      <c r="G1420" s="43"/>
      <c r="H1420" s="114"/>
      <c r="I1420" s="60"/>
      <c r="J1420" s="60"/>
      <c r="K1420" s="114"/>
      <c r="L1420" s="114"/>
      <c r="M1420" s="60"/>
      <c r="N1420" s="60"/>
      <c r="O1420" s="114"/>
      <c r="P1420" s="114"/>
      <c r="Q1420" s="114"/>
      <c r="R1420" s="114"/>
      <c r="S1420" s="114"/>
      <c r="T1420" s="114"/>
      <c r="U1420" s="114"/>
      <c r="V1420" s="114"/>
      <c r="W1420" s="114"/>
      <c r="X1420" s="114"/>
      <c r="Y1420" s="114"/>
      <c r="Z1420" s="114"/>
    </row>
    <row r="1421" spans="1:26" ht="15.75" customHeight="1" x14ac:dyDescent="0.25">
      <c r="A1421" s="44" t="s">
        <v>837</v>
      </c>
      <c r="B1421" s="41" t="s">
        <v>333</v>
      </c>
      <c r="C1421" s="43">
        <v>53828000</v>
      </c>
      <c r="D1421" s="43">
        <v>16205400</v>
      </c>
      <c r="E1421" s="43">
        <f t="shared" ref="E1421:E1422" si="247">F1421-D1421</f>
        <v>43794600</v>
      </c>
      <c r="F1421" s="43">
        <v>60000000</v>
      </c>
      <c r="G1421" s="43">
        <v>216000000</v>
      </c>
      <c r="H1421" s="114"/>
      <c r="I1421" s="60"/>
      <c r="J1421" s="60"/>
      <c r="K1421" s="114"/>
      <c r="L1421" s="114"/>
      <c r="M1421" s="60"/>
      <c r="N1421" s="60"/>
      <c r="O1421" s="114"/>
      <c r="P1421" s="114"/>
      <c r="Q1421" s="114"/>
      <c r="R1421" s="114"/>
      <c r="S1421" s="114"/>
      <c r="T1421" s="114"/>
      <c r="U1421" s="114"/>
      <c r="V1421" s="114"/>
      <c r="W1421" s="114"/>
      <c r="X1421" s="114"/>
      <c r="Y1421" s="114"/>
      <c r="Z1421" s="114"/>
    </row>
    <row r="1422" spans="1:26" ht="15.75" customHeight="1" x14ac:dyDescent="0.25">
      <c r="A1422" s="42" t="s">
        <v>466</v>
      </c>
      <c r="B1422" s="41"/>
      <c r="C1422" s="54">
        <f>SUM(C1420:C1421)</f>
        <v>53828000</v>
      </c>
      <c r="D1422" s="54">
        <f>SUM(D1420:D1421)</f>
        <v>16205400</v>
      </c>
      <c r="E1422" s="54">
        <f t="shared" si="247"/>
        <v>43794600</v>
      </c>
      <c r="F1422" s="54">
        <f>SUM(F1420:F1421)</f>
        <v>60000000</v>
      </c>
      <c r="G1422" s="54">
        <f>SUM(G1420:G1421)</f>
        <v>216000000</v>
      </c>
      <c r="H1422" s="114"/>
      <c r="I1422" s="60"/>
      <c r="J1422" s="60"/>
      <c r="K1422" s="114"/>
      <c r="L1422" s="114"/>
      <c r="M1422" s="60"/>
      <c r="N1422" s="60"/>
      <c r="O1422" s="114"/>
      <c r="P1422" s="114"/>
      <c r="Q1422" s="114"/>
      <c r="R1422" s="114"/>
      <c r="S1422" s="114"/>
      <c r="T1422" s="114"/>
      <c r="U1422" s="114"/>
      <c r="V1422" s="114"/>
      <c r="W1422" s="114"/>
      <c r="X1422" s="114"/>
      <c r="Y1422" s="114"/>
      <c r="Z1422" s="114"/>
    </row>
    <row r="1423" spans="1:26" ht="15.75" customHeight="1" x14ac:dyDescent="0.25">
      <c r="A1423" s="17"/>
      <c r="B1423" s="41"/>
      <c r="C1423" s="43"/>
      <c r="D1423" s="43"/>
      <c r="E1423" s="43"/>
      <c r="F1423" s="43"/>
      <c r="G1423" s="43"/>
      <c r="H1423" s="114"/>
      <c r="I1423" s="60"/>
      <c r="J1423" s="60"/>
      <c r="K1423" s="114"/>
      <c r="L1423" s="114"/>
      <c r="M1423" s="60"/>
      <c r="N1423" s="60"/>
      <c r="O1423" s="114"/>
      <c r="P1423" s="114"/>
      <c r="Q1423" s="114"/>
      <c r="R1423" s="114"/>
      <c r="S1423" s="114"/>
      <c r="T1423" s="114"/>
      <c r="U1423" s="114"/>
      <c r="V1423" s="114"/>
      <c r="W1423" s="114"/>
      <c r="X1423" s="114"/>
      <c r="Y1423" s="114"/>
      <c r="Z1423" s="114"/>
    </row>
    <row r="1424" spans="1:26" ht="15.75" customHeight="1" x14ac:dyDescent="0.25">
      <c r="A1424" s="17" t="s">
        <v>467</v>
      </c>
      <c r="B1424" s="41"/>
      <c r="C1424" s="43">
        <f t="shared" ref="C1424:D1424" si="248">C1422</f>
        <v>53828000</v>
      </c>
      <c r="D1424" s="43">
        <f t="shared" si="248"/>
        <v>16205400</v>
      </c>
      <c r="E1424" s="43">
        <f>F1424-D1424</f>
        <v>43794600</v>
      </c>
      <c r="F1424" s="43">
        <f t="shared" ref="F1424:G1424" si="249">F1422</f>
        <v>60000000</v>
      </c>
      <c r="G1424" s="43">
        <f t="shared" si="249"/>
        <v>216000000</v>
      </c>
      <c r="H1424" s="114"/>
      <c r="I1424" s="60"/>
      <c r="J1424" s="60"/>
      <c r="K1424" s="114"/>
      <c r="L1424" s="114"/>
      <c r="M1424" s="60"/>
      <c r="N1424" s="60"/>
      <c r="O1424" s="114"/>
      <c r="P1424" s="114"/>
      <c r="Q1424" s="114"/>
      <c r="R1424" s="114"/>
      <c r="S1424" s="114"/>
      <c r="T1424" s="114"/>
      <c r="U1424" s="114"/>
      <c r="V1424" s="114"/>
      <c r="W1424" s="114"/>
      <c r="X1424" s="114"/>
      <c r="Y1424" s="114"/>
      <c r="Z1424" s="114"/>
    </row>
    <row r="1425" spans="1:26" ht="15.75" customHeight="1" x14ac:dyDescent="0.25">
      <c r="A1425" s="17"/>
      <c r="B1425" s="41"/>
      <c r="C1425" s="43"/>
      <c r="D1425" s="43"/>
      <c r="E1425" s="43"/>
      <c r="F1425" s="43"/>
      <c r="G1425" s="43"/>
      <c r="H1425" s="114"/>
      <c r="I1425" s="60"/>
      <c r="J1425" s="60"/>
      <c r="K1425" s="114"/>
      <c r="L1425" s="114"/>
      <c r="M1425" s="60"/>
      <c r="N1425" s="60"/>
      <c r="O1425" s="114"/>
      <c r="P1425" s="114"/>
      <c r="Q1425" s="114"/>
      <c r="R1425" s="114"/>
      <c r="S1425" s="114"/>
      <c r="T1425" s="114"/>
      <c r="U1425" s="114"/>
      <c r="V1425" s="114"/>
      <c r="W1425" s="114"/>
      <c r="X1425" s="114"/>
      <c r="Y1425" s="114"/>
      <c r="Z1425" s="114"/>
    </row>
    <row r="1426" spans="1:26" ht="15.75" customHeight="1" x14ac:dyDescent="0.25">
      <c r="A1426" s="50" t="s">
        <v>487</v>
      </c>
      <c r="B1426" s="51" t="s">
        <v>488</v>
      </c>
      <c r="C1426" s="54" t="e">
        <f>+C1424+#REF!</f>
        <v>#REF!</v>
      </c>
      <c r="D1426" s="54" t="e">
        <f>+D1424+#REF!</f>
        <v>#REF!</v>
      </c>
      <c r="E1426" s="54" t="e">
        <f>F1426-D1426</f>
        <v>#REF!</v>
      </c>
      <c r="F1426" s="54" t="e">
        <f>+F1424+#REF!</f>
        <v>#REF!</v>
      </c>
      <c r="G1426" s="54">
        <f>+G1424</f>
        <v>216000000</v>
      </c>
      <c r="H1426" s="114"/>
      <c r="I1426" s="60"/>
      <c r="J1426" s="60"/>
      <c r="K1426" s="114"/>
      <c r="L1426" s="114"/>
      <c r="M1426" s="60"/>
      <c r="N1426" s="60"/>
      <c r="O1426" s="114"/>
      <c r="P1426" s="114"/>
      <c r="Q1426" s="114"/>
      <c r="R1426" s="114"/>
      <c r="S1426" s="114"/>
      <c r="T1426" s="114"/>
      <c r="U1426" s="114"/>
      <c r="V1426" s="114"/>
      <c r="W1426" s="114"/>
      <c r="X1426" s="114"/>
      <c r="Y1426" s="114"/>
      <c r="Z1426" s="114"/>
    </row>
    <row r="1427" spans="1:26" ht="15.75" customHeight="1" x14ac:dyDescent="0.25">
      <c r="A1427" s="24"/>
      <c r="B1427" s="25"/>
      <c r="C1427" s="26"/>
      <c r="D1427" s="26"/>
      <c r="E1427" s="26"/>
      <c r="F1427" s="26"/>
      <c r="G1427" s="26"/>
      <c r="H1427" s="114"/>
      <c r="I1427" s="60"/>
      <c r="J1427" s="60"/>
      <c r="K1427" s="114"/>
      <c r="L1427" s="114"/>
      <c r="M1427" s="60"/>
      <c r="N1427" s="60"/>
      <c r="O1427" s="114"/>
      <c r="P1427" s="114"/>
      <c r="Q1427" s="114"/>
      <c r="R1427" s="114"/>
      <c r="S1427" s="114"/>
      <c r="T1427" s="114"/>
      <c r="U1427" s="114"/>
      <c r="V1427" s="114"/>
      <c r="W1427" s="114"/>
      <c r="X1427" s="114"/>
      <c r="Y1427" s="114"/>
      <c r="Z1427" s="114"/>
    </row>
    <row r="1428" spans="1:26" ht="15.75" customHeight="1" x14ac:dyDescent="0.25">
      <c r="A1428" s="24"/>
      <c r="B1428" s="25"/>
      <c r="C1428" s="24"/>
      <c r="D1428" s="24"/>
      <c r="E1428" s="24"/>
      <c r="F1428" s="15"/>
      <c r="G1428" s="15"/>
      <c r="H1428" s="15"/>
      <c r="I1428" s="16"/>
      <c r="J1428" s="16"/>
      <c r="K1428" s="15"/>
      <c r="L1428" s="15"/>
      <c r="M1428" s="16"/>
      <c r="N1428" s="16"/>
      <c r="O1428" s="15"/>
      <c r="P1428" s="15"/>
      <c r="Q1428" s="15"/>
      <c r="R1428" s="15"/>
      <c r="S1428" s="15"/>
      <c r="T1428" s="15"/>
      <c r="U1428" s="15"/>
      <c r="V1428" s="15"/>
      <c r="W1428" s="15"/>
      <c r="X1428" s="15"/>
      <c r="Y1428" s="15"/>
      <c r="Z1428" s="15"/>
    </row>
    <row r="1429" spans="1:26" ht="15.75" customHeight="1" x14ac:dyDescent="0.25">
      <c r="A1429" s="9"/>
      <c r="B1429" s="104"/>
      <c r="C1429" s="105"/>
      <c r="D1429" s="105"/>
      <c r="E1429" s="105"/>
      <c r="F1429" s="10"/>
      <c r="G1429" s="180"/>
      <c r="H1429" s="15"/>
      <c r="I1429" s="16"/>
      <c r="J1429" s="16"/>
      <c r="K1429" s="15"/>
      <c r="L1429" s="15"/>
      <c r="M1429" s="16"/>
      <c r="N1429" s="16"/>
      <c r="O1429" s="15"/>
      <c r="P1429" s="15"/>
      <c r="Q1429" s="15"/>
      <c r="R1429" s="15"/>
      <c r="S1429" s="15"/>
      <c r="T1429" s="15"/>
      <c r="U1429" s="15"/>
      <c r="V1429" s="15"/>
      <c r="W1429" s="15"/>
      <c r="X1429" s="15"/>
      <c r="Y1429" s="15"/>
      <c r="Z1429" s="15"/>
    </row>
    <row r="1430" spans="1:26" ht="15.75" customHeight="1" x14ac:dyDescent="0.25">
      <c r="A1430" s="108" t="s">
        <v>1134</v>
      </c>
      <c r="B1430" s="25"/>
      <c r="C1430" s="26"/>
      <c r="D1430" s="26"/>
      <c r="E1430" s="26"/>
      <c r="F1430" s="14"/>
      <c r="G1430" s="181"/>
      <c r="H1430" s="15"/>
      <c r="I1430" s="16"/>
      <c r="J1430" s="16"/>
      <c r="K1430" s="15"/>
      <c r="L1430" s="15"/>
      <c r="M1430" s="16"/>
      <c r="N1430" s="16"/>
      <c r="O1430" s="15"/>
      <c r="P1430" s="15"/>
      <c r="Q1430" s="15"/>
      <c r="R1430" s="15"/>
      <c r="S1430" s="15"/>
      <c r="T1430" s="15"/>
      <c r="U1430" s="15"/>
      <c r="V1430" s="15"/>
      <c r="W1430" s="15"/>
      <c r="X1430" s="15"/>
      <c r="Y1430" s="15"/>
      <c r="Z1430" s="15"/>
    </row>
    <row r="1431" spans="1:26" ht="15.75" customHeight="1" x14ac:dyDescent="0.25">
      <c r="A1431" s="44"/>
      <c r="B1431" s="25"/>
      <c r="C1431" s="26"/>
      <c r="D1431" s="26"/>
      <c r="E1431" s="26"/>
      <c r="F1431" s="14"/>
      <c r="G1431" s="181"/>
      <c r="H1431" s="15"/>
      <c r="I1431" s="16"/>
      <c r="J1431" s="16"/>
      <c r="K1431" s="15"/>
      <c r="L1431" s="15"/>
      <c r="M1431" s="16"/>
      <c r="N1431" s="16"/>
      <c r="O1431" s="15"/>
      <c r="P1431" s="15"/>
      <c r="Q1431" s="15"/>
      <c r="R1431" s="15"/>
      <c r="S1431" s="15"/>
      <c r="T1431" s="15"/>
      <c r="U1431" s="15"/>
      <c r="V1431" s="15"/>
      <c r="W1431" s="15"/>
      <c r="X1431" s="15"/>
      <c r="Y1431" s="15"/>
      <c r="Z1431" s="15"/>
    </row>
    <row r="1432" spans="1:26" ht="15.75" customHeight="1" x14ac:dyDescent="0.25">
      <c r="A1432" s="865" t="s">
        <v>352</v>
      </c>
      <c r="B1432" s="866"/>
      <c r="C1432" s="866"/>
      <c r="D1432" s="866"/>
      <c r="E1432" s="866"/>
      <c r="F1432" s="866"/>
      <c r="G1432" s="867"/>
      <c r="H1432" s="15"/>
      <c r="I1432" s="16"/>
      <c r="J1432" s="16"/>
      <c r="K1432" s="15"/>
      <c r="L1432" s="15"/>
      <c r="M1432" s="16"/>
      <c r="N1432" s="16"/>
      <c r="O1432" s="15"/>
      <c r="P1432" s="15"/>
      <c r="Q1432" s="15"/>
      <c r="R1432" s="15"/>
      <c r="S1432" s="15"/>
      <c r="T1432" s="15"/>
      <c r="U1432" s="15"/>
      <c r="V1432" s="15"/>
      <c r="W1432" s="15"/>
      <c r="X1432" s="15"/>
      <c r="Y1432" s="15"/>
      <c r="Z1432" s="15"/>
    </row>
    <row r="1433" spans="1:26" ht="15.75" customHeight="1" x14ac:dyDescent="0.25">
      <c r="A1433" s="868" t="s">
        <v>353</v>
      </c>
      <c r="B1433" s="857" t="s">
        <v>354</v>
      </c>
      <c r="C1433" s="870" t="s">
        <v>355</v>
      </c>
      <c r="D1433" s="872" t="s">
        <v>356</v>
      </c>
      <c r="E1433" s="873"/>
      <c r="F1433" s="874"/>
      <c r="G1433" s="857" t="s">
        <v>357</v>
      </c>
      <c r="H1433" s="15"/>
      <c r="I1433" s="16"/>
      <c r="J1433" s="16"/>
      <c r="K1433" s="15"/>
      <c r="L1433" s="15"/>
      <c r="M1433" s="16"/>
      <c r="N1433" s="16"/>
      <c r="O1433" s="15"/>
      <c r="P1433" s="15"/>
      <c r="Q1433" s="15"/>
      <c r="R1433" s="15"/>
      <c r="S1433" s="15"/>
      <c r="T1433" s="15"/>
      <c r="U1433" s="15"/>
      <c r="V1433" s="15"/>
      <c r="W1433" s="15"/>
      <c r="X1433" s="15"/>
      <c r="Y1433" s="15"/>
      <c r="Z1433" s="15"/>
    </row>
    <row r="1434" spans="1:26" ht="15.75" customHeight="1" x14ac:dyDescent="0.25">
      <c r="A1434" s="858"/>
      <c r="B1434" s="858"/>
      <c r="C1434" s="871"/>
      <c r="D1434" s="28" t="s">
        <v>358</v>
      </c>
      <c r="E1434" s="29" t="s">
        <v>359</v>
      </c>
      <c r="F1434" s="875" t="s">
        <v>360</v>
      </c>
      <c r="G1434" s="858"/>
      <c r="H1434" s="15"/>
      <c r="I1434" s="16"/>
      <c r="J1434" s="16"/>
      <c r="K1434" s="15"/>
      <c r="L1434" s="15"/>
      <c r="M1434" s="16"/>
      <c r="N1434" s="16"/>
      <c r="O1434" s="15"/>
      <c r="P1434" s="15"/>
      <c r="Q1434" s="15"/>
      <c r="R1434" s="15"/>
      <c r="S1434" s="15"/>
      <c r="T1434" s="15"/>
      <c r="U1434" s="15"/>
      <c r="V1434" s="15"/>
      <c r="W1434" s="15"/>
      <c r="X1434" s="15"/>
      <c r="Y1434" s="15"/>
      <c r="Z1434" s="15"/>
    </row>
    <row r="1435" spans="1:26" ht="15.75" customHeight="1" x14ac:dyDescent="0.25">
      <c r="A1435" s="858"/>
      <c r="B1435" s="858"/>
      <c r="C1435" s="30" t="s">
        <v>361</v>
      </c>
      <c r="D1435" s="31" t="s">
        <v>361</v>
      </c>
      <c r="E1435" s="32" t="s">
        <v>362</v>
      </c>
      <c r="F1435" s="860"/>
      <c r="G1435" s="442" t="s">
        <v>2717</v>
      </c>
      <c r="H1435" s="15"/>
      <c r="I1435" s="16"/>
      <c r="J1435" s="16"/>
      <c r="K1435" s="15"/>
      <c r="L1435" s="15"/>
      <c r="M1435" s="16"/>
      <c r="N1435" s="16"/>
      <c r="O1435" s="15"/>
      <c r="P1435" s="15"/>
      <c r="Q1435" s="15"/>
      <c r="R1435" s="15"/>
      <c r="S1435" s="15"/>
      <c r="T1435" s="15"/>
      <c r="U1435" s="15"/>
      <c r="V1435" s="15"/>
      <c r="W1435" s="15"/>
      <c r="X1435" s="15"/>
      <c r="Y1435" s="15"/>
      <c r="Z1435" s="15"/>
    </row>
    <row r="1436" spans="1:26" ht="15.75" customHeight="1" x14ac:dyDescent="0.25">
      <c r="A1436" s="869"/>
      <c r="B1436" s="869"/>
      <c r="C1436" s="33">
        <v>2024</v>
      </c>
      <c r="D1436" s="34">
        <v>2025</v>
      </c>
      <c r="E1436" s="34">
        <v>2025</v>
      </c>
      <c r="F1436" s="34">
        <v>2025</v>
      </c>
      <c r="G1436" s="36" t="s">
        <v>2668</v>
      </c>
      <c r="H1436" s="15"/>
      <c r="I1436" s="16"/>
      <c r="J1436" s="16"/>
      <c r="K1436" s="15"/>
      <c r="L1436" s="15"/>
      <c r="M1436" s="16"/>
      <c r="N1436" s="16"/>
      <c r="O1436" s="15"/>
      <c r="P1436" s="15"/>
      <c r="Q1436" s="15"/>
      <c r="R1436" s="15"/>
      <c r="S1436" s="15"/>
      <c r="T1436" s="15"/>
      <c r="U1436" s="15"/>
      <c r="V1436" s="15"/>
      <c r="W1436" s="15"/>
      <c r="X1436" s="15"/>
      <c r="Y1436" s="15"/>
      <c r="Z1436" s="15"/>
    </row>
    <row r="1437" spans="1:26" ht="15.75" customHeight="1" x14ac:dyDescent="0.25">
      <c r="A1437" s="9" t="s">
        <v>364</v>
      </c>
      <c r="B1437" s="38"/>
      <c r="C1437" s="42"/>
      <c r="D1437" s="42"/>
      <c r="E1437" s="42"/>
      <c r="F1437" s="42"/>
      <c r="G1437" s="37"/>
      <c r="H1437" s="114"/>
      <c r="I1437" s="60"/>
      <c r="J1437" s="60"/>
      <c r="K1437" s="114"/>
      <c r="L1437" s="114"/>
      <c r="M1437" s="60"/>
      <c r="N1437" s="60"/>
      <c r="O1437" s="114"/>
      <c r="P1437" s="114"/>
      <c r="Q1437" s="114"/>
      <c r="R1437" s="114"/>
      <c r="S1437" s="114"/>
      <c r="T1437" s="114"/>
      <c r="U1437" s="114"/>
      <c r="V1437" s="114"/>
      <c r="W1437" s="114"/>
      <c r="X1437" s="114"/>
      <c r="Y1437" s="114"/>
      <c r="Z1437" s="114"/>
    </row>
    <row r="1438" spans="1:26" ht="15.75" customHeight="1" x14ac:dyDescent="0.25">
      <c r="A1438" s="42" t="s">
        <v>491</v>
      </c>
      <c r="B1438" s="49"/>
      <c r="C1438" s="43"/>
      <c r="D1438" s="43"/>
      <c r="E1438" s="43"/>
      <c r="F1438" s="43"/>
      <c r="G1438" s="43"/>
      <c r="H1438" s="114"/>
      <c r="I1438" s="60"/>
      <c r="J1438" s="60"/>
      <c r="K1438" s="114"/>
      <c r="L1438" s="114"/>
      <c r="M1438" s="60"/>
      <c r="N1438" s="60"/>
      <c r="O1438" s="114"/>
      <c r="P1438" s="114"/>
      <c r="Q1438" s="114"/>
      <c r="R1438" s="114"/>
      <c r="S1438" s="114"/>
      <c r="T1438" s="114"/>
      <c r="U1438" s="114"/>
      <c r="V1438" s="114"/>
      <c r="W1438" s="114"/>
      <c r="X1438" s="114"/>
      <c r="Y1438" s="114"/>
      <c r="Z1438" s="114"/>
    </row>
    <row r="1439" spans="1:26" ht="15.75" customHeight="1" x14ac:dyDescent="0.25">
      <c r="A1439" s="17" t="s">
        <v>499</v>
      </c>
      <c r="B1439" s="41"/>
      <c r="C1439" s="43"/>
      <c r="D1439" s="43"/>
      <c r="E1439" s="43"/>
      <c r="F1439" s="43"/>
      <c r="G1439" s="43"/>
      <c r="H1439" s="114"/>
      <c r="I1439" s="60"/>
      <c r="J1439" s="60"/>
      <c r="K1439" s="114"/>
      <c r="L1439" s="114"/>
      <c r="M1439" s="60"/>
      <c r="N1439" s="60"/>
      <c r="O1439" s="114"/>
      <c r="P1439" s="114"/>
      <c r="Q1439" s="114"/>
      <c r="R1439" s="114"/>
      <c r="S1439" s="114"/>
      <c r="T1439" s="114"/>
      <c r="U1439" s="114"/>
      <c r="V1439" s="114"/>
      <c r="W1439" s="114"/>
      <c r="X1439" s="114"/>
      <c r="Y1439" s="114"/>
      <c r="Z1439" s="114"/>
    </row>
    <row r="1440" spans="1:26" ht="15.75" customHeight="1" x14ac:dyDescent="0.25">
      <c r="A1440" s="44" t="s">
        <v>398</v>
      </c>
      <c r="B1440" s="41" t="s">
        <v>195</v>
      </c>
      <c r="C1440" s="43">
        <v>22285.22</v>
      </c>
      <c r="D1440" s="43">
        <v>0</v>
      </c>
      <c r="E1440" s="43">
        <f>F1440-D1440</f>
        <v>25000</v>
      </c>
      <c r="F1440" s="43">
        <v>25000</v>
      </c>
      <c r="G1440" s="43">
        <v>25000</v>
      </c>
      <c r="H1440" s="114"/>
      <c r="I1440" s="60"/>
      <c r="J1440" s="60"/>
      <c r="K1440" s="114"/>
      <c r="L1440" s="114"/>
      <c r="M1440" s="60"/>
      <c r="N1440" s="60"/>
      <c r="O1440" s="114"/>
      <c r="P1440" s="114"/>
      <c r="Q1440" s="114"/>
      <c r="R1440" s="114"/>
      <c r="S1440" s="114"/>
      <c r="T1440" s="114"/>
      <c r="U1440" s="114"/>
      <c r="V1440" s="114"/>
      <c r="W1440" s="114"/>
      <c r="X1440" s="114"/>
      <c r="Y1440" s="114"/>
      <c r="Z1440" s="114"/>
    </row>
    <row r="1441" spans="1:26" ht="15.75" customHeight="1" x14ac:dyDescent="0.25">
      <c r="A1441" s="17" t="s">
        <v>424</v>
      </c>
      <c r="B1441" s="41"/>
      <c r="C1441" s="43"/>
      <c r="D1441" s="43"/>
      <c r="E1441" s="43"/>
      <c r="F1441" s="43"/>
      <c r="G1441" s="43"/>
      <c r="H1441" s="114"/>
      <c r="I1441" s="60"/>
      <c r="J1441" s="60"/>
      <c r="K1441" s="114"/>
      <c r="L1441" s="114"/>
      <c r="M1441" s="60"/>
      <c r="N1441" s="60"/>
      <c r="O1441" s="114"/>
      <c r="P1441" s="114"/>
      <c r="Q1441" s="114"/>
      <c r="R1441" s="114"/>
      <c r="S1441" s="114"/>
      <c r="T1441" s="114"/>
      <c r="U1441" s="114"/>
      <c r="V1441" s="114"/>
      <c r="W1441" s="114"/>
      <c r="X1441" s="114"/>
      <c r="Y1441" s="114"/>
      <c r="Z1441" s="114"/>
    </row>
    <row r="1442" spans="1:26" ht="15.75" customHeight="1" x14ac:dyDescent="0.25">
      <c r="A1442" s="44" t="s">
        <v>424</v>
      </c>
      <c r="B1442" s="41" t="s">
        <v>335</v>
      </c>
      <c r="C1442" s="43">
        <v>159000</v>
      </c>
      <c r="D1442" s="43">
        <v>49948.65</v>
      </c>
      <c r="E1442" s="43">
        <f t="shared" ref="E1442:E1443" si="250">F1442-D1442</f>
        <v>160051.35</v>
      </c>
      <c r="F1442" s="43">
        <v>210000</v>
      </c>
      <c r="G1442" s="43">
        <v>210000</v>
      </c>
      <c r="H1442" s="114"/>
      <c r="I1442" s="60"/>
      <c r="J1442" s="60"/>
      <c r="K1442" s="114"/>
      <c r="L1442" s="114"/>
      <c r="M1442" s="60"/>
      <c r="N1442" s="60"/>
      <c r="O1442" s="114"/>
      <c r="P1442" s="114"/>
      <c r="Q1442" s="114"/>
      <c r="R1442" s="114"/>
      <c r="S1442" s="114"/>
      <c r="T1442" s="114"/>
      <c r="U1442" s="114"/>
      <c r="V1442" s="114"/>
      <c r="W1442" s="114"/>
      <c r="X1442" s="114"/>
      <c r="Y1442" s="114"/>
      <c r="Z1442" s="114"/>
    </row>
    <row r="1443" spans="1:26" ht="15.75" customHeight="1" x14ac:dyDescent="0.25">
      <c r="A1443" s="42" t="s">
        <v>466</v>
      </c>
      <c r="B1443" s="41"/>
      <c r="C1443" s="54">
        <f t="shared" ref="C1443:D1443" si="251">SUM(C1440:C1442)</f>
        <v>181285.22</v>
      </c>
      <c r="D1443" s="54">
        <f t="shared" si="251"/>
        <v>49948.65</v>
      </c>
      <c r="E1443" s="54">
        <f t="shared" si="250"/>
        <v>185051.35</v>
      </c>
      <c r="F1443" s="54">
        <f>SUM(F1440:F1442)</f>
        <v>235000</v>
      </c>
      <c r="G1443" s="54">
        <f>SUM(G1440:G1442)</f>
        <v>235000</v>
      </c>
      <c r="H1443" s="114"/>
      <c r="I1443" s="60"/>
      <c r="J1443" s="60"/>
      <c r="K1443" s="114"/>
      <c r="L1443" s="114"/>
      <c r="M1443" s="60"/>
      <c r="N1443" s="60"/>
      <c r="O1443" s="114"/>
      <c r="P1443" s="114"/>
      <c r="Q1443" s="114"/>
      <c r="R1443" s="114"/>
      <c r="S1443" s="114"/>
      <c r="T1443" s="114"/>
      <c r="U1443" s="114"/>
      <c r="V1443" s="114"/>
      <c r="W1443" s="114"/>
      <c r="X1443" s="114"/>
      <c r="Y1443" s="114"/>
      <c r="Z1443" s="114"/>
    </row>
    <row r="1444" spans="1:26" ht="15.75" customHeight="1" x14ac:dyDescent="0.25">
      <c r="A1444" s="17"/>
      <c r="B1444" s="41"/>
      <c r="C1444" s="43"/>
      <c r="D1444" s="43"/>
      <c r="E1444" s="43"/>
      <c r="F1444" s="43"/>
      <c r="G1444" s="43"/>
      <c r="H1444" s="114"/>
      <c r="I1444" s="60"/>
      <c r="J1444" s="60"/>
      <c r="K1444" s="114"/>
      <c r="L1444" s="114"/>
      <c r="M1444" s="60"/>
      <c r="N1444" s="60"/>
      <c r="O1444" s="114"/>
      <c r="P1444" s="114"/>
      <c r="Q1444" s="114"/>
      <c r="R1444" s="114"/>
      <c r="S1444" s="114"/>
      <c r="T1444" s="114"/>
      <c r="U1444" s="114"/>
      <c r="V1444" s="114"/>
      <c r="W1444" s="114"/>
      <c r="X1444" s="114"/>
      <c r="Y1444" s="114"/>
      <c r="Z1444" s="114"/>
    </row>
    <row r="1445" spans="1:26" ht="15.75" customHeight="1" x14ac:dyDescent="0.25">
      <c r="A1445" s="17" t="s">
        <v>467</v>
      </c>
      <c r="B1445" s="41"/>
      <c r="C1445" s="43">
        <f t="shared" ref="C1445:D1445" si="252">C1443</f>
        <v>181285.22</v>
      </c>
      <c r="D1445" s="43">
        <f t="shared" si="252"/>
        <v>49948.65</v>
      </c>
      <c r="E1445" s="43">
        <f>F1445-D1445</f>
        <v>185051.35</v>
      </c>
      <c r="F1445" s="43">
        <f t="shared" ref="F1445:G1445" si="253">F1443</f>
        <v>235000</v>
      </c>
      <c r="G1445" s="43">
        <f t="shared" si="253"/>
        <v>235000</v>
      </c>
      <c r="H1445" s="114"/>
      <c r="I1445" s="60"/>
      <c r="J1445" s="60"/>
      <c r="K1445" s="114"/>
      <c r="L1445" s="114"/>
      <c r="M1445" s="60"/>
      <c r="N1445" s="60"/>
      <c r="O1445" s="114"/>
      <c r="P1445" s="114"/>
      <c r="Q1445" s="114"/>
      <c r="R1445" s="114"/>
      <c r="S1445" s="114"/>
      <c r="T1445" s="114"/>
      <c r="U1445" s="114"/>
      <c r="V1445" s="114"/>
      <c r="W1445" s="114"/>
      <c r="X1445" s="114"/>
      <c r="Y1445" s="114"/>
      <c r="Z1445" s="114"/>
    </row>
    <row r="1446" spans="1:26" ht="15.75" customHeight="1" x14ac:dyDescent="0.25">
      <c r="A1446" s="44"/>
      <c r="B1446" s="41"/>
      <c r="C1446" s="43"/>
      <c r="D1446" s="43"/>
      <c r="E1446" s="43"/>
      <c r="F1446" s="43"/>
      <c r="G1446" s="43"/>
      <c r="H1446" s="114"/>
      <c r="I1446" s="60"/>
      <c r="J1446" s="60"/>
      <c r="K1446" s="114"/>
      <c r="L1446" s="114"/>
      <c r="M1446" s="60"/>
      <c r="N1446" s="60"/>
      <c r="O1446" s="114"/>
      <c r="P1446" s="114"/>
      <c r="Q1446" s="114"/>
      <c r="R1446" s="114"/>
      <c r="S1446" s="114"/>
      <c r="T1446" s="114"/>
      <c r="U1446" s="114"/>
      <c r="V1446" s="114"/>
      <c r="W1446" s="114"/>
      <c r="X1446" s="114"/>
      <c r="Y1446" s="114"/>
      <c r="Z1446" s="114"/>
    </row>
    <row r="1447" spans="1:26" ht="15.75" customHeight="1" x14ac:dyDescent="0.25">
      <c r="A1447" s="50" t="s">
        <v>487</v>
      </c>
      <c r="B1447" s="51" t="s">
        <v>488</v>
      </c>
      <c r="C1447" s="54">
        <f t="shared" ref="C1447:G1447" si="254">C1445</f>
        <v>181285.22</v>
      </c>
      <c r="D1447" s="54">
        <f t="shared" si="254"/>
        <v>49948.65</v>
      </c>
      <c r="E1447" s="54">
        <f t="shared" si="254"/>
        <v>185051.35</v>
      </c>
      <c r="F1447" s="54">
        <f t="shared" si="254"/>
        <v>235000</v>
      </c>
      <c r="G1447" s="54">
        <f t="shared" si="254"/>
        <v>235000</v>
      </c>
      <c r="H1447" s="114"/>
      <c r="I1447" s="60"/>
      <c r="J1447" s="60"/>
      <c r="K1447" s="114"/>
      <c r="L1447" s="114"/>
      <c r="M1447" s="60"/>
      <c r="N1447" s="60"/>
      <c r="O1447" s="114"/>
      <c r="P1447" s="114"/>
      <c r="Q1447" s="114"/>
      <c r="R1447" s="114"/>
      <c r="S1447" s="114"/>
      <c r="T1447" s="114"/>
      <c r="U1447" s="114"/>
      <c r="V1447" s="114"/>
      <c r="W1447" s="114"/>
      <c r="X1447" s="114"/>
      <c r="Y1447" s="114"/>
      <c r="Z1447" s="114"/>
    </row>
    <row r="1448" spans="1:26" ht="15.75" customHeight="1" x14ac:dyDescent="0.25">
      <c r="A1448" s="24"/>
      <c r="B1448" s="25"/>
      <c r="C1448" s="26"/>
      <c r="D1448" s="26"/>
      <c r="E1448" s="26"/>
      <c r="F1448" s="26"/>
      <c r="G1448" s="26"/>
      <c r="H1448" s="114"/>
      <c r="I1448" s="60"/>
      <c r="J1448" s="60"/>
      <c r="K1448" s="114"/>
      <c r="L1448" s="114"/>
      <c r="M1448" s="60"/>
      <c r="N1448" s="60"/>
      <c r="O1448" s="114"/>
      <c r="P1448" s="114"/>
      <c r="Q1448" s="114"/>
      <c r="R1448" s="114"/>
      <c r="S1448" s="114"/>
      <c r="T1448" s="114"/>
      <c r="U1448" s="114"/>
      <c r="V1448" s="114"/>
      <c r="W1448" s="114"/>
      <c r="X1448" s="114"/>
      <c r="Y1448" s="114"/>
      <c r="Z1448" s="114"/>
    </row>
    <row r="1449" spans="1:26" ht="15.75" customHeight="1" x14ac:dyDescent="0.25">
      <c r="A1449" s="24"/>
      <c r="B1449" s="25"/>
      <c r="C1449" s="24"/>
      <c r="D1449" s="24"/>
      <c r="E1449" s="24"/>
      <c r="F1449" s="15"/>
      <c r="G1449" s="15"/>
      <c r="H1449" s="15"/>
      <c r="I1449" s="16"/>
      <c r="J1449" s="16"/>
      <c r="K1449" s="15"/>
      <c r="L1449" s="15"/>
      <c r="M1449" s="16"/>
      <c r="N1449" s="16"/>
      <c r="O1449" s="15"/>
      <c r="P1449" s="15"/>
      <c r="Q1449" s="15"/>
      <c r="R1449" s="15"/>
      <c r="S1449" s="15"/>
      <c r="T1449" s="15"/>
      <c r="U1449" s="15"/>
      <c r="V1449" s="15"/>
      <c r="W1449" s="15"/>
      <c r="X1449" s="15"/>
      <c r="Y1449" s="15"/>
      <c r="Z1449" s="15"/>
    </row>
    <row r="1450" spans="1:26" ht="15.75" customHeight="1" x14ac:dyDescent="0.25">
      <c r="A1450" s="9"/>
      <c r="B1450" s="104"/>
      <c r="C1450" s="105"/>
      <c r="D1450" s="105"/>
      <c r="E1450" s="105"/>
      <c r="F1450" s="10"/>
      <c r="G1450" s="180"/>
      <c r="H1450" s="15"/>
      <c r="I1450" s="16"/>
      <c r="J1450" s="16"/>
      <c r="K1450" s="15"/>
      <c r="L1450" s="15"/>
      <c r="M1450" s="16"/>
      <c r="N1450" s="16"/>
      <c r="O1450" s="15"/>
      <c r="P1450" s="15"/>
      <c r="Q1450" s="15"/>
      <c r="R1450" s="15"/>
      <c r="S1450" s="15"/>
      <c r="T1450" s="15"/>
      <c r="U1450" s="15"/>
      <c r="V1450" s="15"/>
      <c r="W1450" s="15"/>
      <c r="X1450" s="15"/>
      <c r="Y1450" s="15"/>
      <c r="Z1450" s="15"/>
    </row>
    <row r="1451" spans="1:26" ht="15.75" customHeight="1" x14ac:dyDescent="0.25">
      <c r="A1451" s="108" t="s">
        <v>1135</v>
      </c>
      <c r="B1451" s="25"/>
      <c r="C1451" s="26"/>
      <c r="D1451" s="26"/>
      <c r="E1451" s="26"/>
      <c r="F1451" s="14"/>
      <c r="G1451" s="181"/>
      <c r="H1451" s="15"/>
      <c r="I1451" s="16"/>
      <c r="J1451" s="16"/>
      <c r="K1451" s="15"/>
      <c r="L1451" s="15"/>
      <c r="M1451" s="16"/>
      <c r="N1451" s="16"/>
      <c r="O1451" s="15"/>
      <c r="P1451" s="15"/>
      <c r="Q1451" s="15"/>
      <c r="R1451" s="15"/>
      <c r="S1451" s="15"/>
      <c r="T1451" s="15"/>
      <c r="U1451" s="15"/>
      <c r="V1451" s="15"/>
      <c r="W1451" s="15"/>
      <c r="X1451" s="15"/>
      <c r="Y1451" s="15"/>
      <c r="Z1451" s="15"/>
    </row>
    <row r="1452" spans="1:26" ht="15.75" customHeight="1" x14ac:dyDescent="0.25">
      <c r="A1452" s="44"/>
      <c r="B1452" s="25"/>
      <c r="C1452" s="26"/>
      <c r="D1452" s="26"/>
      <c r="E1452" s="26"/>
      <c r="F1452" s="14"/>
      <c r="G1452" s="181"/>
      <c r="H1452" s="15"/>
      <c r="I1452" s="16"/>
      <c r="J1452" s="16"/>
      <c r="K1452" s="15"/>
      <c r="L1452" s="15"/>
      <c r="M1452" s="16"/>
      <c r="N1452" s="16"/>
      <c r="O1452" s="15"/>
      <c r="P1452" s="15"/>
      <c r="Q1452" s="15"/>
      <c r="R1452" s="15"/>
      <c r="S1452" s="15"/>
      <c r="T1452" s="15"/>
      <c r="U1452" s="15"/>
      <c r="V1452" s="15"/>
      <c r="W1452" s="15"/>
      <c r="X1452" s="15"/>
      <c r="Y1452" s="15"/>
      <c r="Z1452" s="15"/>
    </row>
    <row r="1453" spans="1:26" ht="15.75" customHeight="1" x14ac:dyDescent="0.25">
      <c r="A1453" s="865" t="s">
        <v>352</v>
      </c>
      <c r="B1453" s="866"/>
      <c r="C1453" s="866"/>
      <c r="D1453" s="866"/>
      <c r="E1453" s="866"/>
      <c r="F1453" s="866"/>
      <c r="G1453" s="867"/>
      <c r="H1453" s="15"/>
      <c r="I1453" s="16"/>
      <c r="J1453" s="16"/>
      <c r="K1453" s="15"/>
      <c r="L1453" s="15"/>
      <c r="M1453" s="16"/>
      <c r="N1453" s="16"/>
      <c r="O1453" s="15"/>
      <c r="P1453" s="15"/>
      <c r="Q1453" s="15"/>
      <c r="R1453" s="15"/>
      <c r="S1453" s="15"/>
      <c r="T1453" s="15"/>
      <c r="U1453" s="15"/>
      <c r="V1453" s="15"/>
      <c r="W1453" s="15"/>
      <c r="X1453" s="15"/>
      <c r="Y1453" s="15"/>
      <c r="Z1453" s="15"/>
    </row>
    <row r="1454" spans="1:26" ht="15.75" customHeight="1" x14ac:dyDescent="0.25">
      <c r="A1454" s="868" t="s">
        <v>353</v>
      </c>
      <c r="B1454" s="857" t="s">
        <v>354</v>
      </c>
      <c r="C1454" s="870" t="s">
        <v>355</v>
      </c>
      <c r="D1454" s="872" t="s">
        <v>356</v>
      </c>
      <c r="E1454" s="873"/>
      <c r="F1454" s="874"/>
      <c r="G1454" s="857" t="s">
        <v>357</v>
      </c>
      <c r="H1454" s="15"/>
      <c r="I1454" s="16"/>
      <c r="J1454" s="16"/>
      <c r="K1454" s="15"/>
      <c r="L1454" s="15"/>
      <c r="M1454" s="16"/>
      <c r="N1454" s="16"/>
      <c r="O1454" s="15"/>
      <c r="P1454" s="15"/>
      <c r="Q1454" s="15"/>
      <c r="R1454" s="15"/>
      <c r="S1454" s="15"/>
      <c r="T1454" s="15"/>
      <c r="U1454" s="15"/>
      <c r="V1454" s="15"/>
      <c r="W1454" s="15"/>
      <c r="X1454" s="15"/>
      <c r="Y1454" s="15"/>
      <c r="Z1454" s="15"/>
    </row>
    <row r="1455" spans="1:26" ht="15.75" customHeight="1" x14ac:dyDescent="0.25">
      <c r="A1455" s="858"/>
      <c r="B1455" s="858"/>
      <c r="C1455" s="871"/>
      <c r="D1455" s="28" t="s">
        <v>358</v>
      </c>
      <c r="E1455" s="29" t="s">
        <v>359</v>
      </c>
      <c r="F1455" s="875" t="s">
        <v>360</v>
      </c>
      <c r="G1455" s="858"/>
      <c r="H1455" s="15"/>
      <c r="I1455" s="16"/>
      <c r="J1455" s="16"/>
      <c r="K1455" s="15"/>
      <c r="L1455" s="15"/>
      <c r="M1455" s="16"/>
      <c r="N1455" s="16"/>
      <c r="O1455" s="15"/>
      <c r="P1455" s="15"/>
      <c r="Q1455" s="15"/>
      <c r="R1455" s="15"/>
      <c r="S1455" s="15"/>
      <c r="T1455" s="15"/>
      <c r="U1455" s="15"/>
      <c r="V1455" s="15"/>
      <c r="W1455" s="15"/>
      <c r="X1455" s="15"/>
      <c r="Y1455" s="15"/>
      <c r="Z1455" s="15"/>
    </row>
    <row r="1456" spans="1:26" ht="15.75" customHeight="1" x14ac:dyDescent="0.25">
      <c r="A1456" s="858"/>
      <c r="B1456" s="858"/>
      <c r="C1456" s="30" t="s">
        <v>361</v>
      </c>
      <c r="D1456" s="31" t="s">
        <v>361</v>
      </c>
      <c r="E1456" s="32" t="s">
        <v>362</v>
      </c>
      <c r="F1456" s="860"/>
      <c r="G1456" s="442" t="s">
        <v>2717</v>
      </c>
      <c r="H1456" s="15"/>
      <c r="I1456" s="16"/>
      <c r="J1456" s="16"/>
      <c r="K1456" s="15"/>
      <c r="L1456" s="15"/>
      <c r="M1456" s="16"/>
      <c r="N1456" s="16"/>
      <c r="O1456" s="15"/>
      <c r="P1456" s="15"/>
      <c r="Q1456" s="15"/>
      <c r="R1456" s="15"/>
      <c r="S1456" s="15"/>
      <c r="T1456" s="15"/>
      <c r="U1456" s="15"/>
      <c r="V1456" s="15"/>
      <c r="W1456" s="15"/>
      <c r="X1456" s="15"/>
      <c r="Y1456" s="15"/>
      <c r="Z1456" s="15"/>
    </row>
    <row r="1457" spans="1:26" ht="15.75" customHeight="1" x14ac:dyDescent="0.25">
      <c r="A1457" s="869"/>
      <c r="B1457" s="869"/>
      <c r="C1457" s="33">
        <v>2024</v>
      </c>
      <c r="D1457" s="34">
        <v>2025</v>
      </c>
      <c r="E1457" s="34">
        <v>2025</v>
      </c>
      <c r="F1457" s="34">
        <v>2025</v>
      </c>
      <c r="G1457" s="36" t="s">
        <v>2668</v>
      </c>
      <c r="H1457" s="15"/>
      <c r="I1457" s="16"/>
      <c r="J1457" s="16"/>
      <c r="K1457" s="15"/>
      <c r="L1457" s="15"/>
      <c r="M1457" s="16"/>
      <c r="N1457" s="16"/>
      <c r="O1457" s="15"/>
      <c r="P1457" s="15"/>
      <c r="Q1457" s="15"/>
      <c r="R1457" s="15"/>
      <c r="S1457" s="15"/>
      <c r="T1457" s="15"/>
      <c r="U1457" s="15"/>
      <c r="V1457" s="15"/>
      <c r="W1457" s="15"/>
      <c r="X1457" s="15"/>
      <c r="Y1457" s="15"/>
      <c r="Z1457" s="15"/>
    </row>
    <row r="1458" spans="1:26" ht="15.75" customHeight="1" x14ac:dyDescent="0.25">
      <c r="A1458" s="9" t="s">
        <v>364</v>
      </c>
      <c r="B1458" s="38"/>
      <c r="C1458" s="42"/>
      <c r="D1458" s="42"/>
      <c r="E1458" s="42"/>
      <c r="F1458" s="42"/>
      <c r="G1458" s="37"/>
      <c r="I1458" s="40"/>
      <c r="J1458" s="40"/>
      <c r="M1458" s="40"/>
      <c r="N1458" s="40"/>
    </row>
    <row r="1459" spans="1:26" ht="15.75" customHeight="1" x14ac:dyDescent="0.25">
      <c r="A1459" s="42" t="s">
        <v>491</v>
      </c>
      <c r="B1459" s="49"/>
      <c r="C1459" s="43"/>
      <c r="D1459" s="43"/>
      <c r="E1459" s="43"/>
      <c r="F1459" s="43"/>
      <c r="G1459" s="43"/>
      <c r="I1459" s="40"/>
      <c r="J1459" s="40"/>
      <c r="M1459" s="40"/>
      <c r="N1459" s="40"/>
    </row>
    <row r="1460" spans="1:26" ht="15.75" customHeight="1" x14ac:dyDescent="0.25">
      <c r="A1460" s="17" t="s">
        <v>499</v>
      </c>
      <c r="B1460" s="41"/>
      <c r="C1460" s="41"/>
      <c r="D1460" s="41"/>
      <c r="E1460" s="41"/>
      <c r="F1460" s="49"/>
      <c r="G1460" s="49"/>
      <c r="I1460" s="40"/>
      <c r="J1460" s="40"/>
      <c r="M1460" s="40"/>
      <c r="N1460" s="40"/>
    </row>
    <row r="1461" spans="1:26" ht="15.75" customHeight="1" x14ac:dyDescent="0.25">
      <c r="A1461" s="44" t="s">
        <v>398</v>
      </c>
      <c r="B1461" s="41" t="s">
        <v>195</v>
      </c>
      <c r="C1461" s="43">
        <v>16904.32</v>
      </c>
      <c r="D1461" s="43">
        <v>68601.039999999994</v>
      </c>
      <c r="E1461" s="43">
        <f t="shared" ref="E1461:E1463" si="255">F1461-D1461</f>
        <v>69818.960000000006</v>
      </c>
      <c r="F1461" s="43">
        <v>138420</v>
      </c>
      <c r="G1461" s="43">
        <v>140108</v>
      </c>
      <c r="H1461" s="114"/>
      <c r="I1461" s="60"/>
      <c r="J1461" s="60"/>
      <c r="K1461" s="114"/>
      <c r="L1461" s="114"/>
      <c r="M1461" s="60"/>
      <c r="N1461" s="60"/>
      <c r="O1461" s="114"/>
      <c r="P1461" s="114"/>
      <c r="Q1461" s="114"/>
      <c r="R1461" s="114"/>
      <c r="S1461" s="114"/>
      <c r="T1461" s="114"/>
      <c r="U1461" s="114"/>
      <c r="V1461" s="114"/>
      <c r="W1461" s="114"/>
      <c r="X1461" s="114"/>
      <c r="Y1461" s="114"/>
      <c r="Z1461" s="114"/>
    </row>
    <row r="1462" spans="1:26" ht="15.75" customHeight="1" x14ac:dyDescent="0.25">
      <c r="A1462" s="96" t="s">
        <v>1136</v>
      </c>
      <c r="B1462" s="41" t="s">
        <v>221</v>
      </c>
      <c r="C1462" s="43">
        <v>0</v>
      </c>
      <c r="D1462" s="43">
        <v>21900</v>
      </c>
      <c r="E1462" s="43">
        <f t="shared" si="255"/>
        <v>28400</v>
      </c>
      <c r="F1462" s="43">
        <v>50300</v>
      </c>
      <c r="G1462" s="43">
        <v>99656</v>
      </c>
      <c r="H1462" s="114"/>
      <c r="I1462" s="60"/>
      <c r="J1462" s="60"/>
      <c r="K1462" s="114"/>
      <c r="L1462" s="114"/>
      <c r="M1462" s="60"/>
      <c r="N1462" s="60"/>
      <c r="O1462" s="114"/>
      <c r="P1462" s="114"/>
      <c r="Q1462" s="114"/>
      <c r="R1462" s="114"/>
      <c r="S1462" s="114"/>
      <c r="T1462" s="114"/>
      <c r="U1462" s="114"/>
      <c r="V1462" s="114"/>
      <c r="W1462" s="114"/>
      <c r="X1462" s="114"/>
      <c r="Y1462" s="114"/>
      <c r="Z1462" s="114"/>
    </row>
    <row r="1463" spans="1:26" ht="15.75" customHeight="1" x14ac:dyDescent="0.25">
      <c r="A1463" s="44" t="s">
        <v>402</v>
      </c>
      <c r="B1463" s="41" t="s">
        <v>225</v>
      </c>
      <c r="C1463" s="43">
        <v>247207.67999999999</v>
      </c>
      <c r="D1463" s="43">
        <v>286831.93</v>
      </c>
      <c r="E1463" s="43">
        <f t="shared" si="255"/>
        <v>290798.07</v>
      </c>
      <c r="F1463" s="43">
        <v>577630</v>
      </c>
      <c r="G1463" s="43">
        <v>470744</v>
      </c>
      <c r="H1463" s="114"/>
      <c r="I1463" s="60"/>
      <c r="J1463" s="60"/>
      <c r="K1463" s="114"/>
      <c r="L1463" s="114"/>
      <c r="M1463" s="60"/>
      <c r="N1463" s="60"/>
      <c r="O1463" s="114"/>
      <c r="P1463" s="114"/>
      <c r="Q1463" s="114"/>
      <c r="R1463" s="114"/>
      <c r="S1463" s="114"/>
      <c r="T1463" s="114"/>
      <c r="U1463" s="114"/>
      <c r="V1463" s="114"/>
      <c r="W1463" s="114"/>
      <c r="X1463" s="114"/>
      <c r="Y1463" s="114"/>
      <c r="Z1463" s="114"/>
    </row>
    <row r="1464" spans="1:26" ht="15.75" customHeight="1" x14ac:dyDescent="0.25">
      <c r="A1464" s="17" t="s">
        <v>813</v>
      </c>
      <c r="B1464" s="41"/>
      <c r="C1464" s="43"/>
      <c r="D1464" s="43"/>
      <c r="E1464" s="43"/>
      <c r="F1464" s="43"/>
      <c r="G1464" s="43"/>
      <c r="H1464" s="114"/>
      <c r="I1464" s="60"/>
      <c r="J1464" s="60"/>
      <c r="K1464" s="114"/>
      <c r="L1464" s="114"/>
      <c r="M1464" s="60"/>
      <c r="N1464" s="60"/>
      <c r="O1464" s="114"/>
      <c r="P1464" s="114"/>
      <c r="Q1464" s="114"/>
      <c r="R1464" s="114"/>
      <c r="S1464" s="114"/>
      <c r="T1464" s="114"/>
      <c r="U1464" s="114"/>
      <c r="V1464" s="114"/>
      <c r="W1464" s="114"/>
      <c r="X1464" s="114"/>
      <c r="Y1464" s="114"/>
      <c r="Z1464" s="114"/>
    </row>
    <row r="1465" spans="1:26" ht="15.75" customHeight="1" x14ac:dyDescent="0.25">
      <c r="A1465" s="44" t="s">
        <v>814</v>
      </c>
      <c r="B1465" s="41" t="s">
        <v>227</v>
      </c>
      <c r="C1465" s="43">
        <v>483578.3</v>
      </c>
      <c r="D1465" s="43">
        <v>116749</v>
      </c>
      <c r="E1465" s="43">
        <f t="shared" ref="E1465:E1466" si="256">F1465-D1465</f>
        <v>1883251</v>
      </c>
      <c r="F1465" s="43">
        <v>2000000</v>
      </c>
      <c r="G1465" s="43">
        <v>1000000</v>
      </c>
      <c r="H1465" s="114"/>
      <c r="I1465" s="60"/>
      <c r="J1465" s="60"/>
      <c r="K1465" s="114"/>
      <c r="L1465" s="114"/>
      <c r="M1465" s="60"/>
      <c r="N1465" s="60"/>
      <c r="O1465" s="114"/>
      <c r="P1465" s="114"/>
      <c r="Q1465" s="114"/>
      <c r="R1465" s="114"/>
      <c r="S1465" s="114"/>
      <c r="T1465" s="114"/>
      <c r="U1465" s="114"/>
      <c r="V1465" s="114"/>
      <c r="W1465" s="114"/>
      <c r="X1465" s="114"/>
      <c r="Y1465" s="114"/>
      <c r="Z1465" s="114"/>
    </row>
    <row r="1466" spans="1:26" ht="15.75" customHeight="1" x14ac:dyDescent="0.25">
      <c r="A1466" s="44" t="s">
        <v>815</v>
      </c>
      <c r="B1466" s="41" t="s">
        <v>229</v>
      </c>
      <c r="C1466" s="43">
        <v>7617968.6600000001</v>
      </c>
      <c r="D1466" s="43">
        <v>3217616.47</v>
      </c>
      <c r="E1466" s="43">
        <f t="shared" si="256"/>
        <v>8782383.5299999993</v>
      </c>
      <c r="F1466" s="43">
        <v>12000000</v>
      </c>
      <c r="G1466" s="43">
        <v>12000000</v>
      </c>
      <c r="H1466" s="114"/>
      <c r="I1466" s="60"/>
      <c r="J1466" s="60"/>
      <c r="K1466" s="114"/>
      <c r="L1466" s="114"/>
      <c r="M1466" s="60"/>
      <c r="N1466" s="60"/>
      <c r="O1466" s="114"/>
      <c r="P1466" s="114"/>
      <c r="Q1466" s="114"/>
      <c r="R1466" s="114"/>
      <c r="S1466" s="114"/>
      <c r="T1466" s="114"/>
      <c r="U1466" s="114"/>
      <c r="V1466" s="114"/>
      <c r="W1466" s="114"/>
      <c r="X1466" s="114"/>
      <c r="Y1466" s="114"/>
      <c r="Z1466" s="114"/>
    </row>
    <row r="1467" spans="1:26" ht="15.75" customHeight="1" x14ac:dyDescent="0.25">
      <c r="A1467" s="17" t="s">
        <v>503</v>
      </c>
      <c r="B1467" s="41"/>
      <c r="C1467" s="43"/>
      <c r="D1467" s="43"/>
      <c r="E1467" s="43"/>
      <c r="F1467" s="43"/>
      <c r="G1467" s="43"/>
      <c r="H1467" s="114"/>
      <c r="I1467" s="60"/>
      <c r="J1467" s="60"/>
      <c r="K1467" s="114"/>
      <c r="L1467" s="114"/>
      <c r="M1467" s="60"/>
      <c r="N1467" s="60"/>
      <c r="O1467" s="114"/>
      <c r="P1467" s="114"/>
      <c r="Q1467" s="114"/>
      <c r="R1467" s="114"/>
      <c r="S1467" s="114"/>
      <c r="T1467" s="114"/>
      <c r="U1467" s="114"/>
      <c r="V1467" s="114"/>
      <c r="W1467" s="114"/>
      <c r="X1467" s="114"/>
      <c r="Y1467" s="114"/>
      <c r="Z1467" s="114"/>
    </row>
    <row r="1468" spans="1:26" ht="15.75" customHeight="1" x14ac:dyDescent="0.25">
      <c r="A1468" s="44" t="s">
        <v>643</v>
      </c>
      <c r="B1468" s="41" t="s">
        <v>233</v>
      </c>
      <c r="C1468" s="43">
        <v>40862.870000000003</v>
      </c>
      <c r="D1468" s="43">
        <v>20994</v>
      </c>
      <c r="E1468" s="43">
        <f>F1468-D1468</f>
        <v>27006</v>
      </c>
      <c r="F1468" s="43">
        <v>48000</v>
      </c>
      <c r="G1468" s="43">
        <v>48000</v>
      </c>
      <c r="H1468" s="114"/>
      <c r="I1468" s="60"/>
      <c r="J1468" s="60"/>
      <c r="K1468" s="114"/>
      <c r="L1468" s="114"/>
      <c r="M1468" s="60"/>
      <c r="N1468" s="60"/>
      <c r="O1468" s="114"/>
      <c r="P1468" s="114"/>
      <c r="Q1468" s="114"/>
      <c r="R1468" s="114"/>
      <c r="S1468" s="114"/>
      <c r="T1468" s="114"/>
      <c r="U1468" s="114"/>
      <c r="V1468" s="114"/>
      <c r="W1468" s="114"/>
      <c r="X1468" s="114"/>
      <c r="Y1468" s="114"/>
      <c r="Z1468" s="114"/>
    </row>
    <row r="1469" spans="1:26" ht="15.75" customHeight="1" x14ac:dyDescent="0.25">
      <c r="A1469" s="17" t="s">
        <v>511</v>
      </c>
      <c r="B1469" s="41"/>
      <c r="C1469" s="42"/>
      <c r="D1469" s="42"/>
      <c r="E1469" s="43"/>
      <c r="F1469" s="43"/>
      <c r="G1469" s="43"/>
      <c r="H1469" s="114"/>
      <c r="I1469" s="60"/>
      <c r="J1469" s="60"/>
      <c r="K1469" s="114"/>
      <c r="L1469" s="114"/>
      <c r="M1469" s="60"/>
      <c r="N1469" s="60"/>
      <c r="O1469" s="114"/>
      <c r="P1469" s="114"/>
      <c r="Q1469" s="114"/>
      <c r="R1469" s="114"/>
      <c r="S1469" s="114"/>
      <c r="T1469" s="114"/>
      <c r="U1469" s="114"/>
      <c r="V1469" s="114"/>
      <c r="W1469" s="114"/>
      <c r="X1469" s="114"/>
      <c r="Y1469" s="114"/>
      <c r="Z1469" s="114"/>
    </row>
    <row r="1470" spans="1:26" ht="15.75" customHeight="1" x14ac:dyDescent="0.25">
      <c r="A1470" s="44" t="s">
        <v>424</v>
      </c>
      <c r="B1470" s="41" t="s">
        <v>335</v>
      </c>
      <c r="C1470" s="43">
        <v>3864574</v>
      </c>
      <c r="D1470" s="43">
        <f>1659568</f>
        <v>1659568</v>
      </c>
      <c r="E1470" s="43">
        <f>F1470-D1470</f>
        <v>2395112</v>
      </c>
      <c r="F1470" s="43">
        <v>4054680</v>
      </c>
      <c r="G1470" s="43">
        <v>6015672</v>
      </c>
      <c r="H1470" s="114"/>
      <c r="I1470" s="60"/>
      <c r="J1470" s="60"/>
      <c r="K1470" s="114"/>
      <c r="L1470" s="114"/>
      <c r="M1470" s="60"/>
      <c r="N1470" s="60"/>
      <c r="O1470" s="114"/>
      <c r="P1470" s="114"/>
      <c r="Q1470" s="114"/>
      <c r="R1470" s="114"/>
      <c r="S1470" s="114"/>
      <c r="T1470" s="114"/>
      <c r="U1470" s="114"/>
      <c r="V1470" s="114"/>
      <c r="W1470" s="114"/>
      <c r="X1470" s="114"/>
      <c r="Y1470" s="114"/>
      <c r="Z1470" s="114"/>
    </row>
    <row r="1471" spans="1:26" ht="15.75" customHeight="1" x14ac:dyDescent="0.25">
      <c r="A1471" s="44" t="s">
        <v>885</v>
      </c>
      <c r="B1471" s="41"/>
      <c r="C1471" s="43"/>
      <c r="D1471" s="43"/>
      <c r="E1471" s="43"/>
      <c r="F1471" s="43"/>
      <c r="G1471" s="43"/>
      <c r="H1471" s="114"/>
      <c r="I1471" s="210" t="s">
        <v>877</v>
      </c>
      <c r="J1471" s="211" t="s">
        <v>878</v>
      </c>
      <c r="K1471" s="210" t="s">
        <v>879</v>
      </c>
      <c r="L1471" s="8" t="s">
        <v>880</v>
      </c>
      <c r="M1471" s="210" t="s">
        <v>881</v>
      </c>
      <c r="N1471" s="60"/>
      <c r="O1471" s="114"/>
      <c r="P1471" s="114"/>
      <c r="Q1471" s="114"/>
      <c r="R1471" s="114"/>
      <c r="S1471" s="114"/>
      <c r="T1471" s="114"/>
      <c r="U1471" s="114"/>
      <c r="V1471" s="114"/>
      <c r="W1471" s="114"/>
      <c r="X1471" s="114"/>
      <c r="Y1471" s="114"/>
      <c r="Z1471" s="114"/>
    </row>
    <row r="1472" spans="1:26" ht="31.5" x14ac:dyDescent="0.25">
      <c r="A1472" s="118" t="s">
        <v>1137</v>
      </c>
      <c r="B1472" s="41"/>
      <c r="C1472" s="43"/>
      <c r="D1472" s="43"/>
      <c r="E1472" s="43"/>
      <c r="F1472" s="43"/>
      <c r="G1472" s="43"/>
      <c r="H1472" s="114"/>
      <c r="I1472" s="60">
        <v>765</v>
      </c>
      <c r="J1472" s="211">
        <v>1</v>
      </c>
      <c r="K1472" s="8">
        <v>26</v>
      </c>
      <c r="L1472" s="8">
        <v>12</v>
      </c>
      <c r="M1472" s="60">
        <f t="shared" ref="M1472:M1477" si="257">I1472*J1472*K1472*L1472</f>
        <v>238680</v>
      </c>
      <c r="N1472" s="60"/>
      <c r="O1472" s="114"/>
      <c r="P1472" s="114"/>
      <c r="Q1472" s="114"/>
      <c r="R1472" s="114"/>
      <c r="S1472" s="114"/>
      <c r="T1472" s="114"/>
      <c r="U1472" s="114"/>
      <c r="V1472" s="114"/>
      <c r="W1472" s="114"/>
      <c r="X1472" s="114"/>
      <c r="Y1472" s="114"/>
      <c r="Z1472" s="114"/>
    </row>
    <row r="1473" spans="1:26" ht="31.5" x14ac:dyDescent="0.25">
      <c r="A1473" s="118" t="s">
        <v>1138</v>
      </c>
      <c r="B1473" s="41"/>
      <c r="C1473" s="43"/>
      <c r="D1473" s="43"/>
      <c r="E1473" s="43"/>
      <c r="F1473" s="43"/>
      <c r="G1473" s="43"/>
      <c r="H1473" s="114"/>
      <c r="I1473" s="60">
        <v>678</v>
      </c>
      <c r="J1473" s="211">
        <v>1</v>
      </c>
      <c r="K1473" s="8">
        <v>26</v>
      </c>
      <c r="L1473" s="8">
        <v>12</v>
      </c>
      <c r="M1473" s="60">
        <f t="shared" si="257"/>
        <v>211536</v>
      </c>
      <c r="N1473" s="60"/>
      <c r="O1473" s="114"/>
      <c r="P1473" s="114"/>
      <c r="Q1473" s="114"/>
      <c r="R1473" s="114"/>
      <c r="S1473" s="114"/>
      <c r="T1473" s="114"/>
      <c r="U1473" s="114"/>
      <c r="V1473" s="114"/>
      <c r="W1473" s="114"/>
      <c r="X1473" s="114"/>
      <c r="Y1473" s="114"/>
      <c r="Z1473" s="114"/>
    </row>
    <row r="1474" spans="1:26" ht="31.5" x14ac:dyDescent="0.25">
      <c r="A1474" s="118" t="s">
        <v>1139</v>
      </c>
      <c r="B1474" s="41"/>
      <c r="C1474" s="43"/>
      <c r="D1474" s="43"/>
      <c r="E1474" s="43"/>
      <c r="F1474" s="43"/>
      <c r="G1474" s="43"/>
      <c r="H1474" s="114"/>
      <c r="I1474" s="60">
        <v>678</v>
      </c>
      <c r="J1474" s="211">
        <v>1</v>
      </c>
      <c r="K1474" s="8">
        <v>26</v>
      </c>
      <c r="L1474" s="8">
        <v>12</v>
      </c>
      <c r="M1474" s="60">
        <f t="shared" si="257"/>
        <v>211536</v>
      </c>
      <c r="N1474" s="60"/>
      <c r="O1474" s="114"/>
      <c r="P1474" s="114"/>
      <c r="Q1474" s="114"/>
      <c r="R1474" s="114"/>
      <c r="S1474" s="114"/>
      <c r="T1474" s="114"/>
      <c r="U1474" s="114"/>
      <c r="V1474" s="114"/>
      <c r="W1474" s="114"/>
      <c r="X1474" s="114"/>
      <c r="Y1474" s="114"/>
      <c r="Z1474" s="114"/>
    </row>
    <row r="1475" spans="1:26" ht="31.5" x14ac:dyDescent="0.25">
      <c r="A1475" s="118" t="s">
        <v>1140</v>
      </c>
      <c r="B1475" s="41"/>
      <c r="C1475" s="43"/>
      <c r="D1475" s="43"/>
      <c r="E1475" s="43"/>
      <c r="F1475" s="43"/>
      <c r="G1475" s="43"/>
      <c r="H1475" s="114"/>
      <c r="I1475" s="60">
        <v>678</v>
      </c>
      <c r="J1475" s="211">
        <v>2</v>
      </c>
      <c r="K1475" s="8">
        <v>26</v>
      </c>
      <c r="L1475" s="8">
        <v>12</v>
      </c>
      <c r="M1475" s="60">
        <f t="shared" si="257"/>
        <v>423072</v>
      </c>
      <c r="N1475" s="60"/>
      <c r="O1475" s="114"/>
      <c r="P1475" s="114"/>
      <c r="Q1475" s="114"/>
      <c r="R1475" s="114"/>
      <c r="S1475" s="114"/>
      <c r="T1475" s="114"/>
      <c r="U1475" s="114"/>
      <c r="V1475" s="114"/>
      <c r="W1475" s="114"/>
      <c r="X1475" s="114"/>
      <c r="Y1475" s="114"/>
      <c r="Z1475" s="114"/>
    </row>
    <row r="1476" spans="1:26" ht="31.5" x14ac:dyDescent="0.25">
      <c r="A1476" s="612" t="s">
        <v>1141</v>
      </c>
      <c r="B1476" s="483"/>
      <c r="C1476" s="457"/>
      <c r="D1476" s="457"/>
      <c r="E1476" s="457"/>
      <c r="F1476" s="457"/>
      <c r="G1476" s="457"/>
      <c r="H1476" s="114"/>
      <c r="I1476" s="60">
        <v>678</v>
      </c>
      <c r="J1476" s="211">
        <v>12</v>
      </c>
      <c r="K1476" s="8">
        <v>26</v>
      </c>
      <c r="L1476" s="8">
        <v>12</v>
      </c>
      <c r="M1476" s="60">
        <f t="shared" si="257"/>
        <v>2538432</v>
      </c>
      <c r="N1476" s="60"/>
      <c r="O1476" s="114"/>
      <c r="P1476" s="114"/>
      <c r="Q1476" s="114"/>
      <c r="R1476" s="114"/>
      <c r="S1476" s="114"/>
      <c r="T1476" s="114"/>
      <c r="U1476" s="114"/>
      <c r="V1476" s="114"/>
      <c r="W1476" s="114"/>
      <c r="X1476" s="114"/>
      <c r="Y1476" s="114"/>
      <c r="Z1476" s="114"/>
    </row>
    <row r="1477" spans="1:26" ht="31.5" x14ac:dyDescent="0.25">
      <c r="A1477" s="614" t="s">
        <v>1142</v>
      </c>
      <c r="B1477" s="601"/>
      <c r="C1477" s="448"/>
      <c r="D1477" s="448"/>
      <c r="E1477" s="448"/>
      <c r="F1477" s="448"/>
      <c r="G1477" s="448"/>
      <c r="H1477" s="114"/>
      <c r="I1477" s="60">
        <v>639</v>
      </c>
      <c r="J1477" s="211">
        <v>12</v>
      </c>
      <c r="K1477" s="8">
        <v>26</v>
      </c>
      <c r="L1477" s="8">
        <v>12</v>
      </c>
      <c r="M1477" s="60">
        <f t="shared" si="257"/>
        <v>2392416</v>
      </c>
      <c r="N1477" s="60">
        <f>SUM(M1472:M1477)</f>
        <v>6015672</v>
      </c>
      <c r="O1477" s="114"/>
      <c r="P1477" s="114"/>
      <c r="Q1477" s="114"/>
      <c r="R1477" s="114"/>
      <c r="S1477" s="114"/>
      <c r="T1477" s="114"/>
      <c r="U1477" s="114"/>
      <c r="V1477" s="114"/>
      <c r="W1477" s="114"/>
      <c r="X1477" s="114"/>
      <c r="Y1477" s="114"/>
      <c r="Z1477" s="114"/>
    </row>
    <row r="1478" spans="1:26" ht="15.75" customHeight="1" x14ac:dyDescent="0.25">
      <c r="A1478" s="456" t="s">
        <v>466</v>
      </c>
      <c r="B1478" s="461"/>
      <c r="C1478" s="453">
        <f t="shared" ref="C1478:D1478" si="258">SUM(C1461:C1470)</f>
        <v>12271095.83</v>
      </c>
      <c r="D1478" s="54">
        <f t="shared" si="258"/>
        <v>5392260.4400000004</v>
      </c>
      <c r="E1478" s="54">
        <f>F1478-D1478</f>
        <v>13476769.559999999</v>
      </c>
      <c r="F1478" s="54">
        <f t="shared" ref="F1478:G1478" si="259">SUM(F1461:F1470)</f>
        <v>18869030</v>
      </c>
      <c r="G1478" s="54">
        <f t="shared" si="259"/>
        <v>19774180</v>
      </c>
      <c r="H1478" s="114"/>
      <c r="I1478" s="60"/>
      <c r="J1478" s="60"/>
      <c r="K1478" s="114"/>
      <c r="L1478" s="114"/>
      <c r="M1478" s="60"/>
      <c r="N1478" s="60"/>
      <c r="O1478" s="114"/>
      <c r="P1478" s="114"/>
      <c r="Q1478" s="114"/>
      <c r="R1478" s="114"/>
      <c r="S1478" s="114"/>
      <c r="T1478" s="114"/>
      <c r="U1478" s="114"/>
      <c r="V1478" s="114"/>
      <c r="W1478" s="114"/>
      <c r="X1478" s="114"/>
      <c r="Y1478" s="114"/>
      <c r="Z1478" s="114"/>
    </row>
    <row r="1479" spans="1:26" ht="15.75" customHeight="1" x14ac:dyDescent="0.25">
      <c r="A1479" s="456"/>
      <c r="B1479" s="461"/>
      <c r="C1479" s="473"/>
      <c r="D1479" s="43"/>
      <c r="E1479" s="43"/>
      <c r="F1479" s="43"/>
      <c r="G1479" s="43"/>
      <c r="H1479" s="114"/>
      <c r="I1479" s="60"/>
      <c r="J1479" s="60"/>
      <c r="K1479" s="114"/>
      <c r="L1479" s="114"/>
      <c r="M1479" s="60"/>
      <c r="N1479" s="60"/>
      <c r="O1479" s="114"/>
      <c r="P1479" s="114"/>
      <c r="Q1479" s="114"/>
      <c r="R1479" s="114"/>
      <c r="S1479" s="114"/>
      <c r="T1479" s="114"/>
      <c r="U1479" s="114"/>
      <c r="V1479" s="114"/>
      <c r="W1479" s="114"/>
      <c r="X1479" s="114"/>
      <c r="Y1479" s="114"/>
      <c r="Z1479" s="114"/>
    </row>
    <row r="1480" spans="1:26" ht="15.75" customHeight="1" x14ac:dyDescent="0.25">
      <c r="A1480" s="42" t="s">
        <v>467</v>
      </c>
      <c r="B1480" s="41"/>
      <c r="C1480" s="43">
        <f t="shared" ref="C1480:D1480" si="260">C1478</f>
        <v>12271095.83</v>
      </c>
      <c r="D1480" s="43">
        <f t="shared" si="260"/>
        <v>5392260.4400000004</v>
      </c>
      <c r="E1480" s="43">
        <f>F1480-D1480</f>
        <v>13476769.559999999</v>
      </c>
      <c r="F1480" s="43">
        <f t="shared" ref="F1480:G1480" si="261">F1478</f>
        <v>18869030</v>
      </c>
      <c r="G1480" s="43">
        <f t="shared" si="261"/>
        <v>19774180</v>
      </c>
      <c r="H1480" s="114"/>
      <c r="I1480" s="60"/>
      <c r="J1480" s="60"/>
      <c r="K1480" s="114"/>
      <c r="L1480" s="114"/>
      <c r="M1480" s="60"/>
      <c r="N1480" s="60"/>
      <c r="O1480" s="114"/>
      <c r="P1480" s="114"/>
      <c r="Q1480" s="114"/>
      <c r="R1480" s="114"/>
      <c r="S1480" s="114"/>
      <c r="T1480" s="114"/>
      <c r="U1480" s="114"/>
      <c r="V1480" s="114"/>
      <c r="W1480" s="114"/>
      <c r="X1480" s="114"/>
      <c r="Y1480" s="114"/>
      <c r="Z1480" s="114"/>
    </row>
    <row r="1481" spans="1:26" ht="15.75" customHeight="1" x14ac:dyDescent="0.25">
      <c r="A1481" s="42"/>
      <c r="B1481" s="49"/>
      <c r="C1481" s="43"/>
      <c r="D1481" s="43"/>
      <c r="E1481" s="43"/>
      <c r="F1481" s="43"/>
      <c r="G1481" s="43"/>
      <c r="H1481" s="114"/>
      <c r="I1481" s="60"/>
      <c r="J1481" s="60"/>
      <c r="K1481" s="114"/>
      <c r="L1481" s="114"/>
      <c r="M1481" s="60"/>
      <c r="N1481" s="60"/>
      <c r="O1481" s="114"/>
      <c r="P1481" s="114"/>
      <c r="Q1481" s="114"/>
      <c r="R1481" s="114"/>
      <c r="S1481" s="114"/>
      <c r="T1481" s="114"/>
      <c r="U1481" s="114"/>
      <c r="V1481" s="114"/>
      <c r="W1481" s="114"/>
      <c r="X1481" s="114"/>
      <c r="Y1481" s="114"/>
      <c r="Z1481" s="114"/>
    </row>
    <row r="1482" spans="1:26" ht="15.75" customHeight="1" x14ac:dyDescent="0.25">
      <c r="A1482" s="42" t="s">
        <v>529</v>
      </c>
      <c r="B1482" s="49"/>
      <c r="C1482" s="43"/>
      <c r="D1482" s="45"/>
      <c r="E1482" s="43"/>
      <c r="F1482" s="45"/>
      <c r="G1482" s="43"/>
      <c r="H1482" s="114"/>
      <c r="I1482" s="60"/>
      <c r="J1482" s="60"/>
      <c r="K1482" s="114"/>
      <c r="L1482" s="114"/>
      <c r="M1482" s="60"/>
      <c r="N1482" s="60"/>
      <c r="O1482" s="114"/>
      <c r="P1482" s="114"/>
      <c r="Q1482" s="114"/>
      <c r="R1482" s="114"/>
      <c r="S1482" s="114"/>
      <c r="T1482" s="114"/>
      <c r="U1482" s="114"/>
      <c r="V1482" s="114"/>
      <c r="W1482" s="114"/>
      <c r="X1482" s="114"/>
      <c r="Y1482" s="114"/>
      <c r="Z1482" s="114"/>
    </row>
    <row r="1483" spans="1:26" ht="15.75" customHeight="1" x14ac:dyDescent="0.25">
      <c r="A1483" s="42" t="s">
        <v>839</v>
      </c>
      <c r="B1483" s="49"/>
      <c r="C1483" s="43"/>
      <c r="D1483" s="45"/>
      <c r="E1483" s="43"/>
      <c r="F1483" s="45"/>
      <c r="G1483" s="45"/>
      <c r="H1483" s="114"/>
      <c r="I1483" s="60"/>
      <c r="J1483" s="60"/>
      <c r="K1483" s="114"/>
      <c r="L1483" s="114"/>
      <c r="M1483" s="60"/>
      <c r="N1483" s="60"/>
      <c r="O1483" s="114"/>
      <c r="P1483" s="114"/>
      <c r="Q1483" s="114"/>
      <c r="R1483" s="114"/>
      <c r="S1483" s="114"/>
      <c r="T1483" s="114"/>
      <c r="U1483" s="114"/>
      <c r="V1483" s="114"/>
      <c r="W1483" s="114"/>
      <c r="X1483" s="114"/>
      <c r="Y1483" s="114"/>
      <c r="Z1483" s="114"/>
    </row>
    <row r="1484" spans="1:26" ht="15.75" customHeight="1" x14ac:dyDescent="0.25">
      <c r="A1484" s="74" t="s">
        <v>1143</v>
      </c>
      <c r="B1484" s="49" t="s">
        <v>62</v>
      </c>
      <c r="C1484" s="43">
        <v>0</v>
      </c>
      <c r="D1484" s="45">
        <v>3720525</v>
      </c>
      <c r="E1484" s="43">
        <f t="shared" ref="E1484" si="262">F1484-D1484</f>
        <v>3415</v>
      </c>
      <c r="F1484" s="45">
        <v>3723940</v>
      </c>
      <c r="G1484" s="45">
        <v>2313965</v>
      </c>
      <c r="H1484" s="114"/>
      <c r="I1484" s="60"/>
      <c r="J1484" s="60"/>
      <c r="K1484" s="114"/>
      <c r="L1484" s="114"/>
      <c r="M1484" s="60"/>
      <c r="N1484" s="60"/>
      <c r="O1484" s="114"/>
      <c r="P1484" s="114"/>
      <c r="Q1484" s="114"/>
      <c r="R1484" s="114"/>
      <c r="S1484" s="114"/>
      <c r="T1484" s="114"/>
      <c r="U1484" s="114"/>
      <c r="V1484" s="114"/>
      <c r="W1484" s="114"/>
      <c r="X1484" s="114"/>
      <c r="Y1484" s="114"/>
      <c r="Z1484" s="114"/>
    </row>
    <row r="1485" spans="1:26" ht="15.75" customHeight="1" x14ac:dyDescent="0.25">
      <c r="A1485" s="74" t="s">
        <v>1144</v>
      </c>
      <c r="B1485" s="49"/>
      <c r="C1485" s="43"/>
      <c r="D1485" s="45"/>
      <c r="E1485" s="43"/>
      <c r="F1485" s="45"/>
      <c r="G1485" s="45"/>
      <c r="H1485" s="114"/>
      <c r="I1485" s="60"/>
      <c r="J1485" s="60"/>
      <c r="K1485" s="114"/>
      <c r="L1485" s="114"/>
      <c r="M1485" s="60"/>
      <c r="N1485" s="60"/>
      <c r="O1485" s="114"/>
      <c r="P1485" s="114"/>
      <c r="Q1485" s="114"/>
      <c r="R1485" s="114"/>
      <c r="S1485" s="114"/>
      <c r="T1485" s="114"/>
      <c r="U1485" s="114"/>
      <c r="V1485" s="114"/>
      <c r="W1485" s="114"/>
      <c r="X1485" s="114"/>
      <c r="Y1485" s="114"/>
      <c r="Z1485" s="114"/>
    </row>
    <row r="1486" spans="1:26" ht="15.75" customHeight="1" x14ac:dyDescent="0.25">
      <c r="A1486" s="42" t="s">
        <v>1145</v>
      </c>
      <c r="B1486" s="41"/>
      <c r="C1486" s="54">
        <f>SUM(C1484:C1484)</f>
        <v>0</v>
      </c>
      <c r="D1486" s="79">
        <f>SUM(D1484:D1484)</f>
        <v>3720525</v>
      </c>
      <c r="E1486" s="54">
        <f>F1486-D1486</f>
        <v>3415</v>
      </c>
      <c r="F1486" s="79">
        <f>SUM(F1484:F1484)</f>
        <v>3723940</v>
      </c>
      <c r="G1486" s="79">
        <f>SUM(G1484)</f>
        <v>2313965</v>
      </c>
      <c r="H1486" s="201"/>
      <c r="I1486" s="184"/>
      <c r="J1486" s="184"/>
      <c r="K1486" s="201"/>
      <c r="L1486" s="201"/>
      <c r="M1486" s="184"/>
      <c r="N1486" s="184"/>
      <c r="O1486" s="201"/>
      <c r="P1486" s="201"/>
      <c r="Q1486" s="201"/>
      <c r="R1486" s="201"/>
      <c r="S1486" s="201"/>
      <c r="T1486" s="201"/>
      <c r="U1486" s="201"/>
      <c r="V1486" s="201"/>
      <c r="W1486" s="201"/>
      <c r="X1486" s="201"/>
      <c r="Y1486" s="201"/>
      <c r="Z1486" s="201"/>
    </row>
    <row r="1487" spans="1:26" ht="15.75" customHeight="1" x14ac:dyDescent="0.25">
      <c r="A1487" s="48"/>
      <c r="B1487" s="41"/>
      <c r="C1487" s="53"/>
      <c r="D1487" s="45"/>
      <c r="E1487" s="43"/>
      <c r="F1487" s="45"/>
      <c r="G1487" s="45"/>
      <c r="H1487" s="114"/>
      <c r="I1487" s="60"/>
      <c r="J1487" s="60"/>
      <c r="K1487" s="114"/>
      <c r="L1487" s="114"/>
      <c r="M1487" s="60"/>
      <c r="N1487" s="60"/>
      <c r="O1487" s="114"/>
      <c r="P1487" s="114"/>
      <c r="Q1487" s="114"/>
      <c r="R1487" s="114"/>
      <c r="S1487" s="114"/>
      <c r="T1487" s="114"/>
      <c r="U1487" s="114"/>
      <c r="V1487" s="114"/>
      <c r="W1487" s="114"/>
      <c r="X1487" s="114"/>
      <c r="Y1487" s="114"/>
      <c r="Z1487" s="114"/>
    </row>
    <row r="1488" spans="1:26" ht="15.75" customHeight="1" x14ac:dyDescent="0.25">
      <c r="A1488" s="160" t="s">
        <v>487</v>
      </c>
      <c r="B1488" s="51" t="s">
        <v>488</v>
      </c>
      <c r="C1488" s="54">
        <f>C1480+C1486</f>
        <v>12271095.83</v>
      </c>
      <c r="D1488" s="54">
        <f>D1480+D1486</f>
        <v>9112785.4400000013</v>
      </c>
      <c r="E1488" s="54">
        <f>F1488-D1488</f>
        <v>13480184.559999999</v>
      </c>
      <c r="F1488" s="79">
        <f>F1480+F1486</f>
        <v>22592970</v>
      </c>
      <c r="G1488" s="79">
        <f>G1480+G1486</f>
        <v>22088145</v>
      </c>
      <c r="H1488" s="114"/>
      <c r="I1488" s="60"/>
      <c r="J1488" s="60"/>
      <c r="K1488" s="114"/>
      <c r="L1488" s="114"/>
      <c r="M1488" s="60"/>
      <c r="N1488" s="60"/>
      <c r="O1488" s="114"/>
      <c r="P1488" s="114"/>
      <c r="Q1488" s="114"/>
      <c r="R1488" s="114"/>
      <c r="S1488" s="114"/>
      <c r="T1488" s="114"/>
      <c r="U1488" s="114"/>
      <c r="V1488" s="114"/>
      <c r="W1488" s="114"/>
      <c r="X1488" s="114"/>
      <c r="Y1488" s="114"/>
      <c r="Z1488" s="114"/>
    </row>
    <row r="1489" spans="1:26" ht="15.75" customHeight="1" x14ac:dyDescent="0.25">
      <c r="A1489" s="24"/>
      <c r="B1489" s="25"/>
      <c r="C1489" s="26"/>
      <c r="D1489" s="26"/>
      <c r="E1489" s="26"/>
      <c r="F1489" s="26"/>
      <c r="G1489" s="26"/>
      <c r="H1489" s="114"/>
      <c r="I1489" s="60"/>
      <c r="J1489" s="60"/>
      <c r="K1489" s="114"/>
      <c r="L1489" s="114"/>
      <c r="M1489" s="60"/>
      <c r="N1489" s="60"/>
      <c r="O1489" s="114"/>
      <c r="P1489" s="114"/>
      <c r="Q1489" s="114"/>
      <c r="R1489" s="114"/>
      <c r="S1489" s="114"/>
      <c r="T1489" s="114"/>
      <c r="U1489" s="114"/>
      <c r="V1489" s="114"/>
      <c r="W1489" s="114"/>
      <c r="X1489" s="114"/>
      <c r="Y1489" s="114"/>
      <c r="Z1489" s="114"/>
    </row>
    <row r="1490" spans="1:26" ht="15.75" customHeight="1" x14ac:dyDescent="0.25">
      <c r="A1490" s="24"/>
      <c r="B1490" s="25"/>
      <c r="C1490" s="24"/>
      <c r="D1490" s="24"/>
      <c r="E1490" s="24"/>
      <c r="F1490" s="15"/>
      <c r="G1490" s="15"/>
      <c r="H1490" s="15"/>
      <c r="I1490" s="16"/>
      <c r="J1490" s="16"/>
      <c r="K1490" s="15"/>
      <c r="L1490" s="15"/>
      <c r="M1490" s="16"/>
      <c r="N1490" s="16"/>
      <c r="O1490" s="15"/>
      <c r="P1490" s="15"/>
      <c r="Q1490" s="15"/>
      <c r="R1490" s="15"/>
      <c r="S1490" s="15"/>
      <c r="T1490" s="15"/>
      <c r="U1490" s="15"/>
      <c r="V1490" s="15"/>
      <c r="W1490" s="15"/>
      <c r="X1490" s="15"/>
      <c r="Y1490" s="15"/>
      <c r="Z1490" s="15"/>
    </row>
    <row r="1491" spans="1:26" ht="15.75" customHeight="1" x14ac:dyDescent="0.25">
      <c r="A1491" s="9"/>
      <c r="B1491" s="104"/>
      <c r="C1491" s="105"/>
      <c r="D1491" s="105"/>
      <c r="E1491" s="105"/>
      <c r="F1491" s="10"/>
      <c r="G1491" s="180"/>
      <c r="H1491" s="15"/>
      <c r="I1491" s="16"/>
      <c r="J1491" s="16"/>
      <c r="K1491" s="15"/>
      <c r="L1491" s="15"/>
      <c r="M1491" s="16"/>
      <c r="N1491" s="16"/>
      <c r="O1491" s="15"/>
      <c r="P1491" s="15"/>
      <c r="Q1491" s="15"/>
      <c r="R1491" s="15"/>
      <c r="S1491" s="15"/>
      <c r="T1491" s="15"/>
      <c r="U1491" s="15"/>
      <c r="V1491" s="15"/>
      <c r="W1491" s="15"/>
      <c r="X1491" s="15"/>
      <c r="Y1491" s="15"/>
      <c r="Z1491" s="15"/>
    </row>
    <row r="1492" spans="1:26" ht="15.75" customHeight="1" x14ac:dyDescent="0.25">
      <c r="A1492" s="108" t="s">
        <v>1146</v>
      </c>
      <c r="B1492" s="25"/>
      <c r="C1492" s="26"/>
      <c r="D1492" s="26"/>
      <c r="E1492" s="26"/>
      <c r="F1492" s="14"/>
      <c r="G1492" s="181"/>
      <c r="H1492" s="15"/>
      <c r="I1492" s="16"/>
      <c r="J1492" s="16"/>
      <c r="K1492" s="15"/>
      <c r="L1492" s="15"/>
      <c r="M1492" s="16"/>
      <c r="N1492" s="16"/>
      <c r="O1492" s="15"/>
      <c r="P1492" s="15"/>
      <c r="Q1492" s="15"/>
      <c r="R1492" s="15"/>
      <c r="S1492" s="15"/>
      <c r="T1492" s="15"/>
      <c r="U1492" s="15"/>
      <c r="V1492" s="15"/>
      <c r="W1492" s="15"/>
      <c r="X1492" s="15"/>
      <c r="Y1492" s="15"/>
      <c r="Z1492" s="15"/>
    </row>
    <row r="1493" spans="1:26" ht="15.75" customHeight="1" x14ac:dyDescent="0.25">
      <c r="A1493" s="44"/>
      <c r="B1493" s="25"/>
      <c r="C1493" s="26"/>
      <c r="D1493" s="26"/>
      <c r="E1493" s="26"/>
      <c r="F1493" s="14"/>
      <c r="G1493" s="181"/>
      <c r="H1493" s="15"/>
      <c r="I1493" s="16"/>
      <c r="J1493" s="16"/>
      <c r="K1493" s="15"/>
      <c r="L1493" s="15"/>
      <c r="M1493" s="16"/>
      <c r="N1493" s="16"/>
      <c r="O1493" s="15"/>
      <c r="P1493" s="15"/>
      <c r="Q1493" s="15"/>
      <c r="R1493" s="15"/>
      <c r="S1493" s="15"/>
      <c r="T1493" s="15"/>
      <c r="U1493" s="15"/>
      <c r="V1493" s="15"/>
      <c r="W1493" s="15"/>
      <c r="X1493" s="15"/>
      <c r="Y1493" s="15"/>
      <c r="Z1493" s="15"/>
    </row>
    <row r="1494" spans="1:26" ht="15.75" customHeight="1" x14ac:dyDescent="0.25">
      <c r="A1494" s="865" t="s">
        <v>352</v>
      </c>
      <c r="B1494" s="866"/>
      <c r="C1494" s="866"/>
      <c r="D1494" s="866"/>
      <c r="E1494" s="866"/>
      <c r="F1494" s="866"/>
      <c r="G1494" s="867"/>
      <c r="H1494" s="15"/>
      <c r="I1494" s="16"/>
      <c r="J1494" s="16"/>
      <c r="K1494" s="15"/>
      <c r="L1494" s="15"/>
      <c r="M1494" s="16"/>
      <c r="N1494" s="16"/>
      <c r="O1494" s="15"/>
      <c r="P1494" s="15"/>
      <c r="Q1494" s="15"/>
      <c r="R1494" s="15"/>
      <c r="S1494" s="15"/>
      <c r="T1494" s="15"/>
      <c r="U1494" s="15"/>
      <c r="V1494" s="15"/>
      <c r="W1494" s="15"/>
      <c r="X1494" s="15"/>
      <c r="Y1494" s="15"/>
      <c r="Z1494" s="15"/>
    </row>
    <row r="1495" spans="1:26" ht="15.75" customHeight="1" x14ac:dyDescent="0.25">
      <c r="A1495" s="868" t="s">
        <v>353</v>
      </c>
      <c r="B1495" s="857" t="s">
        <v>354</v>
      </c>
      <c r="C1495" s="870" t="s">
        <v>355</v>
      </c>
      <c r="D1495" s="872" t="s">
        <v>356</v>
      </c>
      <c r="E1495" s="873"/>
      <c r="F1495" s="874"/>
      <c r="G1495" s="857" t="s">
        <v>357</v>
      </c>
      <c r="H1495" s="15"/>
      <c r="I1495" s="16"/>
      <c r="J1495" s="16"/>
      <c r="K1495" s="15"/>
      <c r="L1495" s="15"/>
      <c r="M1495" s="16"/>
      <c r="N1495" s="16"/>
      <c r="O1495" s="15"/>
      <c r="P1495" s="15"/>
      <c r="Q1495" s="15"/>
      <c r="R1495" s="15"/>
      <c r="S1495" s="15"/>
      <c r="T1495" s="15"/>
      <c r="U1495" s="15"/>
      <c r="V1495" s="15"/>
      <c r="W1495" s="15"/>
      <c r="X1495" s="15"/>
      <c r="Y1495" s="15"/>
      <c r="Z1495" s="15"/>
    </row>
    <row r="1496" spans="1:26" ht="15.75" customHeight="1" x14ac:dyDescent="0.25">
      <c r="A1496" s="858"/>
      <c r="B1496" s="858"/>
      <c r="C1496" s="871"/>
      <c r="D1496" s="28" t="s">
        <v>358</v>
      </c>
      <c r="E1496" s="29" t="s">
        <v>359</v>
      </c>
      <c r="F1496" s="875" t="s">
        <v>360</v>
      </c>
      <c r="G1496" s="858"/>
      <c r="H1496" s="15"/>
      <c r="I1496" s="16"/>
      <c r="J1496" s="16"/>
      <c r="K1496" s="15"/>
      <c r="L1496" s="15"/>
      <c r="M1496" s="16"/>
      <c r="N1496" s="16"/>
      <c r="O1496" s="15"/>
      <c r="P1496" s="15"/>
      <c r="Q1496" s="15"/>
      <c r="R1496" s="15"/>
      <c r="S1496" s="15"/>
      <c r="T1496" s="15"/>
      <c r="U1496" s="15"/>
      <c r="V1496" s="15"/>
      <c r="W1496" s="15"/>
      <c r="X1496" s="15"/>
      <c r="Y1496" s="15"/>
      <c r="Z1496" s="15"/>
    </row>
    <row r="1497" spans="1:26" ht="15.75" customHeight="1" x14ac:dyDescent="0.25">
      <c r="A1497" s="858"/>
      <c r="B1497" s="858"/>
      <c r="C1497" s="30" t="s">
        <v>361</v>
      </c>
      <c r="D1497" s="31" t="s">
        <v>361</v>
      </c>
      <c r="E1497" s="32" t="s">
        <v>362</v>
      </c>
      <c r="F1497" s="860"/>
      <c r="G1497" s="442" t="s">
        <v>2717</v>
      </c>
      <c r="H1497" s="15"/>
      <c r="I1497" s="16"/>
      <c r="J1497" s="16"/>
      <c r="K1497" s="15"/>
      <c r="L1497" s="15"/>
      <c r="M1497" s="16"/>
      <c r="N1497" s="16"/>
      <c r="O1497" s="15"/>
      <c r="P1497" s="15"/>
      <c r="Q1497" s="15"/>
      <c r="R1497" s="15"/>
      <c r="S1497" s="15"/>
      <c r="T1497" s="15"/>
      <c r="U1497" s="15"/>
      <c r="V1497" s="15"/>
      <c r="W1497" s="15"/>
      <c r="X1497" s="15"/>
      <c r="Y1497" s="15"/>
      <c r="Z1497" s="15"/>
    </row>
    <row r="1498" spans="1:26" ht="15.75" customHeight="1" x14ac:dyDescent="0.25">
      <c r="A1498" s="869"/>
      <c r="B1498" s="869"/>
      <c r="C1498" s="33">
        <v>2024</v>
      </c>
      <c r="D1498" s="34">
        <v>2025</v>
      </c>
      <c r="E1498" s="34">
        <v>2025</v>
      </c>
      <c r="F1498" s="34">
        <v>2025</v>
      </c>
      <c r="G1498" s="36" t="s">
        <v>2668</v>
      </c>
      <c r="H1498" s="15"/>
      <c r="I1498" s="16"/>
      <c r="J1498" s="16"/>
      <c r="K1498" s="15"/>
      <c r="L1498" s="15"/>
      <c r="M1498" s="16"/>
      <c r="N1498" s="16"/>
      <c r="O1498" s="15"/>
      <c r="P1498" s="15"/>
      <c r="Q1498" s="15"/>
      <c r="R1498" s="15"/>
      <c r="S1498" s="15"/>
      <c r="T1498" s="15"/>
      <c r="U1498" s="15"/>
      <c r="V1498" s="15"/>
      <c r="W1498" s="15"/>
      <c r="X1498" s="15"/>
      <c r="Y1498" s="15"/>
      <c r="Z1498" s="15"/>
    </row>
    <row r="1499" spans="1:26" ht="15.75" customHeight="1" x14ac:dyDescent="0.25">
      <c r="A1499" s="9" t="s">
        <v>364</v>
      </c>
      <c r="B1499" s="38"/>
      <c r="C1499" s="42"/>
      <c r="D1499" s="42"/>
      <c r="E1499" s="42"/>
      <c r="F1499" s="42"/>
      <c r="G1499" s="37"/>
      <c r="I1499" s="40"/>
      <c r="J1499" s="40"/>
      <c r="M1499" s="40"/>
      <c r="N1499" s="40"/>
    </row>
    <row r="1500" spans="1:26" ht="15.75" customHeight="1" x14ac:dyDescent="0.25">
      <c r="A1500" s="42" t="s">
        <v>491</v>
      </c>
      <c r="B1500" s="49"/>
      <c r="C1500" s="43"/>
      <c r="D1500" s="43"/>
      <c r="E1500" s="43"/>
      <c r="F1500" s="43"/>
      <c r="G1500" s="43"/>
      <c r="I1500" s="40"/>
      <c r="J1500" s="40"/>
      <c r="M1500" s="40"/>
      <c r="N1500" s="40"/>
    </row>
    <row r="1501" spans="1:26" ht="15.75" customHeight="1" x14ac:dyDescent="0.25">
      <c r="A1501" s="42" t="s">
        <v>627</v>
      </c>
      <c r="B1501" s="49"/>
      <c r="C1501" s="43"/>
      <c r="D1501" s="43"/>
      <c r="E1501" s="56"/>
      <c r="F1501" s="43"/>
      <c r="G1501" s="45"/>
      <c r="I1501" s="40"/>
      <c r="J1501" s="40"/>
      <c r="M1501" s="40"/>
      <c r="N1501" s="40"/>
    </row>
    <row r="1502" spans="1:26" ht="15.75" customHeight="1" x14ac:dyDescent="0.25">
      <c r="A1502" s="48" t="s">
        <v>393</v>
      </c>
      <c r="B1502" s="49" t="s">
        <v>187</v>
      </c>
      <c r="C1502" s="43">
        <v>199841.64</v>
      </c>
      <c r="D1502" s="43">
        <v>98939.59</v>
      </c>
      <c r="E1502" s="43">
        <f>F1502-D1502</f>
        <v>201060.41</v>
      </c>
      <c r="F1502" s="45">
        <v>300000</v>
      </c>
      <c r="G1502" s="45">
        <v>300000</v>
      </c>
      <c r="I1502" s="40"/>
      <c r="J1502" s="40"/>
      <c r="M1502" s="40"/>
      <c r="N1502" s="40"/>
    </row>
    <row r="1503" spans="1:26" ht="15.75" customHeight="1" x14ac:dyDescent="0.25">
      <c r="A1503" s="42" t="s">
        <v>493</v>
      </c>
      <c r="B1503" s="41"/>
      <c r="C1503" s="43"/>
      <c r="D1503" s="43"/>
      <c r="E1503" s="43"/>
      <c r="F1503" s="45"/>
      <c r="G1503" s="45"/>
      <c r="I1503" s="40"/>
      <c r="J1503" s="40"/>
      <c r="M1503" s="40"/>
      <c r="N1503" s="40"/>
    </row>
    <row r="1504" spans="1:26" ht="15.75" customHeight="1" x14ac:dyDescent="0.25">
      <c r="A1504" s="44" t="s">
        <v>396</v>
      </c>
      <c r="B1504" s="41" t="s">
        <v>191</v>
      </c>
      <c r="C1504" s="43">
        <v>94080</v>
      </c>
      <c r="D1504" s="43">
        <v>513380</v>
      </c>
      <c r="E1504" s="43">
        <f>F1504-D1504</f>
        <v>223540</v>
      </c>
      <c r="F1504" s="45">
        <v>736920</v>
      </c>
      <c r="G1504" s="43">
        <v>307000</v>
      </c>
      <c r="H1504" s="114"/>
      <c r="I1504" s="60"/>
      <c r="J1504" s="60"/>
      <c r="K1504" s="114"/>
      <c r="L1504" s="114"/>
      <c r="M1504" s="60"/>
      <c r="N1504" s="60"/>
      <c r="O1504" s="114"/>
      <c r="P1504" s="114"/>
      <c r="Q1504" s="114"/>
      <c r="R1504" s="114"/>
      <c r="S1504" s="114"/>
      <c r="T1504" s="114"/>
      <c r="U1504" s="114"/>
      <c r="V1504" s="114"/>
      <c r="W1504" s="114"/>
      <c r="X1504" s="114"/>
      <c r="Y1504" s="114"/>
      <c r="Z1504" s="114"/>
    </row>
    <row r="1505" spans="1:26" ht="15.75" customHeight="1" x14ac:dyDescent="0.25">
      <c r="A1505" s="44" t="s">
        <v>1147</v>
      </c>
      <c r="B1505" s="41"/>
      <c r="C1505" s="43"/>
      <c r="D1505" s="43"/>
      <c r="E1505" s="43"/>
      <c r="F1505" s="45"/>
      <c r="G1505" s="45"/>
      <c r="H1505" s="114"/>
      <c r="I1505" s="60">
        <v>150000</v>
      </c>
      <c r="J1505" s="60"/>
      <c r="K1505" s="114"/>
      <c r="L1505" s="114"/>
      <c r="M1505" s="60"/>
      <c r="N1505" s="60"/>
      <c r="O1505" s="114"/>
      <c r="P1505" s="114"/>
      <c r="Q1505" s="114"/>
      <c r="R1505" s="114"/>
      <c r="S1505" s="114"/>
      <c r="T1505" s="114"/>
      <c r="U1505" s="114"/>
      <c r="V1505" s="114"/>
      <c r="W1505" s="114"/>
      <c r="X1505" s="114"/>
      <c r="Y1505" s="114"/>
      <c r="Z1505" s="114"/>
    </row>
    <row r="1506" spans="1:26" ht="15.75" customHeight="1" x14ac:dyDescent="0.25">
      <c r="A1506" s="44" t="s">
        <v>1148</v>
      </c>
      <c r="B1506" s="41"/>
      <c r="C1506" s="43"/>
      <c r="D1506" s="43"/>
      <c r="E1506" s="43"/>
      <c r="F1506" s="45"/>
      <c r="G1506" s="45"/>
      <c r="H1506" s="114"/>
      <c r="I1506" s="60">
        <v>49600</v>
      </c>
      <c r="J1506" s="60"/>
      <c r="K1506" s="114"/>
      <c r="L1506" s="114"/>
      <c r="M1506" s="60"/>
      <c r="N1506" s="60"/>
      <c r="O1506" s="114"/>
      <c r="P1506" s="114"/>
      <c r="Q1506" s="114"/>
      <c r="R1506" s="114"/>
      <c r="S1506" s="114"/>
      <c r="T1506" s="114"/>
      <c r="U1506" s="114"/>
      <c r="V1506" s="114"/>
      <c r="W1506" s="114"/>
      <c r="X1506" s="114"/>
      <c r="Y1506" s="114"/>
      <c r="Z1506" s="114"/>
    </row>
    <row r="1507" spans="1:26" ht="15.75" customHeight="1" x14ac:dyDescent="0.25">
      <c r="A1507" s="44" t="s">
        <v>1149</v>
      </c>
      <c r="B1507" s="41"/>
      <c r="C1507" s="43"/>
      <c r="D1507" s="43"/>
      <c r="E1507" s="43"/>
      <c r="F1507" s="45"/>
      <c r="G1507" s="45"/>
      <c r="H1507" s="114"/>
      <c r="I1507" s="60">
        <v>31400</v>
      </c>
      <c r="J1507" s="60"/>
      <c r="K1507" s="114"/>
      <c r="L1507" s="114"/>
      <c r="M1507" s="60"/>
      <c r="N1507" s="60"/>
      <c r="O1507" s="114"/>
      <c r="P1507" s="114"/>
      <c r="Q1507" s="114"/>
      <c r="R1507" s="114"/>
      <c r="S1507" s="114"/>
      <c r="T1507" s="114"/>
      <c r="U1507" s="114"/>
      <c r="V1507" s="114"/>
      <c r="W1507" s="114"/>
      <c r="X1507" s="114"/>
      <c r="Y1507" s="114"/>
      <c r="Z1507" s="114"/>
    </row>
    <row r="1508" spans="1:26" ht="15.75" customHeight="1" x14ac:dyDescent="0.25">
      <c r="A1508" s="44" t="s">
        <v>1150</v>
      </c>
      <c r="B1508" s="41"/>
      <c r="C1508" s="43"/>
      <c r="D1508" s="43"/>
      <c r="E1508" s="43"/>
      <c r="F1508" s="45"/>
      <c r="G1508" s="45"/>
      <c r="H1508" s="114"/>
      <c r="I1508" s="60">
        <v>76000</v>
      </c>
      <c r="J1508" s="60">
        <f>SUM(I1505:I1508)</f>
        <v>307000</v>
      </c>
      <c r="K1508" s="114"/>
      <c r="L1508" s="114"/>
      <c r="M1508" s="60"/>
      <c r="N1508" s="60"/>
      <c r="O1508" s="114"/>
      <c r="P1508" s="114"/>
      <c r="Q1508" s="114"/>
      <c r="R1508" s="114"/>
      <c r="S1508" s="114"/>
      <c r="T1508" s="114"/>
      <c r="U1508" s="114"/>
      <c r="V1508" s="114"/>
      <c r="W1508" s="114"/>
      <c r="X1508" s="114"/>
      <c r="Y1508" s="114"/>
      <c r="Z1508" s="114"/>
    </row>
    <row r="1509" spans="1:26" ht="15.75" customHeight="1" x14ac:dyDescent="0.25">
      <c r="A1509" s="17" t="s">
        <v>499</v>
      </c>
      <c r="B1509" s="41"/>
      <c r="C1509" s="41"/>
      <c r="D1509" s="41"/>
      <c r="E1509" s="43"/>
      <c r="F1509" s="49"/>
      <c r="G1509" s="49"/>
      <c r="I1509" s="40"/>
      <c r="J1509" s="40"/>
      <c r="M1509" s="40"/>
      <c r="N1509" s="40"/>
    </row>
    <row r="1510" spans="1:26" ht="15.75" customHeight="1" x14ac:dyDescent="0.25">
      <c r="A1510" s="44" t="s">
        <v>398</v>
      </c>
      <c r="B1510" s="41" t="s">
        <v>195</v>
      </c>
      <c r="C1510" s="43">
        <v>98194.33</v>
      </c>
      <c r="D1510" s="43">
        <v>79692.259999999995</v>
      </c>
      <c r="E1510" s="43">
        <f t="shared" ref="E1510:E1512" si="263">F1510-D1510</f>
        <v>174271.74</v>
      </c>
      <c r="F1510" s="45">
        <v>253964</v>
      </c>
      <c r="G1510" s="43">
        <v>437460</v>
      </c>
      <c r="H1510" s="114"/>
      <c r="I1510" s="60"/>
      <c r="J1510" s="60"/>
      <c r="K1510" s="114"/>
      <c r="L1510" s="114"/>
      <c r="M1510" s="60"/>
      <c r="N1510" s="60"/>
      <c r="O1510" s="114"/>
      <c r="P1510" s="114"/>
      <c r="Q1510" s="114"/>
      <c r="R1510" s="114"/>
      <c r="S1510" s="114"/>
      <c r="T1510" s="114"/>
      <c r="U1510" s="114"/>
      <c r="V1510" s="114"/>
      <c r="W1510" s="114"/>
      <c r="X1510" s="114"/>
      <c r="Y1510" s="114"/>
      <c r="Z1510" s="114"/>
    </row>
    <row r="1511" spans="1:26" ht="15.75" customHeight="1" x14ac:dyDescent="0.25">
      <c r="A1511" s="44" t="s">
        <v>841</v>
      </c>
      <c r="B1511" s="41" t="s">
        <v>207</v>
      </c>
      <c r="C1511" s="43">
        <v>58814.75</v>
      </c>
      <c r="D1511" s="43">
        <v>37475.269999999997</v>
      </c>
      <c r="E1511" s="43">
        <f t="shared" si="263"/>
        <v>40519.730000000003</v>
      </c>
      <c r="F1511" s="43">
        <v>77995</v>
      </c>
      <c r="G1511" s="43">
        <v>58102</v>
      </c>
      <c r="H1511" s="114"/>
      <c r="I1511" s="60"/>
      <c r="J1511" s="60"/>
      <c r="K1511" s="114"/>
      <c r="L1511" s="114"/>
      <c r="M1511" s="60"/>
      <c r="N1511" s="60"/>
      <c r="O1511" s="114"/>
      <c r="P1511" s="114"/>
      <c r="Q1511" s="114"/>
      <c r="R1511" s="114"/>
      <c r="S1511" s="114"/>
      <c r="T1511" s="114"/>
      <c r="U1511" s="114"/>
      <c r="V1511" s="114"/>
      <c r="W1511" s="114"/>
      <c r="X1511" s="114"/>
      <c r="Y1511" s="114"/>
      <c r="Z1511" s="114"/>
    </row>
    <row r="1512" spans="1:26" ht="15.75" customHeight="1" x14ac:dyDescent="0.25">
      <c r="A1512" s="44" t="s">
        <v>807</v>
      </c>
      <c r="B1512" s="41" t="s">
        <v>209</v>
      </c>
      <c r="C1512" s="43">
        <v>97359.85</v>
      </c>
      <c r="D1512" s="43">
        <v>22188.26</v>
      </c>
      <c r="E1512" s="43">
        <f t="shared" si="263"/>
        <v>22239.74</v>
      </c>
      <c r="F1512" s="43">
        <v>44428</v>
      </c>
      <c r="G1512" s="43">
        <v>15094</v>
      </c>
      <c r="H1512" s="114"/>
      <c r="I1512" s="60"/>
      <c r="J1512" s="60"/>
      <c r="K1512" s="114"/>
      <c r="L1512" s="114"/>
      <c r="M1512" s="60"/>
      <c r="N1512" s="60"/>
      <c r="O1512" s="114"/>
      <c r="P1512" s="114"/>
      <c r="Q1512" s="114"/>
      <c r="R1512" s="114"/>
      <c r="S1512" s="114"/>
      <c r="T1512" s="114"/>
      <c r="U1512" s="114"/>
      <c r="V1512" s="114"/>
      <c r="W1512" s="114"/>
      <c r="X1512" s="114"/>
      <c r="Y1512" s="114"/>
      <c r="Z1512" s="114"/>
    </row>
    <row r="1513" spans="1:26" ht="15.75" customHeight="1" x14ac:dyDescent="0.25">
      <c r="A1513" s="44" t="s">
        <v>399</v>
      </c>
      <c r="B1513" s="41" t="s">
        <v>211</v>
      </c>
      <c r="C1513" s="43">
        <v>2734283.24</v>
      </c>
      <c r="D1513" s="43">
        <v>1808962</v>
      </c>
      <c r="E1513" s="43">
        <f t="shared" ref="E1513:E1514" si="264">F1513-D1513</f>
        <v>1808963</v>
      </c>
      <c r="F1513" s="43">
        <v>3617925</v>
      </c>
      <c r="G1513" s="43">
        <v>3617925</v>
      </c>
      <c r="H1513" s="114"/>
      <c r="I1513" s="60"/>
      <c r="J1513" s="60"/>
      <c r="K1513" s="114"/>
      <c r="L1513" s="114"/>
      <c r="M1513" s="60"/>
      <c r="N1513" s="60"/>
      <c r="O1513" s="114"/>
      <c r="P1513" s="114"/>
      <c r="Q1513" s="114"/>
      <c r="R1513" s="114"/>
      <c r="S1513" s="114"/>
      <c r="T1513" s="114"/>
      <c r="U1513" s="114"/>
      <c r="V1513" s="114"/>
      <c r="W1513" s="114"/>
      <c r="X1513" s="114"/>
      <c r="Y1513" s="114"/>
      <c r="Z1513" s="114"/>
    </row>
    <row r="1514" spans="1:26" ht="15.75" customHeight="1" x14ac:dyDescent="0.25">
      <c r="A1514" s="44" t="s">
        <v>402</v>
      </c>
      <c r="B1514" s="41" t="s">
        <v>225</v>
      </c>
      <c r="C1514" s="43">
        <v>3900946.25</v>
      </c>
      <c r="D1514" s="43">
        <v>3392057.1</v>
      </c>
      <c r="E1514" s="43">
        <f t="shared" si="264"/>
        <v>25527025.899999999</v>
      </c>
      <c r="F1514" s="43">
        <v>28919083</v>
      </c>
      <c r="G1514" s="43">
        <v>26368412</v>
      </c>
      <c r="H1514" s="114"/>
      <c r="I1514" s="60"/>
      <c r="J1514" s="60"/>
      <c r="K1514" s="114"/>
      <c r="L1514" s="114"/>
      <c r="M1514" s="60"/>
      <c r="N1514" s="60"/>
      <c r="O1514" s="114"/>
      <c r="P1514" s="114"/>
      <c r="Q1514" s="114"/>
      <c r="R1514" s="114"/>
      <c r="S1514" s="114"/>
      <c r="T1514" s="114"/>
      <c r="U1514" s="114"/>
      <c r="V1514" s="114"/>
      <c r="W1514" s="114"/>
      <c r="X1514" s="114"/>
      <c r="Y1514" s="114"/>
      <c r="Z1514" s="114"/>
    </row>
    <row r="1515" spans="1:26" ht="15.75" customHeight="1" x14ac:dyDescent="0.25">
      <c r="A1515" s="17" t="s">
        <v>813</v>
      </c>
      <c r="B1515" s="41"/>
      <c r="C1515" s="43"/>
      <c r="D1515" s="43"/>
      <c r="E1515" s="43"/>
      <c r="F1515" s="43"/>
      <c r="G1515" s="43"/>
      <c r="H1515" s="114"/>
      <c r="I1515" s="60"/>
      <c r="J1515" s="60"/>
      <c r="K1515" s="114"/>
      <c r="L1515" s="114"/>
      <c r="M1515" s="60"/>
      <c r="N1515" s="60"/>
      <c r="O1515" s="114"/>
      <c r="P1515" s="114"/>
      <c r="Q1515" s="114"/>
      <c r="R1515" s="114"/>
      <c r="S1515" s="114"/>
      <c r="T1515" s="114"/>
      <c r="U1515" s="114"/>
      <c r="V1515" s="114"/>
      <c r="W1515" s="114"/>
      <c r="X1515" s="114"/>
      <c r="Y1515" s="114"/>
      <c r="Z1515" s="114"/>
    </row>
    <row r="1516" spans="1:26" ht="15.75" customHeight="1" x14ac:dyDescent="0.25">
      <c r="A1516" s="44" t="s">
        <v>814</v>
      </c>
      <c r="B1516" s="41" t="s">
        <v>227</v>
      </c>
      <c r="C1516" s="43">
        <v>24590.17</v>
      </c>
      <c r="D1516" s="43">
        <v>17227.509999999998</v>
      </c>
      <c r="E1516" s="43">
        <f t="shared" ref="E1516:E1517" si="265">F1516-D1516</f>
        <v>78772.490000000005</v>
      </c>
      <c r="F1516" s="43">
        <v>96000</v>
      </c>
      <c r="G1516" s="43">
        <v>96000</v>
      </c>
      <c r="H1516" s="114"/>
      <c r="I1516" s="60"/>
      <c r="J1516" s="60"/>
      <c r="K1516" s="114"/>
      <c r="L1516" s="114"/>
      <c r="M1516" s="60"/>
      <c r="N1516" s="60"/>
      <c r="O1516" s="114"/>
      <c r="P1516" s="114"/>
      <c r="Q1516" s="114"/>
      <c r="R1516" s="114"/>
      <c r="S1516" s="114"/>
      <c r="T1516" s="114"/>
      <c r="U1516" s="114"/>
      <c r="V1516" s="114"/>
      <c r="W1516" s="114"/>
      <c r="X1516" s="114"/>
      <c r="Y1516" s="114"/>
      <c r="Z1516" s="114"/>
    </row>
    <row r="1517" spans="1:26" ht="15.75" customHeight="1" x14ac:dyDescent="0.25">
      <c r="A1517" s="44" t="s">
        <v>815</v>
      </c>
      <c r="B1517" s="41" t="s">
        <v>229</v>
      </c>
      <c r="C1517" s="43">
        <v>83999.86</v>
      </c>
      <c r="D1517" s="43">
        <v>46519.17</v>
      </c>
      <c r="E1517" s="43">
        <f t="shared" si="265"/>
        <v>193480.83000000002</v>
      </c>
      <c r="F1517" s="43">
        <v>240000</v>
      </c>
      <c r="G1517" s="43">
        <v>240000</v>
      </c>
      <c r="H1517" s="114"/>
      <c r="I1517" s="60"/>
      <c r="J1517" s="60"/>
      <c r="K1517" s="114"/>
      <c r="L1517" s="114"/>
      <c r="M1517" s="60"/>
      <c r="N1517" s="60"/>
      <c r="O1517" s="114"/>
      <c r="P1517" s="114"/>
      <c r="Q1517" s="114"/>
      <c r="R1517" s="114"/>
      <c r="S1517" s="114"/>
      <c r="T1517" s="114"/>
      <c r="U1517" s="114"/>
      <c r="V1517" s="114"/>
      <c r="W1517" s="114"/>
      <c r="X1517" s="114"/>
      <c r="Y1517" s="114"/>
      <c r="Z1517" s="114"/>
    </row>
    <row r="1518" spans="1:26" ht="15.75" customHeight="1" x14ac:dyDescent="0.25">
      <c r="A1518" s="17" t="s">
        <v>503</v>
      </c>
      <c r="B1518" s="41"/>
      <c r="C1518" s="43"/>
      <c r="D1518" s="43"/>
      <c r="E1518" s="43"/>
      <c r="F1518" s="43"/>
      <c r="G1518" s="43"/>
      <c r="H1518" s="114"/>
      <c r="I1518" s="60"/>
      <c r="J1518" s="60"/>
      <c r="K1518" s="114"/>
      <c r="L1518" s="114"/>
      <c r="M1518" s="60"/>
      <c r="N1518" s="60"/>
      <c r="O1518" s="114"/>
      <c r="P1518" s="114"/>
      <c r="Q1518" s="114"/>
      <c r="R1518" s="114"/>
      <c r="S1518" s="114"/>
      <c r="T1518" s="114"/>
      <c r="U1518" s="114"/>
      <c r="V1518" s="114"/>
      <c r="W1518" s="114"/>
      <c r="X1518" s="114"/>
      <c r="Y1518" s="114"/>
      <c r="Z1518" s="114"/>
    </row>
    <row r="1519" spans="1:26" ht="15.75" customHeight="1" x14ac:dyDescent="0.25">
      <c r="A1519" s="44" t="s">
        <v>405</v>
      </c>
      <c r="B1519" s="41" t="s">
        <v>235</v>
      </c>
      <c r="C1519" s="43">
        <v>26414.22</v>
      </c>
      <c r="D1519" s="43">
        <v>8078.59</v>
      </c>
      <c r="E1519" s="43">
        <f t="shared" ref="E1519:E1520" si="266">F1519-D1519</f>
        <v>21921.41</v>
      </c>
      <c r="F1519" s="43">
        <v>30000</v>
      </c>
      <c r="G1519" s="43">
        <v>30000</v>
      </c>
      <c r="H1519" s="114"/>
      <c r="I1519" s="60"/>
      <c r="J1519" s="60"/>
      <c r="K1519" s="114"/>
      <c r="L1519" s="114"/>
      <c r="M1519" s="60"/>
      <c r="N1519" s="60"/>
      <c r="O1519" s="114"/>
      <c r="P1519" s="114"/>
      <c r="Q1519" s="114"/>
      <c r="R1519" s="114"/>
      <c r="S1519" s="114"/>
      <c r="T1519" s="114"/>
      <c r="U1519" s="114"/>
      <c r="V1519" s="114"/>
      <c r="W1519" s="114"/>
      <c r="X1519" s="114"/>
      <c r="Y1519" s="114"/>
      <c r="Z1519" s="114"/>
    </row>
    <row r="1520" spans="1:26" ht="15.75" customHeight="1" x14ac:dyDescent="0.25">
      <c r="A1520" s="44" t="s">
        <v>504</v>
      </c>
      <c r="B1520" s="41" t="s">
        <v>237</v>
      </c>
      <c r="C1520" s="43">
        <v>36000.120000000003</v>
      </c>
      <c r="D1520" s="43">
        <v>15000.05</v>
      </c>
      <c r="E1520" s="43">
        <f t="shared" si="266"/>
        <v>272999.95</v>
      </c>
      <c r="F1520" s="43">
        <v>288000</v>
      </c>
      <c r="G1520" s="43">
        <v>288000</v>
      </c>
      <c r="H1520" s="114"/>
      <c r="I1520" s="60"/>
      <c r="J1520" s="60"/>
      <c r="K1520" s="114"/>
      <c r="L1520" s="114"/>
      <c r="M1520" s="60"/>
      <c r="N1520" s="60"/>
      <c r="O1520" s="114"/>
      <c r="P1520" s="114"/>
      <c r="Q1520" s="114"/>
      <c r="R1520" s="114"/>
      <c r="S1520" s="114"/>
      <c r="T1520" s="114"/>
      <c r="U1520" s="114"/>
      <c r="V1520" s="114"/>
      <c r="W1520" s="114"/>
      <c r="X1520" s="114"/>
      <c r="Y1520" s="114"/>
      <c r="Z1520" s="114"/>
    </row>
    <row r="1521" spans="1:26" ht="15.75" customHeight="1" x14ac:dyDescent="0.25">
      <c r="A1521" s="456" t="s">
        <v>506</v>
      </c>
      <c r="B1521" s="454"/>
      <c r="C1521" s="443"/>
      <c r="D1521" s="443"/>
      <c r="E1521" s="443"/>
      <c r="F1521" s="443"/>
      <c r="G1521" s="462"/>
      <c r="H1521" s="114"/>
      <c r="I1521" s="60"/>
      <c r="J1521" s="60"/>
      <c r="K1521" s="114"/>
      <c r="L1521" s="114"/>
      <c r="M1521" s="60"/>
      <c r="N1521" s="60"/>
      <c r="O1521" s="114"/>
      <c r="P1521" s="114"/>
      <c r="Q1521" s="114"/>
      <c r="R1521" s="114"/>
      <c r="S1521" s="114"/>
      <c r="T1521" s="114"/>
      <c r="U1521" s="114"/>
      <c r="V1521" s="114"/>
      <c r="W1521" s="114"/>
      <c r="X1521" s="114"/>
      <c r="Y1521" s="114"/>
      <c r="Z1521" s="114"/>
    </row>
    <row r="1522" spans="1:26" ht="15.75" customHeight="1" x14ac:dyDescent="0.25">
      <c r="A1522" s="460" t="s">
        <v>838</v>
      </c>
      <c r="B1522" s="454" t="s">
        <v>285</v>
      </c>
      <c r="C1522" s="443">
        <v>0</v>
      </c>
      <c r="D1522" s="443">
        <v>0</v>
      </c>
      <c r="E1522" s="443">
        <v>0</v>
      </c>
      <c r="F1522" s="443">
        <v>0</v>
      </c>
      <c r="G1522" s="462">
        <v>200000</v>
      </c>
      <c r="H1522" s="114"/>
      <c r="I1522" s="60"/>
      <c r="J1522" s="60"/>
      <c r="K1522" s="114"/>
      <c r="L1522" s="114"/>
      <c r="M1522" s="60"/>
      <c r="N1522" s="60"/>
      <c r="O1522" s="114"/>
      <c r="P1522" s="114"/>
      <c r="Q1522" s="114"/>
      <c r="R1522" s="114"/>
      <c r="S1522" s="114"/>
      <c r="T1522" s="114"/>
      <c r="U1522" s="114"/>
      <c r="V1522" s="114"/>
      <c r="W1522" s="114"/>
      <c r="X1522" s="114"/>
      <c r="Y1522" s="114"/>
      <c r="Z1522" s="114"/>
    </row>
    <row r="1523" spans="1:26" ht="15.75" customHeight="1" x14ac:dyDescent="0.25">
      <c r="A1523" s="44" t="s">
        <v>817</v>
      </c>
      <c r="B1523" s="41" t="s">
        <v>287</v>
      </c>
      <c r="C1523" s="45">
        <v>609907</v>
      </c>
      <c r="D1523" s="26">
        <v>337150</v>
      </c>
      <c r="E1523" s="43">
        <f>F1523-D1523</f>
        <v>1213650</v>
      </c>
      <c r="F1523" s="45">
        <v>1550800</v>
      </c>
      <c r="G1523" s="45">
        <v>1659600</v>
      </c>
      <c r="H1523" s="114"/>
      <c r="I1523" s="60"/>
      <c r="J1523" s="60"/>
      <c r="K1523" s="114"/>
      <c r="L1523" s="114"/>
      <c r="M1523" s="60"/>
      <c r="N1523" s="60"/>
      <c r="O1523" s="114"/>
      <c r="P1523" s="114"/>
      <c r="Q1523" s="114"/>
      <c r="R1523" s="114"/>
      <c r="S1523" s="114"/>
      <c r="T1523" s="114"/>
      <c r="U1523" s="114"/>
      <c r="V1523" s="114"/>
      <c r="W1523" s="114"/>
      <c r="X1523" s="114"/>
      <c r="Y1523" s="114"/>
      <c r="Z1523" s="114"/>
    </row>
    <row r="1524" spans="1:26" ht="15.75" customHeight="1" x14ac:dyDescent="0.25">
      <c r="A1524" s="48" t="s">
        <v>1151</v>
      </c>
      <c r="B1524" s="226" t="s">
        <v>289</v>
      </c>
      <c r="C1524" s="45">
        <v>0</v>
      </c>
      <c r="D1524" s="26">
        <v>0</v>
      </c>
      <c r="E1524" s="43">
        <v>0</v>
      </c>
      <c r="F1524" s="45">
        <v>0</v>
      </c>
      <c r="G1524" s="45">
        <v>50000</v>
      </c>
      <c r="H1524" s="114"/>
      <c r="I1524" s="60"/>
      <c r="J1524" s="60"/>
      <c r="K1524" s="114"/>
      <c r="L1524" s="114"/>
      <c r="M1524" s="60"/>
      <c r="N1524" s="60"/>
      <c r="O1524" s="114"/>
      <c r="P1524" s="114"/>
      <c r="Q1524" s="114"/>
      <c r="R1524" s="114"/>
      <c r="S1524" s="114"/>
      <c r="T1524" s="114"/>
      <c r="U1524" s="114"/>
      <c r="V1524" s="114"/>
      <c r="W1524" s="114"/>
      <c r="X1524" s="114"/>
      <c r="Y1524" s="114"/>
      <c r="Z1524" s="114"/>
    </row>
    <row r="1525" spans="1:26" ht="15.75" customHeight="1" x14ac:dyDescent="0.25">
      <c r="A1525" s="42" t="s">
        <v>511</v>
      </c>
      <c r="B1525" s="49"/>
      <c r="C1525" s="19"/>
      <c r="D1525" s="24"/>
      <c r="E1525" s="43"/>
      <c r="F1525" s="45"/>
      <c r="G1525" s="45"/>
      <c r="H1525" s="114"/>
      <c r="I1525" s="60"/>
      <c r="J1525" s="60"/>
      <c r="K1525" s="114"/>
      <c r="L1525" s="114"/>
      <c r="M1525" s="60"/>
      <c r="N1525" s="60"/>
      <c r="O1525" s="114"/>
      <c r="P1525" s="114"/>
      <c r="Q1525" s="114"/>
      <c r="R1525" s="114"/>
      <c r="S1525" s="114"/>
      <c r="T1525" s="114"/>
      <c r="U1525" s="114"/>
      <c r="V1525" s="114"/>
      <c r="W1525" s="114"/>
      <c r="X1525" s="114"/>
      <c r="Y1525" s="114"/>
      <c r="Z1525" s="114"/>
    </row>
    <row r="1526" spans="1:26" ht="15.75" customHeight="1" x14ac:dyDescent="0.25">
      <c r="A1526" s="48" t="s">
        <v>415</v>
      </c>
      <c r="B1526" s="41" t="s">
        <v>319</v>
      </c>
      <c r="C1526" s="43">
        <v>615000</v>
      </c>
      <c r="D1526" s="43">
        <v>180000</v>
      </c>
      <c r="E1526" s="43">
        <f t="shared" ref="E1526:E1529" si="267">F1526-D1526</f>
        <v>0</v>
      </c>
      <c r="F1526" s="43">
        <v>180000</v>
      </c>
      <c r="G1526" s="43">
        <v>150000</v>
      </c>
      <c r="H1526" s="114"/>
      <c r="I1526" s="60"/>
      <c r="J1526" s="60"/>
      <c r="K1526" s="114"/>
      <c r="L1526" s="114"/>
      <c r="M1526" s="60"/>
      <c r="N1526" s="60"/>
      <c r="O1526" s="114"/>
      <c r="P1526" s="114"/>
      <c r="Q1526" s="114"/>
      <c r="R1526" s="114"/>
      <c r="S1526" s="114"/>
      <c r="T1526" s="114"/>
      <c r="U1526" s="114"/>
      <c r="V1526" s="114"/>
      <c r="W1526" s="114"/>
      <c r="X1526" s="114"/>
      <c r="Y1526" s="114"/>
      <c r="Z1526" s="114"/>
    </row>
    <row r="1527" spans="1:26" ht="15.75" customHeight="1" x14ac:dyDescent="0.25">
      <c r="A1527" s="44" t="s">
        <v>794</v>
      </c>
      <c r="B1527" s="41" t="s">
        <v>321</v>
      </c>
      <c r="C1527" s="26">
        <v>200550</v>
      </c>
      <c r="D1527" s="43">
        <v>49500</v>
      </c>
      <c r="E1527" s="43">
        <f t="shared" si="267"/>
        <v>49500</v>
      </c>
      <c r="F1527" s="45">
        <v>99000</v>
      </c>
      <c r="G1527" s="45">
        <v>99000</v>
      </c>
      <c r="H1527" s="114"/>
      <c r="I1527" s="60"/>
      <c r="J1527" s="60"/>
      <c r="K1527" s="114"/>
      <c r="L1527" s="114"/>
      <c r="M1527" s="60"/>
      <c r="N1527" s="60"/>
      <c r="O1527" s="114"/>
      <c r="P1527" s="114"/>
      <c r="Q1527" s="114"/>
      <c r="R1527" s="114"/>
      <c r="S1527" s="114"/>
      <c r="T1527" s="114"/>
      <c r="U1527" s="114"/>
      <c r="V1527" s="114"/>
      <c r="W1527" s="114"/>
      <c r="X1527" s="114"/>
      <c r="Y1527" s="114"/>
      <c r="Z1527" s="114"/>
    </row>
    <row r="1528" spans="1:26" ht="15.75" customHeight="1" x14ac:dyDescent="0.25">
      <c r="A1528" s="597" t="s">
        <v>836</v>
      </c>
      <c r="B1528" s="603" t="s">
        <v>327</v>
      </c>
      <c r="C1528" s="457">
        <v>180000</v>
      </c>
      <c r="D1528" s="457">
        <v>300000</v>
      </c>
      <c r="E1528" s="457">
        <f t="shared" si="267"/>
        <v>0</v>
      </c>
      <c r="F1528" s="77">
        <v>300000</v>
      </c>
      <c r="G1528" s="445">
        <v>240000</v>
      </c>
      <c r="H1528" s="114"/>
      <c r="I1528" s="60"/>
      <c r="J1528" s="60"/>
      <c r="K1528" s="114"/>
      <c r="L1528" s="114"/>
      <c r="M1528" s="60"/>
      <c r="N1528" s="60"/>
      <c r="O1528" s="114"/>
      <c r="P1528" s="114"/>
      <c r="Q1528" s="114"/>
      <c r="R1528" s="114"/>
      <c r="S1528" s="114"/>
      <c r="T1528" s="114"/>
      <c r="U1528" s="114"/>
      <c r="V1528" s="114"/>
      <c r="W1528" s="114"/>
      <c r="X1528" s="114"/>
      <c r="Y1528" s="114"/>
      <c r="Z1528" s="114"/>
    </row>
    <row r="1529" spans="1:26" ht="15.75" customHeight="1" x14ac:dyDescent="0.25">
      <c r="A1529" s="615" t="s">
        <v>419</v>
      </c>
      <c r="B1529" s="539" t="s">
        <v>333</v>
      </c>
      <c r="C1529" s="448">
        <v>5500000</v>
      </c>
      <c r="D1529" s="448">
        <v>0</v>
      </c>
      <c r="E1529" s="448">
        <f t="shared" si="267"/>
        <v>5500000</v>
      </c>
      <c r="F1529" s="448">
        <v>5500000</v>
      </c>
      <c r="G1529" s="448">
        <v>5500000</v>
      </c>
      <c r="H1529" s="114"/>
      <c r="I1529" s="60"/>
      <c r="J1529" s="60"/>
      <c r="K1529" s="114"/>
      <c r="L1529" s="114"/>
      <c r="M1529" s="60"/>
      <c r="N1529" s="60"/>
      <c r="O1529" s="114"/>
      <c r="P1529" s="114"/>
      <c r="Q1529" s="114"/>
      <c r="R1529" s="114"/>
      <c r="S1529" s="114"/>
      <c r="T1529" s="114"/>
      <c r="U1529" s="114"/>
      <c r="V1529" s="114"/>
      <c r="W1529" s="114"/>
      <c r="X1529" s="114"/>
      <c r="Y1529" s="114"/>
      <c r="Z1529" s="114"/>
    </row>
    <row r="1530" spans="1:26" ht="31.5" x14ac:dyDescent="0.25">
      <c r="A1530" s="68" t="s">
        <v>1152</v>
      </c>
      <c r="B1530" s="20"/>
      <c r="C1530" s="43"/>
      <c r="D1530" s="43"/>
      <c r="E1530" s="43"/>
      <c r="F1530" s="43"/>
      <c r="G1530" s="43"/>
      <c r="H1530" s="114"/>
      <c r="I1530" s="60"/>
      <c r="J1530" s="60"/>
      <c r="K1530" s="114"/>
      <c r="L1530" s="114"/>
      <c r="M1530" s="60"/>
      <c r="N1530" s="60"/>
      <c r="O1530" s="114"/>
      <c r="P1530" s="114"/>
      <c r="Q1530" s="114"/>
      <c r="R1530" s="114"/>
      <c r="S1530" s="114"/>
      <c r="T1530" s="114"/>
      <c r="U1530" s="114"/>
      <c r="V1530" s="114"/>
      <c r="W1530" s="114"/>
      <c r="X1530" s="114"/>
      <c r="Y1530" s="114"/>
      <c r="Z1530" s="114"/>
    </row>
    <row r="1531" spans="1:26" ht="15.75" x14ac:dyDescent="0.25">
      <c r="A1531" s="48" t="s">
        <v>1153</v>
      </c>
      <c r="B1531" s="20"/>
      <c r="C1531" s="43"/>
      <c r="D1531" s="43"/>
      <c r="E1531" s="43"/>
      <c r="F1531" s="43"/>
      <c r="G1531" s="43"/>
      <c r="H1531" s="114"/>
      <c r="I1531" s="60"/>
      <c r="J1531" s="60"/>
      <c r="K1531" s="114"/>
      <c r="L1531" s="114"/>
      <c r="M1531" s="60"/>
      <c r="N1531" s="60"/>
      <c r="O1531" s="114"/>
      <c r="P1531" s="114"/>
      <c r="Q1531" s="114"/>
      <c r="R1531" s="114"/>
      <c r="S1531" s="114"/>
      <c r="T1531" s="114"/>
      <c r="U1531" s="114"/>
      <c r="V1531" s="114"/>
      <c r="W1531" s="114"/>
      <c r="X1531" s="114"/>
      <c r="Y1531" s="114"/>
      <c r="Z1531" s="114"/>
    </row>
    <row r="1532" spans="1:26" ht="15.75" customHeight="1" x14ac:dyDescent="0.25">
      <c r="A1532" s="48" t="s">
        <v>424</v>
      </c>
      <c r="B1532" s="20" t="s">
        <v>335</v>
      </c>
      <c r="C1532" s="43">
        <v>37330250.789999999</v>
      </c>
      <c r="D1532" s="43">
        <v>14107550.699999999</v>
      </c>
      <c r="E1532" s="43">
        <f>F1532-D1532</f>
        <v>45773479.299999997</v>
      </c>
      <c r="F1532" s="43">
        <v>59881030</v>
      </c>
      <c r="G1532" s="440">
        <v>44522695</v>
      </c>
      <c r="H1532" s="114"/>
      <c r="I1532" s="60"/>
      <c r="J1532" s="60"/>
      <c r="K1532" s="114"/>
      <c r="L1532" s="114"/>
      <c r="M1532" s="184">
        <f>+SUM(N1533:N1539)+SUM(M1542:M1558)</f>
        <v>44522695</v>
      </c>
      <c r="N1532" s="60"/>
      <c r="O1532" s="114"/>
      <c r="P1532" s="114"/>
      <c r="Q1532" s="114"/>
      <c r="R1532" s="114"/>
      <c r="S1532" s="114"/>
      <c r="T1532" s="114"/>
      <c r="U1532" s="114"/>
      <c r="V1532" s="114"/>
      <c r="W1532" s="114"/>
      <c r="X1532" s="114"/>
      <c r="Y1532" s="114"/>
      <c r="Z1532" s="114"/>
    </row>
    <row r="1533" spans="1:26" ht="15.75" customHeight="1" x14ac:dyDescent="0.25">
      <c r="A1533" s="48" t="s">
        <v>2757</v>
      </c>
      <c r="B1533" s="20"/>
      <c r="C1533" s="43"/>
      <c r="D1533" s="43"/>
      <c r="E1533" s="43"/>
      <c r="F1533" s="43"/>
      <c r="G1533" s="43"/>
      <c r="H1533" s="114"/>
      <c r="I1533" s="60"/>
      <c r="J1533" s="60"/>
      <c r="K1533" s="114"/>
      <c r="L1533" s="114"/>
      <c r="M1533" s="60"/>
      <c r="N1533" s="60">
        <v>441943</v>
      </c>
      <c r="O1533" s="114"/>
      <c r="P1533" s="114"/>
      <c r="Q1533" s="114"/>
      <c r="R1533" s="114"/>
      <c r="S1533" s="114"/>
      <c r="T1533" s="114"/>
      <c r="U1533" s="114"/>
      <c r="V1533" s="114"/>
      <c r="W1533" s="114"/>
      <c r="X1533" s="114"/>
      <c r="Y1533" s="114"/>
      <c r="Z1533" s="114"/>
    </row>
    <row r="1534" spans="1:26" ht="15.75" customHeight="1" x14ac:dyDescent="0.25">
      <c r="A1534" s="48" t="s">
        <v>1154</v>
      </c>
      <c r="B1534" s="20"/>
      <c r="C1534" s="43"/>
      <c r="D1534" s="43"/>
      <c r="E1534" s="43"/>
      <c r="F1534" s="43"/>
      <c r="G1534" s="43"/>
      <c r="H1534" s="114"/>
      <c r="I1534" s="60"/>
      <c r="J1534" s="60"/>
      <c r="K1534" s="114"/>
      <c r="L1534" s="114"/>
      <c r="M1534" s="60"/>
      <c r="N1534" s="60">
        <v>200000</v>
      </c>
      <c r="O1534" s="114"/>
      <c r="P1534" s="114"/>
      <c r="Q1534" s="114"/>
      <c r="R1534" s="114"/>
      <c r="S1534" s="114"/>
      <c r="T1534" s="114"/>
      <c r="U1534" s="114"/>
      <c r="V1534" s="114"/>
      <c r="W1534" s="114"/>
      <c r="X1534" s="114"/>
      <c r="Y1534" s="114"/>
      <c r="Z1534" s="114"/>
    </row>
    <row r="1535" spans="1:26" ht="15.75" customHeight="1" x14ac:dyDescent="0.25">
      <c r="A1535" s="48" t="s">
        <v>1155</v>
      </c>
      <c r="B1535" s="20"/>
      <c r="C1535" s="43"/>
      <c r="D1535" s="43"/>
      <c r="E1535" s="43"/>
      <c r="F1535" s="43"/>
      <c r="G1535" s="43"/>
      <c r="H1535" s="114"/>
      <c r="I1535" s="60"/>
      <c r="J1535" s="60"/>
      <c r="K1535" s="114"/>
      <c r="L1535" s="114"/>
      <c r="M1535" s="60"/>
      <c r="N1535" s="60">
        <v>3000000</v>
      </c>
      <c r="O1535" s="114"/>
      <c r="P1535" s="114"/>
      <c r="Q1535" s="114"/>
      <c r="R1535" s="114"/>
      <c r="S1535" s="114"/>
      <c r="T1535" s="114"/>
      <c r="U1535" s="114"/>
      <c r="V1535" s="114"/>
      <c r="W1535" s="114"/>
      <c r="X1535" s="114"/>
      <c r="Y1535" s="114"/>
      <c r="Z1535" s="114"/>
    </row>
    <row r="1536" spans="1:26" ht="15.75" customHeight="1" x14ac:dyDescent="0.25">
      <c r="A1536" s="48" t="s">
        <v>1156</v>
      </c>
      <c r="B1536" s="20"/>
      <c r="C1536" s="43"/>
      <c r="D1536" s="43"/>
      <c r="E1536" s="43"/>
      <c r="F1536" s="43"/>
      <c r="G1536" s="43"/>
      <c r="H1536" s="114"/>
      <c r="I1536" s="60"/>
      <c r="J1536" s="60"/>
      <c r="K1536" s="114"/>
      <c r="L1536" s="114"/>
      <c r="M1536" s="60"/>
      <c r="N1536" s="60">
        <v>139000</v>
      </c>
      <c r="O1536" s="114"/>
      <c r="P1536" s="114"/>
      <c r="Q1536" s="114"/>
      <c r="R1536" s="114"/>
      <c r="S1536" s="114"/>
      <c r="T1536" s="114"/>
      <c r="U1536" s="114"/>
      <c r="V1536" s="114"/>
      <c r="W1536" s="114"/>
      <c r="X1536" s="114"/>
      <c r="Y1536" s="114"/>
      <c r="Z1536" s="114"/>
    </row>
    <row r="1537" spans="1:26" ht="15.75" customHeight="1" x14ac:dyDescent="0.25">
      <c r="A1537" s="48" t="s">
        <v>1157</v>
      </c>
      <c r="B1537" s="20"/>
      <c r="C1537" s="43"/>
      <c r="D1537" s="43"/>
      <c r="E1537" s="43"/>
      <c r="F1537" s="43"/>
      <c r="G1537" s="43"/>
      <c r="H1537" s="114"/>
      <c r="I1537" s="60"/>
      <c r="J1537" s="60"/>
      <c r="K1537" s="114"/>
      <c r="L1537" s="114"/>
      <c r="M1537" s="60"/>
      <c r="N1537" s="60">
        <v>210000</v>
      </c>
      <c r="O1537" s="114"/>
      <c r="P1537" s="114"/>
      <c r="Q1537" s="114"/>
      <c r="R1537" s="114"/>
      <c r="S1537" s="114"/>
      <c r="T1537" s="114"/>
      <c r="U1537" s="114"/>
      <c r="V1537" s="114"/>
      <c r="W1537" s="114"/>
      <c r="X1537" s="114"/>
      <c r="Y1537" s="114"/>
      <c r="Z1537" s="114"/>
    </row>
    <row r="1538" spans="1:26" ht="15.75" customHeight="1" x14ac:dyDescent="0.25">
      <c r="A1538" s="48" t="s">
        <v>1158</v>
      </c>
      <c r="B1538" s="20"/>
      <c r="C1538" s="43"/>
      <c r="D1538" s="43"/>
      <c r="E1538" s="43"/>
      <c r="F1538" s="43"/>
      <c r="G1538" s="43"/>
      <c r="H1538" s="114"/>
      <c r="I1538" s="60"/>
      <c r="J1538" s="60"/>
      <c r="K1538" s="114"/>
      <c r="L1538" s="114"/>
      <c r="M1538" s="60"/>
      <c r="N1538" s="60">
        <v>600000</v>
      </c>
      <c r="O1538" s="114"/>
      <c r="P1538" s="114"/>
      <c r="Q1538" s="114"/>
      <c r="R1538" s="114"/>
      <c r="S1538" s="114"/>
      <c r="T1538" s="114"/>
      <c r="U1538" s="114"/>
      <c r="V1538" s="114"/>
      <c r="W1538" s="114"/>
      <c r="X1538" s="114"/>
      <c r="Y1538" s="114"/>
      <c r="Z1538" s="114"/>
    </row>
    <row r="1539" spans="1:26" ht="15.75" customHeight="1" x14ac:dyDescent="0.25">
      <c r="A1539" s="48" t="s">
        <v>2756</v>
      </c>
      <c r="B1539" s="20"/>
      <c r="C1539" s="43"/>
      <c r="D1539" s="43"/>
      <c r="E1539" s="43"/>
      <c r="F1539" s="43"/>
      <c r="G1539" s="43"/>
      <c r="H1539" s="114"/>
      <c r="I1539" s="60"/>
      <c r="J1539" s="60"/>
      <c r="K1539" s="114"/>
      <c r="L1539" s="114"/>
      <c r="M1539" s="60"/>
      <c r="N1539" s="60">
        <v>402600</v>
      </c>
      <c r="O1539" s="114"/>
      <c r="P1539" s="114"/>
      <c r="Q1539" s="114"/>
      <c r="R1539" s="114"/>
      <c r="S1539" s="114"/>
      <c r="T1539" s="114"/>
      <c r="U1539" s="114"/>
      <c r="V1539" s="114"/>
      <c r="W1539" s="114"/>
      <c r="X1539" s="114"/>
      <c r="Y1539" s="114"/>
      <c r="Z1539" s="114"/>
    </row>
    <row r="1540" spans="1:26" ht="15.75" customHeight="1" x14ac:dyDescent="0.25">
      <c r="A1540" s="44" t="s">
        <v>864</v>
      </c>
      <c r="B1540" s="20"/>
      <c r="C1540" s="43"/>
      <c r="D1540" s="43"/>
      <c r="E1540" s="43"/>
      <c r="F1540" s="43"/>
      <c r="G1540" s="43"/>
      <c r="H1540" s="114"/>
      <c r="I1540" s="60"/>
      <c r="J1540" s="60"/>
      <c r="K1540" s="114"/>
      <c r="L1540" s="114"/>
      <c r="M1540" s="60"/>
      <c r="N1540" s="60"/>
      <c r="O1540" s="114"/>
      <c r="P1540" s="114"/>
      <c r="Q1540" s="114"/>
      <c r="R1540" s="114"/>
      <c r="S1540" s="114"/>
      <c r="T1540" s="114"/>
      <c r="U1540" s="114"/>
      <c r="V1540" s="114"/>
      <c r="W1540" s="114"/>
      <c r="X1540" s="114"/>
      <c r="Y1540" s="114"/>
      <c r="Z1540" s="114"/>
    </row>
    <row r="1541" spans="1:26" ht="15.75" customHeight="1" x14ac:dyDescent="0.25">
      <c r="A1541" s="42" t="s">
        <v>2740</v>
      </c>
      <c r="B1541" s="20"/>
      <c r="C1541" s="43"/>
      <c r="D1541" s="43"/>
      <c r="E1541" s="43"/>
      <c r="F1541" s="43"/>
      <c r="G1541" s="43"/>
      <c r="H1541" s="114"/>
      <c r="I1541" s="210" t="s">
        <v>877</v>
      </c>
      <c r="J1541" s="211" t="s">
        <v>878</v>
      </c>
      <c r="K1541" s="210" t="s">
        <v>879</v>
      </c>
      <c r="L1541" s="8" t="s">
        <v>880</v>
      </c>
      <c r="M1541" s="210" t="s">
        <v>881</v>
      </c>
      <c r="N1541" s="60"/>
      <c r="O1541" s="114"/>
      <c r="P1541" s="114"/>
      <c r="Q1541" s="114"/>
      <c r="R1541" s="114"/>
      <c r="S1541" s="114"/>
      <c r="T1541" s="114"/>
      <c r="U1541" s="114"/>
      <c r="V1541" s="114"/>
      <c r="W1541" s="114"/>
      <c r="X1541" s="114"/>
      <c r="Y1541" s="114"/>
      <c r="Z1541" s="114"/>
    </row>
    <row r="1542" spans="1:26" ht="31.5" x14ac:dyDescent="0.25">
      <c r="A1542" s="68" t="s">
        <v>2741</v>
      </c>
      <c r="B1542" s="20"/>
      <c r="C1542" s="43"/>
      <c r="D1542" s="43"/>
      <c r="E1542" s="43"/>
      <c r="F1542" s="43"/>
      <c r="G1542" s="43"/>
      <c r="H1542" s="114"/>
      <c r="I1542" s="60">
        <v>974</v>
      </c>
      <c r="J1542" s="211">
        <v>1</v>
      </c>
      <c r="K1542" s="8">
        <v>26</v>
      </c>
      <c r="L1542" s="8">
        <v>12</v>
      </c>
      <c r="M1542" s="60">
        <f t="shared" ref="M1542:M1546" si="268">I1542*J1542*K1542*L1542</f>
        <v>303888</v>
      </c>
      <c r="N1542" s="60"/>
      <c r="O1542" s="114"/>
      <c r="P1542" s="114"/>
      <c r="Q1542" s="114"/>
      <c r="R1542" s="114"/>
      <c r="S1542" s="114"/>
      <c r="T1542" s="114"/>
      <c r="U1542" s="114"/>
      <c r="V1542" s="114"/>
      <c r="W1542" s="114"/>
      <c r="X1542" s="114"/>
      <c r="Y1542" s="114"/>
      <c r="Z1542" s="114"/>
    </row>
    <row r="1543" spans="1:26" ht="15.75" x14ac:dyDescent="0.25">
      <c r="A1543" s="68" t="s">
        <v>2742</v>
      </c>
      <c r="B1543" s="20"/>
      <c r="C1543" s="43"/>
      <c r="D1543" s="43"/>
      <c r="E1543" s="43"/>
      <c r="F1543" s="43"/>
      <c r="G1543" s="43"/>
      <c r="H1543" s="114"/>
      <c r="I1543" s="60">
        <v>861</v>
      </c>
      <c r="J1543" s="211">
        <v>11</v>
      </c>
      <c r="K1543" s="8">
        <v>26</v>
      </c>
      <c r="L1543" s="8">
        <v>12</v>
      </c>
      <c r="M1543" s="60">
        <f t="shared" si="268"/>
        <v>2954952</v>
      </c>
      <c r="N1543" s="60"/>
      <c r="O1543" s="114"/>
      <c r="P1543" s="114"/>
      <c r="Q1543" s="114"/>
      <c r="R1543" s="114"/>
      <c r="S1543" s="114"/>
      <c r="T1543" s="114"/>
      <c r="U1543" s="114"/>
      <c r="V1543" s="114"/>
      <c r="W1543" s="114"/>
      <c r="X1543" s="114"/>
      <c r="Y1543" s="114"/>
      <c r="Z1543" s="114"/>
    </row>
    <row r="1544" spans="1:26" ht="15.75" x14ac:dyDescent="0.25">
      <c r="A1544" s="68" t="s">
        <v>2743</v>
      </c>
      <c r="B1544" s="20"/>
      <c r="C1544" s="43"/>
      <c r="D1544" s="43"/>
      <c r="E1544" s="43"/>
      <c r="F1544" s="43"/>
      <c r="G1544" s="43"/>
      <c r="H1544" s="114"/>
      <c r="I1544" s="60">
        <v>720</v>
      </c>
      <c r="J1544" s="211">
        <v>10</v>
      </c>
      <c r="K1544" s="8">
        <v>26</v>
      </c>
      <c r="L1544" s="8">
        <v>12</v>
      </c>
      <c r="M1544" s="60">
        <f t="shared" si="268"/>
        <v>2246400</v>
      </c>
      <c r="N1544" s="60"/>
      <c r="O1544" s="114"/>
      <c r="P1544" s="114"/>
      <c r="Q1544" s="114"/>
      <c r="R1544" s="114"/>
      <c r="S1544" s="114"/>
      <c r="T1544" s="114"/>
      <c r="U1544" s="114"/>
      <c r="V1544" s="114"/>
      <c r="W1544" s="114"/>
      <c r="X1544" s="114"/>
      <c r="Y1544" s="114"/>
      <c r="Z1544" s="114"/>
    </row>
    <row r="1545" spans="1:26" ht="15.75" x14ac:dyDescent="0.25">
      <c r="A1545" s="68" t="s">
        <v>2744</v>
      </c>
      <c r="B1545" s="20"/>
      <c r="C1545" s="43"/>
      <c r="D1545" s="43"/>
      <c r="E1545" s="43"/>
      <c r="F1545" s="43"/>
      <c r="G1545" s="43"/>
      <c r="H1545" s="114"/>
      <c r="I1545" s="60">
        <v>639</v>
      </c>
      <c r="J1545" s="211">
        <v>70</v>
      </c>
      <c r="K1545" s="8">
        <v>26</v>
      </c>
      <c r="L1545" s="8">
        <v>12</v>
      </c>
      <c r="M1545" s="60">
        <f t="shared" si="268"/>
        <v>13955760</v>
      </c>
      <c r="N1545" s="60"/>
      <c r="O1545" s="114"/>
      <c r="P1545" s="114"/>
      <c r="Q1545" s="114"/>
      <c r="R1545" s="114"/>
      <c r="S1545" s="114"/>
      <c r="T1545" s="114"/>
      <c r="U1545" s="114"/>
      <c r="V1545" s="114"/>
      <c r="W1545" s="114"/>
      <c r="X1545" s="114"/>
      <c r="Y1545" s="114"/>
      <c r="Z1545" s="114"/>
    </row>
    <row r="1546" spans="1:26" ht="15.75" x14ac:dyDescent="0.25">
      <c r="A1546" s="68" t="s">
        <v>2745</v>
      </c>
      <c r="B1546" s="20"/>
      <c r="C1546" s="43"/>
      <c r="D1546" s="43"/>
      <c r="E1546" s="43"/>
      <c r="F1546" s="43"/>
      <c r="G1546" s="43"/>
      <c r="H1546" s="114"/>
      <c r="I1546" s="60">
        <v>765</v>
      </c>
      <c r="J1546" s="211">
        <v>6</v>
      </c>
      <c r="K1546" s="8">
        <v>26</v>
      </c>
      <c r="L1546" s="8">
        <v>12</v>
      </c>
      <c r="M1546" s="60">
        <f t="shared" si="268"/>
        <v>1432080</v>
      </c>
      <c r="N1546" s="60"/>
      <c r="O1546" s="114"/>
      <c r="P1546" s="114"/>
      <c r="Q1546" s="114"/>
      <c r="R1546" s="114"/>
      <c r="S1546" s="114"/>
      <c r="T1546" s="114"/>
      <c r="U1546" s="114"/>
      <c r="V1546" s="114"/>
      <c r="W1546" s="114"/>
      <c r="X1546" s="114"/>
      <c r="Y1546" s="114"/>
      <c r="Z1546" s="114"/>
    </row>
    <row r="1547" spans="1:26" ht="15.75" customHeight="1" x14ac:dyDescent="0.25">
      <c r="A1547" s="42" t="s">
        <v>2746</v>
      </c>
      <c r="B1547" s="20"/>
      <c r="C1547" s="43"/>
      <c r="D1547" s="43"/>
      <c r="E1547" s="43"/>
      <c r="F1547" s="43"/>
      <c r="G1547" s="43"/>
      <c r="H1547" s="114"/>
      <c r="I1547" s="60"/>
      <c r="J1547" s="211"/>
      <c r="K1547" s="8"/>
      <c r="L1547" s="8"/>
      <c r="M1547" s="60"/>
      <c r="N1547" s="60"/>
      <c r="O1547" s="114"/>
      <c r="P1547" s="114"/>
      <c r="Q1547" s="114"/>
      <c r="R1547" s="114"/>
      <c r="S1547" s="114"/>
      <c r="T1547" s="114"/>
      <c r="U1547" s="114"/>
      <c r="V1547" s="114"/>
      <c r="W1547" s="114"/>
      <c r="X1547" s="114"/>
      <c r="Y1547" s="114"/>
      <c r="Z1547" s="114"/>
    </row>
    <row r="1548" spans="1:26" ht="31.5" x14ac:dyDescent="0.25">
      <c r="A1548" s="68" t="s">
        <v>2741</v>
      </c>
      <c r="B1548" s="20"/>
      <c r="C1548" s="43"/>
      <c r="D1548" s="43"/>
      <c r="E1548" s="43"/>
      <c r="F1548" s="43"/>
      <c r="G1548" s="43"/>
      <c r="H1548" s="114"/>
      <c r="I1548" s="60">
        <v>974</v>
      </c>
      <c r="J1548" s="211">
        <v>1</v>
      </c>
      <c r="K1548" s="8">
        <v>26</v>
      </c>
      <c r="L1548" s="8">
        <v>12</v>
      </c>
      <c r="M1548" s="60">
        <f t="shared" ref="M1548:M1550" si="269">I1548*J1548*K1548*L1548</f>
        <v>303888</v>
      </c>
      <c r="N1548" s="60"/>
      <c r="O1548" s="114"/>
      <c r="P1548" s="114"/>
      <c r="Q1548" s="114"/>
      <c r="R1548" s="114"/>
      <c r="S1548" s="114"/>
      <c r="T1548" s="114"/>
      <c r="U1548" s="114"/>
      <c r="V1548" s="114"/>
      <c r="W1548" s="114"/>
      <c r="X1548" s="114"/>
      <c r="Y1548" s="114"/>
      <c r="Z1548" s="114"/>
    </row>
    <row r="1549" spans="1:26" ht="15.75" x14ac:dyDescent="0.25">
      <c r="A1549" s="68" t="s">
        <v>2747</v>
      </c>
      <c r="B1549" s="20"/>
      <c r="C1549" s="43"/>
      <c r="D1549" s="43"/>
      <c r="E1549" s="43"/>
      <c r="F1549" s="43"/>
      <c r="G1549" s="43"/>
      <c r="H1549" s="114"/>
      <c r="I1549" s="60">
        <v>861</v>
      </c>
      <c r="J1549" s="211">
        <v>1</v>
      </c>
      <c r="K1549" s="8">
        <v>26</v>
      </c>
      <c r="L1549" s="8">
        <v>12</v>
      </c>
      <c r="M1549" s="60">
        <f t="shared" si="269"/>
        <v>268632</v>
      </c>
      <c r="N1549" s="60"/>
      <c r="O1549" s="114"/>
      <c r="P1549" s="114"/>
      <c r="Q1549" s="114"/>
      <c r="R1549" s="114"/>
      <c r="S1549" s="114"/>
      <c r="T1549" s="114"/>
      <c r="U1549" s="114"/>
      <c r="V1549" s="114"/>
      <c r="W1549" s="114"/>
      <c r="X1549" s="114"/>
      <c r="Y1549" s="114"/>
      <c r="Z1549" s="114"/>
    </row>
    <row r="1550" spans="1:26" ht="15.75" customHeight="1" x14ac:dyDescent="0.25">
      <c r="A1550" s="68" t="s">
        <v>2748</v>
      </c>
      <c r="B1550" s="20"/>
      <c r="C1550" s="43"/>
      <c r="D1550" s="43"/>
      <c r="E1550" s="43"/>
      <c r="F1550" s="43"/>
      <c r="G1550" s="43"/>
      <c r="H1550" s="114"/>
      <c r="I1550" s="60">
        <v>765</v>
      </c>
      <c r="J1550" s="211">
        <v>2</v>
      </c>
      <c r="K1550" s="8">
        <v>26</v>
      </c>
      <c r="L1550" s="8">
        <v>12</v>
      </c>
      <c r="M1550" s="60">
        <f t="shared" si="269"/>
        <v>477360</v>
      </c>
      <c r="N1550" s="60"/>
      <c r="O1550" s="114"/>
      <c r="P1550" s="114"/>
      <c r="Q1550" s="114"/>
      <c r="R1550" s="114"/>
      <c r="S1550" s="114"/>
      <c r="T1550" s="114"/>
      <c r="U1550" s="114"/>
      <c r="V1550" s="114"/>
      <c r="W1550" s="114"/>
      <c r="X1550" s="114"/>
      <c r="Y1550" s="114"/>
      <c r="Z1550" s="114"/>
    </row>
    <row r="1551" spans="1:26" ht="15.75" x14ac:dyDescent="0.25">
      <c r="A1551" s="68" t="s">
        <v>2749</v>
      </c>
      <c r="B1551" s="20"/>
      <c r="C1551" s="43"/>
      <c r="D1551" s="43"/>
      <c r="E1551" s="43"/>
      <c r="F1551" s="43"/>
      <c r="G1551" s="43"/>
      <c r="H1551" s="114"/>
      <c r="I1551" s="60">
        <v>678</v>
      </c>
      <c r="J1551" s="211">
        <v>8</v>
      </c>
      <c r="K1551" s="8">
        <v>26</v>
      </c>
      <c r="L1551" s="8">
        <v>12</v>
      </c>
      <c r="M1551" s="60">
        <f t="shared" ref="M1551:M1552" si="270">I1551*J1551*K1551*L1551</f>
        <v>1692288</v>
      </c>
      <c r="N1551" s="60"/>
      <c r="O1551" s="114"/>
      <c r="P1551" s="114"/>
      <c r="Q1551" s="114"/>
      <c r="R1551" s="114"/>
      <c r="S1551" s="114"/>
      <c r="T1551" s="114"/>
      <c r="U1551" s="114"/>
      <c r="V1551" s="114"/>
      <c r="W1551" s="114"/>
      <c r="X1551" s="114"/>
      <c r="Y1551" s="114"/>
      <c r="Z1551" s="114"/>
    </row>
    <row r="1552" spans="1:26" ht="15.75" x14ac:dyDescent="0.25">
      <c r="A1552" s="68" t="s">
        <v>2750</v>
      </c>
      <c r="B1552" s="20"/>
      <c r="C1552" s="43"/>
      <c r="D1552" s="43"/>
      <c r="E1552" s="43"/>
      <c r="F1552" s="43"/>
      <c r="G1552" s="43"/>
      <c r="H1552" s="114"/>
      <c r="I1552" s="60">
        <v>639</v>
      </c>
      <c r="J1552" s="211">
        <v>28</v>
      </c>
      <c r="K1552" s="8">
        <v>26</v>
      </c>
      <c r="L1552" s="8">
        <v>12</v>
      </c>
      <c r="M1552" s="60">
        <f t="shared" si="270"/>
        <v>5582304</v>
      </c>
      <c r="N1552" s="60"/>
      <c r="O1552" s="114"/>
      <c r="P1552" s="114"/>
      <c r="Q1552" s="114"/>
      <c r="R1552" s="114"/>
      <c r="S1552" s="114"/>
      <c r="T1552" s="114"/>
      <c r="U1552" s="114"/>
      <c r="V1552" s="114"/>
      <c r="W1552" s="114"/>
      <c r="X1552" s="114"/>
      <c r="Y1552" s="114"/>
      <c r="Z1552" s="114"/>
    </row>
    <row r="1553" spans="1:26" ht="15.75" customHeight="1" x14ac:dyDescent="0.25">
      <c r="A1553" s="42" t="s">
        <v>2751</v>
      </c>
      <c r="B1553" s="20"/>
      <c r="C1553" s="43"/>
      <c r="D1553" s="43"/>
      <c r="E1553" s="43"/>
      <c r="F1553" s="43"/>
      <c r="G1553" s="43"/>
      <c r="H1553" s="114"/>
      <c r="I1553" s="60"/>
      <c r="J1553" s="211"/>
      <c r="K1553" s="8"/>
      <c r="L1553" s="8"/>
      <c r="M1553" s="60"/>
      <c r="N1553" s="60"/>
      <c r="O1553" s="114"/>
      <c r="P1553" s="114"/>
      <c r="Q1553" s="114"/>
      <c r="R1553" s="114"/>
      <c r="S1553" s="114"/>
      <c r="T1553" s="114"/>
      <c r="U1553" s="114"/>
      <c r="V1553" s="114"/>
      <c r="W1553" s="114"/>
      <c r="X1553" s="114"/>
      <c r="Y1553" s="114"/>
      <c r="Z1553" s="114"/>
    </row>
    <row r="1554" spans="1:26" ht="31.5" x14ac:dyDescent="0.25">
      <c r="A1554" s="68" t="s">
        <v>2741</v>
      </c>
      <c r="B1554" s="20"/>
      <c r="C1554" s="43"/>
      <c r="D1554" s="43"/>
      <c r="E1554" s="43"/>
      <c r="F1554" s="43"/>
      <c r="G1554" s="43"/>
      <c r="H1554" s="114"/>
      <c r="I1554" s="60">
        <v>974</v>
      </c>
      <c r="J1554" s="211">
        <v>1</v>
      </c>
      <c r="K1554" s="8">
        <v>26</v>
      </c>
      <c r="L1554" s="8">
        <v>12</v>
      </c>
      <c r="M1554" s="60">
        <f t="shared" ref="M1554:M1556" si="271">I1554*J1554*K1554*L1554</f>
        <v>303888</v>
      </c>
      <c r="N1554" s="60"/>
      <c r="O1554" s="114"/>
      <c r="P1554" s="114"/>
      <c r="Q1554" s="114"/>
      <c r="R1554" s="114"/>
      <c r="S1554" s="114"/>
      <c r="T1554" s="114"/>
      <c r="U1554" s="114"/>
      <c r="V1554" s="114"/>
      <c r="W1554" s="114"/>
      <c r="X1554" s="114"/>
      <c r="Y1554" s="114"/>
      <c r="Z1554" s="114"/>
    </row>
    <row r="1555" spans="1:26" ht="15.75" x14ac:dyDescent="0.25">
      <c r="A1555" s="68" t="s">
        <v>2752</v>
      </c>
      <c r="B1555" s="20"/>
      <c r="C1555" s="43"/>
      <c r="D1555" s="43"/>
      <c r="E1555" s="43"/>
      <c r="F1555" s="43"/>
      <c r="G1555" s="43"/>
      <c r="H1555" s="114"/>
      <c r="I1555" s="60">
        <v>861</v>
      </c>
      <c r="J1555" s="211">
        <v>3</v>
      </c>
      <c r="K1555" s="8">
        <v>26</v>
      </c>
      <c r="L1555" s="8">
        <v>12</v>
      </c>
      <c r="M1555" s="60">
        <f t="shared" si="271"/>
        <v>805896</v>
      </c>
      <c r="N1555" s="60"/>
      <c r="O1555" s="114"/>
      <c r="P1555" s="114"/>
      <c r="Q1555" s="114"/>
      <c r="R1555" s="114"/>
      <c r="S1555" s="114"/>
      <c r="T1555" s="114"/>
      <c r="U1555" s="114"/>
      <c r="V1555" s="114"/>
      <c r="W1555" s="114"/>
      <c r="X1555" s="114"/>
      <c r="Y1555" s="114"/>
      <c r="Z1555" s="114"/>
    </row>
    <row r="1556" spans="1:26" ht="15.75" customHeight="1" x14ac:dyDescent="0.25">
      <c r="A1556" s="68" t="s">
        <v>2753</v>
      </c>
      <c r="B1556" s="20"/>
      <c r="C1556" s="43"/>
      <c r="D1556" s="43"/>
      <c r="E1556" s="43"/>
      <c r="F1556" s="43"/>
      <c r="G1556" s="43"/>
      <c r="H1556" s="114"/>
      <c r="I1556" s="60">
        <v>765</v>
      </c>
      <c r="J1556" s="211">
        <v>3</v>
      </c>
      <c r="K1556" s="8">
        <v>26</v>
      </c>
      <c r="L1556" s="8">
        <v>12</v>
      </c>
      <c r="M1556" s="60">
        <f t="shared" si="271"/>
        <v>716040</v>
      </c>
      <c r="N1556" s="60"/>
      <c r="O1556" s="114"/>
      <c r="P1556" s="114"/>
      <c r="Q1556" s="114"/>
      <c r="R1556" s="114"/>
      <c r="S1556" s="114"/>
      <c r="T1556" s="114"/>
      <c r="U1556" s="114"/>
      <c r="V1556" s="114"/>
      <c r="W1556" s="114"/>
      <c r="X1556" s="114"/>
      <c r="Y1556" s="114"/>
      <c r="Z1556" s="114"/>
    </row>
    <row r="1557" spans="1:26" ht="15.75" x14ac:dyDescent="0.25">
      <c r="A1557" s="68" t="s">
        <v>2754</v>
      </c>
      <c r="B1557" s="20"/>
      <c r="C1557" s="43"/>
      <c r="D1557" s="43"/>
      <c r="E1557" s="43"/>
      <c r="F1557" s="43"/>
      <c r="G1557" s="43"/>
      <c r="H1557" s="114"/>
      <c r="I1557" s="60">
        <v>639</v>
      </c>
      <c r="J1557" s="211">
        <v>2</v>
      </c>
      <c r="K1557" s="8">
        <v>26</v>
      </c>
      <c r="L1557" s="8">
        <v>12</v>
      </c>
      <c r="M1557" s="60">
        <f t="shared" ref="M1557:M1558" si="272">I1557*J1557*K1557*L1557</f>
        <v>398736</v>
      </c>
      <c r="N1557" s="60"/>
      <c r="O1557" s="114"/>
      <c r="P1557" s="114"/>
      <c r="Q1557" s="114"/>
      <c r="R1557" s="114"/>
      <c r="S1557" s="114"/>
      <c r="T1557" s="114"/>
      <c r="U1557" s="114"/>
      <c r="V1557" s="114"/>
      <c r="W1557" s="114"/>
      <c r="X1557" s="114"/>
      <c r="Y1557" s="114"/>
      <c r="Z1557" s="114"/>
    </row>
    <row r="1558" spans="1:26" ht="15.75" x14ac:dyDescent="0.25">
      <c r="A1558" s="68" t="s">
        <v>2755</v>
      </c>
      <c r="B1558" s="20"/>
      <c r="C1558" s="43"/>
      <c r="D1558" s="43"/>
      <c r="E1558" s="43"/>
      <c r="F1558" s="43"/>
      <c r="G1558" s="43"/>
      <c r="H1558" s="114"/>
      <c r="I1558" s="60">
        <v>720</v>
      </c>
      <c r="J1558" s="211">
        <v>36</v>
      </c>
      <c r="K1558" s="8">
        <v>26</v>
      </c>
      <c r="L1558" s="8">
        <v>12</v>
      </c>
      <c r="M1558" s="60">
        <f t="shared" si="272"/>
        <v>8087040</v>
      </c>
      <c r="N1558" s="60"/>
      <c r="O1558" s="114"/>
      <c r="P1558" s="114"/>
      <c r="Q1558" s="114"/>
      <c r="R1558" s="114"/>
      <c r="S1558" s="114"/>
      <c r="T1558" s="114"/>
      <c r="U1558" s="114"/>
      <c r="V1558" s="114"/>
      <c r="W1558" s="114"/>
      <c r="X1558" s="114"/>
      <c r="Y1558" s="114"/>
      <c r="Z1558" s="114"/>
    </row>
    <row r="1559" spans="1:26" ht="15.75" customHeight="1" x14ac:dyDescent="0.25">
      <c r="A1559" s="42" t="s">
        <v>466</v>
      </c>
      <c r="B1559" s="20"/>
      <c r="C1559" s="54">
        <f>SUM(C1502:C1532)</f>
        <v>51790232.219999999</v>
      </c>
      <c r="D1559" s="54">
        <f>SUM(D1502:D1532)</f>
        <v>21013720.5</v>
      </c>
      <c r="E1559" s="54">
        <f>F1559-D1559</f>
        <v>81101424.5</v>
      </c>
      <c r="F1559" s="54">
        <f>SUM(F1502:F1532)</f>
        <v>102115145</v>
      </c>
      <c r="G1559" s="54">
        <f>SUM(G1502:G1558)</f>
        <v>84179288</v>
      </c>
      <c r="H1559" s="114"/>
      <c r="I1559" s="60"/>
      <c r="J1559" s="60"/>
      <c r="K1559" s="114"/>
      <c r="L1559" s="114"/>
      <c r="M1559" s="60"/>
      <c r="N1559" s="60"/>
      <c r="O1559" s="114"/>
      <c r="P1559" s="114"/>
      <c r="Q1559" s="114"/>
      <c r="R1559" s="114"/>
      <c r="S1559" s="114"/>
      <c r="T1559" s="114"/>
      <c r="U1559" s="114"/>
      <c r="V1559" s="114"/>
      <c r="W1559" s="114"/>
      <c r="X1559" s="114"/>
      <c r="Y1559" s="114"/>
      <c r="Z1559" s="114"/>
    </row>
    <row r="1560" spans="1:26" ht="15.75" customHeight="1" x14ac:dyDescent="0.25">
      <c r="A1560" s="17"/>
      <c r="B1560" s="41"/>
      <c r="C1560" s="39"/>
      <c r="D1560" s="163"/>
      <c r="E1560" s="43"/>
      <c r="F1560" s="81"/>
      <c r="G1560" s="55"/>
      <c r="H1560" s="114"/>
      <c r="I1560" s="60"/>
      <c r="J1560" s="60"/>
      <c r="K1560" s="114"/>
      <c r="L1560" s="114"/>
      <c r="M1560" s="60"/>
      <c r="N1560" s="60"/>
      <c r="O1560" s="114"/>
      <c r="P1560" s="114"/>
      <c r="Q1560" s="114"/>
      <c r="R1560" s="114"/>
      <c r="S1560" s="114"/>
      <c r="T1560" s="114"/>
      <c r="U1560" s="114"/>
      <c r="V1560" s="114"/>
      <c r="W1560" s="114"/>
      <c r="X1560" s="114"/>
      <c r="Y1560" s="114"/>
      <c r="Z1560" s="114"/>
    </row>
    <row r="1561" spans="1:26" ht="15.75" customHeight="1" x14ac:dyDescent="0.25">
      <c r="A1561" s="17" t="s">
        <v>467</v>
      </c>
      <c r="B1561" s="20"/>
      <c r="C1561" s="43">
        <f t="shared" ref="C1561:D1561" si="273">C1559</f>
        <v>51790232.219999999</v>
      </c>
      <c r="D1561" s="45">
        <f t="shared" si="273"/>
        <v>21013720.5</v>
      </c>
      <c r="E1561" s="43">
        <f>F1561-D1561</f>
        <v>81101424.5</v>
      </c>
      <c r="F1561" s="56">
        <f t="shared" ref="F1561:G1561" si="274">F1559</f>
        <v>102115145</v>
      </c>
      <c r="G1561" s="43">
        <f t="shared" si="274"/>
        <v>84179288</v>
      </c>
      <c r="H1561" s="114"/>
      <c r="I1561" s="60"/>
      <c r="J1561" s="60"/>
      <c r="K1561" s="114"/>
      <c r="L1561" s="114"/>
      <c r="M1561" s="60"/>
      <c r="N1561" s="60"/>
      <c r="O1561" s="114"/>
      <c r="P1561" s="114"/>
      <c r="Q1561" s="114"/>
      <c r="R1561" s="114"/>
      <c r="S1561" s="114"/>
      <c r="T1561" s="114"/>
      <c r="U1561" s="114"/>
      <c r="V1561" s="114"/>
      <c r="W1561" s="114"/>
      <c r="X1561" s="114"/>
      <c r="Y1561" s="114"/>
      <c r="Z1561" s="114"/>
    </row>
    <row r="1562" spans="1:26" ht="15.75" customHeight="1" x14ac:dyDescent="0.25">
      <c r="A1562" s="17"/>
      <c r="B1562" s="41"/>
      <c r="C1562" s="43"/>
      <c r="D1562" s="45"/>
      <c r="E1562" s="43"/>
      <c r="F1562" s="43"/>
      <c r="G1562" s="43"/>
      <c r="H1562" s="114"/>
      <c r="I1562" s="60"/>
      <c r="J1562" s="60"/>
      <c r="K1562" s="114"/>
      <c r="L1562" s="114"/>
      <c r="M1562" s="60"/>
      <c r="N1562" s="60"/>
      <c r="O1562" s="114"/>
      <c r="P1562" s="114"/>
      <c r="Q1562" s="114"/>
      <c r="R1562" s="114"/>
      <c r="S1562" s="114"/>
      <c r="T1562" s="114"/>
      <c r="U1562" s="114"/>
      <c r="V1562" s="114"/>
      <c r="W1562" s="114"/>
      <c r="X1562" s="114"/>
      <c r="Y1562" s="114"/>
      <c r="Z1562" s="114"/>
    </row>
    <row r="1563" spans="1:26" ht="15.75" customHeight="1" x14ac:dyDescent="0.25">
      <c r="A1563" s="17" t="s">
        <v>529</v>
      </c>
      <c r="B1563" s="41"/>
      <c r="C1563" s="43"/>
      <c r="D1563" s="45"/>
      <c r="E1563" s="43"/>
      <c r="F1563" s="43"/>
      <c r="G1563" s="43"/>
      <c r="H1563" s="114"/>
      <c r="I1563" s="60"/>
      <c r="J1563" s="60"/>
      <c r="K1563" s="114"/>
      <c r="L1563" s="114"/>
      <c r="M1563" s="60"/>
      <c r="N1563" s="60"/>
      <c r="O1563" s="114"/>
      <c r="P1563" s="114"/>
      <c r="Q1563" s="114"/>
      <c r="R1563" s="114"/>
      <c r="S1563" s="114"/>
      <c r="T1563" s="114"/>
      <c r="U1563" s="114"/>
      <c r="V1563" s="114"/>
      <c r="W1563" s="114"/>
      <c r="X1563" s="114"/>
      <c r="Y1563" s="114"/>
      <c r="Z1563" s="114"/>
    </row>
    <row r="1564" spans="1:26" ht="15.75" customHeight="1" x14ac:dyDescent="0.25">
      <c r="A1564" s="17" t="s">
        <v>1160</v>
      </c>
      <c r="B1564" s="41"/>
      <c r="C1564" s="43"/>
      <c r="D1564" s="45"/>
      <c r="E1564" s="43">
        <f t="shared" ref="E1564:E1565" si="275">F1564-D1564</f>
        <v>0</v>
      </c>
      <c r="F1564" s="201"/>
      <c r="G1564" s="43"/>
      <c r="H1564" s="114"/>
      <c r="I1564" s="60"/>
      <c r="J1564" s="60"/>
      <c r="K1564" s="114"/>
      <c r="L1564" s="114"/>
      <c r="M1564" s="60"/>
      <c r="N1564" s="60"/>
      <c r="O1564" s="114"/>
      <c r="P1564" s="114"/>
      <c r="Q1564" s="114"/>
      <c r="R1564" s="114"/>
      <c r="S1564" s="114"/>
      <c r="T1564" s="114"/>
      <c r="U1564" s="114"/>
      <c r="V1564" s="114"/>
      <c r="W1564" s="114"/>
      <c r="X1564" s="114"/>
      <c r="Y1564" s="114"/>
      <c r="Z1564" s="114"/>
    </row>
    <row r="1565" spans="1:26" ht="15.75" customHeight="1" x14ac:dyDescent="0.25">
      <c r="A1565" s="96" t="s">
        <v>1161</v>
      </c>
      <c r="B1565" s="41" t="s">
        <v>47</v>
      </c>
      <c r="C1565" s="197"/>
      <c r="D1565" s="45">
        <v>199450</v>
      </c>
      <c r="E1565" s="43">
        <f t="shared" si="275"/>
        <v>550</v>
      </c>
      <c r="F1565" s="43">
        <v>200000</v>
      </c>
      <c r="G1565" s="43">
        <v>23000000</v>
      </c>
      <c r="H1565" s="114"/>
      <c r="I1565" s="60"/>
      <c r="J1565" s="60"/>
      <c r="K1565" s="114"/>
      <c r="L1565" s="114"/>
      <c r="M1565" s="60"/>
      <c r="N1565" s="60"/>
      <c r="O1565" s="114"/>
      <c r="P1565" s="114"/>
      <c r="Q1565" s="114"/>
      <c r="R1565" s="114"/>
      <c r="S1565" s="114"/>
      <c r="T1565" s="114"/>
      <c r="U1565" s="114"/>
      <c r="V1565" s="114"/>
      <c r="W1565" s="114"/>
      <c r="X1565" s="114"/>
      <c r="Y1565" s="114"/>
      <c r="Z1565" s="114"/>
    </row>
    <row r="1566" spans="1:26" ht="15.75" customHeight="1" x14ac:dyDescent="0.25">
      <c r="A1566" s="96" t="s">
        <v>1162</v>
      </c>
      <c r="B1566" s="41"/>
      <c r="C1566" s="197"/>
      <c r="D1566" s="45"/>
      <c r="E1566" s="43"/>
      <c r="F1566" s="43"/>
      <c r="G1566" s="43"/>
      <c r="H1566" s="114"/>
      <c r="I1566" s="60"/>
      <c r="J1566" s="60"/>
      <c r="K1566" s="114"/>
      <c r="L1566" s="114"/>
      <c r="M1566" s="60"/>
      <c r="N1566" s="60"/>
      <c r="O1566" s="114"/>
      <c r="P1566" s="114"/>
      <c r="Q1566" s="114"/>
      <c r="R1566" s="114"/>
      <c r="S1566" s="114"/>
      <c r="T1566" s="114"/>
      <c r="U1566" s="114"/>
      <c r="V1566" s="114"/>
      <c r="W1566" s="114"/>
      <c r="X1566" s="114"/>
      <c r="Y1566" s="114"/>
      <c r="Z1566" s="114"/>
    </row>
    <row r="1567" spans="1:26" ht="15.75" customHeight="1" x14ac:dyDescent="0.25">
      <c r="A1567" s="17" t="s">
        <v>1163</v>
      </c>
      <c r="B1567" s="41"/>
      <c r="C1567" s="54">
        <f>SUM(C1564:C1566)</f>
        <v>0</v>
      </c>
      <c r="D1567" s="54">
        <f>SUM(D1564:D1566)</f>
        <v>199450</v>
      </c>
      <c r="E1567" s="54">
        <f t="shared" ref="E1567" si="276">F1567-D1567</f>
        <v>550</v>
      </c>
      <c r="F1567" s="54">
        <f>SUM(F1564:F1566)</f>
        <v>200000</v>
      </c>
      <c r="G1567" s="54">
        <f>SUM(G1564:G1566)</f>
        <v>23000000</v>
      </c>
      <c r="H1567" s="114"/>
      <c r="I1567" s="60"/>
      <c r="J1567" s="60"/>
      <c r="K1567" s="114"/>
      <c r="L1567" s="114"/>
      <c r="M1567" s="60"/>
      <c r="N1567" s="60"/>
      <c r="O1567" s="114"/>
      <c r="P1567" s="114"/>
      <c r="Q1567" s="114"/>
      <c r="R1567" s="114"/>
      <c r="S1567" s="114"/>
      <c r="T1567" s="114"/>
      <c r="U1567" s="114"/>
      <c r="V1567" s="114"/>
      <c r="W1567" s="114"/>
      <c r="X1567" s="114"/>
      <c r="Y1567" s="114"/>
      <c r="Z1567" s="114"/>
    </row>
    <row r="1568" spans="1:26" ht="15.75" customHeight="1" x14ac:dyDescent="0.25">
      <c r="A1568" s="17"/>
      <c r="B1568" s="41"/>
      <c r="C1568" s="43"/>
      <c r="D1568" s="45"/>
      <c r="E1568" s="43"/>
      <c r="F1568" s="43"/>
      <c r="G1568" s="43"/>
      <c r="H1568" s="114"/>
      <c r="I1568" s="60"/>
      <c r="J1568" s="60"/>
      <c r="K1568" s="114"/>
      <c r="L1568" s="114"/>
      <c r="M1568" s="60"/>
      <c r="N1568" s="60"/>
      <c r="O1568" s="114"/>
      <c r="P1568" s="114"/>
      <c r="Q1568" s="114"/>
      <c r="R1568" s="114"/>
      <c r="S1568" s="114"/>
      <c r="T1568" s="114"/>
      <c r="U1568" s="114"/>
      <c r="V1568" s="114"/>
      <c r="W1568" s="114"/>
      <c r="X1568" s="114"/>
      <c r="Y1568" s="114"/>
      <c r="Z1568" s="114"/>
    </row>
    <row r="1569" spans="1:26" ht="15.75" customHeight="1" x14ac:dyDescent="0.25">
      <c r="A1569" s="50" t="s">
        <v>487</v>
      </c>
      <c r="B1569" s="51" t="s">
        <v>488</v>
      </c>
      <c r="C1569" s="54">
        <f>C1561+C1567</f>
        <v>51790232.219999999</v>
      </c>
      <c r="D1569" s="54">
        <f>D1561+D1567</f>
        <v>21213170.5</v>
      </c>
      <c r="E1569" s="54">
        <f>F1569-D1569</f>
        <v>81101974.5</v>
      </c>
      <c r="F1569" s="54">
        <f>F1561+F1567</f>
        <v>102315145</v>
      </c>
      <c r="G1569" s="54">
        <f>G1561+G1567</f>
        <v>107179288</v>
      </c>
      <c r="H1569" s="492">
        <v>107179288</v>
      </c>
      <c r="I1569" s="60">
        <f>+H1569-G1569</f>
        <v>0</v>
      </c>
      <c r="J1569" s="60"/>
      <c r="K1569" s="114"/>
      <c r="L1569" s="114"/>
      <c r="M1569" s="60"/>
      <c r="N1569" s="60"/>
      <c r="O1569" s="114"/>
      <c r="P1569" s="114"/>
      <c r="Q1569" s="114"/>
      <c r="R1569" s="114"/>
      <c r="S1569" s="114"/>
      <c r="T1569" s="114"/>
      <c r="U1569" s="114"/>
      <c r="V1569" s="114"/>
      <c r="W1569" s="114"/>
      <c r="X1569" s="114"/>
      <c r="Y1569" s="114"/>
      <c r="Z1569" s="114"/>
    </row>
    <row r="1570" spans="1:26" ht="15.75" customHeight="1" x14ac:dyDescent="0.25">
      <c r="A1570" s="15" t="s">
        <v>488</v>
      </c>
      <c r="B1570" s="25"/>
      <c r="C1570" s="26"/>
      <c r="D1570" s="26"/>
      <c r="E1570" s="26"/>
      <c r="F1570" s="26"/>
      <c r="G1570" s="26"/>
      <c r="H1570" s="114"/>
      <c r="I1570" s="60"/>
      <c r="J1570" s="60"/>
      <c r="K1570" s="114"/>
      <c r="L1570" s="114"/>
      <c r="M1570" s="60"/>
      <c r="N1570" s="60"/>
      <c r="O1570" s="114"/>
      <c r="P1570" s="114"/>
      <c r="Q1570" s="114"/>
      <c r="R1570" s="114"/>
      <c r="S1570" s="114"/>
      <c r="T1570" s="114"/>
      <c r="U1570" s="114"/>
      <c r="V1570" s="114"/>
      <c r="W1570" s="114"/>
      <c r="X1570" s="114"/>
      <c r="Y1570" s="114"/>
      <c r="Z1570" s="114"/>
    </row>
    <row r="1571" spans="1:26" ht="15.75" customHeight="1" x14ac:dyDescent="0.25">
      <c r="A1571" s="148"/>
      <c r="B1571" s="155"/>
      <c r="C1571" s="148"/>
      <c r="D1571" s="148"/>
      <c r="E1571" s="148"/>
      <c r="F1571" s="150"/>
      <c r="G1571" s="150"/>
      <c r="I1571" s="40"/>
      <c r="J1571" s="40"/>
      <c r="M1571" s="40"/>
      <c r="N1571" s="40"/>
    </row>
    <row r="1572" spans="1:26" ht="15.75" customHeight="1" x14ac:dyDescent="0.25">
      <c r="A1572" s="9"/>
      <c r="B1572" s="104"/>
      <c r="C1572" s="105"/>
      <c r="D1572" s="105"/>
      <c r="E1572" s="105"/>
      <c r="F1572" s="10"/>
      <c r="G1572" s="180"/>
      <c r="I1572" s="40"/>
      <c r="J1572" s="40"/>
      <c r="M1572" s="40"/>
      <c r="N1572" s="40"/>
    </row>
    <row r="1573" spans="1:26" ht="15.75" customHeight="1" x14ac:dyDescent="0.25">
      <c r="A1573" s="108" t="s">
        <v>1164</v>
      </c>
      <c r="B1573" s="25"/>
      <c r="C1573" s="26"/>
      <c r="D1573" s="26"/>
      <c r="E1573" s="26"/>
      <c r="F1573" s="14"/>
      <c r="G1573" s="181"/>
      <c r="I1573" s="40"/>
      <c r="J1573" s="40"/>
      <c r="M1573" s="40"/>
      <c r="N1573" s="40"/>
    </row>
    <row r="1574" spans="1:26" ht="15.75" customHeight="1" x14ac:dyDescent="0.25">
      <c r="A1574" s="44"/>
      <c r="B1574" s="25"/>
      <c r="C1574" s="26"/>
      <c r="D1574" s="26"/>
      <c r="E1574" s="26"/>
      <c r="F1574" s="14"/>
      <c r="G1574" s="181"/>
      <c r="I1574" s="40"/>
      <c r="J1574" s="40"/>
      <c r="M1574" s="40"/>
      <c r="N1574" s="40"/>
    </row>
    <row r="1575" spans="1:26" ht="15.75" customHeight="1" x14ac:dyDescent="0.25">
      <c r="A1575" s="865" t="s">
        <v>352</v>
      </c>
      <c r="B1575" s="866"/>
      <c r="C1575" s="866"/>
      <c r="D1575" s="866"/>
      <c r="E1575" s="866"/>
      <c r="F1575" s="866"/>
      <c r="G1575" s="867"/>
      <c r="I1575" s="40"/>
      <c r="J1575" s="40"/>
      <c r="M1575" s="40"/>
      <c r="N1575" s="40"/>
    </row>
    <row r="1576" spans="1:26" ht="15.75" customHeight="1" x14ac:dyDescent="0.25">
      <c r="A1576" s="868" t="s">
        <v>353</v>
      </c>
      <c r="B1576" s="857" t="s">
        <v>354</v>
      </c>
      <c r="C1576" s="870" t="s">
        <v>355</v>
      </c>
      <c r="D1576" s="872" t="s">
        <v>356</v>
      </c>
      <c r="E1576" s="873"/>
      <c r="F1576" s="874"/>
      <c r="G1576" s="857" t="s">
        <v>357</v>
      </c>
      <c r="I1576" s="40"/>
      <c r="J1576" s="40"/>
      <c r="M1576" s="40"/>
      <c r="N1576" s="40"/>
    </row>
    <row r="1577" spans="1:26" ht="15.75" customHeight="1" x14ac:dyDescent="0.25">
      <c r="A1577" s="858"/>
      <c r="B1577" s="858"/>
      <c r="C1577" s="871"/>
      <c r="D1577" s="28" t="s">
        <v>358</v>
      </c>
      <c r="E1577" s="29" t="s">
        <v>359</v>
      </c>
      <c r="F1577" s="875" t="s">
        <v>360</v>
      </c>
      <c r="G1577" s="858"/>
      <c r="I1577" s="40"/>
      <c r="J1577" s="40"/>
      <c r="M1577" s="40"/>
      <c r="N1577" s="40"/>
    </row>
    <row r="1578" spans="1:26" ht="15.75" customHeight="1" x14ac:dyDescent="0.25">
      <c r="A1578" s="858"/>
      <c r="B1578" s="858"/>
      <c r="C1578" s="30" t="s">
        <v>361</v>
      </c>
      <c r="D1578" s="31" t="s">
        <v>361</v>
      </c>
      <c r="E1578" s="32" t="s">
        <v>362</v>
      </c>
      <c r="F1578" s="860"/>
      <c r="G1578" s="442" t="s">
        <v>2717</v>
      </c>
      <c r="I1578" s="40"/>
      <c r="J1578" s="40"/>
      <c r="M1578" s="40"/>
      <c r="N1578" s="40"/>
    </row>
    <row r="1579" spans="1:26" ht="15.75" customHeight="1" x14ac:dyDescent="0.25">
      <c r="A1579" s="869"/>
      <c r="B1579" s="869"/>
      <c r="C1579" s="33">
        <v>2024</v>
      </c>
      <c r="D1579" s="34">
        <v>2025</v>
      </c>
      <c r="E1579" s="34">
        <v>2025</v>
      </c>
      <c r="F1579" s="34">
        <v>2025</v>
      </c>
      <c r="G1579" s="36" t="s">
        <v>2668</v>
      </c>
      <c r="I1579" s="40"/>
      <c r="J1579" s="40"/>
      <c r="M1579" s="40"/>
      <c r="N1579" s="40"/>
    </row>
    <row r="1580" spans="1:26" ht="15.75" customHeight="1" x14ac:dyDescent="0.25">
      <c r="A1580" s="9" t="s">
        <v>364</v>
      </c>
      <c r="B1580" s="38"/>
      <c r="C1580" s="42"/>
      <c r="D1580" s="42"/>
      <c r="E1580" s="42"/>
      <c r="F1580" s="42"/>
      <c r="G1580" s="37"/>
      <c r="I1580" s="40"/>
      <c r="J1580" s="40"/>
      <c r="M1580" s="40"/>
      <c r="N1580" s="40"/>
    </row>
    <row r="1581" spans="1:26" ht="15.75" customHeight="1" x14ac:dyDescent="0.25">
      <c r="A1581" s="42" t="s">
        <v>491</v>
      </c>
      <c r="B1581" s="49"/>
      <c r="C1581" s="43"/>
      <c r="D1581" s="43"/>
      <c r="E1581" s="43"/>
      <c r="F1581" s="43"/>
      <c r="G1581" s="43"/>
      <c r="I1581" s="40"/>
      <c r="J1581" s="40"/>
      <c r="M1581" s="40"/>
      <c r="N1581" s="40"/>
    </row>
    <row r="1582" spans="1:26" ht="15.75" customHeight="1" x14ac:dyDescent="0.25">
      <c r="A1582" s="42" t="s">
        <v>493</v>
      </c>
      <c r="B1582" s="41"/>
      <c r="C1582" s="43"/>
      <c r="D1582" s="43"/>
      <c r="E1582" s="43"/>
      <c r="F1582" s="45"/>
      <c r="G1582" s="45"/>
      <c r="I1582" s="40"/>
      <c r="J1582" s="40"/>
      <c r="M1582" s="40"/>
      <c r="N1582" s="40"/>
    </row>
    <row r="1583" spans="1:26" ht="15.75" customHeight="1" x14ac:dyDescent="0.25">
      <c r="A1583" s="44" t="s">
        <v>396</v>
      </c>
      <c r="B1583" s="41" t="s">
        <v>191</v>
      </c>
      <c r="C1583" s="43">
        <v>0</v>
      </c>
      <c r="D1583" s="43">
        <v>934789.8</v>
      </c>
      <c r="E1583" s="43">
        <f>F1583-D1583</f>
        <v>1039885.2</v>
      </c>
      <c r="F1583" s="45">
        <v>1974675</v>
      </c>
      <c r="G1583" s="43">
        <v>252160</v>
      </c>
      <c r="I1583" s="40"/>
      <c r="J1583" s="40"/>
      <c r="M1583" s="40"/>
      <c r="N1583" s="40"/>
    </row>
    <row r="1584" spans="1:26" ht="15.75" customHeight="1" x14ac:dyDescent="0.25">
      <c r="A1584" s="44" t="s">
        <v>1165</v>
      </c>
      <c r="B1584" s="41"/>
      <c r="C1584" s="43"/>
      <c r="D1584" s="43"/>
      <c r="E1584" s="43"/>
      <c r="F1584" s="45"/>
      <c r="G1584" s="45"/>
      <c r="I1584" s="40">
        <v>44600</v>
      </c>
      <c r="J1584" s="40"/>
      <c r="M1584" s="40"/>
      <c r="N1584" s="40"/>
    </row>
    <row r="1585" spans="1:14" ht="31.5" x14ac:dyDescent="0.25">
      <c r="A1585" s="118" t="s">
        <v>1166</v>
      </c>
      <c r="B1585" s="41"/>
      <c r="C1585" s="43"/>
      <c r="D1585" s="43"/>
      <c r="E1585" s="43"/>
      <c r="F1585" s="45"/>
      <c r="G1585" s="45"/>
      <c r="I1585" s="40">
        <v>116982</v>
      </c>
      <c r="J1585" s="40"/>
      <c r="M1585" s="40"/>
      <c r="N1585" s="40"/>
    </row>
    <row r="1586" spans="1:14" ht="31.5" x14ac:dyDescent="0.25">
      <c r="A1586" s="118" t="s">
        <v>1167</v>
      </c>
      <c r="B1586" s="41"/>
      <c r="C1586" s="43"/>
      <c r="D1586" s="43"/>
      <c r="E1586" s="43"/>
      <c r="F1586" s="45"/>
      <c r="G1586" s="45"/>
      <c r="I1586" s="40">
        <v>90578</v>
      </c>
      <c r="J1586" s="40">
        <f>SUM(I1584:I1586)</f>
        <v>252160</v>
      </c>
      <c r="M1586" s="40"/>
      <c r="N1586" s="40"/>
    </row>
    <row r="1587" spans="1:14" ht="15.75" customHeight="1" x14ac:dyDescent="0.25">
      <c r="A1587" s="17" t="s">
        <v>499</v>
      </c>
      <c r="B1587" s="41"/>
      <c r="C1587" s="41"/>
      <c r="D1587" s="41"/>
      <c r="E1587" s="43"/>
      <c r="F1587" s="49"/>
      <c r="G1587" s="49"/>
      <c r="I1587" s="40"/>
      <c r="J1587" s="40"/>
      <c r="M1587" s="40"/>
      <c r="N1587" s="40"/>
    </row>
    <row r="1588" spans="1:14" ht="15.75" customHeight="1" x14ac:dyDescent="0.25">
      <c r="A1588" s="44" t="s">
        <v>398</v>
      </c>
      <c r="B1588" s="41" t="s">
        <v>195</v>
      </c>
      <c r="C1588" s="43">
        <v>0</v>
      </c>
      <c r="D1588" s="43">
        <v>124895.78</v>
      </c>
      <c r="E1588" s="43">
        <f t="shared" ref="E1588" si="277">F1588-D1588</f>
        <v>25104.22</v>
      </c>
      <c r="F1588" s="45">
        <v>150000</v>
      </c>
      <c r="G1588" s="43">
        <v>195022</v>
      </c>
      <c r="I1588" s="40"/>
      <c r="J1588" s="40"/>
      <c r="M1588" s="40"/>
      <c r="N1588" s="40"/>
    </row>
    <row r="1589" spans="1:14" ht="15.75" customHeight="1" x14ac:dyDescent="0.25">
      <c r="A1589" s="460" t="s">
        <v>402</v>
      </c>
      <c r="B1589" s="461" t="s">
        <v>225</v>
      </c>
      <c r="C1589" s="443">
        <v>0</v>
      </c>
      <c r="D1589" s="443">
        <v>1057104</v>
      </c>
      <c r="E1589" s="443">
        <f>F1589-D1589</f>
        <v>1058011</v>
      </c>
      <c r="F1589" s="443">
        <v>2115115</v>
      </c>
      <c r="G1589" s="462">
        <v>1194061</v>
      </c>
      <c r="I1589" s="40"/>
      <c r="J1589" s="40"/>
      <c r="M1589" s="40"/>
      <c r="N1589" s="40"/>
    </row>
    <row r="1590" spans="1:14" ht="15.75" customHeight="1" x14ac:dyDescent="0.25">
      <c r="A1590" s="17" t="s">
        <v>617</v>
      </c>
      <c r="B1590" s="41"/>
      <c r="C1590" s="43"/>
      <c r="D1590" s="43"/>
      <c r="E1590" s="43"/>
      <c r="F1590" s="43"/>
      <c r="G1590" s="43"/>
      <c r="I1590" s="40"/>
      <c r="J1590" s="40"/>
      <c r="M1590" s="40"/>
      <c r="N1590" s="40"/>
    </row>
    <row r="1591" spans="1:14" ht="15.75" customHeight="1" x14ac:dyDescent="0.25">
      <c r="A1591" s="44" t="s">
        <v>618</v>
      </c>
      <c r="B1591" s="41" t="s">
        <v>265</v>
      </c>
      <c r="C1591" s="43">
        <v>0</v>
      </c>
      <c r="D1591" s="43">
        <v>0</v>
      </c>
      <c r="E1591" s="43">
        <v>0</v>
      </c>
      <c r="F1591" s="43">
        <v>0</v>
      </c>
      <c r="G1591" s="43">
        <v>3400000</v>
      </c>
      <c r="I1591" s="40"/>
      <c r="J1591" s="40"/>
      <c r="M1591" s="40"/>
      <c r="N1591" s="40"/>
    </row>
    <row r="1592" spans="1:14" ht="31.5" x14ac:dyDescent="0.25">
      <c r="A1592" s="118" t="s">
        <v>1168</v>
      </c>
      <c r="B1592" s="41"/>
      <c r="C1592" s="43"/>
      <c r="D1592" s="43"/>
      <c r="E1592" s="43"/>
      <c r="F1592" s="43"/>
      <c r="G1592" s="43"/>
      <c r="I1592" s="40">
        <v>1200000</v>
      </c>
      <c r="J1592" s="40"/>
      <c r="M1592" s="40"/>
      <c r="N1592" s="40"/>
    </row>
    <row r="1593" spans="1:14" ht="47.25" x14ac:dyDescent="0.25">
      <c r="A1593" s="118" t="s">
        <v>1169</v>
      </c>
      <c r="B1593" s="41"/>
      <c r="C1593" s="43"/>
      <c r="D1593" s="43"/>
      <c r="E1593" s="43"/>
      <c r="F1593" s="43"/>
      <c r="G1593" s="43"/>
      <c r="I1593" s="40">
        <v>1000000</v>
      </c>
      <c r="J1593" s="40"/>
      <c r="M1593" s="40"/>
      <c r="N1593" s="40"/>
    </row>
    <row r="1594" spans="1:14" ht="31.5" x14ac:dyDescent="0.25">
      <c r="A1594" s="118" t="s">
        <v>1170</v>
      </c>
      <c r="B1594" s="41"/>
      <c r="C1594" s="43"/>
      <c r="D1594" s="43"/>
      <c r="E1594" s="43"/>
      <c r="F1594" s="43"/>
      <c r="G1594" s="43"/>
      <c r="I1594" s="40">
        <v>1200000</v>
      </c>
      <c r="J1594" s="40">
        <f>SUM(I1592:I1594)</f>
        <v>3400000</v>
      </c>
      <c r="M1594" s="40"/>
      <c r="N1594" s="40"/>
    </row>
    <row r="1595" spans="1:14" ht="15.75" customHeight="1" x14ac:dyDescent="0.25">
      <c r="A1595" s="17" t="s">
        <v>506</v>
      </c>
      <c r="B1595" s="41"/>
      <c r="C1595" s="43"/>
      <c r="D1595" s="43"/>
      <c r="E1595" s="43"/>
      <c r="F1595" s="43"/>
      <c r="G1595" s="43"/>
      <c r="I1595" s="40"/>
      <c r="J1595" s="40"/>
      <c r="M1595" s="40"/>
      <c r="N1595" s="40"/>
    </row>
    <row r="1596" spans="1:14" ht="15.75" customHeight="1" x14ac:dyDescent="0.25">
      <c r="A1596" s="44" t="s">
        <v>725</v>
      </c>
      <c r="B1596" s="41" t="s">
        <v>283</v>
      </c>
      <c r="C1596" s="43">
        <v>0</v>
      </c>
      <c r="D1596" s="43">
        <v>0</v>
      </c>
      <c r="E1596" s="43">
        <v>0</v>
      </c>
      <c r="F1596" s="43">
        <v>0</v>
      </c>
      <c r="G1596" s="43">
        <v>144651</v>
      </c>
      <c r="I1596" s="40"/>
      <c r="J1596" s="40"/>
      <c r="M1596" s="40"/>
      <c r="N1596" s="40"/>
    </row>
    <row r="1597" spans="1:14" ht="31.5" x14ac:dyDescent="0.25">
      <c r="A1597" s="118" t="s">
        <v>1171</v>
      </c>
      <c r="B1597" s="41"/>
      <c r="C1597" s="43"/>
      <c r="D1597" s="43"/>
      <c r="E1597" s="43"/>
      <c r="F1597" s="43"/>
      <c r="G1597" s="43"/>
      <c r="I1597" s="40">
        <v>65291</v>
      </c>
      <c r="J1597" s="40"/>
      <c r="M1597" s="40"/>
      <c r="N1597" s="40"/>
    </row>
    <row r="1598" spans="1:14" ht="15.75" customHeight="1" x14ac:dyDescent="0.25">
      <c r="A1598" s="44" t="s">
        <v>1172</v>
      </c>
      <c r="B1598" s="41"/>
      <c r="C1598" s="43"/>
      <c r="D1598" s="43"/>
      <c r="E1598" s="43"/>
      <c r="F1598" s="43"/>
      <c r="G1598" s="43"/>
      <c r="I1598" s="40">
        <v>79360</v>
      </c>
      <c r="J1598" s="40">
        <f>SUM(I1597:I1598)</f>
        <v>144651</v>
      </c>
      <c r="M1598" s="40"/>
      <c r="N1598" s="40"/>
    </row>
    <row r="1599" spans="1:14" ht="15.75" customHeight="1" x14ac:dyDescent="0.25">
      <c r="A1599" s="42" t="s">
        <v>511</v>
      </c>
      <c r="B1599" s="41"/>
      <c r="C1599" s="42"/>
      <c r="D1599" s="42"/>
      <c r="E1599" s="43"/>
      <c r="F1599" s="43"/>
      <c r="G1599" s="43"/>
      <c r="I1599" s="40"/>
      <c r="J1599" s="40"/>
      <c r="M1599" s="40"/>
      <c r="N1599" s="40"/>
    </row>
    <row r="1600" spans="1:14" ht="15.75" customHeight="1" x14ac:dyDescent="0.25">
      <c r="A1600" s="48" t="s">
        <v>424</v>
      </c>
      <c r="B1600" s="20" t="s">
        <v>335</v>
      </c>
      <c r="C1600" s="43">
        <v>0</v>
      </c>
      <c r="D1600" s="43">
        <f>2615454+1979821</f>
        <v>4595275</v>
      </c>
      <c r="E1600" s="43">
        <f>F1600-D1600</f>
        <v>5827505</v>
      </c>
      <c r="F1600" s="43">
        <v>10422780</v>
      </c>
      <c r="G1600" s="43">
        <v>8665746</v>
      </c>
      <c r="I1600" s="40"/>
      <c r="J1600" s="40"/>
      <c r="M1600" s="40"/>
      <c r="N1600" s="40">
        <f>+SUM(N1601:N1614)+SUM(M1616:M1618)</f>
        <v>8665746</v>
      </c>
    </row>
    <row r="1601" spans="1:14" ht="47.25" x14ac:dyDescent="0.25">
      <c r="A1601" s="68" t="s">
        <v>1173</v>
      </c>
      <c r="B1601" s="20"/>
      <c r="C1601" s="43"/>
      <c r="D1601" s="43"/>
      <c r="E1601" s="43"/>
      <c r="F1601" s="43"/>
      <c r="G1601" s="43"/>
      <c r="I1601" s="40"/>
      <c r="J1601" s="40"/>
      <c r="N1601" s="40">
        <v>66600</v>
      </c>
    </row>
    <row r="1602" spans="1:14" ht="47.25" x14ac:dyDescent="0.25">
      <c r="A1602" s="68" t="s">
        <v>1174</v>
      </c>
      <c r="B1602" s="20"/>
      <c r="C1602" s="43"/>
      <c r="D1602" s="43"/>
      <c r="E1602" s="43"/>
      <c r="F1602" s="43"/>
      <c r="G1602" s="43"/>
      <c r="I1602" s="40"/>
      <c r="J1602" s="40"/>
      <c r="N1602" s="40">
        <v>37000</v>
      </c>
    </row>
    <row r="1603" spans="1:14" ht="47.25" x14ac:dyDescent="0.25">
      <c r="A1603" s="68" t="s">
        <v>1175</v>
      </c>
      <c r="B1603" s="20"/>
      <c r="C1603" s="43"/>
      <c r="D1603" s="43"/>
      <c r="E1603" s="43"/>
      <c r="F1603" s="43"/>
      <c r="G1603" s="43"/>
      <c r="I1603" s="40"/>
      <c r="J1603" s="40"/>
      <c r="N1603" s="40">
        <v>77700</v>
      </c>
    </row>
    <row r="1604" spans="1:14" ht="47.25" x14ac:dyDescent="0.25">
      <c r="A1604" s="68" t="s">
        <v>1176</v>
      </c>
      <c r="B1604" s="20"/>
      <c r="C1604" s="43"/>
      <c r="D1604" s="43"/>
      <c r="E1604" s="43"/>
      <c r="F1604" s="43"/>
      <c r="G1604" s="43"/>
      <c r="I1604" s="40"/>
      <c r="J1604" s="40"/>
      <c r="N1604" s="40">
        <v>38850</v>
      </c>
    </row>
    <row r="1605" spans="1:14" ht="63" x14ac:dyDescent="0.25">
      <c r="A1605" s="616" t="s">
        <v>1177</v>
      </c>
      <c r="B1605" s="603"/>
      <c r="C1605" s="457"/>
      <c r="D1605" s="457"/>
      <c r="E1605" s="457"/>
      <c r="F1605" s="457"/>
      <c r="G1605" s="457"/>
      <c r="I1605" s="40"/>
      <c r="J1605" s="40"/>
      <c r="N1605" s="40">
        <v>55500</v>
      </c>
    </row>
    <row r="1606" spans="1:14" ht="47.25" x14ac:dyDescent="0.25">
      <c r="A1606" s="617" t="s">
        <v>1178</v>
      </c>
      <c r="B1606" s="539"/>
      <c r="C1606" s="448"/>
      <c r="D1606" s="448"/>
      <c r="E1606" s="448"/>
      <c r="F1606" s="448"/>
      <c r="G1606" s="448"/>
      <c r="I1606" s="40"/>
      <c r="J1606" s="40"/>
      <c r="N1606" s="40">
        <v>99000</v>
      </c>
    </row>
    <row r="1607" spans="1:14" ht="47.25" x14ac:dyDescent="0.25">
      <c r="A1607" s="68" t="s">
        <v>1179</v>
      </c>
      <c r="B1607" s="20"/>
      <c r="C1607" s="43"/>
      <c r="D1607" s="43"/>
      <c r="E1607" s="43"/>
      <c r="F1607" s="43"/>
      <c r="G1607" s="43"/>
      <c r="I1607" s="40"/>
      <c r="J1607" s="40"/>
      <c r="N1607" s="40">
        <v>99000</v>
      </c>
    </row>
    <row r="1608" spans="1:14" ht="31.5" x14ac:dyDescent="0.25">
      <c r="A1608" s="68" t="s">
        <v>2762</v>
      </c>
      <c r="B1608" s="20"/>
      <c r="C1608" s="43"/>
      <c r="D1608" s="43"/>
      <c r="E1608" s="43"/>
      <c r="F1608" s="43"/>
      <c r="G1608" s="43"/>
      <c r="I1608" s="40"/>
      <c r="J1608" s="40"/>
      <c r="N1608" s="40">
        <v>298440</v>
      </c>
    </row>
    <row r="1609" spans="1:14" ht="31.5" x14ac:dyDescent="0.25">
      <c r="A1609" s="68" t="s">
        <v>1180</v>
      </c>
      <c r="B1609" s="20"/>
      <c r="C1609" s="43"/>
      <c r="D1609" s="43"/>
      <c r="E1609" s="43"/>
      <c r="F1609" s="43"/>
      <c r="G1609" s="43"/>
      <c r="I1609" s="40"/>
      <c r="J1609" s="40"/>
      <c r="N1609" s="40">
        <v>32000</v>
      </c>
    </row>
    <row r="1610" spans="1:14" ht="31.5" x14ac:dyDescent="0.25">
      <c r="A1610" s="68" t="s">
        <v>1181</v>
      </c>
      <c r="B1610" s="20"/>
      <c r="C1610" s="43"/>
      <c r="D1610" s="43"/>
      <c r="E1610" s="43"/>
      <c r="F1610" s="43"/>
      <c r="G1610" s="43"/>
      <c r="I1610" s="40"/>
      <c r="J1610" s="40"/>
      <c r="N1610" s="40">
        <v>118400</v>
      </c>
    </row>
    <row r="1611" spans="1:14" ht="31.5" x14ac:dyDescent="0.25">
      <c r="A1611" s="68" t="s">
        <v>1182</v>
      </c>
      <c r="B1611" s="20"/>
      <c r="C1611" s="43"/>
      <c r="D1611" s="43"/>
      <c r="E1611" s="43"/>
      <c r="F1611" s="43"/>
      <c r="G1611" s="43"/>
      <c r="I1611" s="40"/>
      <c r="J1611" s="40"/>
      <c r="N1611" s="40">
        <v>118400</v>
      </c>
    </row>
    <row r="1612" spans="1:14" ht="31.5" x14ac:dyDescent="0.25">
      <c r="A1612" s="68" t="s">
        <v>1183</v>
      </c>
      <c r="B1612" s="20"/>
      <c r="C1612" s="43"/>
      <c r="D1612" s="43"/>
      <c r="E1612" s="43"/>
      <c r="F1612" s="43"/>
      <c r="G1612" s="43"/>
      <c r="I1612" s="40"/>
      <c r="J1612" s="40"/>
      <c r="N1612" s="40">
        <v>74000</v>
      </c>
    </row>
    <row r="1613" spans="1:14" ht="47.25" x14ac:dyDescent="0.25">
      <c r="A1613" s="68" t="s">
        <v>1184</v>
      </c>
      <c r="B1613" s="20"/>
      <c r="C1613" s="43"/>
      <c r="D1613" s="43"/>
      <c r="E1613" s="43"/>
      <c r="F1613" s="43"/>
      <c r="G1613" s="43"/>
      <c r="I1613" s="40"/>
      <c r="J1613" s="40"/>
      <c r="N1613" s="40">
        <v>88800</v>
      </c>
    </row>
    <row r="1614" spans="1:14" ht="31.5" x14ac:dyDescent="0.25">
      <c r="A1614" s="479" t="s">
        <v>2761</v>
      </c>
      <c r="B1614" s="454"/>
      <c r="C1614" s="443"/>
      <c r="D1614" s="443"/>
      <c r="E1614" s="443"/>
      <c r="F1614" s="443"/>
      <c r="G1614" s="462"/>
      <c r="I1614" s="40"/>
      <c r="J1614" s="40"/>
      <c r="N1614" s="40">
        <v>79200</v>
      </c>
    </row>
    <row r="1615" spans="1:14" ht="15.75" x14ac:dyDescent="0.25">
      <c r="A1615" s="460" t="s">
        <v>864</v>
      </c>
      <c r="B1615" s="454"/>
      <c r="C1615" s="443"/>
      <c r="D1615" s="443"/>
      <c r="E1615" s="443"/>
      <c r="F1615" s="443"/>
      <c r="G1615" s="462"/>
      <c r="I1615" s="210" t="s">
        <v>877</v>
      </c>
      <c r="J1615" s="211" t="s">
        <v>878</v>
      </c>
      <c r="K1615" s="210" t="s">
        <v>879</v>
      </c>
      <c r="L1615" s="8" t="s">
        <v>880</v>
      </c>
      <c r="M1615" s="210" t="s">
        <v>881</v>
      </c>
      <c r="N1615" s="40"/>
    </row>
    <row r="1616" spans="1:14" ht="15.75" x14ac:dyDescent="0.25">
      <c r="A1616" s="118" t="s">
        <v>2758</v>
      </c>
      <c r="B1616" s="20"/>
      <c r="C1616" s="43"/>
      <c r="D1616" s="43"/>
      <c r="E1616" s="43"/>
      <c r="F1616" s="43"/>
      <c r="G1616" s="43"/>
      <c r="I1616" s="60">
        <v>720</v>
      </c>
      <c r="J1616" s="211">
        <v>6</v>
      </c>
      <c r="K1616" s="8">
        <v>26</v>
      </c>
      <c r="L1616" s="8">
        <v>12</v>
      </c>
      <c r="M1616" s="60">
        <f t="shared" ref="M1616:M1618" si="278">I1616*J1616*K1616*L1616</f>
        <v>1347840</v>
      </c>
      <c r="N1616" s="40"/>
    </row>
    <row r="1617" spans="1:14" ht="15.75" x14ac:dyDescent="0.25">
      <c r="A1617" s="118" t="s">
        <v>2759</v>
      </c>
      <c r="B1617" s="20"/>
      <c r="C1617" s="43"/>
      <c r="D1617" s="43"/>
      <c r="E1617" s="43"/>
      <c r="F1617" s="43"/>
      <c r="G1617" s="43"/>
      <c r="I1617" s="60">
        <v>639</v>
      </c>
      <c r="J1617" s="211">
        <v>29</v>
      </c>
      <c r="K1617" s="8">
        <v>26</v>
      </c>
      <c r="L1617" s="8">
        <v>12</v>
      </c>
      <c r="M1617" s="60">
        <f t="shared" si="278"/>
        <v>5781672</v>
      </c>
      <c r="N1617" s="40"/>
    </row>
    <row r="1618" spans="1:14" ht="15.75" x14ac:dyDescent="0.25">
      <c r="A1618" s="118" t="s">
        <v>2760</v>
      </c>
      <c r="B1618" s="20"/>
      <c r="C1618" s="43"/>
      <c r="D1618" s="43"/>
      <c r="E1618" s="43"/>
      <c r="F1618" s="43"/>
      <c r="G1618" s="43"/>
      <c r="I1618" s="60">
        <v>812</v>
      </c>
      <c r="J1618" s="211">
        <v>1</v>
      </c>
      <c r="K1618" s="8">
        <v>26</v>
      </c>
      <c r="L1618" s="8">
        <v>12</v>
      </c>
      <c r="M1618" s="60">
        <f t="shared" si="278"/>
        <v>253344</v>
      </c>
      <c r="N1618" s="40"/>
    </row>
    <row r="1619" spans="1:14" ht="15.75" customHeight="1" x14ac:dyDescent="0.25">
      <c r="A1619" s="42" t="s">
        <v>466</v>
      </c>
      <c r="B1619" s="20"/>
      <c r="C1619" s="54">
        <f>SUM(C1582:C1600)</f>
        <v>0</v>
      </c>
      <c r="D1619" s="54">
        <f>SUM(D1582:D1600)</f>
        <v>6712064.5800000001</v>
      </c>
      <c r="E1619" s="54">
        <f>F1619-D1619</f>
        <v>7950505.4199999999</v>
      </c>
      <c r="F1619" s="54">
        <f>SUM(F1582:F1600)</f>
        <v>14662570</v>
      </c>
      <c r="G1619" s="54">
        <f>SUM(G1583:G1618)</f>
        <v>13851640</v>
      </c>
      <c r="I1619" s="40"/>
      <c r="J1619" s="40"/>
      <c r="M1619" s="40"/>
      <c r="N1619" s="40"/>
    </row>
    <row r="1620" spans="1:14" ht="15.75" customHeight="1" x14ac:dyDescent="0.25">
      <c r="A1620" s="17"/>
      <c r="B1620" s="41"/>
      <c r="C1620" s="39"/>
      <c r="D1620" s="163"/>
      <c r="E1620" s="43"/>
      <c r="F1620" s="81"/>
      <c r="G1620" s="55"/>
      <c r="I1620" s="40"/>
      <c r="J1620" s="40"/>
      <c r="M1620" s="40"/>
      <c r="N1620" s="40"/>
    </row>
    <row r="1621" spans="1:14" ht="15.75" customHeight="1" x14ac:dyDescent="0.25">
      <c r="A1621" s="17" t="s">
        <v>467</v>
      </c>
      <c r="B1621" s="20"/>
      <c r="C1621" s="43">
        <f t="shared" ref="C1621:D1621" si="279">C1619</f>
        <v>0</v>
      </c>
      <c r="D1621" s="45">
        <f t="shared" si="279"/>
        <v>6712064.5800000001</v>
      </c>
      <c r="E1621" s="43">
        <f>F1621-D1621</f>
        <v>7950505.4199999999</v>
      </c>
      <c r="F1621" s="56">
        <f t="shared" ref="F1621:G1621" si="280">F1619</f>
        <v>14662570</v>
      </c>
      <c r="G1621" s="43">
        <f t="shared" si="280"/>
        <v>13851640</v>
      </c>
      <c r="I1621" s="40"/>
      <c r="J1621" s="40"/>
      <c r="M1621" s="40"/>
      <c r="N1621" s="40"/>
    </row>
    <row r="1622" spans="1:14" ht="15.75" customHeight="1" x14ac:dyDescent="0.25">
      <c r="A1622" s="17"/>
      <c r="B1622" s="41"/>
      <c r="C1622" s="43"/>
      <c r="D1622" s="45"/>
      <c r="E1622" s="43"/>
      <c r="F1622" s="43"/>
      <c r="G1622" s="43"/>
      <c r="I1622" s="40"/>
      <c r="J1622" s="40"/>
      <c r="M1622" s="40"/>
      <c r="N1622" s="40"/>
    </row>
    <row r="1623" spans="1:14" ht="15.75" customHeight="1" x14ac:dyDescent="0.25">
      <c r="A1623" s="17" t="s">
        <v>529</v>
      </c>
      <c r="B1623" s="41"/>
      <c r="C1623" s="43"/>
      <c r="D1623" s="45"/>
      <c r="E1623" s="43"/>
      <c r="F1623" s="43"/>
      <c r="G1623" s="43"/>
      <c r="I1623" s="40"/>
      <c r="J1623" s="40"/>
      <c r="M1623" s="40"/>
      <c r="N1623" s="40"/>
    </row>
    <row r="1624" spans="1:14" ht="15.75" customHeight="1" x14ac:dyDescent="0.25">
      <c r="A1624" s="17" t="s">
        <v>1186</v>
      </c>
      <c r="B1624" s="41"/>
      <c r="C1624" s="43"/>
      <c r="D1624" s="45"/>
      <c r="E1624" s="43"/>
      <c r="F1624" s="201"/>
      <c r="G1624" s="43"/>
      <c r="I1624" s="40"/>
      <c r="J1624" s="40"/>
      <c r="M1624" s="40"/>
      <c r="N1624" s="40"/>
    </row>
    <row r="1625" spans="1:14" ht="15.75" customHeight="1" x14ac:dyDescent="0.25">
      <c r="A1625" s="96" t="s">
        <v>1187</v>
      </c>
      <c r="B1625" s="41" t="s">
        <v>17</v>
      </c>
      <c r="C1625" s="43">
        <v>0</v>
      </c>
      <c r="D1625" s="45">
        <v>295913.7</v>
      </c>
      <c r="E1625" s="43">
        <f t="shared" ref="E1625" si="281">F1625-D1625</f>
        <v>4086.2999999999884</v>
      </c>
      <c r="F1625" s="43">
        <v>300000</v>
      </c>
      <c r="G1625" s="43">
        <v>1160000</v>
      </c>
      <c r="I1625" s="40"/>
      <c r="J1625" s="40"/>
      <c r="M1625" s="40"/>
      <c r="N1625" s="40"/>
    </row>
    <row r="1626" spans="1:14" ht="15.75" customHeight="1" x14ac:dyDescent="0.25">
      <c r="A1626" s="96" t="s">
        <v>1188</v>
      </c>
      <c r="B1626" s="41"/>
      <c r="C1626" s="43"/>
      <c r="D1626" s="45"/>
      <c r="E1626" s="43"/>
      <c r="F1626" s="26"/>
      <c r="G1626" s="43"/>
      <c r="I1626" s="40">
        <v>360000</v>
      </c>
      <c r="J1626" s="40"/>
      <c r="M1626" s="40"/>
      <c r="N1626" s="40"/>
    </row>
    <row r="1627" spans="1:14" ht="15.75" customHeight="1" x14ac:dyDescent="0.25">
      <c r="A1627" s="96" t="s">
        <v>1189</v>
      </c>
      <c r="B1627" s="41"/>
      <c r="C1627" s="43"/>
      <c r="D1627" s="45"/>
      <c r="E1627" s="43"/>
      <c r="F1627" s="26"/>
      <c r="G1627" s="43"/>
      <c r="I1627" s="40">
        <v>120000</v>
      </c>
      <c r="J1627" s="40"/>
      <c r="M1627" s="40"/>
      <c r="N1627" s="40"/>
    </row>
    <row r="1628" spans="1:14" ht="31.5" x14ac:dyDescent="0.25">
      <c r="A1628" s="295" t="s">
        <v>1190</v>
      </c>
      <c r="B1628" s="41"/>
      <c r="C1628" s="43"/>
      <c r="D1628" s="45"/>
      <c r="E1628" s="43"/>
      <c r="F1628" s="26"/>
      <c r="G1628" s="43"/>
      <c r="I1628" s="40">
        <v>680000</v>
      </c>
      <c r="J1628" s="40">
        <f>SUM(I1626:I1628)</f>
        <v>1160000</v>
      </c>
      <c r="M1628" s="40"/>
      <c r="N1628" s="40"/>
    </row>
    <row r="1629" spans="1:14" ht="15.75" customHeight="1" x14ac:dyDescent="0.25">
      <c r="A1629" s="17" t="s">
        <v>1160</v>
      </c>
      <c r="B1629" s="41"/>
      <c r="C1629" s="197"/>
      <c r="D1629" s="45"/>
      <c r="E1629" s="43"/>
      <c r="F1629" s="201"/>
      <c r="G1629" s="43"/>
      <c r="I1629" s="40"/>
      <c r="J1629" s="40"/>
      <c r="M1629" s="40"/>
      <c r="N1629" s="40"/>
    </row>
    <row r="1630" spans="1:14" ht="15.75" customHeight="1" x14ac:dyDescent="0.25">
      <c r="A1630" s="96" t="s">
        <v>1161</v>
      </c>
      <c r="B1630" s="41" t="s">
        <v>47</v>
      </c>
      <c r="C1630" s="43">
        <v>0</v>
      </c>
      <c r="D1630" s="45">
        <v>212650</v>
      </c>
      <c r="E1630" s="43">
        <f>F1630-D1630</f>
        <v>0</v>
      </c>
      <c r="F1630" s="43">
        <v>212650</v>
      </c>
      <c r="G1630" s="43">
        <v>618700</v>
      </c>
      <c r="I1630" s="40"/>
      <c r="J1630" s="40"/>
      <c r="M1630" s="40"/>
      <c r="N1630" s="40"/>
    </row>
    <row r="1631" spans="1:14" ht="15.75" customHeight="1" x14ac:dyDescent="0.25">
      <c r="A1631" s="96" t="s">
        <v>1191</v>
      </c>
      <c r="B1631" s="41"/>
      <c r="C1631" s="43"/>
      <c r="D1631" s="45"/>
      <c r="E1631" s="43"/>
      <c r="F1631" s="43"/>
      <c r="G1631" s="43"/>
      <c r="I1631" s="40">
        <v>57500</v>
      </c>
      <c r="J1631" s="40"/>
      <c r="M1631" s="40"/>
      <c r="N1631" s="40"/>
    </row>
    <row r="1632" spans="1:14" ht="15.75" customHeight="1" x14ac:dyDescent="0.25">
      <c r="A1632" s="96" t="s">
        <v>1192</v>
      </c>
      <c r="B1632" s="41"/>
      <c r="C1632" s="43"/>
      <c r="D1632" s="45"/>
      <c r="E1632" s="43"/>
      <c r="F1632" s="43"/>
      <c r="G1632" s="43"/>
      <c r="I1632" s="40">
        <v>440000</v>
      </c>
      <c r="J1632" s="40"/>
      <c r="M1632" s="40"/>
      <c r="N1632" s="40"/>
    </row>
    <row r="1633" spans="1:14" ht="15.75" customHeight="1" x14ac:dyDescent="0.25">
      <c r="A1633" s="96" t="s">
        <v>1193</v>
      </c>
      <c r="B1633" s="41"/>
      <c r="C1633" s="43"/>
      <c r="D1633" s="45"/>
      <c r="E1633" s="43"/>
      <c r="F1633" s="43"/>
      <c r="G1633" s="43"/>
      <c r="I1633" s="40">
        <v>121200</v>
      </c>
      <c r="J1633" s="40">
        <f>SUM(I1631:I1633)</f>
        <v>618700</v>
      </c>
      <c r="M1633" s="40"/>
      <c r="N1633" s="40"/>
    </row>
    <row r="1634" spans="1:14" ht="15.75" customHeight="1" x14ac:dyDescent="0.25">
      <c r="A1634" s="17" t="s">
        <v>1163</v>
      </c>
      <c r="B1634" s="41"/>
      <c r="C1634" s="54">
        <f>SUM(C1624:C1633)</f>
        <v>0</v>
      </c>
      <c r="D1634" s="54">
        <f>SUM(D1624:D1633)</f>
        <v>508563.7</v>
      </c>
      <c r="E1634" s="54">
        <f t="shared" ref="E1634" si="282">F1634-D1634</f>
        <v>4086.2999999999884</v>
      </c>
      <c r="F1634" s="54">
        <f>SUM(F1624:F1633)</f>
        <v>512650</v>
      </c>
      <c r="G1634" s="54">
        <f>SUM(G1624:G1633)</f>
        <v>1778700</v>
      </c>
      <c r="I1634" s="40"/>
      <c r="J1634" s="40"/>
      <c r="M1634" s="40"/>
      <c r="N1634" s="40"/>
    </row>
    <row r="1635" spans="1:14" ht="15.75" customHeight="1" x14ac:dyDescent="0.25">
      <c r="A1635" s="17"/>
      <c r="B1635" s="41"/>
      <c r="C1635" s="43"/>
      <c r="D1635" s="45"/>
      <c r="E1635" s="43"/>
      <c r="F1635" s="43"/>
      <c r="G1635" s="43"/>
      <c r="I1635" s="40"/>
      <c r="J1635" s="40"/>
      <c r="M1635" s="40"/>
      <c r="N1635" s="40"/>
    </row>
    <row r="1636" spans="1:14" ht="15.75" customHeight="1" x14ac:dyDescent="0.25">
      <c r="A1636" s="50" t="s">
        <v>487</v>
      </c>
      <c r="B1636" s="51" t="s">
        <v>488</v>
      </c>
      <c r="C1636" s="54">
        <f>C1621+C1634</f>
        <v>0</v>
      </c>
      <c r="D1636" s="54">
        <f>D1621+D1634</f>
        <v>7220628.2800000003</v>
      </c>
      <c r="E1636" s="54">
        <f>F1636-D1636</f>
        <v>7954591.7199999997</v>
      </c>
      <c r="F1636" s="54">
        <f>F1621+F1634</f>
        <v>15175220</v>
      </c>
      <c r="G1636" s="54">
        <f>G1621+G1634</f>
        <v>15630340</v>
      </c>
      <c r="H1636" s="493"/>
      <c r="I1636" s="40"/>
      <c r="J1636" s="40"/>
      <c r="M1636" s="40"/>
      <c r="N1636" s="40"/>
    </row>
    <row r="1637" spans="1:14" ht="15.75" customHeight="1" x14ac:dyDescent="0.25">
      <c r="A1637" s="15" t="s">
        <v>488</v>
      </c>
      <c r="B1637" s="25"/>
      <c r="C1637" s="26"/>
      <c r="D1637" s="26"/>
      <c r="E1637" s="26"/>
      <c r="F1637" s="26"/>
      <c r="G1637" s="26"/>
      <c r="I1637" s="40"/>
      <c r="J1637" s="40"/>
      <c r="M1637" s="40"/>
      <c r="N1637" s="40"/>
    </row>
    <row r="1638" spans="1:14" ht="15.75" customHeight="1" x14ac:dyDescent="0.25">
      <c r="A1638" s="103"/>
      <c r="B1638" s="25"/>
      <c r="C1638" s="103"/>
      <c r="D1638" s="24"/>
      <c r="E1638" s="24"/>
      <c r="F1638" s="103"/>
      <c r="G1638" s="114"/>
      <c r="I1638" s="40"/>
      <c r="J1638" s="40"/>
      <c r="M1638" s="40"/>
      <c r="N1638" s="40"/>
    </row>
    <row r="1639" spans="1:14" ht="15.75" customHeight="1" x14ac:dyDescent="0.25">
      <c r="A1639" s="9"/>
      <c r="B1639" s="104"/>
      <c r="C1639" s="105"/>
      <c r="D1639" s="105"/>
      <c r="E1639" s="105"/>
      <c r="F1639" s="10"/>
      <c r="G1639" s="180"/>
      <c r="I1639" s="40"/>
      <c r="J1639" s="40"/>
      <c r="M1639" s="40"/>
      <c r="N1639" s="40"/>
    </row>
    <row r="1640" spans="1:14" ht="15.75" customHeight="1" x14ac:dyDescent="0.25">
      <c r="A1640" s="108" t="s">
        <v>2763</v>
      </c>
      <c r="B1640" s="25"/>
      <c r="C1640" s="26"/>
      <c r="D1640" s="26"/>
      <c r="E1640" s="26"/>
      <c r="F1640" s="14"/>
      <c r="G1640" s="181"/>
      <c r="I1640" s="40"/>
      <c r="J1640" s="40"/>
      <c r="M1640" s="40"/>
      <c r="N1640" s="40"/>
    </row>
    <row r="1641" spans="1:14" ht="15.75" customHeight="1" x14ac:dyDescent="0.25">
      <c r="A1641" s="108"/>
      <c r="B1641" s="25"/>
      <c r="C1641" s="26"/>
      <c r="D1641" s="26"/>
      <c r="E1641" s="26"/>
      <c r="F1641" s="14"/>
      <c r="G1641" s="181"/>
      <c r="I1641" s="40"/>
      <c r="J1641" s="40"/>
      <c r="M1641" s="40"/>
      <c r="N1641" s="40"/>
    </row>
    <row r="1642" spans="1:14" ht="15.75" customHeight="1" x14ac:dyDescent="0.25">
      <c r="A1642" s="865" t="s">
        <v>352</v>
      </c>
      <c r="B1642" s="866"/>
      <c r="C1642" s="866"/>
      <c r="D1642" s="866"/>
      <c r="E1642" s="866"/>
      <c r="F1642" s="866"/>
      <c r="G1642" s="867"/>
      <c r="I1642" s="40"/>
      <c r="J1642" s="40"/>
      <c r="M1642" s="40"/>
      <c r="N1642" s="40"/>
    </row>
    <row r="1643" spans="1:14" ht="15.75" customHeight="1" x14ac:dyDescent="0.25">
      <c r="A1643" s="868" t="s">
        <v>1194</v>
      </c>
      <c r="B1643" s="857" t="s">
        <v>354</v>
      </c>
      <c r="C1643" s="870" t="s">
        <v>355</v>
      </c>
      <c r="D1643" s="872" t="s">
        <v>356</v>
      </c>
      <c r="E1643" s="873"/>
      <c r="F1643" s="874"/>
      <c r="G1643" s="857" t="s">
        <v>357</v>
      </c>
      <c r="I1643" s="40"/>
      <c r="J1643" s="40"/>
      <c r="M1643" s="40"/>
      <c r="N1643" s="40"/>
    </row>
    <row r="1644" spans="1:14" ht="15.75" customHeight="1" x14ac:dyDescent="0.25">
      <c r="A1644" s="858"/>
      <c r="B1644" s="858"/>
      <c r="C1644" s="871"/>
      <c r="D1644" s="28" t="s">
        <v>358</v>
      </c>
      <c r="E1644" s="29" t="s">
        <v>359</v>
      </c>
      <c r="F1644" s="875" t="s">
        <v>360</v>
      </c>
      <c r="G1644" s="858"/>
      <c r="I1644" s="40"/>
      <c r="J1644" s="40"/>
      <c r="M1644" s="40"/>
      <c r="N1644" s="40"/>
    </row>
    <row r="1645" spans="1:14" ht="15.75" customHeight="1" x14ac:dyDescent="0.25">
      <c r="A1645" s="858"/>
      <c r="B1645" s="858"/>
      <c r="C1645" s="30" t="s">
        <v>361</v>
      </c>
      <c r="D1645" s="31" t="s">
        <v>361</v>
      </c>
      <c r="E1645" s="32" t="s">
        <v>362</v>
      </c>
      <c r="F1645" s="860"/>
      <c r="G1645" s="442" t="s">
        <v>2717</v>
      </c>
      <c r="I1645" s="40"/>
      <c r="J1645" s="40"/>
      <c r="M1645" s="40"/>
      <c r="N1645" s="40"/>
    </row>
    <row r="1646" spans="1:14" ht="15.75" customHeight="1" x14ac:dyDescent="0.25">
      <c r="A1646" s="869"/>
      <c r="B1646" s="869"/>
      <c r="C1646" s="33">
        <v>2024</v>
      </c>
      <c r="D1646" s="34">
        <v>2025</v>
      </c>
      <c r="E1646" s="35">
        <v>2025</v>
      </c>
      <c r="F1646" s="34">
        <v>2025</v>
      </c>
      <c r="G1646" s="36" t="s">
        <v>2668</v>
      </c>
      <c r="I1646" s="40"/>
      <c r="J1646" s="40"/>
      <c r="M1646" s="40"/>
      <c r="N1646" s="40"/>
    </row>
    <row r="1647" spans="1:14" ht="15.75" customHeight="1" x14ac:dyDescent="0.25">
      <c r="A1647" s="227" t="s">
        <v>1195</v>
      </c>
      <c r="B1647" s="228"/>
      <c r="C1647" s="20"/>
      <c r="D1647" s="41"/>
      <c r="E1647" s="25"/>
      <c r="F1647" s="41"/>
      <c r="G1647" s="229"/>
      <c r="I1647" s="40"/>
      <c r="J1647" s="40"/>
      <c r="M1647" s="40"/>
      <c r="N1647" s="40"/>
    </row>
    <row r="1648" spans="1:14" ht="15.75" customHeight="1" x14ac:dyDescent="0.25">
      <c r="A1648" s="227" t="s">
        <v>1196</v>
      </c>
      <c r="B1648" s="228"/>
      <c r="C1648" s="20"/>
      <c r="D1648" s="41"/>
      <c r="E1648" s="25"/>
      <c r="F1648" s="41"/>
      <c r="G1648" s="229"/>
      <c r="I1648" s="40"/>
      <c r="J1648" s="40"/>
      <c r="M1648" s="40"/>
      <c r="N1648" s="40"/>
    </row>
    <row r="1649" spans="1:14" ht="15.75" customHeight="1" x14ac:dyDescent="0.25">
      <c r="A1649" s="227" t="s">
        <v>1215</v>
      </c>
      <c r="B1649" s="172"/>
      <c r="C1649" s="42"/>
      <c r="D1649" s="42"/>
      <c r="E1649" s="17"/>
      <c r="F1649" s="42"/>
      <c r="G1649" s="494"/>
      <c r="I1649" s="40"/>
      <c r="J1649" s="40"/>
      <c r="M1649" s="40"/>
      <c r="N1649" s="40"/>
    </row>
    <row r="1650" spans="1:14" ht="15.75" customHeight="1" x14ac:dyDescent="0.25">
      <c r="A1650" s="230" t="s">
        <v>1216</v>
      </c>
      <c r="B1650" s="41" t="s">
        <v>187</v>
      </c>
      <c r="C1650" s="43">
        <v>20753.71</v>
      </c>
      <c r="D1650" s="43">
        <v>0</v>
      </c>
      <c r="E1650" s="43">
        <f>F1650-D1650</f>
        <v>50000</v>
      </c>
      <c r="F1650" s="43">
        <v>50000</v>
      </c>
      <c r="G1650" s="494">
        <v>50000</v>
      </c>
      <c r="I1650" s="40"/>
      <c r="J1650" s="40"/>
      <c r="M1650" s="40"/>
      <c r="N1650" s="40"/>
    </row>
    <row r="1651" spans="1:14" ht="15.75" customHeight="1" x14ac:dyDescent="0.25">
      <c r="A1651" s="161" t="s">
        <v>1201</v>
      </c>
      <c r="B1651" s="41"/>
      <c r="C1651" s="41"/>
      <c r="D1651" s="41"/>
      <c r="E1651" s="43"/>
      <c r="F1651" s="41"/>
      <c r="G1651" s="495"/>
      <c r="I1651" s="40"/>
      <c r="J1651" s="40"/>
      <c r="M1651" s="40"/>
      <c r="N1651" s="40"/>
    </row>
    <row r="1652" spans="1:14" ht="15.75" customHeight="1" x14ac:dyDescent="0.25">
      <c r="A1652" s="48" t="s">
        <v>1201</v>
      </c>
      <c r="B1652" s="41" t="s">
        <v>335</v>
      </c>
      <c r="C1652" s="43">
        <v>126936</v>
      </c>
      <c r="D1652" s="43">
        <v>108315</v>
      </c>
      <c r="E1652" s="43">
        <f>F1652-D1652</f>
        <v>190485</v>
      </c>
      <c r="F1652" s="43">
        <v>298800</v>
      </c>
      <c r="G1652" s="440">
        <v>178992</v>
      </c>
      <c r="I1652" s="40"/>
      <c r="J1652" s="40"/>
      <c r="K1652" s="40">
        <f>SUM(K1653:K1654)</f>
        <v>178992</v>
      </c>
      <c r="M1652" s="40"/>
      <c r="N1652" s="40"/>
    </row>
    <row r="1653" spans="1:14" ht="15.75" customHeight="1" x14ac:dyDescent="0.25">
      <c r="A1653" s="17" t="s">
        <v>1219</v>
      </c>
      <c r="B1653" s="41"/>
      <c r="C1653" s="43"/>
      <c r="D1653" s="43"/>
      <c r="E1653" s="43"/>
      <c r="F1653" s="43"/>
      <c r="G1653" s="440"/>
      <c r="H1653" s="184">
        <v>264</v>
      </c>
      <c r="I1653" s="60">
        <v>678</v>
      </c>
      <c r="J1653" s="40">
        <v>1</v>
      </c>
      <c r="K1653" s="40">
        <f>H1653*I1653*J1653</f>
        <v>178992</v>
      </c>
      <c r="M1653" s="40"/>
      <c r="N1653" s="40"/>
    </row>
    <row r="1654" spans="1:14" ht="15.75" customHeight="1" x14ac:dyDescent="0.25">
      <c r="A1654" s="42" t="s">
        <v>1220</v>
      </c>
      <c r="B1654" s="41"/>
      <c r="C1654" s="43"/>
      <c r="D1654" s="43"/>
      <c r="E1654" s="43"/>
      <c r="F1654" s="43"/>
      <c r="G1654" s="43"/>
      <c r="H1654" s="184"/>
      <c r="I1654" s="60"/>
      <c r="J1654" s="40"/>
      <c r="K1654" s="40"/>
      <c r="M1654" s="40"/>
      <c r="N1654" s="40"/>
    </row>
    <row r="1655" spans="1:14" ht="15.75" customHeight="1" x14ac:dyDescent="0.25">
      <c r="A1655" s="42" t="s">
        <v>1210</v>
      </c>
      <c r="B1655" s="41"/>
      <c r="C1655" s="54">
        <f>SUM(C1650:C1652)</f>
        <v>147689.71</v>
      </c>
      <c r="D1655" s="54">
        <f>SUM(D1650:D1652)</f>
        <v>108315</v>
      </c>
      <c r="E1655" s="54">
        <f>F1655-D1655</f>
        <v>240485</v>
      </c>
      <c r="F1655" s="54">
        <f>SUM(F1650:F1652)</f>
        <v>348800</v>
      </c>
      <c r="G1655" s="54">
        <f>SUM(G1650:G1652)</f>
        <v>228992</v>
      </c>
      <c r="H1655" s="184"/>
      <c r="I1655" s="60"/>
      <c r="J1655" s="40"/>
      <c r="M1655" s="40"/>
      <c r="N1655" s="40"/>
    </row>
    <row r="1656" spans="1:14" ht="15.75" customHeight="1" x14ac:dyDescent="0.25">
      <c r="A1656" s="42"/>
      <c r="B1656" s="41"/>
      <c r="C1656" s="43"/>
      <c r="D1656" s="43"/>
      <c r="E1656" s="43"/>
      <c r="F1656" s="43"/>
      <c r="G1656" s="43"/>
      <c r="I1656" s="40"/>
      <c r="J1656" s="40"/>
      <c r="M1656" s="40"/>
      <c r="N1656" s="40"/>
    </row>
    <row r="1657" spans="1:14" ht="15.75" customHeight="1" x14ac:dyDescent="0.25">
      <c r="A1657" s="42" t="s">
        <v>467</v>
      </c>
      <c r="B1657" s="41"/>
      <c r="C1657" s="43">
        <f t="shared" ref="C1657:D1657" si="283">+C1655</f>
        <v>147689.71</v>
      </c>
      <c r="D1657" s="43">
        <f t="shared" si="283"/>
        <v>108315</v>
      </c>
      <c r="E1657" s="43">
        <f>F1657-D1657</f>
        <v>240485</v>
      </c>
      <c r="F1657" s="43">
        <f t="shared" ref="F1657:G1657" si="284">+F1655</f>
        <v>348800</v>
      </c>
      <c r="G1657" s="43">
        <f t="shared" si="284"/>
        <v>228992</v>
      </c>
      <c r="I1657" s="40"/>
      <c r="J1657" s="40"/>
      <c r="M1657" s="40"/>
      <c r="N1657" s="40"/>
    </row>
    <row r="1658" spans="1:14" ht="15.75" customHeight="1" x14ac:dyDescent="0.25">
      <c r="A1658" s="17"/>
      <c r="B1658" s="41"/>
      <c r="C1658" s="43"/>
      <c r="D1658" s="43"/>
      <c r="E1658" s="43"/>
      <c r="F1658" s="43"/>
      <c r="G1658" s="43"/>
      <c r="I1658" s="40"/>
      <c r="J1658" s="40"/>
      <c r="M1658" s="40"/>
      <c r="N1658" s="40"/>
    </row>
    <row r="1659" spans="1:14" ht="15.75" customHeight="1" x14ac:dyDescent="0.25">
      <c r="A1659" s="160" t="s">
        <v>487</v>
      </c>
      <c r="B1659" s="51" t="s">
        <v>488</v>
      </c>
      <c r="C1659" s="54">
        <f t="shared" ref="C1659:G1659" si="285">C1657</f>
        <v>147689.71</v>
      </c>
      <c r="D1659" s="54">
        <f t="shared" si="285"/>
        <v>108315</v>
      </c>
      <c r="E1659" s="54">
        <f t="shared" si="285"/>
        <v>240485</v>
      </c>
      <c r="F1659" s="54">
        <f t="shared" si="285"/>
        <v>348800</v>
      </c>
      <c r="G1659" s="54">
        <f t="shared" si="285"/>
        <v>228992</v>
      </c>
      <c r="I1659" s="40"/>
      <c r="J1659" s="40"/>
      <c r="M1659" s="40"/>
      <c r="N1659" s="40"/>
    </row>
    <row r="1660" spans="1:14" ht="15.75" customHeight="1" x14ac:dyDescent="0.25">
      <c r="A1660" s="24"/>
      <c r="B1660" s="25"/>
      <c r="C1660" s="24"/>
      <c r="D1660" s="99"/>
      <c r="E1660" s="99"/>
      <c r="F1660" s="114"/>
      <c r="G1660" s="114"/>
      <c r="I1660" s="40"/>
      <c r="J1660" s="40"/>
      <c r="M1660" s="40"/>
      <c r="N1660" s="40"/>
    </row>
    <row r="1661" spans="1:14" ht="15.75" customHeight="1" x14ac:dyDescent="0.25">
      <c r="A1661" s="103"/>
      <c r="B1661" s="25"/>
      <c r="C1661" s="103"/>
      <c r="D1661" s="24"/>
      <c r="E1661" s="24"/>
      <c r="F1661" s="103"/>
      <c r="G1661" s="114"/>
      <c r="I1661" s="40"/>
      <c r="J1661" s="40"/>
      <c r="M1661" s="40"/>
      <c r="N1661" s="40"/>
    </row>
    <row r="1662" spans="1:14" ht="15.75" customHeight="1" x14ac:dyDescent="0.25">
      <c r="A1662" s="9"/>
      <c r="B1662" s="104"/>
      <c r="C1662" s="105"/>
      <c r="D1662" s="105"/>
      <c r="E1662" s="105"/>
      <c r="F1662" s="10"/>
      <c r="G1662" s="180"/>
      <c r="I1662" s="40"/>
      <c r="J1662" s="40"/>
      <c r="M1662" s="40"/>
      <c r="N1662" s="40"/>
    </row>
    <row r="1663" spans="1:14" ht="15.75" customHeight="1" x14ac:dyDescent="0.25">
      <c r="A1663" s="108" t="s">
        <v>1224</v>
      </c>
      <c r="B1663" s="25"/>
      <c r="C1663" s="26"/>
      <c r="D1663" s="26"/>
      <c r="E1663" s="26"/>
      <c r="F1663" s="14"/>
      <c r="G1663" s="181"/>
      <c r="I1663" s="40"/>
      <c r="J1663" s="40"/>
      <c r="M1663" s="40"/>
      <c r="N1663" s="40"/>
    </row>
    <row r="1664" spans="1:14" ht="15.75" customHeight="1" x14ac:dyDescent="0.25">
      <c r="A1664" s="108"/>
      <c r="B1664" s="25"/>
      <c r="C1664" s="26"/>
      <c r="D1664" s="26"/>
      <c r="E1664" s="26"/>
      <c r="F1664" s="14"/>
      <c r="G1664" s="181"/>
      <c r="I1664" s="40"/>
      <c r="J1664" s="40"/>
      <c r="M1664" s="40"/>
      <c r="N1664" s="40"/>
    </row>
    <row r="1665" spans="1:14" ht="15.75" customHeight="1" x14ac:dyDescent="0.25">
      <c r="A1665" s="865" t="s">
        <v>352</v>
      </c>
      <c r="B1665" s="866"/>
      <c r="C1665" s="866"/>
      <c r="D1665" s="866"/>
      <c r="E1665" s="866"/>
      <c r="F1665" s="866"/>
      <c r="G1665" s="867"/>
      <c r="I1665" s="40"/>
      <c r="J1665" s="40"/>
      <c r="M1665" s="40"/>
      <c r="N1665" s="40"/>
    </row>
    <row r="1666" spans="1:14" ht="15.75" customHeight="1" x14ac:dyDescent="0.25">
      <c r="A1666" s="868" t="s">
        <v>1194</v>
      </c>
      <c r="B1666" s="857" t="s">
        <v>354</v>
      </c>
      <c r="C1666" s="870" t="s">
        <v>355</v>
      </c>
      <c r="D1666" s="872" t="s">
        <v>356</v>
      </c>
      <c r="E1666" s="873"/>
      <c r="F1666" s="874"/>
      <c r="G1666" s="857" t="s">
        <v>357</v>
      </c>
      <c r="I1666" s="40"/>
      <c r="J1666" s="40"/>
      <c r="M1666" s="40"/>
      <c r="N1666" s="40"/>
    </row>
    <row r="1667" spans="1:14" ht="15.75" customHeight="1" x14ac:dyDescent="0.25">
      <c r="A1667" s="858"/>
      <c r="B1667" s="858"/>
      <c r="C1667" s="871"/>
      <c r="D1667" s="28" t="s">
        <v>358</v>
      </c>
      <c r="E1667" s="29" t="s">
        <v>359</v>
      </c>
      <c r="F1667" s="875" t="s">
        <v>360</v>
      </c>
      <c r="G1667" s="858"/>
      <c r="I1667" s="40"/>
      <c r="J1667" s="40"/>
      <c r="M1667" s="40"/>
      <c r="N1667" s="40"/>
    </row>
    <row r="1668" spans="1:14" ht="15.75" customHeight="1" x14ac:dyDescent="0.25">
      <c r="A1668" s="858"/>
      <c r="B1668" s="858"/>
      <c r="C1668" s="30" t="s">
        <v>361</v>
      </c>
      <c r="D1668" s="31" t="s">
        <v>361</v>
      </c>
      <c r="E1668" s="32" t="s">
        <v>362</v>
      </c>
      <c r="F1668" s="860"/>
      <c r="G1668" s="442" t="s">
        <v>2717</v>
      </c>
      <c r="I1668" s="40"/>
      <c r="J1668" s="40"/>
      <c r="M1668" s="40"/>
      <c r="N1668" s="40"/>
    </row>
    <row r="1669" spans="1:14" ht="15.75" customHeight="1" x14ac:dyDescent="0.25">
      <c r="A1669" s="869"/>
      <c r="B1669" s="869"/>
      <c r="C1669" s="33">
        <v>2024</v>
      </c>
      <c r="D1669" s="34">
        <v>2025</v>
      </c>
      <c r="E1669" s="35">
        <v>2025</v>
      </c>
      <c r="F1669" s="34">
        <v>2025</v>
      </c>
      <c r="G1669" s="36" t="s">
        <v>2668</v>
      </c>
      <c r="I1669" s="40"/>
      <c r="J1669" s="40"/>
      <c r="M1669" s="40"/>
      <c r="N1669" s="40"/>
    </row>
    <row r="1670" spans="1:14" ht="15.75" customHeight="1" x14ac:dyDescent="0.25">
      <c r="A1670" s="227" t="s">
        <v>1195</v>
      </c>
      <c r="B1670" s="228"/>
      <c r="C1670" s="20"/>
      <c r="D1670" s="41"/>
      <c r="E1670" s="25"/>
      <c r="F1670" s="41"/>
      <c r="G1670" s="229"/>
      <c r="I1670" s="40"/>
      <c r="J1670" s="40"/>
      <c r="M1670" s="40"/>
      <c r="N1670" s="40"/>
    </row>
    <row r="1671" spans="1:14" ht="15.75" customHeight="1" x14ac:dyDescent="0.25">
      <c r="A1671" s="227" t="s">
        <v>622</v>
      </c>
      <c r="B1671" s="228"/>
      <c r="C1671" s="20"/>
      <c r="D1671" s="41"/>
      <c r="E1671" s="25"/>
      <c r="F1671" s="41"/>
      <c r="G1671" s="229"/>
      <c r="I1671" s="40"/>
      <c r="J1671" s="40"/>
      <c r="M1671" s="40"/>
      <c r="N1671" s="40"/>
    </row>
    <row r="1672" spans="1:14" ht="15.75" customHeight="1" x14ac:dyDescent="0.25">
      <c r="A1672" s="227" t="s">
        <v>368</v>
      </c>
      <c r="B1672" s="228"/>
      <c r="C1672" s="20"/>
      <c r="D1672" s="41"/>
      <c r="E1672" s="25"/>
      <c r="F1672" s="41"/>
      <c r="G1672" s="229"/>
      <c r="I1672" s="40"/>
      <c r="J1672" s="40"/>
      <c r="M1672" s="40"/>
      <c r="N1672" s="40"/>
    </row>
    <row r="1673" spans="1:14" ht="15.75" customHeight="1" x14ac:dyDescent="0.25">
      <c r="A1673" s="230" t="s">
        <v>690</v>
      </c>
      <c r="B1673" s="228" t="s">
        <v>149</v>
      </c>
      <c r="C1673" s="43">
        <v>0</v>
      </c>
      <c r="D1673" s="43">
        <v>0</v>
      </c>
      <c r="E1673" s="43">
        <v>0</v>
      </c>
      <c r="F1673" s="43">
        <v>0</v>
      </c>
      <c r="G1673" s="43">
        <v>900000</v>
      </c>
      <c r="I1673" s="40"/>
      <c r="J1673" s="40"/>
      <c r="M1673" s="40"/>
      <c r="N1673" s="40"/>
    </row>
    <row r="1674" spans="1:14" ht="15.75" customHeight="1" x14ac:dyDescent="0.25">
      <c r="A1674" s="227" t="s">
        <v>632</v>
      </c>
      <c r="B1674" s="228"/>
      <c r="C1674" s="231">
        <f t="shared" ref="C1674:G1674" si="286">SUM(C1673)</f>
        <v>0</v>
      </c>
      <c r="D1674" s="231">
        <f t="shared" si="286"/>
        <v>0</v>
      </c>
      <c r="E1674" s="231">
        <f t="shared" si="286"/>
        <v>0</v>
      </c>
      <c r="F1674" s="231">
        <f t="shared" si="286"/>
        <v>0</v>
      </c>
      <c r="G1674" s="221">
        <f t="shared" si="286"/>
        <v>900000</v>
      </c>
      <c r="I1674" s="40"/>
      <c r="J1674" s="40"/>
      <c r="M1674" s="40"/>
      <c r="N1674" s="40"/>
    </row>
    <row r="1675" spans="1:14" ht="15.75" customHeight="1" x14ac:dyDescent="0.25">
      <c r="A1675" s="227"/>
      <c r="B1675" s="228"/>
      <c r="C1675" s="20"/>
      <c r="D1675" s="41"/>
      <c r="E1675" s="25"/>
      <c r="F1675" s="41"/>
      <c r="G1675" s="229"/>
      <c r="I1675" s="40"/>
      <c r="J1675" s="40"/>
      <c r="M1675" s="40"/>
      <c r="N1675" s="40"/>
    </row>
    <row r="1676" spans="1:14" ht="15.75" customHeight="1" x14ac:dyDescent="0.25">
      <c r="A1676" s="227" t="s">
        <v>1225</v>
      </c>
      <c r="B1676" s="228"/>
      <c r="C1676" s="20"/>
      <c r="D1676" s="41"/>
      <c r="E1676" s="25"/>
      <c r="F1676" s="41"/>
      <c r="G1676" s="229"/>
      <c r="I1676" s="40"/>
      <c r="J1676" s="40"/>
      <c r="M1676" s="40"/>
      <c r="N1676" s="40"/>
    </row>
    <row r="1677" spans="1:14" ht="15.75" customHeight="1" x14ac:dyDescent="0.25">
      <c r="A1677" s="227" t="s">
        <v>499</v>
      </c>
      <c r="B1677" s="172"/>
      <c r="C1677" s="42"/>
      <c r="D1677" s="42"/>
      <c r="E1677" s="17"/>
      <c r="F1677" s="42"/>
      <c r="G1677" s="19"/>
      <c r="I1677" s="40"/>
      <c r="J1677" s="40"/>
      <c r="M1677" s="40"/>
      <c r="N1677" s="40"/>
    </row>
    <row r="1678" spans="1:14" ht="15.75" customHeight="1" x14ac:dyDescent="0.25">
      <c r="A1678" s="230" t="s">
        <v>398</v>
      </c>
      <c r="B1678" s="41" t="s">
        <v>195</v>
      </c>
      <c r="C1678" s="43">
        <v>0</v>
      </c>
      <c r="D1678" s="43">
        <v>0</v>
      </c>
      <c r="E1678" s="43">
        <v>0</v>
      </c>
      <c r="F1678" s="43">
        <v>0</v>
      </c>
      <c r="G1678" s="45">
        <v>100000</v>
      </c>
      <c r="I1678" s="40"/>
      <c r="J1678" s="40"/>
      <c r="M1678" s="40"/>
      <c r="N1678" s="40"/>
    </row>
    <row r="1679" spans="1:14" ht="15.75" customHeight="1" x14ac:dyDescent="0.25">
      <c r="A1679" s="42" t="s">
        <v>1210</v>
      </c>
      <c r="B1679" s="41"/>
      <c r="C1679" s="54">
        <f t="shared" ref="C1679:D1679" si="287">SUM(C1678)</f>
        <v>0</v>
      </c>
      <c r="D1679" s="54">
        <f t="shared" si="287"/>
        <v>0</v>
      </c>
      <c r="E1679" s="54">
        <f>F1679-D1679</f>
        <v>0</v>
      </c>
      <c r="F1679" s="54">
        <f>SUM(F1678)</f>
        <v>0</v>
      </c>
      <c r="G1679" s="54">
        <f>G1678</f>
        <v>100000</v>
      </c>
      <c r="I1679" s="40"/>
      <c r="J1679" s="40"/>
      <c r="M1679" s="40"/>
      <c r="N1679" s="40"/>
    </row>
    <row r="1680" spans="1:14" ht="15.75" customHeight="1" x14ac:dyDescent="0.25">
      <c r="A1680" s="42"/>
      <c r="B1680" s="41"/>
      <c r="C1680" s="43"/>
      <c r="D1680" s="43"/>
      <c r="E1680" s="43"/>
      <c r="F1680" s="43"/>
      <c r="G1680" s="43"/>
      <c r="I1680" s="40"/>
      <c r="J1680" s="40"/>
      <c r="M1680" s="40"/>
      <c r="N1680" s="40"/>
    </row>
    <row r="1681" spans="1:14" ht="15.75" customHeight="1" x14ac:dyDescent="0.25">
      <c r="A1681" s="42" t="s">
        <v>467</v>
      </c>
      <c r="B1681" s="41"/>
      <c r="C1681" s="43">
        <f t="shared" ref="C1681:D1681" si="288">+C1679</f>
        <v>0</v>
      </c>
      <c r="D1681" s="43">
        <f t="shared" si="288"/>
        <v>0</v>
      </c>
      <c r="E1681" s="43">
        <f>F1681-D1681</f>
        <v>0</v>
      </c>
      <c r="F1681" s="43">
        <f>+F1679</f>
        <v>0</v>
      </c>
      <c r="G1681" s="43">
        <f>G1674+G1679</f>
        <v>1000000</v>
      </c>
      <c r="I1681" s="40"/>
      <c r="J1681" s="40"/>
      <c r="M1681" s="40"/>
      <c r="N1681" s="40"/>
    </row>
    <row r="1682" spans="1:14" ht="15.75" customHeight="1" x14ac:dyDescent="0.25">
      <c r="A1682" s="17"/>
      <c r="B1682" s="41"/>
      <c r="C1682" s="43"/>
      <c r="D1682" s="43"/>
      <c r="E1682" s="43"/>
      <c r="F1682" s="43"/>
      <c r="G1682" s="43"/>
      <c r="I1682" s="40"/>
      <c r="J1682" s="40"/>
      <c r="M1682" s="40"/>
      <c r="N1682" s="40"/>
    </row>
    <row r="1683" spans="1:14" ht="15.75" customHeight="1" x14ac:dyDescent="0.25">
      <c r="A1683" s="160" t="s">
        <v>487</v>
      </c>
      <c r="B1683" s="51" t="s">
        <v>488</v>
      </c>
      <c r="C1683" s="54">
        <f t="shared" ref="C1683:G1683" si="289">C1681</f>
        <v>0</v>
      </c>
      <c r="D1683" s="54">
        <f t="shared" si="289"/>
        <v>0</v>
      </c>
      <c r="E1683" s="54">
        <f t="shared" si="289"/>
        <v>0</v>
      </c>
      <c r="F1683" s="54">
        <f t="shared" si="289"/>
        <v>0</v>
      </c>
      <c r="G1683" s="54">
        <f t="shared" si="289"/>
        <v>1000000</v>
      </c>
      <c r="I1683" s="40"/>
      <c r="J1683" s="40"/>
      <c r="M1683" s="40"/>
      <c r="N1683" s="40"/>
    </row>
    <row r="1684" spans="1:14" ht="15.75" customHeight="1" x14ac:dyDescent="0.25">
      <c r="A1684" s="24"/>
      <c r="B1684" s="25"/>
      <c r="C1684" s="24"/>
      <c r="D1684" s="99"/>
      <c r="E1684" s="99"/>
      <c r="F1684" s="114"/>
      <c r="G1684" s="114"/>
      <c r="I1684" s="40"/>
      <c r="J1684" s="40"/>
      <c r="M1684" s="40"/>
      <c r="N1684" s="40"/>
    </row>
    <row r="1685" spans="1:14" ht="15.75" customHeight="1" x14ac:dyDescent="0.25">
      <c r="A1685" s="103"/>
      <c r="B1685" s="25"/>
      <c r="C1685" s="103"/>
      <c r="D1685" s="24"/>
      <c r="E1685" s="24"/>
      <c r="F1685" s="103"/>
      <c r="G1685" s="114"/>
      <c r="I1685" s="40"/>
      <c r="J1685" s="40"/>
      <c r="M1685" s="40"/>
      <c r="N1685" s="40"/>
    </row>
    <row r="1686" spans="1:14" ht="15.75" customHeight="1" x14ac:dyDescent="0.25">
      <c r="A1686" s="103"/>
      <c r="B1686" s="25"/>
      <c r="C1686" s="103"/>
      <c r="D1686" s="24"/>
      <c r="E1686" s="24"/>
      <c r="F1686" s="103"/>
      <c r="G1686" s="114"/>
      <c r="I1686" s="40"/>
      <c r="J1686" s="40"/>
      <c r="M1686" s="40"/>
      <c r="N1686" s="40"/>
    </row>
    <row r="1687" spans="1:14" ht="15.75" customHeight="1" x14ac:dyDescent="0.25">
      <c r="A1687" s="103"/>
      <c r="B1687" s="25"/>
      <c r="C1687" s="103"/>
      <c r="D1687" s="24"/>
      <c r="E1687" s="24"/>
      <c r="F1687" s="103"/>
      <c r="G1687" s="114"/>
      <c r="I1687" s="40"/>
      <c r="J1687" s="40"/>
      <c r="M1687" s="40"/>
      <c r="N1687" s="40"/>
    </row>
    <row r="1688" spans="1:14" ht="15.75" customHeight="1" x14ac:dyDescent="0.25">
      <c r="A1688" s="103"/>
      <c r="B1688" s="25"/>
      <c r="C1688" s="103"/>
      <c r="D1688" s="24"/>
      <c r="E1688" s="24"/>
      <c r="F1688" s="103"/>
      <c r="G1688" s="114"/>
      <c r="I1688" s="40"/>
      <c r="J1688" s="40"/>
      <c r="M1688" s="40"/>
      <c r="N1688" s="40"/>
    </row>
    <row r="1689" spans="1:14" ht="15.75" customHeight="1" x14ac:dyDescent="0.25">
      <c r="A1689" s="103"/>
      <c r="B1689" s="25"/>
      <c r="C1689" s="103"/>
      <c r="D1689" s="24"/>
      <c r="E1689" s="24"/>
      <c r="F1689" s="103"/>
      <c r="G1689" s="114"/>
      <c r="I1689" s="40"/>
      <c r="J1689" s="40"/>
      <c r="M1689" s="40"/>
      <c r="N1689" s="40"/>
    </row>
    <row r="1690" spans="1:14" ht="15.75" customHeight="1" x14ac:dyDescent="0.25">
      <c r="A1690" s="103"/>
      <c r="B1690" s="25"/>
      <c r="C1690" s="103"/>
      <c r="D1690" s="24"/>
      <c r="E1690" s="24"/>
      <c r="F1690" s="103"/>
      <c r="G1690" s="114"/>
      <c r="I1690" s="40"/>
      <c r="J1690" s="40"/>
      <c r="M1690" s="40"/>
      <c r="N1690" s="40"/>
    </row>
    <row r="1691" spans="1:14" ht="15.75" customHeight="1" x14ac:dyDescent="0.25">
      <c r="A1691" s="103"/>
      <c r="B1691" s="25"/>
      <c r="C1691" s="103"/>
      <c r="D1691" s="24"/>
      <c r="E1691" s="24"/>
      <c r="F1691" s="103"/>
      <c r="G1691" s="114"/>
      <c r="I1691" s="40"/>
      <c r="J1691" s="40"/>
      <c r="M1691" s="40"/>
      <c r="N1691" s="40"/>
    </row>
    <row r="1692" spans="1:14" ht="15.75" customHeight="1" x14ac:dyDescent="0.25">
      <c r="A1692" s="103"/>
      <c r="B1692" s="25"/>
      <c r="C1692" s="103"/>
      <c r="D1692" s="24"/>
      <c r="E1692" s="24"/>
      <c r="F1692" s="103"/>
      <c r="G1692" s="114"/>
      <c r="I1692" s="40"/>
      <c r="J1692" s="40"/>
      <c r="M1692" s="40"/>
      <c r="N1692" s="40"/>
    </row>
    <row r="1693" spans="1:14" ht="15.75" customHeight="1" x14ac:dyDescent="0.25">
      <c r="A1693" s="103"/>
      <c r="B1693" s="25"/>
      <c r="C1693" s="103"/>
      <c r="D1693" s="24"/>
      <c r="E1693" s="24"/>
      <c r="F1693" s="103"/>
      <c r="G1693" s="114"/>
      <c r="I1693" s="40"/>
      <c r="J1693" s="40"/>
      <c r="M1693" s="40"/>
      <c r="N1693" s="40"/>
    </row>
    <row r="1694" spans="1:14" ht="15.75" customHeight="1" x14ac:dyDescent="0.25">
      <c r="A1694" s="103"/>
      <c r="B1694" s="25"/>
      <c r="C1694" s="103"/>
      <c r="D1694" s="24"/>
      <c r="E1694" s="24"/>
      <c r="F1694" s="103"/>
      <c r="G1694" s="114"/>
      <c r="I1694" s="40"/>
      <c r="J1694" s="40"/>
      <c r="M1694" s="40"/>
      <c r="N1694" s="40"/>
    </row>
    <row r="1695" spans="1:14" ht="15.75" customHeight="1" x14ac:dyDescent="0.25">
      <c r="A1695" s="103"/>
      <c r="B1695" s="25"/>
      <c r="C1695" s="103"/>
      <c r="D1695" s="24"/>
      <c r="E1695" s="24"/>
      <c r="F1695" s="103"/>
      <c r="G1695" s="114"/>
      <c r="I1695" s="40"/>
      <c r="J1695" s="40"/>
      <c r="M1695" s="40"/>
      <c r="N1695" s="40"/>
    </row>
    <row r="1696" spans="1:14" ht="15.75" customHeight="1" x14ac:dyDescent="0.25">
      <c r="A1696" s="103"/>
      <c r="B1696" s="25"/>
      <c r="C1696" s="103"/>
      <c r="D1696" s="24"/>
      <c r="E1696" s="24"/>
      <c r="F1696" s="103"/>
      <c r="G1696" s="114"/>
      <c r="I1696" s="40"/>
      <c r="J1696" s="40"/>
      <c r="M1696" s="40"/>
      <c r="N1696" s="40"/>
    </row>
    <row r="1697" spans="1:14" ht="15.75" customHeight="1" x14ac:dyDescent="0.25">
      <c r="A1697" s="103"/>
      <c r="B1697" s="25"/>
      <c r="C1697" s="103"/>
      <c r="D1697" s="24"/>
      <c r="E1697" s="24"/>
      <c r="F1697" s="103"/>
      <c r="G1697" s="114"/>
      <c r="I1697" s="40"/>
      <c r="J1697" s="40"/>
      <c r="M1697" s="40"/>
      <c r="N1697" s="40"/>
    </row>
    <row r="1698" spans="1:14" ht="15.75" customHeight="1" x14ac:dyDescent="0.25">
      <c r="A1698" s="103"/>
      <c r="B1698" s="25"/>
      <c r="C1698" s="103"/>
      <c r="D1698" s="24"/>
      <c r="E1698" s="24"/>
      <c r="F1698" s="103"/>
      <c r="G1698" s="114"/>
      <c r="I1698" s="40"/>
      <c r="J1698" s="40"/>
      <c r="M1698" s="40"/>
      <c r="N1698" s="40"/>
    </row>
    <row r="1699" spans="1:14" ht="15.75" customHeight="1" x14ac:dyDescent="0.25">
      <c r="A1699" s="103"/>
      <c r="B1699" s="25"/>
      <c r="C1699" s="103"/>
      <c r="D1699" s="24"/>
      <c r="E1699" s="24"/>
      <c r="F1699" s="103"/>
      <c r="G1699" s="114"/>
      <c r="I1699" s="40"/>
      <c r="J1699" s="40"/>
      <c r="M1699" s="40"/>
      <c r="N1699" s="40"/>
    </row>
    <row r="1700" spans="1:14" ht="15.75" customHeight="1" x14ac:dyDescent="0.25">
      <c r="A1700" s="103"/>
      <c r="B1700" s="25"/>
      <c r="C1700" s="103"/>
      <c r="D1700" s="24"/>
      <c r="E1700" s="24"/>
      <c r="F1700" s="103"/>
      <c r="G1700" s="114"/>
      <c r="I1700" s="40"/>
      <c r="J1700" s="40"/>
      <c r="M1700" s="40"/>
      <c r="N1700" s="40"/>
    </row>
    <row r="1701" spans="1:14" ht="15.75" customHeight="1" x14ac:dyDescent="0.25">
      <c r="A1701" s="103"/>
      <c r="B1701" s="25"/>
      <c r="C1701" s="103"/>
      <c r="D1701" s="24"/>
      <c r="E1701" s="24"/>
      <c r="F1701" s="103"/>
      <c r="G1701" s="114"/>
      <c r="I1701" s="40"/>
      <c r="J1701" s="40"/>
      <c r="M1701" s="40"/>
      <c r="N1701" s="40"/>
    </row>
    <row r="1702" spans="1:14" ht="15.75" customHeight="1" x14ac:dyDescent="0.25">
      <c r="A1702" s="103"/>
      <c r="B1702" s="25"/>
      <c r="C1702" s="103"/>
      <c r="D1702" s="24"/>
      <c r="E1702" s="24"/>
      <c r="F1702" s="103"/>
      <c r="G1702" s="114"/>
      <c r="I1702" s="40"/>
      <c r="J1702" s="40"/>
      <c r="M1702" s="40"/>
      <c r="N1702" s="40"/>
    </row>
    <row r="1703" spans="1:14" ht="15.75" customHeight="1" x14ac:dyDescent="0.25">
      <c r="A1703" s="103"/>
      <c r="B1703" s="25"/>
      <c r="C1703" s="103"/>
      <c r="D1703" s="24"/>
      <c r="E1703" s="24"/>
      <c r="F1703" s="103"/>
      <c r="G1703" s="114"/>
      <c r="I1703" s="40"/>
      <c r="J1703" s="40"/>
      <c r="M1703" s="40"/>
      <c r="N1703" s="40"/>
    </row>
    <row r="1704" spans="1:14" ht="15.75" customHeight="1" x14ac:dyDescent="0.25">
      <c r="A1704" s="103"/>
      <c r="B1704" s="25"/>
      <c r="C1704" s="103"/>
      <c r="D1704" s="24"/>
      <c r="E1704" s="24"/>
      <c r="F1704" s="103"/>
      <c r="G1704" s="114"/>
      <c r="I1704" s="40"/>
      <c r="J1704" s="40"/>
      <c r="M1704" s="40"/>
      <c r="N1704" s="40"/>
    </row>
    <row r="1705" spans="1:14" ht="15.75" customHeight="1" x14ac:dyDescent="0.25">
      <c r="A1705" s="103"/>
      <c r="B1705" s="25"/>
      <c r="C1705" s="103"/>
      <c r="D1705" s="24"/>
      <c r="E1705" s="24"/>
      <c r="F1705" s="103"/>
      <c r="G1705" s="114"/>
      <c r="I1705" s="40"/>
      <c r="J1705" s="40"/>
      <c r="M1705" s="40"/>
      <c r="N1705" s="40"/>
    </row>
    <row r="1706" spans="1:14" ht="15.75" customHeight="1" x14ac:dyDescent="0.25">
      <c r="A1706" s="103"/>
      <c r="B1706" s="25"/>
      <c r="C1706" s="103"/>
      <c r="D1706" s="24"/>
      <c r="E1706" s="24"/>
      <c r="F1706" s="103"/>
      <c r="G1706" s="114"/>
      <c r="I1706" s="40"/>
      <c r="J1706" s="40"/>
      <c r="M1706" s="40"/>
      <c r="N1706" s="40"/>
    </row>
    <row r="1707" spans="1:14" ht="15.75" customHeight="1" x14ac:dyDescent="0.25">
      <c r="A1707" s="103"/>
      <c r="B1707" s="25"/>
      <c r="C1707" s="103"/>
      <c r="D1707" s="24"/>
      <c r="E1707" s="24"/>
      <c r="F1707" s="103"/>
      <c r="G1707" s="114"/>
      <c r="I1707" s="40"/>
      <c r="J1707" s="40"/>
      <c r="M1707" s="40"/>
      <c r="N1707" s="40"/>
    </row>
    <row r="1708" spans="1:14" ht="15.75" customHeight="1" x14ac:dyDescent="0.25">
      <c r="A1708" s="103"/>
      <c r="B1708" s="25"/>
      <c r="C1708" s="103"/>
      <c r="D1708" s="24"/>
      <c r="E1708" s="24"/>
      <c r="F1708" s="103"/>
      <c r="G1708" s="114"/>
      <c r="I1708" s="40"/>
      <c r="J1708" s="40"/>
      <c r="M1708" s="40"/>
      <c r="N1708" s="40"/>
    </row>
    <row r="1709" spans="1:14" ht="15.75" customHeight="1" x14ac:dyDescent="0.25">
      <c r="A1709" s="103"/>
      <c r="B1709" s="25"/>
      <c r="C1709" s="103"/>
      <c r="D1709" s="24"/>
      <c r="E1709" s="24"/>
      <c r="F1709" s="103"/>
      <c r="G1709" s="114"/>
      <c r="I1709" s="40"/>
      <c r="J1709" s="40"/>
      <c r="M1709" s="40"/>
      <c r="N1709" s="40"/>
    </row>
    <row r="1710" spans="1:14" ht="15.75" customHeight="1" x14ac:dyDescent="0.25">
      <c r="A1710" s="103"/>
      <c r="B1710" s="25"/>
      <c r="C1710" s="103"/>
      <c r="D1710" s="24"/>
      <c r="E1710" s="24"/>
      <c r="F1710" s="103"/>
      <c r="G1710" s="114"/>
      <c r="I1710" s="40"/>
      <c r="J1710" s="40"/>
      <c r="M1710" s="40"/>
      <c r="N1710" s="40"/>
    </row>
    <row r="1711" spans="1:14" ht="15.75" customHeight="1" x14ac:dyDescent="0.25">
      <c r="A1711" s="103"/>
      <c r="B1711" s="25"/>
      <c r="C1711" s="103"/>
      <c r="D1711" s="24"/>
      <c r="E1711" s="24"/>
      <c r="F1711" s="103"/>
      <c r="G1711" s="114"/>
      <c r="I1711" s="40"/>
      <c r="J1711" s="40"/>
      <c r="M1711" s="40"/>
      <c r="N1711" s="40"/>
    </row>
    <row r="1712" spans="1:14" ht="15.75" customHeight="1" x14ac:dyDescent="0.25">
      <c r="A1712" s="103"/>
      <c r="B1712" s="25"/>
      <c r="C1712" s="103"/>
      <c r="D1712" s="24"/>
      <c r="E1712" s="24"/>
      <c r="F1712" s="103"/>
      <c r="G1712" s="114"/>
      <c r="I1712" s="40"/>
      <c r="J1712" s="40"/>
      <c r="M1712" s="40"/>
      <c r="N1712" s="40"/>
    </row>
    <row r="1713" spans="1:14" ht="15.75" customHeight="1" x14ac:dyDescent="0.25">
      <c r="A1713" s="103"/>
      <c r="B1713" s="25"/>
      <c r="C1713" s="103"/>
      <c r="D1713" s="24"/>
      <c r="E1713" s="24"/>
      <c r="F1713" s="103"/>
      <c r="G1713" s="114"/>
      <c r="I1713" s="40"/>
      <c r="J1713" s="40"/>
      <c r="M1713" s="40"/>
      <c r="N1713" s="40"/>
    </row>
    <row r="1714" spans="1:14" ht="15.75" customHeight="1" x14ac:dyDescent="0.25">
      <c r="A1714" s="103"/>
      <c r="B1714" s="25"/>
      <c r="C1714" s="103"/>
      <c r="D1714" s="24"/>
      <c r="E1714" s="24"/>
      <c r="F1714" s="103"/>
      <c r="G1714" s="114"/>
      <c r="I1714" s="40"/>
      <c r="J1714" s="40"/>
      <c r="M1714" s="40"/>
      <c r="N1714" s="40"/>
    </row>
    <row r="1715" spans="1:14" ht="15.75" customHeight="1" x14ac:dyDescent="0.25">
      <c r="A1715" s="103"/>
      <c r="B1715" s="25"/>
      <c r="C1715" s="103"/>
      <c r="D1715" s="24"/>
      <c r="E1715" s="24"/>
      <c r="F1715" s="103"/>
      <c r="G1715" s="114"/>
      <c r="I1715" s="40"/>
      <c r="J1715" s="40"/>
      <c r="M1715" s="40"/>
      <c r="N1715" s="40"/>
    </row>
    <row r="1716" spans="1:14" ht="15.75" customHeight="1" x14ac:dyDescent="0.25">
      <c r="A1716" s="103"/>
      <c r="B1716" s="25"/>
      <c r="C1716" s="103"/>
      <c r="D1716" s="24"/>
      <c r="E1716" s="24"/>
      <c r="F1716" s="103"/>
      <c r="G1716" s="114"/>
      <c r="I1716" s="40"/>
      <c r="J1716" s="40"/>
      <c r="M1716" s="40"/>
      <c r="N1716" s="40"/>
    </row>
    <row r="1717" spans="1:14" ht="15.75" customHeight="1" x14ac:dyDescent="0.25">
      <c r="A1717" s="103"/>
      <c r="B1717" s="25"/>
      <c r="C1717" s="103"/>
      <c r="D1717" s="24"/>
      <c r="E1717" s="24"/>
      <c r="F1717" s="103"/>
      <c r="G1717" s="114"/>
      <c r="I1717" s="40"/>
      <c r="J1717" s="40"/>
      <c r="M1717" s="40"/>
      <c r="N1717" s="40"/>
    </row>
    <row r="1718" spans="1:14" ht="15.75" customHeight="1" x14ac:dyDescent="0.25">
      <c r="A1718" s="103"/>
      <c r="B1718" s="25"/>
      <c r="C1718" s="103"/>
      <c r="D1718" s="24"/>
      <c r="E1718" s="24"/>
      <c r="F1718" s="103"/>
      <c r="G1718" s="114"/>
      <c r="I1718" s="40"/>
      <c r="J1718" s="40"/>
      <c r="M1718" s="40"/>
      <c r="N1718" s="40"/>
    </row>
    <row r="1719" spans="1:14" ht="15.75" customHeight="1" x14ac:dyDescent="0.25">
      <c r="A1719" s="103"/>
      <c r="B1719" s="25"/>
      <c r="C1719" s="103"/>
      <c r="D1719" s="24"/>
      <c r="E1719" s="24"/>
      <c r="F1719" s="103"/>
      <c r="G1719" s="114"/>
      <c r="I1719" s="40"/>
      <c r="J1719" s="40"/>
      <c r="M1719" s="40"/>
      <c r="N1719" s="40"/>
    </row>
    <row r="1720" spans="1:14" ht="15.75" customHeight="1" x14ac:dyDescent="0.25">
      <c r="A1720" s="103"/>
      <c r="B1720" s="25"/>
      <c r="C1720" s="103"/>
      <c r="D1720" s="24"/>
      <c r="E1720" s="24"/>
      <c r="F1720" s="103"/>
      <c r="G1720" s="114"/>
      <c r="I1720" s="40"/>
      <c r="J1720" s="40"/>
      <c r="M1720" s="40"/>
      <c r="N1720" s="40"/>
    </row>
    <row r="1721" spans="1:14" ht="15.75" customHeight="1" x14ac:dyDescent="0.25">
      <c r="A1721" s="103"/>
      <c r="B1721" s="25"/>
      <c r="C1721" s="103"/>
      <c r="D1721" s="24"/>
      <c r="E1721" s="24"/>
      <c r="F1721" s="103"/>
      <c r="G1721" s="114"/>
      <c r="I1721" s="40"/>
      <c r="J1721" s="40"/>
      <c r="M1721" s="40"/>
      <c r="N1721" s="40"/>
    </row>
    <row r="1722" spans="1:14" ht="15.75" customHeight="1" x14ac:dyDescent="0.25">
      <c r="A1722" s="103"/>
      <c r="B1722" s="25"/>
      <c r="C1722" s="103"/>
      <c r="D1722" s="24"/>
      <c r="E1722" s="24"/>
      <c r="F1722" s="103"/>
      <c r="G1722" s="114"/>
      <c r="I1722" s="40"/>
      <c r="J1722" s="40"/>
      <c r="M1722" s="40"/>
      <c r="N1722" s="40"/>
    </row>
    <row r="1723" spans="1:14" ht="15.75" customHeight="1" x14ac:dyDescent="0.25">
      <c r="A1723" s="103"/>
      <c r="B1723" s="25"/>
      <c r="C1723" s="103"/>
      <c r="D1723" s="24"/>
      <c r="E1723" s="24"/>
      <c r="F1723" s="103"/>
      <c r="G1723" s="114"/>
      <c r="I1723" s="40"/>
      <c r="J1723" s="40"/>
      <c r="M1723" s="40"/>
      <c r="N1723" s="40"/>
    </row>
    <row r="1724" spans="1:14" ht="15.75" customHeight="1" x14ac:dyDescent="0.25">
      <c r="A1724" s="103"/>
      <c r="B1724" s="25"/>
      <c r="C1724" s="103"/>
      <c r="D1724" s="24"/>
      <c r="E1724" s="24"/>
      <c r="F1724" s="103"/>
      <c r="G1724" s="114"/>
      <c r="I1724" s="40"/>
      <c r="J1724" s="40"/>
      <c r="M1724" s="40"/>
      <c r="N1724" s="40"/>
    </row>
    <row r="1725" spans="1:14" ht="15.75" customHeight="1" x14ac:dyDescent="0.25">
      <c r="A1725" s="103"/>
      <c r="B1725" s="25"/>
      <c r="C1725" s="103"/>
      <c r="D1725" s="24"/>
      <c r="E1725" s="24"/>
      <c r="F1725" s="103"/>
      <c r="G1725" s="114"/>
      <c r="I1725" s="40"/>
      <c r="J1725" s="40"/>
      <c r="M1725" s="40"/>
      <c r="N1725" s="40"/>
    </row>
    <row r="1726" spans="1:14" ht="15.75" customHeight="1" x14ac:dyDescent="0.25">
      <c r="A1726" s="103"/>
      <c r="B1726" s="25"/>
      <c r="C1726" s="103"/>
      <c r="D1726" s="24"/>
      <c r="E1726" s="24"/>
      <c r="F1726" s="103"/>
      <c r="G1726" s="114"/>
      <c r="I1726" s="40"/>
      <c r="J1726" s="40"/>
      <c r="M1726" s="40"/>
      <c r="N1726" s="40"/>
    </row>
    <row r="1727" spans="1:14" ht="15.75" customHeight="1" x14ac:dyDescent="0.25">
      <c r="A1727" s="103"/>
      <c r="B1727" s="25"/>
      <c r="C1727" s="103"/>
      <c r="D1727" s="24"/>
      <c r="E1727" s="24"/>
      <c r="F1727" s="103"/>
      <c r="G1727" s="114"/>
      <c r="I1727" s="40"/>
      <c r="J1727" s="40"/>
      <c r="M1727" s="40"/>
      <c r="N1727" s="40"/>
    </row>
    <row r="1728" spans="1:14" ht="15.75" customHeight="1" x14ac:dyDescent="0.25">
      <c r="A1728" s="103"/>
      <c r="B1728" s="25"/>
      <c r="C1728" s="103"/>
      <c r="D1728" s="24"/>
      <c r="E1728" s="24"/>
      <c r="F1728" s="103"/>
      <c r="G1728" s="114"/>
      <c r="I1728" s="40"/>
      <c r="J1728" s="40"/>
      <c r="M1728" s="40"/>
      <c r="N1728" s="40"/>
    </row>
    <row r="1729" spans="1:14" ht="15.75" customHeight="1" x14ac:dyDescent="0.25">
      <c r="A1729" s="103"/>
      <c r="B1729" s="25"/>
      <c r="C1729" s="103"/>
      <c r="D1729" s="24"/>
      <c r="E1729" s="24"/>
      <c r="F1729" s="103"/>
      <c r="G1729" s="114"/>
      <c r="I1729" s="40"/>
      <c r="J1729" s="40"/>
      <c r="M1729" s="40"/>
      <c r="N1729" s="40"/>
    </row>
    <row r="1730" spans="1:14" ht="15.75" customHeight="1" x14ac:dyDescent="0.25">
      <c r="A1730" s="103"/>
      <c r="B1730" s="25"/>
      <c r="C1730" s="103"/>
      <c r="D1730" s="24"/>
      <c r="E1730" s="24"/>
      <c r="F1730" s="103"/>
      <c r="G1730" s="114"/>
      <c r="I1730" s="40"/>
      <c r="J1730" s="40"/>
      <c r="M1730" s="40"/>
      <c r="N1730" s="40"/>
    </row>
    <row r="1731" spans="1:14" ht="15.75" customHeight="1" x14ac:dyDescent="0.25">
      <c r="A1731" s="103"/>
      <c r="B1731" s="25"/>
      <c r="C1731" s="103"/>
      <c r="D1731" s="24"/>
      <c r="E1731" s="24"/>
      <c r="F1731" s="103"/>
      <c r="G1731" s="114"/>
      <c r="I1731" s="40"/>
      <c r="J1731" s="40"/>
      <c r="M1731" s="40"/>
      <c r="N1731" s="40"/>
    </row>
    <row r="1732" spans="1:14" ht="15.75" customHeight="1" x14ac:dyDescent="0.25">
      <c r="A1732" s="103"/>
      <c r="B1732" s="25"/>
      <c r="C1732" s="103"/>
      <c r="D1732" s="24"/>
      <c r="E1732" s="24"/>
      <c r="F1732" s="103"/>
      <c r="G1732" s="114"/>
      <c r="I1732" s="40"/>
      <c r="J1732" s="40"/>
      <c r="M1732" s="40"/>
      <c r="N1732" s="40"/>
    </row>
    <row r="1733" spans="1:14" ht="15.75" customHeight="1" x14ac:dyDescent="0.25">
      <c r="A1733" s="103"/>
      <c r="B1733" s="25"/>
      <c r="C1733" s="103"/>
      <c r="D1733" s="24"/>
      <c r="E1733" s="24"/>
      <c r="F1733" s="103"/>
      <c r="G1733" s="114"/>
      <c r="I1733" s="40"/>
      <c r="J1733" s="40"/>
      <c r="M1733" s="40"/>
      <c r="N1733" s="40"/>
    </row>
    <row r="1734" spans="1:14" ht="15.75" customHeight="1" x14ac:dyDescent="0.25">
      <c r="A1734" s="103"/>
      <c r="B1734" s="25"/>
      <c r="C1734" s="103"/>
      <c r="D1734" s="24"/>
      <c r="E1734" s="24"/>
      <c r="F1734" s="103"/>
      <c r="G1734" s="114"/>
      <c r="I1734" s="40"/>
      <c r="J1734" s="40"/>
      <c r="M1734" s="40"/>
      <c r="N1734" s="40"/>
    </row>
    <row r="1735" spans="1:14" ht="15.75" customHeight="1" x14ac:dyDescent="0.25">
      <c r="A1735" s="103"/>
      <c r="B1735" s="25"/>
      <c r="C1735" s="103"/>
      <c r="D1735" s="24"/>
      <c r="E1735" s="24"/>
      <c r="F1735" s="103"/>
      <c r="G1735" s="114"/>
      <c r="I1735" s="40"/>
      <c r="J1735" s="40"/>
      <c r="M1735" s="40"/>
      <c r="N1735" s="40"/>
    </row>
    <row r="1736" spans="1:14" ht="15.75" customHeight="1" x14ac:dyDescent="0.25">
      <c r="A1736" s="103"/>
      <c r="B1736" s="25"/>
      <c r="C1736" s="103"/>
      <c r="D1736" s="24"/>
      <c r="E1736" s="24"/>
      <c r="F1736" s="103"/>
      <c r="G1736" s="114"/>
      <c r="I1736" s="40"/>
      <c r="J1736" s="40"/>
      <c r="M1736" s="40"/>
      <c r="N1736" s="40"/>
    </row>
    <row r="1737" spans="1:14" ht="15.75" customHeight="1" x14ac:dyDescent="0.25">
      <c r="A1737" s="103"/>
      <c r="B1737" s="25"/>
      <c r="C1737" s="103"/>
      <c r="D1737" s="24"/>
      <c r="E1737" s="24"/>
      <c r="F1737" s="103"/>
      <c r="G1737" s="114"/>
      <c r="I1737" s="40"/>
      <c r="J1737" s="40"/>
      <c r="M1737" s="40"/>
      <c r="N1737" s="40"/>
    </row>
    <row r="1738" spans="1:14" ht="15.75" customHeight="1" x14ac:dyDescent="0.25">
      <c r="A1738" s="103"/>
      <c r="B1738" s="25"/>
      <c r="C1738" s="103"/>
      <c r="D1738" s="24"/>
      <c r="E1738" s="24"/>
      <c r="F1738" s="103"/>
      <c r="G1738" s="114"/>
      <c r="I1738" s="40"/>
      <c r="J1738" s="40"/>
      <c r="M1738" s="40"/>
      <c r="N1738" s="40"/>
    </row>
    <row r="1739" spans="1:14" ht="15.75" customHeight="1" x14ac:dyDescent="0.25">
      <c r="A1739" s="103"/>
      <c r="B1739" s="25"/>
      <c r="C1739" s="103"/>
      <c r="D1739" s="24"/>
      <c r="E1739" s="24"/>
      <c r="F1739" s="103"/>
      <c r="G1739" s="114"/>
      <c r="I1739" s="40"/>
      <c r="J1739" s="40"/>
      <c r="M1739" s="40"/>
      <c r="N1739" s="40"/>
    </row>
    <row r="1740" spans="1:14" ht="15.75" customHeight="1" x14ac:dyDescent="0.25">
      <c r="A1740" s="103"/>
      <c r="B1740" s="25"/>
      <c r="C1740" s="103"/>
      <c r="D1740" s="24"/>
      <c r="E1740" s="24"/>
      <c r="F1740" s="103"/>
      <c r="G1740" s="114"/>
      <c r="I1740" s="40"/>
      <c r="J1740" s="40"/>
      <c r="M1740" s="40"/>
      <c r="N1740" s="40"/>
    </row>
    <row r="1741" spans="1:14" ht="15.75" customHeight="1" x14ac:dyDescent="0.25">
      <c r="A1741" s="103"/>
      <c r="B1741" s="25"/>
      <c r="C1741" s="103"/>
      <c r="D1741" s="24"/>
      <c r="E1741" s="24"/>
      <c r="F1741" s="103"/>
      <c r="G1741" s="114"/>
      <c r="I1741" s="40"/>
      <c r="J1741" s="40"/>
      <c r="M1741" s="40"/>
      <c r="N1741" s="40"/>
    </row>
    <row r="1742" spans="1:14" ht="15.75" customHeight="1" x14ac:dyDescent="0.25">
      <c r="A1742" s="103"/>
      <c r="B1742" s="25"/>
      <c r="C1742" s="103"/>
      <c r="D1742" s="24"/>
      <c r="E1742" s="24"/>
      <c r="F1742" s="103"/>
      <c r="G1742" s="114"/>
      <c r="I1742" s="40"/>
      <c r="J1742" s="40"/>
      <c r="M1742" s="40"/>
      <c r="N1742" s="40"/>
    </row>
    <row r="1743" spans="1:14" ht="15.75" customHeight="1" x14ac:dyDescent="0.25">
      <c r="A1743" s="103"/>
      <c r="B1743" s="25"/>
      <c r="C1743" s="103"/>
      <c r="D1743" s="24"/>
      <c r="E1743" s="24"/>
      <c r="F1743" s="103"/>
      <c r="G1743" s="114"/>
      <c r="I1743" s="40"/>
      <c r="J1743" s="40"/>
      <c r="M1743" s="40"/>
      <c r="N1743" s="40"/>
    </row>
    <row r="1744" spans="1:14" ht="15.75" customHeight="1" x14ac:dyDescent="0.25">
      <c r="A1744" s="103"/>
      <c r="B1744" s="25"/>
      <c r="C1744" s="103"/>
      <c r="D1744" s="24"/>
      <c r="E1744" s="24"/>
      <c r="F1744" s="103"/>
      <c r="G1744" s="114"/>
      <c r="I1744" s="40"/>
      <c r="J1744" s="40"/>
      <c r="M1744" s="40"/>
      <c r="N1744" s="40"/>
    </row>
    <row r="1745" spans="1:14" ht="15.75" customHeight="1" x14ac:dyDescent="0.25">
      <c r="A1745" s="103"/>
      <c r="B1745" s="25"/>
      <c r="C1745" s="103"/>
      <c r="D1745" s="24"/>
      <c r="E1745" s="24"/>
      <c r="F1745" s="103"/>
      <c r="G1745" s="114"/>
      <c r="I1745" s="40"/>
      <c r="J1745" s="40"/>
      <c r="M1745" s="40"/>
      <c r="N1745" s="40"/>
    </row>
    <row r="1746" spans="1:14" ht="15.75" customHeight="1" x14ac:dyDescent="0.25">
      <c r="A1746" s="103"/>
      <c r="B1746" s="25"/>
      <c r="C1746" s="103"/>
      <c r="D1746" s="24"/>
      <c r="E1746" s="24"/>
      <c r="F1746" s="103"/>
      <c r="G1746" s="114"/>
      <c r="I1746" s="40"/>
      <c r="J1746" s="40"/>
      <c r="M1746" s="40"/>
      <c r="N1746" s="40"/>
    </row>
    <row r="1747" spans="1:14" ht="15.75" customHeight="1" x14ac:dyDescent="0.25">
      <c r="A1747" s="103"/>
      <c r="B1747" s="25"/>
      <c r="C1747" s="103"/>
      <c r="D1747" s="24"/>
      <c r="E1747" s="24"/>
      <c r="F1747" s="103"/>
      <c r="G1747" s="114"/>
      <c r="I1747" s="40"/>
      <c r="J1747" s="40"/>
      <c r="M1747" s="40"/>
      <c r="N1747" s="40"/>
    </row>
    <row r="1748" spans="1:14" ht="15.75" customHeight="1" x14ac:dyDescent="0.25">
      <c r="A1748" s="103"/>
      <c r="B1748" s="25"/>
      <c r="C1748" s="103"/>
      <c r="D1748" s="24"/>
      <c r="E1748" s="24"/>
      <c r="F1748" s="103"/>
      <c r="G1748" s="114"/>
      <c r="I1748" s="40"/>
      <c r="J1748" s="40"/>
      <c r="M1748" s="40"/>
      <c r="N1748" s="40"/>
    </row>
    <row r="1749" spans="1:14" ht="15.75" customHeight="1" x14ac:dyDescent="0.25">
      <c r="A1749" s="103"/>
      <c r="B1749" s="25"/>
      <c r="C1749" s="103"/>
      <c r="D1749" s="24"/>
      <c r="E1749" s="24"/>
      <c r="F1749" s="103"/>
      <c r="G1749" s="114"/>
      <c r="I1749" s="40"/>
      <c r="J1749" s="40"/>
      <c r="M1749" s="40"/>
      <c r="N1749" s="40"/>
    </row>
    <row r="1750" spans="1:14" ht="15.75" customHeight="1" x14ac:dyDescent="0.25">
      <c r="A1750" s="103"/>
      <c r="B1750" s="25"/>
      <c r="C1750" s="103"/>
      <c r="D1750" s="24"/>
      <c r="E1750" s="24"/>
      <c r="F1750" s="103"/>
      <c r="G1750" s="114"/>
      <c r="I1750" s="40"/>
      <c r="J1750" s="40"/>
      <c r="M1750" s="40"/>
      <c r="N1750" s="40"/>
    </row>
    <row r="1751" spans="1:14" ht="15.75" customHeight="1" x14ac:dyDescent="0.25">
      <c r="A1751" s="103"/>
      <c r="B1751" s="25"/>
      <c r="C1751" s="103"/>
      <c r="D1751" s="24"/>
      <c r="E1751" s="24"/>
      <c r="F1751" s="103"/>
      <c r="G1751" s="114"/>
      <c r="I1751" s="40"/>
      <c r="J1751" s="40"/>
      <c r="M1751" s="40"/>
      <c r="N1751" s="40"/>
    </row>
    <row r="1752" spans="1:14" ht="15.75" customHeight="1" x14ac:dyDescent="0.25">
      <c r="A1752" s="103"/>
      <c r="B1752" s="25"/>
      <c r="C1752" s="103"/>
      <c r="D1752" s="24"/>
      <c r="E1752" s="24"/>
      <c r="F1752" s="103"/>
      <c r="G1752" s="114"/>
      <c r="I1752" s="40"/>
      <c r="J1752" s="40"/>
      <c r="M1752" s="40"/>
      <c r="N1752" s="40"/>
    </row>
    <row r="1753" spans="1:14" ht="15.75" customHeight="1" x14ac:dyDescent="0.25">
      <c r="A1753" s="103"/>
      <c r="B1753" s="25"/>
      <c r="C1753" s="103"/>
      <c r="D1753" s="24"/>
      <c r="E1753" s="24"/>
      <c r="F1753" s="103"/>
      <c r="G1753" s="114"/>
      <c r="I1753" s="40"/>
      <c r="J1753" s="40"/>
      <c r="M1753" s="40"/>
      <c r="N1753" s="40"/>
    </row>
    <row r="1754" spans="1:14" ht="15.75" customHeight="1" x14ac:dyDescent="0.25">
      <c r="A1754" s="103"/>
      <c r="B1754" s="25"/>
      <c r="C1754" s="103"/>
      <c r="D1754" s="24"/>
      <c r="E1754" s="24"/>
      <c r="F1754" s="103"/>
      <c r="G1754" s="114"/>
      <c r="I1754" s="40"/>
      <c r="J1754" s="40"/>
      <c r="M1754" s="40"/>
      <c r="N1754" s="40"/>
    </row>
    <row r="1755" spans="1:14" ht="15.75" customHeight="1" x14ac:dyDescent="0.25">
      <c r="A1755" s="103"/>
      <c r="B1755" s="25"/>
      <c r="C1755" s="103"/>
      <c r="D1755" s="24"/>
      <c r="E1755" s="24"/>
      <c r="F1755" s="103"/>
      <c r="G1755" s="114"/>
      <c r="I1755" s="40"/>
      <c r="J1755" s="40"/>
      <c r="M1755" s="40"/>
      <c r="N1755" s="40"/>
    </row>
    <row r="1756" spans="1:14" ht="15.75" customHeight="1" x14ac:dyDescent="0.25">
      <c r="A1756" s="103"/>
      <c r="B1756" s="25"/>
      <c r="C1756" s="103"/>
      <c r="D1756" s="24"/>
      <c r="E1756" s="24"/>
      <c r="F1756" s="103"/>
      <c r="G1756" s="114"/>
      <c r="I1756" s="40"/>
      <c r="J1756" s="40"/>
      <c r="M1756" s="40"/>
      <c r="N1756" s="40"/>
    </row>
    <row r="1757" spans="1:14" ht="15.75" customHeight="1" x14ac:dyDescent="0.25">
      <c r="A1757" s="103"/>
      <c r="B1757" s="25"/>
      <c r="C1757" s="103"/>
      <c r="D1757" s="24"/>
      <c r="E1757" s="24"/>
      <c r="F1757" s="103"/>
      <c r="G1757" s="114"/>
      <c r="I1757" s="40"/>
      <c r="J1757" s="40"/>
      <c r="M1757" s="40"/>
      <c r="N1757" s="40"/>
    </row>
    <row r="1758" spans="1:14" ht="15.75" customHeight="1" x14ac:dyDescent="0.25">
      <c r="A1758" s="103"/>
      <c r="B1758" s="25"/>
      <c r="C1758" s="103"/>
      <c r="D1758" s="24"/>
      <c r="E1758" s="24"/>
      <c r="F1758" s="103"/>
      <c r="G1758" s="114"/>
      <c r="I1758" s="40"/>
      <c r="J1758" s="40"/>
      <c r="M1758" s="40"/>
      <c r="N1758" s="40"/>
    </row>
    <row r="1759" spans="1:14" ht="15.75" customHeight="1" x14ac:dyDescent="0.25">
      <c r="A1759" s="103"/>
      <c r="B1759" s="25"/>
      <c r="C1759" s="103"/>
      <c r="D1759" s="24"/>
      <c r="E1759" s="24"/>
      <c r="F1759" s="103"/>
      <c r="G1759" s="114"/>
      <c r="I1759" s="40"/>
      <c r="J1759" s="40"/>
      <c r="M1759" s="40"/>
      <c r="N1759" s="40"/>
    </row>
    <row r="1760" spans="1:14" ht="15.75" customHeight="1" x14ac:dyDescent="0.25">
      <c r="A1760" s="103"/>
      <c r="B1760" s="25"/>
      <c r="C1760" s="103"/>
      <c r="D1760" s="24"/>
      <c r="E1760" s="24"/>
      <c r="F1760" s="103"/>
      <c r="G1760" s="114"/>
      <c r="I1760" s="40"/>
      <c r="J1760" s="40"/>
      <c r="M1760" s="40"/>
      <c r="N1760" s="40"/>
    </row>
    <row r="1761" spans="1:14" ht="15.75" customHeight="1" x14ac:dyDescent="0.25">
      <c r="A1761" s="103"/>
      <c r="B1761" s="25"/>
      <c r="C1761" s="103"/>
      <c r="D1761" s="24"/>
      <c r="E1761" s="24"/>
      <c r="F1761" s="103"/>
      <c r="G1761" s="114"/>
      <c r="I1761" s="40"/>
      <c r="J1761" s="40"/>
      <c r="M1761" s="40"/>
      <c r="N1761" s="40"/>
    </row>
    <row r="1762" spans="1:14" ht="15.75" customHeight="1" x14ac:dyDescent="0.25">
      <c r="A1762" s="103"/>
      <c r="B1762" s="25"/>
      <c r="C1762" s="103"/>
      <c r="D1762" s="24"/>
      <c r="E1762" s="24"/>
      <c r="F1762" s="103"/>
      <c r="G1762" s="114"/>
      <c r="I1762" s="40"/>
      <c r="J1762" s="40"/>
      <c r="M1762" s="40"/>
      <c r="N1762" s="40"/>
    </row>
    <row r="1763" spans="1:14" ht="15.75" customHeight="1" x14ac:dyDescent="0.25">
      <c r="A1763" s="103"/>
      <c r="B1763" s="25"/>
      <c r="C1763" s="103"/>
      <c r="D1763" s="24"/>
      <c r="E1763" s="24"/>
      <c r="F1763" s="103"/>
      <c r="G1763" s="114"/>
      <c r="I1763" s="40"/>
      <c r="J1763" s="40"/>
      <c r="M1763" s="40"/>
      <c r="N1763" s="40"/>
    </row>
    <row r="1764" spans="1:14" ht="15.75" customHeight="1" x14ac:dyDescent="0.25">
      <c r="A1764" s="103"/>
      <c r="B1764" s="25"/>
      <c r="C1764" s="103"/>
      <c r="D1764" s="24"/>
      <c r="E1764" s="24"/>
      <c r="F1764" s="103"/>
      <c r="G1764" s="114"/>
      <c r="I1764" s="40"/>
      <c r="J1764" s="40"/>
      <c r="M1764" s="40"/>
      <c r="N1764" s="40"/>
    </row>
    <row r="1765" spans="1:14" ht="15.75" customHeight="1" x14ac:dyDescent="0.25">
      <c r="A1765" s="103"/>
      <c r="B1765" s="25"/>
      <c r="C1765" s="103"/>
      <c r="D1765" s="24"/>
      <c r="E1765" s="24"/>
      <c r="F1765" s="103"/>
      <c r="G1765" s="114"/>
      <c r="I1765" s="40"/>
      <c r="J1765" s="40"/>
      <c r="M1765" s="40"/>
      <c r="N1765" s="40"/>
    </row>
    <row r="1766" spans="1:14" ht="15.75" customHeight="1" x14ac:dyDescent="0.25">
      <c r="A1766" s="103"/>
      <c r="B1766" s="25"/>
      <c r="C1766" s="103"/>
      <c r="D1766" s="24"/>
      <c r="E1766" s="24"/>
      <c r="F1766" s="103"/>
      <c r="G1766" s="114"/>
      <c r="I1766" s="40"/>
      <c r="J1766" s="40"/>
      <c r="M1766" s="40"/>
      <c r="N1766" s="40"/>
    </row>
    <row r="1767" spans="1:14" ht="15.75" customHeight="1" x14ac:dyDescent="0.25">
      <c r="A1767" s="103"/>
      <c r="B1767" s="25"/>
      <c r="C1767" s="103"/>
      <c r="D1767" s="24"/>
      <c r="E1767" s="24"/>
      <c r="F1767" s="103"/>
      <c r="G1767" s="114"/>
      <c r="I1767" s="40"/>
      <c r="J1767" s="40"/>
      <c r="M1767" s="40"/>
      <c r="N1767" s="40"/>
    </row>
    <row r="1768" spans="1:14" ht="15.75" customHeight="1" x14ac:dyDescent="0.25">
      <c r="A1768" s="103"/>
      <c r="B1768" s="25"/>
      <c r="C1768" s="103"/>
      <c r="D1768" s="24"/>
      <c r="E1768" s="24"/>
      <c r="F1768" s="103"/>
      <c r="G1768" s="114"/>
      <c r="I1768" s="40"/>
      <c r="J1768" s="40"/>
      <c r="M1768" s="40"/>
      <c r="N1768" s="40"/>
    </row>
    <row r="1769" spans="1:14" ht="15.75" customHeight="1" x14ac:dyDescent="0.25">
      <c r="A1769" s="103"/>
      <c r="B1769" s="25"/>
      <c r="C1769" s="103"/>
      <c r="D1769" s="24"/>
      <c r="E1769" s="24"/>
      <c r="F1769" s="103"/>
      <c r="G1769" s="114"/>
      <c r="I1769" s="40"/>
      <c r="J1769" s="40"/>
      <c r="M1769" s="40"/>
      <c r="N1769" s="40"/>
    </row>
    <row r="1770" spans="1:14" ht="15.75" customHeight="1" x14ac:dyDescent="0.25">
      <c r="A1770" s="103"/>
      <c r="B1770" s="25"/>
      <c r="C1770" s="103"/>
      <c r="D1770" s="24"/>
      <c r="E1770" s="24"/>
      <c r="F1770" s="103"/>
      <c r="G1770" s="114"/>
      <c r="I1770" s="40"/>
      <c r="J1770" s="40"/>
      <c r="M1770" s="40"/>
      <c r="N1770" s="40"/>
    </row>
    <row r="1771" spans="1:14" ht="15.75" customHeight="1" x14ac:dyDescent="0.25">
      <c r="A1771" s="103"/>
      <c r="B1771" s="25"/>
      <c r="C1771" s="103"/>
      <c r="D1771" s="24"/>
      <c r="E1771" s="24"/>
      <c r="F1771" s="103"/>
      <c r="G1771" s="114"/>
      <c r="I1771" s="40"/>
      <c r="J1771" s="40"/>
      <c r="M1771" s="40"/>
      <c r="N1771" s="40"/>
    </row>
    <row r="1772" spans="1:14" ht="15.75" customHeight="1" x14ac:dyDescent="0.25">
      <c r="A1772" s="103"/>
      <c r="B1772" s="25"/>
      <c r="C1772" s="103"/>
      <c r="D1772" s="24"/>
      <c r="E1772" s="24"/>
      <c r="F1772" s="103"/>
      <c r="G1772" s="114"/>
      <c r="I1772" s="40"/>
      <c r="J1772" s="40"/>
      <c r="M1772" s="40"/>
      <c r="N1772" s="40"/>
    </row>
    <row r="1773" spans="1:14" ht="15.75" customHeight="1" x14ac:dyDescent="0.25">
      <c r="A1773" s="103"/>
      <c r="B1773" s="25"/>
      <c r="C1773" s="103"/>
      <c r="D1773" s="24"/>
      <c r="E1773" s="24"/>
      <c r="F1773" s="103"/>
      <c r="G1773" s="114"/>
      <c r="I1773" s="40"/>
      <c r="J1773" s="40"/>
      <c r="M1773" s="40"/>
      <c r="N1773" s="40"/>
    </row>
    <row r="1774" spans="1:14" ht="15.75" customHeight="1" x14ac:dyDescent="0.25">
      <c r="A1774" s="103"/>
      <c r="B1774" s="25"/>
      <c r="C1774" s="103"/>
      <c r="D1774" s="24"/>
      <c r="E1774" s="24"/>
      <c r="F1774" s="103"/>
      <c r="G1774" s="114"/>
      <c r="I1774" s="40"/>
      <c r="J1774" s="40"/>
      <c r="M1774" s="40"/>
      <c r="N1774" s="40"/>
    </row>
    <row r="1775" spans="1:14" ht="15.75" customHeight="1" x14ac:dyDescent="0.25">
      <c r="A1775" s="103"/>
      <c r="B1775" s="25"/>
      <c r="C1775" s="103"/>
      <c r="D1775" s="24"/>
      <c r="E1775" s="24"/>
      <c r="F1775" s="103"/>
      <c r="G1775" s="114"/>
      <c r="I1775" s="40"/>
      <c r="J1775" s="40"/>
      <c r="M1775" s="40"/>
      <c r="N1775" s="40"/>
    </row>
    <row r="1776" spans="1:14" ht="15.75" customHeight="1" x14ac:dyDescent="0.25">
      <c r="A1776" s="103"/>
      <c r="B1776" s="25"/>
      <c r="C1776" s="103"/>
      <c r="D1776" s="24"/>
      <c r="E1776" s="24"/>
      <c r="F1776" s="103"/>
      <c r="G1776" s="114"/>
      <c r="I1776" s="40"/>
      <c r="J1776" s="40"/>
      <c r="M1776" s="40"/>
      <c r="N1776" s="40"/>
    </row>
    <row r="1777" spans="1:14" ht="15.75" customHeight="1" x14ac:dyDescent="0.25">
      <c r="A1777" s="103"/>
      <c r="B1777" s="25"/>
      <c r="C1777" s="103"/>
      <c r="D1777" s="24"/>
      <c r="E1777" s="24"/>
      <c r="F1777" s="103"/>
      <c r="G1777" s="114"/>
      <c r="I1777" s="40"/>
      <c r="J1777" s="40"/>
      <c r="M1777" s="40"/>
      <c r="N1777" s="40"/>
    </row>
    <row r="1778" spans="1:14" ht="15.75" customHeight="1" x14ac:dyDescent="0.25">
      <c r="A1778" s="103"/>
      <c r="B1778" s="25"/>
      <c r="C1778" s="103"/>
      <c r="D1778" s="24"/>
      <c r="E1778" s="24"/>
      <c r="F1778" s="103"/>
      <c r="G1778" s="114"/>
      <c r="I1778" s="40"/>
      <c r="J1778" s="40"/>
      <c r="M1778" s="40"/>
      <c r="N1778" s="40"/>
    </row>
    <row r="1779" spans="1:14" ht="15.75" customHeight="1" x14ac:dyDescent="0.25">
      <c r="A1779" s="103"/>
      <c r="B1779" s="25"/>
      <c r="C1779" s="103"/>
      <c r="D1779" s="24"/>
      <c r="E1779" s="24"/>
      <c r="F1779" s="103"/>
      <c r="G1779" s="114"/>
      <c r="I1779" s="40"/>
      <c r="J1779" s="40"/>
      <c r="M1779" s="40"/>
      <c r="N1779" s="40"/>
    </row>
    <row r="1780" spans="1:14" ht="15.75" customHeight="1" x14ac:dyDescent="0.25">
      <c r="A1780" s="103"/>
      <c r="B1780" s="25"/>
      <c r="C1780" s="103"/>
      <c r="D1780" s="24"/>
      <c r="E1780" s="24"/>
      <c r="F1780" s="103"/>
      <c r="G1780" s="114"/>
      <c r="I1780" s="40"/>
      <c r="J1780" s="40"/>
      <c r="M1780" s="40"/>
      <c r="N1780" s="40"/>
    </row>
    <row r="1781" spans="1:14" ht="15.75" customHeight="1" x14ac:dyDescent="0.25">
      <c r="A1781" s="103"/>
      <c r="B1781" s="25"/>
      <c r="C1781" s="103"/>
      <c r="D1781" s="24"/>
      <c r="E1781" s="24"/>
      <c r="F1781" s="103"/>
      <c r="G1781" s="114"/>
      <c r="I1781" s="40"/>
      <c r="J1781" s="40"/>
      <c r="M1781" s="40"/>
      <c r="N1781" s="40"/>
    </row>
    <row r="1782" spans="1:14" ht="15.75" customHeight="1" x14ac:dyDescent="0.25">
      <c r="A1782" s="103"/>
      <c r="B1782" s="25"/>
      <c r="C1782" s="103"/>
      <c r="D1782" s="24"/>
      <c r="E1782" s="24"/>
      <c r="F1782" s="103"/>
      <c r="G1782" s="114"/>
      <c r="I1782" s="40"/>
      <c r="J1782" s="40"/>
      <c r="M1782" s="40"/>
      <c r="N1782" s="40"/>
    </row>
    <row r="1783" spans="1:14" ht="15.75" customHeight="1" x14ac:dyDescent="0.25">
      <c r="A1783" s="103"/>
      <c r="B1783" s="25"/>
      <c r="C1783" s="103"/>
      <c r="D1783" s="24"/>
      <c r="E1783" s="24"/>
      <c r="F1783" s="103"/>
      <c r="G1783" s="114"/>
      <c r="I1783" s="40"/>
      <c r="J1783" s="40"/>
      <c r="M1783" s="40"/>
      <c r="N1783" s="40"/>
    </row>
    <row r="1784" spans="1:14" ht="15.75" customHeight="1" x14ac:dyDescent="0.25">
      <c r="A1784" s="103"/>
      <c r="B1784" s="25"/>
      <c r="C1784" s="103"/>
      <c r="D1784" s="24"/>
      <c r="E1784" s="24"/>
      <c r="F1784" s="103"/>
      <c r="G1784" s="114"/>
      <c r="I1784" s="40"/>
      <c r="J1784" s="40"/>
      <c r="M1784" s="40"/>
      <c r="N1784" s="40"/>
    </row>
    <row r="1785" spans="1:14" ht="15.75" customHeight="1" x14ac:dyDescent="0.25">
      <c r="A1785" s="103"/>
      <c r="B1785" s="25"/>
      <c r="C1785" s="103"/>
      <c r="D1785" s="24"/>
      <c r="E1785" s="24"/>
      <c r="F1785" s="103"/>
      <c r="G1785" s="114"/>
      <c r="I1785" s="40"/>
      <c r="J1785" s="40"/>
      <c r="M1785" s="40"/>
      <c r="N1785" s="40"/>
    </row>
    <row r="1786" spans="1:14" ht="15.75" customHeight="1" x14ac:dyDescent="0.25">
      <c r="A1786" s="103"/>
      <c r="B1786" s="25"/>
      <c r="C1786" s="103"/>
      <c r="D1786" s="24"/>
      <c r="E1786" s="24"/>
      <c r="F1786" s="103"/>
      <c r="G1786" s="114"/>
      <c r="I1786" s="40"/>
      <c r="J1786" s="40"/>
      <c r="M1786" s="40"/>
      <c r="N1786" s="40"/>
    </row>
    <row r="1787" spans="1:14" ht="15.75" customHeight="1" x14ac:dyDescent="0.25">
      <c r="A1787" s="103"/>
      <c r="B1787" s="25"/>
      <c r="C1787" s="103"/>
      <c r="D1787" s="24"/>
      <c r="E1787" s="24"/>
      <c r="F1787" s="103"/>
      <c r="G1787" s="114"/>
      <c r="I1787" s="40"/>
      <c r="J1787" s="40"/>
      <c r="M1787" s="40"/>
      <c r="N1787" s="40"/>
    </row>
    <row r="1788" spans="1:14" ht="15.75" customHeight="1" x14ac:dyDescent="0.25">
      <c r="A1788" s="103"/>
      <c r="B1788" s="25"/>
      <c r="C1788" s="103"/>
      <c r="D1788" s="24"/>
      <c r="E1788" s="24"/>
      <c r="F1788" s="103"/>
      <c r="G1788" s="114"/>
      <c r="I1788" s="40"/>
      <c r="J1788" s="40"/>
      <c r="M1788" s="40"/>
      <c r="N1788" s="40"/>
    </row>
    <row r="1789" spans="1:14" ht="15.75" customHeight="1" x14ac:dyDescent="0.25">
      <c r="A1789" s="103"/>
      <c r="B1789" s="25"/>
      <c r="C1789" s="103"/>
      <c r="D1789" s="24"/>
      <c r="E1789" s="24"/>
      <c r="F1789" s="103"/>
      <c r="G1789" s="114"/>
      <c r="I1789" s="40"/>
      <c r="J1789" s="40"/>
      <c r="M1789" s="40"/>
      <c r="N1789" s="40"/>
    </row>
    <row r="1790" spans="1:14" ht="15.75" customHeight="1" x14ac:dyDescent="0.25">
      <c r="A1790" s="103"/>
      <c r="B1790" s="25"/>
      <c r="C1790" s="103"/>
      <c r="D1790" s="24"/>
      <c r="E1790" s="24"/>
      <c r="F1790" s="103"/>
      <c r="G1790" s="114"/>
      <c r="I1790" s="40"/>
      <c r="J1790" s="40"/>
      <c r="M1790" s="40"/>
      <c r="N1790" s="40"/>
    </row>
    <row r="1791" spans="1:14" ht="15.75" customHeight="1" x14ac:dyDescent="0.25">
      <c r="A1791" s="103"/>
      <c r="B1791" s="25"/>
      <c r="C1791" s="103"/>
      <c r="D1791" s="24"/>
      <c r="E1791" s="24"/>
      <c r="F1791" s="103"/>
      <c r="G1791" s="114"/>
      <c r="I1791" s="40"/>
      <c r="J1791" s="40"/>
      <c r="M1791" s="40"/>
      <c r="N1791" s="40"/>
    </row>
    <row r="1792" spans="1:14" ht="15.75" customHeight="1" x14ac:dyDescent="0.25">
      <c r="A1792" s="103"/>
      <c r="B1792" s="25"/>
      <c r="C1792" s="103"/>
      <c r="D1792" s="24"/>
      <c r="E1792" s="24"/>
      <c r="F1792" s="103"/>
      <c r="G1792" s="114"/>
      <c r="I1792" s="40"/>
      <c r="J1792" s="40"/>
      <c r="M1792" s="40"/>
      <c r="N1792" s="40"/>
    </row>
    <row r="1793" spans="1:14" ht="15.75" customHeight="1" x14ac:dyDescent="0.25">
      <c r="A1793" s="103"/>
      <c r="B1793" s="25"/>
      <c r="C1793" s="103"/>
      <c r="D1793" s="24"/>
      <c r="E1793" s="24"/>
      <c r="F1793" s="103"/>
      <c r="G1793" s="114"/>
      <c r="I1793" s="40"/>
      <c r="J1793" s="40"/>
      <c r="M1793" s="40"/>
      <c r="N1793" s="40"/>
    </row>
    <row r="1794" spans="1:14" ht="15.75" customHeight="1" x14ac:dyDescent="0.25">
      <c r="A1794" s="103"/>
      <c r="B1794" s="25"/>
      <c r="C1794" s="103"/>
      <c r="D1794" s="24"/>
      <c r="E1794" s="24"/>
      <c r="F1794" s="103"/>
      <c r="G1794" s="114"/>
      <c r="I1794" s="40"/>
      <c r="J1794" s="40"/>
      <c r="M1794" s="40"/>
      <c r="N1794" s="40"/>
    </row>
    <row r="1795" spans="1:14" ht="15.75" customHeight="1" x14ac:dyDescent="0.25">
      <c r="A1795" s="103"/>
      <c r="B1795" s="25"/>
      <c r="C1795" s="103"/>
      <c r="D1795" s="24"/>
      <c r="E1795" s="24"/>
      <c r="F1795" s="103"/>
      <c r="G1795" s="114"/>
      <c r="I1795" s="40"/>
      <c r="J1795" s="40"/>
      <c r="M1795" s="40"/>
      <c r="N1795" s="40"/>
    </row>
    <row r="1796" spans="1:14" ht="15.75" customHeight="1" x14ac:dyDescent="0.25">
      <c r="A1796" s="103"/>
      <c r="B1796" s="25"/>
      <c r="C1796" s="103"/>
      <c r="D1796" s="24"/>
      <c r="E1796" s="24"/>
      <c r="F1796" s="103"/>
      <c r="G1796" s="114"/>
      <c r="I1796" s="40"/>
      <c r="J1796" s="40"/>
      <c r="M1796" s="40"/>
      <c r="N1796" s="40"/>
    </row>
    <row r="1797" spans="1:14" ht="15.75" customHeight="1" x14ac:dyDescent="0.25">
      <c r="A1797" s="103"/>
      <c r="B1797" s="25"/>
      <c r="C1797" s="103"/>
      <c r="D1797" s="24"/>
      <c r="E1797" s="24"/>
      <c r="F1797" s="103"/>
      <c r="G1797" s="114"/>
      <c r="I1797" s="40"/>
      <c r="J1797" s="40"/>
      <c r="M1797" s="40"/>
      <c r="N1797" s="40"/>
    </row>
    <row r="1798" spans="1:14" ht="15.75" customHeight="1" x14ac:dyDescent="0.25">
      <c r="A1798" s="103"/>
      <c r="B1798" s="25"/>
      <c r="C1798" s="103"/>
      <c r="D1798" s="24"/>
      <c r="E1798" s="24"/>
      <c r="F1798" s="103"/>
      <c r="G1798" s="114"/>
      <c r="I1798" s="40"/>
      <c r="J1798" s="40"/>
      <c r="M1798" s="40"/>
      <c r="N1798" s="40"/>
    </row>
    <row r="1799" spans="1:14" ht="15.75" customHeight="1" x14ac:dyDescent="0.25">
      <c r="A1799" s="103"/>
      <c r="B1799" s="25"/>
      <c r="C1799" s="103"/>
      <c r="D1799" s="24"/>
      <c r="E1799" s="24"/>
      <c r="F1799" s="103"/>
      <c r="G1799" s="114"/>
      <c r="I1799" s="40"/>
      <c r="J1799" s="40"/>
      <c r="M1799" s="40"/>
      <c r="N1799" s="40"/>
    </row>
    <row r="1800" spans="1:14" ht="15.75" customHeight="1" x14ac:dyDescent="0.25">
      <c r="A1800" s="103"/>
      <c r="B1800" s="25"/>
      <c r="C1800" s="103"/>
      <c r="D1800" s="24"/>
      <c r="E1800" s="24"/>
      <c r="F1800" s="103"/>
      <c r="G1800" s="114"/>
      <c r="I1800" s="40"/>
      <c r="J1800" s="40"/>
      <c r="M1800" s="40"/>
      <c r="N1800" s="40"/>
    </row>
    <row r="1801" spans="1:14" ht="15.75" customHeight="1" x14ac:dyDescent="0.25">
      <c r="A1801" s="103"/>
      <c r="B1801" s="25"/>
      <c r="C1801" s="103"/>
      <c r="D1801" s="24"/>
      <c r="E1801" s="24"/>
      <c r="F1801" s="103"/>
      <c r="G1801" s="114"/>
      <c r="I1801" s="40"/>
      <c r="J1801" s="40"/>
      <c r="M1801" s="40"/>
      <c r="N1801" s="40"/>
    </row>
    <row r="1802" spans="1:14" ht="15.75" customHeight="1" x14ac:dyDescent="0.25">
      <c r="A1802" s="103"/>
      <c r="B1802" s="25"/>
      <c r="C1802" s="103"/>
      <c r="D1802" s="24"/>
      <c r="E1802" s="24"/>
      <c r="F1802" s="103"/>
      <c r="G1802" s="114"/>
      <c r="I1802" s="40"/>
      <c r="J1802" s="40"/>
      <c r="M1802" s="40"/>
      <c r="N1802" s="40"/>
    </row>
    <row r="1803" spans="1:14" ht="15.75" customHeight="1" x14ac:dyDescent="0.25">
      <c r="A1803" s="103"/>
      <c r="B1803" s="25"/>
      <c r="C1803" s="103"/>
      <c r="D1803" s="24"/>
      <c r="E1803" s="24"/>
      <c r="F1803" s="103"/>
      <c r="G1803" s="114"/>
      <c r="I1803" s="40"/>
      <c r="J1803" s="40"/>
      <c r="M1803" s="40"/>
      <c r="N1803" s="40"/>
    </row>
    <row r="1804" spans="1:14" ht="15.75" customHeight="1" x14ac:dyDescent="0.25">
      <c r="A1804" s="103"/>
      <c r="B1804" s="25"/>
      <c r="C1804" s="103"/>
      <c r="D1804" s="24"/>
      <c r="E1804" s="24"/>
      <c r="F1804" s="103"/>
      <c r="G1804" s="114"/>
      <c r="I1804" s="40"/>
      <c r="J1804" s="40"/>
      <c r="M1804" s="40"/>
      <c r="N1804" s="40"/>
    </row>
    <row r="1805" spans="1:14" ht="15.75" customHeight="1" x14ac:dyDescent="0.25">
      <c r="A1805" s="103"/>
      <c r="B1805" s="25"/>
      <c r="C1805" s="103"/>
      <c r="D1805" s="24"/>
      <c r="E1805" s="24"/>
      <c r="F1805" s="103"/>
      <c r="G1805" s="114"/>
      <c r="I1805" s="40"/>
      <c r="J1805" s="40"/>
      <c r="M1805" s="40"/>
      <c r="N1805" s="40"/>
    </row>
    <row r="1806" spans="1:14" ht="15.75" customHeight="1" x14ac:dyDescent="0.25">
      <c r="A1806" s="103"/>
      <c r="B1806" s="25"/>
      <c r="C1806" s="103"/>
      <c r="D1806" s="24"/>
      <c r="E1806" s="24"/>
      <c r="F1806" s="103"/>
      <c r="G1806" s="114"/>
      <c r="I1806" s="40"/>
      <c r="J1806" s="40"/>
      <c r="M1806" s="40"/>
      <c r="N1806" s="40"/>
    </row>
    <row r="1807" spans="1:14" ht="15.75" customHeight="1" x14ac:dyDescent="0.25">
      <c r="A1807" s="103"/>
      <c r="B1807" s="25"/>
      <c r="C1807" s="103"/>
      <c r="D1807" s="24"/>
      <c r="E1807" s="24"/>
      <c r="F1807" s="103"/>
      <c r="G1807" s="114"/>
      <c r="I1807" s="40"/>
      <c r="J1807" s="40"/>
      <c r="M1807" s="40"/>
      <c r="N1807" s="40"/>
    </row>
    <row r="1808" spans="1:14" ht="15.75" customHeight="1" x14ac:dyDescent="0.25">
      <c r="A1808" s="103"/>
      <c r="B1808" s="25"/>
      <c r="C1808" s="103"/>
      <c r="D1808" s="24"/>
      <c r="E1808" s="24"/>
      <c r="F1808" s="103"/>
      <c r="G1808" s="114"/>
      <c r="I1808" s="40"/>
      <c r="J1808" s="40"/>
      <c r="M1808" s="40"/>
      <c r="N1808" s="40"/>
    </row>
    <row r="1809" spans="1:14" ht="15.75" customHeight="1" x14ac:dyDescent="0.25">
      <c r="A1809" s="103"/>
      <c r="B1809" s="25"/>
      <c r="C1809" s="103"/>
      <c r="D1809" s="24"/>
      <c r="E1809" s="24"/>
      <c r="F1809" s="103"/>
      <c r="G1809" s="114"/>
      <c r="I1809" s="40"/>
      <c r="J1809" s="40"/>
      <c r="M1809" s="40"/>
      <c r="N1809" s="40"/>
    </row>
    <row r="1810" spans="1:14" ht="15.75" customHeight="1" x14ac:dyDescent="0.25">
      <c r="A1810" s="103"/>
      <c r="B1810" s="25"/>
      <c r="C1810" s="103"/>
      <c r="D1810" s="24"/>
      <c r="E1810" s="24"/>
      <c r="F1810" s="103"/>
      <c r="G1810" s="114"/>
      <c r="I1810" s="40"/>
      <c r="J1810" s="40"/>
      <c r="M1810" s="40"/>
      <c r="N1810" s="40"/>
    </row>
    <row r="1811" spans="1:14" ht="15.75" customHeight="1" x14ac:dyDescent="0.25">
      <c r="A1811" s="103"/>
      <c r="B1811" s="25"/>
      <c r="C1811" s="103"/>
      <c r="D1811" s="24"/>
      <c r="E1811" s="24"/>
      <c r="F1811" s="103"/>
      <c r="G1811" s="114"/>
      <c r="I1811" s="40"/>
      <c r="J1811" s="40"/>
      <c r="M1811" s="40"/>
      <c r="N1811" s="40"/>
    </row>
    <row r="1812" spans="1:14" ht="15.75" customHeight="1" x14ac:dyDescent="0.25">
      <c r="A1812" s="103"/>
      <c r="B1812" s="25"/>
      <c r="C1812" s="103"/>
      <c r="D1812" s="24"/>
      <c r="E1812" s="24"/>
      <c r="F1812" s="103"/>
      <c r="G1812" s="114"/>
      <c r="I1812" s="40"/>
      <c r="J1812" s="40"/>
      <c r="M1812" s="40"/>
      <c r="N1812" s="40"/>
    </row>
    <row r="1813" spans="1:14" ht="15.75" customHeight="1" x14ac:dyDescent="0.25">
      <c r="A1813" s="103"/>
      <c r="B1813" s="25"/>
      <c r="C1813" s="103"/>
      <c r="D1813" s="24"/>
      <c r="E1813" s="24"/>
      <c r="F1813" s="103"/>
      <c r="G1813" s="114"/>
      <c r="I1813" s="40"/>
      <c r="J1813" s="40"/>
      <c r="M1813" s="40"/>
      <c r="N1813" s="40"/>
    </row>
    <row r="1814" spans="1:14" ht="15.75" customHeight="1" x14ac:dyDescent="0.25">
      <c r="A1814" s="103"/>
      <c r="B1814" s="25"/>
      <c r="C1814" s="103"/>
      <c r="D1814" s="24"/>
      <c r="E1814" s="24"/>
      <c r="F1814" s="103"/>
      <c r="G1814" s="114"/>
      <c r="I1814" s="40"/>
      <c r="J1814" s="40"/>
      <c r="M1814" s="40"/>
      <c r="N1814" s="40"/>
    </row>
    <row r="1815" spans="1:14" ht="15.75" customHeight="1" x14ac:dyDescent="0.25">
      <c r="A1815" s="103"/>
      <c r="B1815" s="25"/>
      <c r="C1815" s="103"/>
      <c r="D1815" s="24"/>
      <c r="E1815" s="24"/>
      <c r="F1815" s="103"/>
      <c r="G1815" s="114"/>
      <c r="I1815" s="40"/>
      <c r="J1815" s="40"/>
      <c r="M1815" s="40"/>
      <c r="N1815" s="40"/>
    </row>
    <row r="1816" spans="1:14" ht="15.75" customHeight="1" x14ac:dyDescent="0.25">
      <c r="A1816" s="103"/>
      <c r="B1816" s="25"/>
      <c r="C1816" s="103"/>
      <c r="D1816" s="24"/>
      <c r="E1816" s="24"/>
      <c r="F1816" s="103"/>
      <c r="G1816" s="114"/>
      <c r="I1816" s="40"/>
      <c r="J1816" s="40"/>
      <c r="M1816" s="40"/>
      <c r="N1816" s="40"/>
    </row>
    <row r="1817" spans="1:14" ht="15.75" customHeight="1" x14ac:dyDescent="0.25">
      <c r="A1817" s="103"/>
      <c r="B1817" s="25"/>
      <c r="C1817" s="103"/>
      <c r="D1817" s="24"/>
      <c r="E1817" s="24"/>
      <c r="F1817" s="103"/>
      <c r="G1817" s="114"/>
      <c r="I1817" s="40"/>
      <c r="J1817" s="40"/>
      <c r="M1817" s="40"/>
      <c r="N1817" s="40"/>
    </row>
    <row r="1818" spans="1:14" ht="15.75" customHeight="1" x14ac:dyDescent="0.25">
      <c r="A1818" s="103"/>
      <c r="B1818" s="25"/>
      <c r="C1818" s="103"/>
      <c r="D1818" s="24"/>
      <c r="E1818" s="24"/>
      <c r="F1818" s="103"/>
      <c r="G1818" s="114"/>
      <c r="I1818" s="40"/>
      <c r="J1818" s="40"/>
      <c r="M1818" s="40"/>
      <c r="N1818" s="40"/>
    </row>
    <row r="1819" spans="1:14" ht="15.75" customHeight="1" x14ac:dyDescent="0.25">
      <c r="A1819" s="103"/>
      <c r="B1819" s="25"/>
      <c r="C1819" s="103"/>
      <c r="D1819" s="24"/>
      <c r="E1819" s="24"/>
      <c r="F1819" s="103"/>
      <c r="G1819" s="114"/>
      <c r="I1819" s="40"/>
      <c r="J1819" s="40"/>
      <c r="M1819" s="40"/>
      <c r="N1819" s="40"/>
    </row>
    <row r="1820" spans="1:14" ht="15.75" customHeight="1" x14ac:dyDescent="0.25">
      <c r="A1820" s="103"/>
      <c r="B1820" s="25"/>
      <c r="C1820" s="103"/>
      <c r="D1820" s="24"/>
      <c r="E1820" s="24"/>
      <c r="F1820" s="103"/>
      <c r="G1820" s="114"/>
      <c r="I1820" s="40"/>
      <c r="J1820" s="40"/>
      <c r="M1820" s="40"/>
      <c r="N1820" s="40"/>
    </row>
    <row r="1821" spans="1:14" ht="15.75" customHeight="1" x14ac:dyDescent="0.25">
      <c r="A1821" s="103"/>
      <c r="B1821" s="25"/>
      <c r="C1821" s="103"/>
      <c r="D1821" s="24"/>
      <c r="E1821" s="24"/>
      <c r="F1821" s="103"/>
      <c r="G1821" s="114"/>
      <c r="I1821" s="40"/>
      <c r="J1821" s="40"/>
      <c r="M1821" s="40"/>
      <c r="N1821" s="40"/>
    </row>
    <row r="1822" spans="1:14" ht="15.75" customHeight="1" x14ac:dyDescent="0.25">
      <c r="A1822" s="103"/>
      <c r="B1822" s="25"/>
      <c r="C1822" s="103"/>
      <c r="D1822" s="24"/>
      <c r="E1822" s="24"/>
      <c r="F1822" s="103"/>
      <c r="G1822" s="114"/>
      <c r="I1822" s="40"/>
      <c r="J1822" s="40"/>
      <c r="M1822" s="40"/>
      <c r="N1822" s="40"/>
    </row>
    <row r="1823" spans="1:14" ht="15.75" customHeight="1" x14ac:dyDescent="0.25">
      <c r="A1823" s="103"/>
      <c r="B1823" s="25"/>
      <c r="C1823" s="103"/>
      <c r="D1823" s="24"/>
      <c r="E1823" s="24"/>
      <c r="F1823" s="103"/>
      <c r="G1823" s="114"/>
      <c r="I1823" s="40"/>
      <c r="J1823" s="40"/>
      <c r="M1823" s="40"/>
      <c r="N1823" s="40"/>
    </row>
    <row r="1824" spans="1:14" ht="15.75" customHeight="1" x14ac:dyDescent="0.25">
      <c r="A1824" s="103"/>
      <c r="B1824" s="25"/>
      <c r="C1824" s="103"/>
      <c r="D1824" s="24"/>
      <c r="E1824" s="24"/>
      <c r="F1824" s="103"/>
      <c r="G1824" s="114"/>
      <c r="I1824" s="40"/>
      <c r="J1824" s="40"/>
      <c r="M1824" s="40"/>
      <c r="N1824" s="40"/>
    </row>
    <row r="1825" spans="1:14" ht="15.75" customHeight="1" x14ac:dyDescent="0.25">
      <c r="A1825" s="103"/>
      <c r="B1825" s="25"/>
      <c r="C1825" s="103"/>
      <c r="D1825" s="24"/>
      <c r="E1825" s="24"/>
      <c r="F1825" s="103"/>
      <c r="G1825" s="114"/>
      <c r="I1825" s="40"/>
      <c r="J1825" s="40"/>
      <c r="M1825" s="40"/>
      <c r="N1825" s="40"/>
    </row>
    <row r="1826" spans="1:14" ht="15.75" customHeight="1" x14ac:dyDescent="0.25">
      <c r="A1826" s="103"/>
      <c r="B1826" s="25"/>
      <c r="C1826" s="103"/>
      <c r="D1826" s="24"/>
      <c r="E1826" s="24"/>
      <c r="F1826" s="103"/>
      <c r="G1826" s="114"/>
      <c r="I1826" s="40"/>
      <c r="J1826" s="40"/>
      <c r="M1826" s="40"/>
      <c r="N1826" s="40"/>
    </row>
    <row r="1827" spans="1:14" ht="15.75" customHeight="1" x14ac:dyDescent="0.25">
      <c r="A1827" s="103"/>
      <c r="B1827" s="25"/>
      <c r="C1827" s="103"/>
      <c r="D1827" s="24"/>
      <c r="E1827" s="24"/>
      <c r="F1827" s="103"/>
      <c r="G1827" s="114"/>
      <c r="I1827" s="40"/>
      <c r="J1827" s="40"/>
      <c r="M1827" s="40"/>
      <c r="N1827" s="40"/>
    </row>
    <row r="1828" spans="1:14" ht="15.75" customHeight="1" x14ac:dyDescent="0.25">
      <c r="A1828" s="103"/>
      <c r="B1828" s="25"/>
      <c r="C1828" s="103"/>
      <c r="D1828" s="24"/>
      <c r="E1828" s="24"/>
      <c r="F1828" s="103"/>
      <c r="G1828" s="114"/>
      <c r="I1828" s="40"/>
      <c r="J1828" s="40"/>
      <c r="M1828" s="40"/>
      <c r="N1828" s="40"/>
    </row>
    <row r="1829" spans="1:14" ht="15.75" customHeight="1" x14ac:dyDescent="0.25">
      <c r="A1829" s="103"/>
      <c r="B1829" s="25"/>
      <c r="C1829" s="103"/>
      <c r="D1829" s="24"/>
      <c r="E1829" s="24"/>
      <c r="F1829" s="103"/>
      <c r="G1829" s="114"/>
      <c r="I1829" s="40"/>
      <c r="J1829" s="40"/>
      <c r="M1829" s="40"/>
      <c r="N1829" s="40"/>
    </row>
    <row r="1830" spans="1:14" ht="15.75" customHeight="1" x14ac:dyDescent="0.25">
      <c r="A1830" s="103"/>
      <c r="B1830" s="25"/>
      <c r="C1830" s="103"/>
      <c r="D1830" s="24"/>
      <c r="E1830" s="24"/>
      <c r="F1830" s="103"/>
      <c r="G1830" s="114"/>
      <c r="I1830" s="40"/>
      <c r="J1830" s="40"/>
      <c r="M1830" s="40"/>
      <c r="N1830" s="40"/>
    </row>
    <row r="1831" spans="1:14" ht="15.75" customHeight="1" x14ac:dyDescent="0.25">
      <c r="A1831" s="103"/>
      <c r="B1831" s="25"/>
      <c r="C1831" s="103"/>
      <c r="D1831" s="24"/>
      <c r="E1831" s="24"/>
      <c r="F1831" s="103"/>
      <c r="G1831" s="114"/>
      <c r="I1831" s="40"/>
      <c r="J1831" s="40"/>
      <c r="M1831" s="40"/>
      <c r="N1831" s="40"/>
    </row>
    <row r="1832" spans="1:14" ht="15.75" customHeight="1" x14ac:dyDescent="0.25">
      <c r="A1832" s="103"/>
      <c r="B1832" s="25"/>
      <c r="C1832" s="103"/>
      <c r="D1832" s="24"/>
      <c r="E1832" s="24"/>
      <c r="F1832" s="103"/>
      <c r="G1832" s="114"/>
      <c r="I1832" s="40"/>
      <c r="J1832" s="40"/>
      <c r="M1832" s="40"/>
      <c r="N1832" s="40"/>
    </row>
    <row r="1833" spans="1:14" ht="15.75" customHeight="1" x14ac:dyDescent="0.25">
      <c r="A1833" s="103"/>
      <c r="B1833" s="25"/>
      <c r="C1833" s="103"/>
      <c r="D1833" s="24"/>
      <c r="E1833" s="24"/>
      <c r="F1833" s="103"/>
      <c r="G1833" s="114"/>
      <c r="I1833" s="40"/>
      <c r="J1833" s="40"/>
      <c r="M1833" s="40"/>
      <c r="N1833" s="40"/>
    </row>
    <row r="1834" spans="1:14" ht="15.75" customHeight="1" x14ac:dyDescent="0.25">
      <c r="A1834" s="103"/>
      <c r="B1834" s="25"/>
      <c r="C1834" s="103"/>
      <c r="D1834" s="24"/>
      <c r="E1834" s="24"/>
      <c r="F1834" s="103"/>
      <c r="G1834" s="114"/>
      <c r="I1834" s="40"/>
      <c r="J1834" s="40"/>
      <c r="M1834" s="40"/>
      <c r="N1834" s="40"/>
    </row>
    <row r="1835" spans="1:14" ht="15.75" customHeight="1" x14ac:dyDescent="0.25">
      <c r="A1835" s="103"/>
      <c r="B1835" s="25"/>
      <c r="C1835" s="103"/>
      <c r="D1835" s="24"/>
      <c r="E1835" s="24"/>
      <c r="F1835" s="103"/>
      <c r="G1835" s="114"/>
      <c r="I1835" s="40"/>
      <c r="J1835" s="40"/>
      <c r="M1835" s="40"/>
      <c r="N1835" s="40"/>
    </row>
    <row r="1836" spans="1:14" ht="15.75" customHeight="1" x14ac:dyDescent="0.25">
      <c r="A1836" s="103"/>
      <c r="B1836" s="25"/>
      <c r="C1836" s="103"/>
      <c r="D1836" s="24"/>
      <c r="E1836" s="24"/>
      <c r="F1836" s="103"/>
      <c r="G1836" s="114"/>
      <c r="I1836" s="40"/>
      <c r="J1836" s="40"/>
      <c r="M1836" s="40"/>
      <c r="N1836" s="40"/>
    </row>
    <row r="1837" spans="1:14" ht="15.75" customHeight="1" x14ac:dyDescent="0.25">
      <c r="A1837" s="103"/>
      <c r="B1837" s="25"/>
      <c r="C1837" s="103"/>
      <c r="D1837" s="24"/>
      <c r="E1837" s="24"/>
      <c r="F1837" s="103"/>
      <c r="G1837" s="114"/>
      <c r="I1837" s="40"/>
      <c r="J1837" s="40"/>
      <c r="M1837" s="40"/>
      <c r="N1837" s="40"/>
    </row>
    <row r="1838" spans="1:14" ht="15.75" customHeight="1" x14ac:dyDescent="0.25">
      <c r="A1838" s="103"/>
      <c r="B1838" s="25"/>
      <c r="C1838" s="103"/>
      <c r="D1838" s="24"/>
      <c r="E1838" s="24"/>
      <c r="F1838" s="103"/>
      <c r="G1838" s="114"/>
      <c r="I1838" s="40"/>
      <c r="J1838" s="40"/>
      <c r="M1838" s="40"/>
      <c r="N1838" s="40"/>
    </row>
    <row r="1839" spans="1:14" ht="15.75" customHeight="1" x14ac:dyDescent="0.25">
      <c r="A1839" s="103"/>
      <c r="B1839" s="25"/>
      <c r="C1839" s="103"/>
      <c r="D1839" s="24"/>
      <c r="E1839" s="24"/>
      <c r="F1839" s="103"/>
      <c r="G1839" s="114"/>
      <c r="I1839" s="40"/>
      <c r="J1839" s="40"/>
      <c r="M1839" s="40"/>
      <c r="N1839" s="40"/>
    </row>
    <row r="1840" spans="1:14" ht="15.75" customHeight="1" x14ac:dyDescent="0.25">
      <c r="A1840" s="103"/>
      <c r="B1840" s="25"/>
      <c r="C1840" s="103"/>
      <c r="D1840" s="24"/>
      <c r="E1840" s="24"/>
      <c r="F1840" s="103"/>
      <c r="G1840" s="114"/>
      <c r="I1840" s="40"/>
      <c r="J1840" s="40"/>
      <c r="M1840" s="40"/>
      <c r="N1840" s="40"/>
    </row>
    <row r="1841" spans="1:14" ht="15.75" customHeight="1" x14ac:dyDescent="0.25">
      <c r="A1841" s="103"/>
      <c r="B1841" s="25"/>
      <c r="C1841" s="103"/>
      <c r="D1841" s="24"/>
      <c r="E1841" s="24"/>
      <c r="F1841" s="103"/>
      <c r="G1841" s="114"/>
      <c r="I1841" s="40"/>
      <c r="J1841" s="40"/>
      <c r="M1841" s="40"/>
      <c r="N1841" s="40"/>
    </row>
    <row r="1842" spans="1:14" ht="15.75" customHeight="1" x14ac:dyDescent="0.25">
      <c r="A1842" s="103"/>
      <c r="B1842" s="25"/>
      <c r="C1842" s="103"/>
      <c r="D1842" s="24"/>
      <c r="E1842" s="24"/>
      <c r="F1842" s="103"/>
      <c r="G1842" s="114"/>
      <c r="I1842" s="40"/>
      <c r="J1842" s="40"/>
      <c r="M1842" s="40"/>
      <c r="N1842" s="40"/>
    </row>
    <row r="1843" spans="1:14" ht="15.75" customHeight="1" x14ac:dyDescent="0.25">
      <c r="A1843" s="103"/>
      <c r="B1843" s="25"/>
      <c r="C1843" s="103"/>
      <c r="D1843" s="24"/>
      <c r="E1843" s="24"/>
      <c r="F1843" s="103"/>
      <c r="G1843" s="114"/>
      <c r="I1843" s="40"/>
      <c r="J1843" s="40"/>
      <c r="M1843" s="40"/>
      <c r="N1843" s="40"/>
    </row>
    <row r="1844" spans="1:14" ht="15.75" customHeight="1" x14ac:dyDescent="0.25">
      <c r="A1844" s="103"/>
      <c r="B1844" s="25"/>
      <c r="C1844" s="103"/>
      <c r="D1844" s="24"/>
      <c r="E1844" s="24"/>
      <c r="F1844" s="103"/>
      <c r="G1844" s="114"/>
      <c r="I1844" s="40"/>
      <c r="J1844" s="40"/>
      <c r="M1844" s="40"/>
      <c r="N1844" s="40"/>
    </row>
    <row r="1845" spans="1:14" ht="15.75" customHeight="1" x14ac:dyDescent="0.25">
      <c r="A1845" s="103"/>
      <c r="B1845" s="25"/>
      <c r="C1845" s="103"/>
      <c r="D1845" s="24"/>
      <c r="E1845" s="24"/>
      <c r="F1845" s="103"/>
      <c r="G1845" s="114"/>
      <c r="I1845" s="40"/>
      <c r="J1845" s="40"/>
      <c r="M1845" s="40"/>
      <c r="N1845" s="40"/>
    </row>
    <row r="1846" spans="1:14" ht="15.75" customHeight="1" x14ac:dyDescent="0.25">
      <c r="A1846" s="103"/>
      <c r="B1846" s="25"/>
      <c r="C1846" s="103"/>
      <c r="D1846" s="24"/>
      <c r="E1846" s="24"/>
      <c r="F1846" s="103"/>
      <c r="G1846" s="114"/>
      <c r="I1846" s="40"/>
      <c r="J1846" s="40"/>
      <c r="M1846" s="40"/>
      <c r="N1846" s="40"/>
    </row>
    <row r="1847" spans="1:14" ht="15.75" customHeight="1" x14ac:dyDescent="0.25">
      <c r="A1847" s="103"/>
      <c r="B1847" s="25"/>
      <c r="C1847" s="103"/>
      <c r="D1847" s="24"/>
      <c r="E1847" s="24"/>
      <c r="F1847" s="103"/>
      <c r="G1847" s="114"/>
      <c r="I1847" s="40"/>
      <c r="J1847" s="40"/>
      <c r="M1847" s="40"/>
      <c r="N1847" s="40"/>
    </row>
    <row r="1848" spans="1:14" ht="15.75" customHeight="1" x14ac:dyDescent="0.25">
      <c r="A1848" s="103"/>
      <c r="B1848" s="25"/>
      <c r="C1848" s="103"/>
      <c r="D1848" s="24"/>
      <c r="E1848" s="24"/>
      <c r="F1848" s="103"/>
      <c r="G1848" s="114"/>
      <c r="I1848" s="40"/>
      <c r="J1848" s="40"/>
      <c r="M1848" s="40"/>
      <c r="N1848" s="40"/>
    </row>
    <row r="1849" spans="1:14" ht="15.75" customHeight="1" x14ac:dyDescent="0.25">
      <c r="A1849" s="103"/>
      <c r="B1849" s="25"/>
      <c r="C1849" s="103"/>
      <c r="D1849" s="24"/>
      <c r="E1849" s="24"/>
      <c r="F1849" s="103"/>
      <c r="G1849" s="114"/>
      <c r="I1849" s="40"/>
      <c r="J1849" s="40"/>
      <c r="M1849" s="40"/>
      <c r="N1849" s="40"/>
    </row>
    <row r="1850" spans="1:14" ht="15.75" customHeight="1" x14ac:dyDescent="0.25">
      <c r="A1850" s="103"/>
      <c r="B1850" s="25"/>
      <c r="C1850" s="103"/>
      <c r="D1850" s="24"/>
      <c r="E1850" s="24"/>
      <c r="F1850" s="103"/>
      <c r="G1850" s="114"/>
      <c r="I1850" s="40"/>
      <c r="J1850" s="40"/>
      <c r="M1850" s="40"/>
      <c r="N1850" s="40"/>
    </row>
    <row r="1851" spans="1:14" ht="15.75" customHeight="1" x14ac:dyDescent="0.25">
      <c r="A1851" s="103"/>
      <c r="B1851" s="25"/>
      <c r="C1851" s="103"/>
      <c r="D1851" s="24"/>
      <c r="E1851" s="24"/>
      <c r="F1851" s="103"/>
      <c r="G1851" s="114"/>
      <c r="I1851" s="40"/>
      <c r="J1851" s="40"/>
      <c r="M1851" s="40"/>
      <c r="N1851" s="40"/>
    </row>
    <row r="1852" spans="1:14" ht="15.75" customHeight="1" x14ac:dyDescent="0.25">
      <c r="A1852" s="103"/>
      <c r="B1852" s="25"/>
      <c r="C1852" s="103"/>
      <c r="D1852" s="24"/>
      <c r="E1852" s="24"/>
      <c r="F1852" s="103"/>
      <c r="G1852" s="114"/>
      <c r="I1852" s="40"/>
      <c r="J1852" s="40"/>
      <c r="M1852" s="40"/>
      <c r="N1852" s="40"/>
    </row>
    <row r="1853" spans="1:14" ht="15.75" customHeight="1" x14ac:dyDescent="0.25">
      <c r="A1853" s="103"/>
      <c r="B1853" s="25"/>
      <c r="C1853" s="103"/>
      <c r="D1853" s="24"/>
      <c r="E1853" s="24"/>
      <c r="F1853" s="103"/>
      <c r="G1853" s="114"/>
      <c r="I1853" s="40"/>
      <c r="J1853" s="40"/>
      <c r="M1853" s="40"/>
      <c r="N1853" s="40"/>
    </row>
    <row r="1854" spans="1:14" ht="15.75" customHeight="1" x14ac:dyDescent="0.25">
      <c r="A1854" s="103"/>
      <c r="B1854" s="25"/>
      <c r="C1854" s="103"/>
      <c r="D1854" s="24"/>
      <c r="E1854" s="24"/>
      <c r="F1854" s="103"/>
      <c r="G1854" s="114"/>
      <c r="I1854" s="40"/>
      <c r="J1854" s="40"/>
      <c r="M1854" s="40"/>
      <c r="N1854" s="40"/>
    </row>
    <row r="1855" spans="1:14" ht="15.75" customHeight="1" x14ac:dyDescent="0.25">
      <c r="A1855" s="103"/>
      <c r="B1855" s="25"/>
      <c r="C1855" s="103"/>
      <c r="D1855" s="24"/>
      <c r="E1855" s="24"/>
      <c r="F1855" s="103"/>
      <c r="G1855" s="114"/>
      <c r="I1855" s="40"/>
      <c r="J1855" s="40"/>
      <c r="M1855" s="40"/>
      <c r="N1855" s="40"/>
    </row>
    <row r="1856" spans="1:14" ht="15.75" customHeight="1" x14ac:dyDescent="0.25">
      <c r="A1856" s="103"/>
      <c r="B1856" s="25"/>
      <c r="C1856" s="103"/>
      <c r="D1856" s="24"/>
      <c r="E1856" s="24"/>
      <c r="F1856" s="103"/>
      <c r="G1856" s="114"/>
      <c r="I1856" s="40"/>
      <c r="J1856" s="40"/>
      <c r="M1856" s="40"/>
      <c r="N1856" s="40"/>
    </row>
    <row r="1857" spans="1:14" ht="15.75" customHeight="1" x14ac:dyDescent="0.25">
      <c r="A1857" s="103"/>
      <c r="B1857" s="25"/>
      <c r="C1857" s="103"/>
      <c r="D1857" s="24"/>
      <c r="E1857" s="24"/>
      <c r="F1857" s="103"/>
      <c r="G1857" s="114"/>
      <c r="I1857" s="40"/>
      <c r="J1857" s="40"/>
      <c r="M1857" s="40"/>
      <c r="N1857" s="40"/>
    </row>
    <row r="1858" spans="1:14" ht="15.75" customHeight="1" x14ac:dyDescent="0.25">
      <c r="A1858" s="103"/>
      <c r="B1858" s="25"/>
      <c r="C1858" s="103"/>
      <c r="D1858" s="24"/>
      <c r="E1858" s="24"/>
      <c r="F1858" s="103"/>
      <c r="G1858" s="114"/>
      <c r="I1858" s="40"/>
      <c r="J1858" s="40"/>
      <c r="M1858" s="40"/>
      <c r="N1858" s="40"/>
    </row>
    <row r="1859" spans="1:14" ht="15.75" customHeight="1" x14ac:dyDescent="0.25">
      <c r="A1859" s="103"/>
      <c r="B1859" s="25"/>
      <c r="C1859" s="103"/>
      <c r="D1859" s="24"/>
      <c r="E1859" s="24"/>
      <c r="F1859" s="103"/>
      <c r="G1859" s="114"/>
      <c r="I1859" s="40"/>
      <c r="J1859" s="40"/>
      <c r="M1859" s="40"/>
      <c r="N1859" s="40"/>
    </row>
    <row r="1860" spans="1:14" ht="15.75" customHeight="1" x14ac:dyDescent="0.25">
      <c r="A1860" s="103"/>
      <c r="B1860" s="25"/>
      <c r="C1860" s="103"/>
      <c r="D1860" s="24"/>
      <c r="E1860" s="24"/>
      <c r="F1860" s="103"/>
      <c r="G1860" s="114"/>
      <c r="I1860" s="40"/>
      <c r="J1860" s="40"/>
      <c r="M1860" s="40"/>
      <c r="N1860" s="40"/>
    </row>
    <row r="1861" spans="1:14" ht="15.75" customHeight="1" x14ac:dyDescent="0.25">
      <c r="A1861" s="103"/>
      <c r="B1861" s="25"/>
      <c r="C1861" s="103"/>
      <c r="D1861" s="24"/>
      <c r="E1861" s="24"/>
      <c r="F1861" s="103"/>
      <c r="G1861" s="114"/>
      <c r="I1861" s="40"/>
      <c r="J1861" s="40"/>
      <c r="M1861" s="40"/>
      <c r="N1861" s="40"/>
    </row>
    <row r="1862" spans="1:14" ht="15.75" customHeight="1" x14ac:dyDescent="0.25">
      <c r="A1862" s="103"/>
      <c r="B1862" s="25"/>
      <c r="C1862" s="103"/>
      <c r="D1862" s="24"/>
      <c r="E1862" s="24"/>
      <c r="F1862" s="103"/>
      <c r="G1862" s="114"/>
      <c r="I1862" s="40"/>
      <c r="J1862" s="40"/>
      <c r="M1862" s="40"/>
      <c r="N1862" s="40"/>
    </row>
    <row r="1863" spans="1:14" ht="15.75" customHeight="1" x14ac:dyDescent="0.25">
      <c r="A1863" s="103"/>
      <c r="B1863" s="25"/>
      <c r="C1863" s="103"/>
      <c r="D1863" s="24"/>
      <c r="E1863" s="24"/>
      <c r="F1863" s="103"/>
      <c r="G1863" s="114"/>
      <c r="I1863" s="40"/>
      <c r="J1863" s="40"/>
      <c r="M1863" s="40"/>
      <c r="N1863" s="40"/>
    </row>
    <row r="1864" spans="1:14" ht="15.75" customHeight="1" x14ac:dyDescent="0.25">
      <c r="A1864" s="103"/>
      <c r="B1864" s="25"/>
      <c r="C1864" s="103"/>
      <c r="D1864" s="24"/>
      <c r="E1864" s="24"/>
      <c r="F1864" s="103"/>
      <c r="G1864" s="114"/>
      <c r="I1864" s="40"/>
      <c r="J1864" s="40"/>
      <c r="M1864" s="40"/>
      <c r="N1864" s="40"/>
    </row>
    <row r="1865" spans="1:14" ht="15.75" customHeight="1" x14ac:dyDescent="0.25">
      <c r="A1865" s="103"/>
      <c r="B1865" s="25"/>
      <c r="C1865" s="103"/>
      <c r="D1865" s="24"/>
      <c r="E1865" s="24"/>
      <c r="F1865" s="103"/>
      <c r="G1865" s="114"/>
      <c r="I1865" s="40"/>
      <c r="J1865" s="40"/>
      <c r="M1865" s="40"/>
      <c r="N1865" s="40"/>
    </row>
    <row r="1866" spans="1:14" ht="15.75" customHeight="1" x14ac:dyDescent="0.25">
      <c r="A1866" s="103"/>
      <c r="B1866" s="25"/>
      <c r="C1866" s="103"/>
      <c r="D1866" s="24"/>
      <c r="E1866" s="24"/>
      <c r="F1866" s="103"/>
      <c r="G1866" s="114"/>
      <c r="I1866" s="40"/>
      <c r="J1866" s="40"/>
      <c r="M1866" s="40"/>
      <c r="N1866" s="40"/>
    </row>
    <row r="1867" spans="1:14" ht="15.75" customHeight="1" x14ac:dyDescent="0.25">
      <c r="A1867" s="103"/>
      <c r="B1867" s="25"/>
      <c r="C1867" s="103"/>
      <c r="D1867" s="24"/>
      <c r="E1867" s="24"/>
      <c r="F1867" s="103"/>
      <c r="G1867" s="114"/>
      <c r="I1867" s="40"/>
      <c r="J1867" s="40"/>
      <c r="M1867" s="40"/>
      <c r="N1867" s="40"/>
    </row>
    <row r="1868" spans="1:14" ht="15.75" customHeight="1" x14ac:dyDescent="0.25">
      <c r="A1868" s="103"/>
      <c r="B1868" s="25"/>
      <c r="C1868" s="103"/>
      <c r="D1868" s="24"/>
      <c r="E1868" s="24"/>
      <c r="F1868" s="103"/>
      <c r="G1868" s="114"/>
      <c r="I1868" s="40"/>
      <c r="J1868" s="40"/>
      <c r="M1868" s="40"/>
      <c r="N1868" s="40"/>
    </row>
    <row r="1869" spans="1:14" ht="15.75" customHeight="1" x14ac:dyDescent="0.25">
      <c r="A1869" s="103"/>
      <c r="B1869" s="25"/>
      <c r="C1869" s="103"/>
      <c r="D1869" s="24"/>
      <c r="E1869" s="24"/>
      <c r="F1869" s="103"/>
      <c r="G1869" s="114"/>
      <c r="I1869" s="40"/>
      <c r="J1869" s="40"/>
      <c r="M1869" s="40"/>
      <c r="N1869" s="40"/>
    </row>
    <row r="1870" spans="1:14" ht="15.75" customHeight="1" x14ac:dyDescent="0.25">
      <c r="A1870" s="103"/>
      <c r="B1870" s="25"/>
      <c r="C1870" s="103"/>
      <c r="D1870" s="24"/>
      <c r="E1870" s="24"/>
      <c r="F1870" s="103"/>
      <c r="G1870" s="114"/>
      <c r="I1870" s="40"/>
      <c r="J1870" s="40"/>
      <c r="M1870" s="40"/>
      <c r="N1870" s="40"/>
    </row>
    <row r="1871" spans="1:14" ht="15.75" customHeight="1" x14ac:dyDescent="0.25">
      <c r="A1871" s="103"/>
      <c r="B1871" s="25"/>
      <c r="C1871" s="103"/>
      <c r="D1871" s="24"/>
      <c r="E1871" s="24"/>
      <c r="F1871" s="103"/>
      <c r="G1871" s="114"/>
      <c r="I1871" s="40"/>
      <c r="J1871" s="40"/>
      <c r="M1871" s="40"/>
      <c r="N1871" s="40"/>
    </row>
    <row r="1872" spans="1:14" ht="15.75" customHeight="1" x14ac:dyDescent="0.25">
      <c r="A1872" s="103"/>
      <c r="B1872" s="25"/>
      <c r="C1872" s="103"/>
      <c r="D1872" s="24"/>
      <c r="E1872" s="24"/>
      <c r="F1872" s="103"/>
      <c r="G1872" s="114"/>
      <c r="I1872" s="40"/>
      <c r="J1872" s="40"/>
      <c r="M1872" s="40"/>
      <c r="N1872" s="40"/>
    </row>
    <row r="1873" spans="1:14" ht="15.75" customHeight="1" x14ac:dyDescent="0.25">
      <c r="A1873" s="103"/>
      <c r="B1873" s="25"/>
      <c r="C1873" s="103"/>
      <c r="D1873" s="24"/>
      <c r="E1873" s="24"/>
      <c r="F1873" s="103"/>
      <c r="G1873" s="114"/>
      <c r="I1873" s="40"/>
      <c r="J1873" s="40"/>
      <c r="M1873" s="40"/>
      <c r="N1873" s="40"/>
    </row>
    <row r="1874" spans="1:14" ht="15.75" customHeight="1" x14ac:dyDescent="0.25">
      <c r="A1874" s="103"/>
      <c r="B1874" s="25"/>
      <c r="C1874" s="103"/>
      <c r="D1874" s="24"/>
      <c r="E1874" s="24"/>
      <c r="F1874" s="103"/>
      <c r="G1874" s="114"/>
      <c r="I1874" s="40"/>
      <c r="J1874" s="40"/>
      <c r="M1874" s="40"/>
      <c r="N1874" s="40"/>
    </row>
    <row r="1875" spans="1:14" ht="15.75" customHeight="1" x14ac:dyDescent="0.25">
      <c r="A1875" s="103"/>
      <c r="B1875" s="25"/>
      <c r="C1875" s="103"/>
      <c r="D1875" s="24"/>
      <c r="E1875" s="24"/>
      <c r="F1875" s="103"/>
      <c r="G1875" s="114"/>
      <c r="I1875" s="40"/>
      <c r="J1875" s="40"/>
      <c r="M1875" s="40"/>
      <c r="N1875" s="40"/>
    </row>
    <row r="1876" spans="1:14" ht="15.75" customHeight="1" x14ac:dyDescent="0.25">
      <c r="A1876" s="103"/>
      <c r="B1876" s="25"/>
      <c r="C1876" s="103"/>
      <c r="D1876" s="24"/>
      <c r="E1876" s="24"/>
      <c r="F1876" s="103"/>
      <c r="G1876" s="114"/>
      <c r="I1876" s="40"/>
      <c r="J1876" s="40"/>
      <c r="M1876" s="40"/>
      <c r="N1876" s="40"/>
    </row>
    <row r="1877" spans="1:14" ht="15.75" customHeight="1" x14ac:dyDescent="0.25">
      <c r="A1877" s="103"/>
      <c r="B1877" s="25"/>
      <c r="C1877" s="103"/>
      <c r="D1877" s="24"/>
      <c r="E1877" s="24"/>
      <c r="F1877" s="103"/>
      <c r="G1877" s="114"/>
      <c r="I1877" s="40"/>
      <c r="J1877" s="40"/>
      <c r="M1877" s="40"/>
      <c r="N1877" s="40"/>
    </row>
    <row r="1878" spans="1:14" ht="15.75" customHeight="1" x14ac:dyDescent="0.25">
      <c r="A1878" s="103"/>
      <c r="B1878" s="25"/>
      <c r="C1878" s="103"/>
      <c r="D1878" s="24"/>
      <c r="E1878" s="24"/>
      <c r="F1878" s="103"/>
      <c r="G1878" s="114"/>
      <c r="I1878" s="40"/>
      <c r="J1878" s="40"/>
      <c r="M1878" s="40"/>
      <c r="N1878" s="40"/>
    </row>
    <row r="1879" spans="1:14" ht="15.75" customHeight="1" x14ac:dyDescent="0.25">
      <c r="A1879" s="103"/>
      <c r="B1879" s="25"/>
      <c r="C1879" s="103"/>
      <c r="D1879" s="24"/>
      <c r="E1879" s="24"/>
      <c r="F1879" s="103"/>
      <c r="G1879" s="114"/>
      <c r="I1879" s="40"/>
      <c r="J1879" s="40"/>
      <c r="M1879" s="40"/>
      <c r="N1879" s="40"/>
    </row>
    <row r="1880" spans="1:14" ht="15.75" customHeight="1" x14ac:dyDescent="0.25">
      <c r="A1880" s="103"/>
      <c r="B1880" s="25"/>
      <c r="C1880" s="103"/>
      <c r="D1880" s="24"/>
      <c r="E1880" s="24"/>
      <c r="F1880" s="103"/>
      <c r="G1880" s="114"/>
      <c r="I1880" s="40"/>
      <c r="J1880" s="40"/>
      <c r="M1880" s="40"/>
      <c r="N1880" s="40"/>
    </row>
    <row r="1881" spans="1:14" ht="15.75" customHeight="1" x14ac:dyDescent="0.25">
      <c r="A1881" s="103"/>
      <c r="B1881" s="25"/>
      <c r="C1881" s="103"/>
      <c r="D1881" s="24"/>
      <c r="E1881" s="24"/>
      <c r="F1881" s="103"/>
      <c r="G1881" s="114"/>
      <c r="I1881" s="40"/>
      <c r="J1881" s="40"/>
      <c r="M1881" s="40"/>
      <c r="N1881" s="40"/>
    </row>
    <row r="1882" spans="1:14" ht="15.75" customHeight="1" x14ac:dyDescent="0.25">
      <c r="A1882" s="103"/>
      <c r="B1882" s="25"/>
      <c r="C1882" s="103"/>
      <c r="D1882" s="24"/>
      <c r="E1882" s="24"/>
      <c r="F1882" s="103"/>
      <c r="G1882" s="114"/>
      <c r="I1882" s="40"/>
      <c r="J1882" s="40"/>
      <c r="M1882" s="40"/>
      <c r="N1882" s="40"/>
    </row>
    <row r="1883" spans="1:14" ht="15.75" customHeight="1" x14ac:dyDescent="0.25">
      <c r="A1883" s="103"/>
      <c r="B1883" s="25"/>
      <c r="C1883" s="103"/>
      <c r="D1883" s="24"/>
      <c r="E1883" s="24"/>
      <c r="F1883" s="103"/>
      <c r="G1883" s="114"/>
      <c r="I1883" s="40"/>
      <c r="J1883" s="40"/>
      <c r="M1883" s="40"/>
      <c r="N1883" s="40"/>
    </row>
    <row r="1884" spans="1:14" ht="15.75" customHeight="1" x14ac:dyDescent="0.25">
      <c r="A1884" s="103"/>
      <c r="B1884" s="25"/>
      <c r="C1884" s="103"/>
      <c r="D1884" s="24"/>
      <c r="E1884" s="24"/>
      <c r="F1884" s="103"/>
      <c r="G1884" s="114"/>
      <c r="I1884" s="40"/>
      <c r="J1884" s="40"/>
      <c r="M1884" s="40"/>
      <c r="N1884" s="40"/>
    </row>
    <row r="1885" spans="1:14" ht="15.75" customHeight="1" x14ac:dyDescent="0.25">
      <c r="A1885" s="103"/>
      <c r="B1885" s="25"/>
      <c r="C1885" s="103"/>
      <c r="D1885" s="24"/>
      <c r="E1885" s="24"/>
      <c r="F1885" s="103"/>
      <c r="G1885" s="114"/>
      <c r="I1885" s="40"/>
      <c r="J1885" s="40"/>
      <c r="M1885" s="40"/>
      <c r="N1885" s="40"/>
    </row>
    <row r="1886" spans="1:14" ht="15.75" customHeight="1" x14ac:dyDescent="0.25">
      <c r="A1886" s="103"/>
      <c r="B1886" s="25"/>
      <c r="C1886" s="103"/>
      <c r="D1886" s="24"/>
      <c r="E1886" s="24"/>
      <c r="F1886" s="103"/>
      <c r="G1886" s="114"/>
      <c r="I1886" s="40"/>
      <c r="J1886" s="40"/>
      <c r="M1886" s="40"/>
      <c r="N1886" s="40"/>
    </row>
    <row r="1887" spans="1:14" ht="15.75" customHeight="1" x14ac:dyDescent="0.25">
      <c r="A1887" s="103"/>
      <c r="B1887" s="25"/>
      <c r="C1887" s="103"/>
      <c r="D1887" s="24"/>
      <c r="E1887" s="24"/>
      <c r="F1887" s="103"/>
      <c r="G1887" s="114"/>
      <c r="I1887" s="40"/>
      <c r="J1887" s="40"/>
      <c r="M1887" s="40"/>
      <c r="N1887" s="40"/>
    </row>
    <row r="1888" spans="1:14" ht="15.75" customHeight="1" x14ac:dyDescent="0.25">
      <c r="A1888" s="103"/>
      <c r="B1888" s="25"/>
      <c r="C1888" s="103"/>
      <c r="D1888" s="24"/>
      <c r="E1888" s="24"/>
      <c r="F1888" s="103"/>
      <c r="G1888" s="114"/>
      <c r="I1888" s="40"/>
      <c r="J1888" s="40"/>
      <c r="M1888" s="40"/>
      <c r="N1888" s="40"/>
    </row>
    <row r="1889" spans="1:14" ht="15.75" customHeight="1" x14ac:dyDescent="0.25">
      <c r="A1889" s="103"/>
      <c r="B1889" s="25"/>
      <c r="C1889" s="103"/>
      <c r="D1889" s="24"/>
      <c r="E1889" s="24"/>
      <c r="F1889" s="103"/>
      <c r="G1889" s="114"/>
      <c r="I1889" s="40"/>
      <c r="J1889" s="40"/>
      <c r="M1889" s="40"/>
      <c r="N1889" s="40"/>
    </row>
    <row r="1890" spans="1:14" ht="15.75" customHeight="1" x14ac:dyDescent="0.25">
      <c r="A1890" s="103"/>
      <c r="B1890" s="25"/>
      <c r="C1890" s="103"/>
      <c r="D1890" s="24"/>
      <c r="E1890" s="24"/>
      <c r="F1890" s="103"/>
      <c r="G1890" s="114"/>
      <c r="I1890" s="40"/>
      <c r="J1890" s="40"/>
      <c r="M1890" s="40"/>
      <c r="N1890" s="40"/>
    </row>
    <row r="1891" spans="1:14" ht="15.75" customHeight="1" x14ac:dyDescent="0.25">
      <c r="A1891" s="103"/>
      <c r="B1891" s="25"/>
      <c r="C1891" s="103"/>
      <c r="D1891" s="24"/>
      <c r="E1891" s="24"/>
      <c r="F1891" s="103"/>
      <c r="G1891" s="114"/>
      <c r="I1891" s="40"/>
      <c r="J1891" s="40"/>
      <c r="M1891" s="40"/>
      <c r="N1891" s="40"/>
    </row>
    <row r="1892" spans="1:14" ht="15.75" customHeight="1" x14ac:dyDescent="0.25">
      <c r="A1892" s="103"/>
      <c r="B1892" s="25"/>
      <c r="C1892" s="103"/>
      <c r="D1892" s="24"/>
      <c r="E1892" s="24"/>
      <c r="F1892" s="103"/>
      <c r="G1892" s="114"/>
      <c r="I1892" s="40"/>
      <c r="J1892" s="40"/>
      <c r="M1892" s="40"/>
      <c r="N1892" s="40"/>
    </row>
    <row r="1893" spans="1:14" ht="15.75" customHeight="1" x14ac:dyDescent="0.25">
      <c r="A1893" s="103"/>
      <c r="B1893" s="25"/>
      <c r="C1893" s="103"/>
      <c r="D1893" s="24"/>
      <c r="E1893" s="24"/>
      <c r="F1893" s="103"/>
      <c r="G1893" s="114"/>
      <c r="I1893" s="40"/>
      <c r="J1893" s="40"/>
      <c r="M1893" s="40"/>
      <c r="N1893" s="40"/>
    </row>
    <row r="1894" spans="1:14" ht="15.75" customHeight="1" x14ac:dyDescent="0.25">
      <c r="A1894" s="103"/>
      <c r="B1894" s="25"/>
      <c r="C1894" s="103"/>
      <c r="D1894" s="24"/>
      <c r="E1894" s="24"/>
      <c r="F1894" s="103"/>
      <c r="G1894" s="114"/>
      <c r="I1894" s="40"/>
      <c r="J1894" s="40"/>
      <c r="M1894" s="40"/>
      <c r="N1894" s="40"/>
    </row>
    <row r="1895" spans="1:14" ht="15.75" customHeight="1" x14ac:dyDescent="0.25">
      <c r="A1895" s="103"/>
      <c r="B1895" s="25"/>
      <c r="C1895" s="103"/>
      <c r="D1895" s="24"/>
      <c r="E1895" s="24"/>
      <c r="F1895" s="103"/>
      <c r="G1895" s="114"/>
      <c r="I1895" s="40"/>
      <c r="J1895" s="40"/>
      <c r="M1895" s="40"/>
      <c r="N1895" s="40"/>
    </row>
    <row r="1896" spans="1:14" ht="15.75" customHeight="1" x14ac:dyDescent="0.25">
      <c r="A1896" s="103"/>
      <c r="B1896" s="25"/>
      <c r="C1896" s="103"/>
      <c r="D1896" s="24"/>
      <c r="E1896" s="24"/>
      <c r="F1896" s="103"/>
      <c r="G1896" s="114"/>
      <c r="I1896" s="40"/>
      <c r="J1896" s="40"/>
      <c r="M1896" s="40"/>
      <c r="N1896" s="40"/>
    </row>
    <row r="1897" spans="1:14" ht="15.75" customHeight="1" x14ac:dyDescent="0.25">
      <c r="A1897" s="103"/>
      <c r="B1897" s="25"/>
      <c r="C1897" s="103"/>
      <c r="D1897" s="24"/>
      <c r="E1897" s="24"/>
      <c r="F1897" s="103"/>
      <c r="G1897" s="114"/>
      <c r="I1897" s="40"/>
      <c r="J1897" s="40"/>
      <c r="M1897" s="40"/>
      <c r="N1897" s="40"/>
    </row>
    <row r="1898" spans="1:14" ht="15.75" customHeight="1" x14ac:dyDescent="0.25">
      <c r="A1898" s="103"/>
      <c r="B1898" s="25"/>
      <c r="C1898" s="103"/>
      <c r="D1898" s="24"/>
      <c r="E1898" s="24"/>
      <c r="F1898" s="103"/>
      <c r="G1898" s="114"/>
      <c r="I1898" s="40"/>
      <c r="J1898" s="40"/>
      <c r="M1898" s="40"/>
      <c r="N1898" s="40"/>
    </row>
    <row r="1899" spans="1:14" ht="15.75" customHeight="1" x14ac:dyDescent="0.25">
      <c r="A1899" s="103"/>
      <c r="B1899" s="25"/>
      <c r="C1899" s="103"/>
      <c r="D1899" s="24"/>
      <c r="E1899" s="24"/>
      <c r="F1899" s="103"/>
      <c r="G1899" s="114"/>
      <c r="I1899" s="40"/>
      <c r="J1899" s="40"/>
      <c r="M1899" s="40"/>
      <c r="N1899" s="40"/>
    </row>
    <row r="1900" spans="1:14" ht="15.75" customHeight="1" x14ac:dyDescent="0.25">
      <c r="A1900" s="103"/>
      <c r="B1900" s="25"/>
      <c r="C1900" s="103"/>
      <c r="D1900" s="24"/>
      <c r="E1900" s="24"/>
      <c r="F1900" s="103"/>
      <c r="G1900" s="114"/>
      <c r="I1900" s="40"/>
      <c r="J1900" s="40"/>
      <c r="M1900" s="40"/>
      <c r="N1900" s="40"/>
    </row>
    <row r="1901" spans="1:14" ht="15.75" customHeight="1" x14ac:dyDescent="0.25">
      <c r="A1901" s="103"/>
      <c r="B1901" s="25"/>
      <c r="C1901" s="103"/>
      <c r="D1901" s="24"/>
      <c r="E1901" s="24"/>
      <c r="F1901" s="103"/>
      <c r="G1901" s="114"/>
      <c r="I1901" s="40"/>
      <c r="J1901" s="40"/>
      <c r="M1901" s="40"/>
      <c r="N1901" s="40"/>
    </row>
    <row r="1902" spans="1:14" ht="15.75" customHeight="1" x14ac:dyDescent="0.25">
      <c r="A1902" s="103"/>
      <c r="B1902" s="25"/>
      <c r="C1902" s="103"/>
      <c r="D1902" s="24"/>
      <c r="E1902" s="24"/>
      <c r="F1902" s="103"/>
      <c r="G1902" s="114"/>
      <c r="I1902" s="40"/>
      <c r="J1902" s="40"/>
      <c r="M1902" s="40"/>
      <c r="N1902" s="40"/>
    </row>
    <row r="1903" spans="1:14" ht="15.75" customHeight="1" x14ac:dyDescent="0.25">
      <c r="A1903" s="103"/>
      <c r="B1903" s="25"/>
      <c r="C1903" s="103"/>
      <c r="D1903" s="24"/>
      <c r="E1903" s="24"/>
      <c r="F1903" s="103"/>
      <c r="G1903" s="114"/>
      <c r="I1903" s="40"/>
      <c r="J1903" s="40"/>
      <c r="M1903" s="40"/>
      <c r="N1903" s="40"/>
    </row>
    <row r="1904" spans="1:14" ht="15.75" customHeight="1" x14ac:dyDescent="0.25">
      <c r="A1904" s="103"/>
      <c r="B1904" s="25"/>
      <c r="C1904" s="103"/>
      <c r="D1904" s="24"/>
      <c r="E1904" s="24"/>
      <c r="F1904" s="103"/>
      <c r="G1904" s="114"/>
      <c r="I1904" s="40"/>
      <c r="J1904" s="40"/>
      <c r="M1904" s="40"/>
      <c r="N1904" s="40"/>
    </row>
    <row r="1905" spans="1:14" ht="15.75" customHeight="1" x14ac:dyDescent="0.25">
      <c r="A1905" s="103"/>
      <c r="B1905" s="25"/>
      <c r="C1905" s="103"/>
      <c r="D1905" s="24"/>
      <c r="E1905" s="24"/>
      <c r="F1905" s="103"/>
      <c r="G1905" s="114"/>
      <c r="I1905" s="40"/>
      <c r="J1905" s="40"/>
      <c r="M1905" s="40"/>
      <c r="N1905" s="40"/>
    </row>
    <row r="1906" spans="1:14" ht="15.75" customHeight="1" x14ac:dyDescent="0.25">
      <c r="A1906" s="103"/>
      <c r="B1906" s="25"/>
      <c r="C1906" s="103"/>
      <c r="D1906" s="24"/>
      <c r="E1906" s="24"/>
      <c r="F1906" s="103"/>
      <c r="G1906" s="114"/>
      <c r="I1906" s="40"/>
      <c r="J1906" s="40"/>
      <c r="M1906" s="40"/>
      <c r="N1906" s="40"/>
    </row>
    <row r="1907" spans="1:14" ht="15.75" customHeight="1" x14ac:dyDescent="0.25">
      <c r="A1907" s="103"/>
      <c r="B1907" s="25"/>
      <c r="C1907" s="103"/>
      <c r="D1907" s="24"/>
      <c r="E1907" s="24"/>
      <c r="F1907" s="103"/>
      <c r="G1907" s="114"/>
      <c r="I1907" s="40"/>
      <c r="J1907" s="40"/>
      <c r="M1907" s="40"/>
      <c r="N1907" s="40"/>
    </row>
    <row r="1908" spans="1:14" ht="15.75" customHeight="1" x14ac:dyDescent="0.25">
      <c r="A1908" s="103"/>
      <c r="B1908" s="25"/>
      <c r="C1908" s="103"/>
      <c r="D1908" s="24"/>
      <c r="E1908" s="24"/>
      <c r="F1908" s="103"/>
      <c r="G1908" s="114"/>
      <c r="I1908" s="40"/>
      <c r="J1908" s="40"/>
      <c r="M1908" s="40"/>
      <c r="N1908" s="40"/>
    </row>
    <row r="1909" spans="1:14" ht="15.75" customHeight="1" x14ac:dyDescent="0.25">
      <c r="A1909" s="103"/>
      <c r="B1909" s="25"/>
      <c r="C1909" s="103"/>
      <c r="D1909" s="24"/>
      <c r="E1909" s="24"/>
      <c r="F1909" s="103"/>
      <c r="G1909" s="114"/>
      <c r="I1909" s="40"/>
      <c r="J1909" s="40"/>
      <c r="M1909" s="40"/>
      <c r="N1909" s="40"/>
    </row>
    <row r="1910" spans="1:14" ht="15.75" customHeight="1" x14ac:dyDescent="0.25">
      <c r="A1910" s="103"/>
      <c r="B1910" s="25"/>
      <c r="C1910" s="103"/>
      <c r="D1910" s="24"/>
      <c r="E1910" s="24"/>
      <c r="F1910" s="103"/>
      <c r="G1910" s="114"/>
      <c r="I1910" s="40"/>
      <c r="J1910" s="40"/>
      <c r="M1910" s="40"/>
      <c r="N1910" s="40"/>
    </row>
    <row r="1911" spans="1:14" ht="15.75" customHeight="1" x14ac:dyDescent="0.25">
      <c r="A1911" s="103"/>
      <c r="B1911" s="25"/>
      <c r="C1911" s="103"/>
      <c r="D1911" s="24"/>
      <c r="E1911" s="24"/>
      <c r="F1911" s="103"/>
      <c r="G1911" s="114"/>
      <c r="I1911" s="40"/>
      <c r="J1911" s="40"/>
      <c r="M1911" s="40"/>
      <c r="N1911" s="40"/>
    </row>
    <row r="1912" spans="1:14" ht="15.75" customHeight="1" x14ac:dyDescent="0.25">
      <c r="A1912" s="103"/>
      <c r="B1912" s="25"/>
      <c r="C1912" s="103"/>
      <c r="D1912" s="24"/>
      <c r="E1912" s="24"/>
      <c r="F1912" s="103"/>
      <c r="G1912" s="114"/>
      <c r="I1912" s="40"/>
      <c r="J1912" s="40"/>
      <c r="M1912" s="40"/>
      <c r="N1912" s="40"/>
    </row>
    <row r="1913" spans="1:14" ht="15.75" customHeight="1" x14ac:dyDescent="0.25">
      <c r="A1913" s="103"/>
      <c r="B1913" s="25"/>
      <c r="C1913" s="103"/>
      <c r="D1913" s="24"/>
      <c r="E1913" s="24"/>
      <c r="F1913" s="103"/>
      <c r="G1913" s="114"/>
      <c r="I1913" s="40"/>
      <c r="J1913" s="40"/>
      <c r="M1913" s="40"/>
      <c r="N1913" s="40"/>
    </row>
    <row r="1914" spans="1:14" ht="15.75" customHeight="1" x14ac:dyDescent="0.25">
      <c r="A1914" s="103"/>
      <c r="B1914" s="25"/>
      <c r="C1914" s="103"/>
      <c r="D1914" s="24"/>
      <c r="E1914" s="24"/>
      <c r="F1914" s="103"/>
      <c r="G1914" s="114"/>
      <c r="I1914" s="40"/>
      <c r="J1914" s="40"/>
      <c r="M1914" s="40"/>
      <c r="N1914" s="40"/>
    </row>
    <row r="1915" spans="1:14" ht="15.75" customHeight="1" x14ac:dyDescent="0.25">
      <c r="A1915" s="103"/>
      <c r="B1915" s="25"/>
      <c r="C1915" s="103"/>
      <c r="D1915" s="24"/>
      <c r="E1915" s="24"/>
      <c r="F1915" s="103"/>
      <c r="G1915" s="114"/>
      <c r="I1915" s="40"/>
      <c r="J1915" s="40"/>
      <c r="M1915" s="40"/>
      <c r="N1915" s="40"/>
    </row>
    <row r="1916" spans="1:14" ht="15.75" customHeight="1" x14ac:dyDescent="0.25">
      <c r="A1916" s="103"/>
      <c r="B1916" s="25"/>
      <c r="C1916" s="103"/>
      <c r="D1916" s="24"/>
      <c r="E1916" s="24"/>
      <c r="F1916" s="103"/>
      <c r="G1916" s="114"/>
      <c r="I1916" s="40"/>
      <c r="J1916" s="40"/>
      <c r="M1916" s="40"/>
      <c r="N1916" s="40"/>
    </row>
    <row r="1917" spans="1:14" ht="15.75" customHeight="1" x14ac:dyDescent="0.25">
      <c r="A1917" s="103"/>
      <c r="B1917" s="25"/>
      <c r="C1917" s="103"/>
      <c r="D1917" s="24"/>
      <c r="E1917" s="24"/>
      <c r="F1917" s="103"/>
      <c r="G1917" s="114"/>
      <c r="I1917" s="40"/>
      <c r="J1917" s="40"/>
      <c r="M1917" s="40"/>
      <c r="N1917" s="40"/>
    </row>
    <row r="1918" spans="1:14" ht="15.75" customHeight="1" x14ac:dyDescent="0.25">
      <c r="A1918" s="103"/>
      <c r="B1918" s="25"/>
      <c r="C1918" s="103"/>
      <c r="D1918" s="24"/>
      <c r="E1918" s="24"/>
      <c r="F1918" s="103"/>
      <c r="G1918" s="114"/>
      <c r="I1918" s="40"/>
      <c r="J1918" s="40"/>
      <c r="M1918" s="40"/>
      <c r="N1918" s="40"/>
    </row>
    <row r="1919" spans="1:14" ht="15.75" customHeight="1" x14ac:dyDescent="0.25">
      <c r="A1919" s="103"/>
      <c r="B1919" s="25"/>
      <c r="C1919" s="103"/>
      <c r="D1919" s="24"/>
      <c r="E1919" s="24"/>
      <c r="F1919" s="103"/>
      <c r="G1919" s="114"/>
      <c r="I1919" s="40"/>
      <c r="J1919" s="40"/>
      <c r="M1919" s="40"/>
      <c r="N1919" s="40"/>
    </row>
    <row r="1920" spans="1:14" ht="15.75" customHeight="1" x14ac:dyDescent="0.25">
      <c r="A1920" s="103"/>
      <c r="B1920" s="25"/>
      <c r="C1920" s="103"/>
      <c r="D1920" s="24"/>
      <c r="E1920" s="24"/>
      <c r="F1920" s="103"/>
      <c r="G1920" s="114"/>
      <c r="I1920" s="40"/>
      <c r="J1920" s="40"/>
      <c r="M1920" s="40"/>
      <c r="N1920" s="40"/>
    </row>
    <row r="1921" spans="1:14" ht="15.75" customHeight="1" x14ac:dyDescent="0.25">
      <c r="A1921" s="103"/>
      <c r="B1921" s="25"/>
      <c r="C1921" s="103"/>
      <c r="D1921" s="24"/>
      <c r="E1921" s="24"/>
      <c r="F1921" s="103"/>
      <c r="G1921" s="114"/>
      <c r="I1921" s="40"/>
      <c r="J1921" s="40"/>
      <c r="M1921" s="40"/>
      <c r="N1921" s="40"/>
    </row>
    <row r="1922" spans="1:14" ht="15.75" customHeight="1" x14ac:dyDescent="0.25">
      <c r="A1922" s="103"/>
      <c r="B1922" s="25"/>
      <c r="C1922" s="103"/>
      <c r="D1922" s="24"/>
      <c r="E1922" s="24"/>
      <c r="F1922" s="103"/>
      <c r="G1922" s="114"/>
      <c r="I1922" s="40"/>
      <c r="J1922" s="40"/>
      <c r="M1922" s="40"/>
      <c r="N1922" s="40"/>
    </row>
    <row r="1923" spans="1:14" ht="15.75" customHeight="1" x14ac:dyDescent="0.25">
      <c r="A1923" s="103"/>
      <c r="B1923" s="25"/>
      <c r="C1923" s="103"/>
      <c r="D1923" s="24"/>
      <c r="E1923" s="24"/>
      <c r="F1923" s="103"/>
      <c r="G1923" s="114"/>
      <c r="I1923" s="40"/>
      <c r="J1923" s="40"/>
      <c r="M1923" s="40"/>
      <c r="N1923" s="40"/>
    </row>
    <row r="1924" spans="1:14" ht="15.75" customHeight="1" x14ac:dyDescent="0.25">
      <c r="A1924" s="103"/>
      <c r="B1924" s="25"/>
      <c r="C1924" s="103"/>
      <c r="D1924" s="24"/>
      <c r="E1924" s="24"/>
      <c r="F1924" s="103"/>
      <c r="G1924" s="114"/>
      <c r="I1924" s="40"/>
      <c r="J1924" s="40"/>
      <c r="M1924" s="40"/>
      <c r="N1924" s="40"/>
    </row>
    <row r="1925" spans="1:14" ht="15.75" customHeight="1" x14ac:dyDescent="0.25">
      <c r="A1925" s="103"/>
      <c r="B1925" s="25"/>
      <c r="C1925" s="103"/>
      <c r="D1925" s="24"/>
      <c r="E1925" s="24"/>
      <c r="F1925" s="103"/>
      <c r="G1925" s="114"/>
      <c r="I1925" s="40"/>
      <c r="J1925" s="40"/>
      <c r="M1925" s="40"/>
      <c r="N1925" s="40"/>
    </row>
    <row r="1926" spans="1:14" ht="15.75" customHeight="1" x14ac:dyDescent="0.25">
      <c r="A1926" s="103"/>
      <c r="B1926" s="25"/>
      <c r="C1926" s="103"/>
      <c r="D1926" s="24"/>
      <c r="E1926" s="24"/>
      <c r="F1926" s="103"/>
      <c r="G1926" s="114"/>
      <c r="I1926" s="40"/>
      <c r="J1926" s="40"/>
      <c r="M1926" s="40"/>
      <c r="N1926" s="40"/>
    </row>
    <row r="1927" spans="1:14" ht="15.75" customHeight="1" x14ac:dyDescent="0.25">
      <c r="A1927" s="103"/>
      <c r="B1927" s="25"/>
      <c r="C1927" s="103"/>
      <c r="D1927" s="24"/>
      <c r="E1927" s="24"/>
      <c r="F1927" s="103"/>
      <c r="G1927" s="114"/>
      <c r="I1927" s="40"/>
      <c r="J1927" s="40"/>
      <c r="M1927" s="40"/>
      <c r="N1927" s="40"/>
    </row>
    <row r="1928" spans="1:14" ht="15.75" customHeight="1" x14ac:dyDescent="0.25">
      <c r="A1928" s="103"/>
      <c r="B1928" s="25"/>
      <c r="C1928" s="103"/>
      <c r="D1928" s="24"/>
      <c r="E1928" s="24"/>
      <c r="F1928" s="103"/>
      <c r="G1928" s="114"/>
      <c r="I1928" s="40"/>
      <c r="J1928" s="40"/>
      <c r="M1928" s="40"/>
      <c r="N1928" s="40"/>
    </row>
    <row r="1929" spans="1:14" ht="15.75" customHeight="1" x14ac:dyDescent="0.25">
      <c r="A1929" s="103"/>
      <c r="B1929" s="25"/>
      <c r="C1929" s="103"/>
      <c r="D1929" s="24"/>
      <c r="E1929" s="24"/>
      <c r="F1929" s="103"/>
      <c r="G1929" s="114"/>
      <c r="I1929" s="40"/>
      <c r="J1929" s="40"/>
      <c r="M1929" s="40"/>
      <c r="N1929" s="40"/>
    </row>
    <row r="1930" spans="1:14" ht="15.75" customHeight="1" x14ac:dyDescent="0.25">
      <c r="A1930" s="103"/>
      <c r="B1930" s="25"/>
      <c r="C1930" s="103"/>
      <c r="D1930" s="24"/>
      <c r="E1930" s="24"/>
      <c r="F1930" s="103"/>
      <c r="G1930" s="114"/>
      <c r="I1930" s="40"/>
      <c r="J1930" s="40"/>
      <c r="M1930" s="40"/>
      <c r="N1930" s="40"/>
    </row>
    <row r="1931" spans="1:14" ht="15.75" customHeight="1" x14ac:dyDescent="0.25">
      <c r="A1931" s="103"/>
      <c r="B1931" s="25"/>
      <c r="C1931" s="103"/>
      <c r="D1931" s="24"/>
      <c r="E1931" s="24"/>
      <c r="F1931" s="103"/>
      <c r="G1931" s="114"/>
      <c r="I1931" s="40"/>
      <c r="J1931" s="40"/>
      <c r="M1931" s="40"/>
      <c r="N1931" s="40"/>
    </row>
    <row r="1932" spans="1:14" ht="15.75" customHeight="1" x14ac:dyDescent="0.25">
      <c r="A1932" s="103"/>
      <c r="B1932" s="25"/>
      <c r="C1932" s="103"/>
      <c r="D1932" s="24"/>
      <c r="E1932" s="24"/>
      <c r="F1932" s="103"/>
      <c r="G1932" s="114"/>
      <c r="I1932" s="40"/>
      <c r="J1932" s="40"/>
      <c r="M1932" s="40"/>
      <c r="N1932" s="40"/>
    </row>
    <row r="1933" spans="1:14" ht="15.75" customHeight="1" x14ac:dyDescent="0.25">
      <c r="A1933" s="103"/>
      <c r="B1933" s="25"/>
      <c r="C1933" s="103"/>
      <c r="D1933" s="24"/>
      <c r="E1933" s="24"/>
      <c r="F1933" s="103"/>
      <c r="G1933" s="114"/>
      <c r="I1933" s="40"/>
      <c r="J1933" s="40"/>
      <c r="M1933" s="40"/>
      <c r="N1933" s="40"/>
    </row>
    <row r="1934" spans="1:14" ht="15.75" customHeight="1" x14ac:dyDescent="0.25">
      <c r="A1934" s="103"/>
      <c r="B1934" s="25"/>
      <c r="C1934" s="103"/>
      <c r="D1934" s="24"/>
      <c r="E1934" s="24"/>
      <c r="F1934" s="103"/>
      <c r="G1934" s="114"/>
      <c r="I1934" s="40"/>
      <c r="J1934" s="40"/>
      <c r="M1934" s="40"/>
      <c r="N1934" s="40"/>
    </row>
    <row r="1935" spans="1:14" ht="15.75" customHeight="1" x14ac:dyDescent="0.25">
      <c r="A1935" s="103"/>
      <c r="B1935" s="25"/>
      <c r="C1935" s="103"/>
      <c r="D1935" s="24"/>
      <c r="E1935" s="24"/>
      <c r="F1935" s="103"/>
      <c r="G1935" s="114"/>
      <c r="I1935" s="40"/>
      <c r="J1935" s="40"/>
      <c r="M1935" s="40"/>
      <c r="N1935" s="40"/>
    </row>
    <row r="1936" spans="1:14" ht="15.75" customHeight="1" x14ac:dyDescent="0.25">
      <c r="A1936" s="103"/>
      <c r="B1936" s="25"/>
      <c r="C1936" s="103"/>
      <c r="D1936" s="24"/>
      <c r="E1936" s="24"/>
      <c r="F1936" s="103"/>
      <c r="G1936" s="114"/>
      <c r="I1936" s="40"/>
      <c r="J1936" s="40"/>
      <c r="M1936" s="40"/>
      <c r="N1936" s="40"/>
    </row>
    <row r="1937" spans="1:14" ht="15.75" customHeight="1" x14ac:dyDescent="0.25">
      <c r="A1937" s="103"/>
      <c r="B1937" s="25"/>
      <c r="C1937" s="103"/>
      <c r="D1937" s="24"/>
      <c r="E1937" s="24"/>
      <c r="F1937" s="103"/>
      <c r="G1937" s="114"/>
      <c r="I1937" s="40"/>
      <c r="J1937" s="40"/>
      <c r="M1937" s="40"/>
      <c r="N1937" s="40"/>
    </row>
    <row r="1938" spans="1:14" ht="15.75" customHeight="1" x14ac:dyDescent="0.25">
      <c r="A1938" s="103"/>
      <c r="B1938" s="25"/>
      <c r="C1938" s="103"/>
      <c r="D1938" s="24"/>
      <c r="E1938" s="24"/>
      <c r="F1938" s="103"/>
      <c r="G1938" s="114"/>
      <c r="I1938" s="40"/>
      <c r="J1938" s="40"/>
      <c r="M1938" s="40"/>
      <c r="N1938" s="40"/>
    </row>
    <row r="1939" spans="1:14" ht="15.75" customHeight="1" x14ac:dyDescent="0.25">
      <c r="A1939" s="103"/>
      <c r="B1939" s="25"/>
      <c r="C1939" s="103"/>
      <c r="D1939" s="24"/>
      <c r="E1939" s="24"/>
      <c r="F1939" s="103"/>
      <c r="G1939" s="114"/>
      <c r="I1939" s="40"/>
      <c r="J1939" s="40"/>
      <c r="M1939" s="40"/>
      <c r="N1939" s="40"/>
    </row>
    <row r="1940" spans="1:14" ht="15.75" customHeight="1" x14ac:dyDescent="0.25">
      <c r="A1940" s="103"/>
      <c r="B1940" s="25"/>
      <c r="C1940" s="103"/>
      <c r="D1940" s="24"/>
      <c r="E1940" s="24"/>
      <c r="F1940" s="103"/>
      <c r="G1940" s="114"/>
      <c r="I1940" s="40"/>
      <c r="J1940" s="40"/>
      <c r="M1940" s="40"/>
      <c r="N1940" s="40"/>
    </row>
    <row r="1941" spans="1:14" ht="15.75" customHeight="1" x14ac:dyDescent="0.25">
      <c r="A1941" s="103"/>
      <c r="B1941" s="25"/>
      <c r="C1941" s="103"/>
      <c r="D1941" s="24"/>
      <c r="E1941" s="24"/>
      <c r="F1941" s="103"/>
      <c r="G1941" s="114"/>
      <c r="I1941" s="40"/>
      <c r="J1941" s="40"/>
      <c r="M1941" s="40"/>
      <c r="N1941" s="40"/>
    </row>
    <row r="1942" spans="1:14" ht="15.75" customHeight="1" x14ac:dyDescent="0.25">
      <c r="A1942" s="103"/>
      <c r="B1942" s="25"/>
      <c r="C1942" s="103"/>
      <c r="D1942" s="24"/>
      <c r="E1942" s="24"/>
      <c r="F1942" s="103"/>
      <c r="G1942" s="114"/>
      <c r="I1942" s="40"/>
      <c r="J1942" s="40"/>
      <c r="M1942" s="40"/>
      <c r="N1942" s="40"/>
    </row>
    <row r="1943" spans="1:14" ht="15.75" customHeight="1" x14ac:dyDescent="0.25">
      <c r="A1943" s="103"/>
      <c r="B1943" s="25"/>
      <c r="C1943" s="103"/>
      <c r="D1943" s="24"/>
      <c r="E1943" s="24"/>
      <c r="F1943" s="103"/>
      <c r="G1943" s="114"/>
      <c r="I1943" s="40"/>
      <c r="J1943" s="40"/>
      <c r="M1943" s="40"/>
      <c r="N1943" s="40"/>
    </row>
    <row r="1944" spans="1:14" ht="15.75" customHeight="1" x14ac:dyDescent="0.25">
      <c r="A1944" s="103"/>
      <c r="B1944" s="25"/>
      <c r="C1944" s="103"/>
      <c r="D1944" s="24"/>
      <c r="E1944" s="24"/>
      <c r="F1944" s="103"/>
      <c r="G1944" s="114"/>
      <c r="I1944" s="40"/>
      <c r="J1944" s="40"/>
      <c r="M1944" s="40"/>
      <c r="N1944" s="40"/>
    </row>
    <row r="1945" spans="1:14" ht="15.75" customHeight="1" x14ac:dyDescent="0.25">
      <c r="A1945" s="103"/>
      <c r="B1945" s="25"/>
      <c r="C1945" s="103"/>
      <c r="D1945" s="24"/>
      <c r="E1945" s="24"/>
      <c r="F1945" s="103"/>
      <c r="G1945" s="114"/>
      <c r="I1945" s="40"/>
      <c r="J1945" s="40"/>
      <c r="M1945" s="40"/>
      <c r="N1945" s="40"/>
    </row>
    <row r="1946" spans="1:14" ht="15.75" customHeight="1" x14ac:dyDescent="0.25">
      <c r="A1946" s="103"/>
      <c r="B1946" s="25"/>
      <c r="C1946" s="103"/>
      <c r="D1946" s="24"/>
      <c r="E1946" s="24"/>
      <c r="F1946" s="103"/>
      <c r="G1946" s="114"/>
      <c r="I1946" s="40"/>
      <c r="J1946" s="40"/>
      <c r="M1946" s="40"/>
      <c r="N1946" s="40"/>
    </row>
    <row r="1947" spans="1:14" ht="15.75" customHeight="1" x14ac:dyDescent="0.25">
      <c r="A1947" s="103"/>
      <c r="B1947" s="25"/>
      <c r="C1947" s="103"/>
      <c r="D1947" s="24"/>
      <c r="E1947" s="24"/>
      <c r="F1947" s="103"/>
      <c r="G1947" s="114"/>
      <c r="I1947" s="40"/>
      <c r="J1947" s="40"/>
      <c r="M1947" s="40"/>
      <c r="N1947" s="40"/>
    </row>
    <row r="1948" spans="1:14" ht="15.75" customHeight="1" x14ac:dyDescent="0.25">
      <c r="A1948" s="103"/>
      <c r="B1948" s="25"/>
      <c r="C1948" s="103"/>
      <c r="D1948" s="24"/>
      <c r="E1948" s="24"/>
      <c r="F1948" s="103"/>
      <c r="G1948" s="114"/>
      <c r="I1948" s="40"/>
      <c r="J1948" s="40"/>
      <c r="M1948" s="40"/>
      <c r="N1948" s="40"/>
    </row>
    <row r="1949" spans="1:14" ht="15.75" customHeight="1" x14ac:dyDescent="0.25">
      <c r="A1949" s="103"/>
      <c r="B1949" s="25"/>
      <c r="C1949" s="103"/>
      <c r="D1949" s="24"/>
      <c r="E1949" s="24"/>
      <c r="F1949" s="103"/>
      <c r="G1949" s="114"/>
      <c r="I1949" s="40"/>
      <c r="J1949" s="40"/>
      <c r="M1949" s="40"/>
      <c r="N1949" s="40"/>
    </row>
    <row r="1950" spans="1:14" ht="15.75" customHeight="1" x14ac:dyDescent="0.25">
      <c r="A1950" s="103"/>
      <c r="B1950" s="25"/>
      <c r="C1950" s="103"/>
      <c r="D1950" s="24"/>
      <c r="E1950" s="24"/>
      <c r="F1950" s="103"/>
      <c r="G1950" s="114"/>
      <c r="I1950" s="40"/>
      <c r="J1950" s="40"/>
      <c r="M1950" s="40"/>
      <c r="N1950" s="40"/>
    </row>
    <row r="1951" spans="1:14" ht="15.75" customHeight="1" x14ac:dyDescent="0.25">
      <c r="A1951" s="103"/>
      <c r="B1951" s="25"/>
      <c r="C1951" s="103"/>
      <c r="D1951" s="24"/>
      <c r="E1951" s="24"/>
      <c r="F1951" s="103"/>
      <c r="G1951" s="114"/>
      <c r="I1951" s="40"/>
      <c r="J1951" s="40"/>
      <c r="M1951" s="40"/>
      <c r="N1951" s="40"/>
    </row>
    <row r="1952" spans="1:14" ht="15.75" customHeight="1" x14ac:dyDescent="0.25">
      <c r="A1952" s="103"/>
      <c r="B1952" s="25"/>
      <c r="C1952" s="103"/>
      <c r="D1952" s="24"/>
      <c r="E1952" s="24"/>
      <c r="F1952" s="103"/>
      <c r="G1952" s="114"/>
      <c r="I1952" s="40"/>
      <c r="J1952" s="40"/>
      <c r="M1952" s="40"/>
      <c r="N1952" s="40"/>
    </row>
    <row r="1953" spans="1:14" ht="15.75" customHeight="1" x14ac:dyDescent="0.25">
      <c r="A1953" s="103"/>
      <c r="B1953" s="25"/>
      <c r="C1953" s="103"/>
      <c r="D1953" s="24"/>
      <c r="E1953" s="24"/>
      <c r="F1953" s="103"/>
      <c r="G1953" s="114"/>
      <c r="I1953" s="40"/>
      <c r="J1953" s="40"/>
      <c r="M1953" s="40"/>
      <c r="N1953" s="40"/>
    </row>
    <row r="1954" spans="1:14" ht="15.75" customHeight="1" x14ac:dyDescent="0.25">
      <c r="A1954" s="103"/>
      <c r="B1954" s="25"/>
      <c r="C1954" s="103"/>
      <c r="D1954" s="24"/>
      <c r="E1954" s="24"/>
      <c r="F1954" s="103"/>
      <c r="G1954" s="114"/>
      <c r="I1954" s="40"/>
      <c r="J1954" s="40"/>
      <c r="M1954" s="40"/>
      <c r="N1954" s="40"/>
    </row>
    <row r="1955" spans="1:14" ht="15.75" customHeight="1" x14ac:dyDescent="0.25">
      <c r="A1955" s="103"/>
      <c r="B1955" s="25"/>
      <c r="C1955" s="103"/>
      <c r="D1955" s="24"/>
      <c r="E1955" s="24"/>
      <c r="F1955" s="103"/>
      <c r="G1955" s="114"/>
      <c r="I1955" s="40"/>
      <c r="J1955" s="40"/>
      <c r="M1955" s="40"/>
      <c r="N1955" s="40"/>
    </row>
    <row r="1956" spans="1:14" ht="15.75" customHeight="1" x14ac:dyDescent="0.25">
      <c r="A1956" s="103"/>
      <c r="B1956" s="25"/>
      <c r="C1956" s="103"/>
      <c r="D1956" s="24"/>
      <c r="E1956" s="24"/>
      <c r="F1956" s="103"/>
      <c r="G1956" s="114"/>
      <c r="I1956" s="40"/>
      <c r="J1956" s="40"/>
      <c r="M1956" s="40"/>
      <c r="N1956" s="40"/>
    </row>
    <row r="1957" spans="1:14" ht="15.75" customHeight="1" x14ac:dyDescent="0.25">
      <c r="A1957" s="103"/>
      <c r="B1957" s="25"/>
      <c r="C1957" s="103"/>
      <c r="D1957" s="24"/>
      <c r="E1957" s="24"/>
      <c r="F1957" s="103"/>
      <c r="G1957" s="114"/>
      <c r="I1957" s="40"/>
      <c r="J1957" s="40"/>
      <c r="M1957" s="40"/>
      <c r="N1957" s="40"/>
    </row>
    <row r="1958" spans="1:14" ht="15.75" customHeight="1" x14ac:dyDescent="0.25">
      <c r="A1958" s="103"/>
      <c r="B1958" s="25"/>
      <c r="C1958" s="103"/>
      <c r="D1958" s="24"/>
      <c r="E1958" s="24"/>
      <c r="F1958" s="103"/>
      <c r="G1958" s="114"/>
      <c r="I1958" s="40"/>
      <c r="J1958" s="40"/>
      <c r="M1958" s="40"/>
      <c r="N1958" s="40"/>
    </row>
    <row r="1959" spans="1:14" ht="15.75" customHeight="1" x14ac:dyDescent="0.25">
      <c r="A1959" s="103"/>
      <c r="B1959" s="25"/>
      <c r="C1959" s="103"/>
      <c r="D1959" s="24"/>
      <c r="E1959" s="24"/>
      <c r="F1959" s="103"/>
      <c r="G1959" s="114"/>
      <c r="I1959" s="40"/>
      <c r="J1959" s="40"/>
      <c r="M1959" s="40"/>
      <c r="N1959" s="40"/>
    </row>
    <row r="1960" spans="1:14" ht="15.75" customHeight="1" x14ac:dyDescent="0.25">
      <c r="A1960" s="103"/>
      <c r="B1960" s="25"/>
      <c r="C1960" s="103"/>
      <c r="D1960" s="24"/>
      <c r="E1960" s="24"/>
      <c r="F1960" s="103"/>
      <c r="G1960" s="114"/>
      <c r="I1960" s="40"/>
      <c r="J1960" s="40"/>
      <c r="M1960" s="40"/>
      <c r="N1960" s="40"/>
    </row>
    <row r="1961" spans="1:14" ht="15.75" customHeight="1" x14ac:dyDescent="0.25">
      <c r="A1961" s="103"/>
      <c r="B1961" s="25"/>
      <c r="C1961" s="103"/>
      <c r="D1961" s="24"/>
      <c r="E1961" s="24"/>
      <c r="F1961" s="103"/>
      <c r="G1961" s="114"/>
      <c r="I1961" s="40"/>
      <c r="J1961" s="40"/>
      <c r="M1961" s="40"/>
      <c r="N1961" s="40"/>
    </row>
    <row r="1962" spans="1:14" ht="15.75" customHeight="1" x14ac:dyDescent="0.25">
      <c r="A1962" s="103"/>
      <c r="B1962" s="25"/>
      <c r="C1962" s="103"/>
      <c r="D1962" s="24"/>
      <c r="E1962" s="24"/>
      <c r="F1962" s="103"/>
      <c r="G1962" s="114"/>
      <c r="I1962" s="40"/>
      <c r="J1962" s="40"/>
      <c r="M1962" s="40"/>
      <c r="N1962" s="40"/>
    </row>
    <row r="1963" spans="1:14" ht="15.75" customHeight="1" x14ac:dyDescent="0.25">
      <c r="A1963" s="103"/>
      <c r="B1963" s="25"/>
      <c r="C1963" s="103"/>
      <c r="D1963" s="24"/>
      <c r="E1963" s="24"/>
      <c r="F1963" s="103"/>
      <c r="G1963" s="114"/>
      <c r="I1963" s="40"/>
      <c r="J1963" s="40"/>
      <c r="M1963" s="40"/>
      <c r="N1963" s="40"/>
    </row>
    <row r="1964" spans="1:14" ht="15.75" customHeight="1" x14ac:dyDescent="0.25">
      <c r="A1964" s="103"/>
      <c r="B1964" s="25"/>
      <c r="C1964" s="103"/>
      <c r="D1964" s="24"/>
      <c r="E1964" s="24"/>
      <c r="F1964" s="103"/>
      <c r="G1964" s="114"/>
      <c r="I1964" s="40"/>
      <c r="J1964" s="40"/>
      <c r="M1964" s="40"/>
      <c r="N1964" s="40"/>
    </row>
    <row r="1965" spans="1:14" ht="15.75" customHeight="1" x14ac:dyDescent="0.25">
      <c r="A1965" s="103"/>
      <c r="B1965" s="25"/>
      <c r="C1965" s="103"/>
      <c r="D1965" s="24"/>
      <c r="E1965" s="24"/>
      <c r="F1965" s="103"/>
      <c r="G1965" s="114"/>
      <c r="I1965" s="40"/>
      <c r="J1965" s="40"/>
      <c r="M1965" s="40"/>
      <c r="N1965" s="40"/>
    </row>
    <row r="1966" spans="1:14" ht="15.75" customHeight="1" x14ac:dyDescent="0.25">
      <c r="A1966" s="103"/>
      <c r="B1966" s="25"/>
      <c r="C1966" s="103"/>
      <c r="D1966" s="24"/>
      <c r="E1966" s="24"/>
      <c r="F1966" s="103"/>
      <c r="G1966" s="114"/>
      <c r="I1966" s="40"/>
      <c r="J1966" s="40"/>
      <c r="M1966" s="40"/>
      <c r="N1966" s="40"/>
    </row>
    <row r="1967" spans="1:14" ht="15.75" customHeight="1" x14ac:dyDescent="0.25">
      <c r="A1967" s="103"/>
      <c r="B1967" s="25"/>
      <c r="C1967" s="103"/>
      <c r="D1967" s="24"/>
      <c r="E1967" s="24"/>
      <c r="F1967" s="103"/>
      <c r="G1967" s="114"/>
      <c r="I1967" s="40"/>
      <c r="J1967" s="40"/>
      <c r="M1967" s="40"/>
      <c r="N1967" s="40"/>
    </row>
    <row r="1968" spans="1:14" ht="15.75" customHeight="1" x14ac:dyDescent="0.25">
      <c r="A1968" s="103"/>
      <c r="B1968" s="25"/>
      <c r="C1968" s="103"/>
      <c r="D1968" s="24"/>
      <c r="E1968" s="24"/>
      <c r="F1968" s="103"/>
      <c r="G1968" s="114"/>
      <c r="I1968" s="40"/>
      <c r="J1968" s="40"/>
      <c r="M1968" s="40"/>
      <c r="N1968" s="40"/>
    </row>
    <row r="1969" spans="1:14" ht="15.75" customHeight="1" x14ac:dyDescent="0.25">
      <c r="A1969" s="103"/>
      <c r="B1969" s="25"/>
      <c r="C1969" s="103"/>
      <c r="D1969" s="24"/>
      <c r="E1969" s="24"/>
      <c r="F1969" s="103"/>
      <c r="G1969" s="114"/>
      <c r="I1969" s="40"/>
      <c r="J1969" s="40"/>
      <c r="M1969" s="40"/>
      <c r="N1969" s="40"/>
    </row>
    <row r="1970" spans="1:14" ht="15.75" customHeight="1" x14ac:dyDescent="0.25">
      <c r="A1970" s="103"/>
      <c r="B1970" s="25"/>
      <c r="C1970" s="103"/>
      <c r="D1970" s="24"/>
      <c r="E1970" s="24"/>
      <c r="F1970" s="103"/>
      <c r="G1970" s="114"/>
      <c r="I1970" s="40"/>
      <c r="J1970" s="40"/>
      <c r="M1970" s="40"/>
      <c r="N1970" s="40"/>
    </row>
    <row r="1971" spans="1:14" ht="15.75" customHeight="1" x14ac:dyDescent="0.25">
      <c r="A1971" s="103"/>
      <c r="B1971" s="25"/>
      <c r="C1971" s="103"/>
      <c r="D1971" s="24"/>
      <c r="E1971" s="24"/>
      <c r="F1971" s="103"/>
      <c r="G1971" s="114"/>
      <c r="I1971" s="40"/>
      <c r="J1971" s="40"/>
      <c r="M1971" s="40"/>
      <c r="N1971" s="40"/>
    </row>
    <row r="1972" spans="1:14" ht="15.75" customHeight="1" x14ac:dyDescent="0.25">
      <c r="A1972" s="103"/>
      <c r="B1972" s="25"/>
      <c r="C1972" s="103"/>
      <c r="D1972" s="24"/>
      <c r="E1972" s="24"/>
      <c r="F1972" s="103"/>
      <c r="G1972" s="114"/>
      <c r="I1972" s="40"/>
      <c r="J1972" s="40"/>
      <c r="M1972" s="40"/>
      <c r="N1972" s="40"/>
    </row>
    <row r="1973" spans="1:14" ht="15.75" customHeight="1" x14ac:dyDescent="0.25">
      <c r="A1973" s="103"/>
      <c r="B1973" s="25"/>
      <c r="C1973" s="103"/>
      <c r="D1973" s="24"/>
      <c r="E1973" s="24"/>
      <c r="F1973" s="103"/>
      <c r="G1973" s="114"/>
      <c r="I1973" s="40"/>
      <c r="J1973" s="40"/>
      <c r="M1973" s="40"/>
      <c r="N1973" s="40"/>
    </row>
    <row r="1974" spans="1:14" ht="15.75" customHeight="1" x14ac:dyDescent="0.25">
      <c r="A1974" s="103"/>
      <c r="B1974" s="25"/>
      <c r="C1974" s="103"/>
      <c r="D1974" s="24"/>
      <c r="E1974" s="24"/>
      <c r="F1974" s="103"/>
      <c r="G1974" s="114"/>
      <c r="I1974" s="40"/>
      <c r="J1974" s="40"/>
      <c r="M1974" s="40"/>
      <c r="N1974" s="40"/>
    </row>
    <row r="1975" spans="1:14" ht="15.75" customHeight="1" x14ac:dyDescent="0.25">
      <c r="A1975" s="103"/>
      <c r="B1975" s="25"/>
      <c r="C1975" s="103"/>
      <c r="D1975" s="24"/>
      <c r="E1975" s="24"/>
      <c r="F1975" s="103"/>
      <c r="G1975" s="114"/>
      <c r="I1975" s="40"/>
      <c r="J1975" s="40"/>
      <c r="M1975" s="40"/>
      <c r="N1975" s="40"/>
    </row>
    <row r="1976" spans="1:14" ht="15.75" customHeight="1" x14ac:dyDescent="0.25">
      <c r="A1976" s="103"/>
      <c r="B1976" s="25"/>
      <c r="C1976" s="103"/>
      <c r="D1976" s="24"/>
      <c r="E1976" s="24"/>
      <c r="F1976" s="103"/>
      <c r="G1976" s="114"/>
      <c r="I1976" s="40"/>
      <c r="J1976" s="40"/>
      <c r="M1976" s="40"/>
      <c r="N1976" s="40"/>
    </row>
    <row r="1977" spans="1:14" ht="15.75" customHeight="1" x14ac:dyDescent="0.25">
      <c r="A1977" s="103"/>
      <c r="B1977" s="25"/>
      <c r="C1977" s="103"/>
      <c r="D1977" s="24"/>
      <c r="E1977" s="24"/>
      <c r="F1977" s="103"/>
      <c r="G1977" s="114"/>
      <c r="I1977" s="40"/>
      <c r="J1977" s="40"/>
      <c r="M1977" s="40"/>
      <c r="N1977" s="40"/>
    </row>
    <row r="1978" spans="1:14" ht="15.75" customHeight="1" x14ac:dyDescent="0.25">
      <c r="A1978" s="103"/>
      <c r="B1978" s="25"/>
      <c r="C1978" s="103"/>
      <c r="D1978" s="24"/>
      <c r="E1978" s="24"/>
      <c r="F1978" s="103"/>
      <c r="G1978" s="114"/>
      <c r="I1978" s="40"/>
      <c r="J1978" s="40"/>
      <c r="M1978" s="40"/>
      <c r="N1978" s="40"/>
    </row>
    <row r="1979" spans="1:14" ht="15.75" customHeight="1" x14ac:dyDescent="0.25">
      <c r="A1979" s="103"/>
      <c r="B1979" s="25"/>
      <c r="C1979" s="103"/>
      <c r="D1979" s="24"/>
      <c r="E1979" s="24"/>
      <c r="F1979" s="103"/>
      <c r="G1979" s="114"/>
      <c r="I1979" s="40"/>
      <c r="J1979" s="40"/>
      <c r="M1979" s="40"/>
      <c r="N1979" s="40"/>
    </row>
    <row r="1980" spans="1:14" ht="15.75" customHeight="1" x14ac:dyDescent="0.25">
      <c r="A1980" s="103"/>
      <c r="B1980" s="25"/>
      <c r="C1980" s="103"/>
      <c r="D1980" s="24"/>
      <c r="E1980" s="24"/>
      <c r="F1980" s="103"/>
      <c r="G1980" s="114"/>
      <c r="I1980" s="40"/>
      <c r="J1980" s="40"/>
      <c r="M1980" s="40"/>
      <c r="N1980" s="40"/>
    </row>
    <row r="1981" spans="1:14" ht="15.75" customHeight="1" x14ac:dyDescent="0.25">
      <c r="A1981" s="103"/>
      <c r="B1981" s="25"/>
      <c r="C1981" s="103"/>
      <c r="D1981" s="24"/>
      <c r="E1981" s="24"/>
      <c r="F1981" s="103"/>
      <c r="G1981" s="114"/>
      <c r="I1981" s="40"/>
      <c r="J1981" s="40"/>
      <c r="M1981" s="40"/>
      <c r="N1981" s="40"/>
    </row>
    <row r="1982" spans="1:14" ht="15.75" customHeight="1" x14ac:dyDescent="0.25">
      <c r="A1982" s="103"/>
      <c r="B1982" s="25"/>
      <c r="C1982" s="103"/>
      <c r="D1982" s="24"/>
      <c r="E1982" s="24"/>
      <c r="F1982" s="103"/>
      <c r="G1982" s="114"/>
      <c r="I1982" s="40"/>
      <c r="J1982" s="40"/>
      <c r="M1982" s="40"/>
      <c r="N1982" s="40"/>
    </row>
    <row r="1983" spans="1:14" ht="15.75" customHeight="1" x14ac:dyDescent="0.25">
      <c r="A1983" s="103"/>
      <c r="B1983" s="25"/>
      <c r="C1983" s="103"/>
      <c r="D1983" s="24"/>
      <c r="E1983" s="24"/>
      <c r="F1983" s="103"/>
      <c r="G1983" s="114"/>
      <c r="I1983" s="40"/>
      <c r="J1983" s="40"/>
      <c r="M1983" s="40"/>
      <c r="N1983" s="40"/>
    </row>
    <row r="1984" spans="1:14" ht="15.75" customHeight="1" x14ac:dyDescent="0.25">
      <c r="A1984" s="103"/>
      <c r="B1984" s="25"/>
      <c r="C1984" s="103"/>
      <c r="D1984" s="24"/>
      <c r="E1984" s="24"/>
      <c r="F1984" s="103"/>
      <c r="G1984" s="114"/>
      <c r="I1984" s="40"/>
      <c r="J1984" s="40"/>
      <c r="M1984" s="40"/>
      <c r="N1984" s="40"/>
    </row>
    <row r="1985" spans="1:14" ht="15.75" customHeight="1" x14ac:dyDescent="0.25">
      <c r="A1985" s="103"/>
      <c r="B1985" s="25"/>
      <c r="C1985" s="103"/>
      <c r="D1985" s="24"/>
      <c r="E1985" s="24"/>
      <c r="F1985" s="103"/>
      <c r="G1985" s="114"/>
      <c r="I1985" s="40"/>
      <c r="J1985" s="40"/>
      <c r="M1985" s="40"/>
      <c r="N1985" s="40"/>
    </row>
    <row r="1986" spans="1:14" ht="15.75" customHeight="1" x14ac:dyDescent="0.25">
      <c r="A1986" s="103"/>
      <c r="B1986" s="25"/>
      <c r="C1986" s="103"/>
      <c r="D1986" s="24"/>
      <c r="E1986" s="24"/>
      <c r="F1986" s="103"/>
      <c r="G1986" s="114"/>
      <c r="I1986" s="40"/>
      <c r="J1986" s="40"/>
      <c r="M1986" s="40"/>
      <c r="N1986" s="40"/>
    </row>
    <row r="1987" spans="1:14" ht="15.75" customHeight="1" x14ac:dyDescent="0.25">
      <c r="A1987" s="103"/>
      <c r="B1987" s="25"/>
      <c r="C1987" s="103"/>
      <c r="D1987" s="24"/>
      <c r="E1987" s="24"/>
      <c r="F1987" s="103"/>
      <c r="G1987" s="114"/>
      <c r="I1987" s="40"/>
      <c r="J1987" s="40"/>
      <c r="M1987" s="40"/>
      <c r="N1987" s="40"/>
    </row>
    <row r="1988" spans="1:14" ht="15.75" customHeight="1" x14ac:dyDescent="0.25">
      <c r="A1988" s="103"/>
      <c r="B1988" s="25"/>
      <c r="C1988" s="103"/>
      <c r="D1988" s="24"/>
      <c r="E1988" s="24"/>
      <c r="F1988" s="103"/>
      <c r="G1988" s="114"/>
      <c r="I1988" s="40"/>
      <c r="J1988" s="40"/>
      <c r="M1988" s="40"/>
      <c r="N1988" s="40"/>
    </row>
    <row r="1989" spans="1:14" ht="15.75" customHeight="1" x14ac:dyDescent="0.25">
      <c r="A1989" s="103"/>
      <c r="B1989" s="25"/>
      <c r="C1989" s="103"/>
      <c r="D1989" s="24"/>
      <c r="E1989" s="24"/>
      <c r="F1989" s="103"/>
      <c r="G1989" s="114"/>
      <c r="I1989" s="40"/>
      <c r="J1989" s="40"/>
      <c r="M1989" s="40"/>
      <c r="N1989" s="40"/>
    </row>
    <row r="1990" spans="1:14" ht="15.75" customHeight="1" x14ac:dyDescent="0.25">
      <c r="A1990" s="103"/>
      <c r="B1990" s="25"/>
      <c r="C1990" s="103"/>
      <c r="D1990" s="24"/>
      <c r="E1990" s="24"/>
      <c r="F1990" s="103"/>
      <c r="G1990" s="114"/>
      <c r="I1990" s="40"/>
      <c r="J1990" s="40"/>
      <c r="M1990" s="40"/>
      <c r="N1990" s="40"/>
    </row>
    <row r="1991" spans="1:14" ht="15.75" customHeight="1" x14ac:dyDescent="0.25">
      <c r="A1991" s="103"/>
      <c r="B1991" s="25"/>
      <c r="C1991" s="103"/>
      <c r="D1991" s="24"/>
      <c r="E1991" s="24"/>
      <c r="F1991" s="103"/>
      <c r="G1991" s="114"/>
      <c r="I1991" s="40"/>
      <c r="J1991" s="40"/>
      <c r="M1991" s="40"/>
      <c r="N1991" s="40"/>
    </row>
    <row r="1992" spans="1:14" ht="15.75" customHeight="1" x14ac:dyDescent="0.25">
      <c r="A1992" s="103"/>
      <c r="B1992" s="25"/>
      <c r="C1992" s="103"/>
      <c r="D1992" s="24"/>
      <c r="E1992" s="24"/>
      <c r="F1992" s="103"/>
      <c r="G1992" s="114"/>
      <c r="I1992" s="40"/>
      <c r="J1992" s="40"/>
      <c r="M1992" s="40"/>
      <c r="N1992" s="40"/>
    </row>
    <row r="1993" spans="1:14" ht="15.75" customHeight="1" x14ac:dyDescent="0.25">
      <c r="A1993" s="103"/>
      <c r="B1993" s="25"/>
      <c r="C1993" s="103"/>
      <c r="D1993" s="24"/>
      <c r="E1993" s="24"/>
      <c r="F1993" s="103"/>
      <c r="G1993" s="114"/>
      <c r="I1993" s="40"/>
      <c r="J1993" s="40"/>
      <c r="M1993" s="40"/>
      <c r="N1993" s="40"/>
    </row>
    <row r="1994" spans="1:14" ht="15.75" customHeight="1" x14ac:dyDescent="0.25">
      <c r="A1994" s="103"/>
      <c r="B1994" s="25"/>
      <c r="C1994" s="103"/>
      <c r="D1994" s="24"/>
      <c r="E1994" s="24"/>
      <c r="F1994" s="103"/>
      <c r="G1994" s="114"/>
      <c r="I1994" s="40"/>
      <c r="J1994" s="40"/>
      <c r="M1994" s="40"/>
      <c r="N1994" s="40"/>
    </row>
    <row r="1995" spans="1:14" ht="15.75" customHeight="1" x14ac:dyDescent="0.25">
      <c r="A1995" s="103"/>
      <c r="B1995" s="25"/>
      <c r="C1995" s="103"/>
      <c r="D1995" s="24"/>
      <c r="E1995" s="24"/>
      <c r="F1995" s="103"/>
      <c r="G1995" s="114"/>
      <c r="I1995" s="40"/>
      <c r="J1995" s="40"/>
      <c r="M1995" s="40"/>
      <c r="N1995" s="40"/>
    </row>
    <row r="1996" spans="1:14" ht="15.75" customHeight="1" x14ac:dyDescent="0.25">
      <c r="A1996" s="103"/>
      <c r="B1996" s="25"/>
      <c r="C1996" s="103"/>
      <c r="D1996" s="24"/>
      <c r="E1996" s="24"/>
      <c r="F1996" s="103"/>
      <c r="G1996" s="114"/>
      <c r="I1996" s="40"/>
      <c r="J1996" s="40"/>
      <c r="M1996" s="40"/>
      <c r="N1996" s="40"/>
    </row>
    <row r="1997" spans="1:14" ht="15.75" customHeight="1" x14ac:dyDescent="0.25">
      <c r="A1997" s="103"/>
      <c r="B1997" s="25"/>
      <c r="C1997" s="103"/>
      <c r="D1997" s="24"/>
      <c r="E1997" s="24"/>
      <c r="F1997" s="103"/>
      <c r="G1997" s="114"/>
      <c r="I1997" s="40"/>
      <c r="J1997" s="40"/>
      <c r="M1997" s="40"/>
      <c r="N1997" s="40"/>
    </row>
    <row r="1998" spans="1:14" ht="15.75" customHeight="1" x14ac:dyDescent="0.25">
      <c r="A1998" s="103"/>
      <c r="B1998" s="25"/>
      <c r="C1998" s="103"/>
      <c r="D1998" s="24"/>
      <c r="E1998" s="24"/>
      <c r="F1998" s="103"/>
      <c r="G1998" s="114"/>
      <c r="I1998" s="40"/>
      <c r="J1998" s="40"/>
      <c r="M1998" s="40"/>
      <c r="N1998" s="40"/>
    </row>
    <row r="1999" spans="1:14" ht="15.75" customHeight="1" x14ac:dyDescent="0.25">
      <c r="A1999" s="103"/>
      <c r="B1999" s="25"/>
      <c r="C1999" s="103"/>
      <c r="D1999" s="24"/>
      <c r="E1999" s="24"/>
      <c r="F1999" s="103"/>
      <c r="G1999" s="114"/>
      <c r="I1999" s="40"/>
      <c r="J1999" s="40"/>
      <c r="M1999" s="40"/>
      <c r="N1999" s="40"/>
    </row>
    <row r="2000" spans="1:14" ht="15.75" customHeight="1" x14ac:dyDescent="0.25">
      <c r="A2000" s="103"/>
      <c r="B2000" s="25"/>
      <c r="C2000" s="103"/>
      <c r="D2000" s="24"/>
      <c r="E2000" s="24"/>
      <c r="F2000" s="103"/>
      <c r="G2000" s="114"/>
      <c r="I2000" s="40"/>
      <c r="J2000" s="40"/>
      <c r="M2000" s="40"/>
      <c r="N2000" s="40"/>
    </row>
    <row r="2001" spans="1:14" ht="15.75" customHeight="1" x14ac:dyDescent="0.25">
      <c r="A2001" s="103"/>
      <c r="B2001" s="25"/>
      <c r="C2001" s="103"/>
      <c r="D2001" s="24"/>
      <c r="E2001" s="24"/>
      <c r="F2001" s="103"/>
      <c r="G2001" s="114"/>
      <c r="I2001" s="40"/>
      <c r="J2001" s="40"/>
      <c r="M2001" s="40"/>
      <c r="N2001" s="40"/>
    </row>
    <row r="2002" spans="1:14" ht="15.75" customHeight="1" x14ac:dyDescent="0.25">
      <c r="A2002" s="103"/>
      <c r="B2002" s="25"/>
      <c r="C2002" s="103"/>
      <c r="D2002" s="24"/>
      <c r="E2002" s="24"/>
      <c r="F2002" s="103"/>
      <c r="G2002" s="114"/>
      <c r="I2002" s="40"/>
      <c r="J2002" s="40"/>
      <c r="M2002" s="40"/>
      <c r="N2002" s="40"/>
    </row>
    <row r="2003" spans="1:14" ht="15.75" customHeight="1" x14ac:dyDescent="0.25">
      <c r="A2003" s="103"/>
      <c r="B2003" s="25"/>
      <c r="C2003" s="103"/>
      <c r="D2003" s="24"/>
      <c r="E2003" s="24"/>
      <c r="F2003" s="103"/>
      <c r="G2003" s="114"/>
      <c r="I2003" s="40"/>
      <c r="J2003" s="40"/>
      <c r="M2003" s="40"/>
      <c r="N2003" s="40"/>
    </row>
    <row r="2004" spans="1:14" ht="15.75" customHeight="1" x14ac:dyDescent="0.25">
      <c r="A2004" s="103"/>
      <c r="B2004" s="25"/>
      <c r="C2004" s="103"/>
      <c r="D2004" s="24"/>
      <c r="E2004" s="24"/>
      <c r="F2004" s="103"/>
      <c r="G2004" s="114"/>
      <c r="I2004" s="40"/>
      <c r="J2004" s="40"/>
      <c r="M2004" s="40"/>
      <c r="N2004" s="40"/>
    </row>
    <row r="2005" spans="1:14" ht="15.75" customHeight="1" x14ac:dyDescent="0.25">
      <c r="A2005" s="103"/>
      <c r="B2005" s="25"/>
      <c r="C2005" s="103"/>
      <c r="D2005" s="24"/>
      <c r="E2005" s="24"/>
      <c r="F2005" s="103"/>
      <c r="G2005" s="114"/>
      <c r="I2005" s="40"/>
      <c r="J2005" s="40"/>
      <c r="M2005" s="40"/>
      <c r="N2005" s="40"/>
    </row>
    <row r="2006" spans="1:14" ht="15.75" customHeight="1" x14ac:dyDescent="0.25">
      <c r="A2006" s="103"/>
      <c r="B2006" s="25"/>
      <c r="C2006" s="103"/>
      <c r="D2006" s="24"/>
      <c r="E2006" s="24"/>
      <c r="F2006" s="103"/>
      <c r="G2006" s="114"/>
      <c r="I2006" s="40"/>
      <c r="J2006" s="40"/>
      <c r="M2006" s="40"/>
      <c r="N2006" s="40"/>
    </row>
    <row r="2007" spans="1:14" ht="15.75" customHeight="1" x14ac:dyDescent="0.25">
      <c r="A2007" s="103"/>
      <c r="B2007" s="25"/>
      <c r="C2007" s="103"/>
      <c r="D2007" s="24"/>
      <c r="E2007" s="24"/>
      <c r="F2007" s="103"/>
      <c r="G2007" s="114"/>
      <c r="I2007" s="40"/>
      <c r="J2007" s="40"/>
      <c r="M2007" s="40"/>
      <c r="N2007" s="40"/>
    </row>
    <row r="2008" spans="1:14" ht="15.75" customHeight="1" x14ac:dyDescent="0.25">
      <c r="A2008" s="103"/>
      <c r="B2008" s="25"/>
      <c r="C2008" s="103"/>
      <c r="D2008" s="24"/>
      <c r="E2008" s="24"/>
      <c r="F2008" s="103"/>
      <c r="G2008" s="114"/>
      <c r="I2008" s="40"/>
      <c r="J2008" s="40"/>
      <c r="M2008" s="40"/>
      <c r="N2008" s="40"/>
    </row>
    <row r="2009" spans="1:14" ht="15.75" customHeight="1" x14ac:dyDescent="0.25">
      <c r="A2009" s="103"/>
      <c r="B2009" s="25"/>
      <c r="C2009" s="103"/>
      <c r="D2009" s="24"/>
      <c r="E2009" s="24"/>
      <c r="F2009" s="103"/>
      <c r="G2009" s="114"/>
      <c r="I2009" s="40"/>
      <c r="J2009" s="40"/>
      <c r="M2009" s="40"/>
      <c r="N2009" s="40"/>
    </row>
    <row r="2010" spans="1:14" ht="15.75" customHeight="1" x14ac:dyDescent="0.25">
      <c r="A2010" s="103"/>
      <c r="B2010" s="25"/>
      <c r="C2010" s="103"/>
      <c r="D2010" s="24"/>
      <c r="E2010" s="24"/>
      <c r="F2010" s="103"/>
      <c r="G2010" s="114"/>
      <c r="I2010" s="40"/>
      <c r="J2010" s="40"/>
      <c r="M2010" s="40"/>
      <c r="N2010" s="40"/>
    </row>
    <row r="2011" spans="1:14" ht="15.75" customHeight="1" x14ac:dyDescent="0.25">
      <c r="A2011" s="103"/>
      <c r="B2011" s="25"/>
      <c r="C2011" s="103"/>
      <c r="D2011" s="24"/>
      <c r="E2011" s="24"/>
      <c r="F2011" s="103"/>
      <c r="G2011" s="114"/>
      <c r="I2011" s="40"/>
      <c r="J2011" s="40"/>
      <c r="M2011" s="40"/>
      <c r="N2011" s="40"/>
    </row>
    <row r="2012" spans="1:14" ht="15.75" customHeight="1" x14ac:dyDescent="0.25">
      <c r="A2012" s="103"/>
      <c r="B2012" s="25"/>
      <c r="C2012" s="103"/>
      <c r="D2012" s="24"/>
      <c r="E2012" s="24"/>
      <c r="F2012" s="103"/>
      <c r="G2012" s="114"/>
      <c r="I2012" s="40"/>
      <c r="J2012" s="40"/>
      <c r="M2012" s="40"/>
      <c r="N2012" s="40"/>
    </row>
    <row r="2013" spans="1:14" ht="15.75" customHeight="1" x14ac:dyDescent="0.25">
      <c r="A2013" s="103"/>
      <c r="B2013" s="25"/>
      <c r="C2013" s="103"/>
      <c r="D2013" s="24"/>
      <c r="E2013" s="24"/>
      <c r="F2013" s="103"/>
      <c r="G2013" s="114"/>
      <c r="I2013" s="40"/>
      <c r="J2013" s="40"/>
      <c r="M2013" s="40"/>
      <c r="N2013" s="40"/>
    </row>
    <row r="2014" spans="1:14" ht="15.75" customHeight="1" x14ac:dyDescent="0.25">
      <c r="A2014" s="103"/>
      <c r="B2014" s="25"/>
      <c r="C2014" s="103"/>
      <c r="D2014" s="24"/>
      <c r="E2014" s="24"/>
      <c r="F2014" s="103"/>
      <c r="G2014" s="114"/>
      <c r="I2014" s="40"/>
      <c r="J2014" s="40"/>
      <c r="M2014" s="40"/>
      <c r="N2014" s="40"/>
    </row>
    <row r="2015" spans="1:14" ht="15.75" customHeight="1" x14ac:dyDescent="0.25">
      <c r="A2015" s="103"/>
      <c r="B2015" s="25"/>
      <c r="C2015" s="103"/>
      <c r="D2015" s="24"/>
      <c r="E2015" s="24"/>
      <c r="F2015" s="103"/>
      <c r="G2015" s="114"/>
      <c r="I2015" s="40"/>
      <c r="J2015" s="40"/>
      <c r="M2015" s="40"/>
      <c r="N2015" s="40"/>
    </row>
    <row r="2016" spans="1:14" ht="15.75" customHeight="1" x14ac:dyDescent="0.25">
      <c r="A2016" s="103"/>
      <c r="B2016" s="25"/>
      <c r="C2016" s="103"/>
      <c r="D2016" s="24"/>
      <c r="E2016" s="24"/>
      <c r="F2016" s="103"/>
      <c r="G2016" s="114"/>
      <c r="I2016" s="40"/>
      <c r="J2016" s="40"/>
      <c r="M2016" s="40"/>
      <c r="N2016" s="40"/>
    </row>
    <row r="2017" spans="1:14" ht="15.75" customHeight="1" x14ac:dyDescent="0.25">
      <c r="A2017" s="103"/>
      <c r="B2017" s="25"/>
      <c r="C2017" s="103"/>
      <c r="D2017" s="24"/>
      <c r="E2017" s="24"/>
      <c r="F2017" s="103"/>
      <c r="G2017" s="114"/>
      <c r="I2017" s="40"/>
      <c r="J2017" s="40"/>
      <c r="M2017" s="40"/>
      <c r="N2017" s="40"/>
    </row>
    <row r="2018" spans="1:14" ht="15.75" customHeight="1" x14ac:dyDescent="0.25">
      <c r="A2018" s="103"/>
      <c r="B2018" s="25"/>
      <c r="C2018" s="103"/>
      <c r="D2018" s="24"/>
      <c r="E2018" s="24"/>
      <c r="F2018" s="103"/>
      <c r="G2018" s="114"/>
      <c r="I2018" s="40"/>
      <c r="J2018" s="40"/>
      <c r="M2018" s="40"/>
      <c r="N2018" s="40"/>
    </row>
    <row r="2019" spans="1:14" ht="15.75" customHeight="1" x14ac:dyDescent="0.25">
      <c r="A2019" s="103"/>
      <c r="B2019" s="25"/>
      <c r="C2019" s="103"/>
      <c r="D2019" s="24"/>
      <c r="E2019" s="24"/>
      <c r="F2019" s="103"/>
      <c r="G2019" s="114"/>
      <c r="I2019" s="40"/>
      <c r="J2019" s="40"/>
      <c r="M2019" s="40"/>
      <c r="N2019" s="40"/>
    </row>
    <row r="2020" spans="1:14" ht="15.75" customHeight="1" x14ac:dyDescent="0.25">
      <c r="A2020" s="103"/>
      <c r="B2020" s="25"/>
      <c r="C2020" s="103"/>
      <c r="D2020" s="24"/>
      <c r="E2020" s="24"/>
      <c r="F2020" s="103"/>
      <c r="G2020" s="114"/>
      <c r="I2020" s="40"/>
      <c r="J2020" s="40"/>
      <c r="M2020" s="40"/>
      <c r="N2020" s="40"/>
    </row>
    <row r="2021" spans="1:14" ht="15.75" customHeight="1" x14ac:dyDescent="0.25">
      <c r="A2021" s="103"/>
      <c r="B2021" s="25"/>
      <c r="C2021" s="103"/>
      <c r="D2021" s="24"/>
      <c r="E2021" s="24"/>
      <c r="F2021" s="103"/>
      <c r="G2021" s="114"/>
      <c r="I2021" s="40"/>
      <c r="J2021" s="40"/>
      <c r="M2021" s="40"/>
      <c r="N2021" s="40"/>
    </row>
    <row r="2022" spans="1:14" ht="15.75" customHeight="1" x14ac:dyDescent="0.25">
      <c r="A2022" s="103"/>
      <c r="B2022" s="25"/>
      <c r="C2022" s="103"/>
      <c r="D2022" s="24"/>
      <c r="E2022" s="24"/>
      <c r="F2022" s="103"/>
      <c r="G2022" s="114"/>
      <c r="I2022" s="40"/>
      <c r="J2022" s="40"/>
      <c r="M2022" s="40"/>
      <c r="N2022" s="40"/>
    </row>
    <row r="2023" spans="1:14" ht="15.75" customHeight="1" x14ac:dyDescent="0.25">
      <c r="A2023" s="103"/>
      <c r="B2023" s="25"/>
      <c r="C2023" s="103"/>
      <c r="D2023" s="24"/>
      <c r="E2023" s="24"/>
      <c r="F2023" s="103"/>
      <c r="G2023" s="114"/>
      <c r="I2023" s="40"/>
      <c r="J2023" s="40"/>
      <c r="M2023" s="40"/>
      <c r="N2023" s="40"/>
    </row>
    <row r="2024" spans="1:14" ht="15.75" customHeight="1" x14ac:dyDescent="0.25">
      <c r="A2024" s="103"/>
      <c r="B2024" s="25"/>
      <c r="C2024" s="103"/>
      <c r="D2024" s="24"/>
      <c r="E2024" s="24"/>
      <c r="F2024" s="103"/>
      <c r="G2024" s="114"/>
      <c r="I2024" s="40"/>
      <c r="J2024" s="40"/>
      <c r="M2024" s="40"/>
      <c r="N2024" s="40"/>
    </row>
    <row r="2025" spans="1:14" ht="15.75" customHeight="1" x14ac:dyDescent="0.25">
      <c r="A2025" s="103"/>
      <c r="B2025" s="25"/>
      <c r="C2025" s="103"/>
      <c r="D2025" s="24"/>
      <c r="E2025" s="24"/>
      <c r="F2025" s="103"/>
      <c r="G2025" s="114"/>
      <c r="I2025" s="40"/>
      <c r="J2025" s="40"/>
      <c r="M2025" s="40"/>
      <c r="N2025" s="40"/>
    </row>
    <row r="2026" spans="1:14" ht="15.75" customHeight="1" x14ac:dyDescent="0.25">
      <c r="A2026" s="103"/>
      <c r="B2026" s="25"/>
      <c r="C2026" s="103"/>
      <c r="D2026" s="24"/>
      <c r="E2026" s="24"/>
      <c r="F2026" s="103"/>
      <c r="G2026" s="114"/>
      <c r="I2026" s="40"/>
      <c r="J2026" s="40"/>
      <c r="M2026" s="40"/>
      <c r="N2026" s="40"/>
    </row>
    <row r="2027" spans="1:14" ht="15.75" customHeight="1" x14ac:dyDescent="0.25">
      <c r="A2027" s="103"/>
      <c r="B2027" s="25"/>
      <c r="C2027" s="103"/>
      <c r="D2027" s="24"/>
      <c r="E2027" s="24"/>
      <c r="F2027" s="103"/>
      <c r="G2027" s="114"/>
      <c r="I2027" s="40"/>
      <c r="J2027" s="40"/>
      <c r="M2027" s="40"/>
      <c r="N2027" s="40"/>
    </row>
    <row r="2028" spans="1:14" ht="15.75" customHeight="1" x14ac:dyDescent="0.25">
      <c r="A2028" s="103"/>
      <c r="B2028" s="25"/>
      <c r="C2028" s="103"/>
      <c r="D2028" s="24"/>
      <c r="E2028" s="24"/>
      <c r="F2028" s="103"/>
      <c r="G2028" s="114"/>
      <c r="I2028" s="40"/>
      <c r="J2028" s="40"/>
      <c r="M2028" s="40"/>
      <c r="N2028" s="40"/>
    </row>
    <row r="2029" spans="1:14" ht="15.75" customHeight="1" x14ac:dyDescent="0.25">
      <c r="A2029" s="103"/>
      <c r="B2029" s="25"/>
      <c r="C2029" s="103"/>
      <c r="D2029" s="24"/>
      <c r="E2029" s="24"/>
      <c r="F2029" s="103"/>
      <c r="G2029" s="114"/>
      <c r="I2029" s="40"/>
      <c r="J2029" s="40"/>
      <c r="M2029" s="40"/>
      <c r="N2029" s="40"/>
    </row>
    <row r="2030" spans="1:14" ht="15.75" customHeight="1" x14ac:dyDescent="0.25">
      <c r="A2030" s="103"/>
      <c r="B2030" s="25"/>
      <c r="C2030" s="103"/>
      <c r="D2030" s="24"/>
      <c r="E2030" s="24"/>
      <c r="F2030" s="103"/>
      <c r="G2030" s="114"/>
      <c r="I2030" s="40"/>
      <c r="J2030" s="40"/>
      <c r="M2030" s="40"/>
      <c r="N2030" s="40"/>
    </row>
    <row r="2031" spans="1:14" ht="15.75" customHeight="1" x14ac:dyDescent="0.25">
      <c r="A2031" s="103"/>
      <c r="B2031" s="25"/>
      <c r="C2031" s="103"/>
      <c r="D2031" s="24"/>
      <c r="E2031" s="24"/>
      <c r="F2031" s="103"/>
      <c r="G2031" s="114"/>
      <c r="I2031" s="40"/>
      <c r="J2031" s="40"/>
      <c r="M2031" s="40"/>
      <c r="N2031" s="40"/>
    </row>
    <row r="2032" spans="1:14" ht="15.75" customHeight="1" x14ac:dyDescent="0.25">
      <c r="A2032" s="103"/>
      <c r="B2032" s="25"/>
      <c r="C2032" s="103"/>
      <c r="D2032" s="24"/>
      <c r="E2032" s="24"/>
      <c r="F2032" s="103"/>
      <c r="G2032" s="114"/>
      <c r="I2032" s="40"/>
      <c r="J2032" s="40"/>
      <c r="M2032" s="40"/>
      <c r="N2032" s="40"/>
    </row>
    <row r="2033" spans="1:14" ht="15.75" customHeight="1" x14ac:dyDescent="0.25">
      <c r="A2033" s="103"/>
      <c r="B2033" s="25"/>
      <c r="C2033" s="103"/>
      <c r="D2033" s="24"/>
      <c r="E2033" s="24"/>
      <c r="F2033" s="103"/>
      <c r="G2033" s="114"/>
      <c r="I2033" s="40"/>
      <c r="J2033" s="40"/>
      <c r="M2033" s="40"/>
      <c r="N2033" s="40"/>
    </row>
    <row r="2034" spans="1:14" ht="15.75" customHeight="1" x14ac:dyDescent="0.25">
      <c r="A2034" s="103"/>
      <c r="B2034" s="25"/>
      <c r="C2034" s="103"/>
      <c r="D2034" s="24"/>
      <c r="E2034" s="24"/>
      <c r="F2034" s="103"/>
      <c r="G2034" s="114"/>
      <c r="I2034" s="40"/>
      <c r="J2034" s="40"/>
      <c r="M2034" s="40"/>
      <c r="N2034" s="40"/>
    </row>
    <row r="2035" spans="1:14" ht="15.75" customHeight="1" x14ac:dyDescent="0.25">
      <c r="A2035" s="103"/>
      <c r="B2035" s="25"/>
      <c r="C2035" s="103"/>
      <c r="D2035" s="24"/>
      <c r="E2035" s="24"/>
      <c r="F2035" s="103"/>
      <c r="G2035" s="114"/>
      <c r="I2035" s="40"/>
      <c r="J2035" s="40"/>
      <c r="M2035" s="40"/>
      <c r="N2035" s="40"/>
    </row>
    <row r="2036" spans="1:14" ht="15.75" customHeight="1" x14ac:dyDescent="0.25">
      <c r="A2036" s="103"/>
      <c r="B2036" s="25"/>
      <c r="C2036" s="103"/>
      <c r="D2036" s="24"/>
      <c r="E2036" s="24"/>
      <c r="F2036" s="103"/>
      <c r="G2036" s="114"/>
      <c r="I2036" s="40"/>
      <c r="J2036" s="40"/>
      <c r="M2036" s="40"/>
      <c r="N2036" s="40"/>
    </row>
    <row r="2037" spans="1:14" ht="15.75" customHeight="1" x14ac:dyDescent="0.25">
      <c r="A2037" s="103"/>
      <c r="B2037" s="25"/>
      <c r="C2037" s="103"/>
      <c r="D2037" s="24"/>
      <c r="E2037" s="24"/>
      <c r="F2037" s="103"/>
      <c r="G2037" s="114"/>
      <c r="I2037" s="40"/>
      <c r="J2037" s="40"/>
      <c r="M2037" s="40"/>
      <c r="N2037" s="40"/>
    </row>
    <row r="2038" spans="1:14" ht="15.75" customHeight="1" x14ac:dyDescent="0.25">
      <c r="A2038" s="103"/>
      <c r="B2038" s="25"/>
      <c r="C2038" s="103"/>
      <c r="D2038" s="24"/>
      <c r="E2038" s="24"/>
      <c r="F2038" s="103"/>
      <c r="G2038" s="114"/>
      <c r="I2038" s="40"/>
      <c r="J2038" s="40"/>
      <c r="M2038" s="40"/>
      <c r="N2038" s="40"/>
    </row>
    <row r="2039" spans="1:14" ht="15.75" customHeight="1" x14ac:dyDescent="0.25">
      <c r="A2039" s="103"/>
      <c r="B2039" s="25"/>
      <c r="C2039" s="103"/>
      <c r="D2039" s="24"/>
      <c r="E2039" s="24"/>
      <c r="F2039" s="103"/>
      <c r="G2039" s="114"/>
      <c r="I2039" s="40"/>
      <c r="J2039" s="40"/>
      <c r="M2039" s="40"/>
      <c r="N2039" s="40"/>
    </row>
    <row r="2040" spans="1:14" ht="15.75" customHeight="1" x14ac:dyDescent="0.25">
      <c r="A2040" s="103"/>
      <c r="B2040" s="25"/>
      <c r="C2040" s="103"/>
      <c r="D2040" s="24"/>
      <c r="E2040" s="24"/>
      <c r="F2040" s="103"/>
      <c r="G2040" s="114"/>
      <c r="I2040" s="40"/>
      <c r="J2040" s="40"/>
      <c r="M2040" s="40"/>
      <c r="N2040" s="40"/>
    </row>
    <row r="2041" spans="1:14" ht="15.75" customHeight="1" x14ac:dyDescent="0.25">
      <c r="A2041" s="103"/>
      <c r="B2041" s="25"/>
      <c r="C2041" s="103"/>
      <c r="D2041" s="24"/>
      <c r="E2041" s="24"/>
      <c r="F2041" s="103"/>
      <c r="G2041" s="114"/>
      <c r="I2041" s="40"/>
      <c r="J2041" s="40"/>
      <c r="M2041" s="40"/>
      <c r="N2041" s="40"/>
    </row>
    <row r="2042" spans="1:14" ht="15.75" customHeight="1" x14ac:dyDescent="0.25">
      <c r="A2042" s="103"/>
      <c r="B2042" s="25"/>
      <c r="C2042" s="103"/>
      <c r="D2042" s="24"/>
      <c r="E2042" s="24"/>
      <c r="F2042" s="103"/>
      <c r="G2042" s="114"/>
      <c r="I2042" s="40"/>
      <c r="J2042" s="40"/>
      <c r="M2042" s="40"/>
      <c r="N2042" s="40"/>
    </row>
    <row r="2043" spans="1:14" ht="15.75" customHeight="1" x14ac:dyDescent="0.25">
      <c r="A2043" s="103"/>
      <c r="B2043" s="25"/>
      <c r="C2043" s="103"/>
      <c r="D2043" s="24"/>
      <c r="E2043" s="24"/>
      <c r="F2043" s="103"/>
      <c r="G2043" s="114"/>
      <c r="I2043" s="40"/>
      <c r="J2043" s="40"/>
      <c r="M2043" s="40"/>
      <c r="N2043" s="40"/>
    </row>
    <row r="2044" spans="1:14" ht="15.75" customHeight="1" x14ac:dyDescent="0.25">
      <c r="A2044" s="103"/>
      <c r="B2044" s="25"/>
      <c r="C2044" s="103"/>
      <c r="D2044" s="24"/>
      <c r="E2044" s="24"/>
      <c r="F2044" s="103"/>
      <c r="G2044" s="114"/>
      <c r="I2044" s="40"/>
      <c r="J2044" s="40"/>
      <c r="M2044" s="40"/>
      <c r="N2044" s="40"/>
    </row>
    <row r="2045" spans="1:14" ht="15.75" customHeight="1" x14ac:dyDescent="0.25">
      <c r="A2045" s="103"/>
      <c r="B2045" s="25"/>
      <c r="C2045" s="103"/>
      <c r="D2045" s="24"/>
      <c r="E2045" s="24"/>
      <c r="F2045" s="103"/>
      <c r="G2045" s="114"/>
      <c r="I2045" s="40"/>
      <c r="J2045" s="40"/>
      <c r="M2045" s="40"/>
      <c r="N2045" s="40"/>
    </row>
    <row r="2046" spans="1:14" ht="15.75" customHeight="1" x14ac:dyDescent="0.25">
      <c r="A2046" s="103"/>
      <c r="B2046" s="25"/>
      <c r="C2046" s="103"/>
      <c r="D2046" s="24"/>
      <c r="E2046" s="24"/>
      <c r="F2046" s="103"/>
      <c r="G2046" s="114"/>
      <c r="I2046" s="40"/>
      <c r="J2046" s="40"/>
      <c r="M2046" s="40"/>
      <c r="N2046" s="40"/>
    </row>
    <row r="2047" spans="1:14" ht="15.75" customHeight="1" x14ac:dyDescent="0.25">
      <c r="A2047" s="103"/>
      <c r="B2047" s="25"/>
      <c r="C2047" s="103"/>
      <c r="D2047" s="24"/>
      <c r="E2047" s="24"/>
      <c r="F2047" s="103"/>
      <c r="G2047" s="114"/>
      <c r="I2047" s="40"/>
      <c r="J2047" s="40"/>
      <c r="M2047" s="40"/>
      <c r="N2047" s="40"/>
    </row>
    <row r="2048" spans="1:14" ht="15.75" customHeight="1" x14ac:dyDescent="0.25">
      <c r="A2048" s="103"/>
      <c r="B2048" s="25"/>
      <c r="C2048" s="103"/>
      <c r="D2048" s="24"/>
      <c r="E2048" s="24"/>
      <c r="F2048" s="103"/>
      <c r="G2048" s="114"/>
      <c r="I2048" s="40"/>
      <c r="J2048" s="40"/>
      <c r="M2048" s="40"/>
      <c r="N2048" s="40"/>
    </row>
    <row r="2049" spans="1:14" ht="15.75" customHeight="1" x14ac:dyDescent="0.25">
      <c r="A2049" s="103"/>
      <c r="B2049" s="25"/>
      <c r="C2049" s="103"/>
      <c r="D2049" s="24"/>
      <c r="E2049" s="24"/>
      <c r="F2049" s="103"/>
      <c r="G2049" s="114"/>
      <c r="I2049" s="40"/>
      <c r="J2049" s="40"/>
      <c r="M2049" s="40"/>
      <c r="N2049" s="40"/>
    </row>
    <row r="2050" spans="1:14" ht="15.75" customHeight="1" x14ac:dyDescent="0.25">
      <c r="A2050" s="103"/>
      <c r="B2050" s="25"/>
      <c r="C2050" s="103"/>
      <c r="D2050" s="24"/>
      <c r="E2050" s="24"/>
      <c r="F2050" s="103"/>
      <c r="G2050" s="114"/>
      <c r="I2050" s="40"/>
      <c r="J2050" s="40"/>
      <c r="M2050" s="40"/>
      <c r="N2050" s="40"/>
    </row>
    <row r="2051" spans="1:14" ht="15.75" customHeight="1" x14ac:dyDescent="0.25">
      <c r="A2051" s="103"/>
      <c r="B2051" s="25"/>
      <c r="C2051" s="103"/>
      <c r="D2051" s="24"/>
      <c r="E2051" s="24"/>
      <c r="F2051" s="103"/>
      <c r="G2051" s="114"/>
      <c r="I2051" s="40"/>
      <c r="J2051" s="40"/>
      <c r="M2051" s="40"/>
      <c r="N2051" s="40"/>
    </row>
    <row r="2052" spans="1:14" ht="15.75" customHeight="1" x14ac:dyDescent="0.25">
      <c r="A2052" s="103"/>
      <c r="B2052" s="25"/>
      <c r="C2052" s="103"/>
      <c r="D2052" s="24"/>
      <c r="E2052" s="24"/>
      <c r="F2052" s="103"/>
      <c r="G2052" s="114"/>
      <c r="I2052" s="40"/>
      <c r="J2052" s="40"/>
      <c r="M2052" s="40"/>
      <c r="N2052" s="40"/>
    </row>
    <row r="2053" spans="1:14" ht="15.75" customHeight="1" x14ac:dyDescent="0.25">
      <c r="A2053" s="103"/>
      <c r="B2053" s="25"/>
      <c r="C2053" s="103"/>
      <c r="D2053" s="24"/>
      <c r="E2053" s="24"/>
      <c r="F2053" s="103"/>
      <c r="G2053" s="114"/>
      <c r="I2053" s="40"/>
      <c r="J2053" s="40"/>
      <c r="M2053" s="40"/>
      <c r="N2053" s="40"/>
    </row>
    <row r="2054" spans="1:14" ht="15.75" customHeight="1" x14ac:dyDescent="0.25">
      <c r="A2054" s="103"/>
      <c r="B2054" s="25"/>
      <c r="C2054" s="103"/>
      <c r="D2054" s="24"/>
      <c r="E2054" s="24"/>
      <c r="F2054" s="103"/>
      <c r="G2054" s="114"/>
      <c r="I2054" s="40"/>
      <c r="J2054" s="40"/>
      <c r="M2054" s="40"/>
      <c r="N2054" s="40"/>
    </row>
    <row r="2055" spans="1:14" ht="15.75" customHeight="1" x14ac:dyDescent="0.25">
      <c r="A2055" s="103"/>
      <c r="B2055" s="25"/>
      <c r="C2055" s="103"/>
      <c r="D2055" s="24"/>
      <c r="E2055" s="24"/>
      <c r="F2055" s="103"/>
      <c r="G2055" s="114"/>
      <c r="I2055" s="40"/>
      <c r="J2055" s="40"/>
      <c r="M2055" s="40"/>
      <c r="N2055" s="40"/>
    </row>
    <row r="2056" spans="1:14" ht="15.75" customHeight="1" x14ac:dyDescent="0.25">
      <c r="A2056" s="103"/>
      <c r="B2056" s="25"/>
      <c r="C2056" s="103"/>
      <c r="D2056" s="24"/>
      <c r="E2056" s="24"/>
      <c r="F2056" s="103"/>
      <c r="G2056" s="114"/>
      <c r="I2056" s="40"/>
      <c r="J2056" s="40"/>
      <c r="M2056" s="40"/>
      <c r="N2056" s="40"/>
    </row>
    <row r="2057" spans="1:14" ht="15.75" customHeight="1" x14ac:dyDescent="0.25">
      <c r="A2057" s="103"/>
      <c r="B2057" s="25"/>
      <c r="C2057" s="103"/>
      <c r="D2057" s="24"/>
      <c r="E2057" s="24"/>
      <c r="F2057" s="103"/>
      <c r="G2057" s="114"/>
      <c r="I2057" s="40"/>
      <c r="J2057" s="40"/>
      <c r="M2057" s="40"/>
      <c r="N2057" s="40"/>
    </row>
    <row r="2058" spans="1:14" ht="15.75" customHeight="1" x14ac:dyDescent="0.25">
      <c r="A2058" s="103"/>
      <c r="B2058" s="25"/>
      <c r="C2058" s="103"/>
      <c r="D2058" s="24"/>
      <c r="E2058" s="24"/>
      <c r="F2058" s="103"/>
      <c r="G2058" s="114"/>
      <c r="I2058" s="40"/>
      <c r="J2058" s="40"/>
      <c r="M2058" s="40"/>
      <c r="N2058" s="40"/>
    </row>
    <row r="2059" spans="1:14" ht="15.75" customHeight="1" x14ac:dyDescent="0.25">
      <c r="A2059" s="103"/>
      <c r="B2059" s="25"/>
      <c r="C2059" s="103"/>
      <c r="D2059" s="24"/>
      <c r="E2059" s="24"/>
      <c r="F2059" s="103"/>
      <c r="G2059" s="114"/>
      <c r="I2059" s="40"/>
      <c r="J2059" s="40"/>
      <c r="M2059" s="40"/>
      <c r="N2059" s="40"/>
    </row>
    <row r="2060" spans="1:14" ht="15.75" customHeight="1" x14ac:dyDescent="0.25">
      <c r="A2060" s="103"/>
      <c r="B2060" s="25"/>
      <c r="C2060" s="103"/>
      <c r="D2060" s="24"/>
      <c r="E2060" s="24"/>
      <c r="F2060" s="103"/>
      <c r="G2060" s="114"/>
      <c r="I2060" s="40"/>
      <c r="J2060" s="40"/>
      <c r="M2060" s="40"/>
      <c r="N2060" s="40"/>
    </row>
    <row r="2061" spans="1:14" ht="15.75" customHeight="1" x14ac:dyDescent="0.25">
      <c r="A2061" s="103"/>
      <c r="B2061" s="25"/>
      <c r="C2061" s="103"/>
      <c r="D2061" s="24"/>
      <c r="E2061" s="24"/>
      <c r="F2061" s="103"/>
      <c r="G2061" s="114"/>
      <c r="I2061" s="40"/>
      <c r="J2061" s="40"/>
      <c r="M2061" s="40"/>
      <c r="N2061" s="40"/>
    </row>
    <row r="2062" spans="1:14" ht="15.75" customHeight="1" x14ac:dyDescent="0.25">
      <c r="A2062" s="103"/>
      <c r="B2062" s="25"/>
      <c r="C2062" s="103"/>
      <c r="D2062" s="24"/>
      <c r="E2062" s="24"/>
      <c r="F2062" s="103"/>
      <c r="G2062" s="114"/>
      <c r="I2062" s="40"/>
      <c r="J2062" s="40"/>
      <c r="M2062" s="40"/>
      <c r="N2062" s="40"/>
    </row>
    <row r="2063" spans="1:14" ht="15.75" customHeight="1" x14ac:dyDescent="0.25">
      <c r="A2063" s="103"/>
      <c r="B2063" s="25"/>
      <c r="C2063" s="103"/>
      <c r="D2063" s="24"/>
      <c r="E2063" s="24"/>
      <c r="F2063" s="103"/>
      <c r="G2063" s="114"/>
      <c r="I2063" s="40"/>
      <c r="J2063" s="40"/>
      <c r="M2063" s="40"/>
      <c r="N2063" s="40"/>
    </row>
    <row r="2064" spans="1:14" ht="15.75" customHeight="1" x14ac:dyDescent="0.25">
      <c r="A2064" s="103"/>
      <c r="B2064" s="25"/>
      <c r="C2064" s="103"/>
      <c r="D2064" s="24"/>
      <c r="E2064" s="24"/>
      <c r="F2064" s="103"/>
      <c r="G2064" s="114"/>
      <c r="I2064" s="40"/>
      <c r="J2064" s="40"/>
      <c r="M2064" s="40"/>
      <c r="N2064" s="40"/>
    </row>
    <row r="2065" spans="1:14" ht="15.75" customHeight="1" x14ac:dyDescent="0.25">
      <c r="A2065" s="103"/>
      <c r="B2065" s="25"/>
      <c r="C2065" s="103"/>
      <c r="D2065" s="24"/>
      <c r="E2065" s="24"/>
      <c r="F2065" s="103"/>
      <c r="G2065" s="114"/>
      <c r="I2065" s="40"/>
      <c r="J2065" s="40"/>
      <c r="M2065" s="40"/>
      <c r="N2065" s="40"/>
    </row>
    <row r="2066" spans="1:14" ht="15.75" customHeight="1" x14ac:dyDescent="0.25">
      <c r="A2066" s="103"/>
      <c r="B2066" s="25"/>
      <c r="C2066" s="103"/>
      <c r="D2066" s="24"/>
      <c r="E2066" s="24"/>
      <c r="F2066" s="103"/>
      <c r="G2066" s="114"/>
      <c r="I2066" s="40"/>
      <c r="J2066" s="40"/>
      <c r="M2066" s="40"/>
      <c r="N2066" s="40"/>
    </row>
    <row r="2067" spans="1:14" ht="15.75" customHeight="1" x14ac:dyDescent="0.25">
      <c r="A2067" s="103"/>
      <c r="B2067" s="25"/>
      <c r="C2067" s="103"/>
      <c r="D2067" s="24"/>
      <c r="E2067" s="24"/>
      <c r="F2067" s="103"/>
      <c r="G2067" s="114"/>
      <c r="I2067" s="40"/>
      <c r="J2067" s="40"/>
      <c r="M2067" s="40"/>
      <c r="N2067" s="40"/>
    </row>
    <row r="2068" spans="1:14" ht="15.75" customHeight="1" x14ac:dyDescent="0.25">
      <c r="A2068" s="103"/>
      <c r="B2068" s="25"/>
      <c r="C2068" s="103"/>
      <c r="D2068" s="24"/>
      <c r="E2068" s="24"/>
      <c r="F2068" s="103"/>
      <c r="G2068" s="114"/>
      <c r="I2068" s="40"/>
      <c r="J2068" s="40"/>
      <c r="M2068" s="40"/>
      <c r="N2068" s="40"/>
    </row>
    <row r="2069" spans="1:14" ht="15.75" customHeight="1" x14ac:dyDescent="0.25">
      <c r="A2069" s="103"/>
      <c r="B2069" s="25"/>
      <c r="C2069" s="103"/>
      <c r="D2069" s="24"/>
      <c r="E2069" s="24"/>
      <c r="F2069" s="103"/>
      <c r="G2069" s="114"/>
      <c r="I2069" s="40"/>
      <c r="J2069" s="40"/>
      <c r="M2069" s="40"/>
      <c r="N2069" s="40"/>
    </row>
    <row r="2070" spans="1:14" ht="15.75" customHeight="1" x14ac:dyDescent="0.25">
      <c r="A2070" s="103"/>
      <c r="B2070" s="25"/>
      <c r="C2070" s="103"/>
      <c r="D2070" s="24"/>
      <c r="E2070" s="24"/>
      <c r="F2070" s="103"/>
      <c r="G2070" s="114"/>
      <c r="I2070" s="40"/>
      <c r="J2070" s="40"/>
      <c r="M2070" s="40"/>
      <c r="N2070" s="40"/>
    </row>
    <row r="2071" spans="1:14" ht="15.75" customHeight="1" x14ac:dyDescent="0.25">
      <c r="A2071" s="103"/>
      <c r="B2071" s="25"/>
      <c r="C2071" s="103"/>
      <c r="D2071" s="24"/>
      <c r="E2071" s="24"/>
      <c r="F2071" s="103"/>
      <c r="G2071" s="114"/>
      <c r="I2071" s="40"/>
      <c r="J2071" s="40"/>
      <c r="M2071" s="40"/>
      <c r="N2071" s="40"/>
    </row>
    <row r="2072" spans="1:14" ht="15.75" customHeight="1" x14ac:dyDescent="0.25">
      <c r="A2072" s="103"/>
      <c r="B2072" s="25"/>
      <c r="C2072" s="103"/>
      <c r="D2072" s="24"/>
      <c r="E2072" s="24"/>
      <c r="F2072" s="103"/>
      <c r="G2072" s="114"/>
      <c r="I2072" s="40"/>
      <c r="J2072" s="40"/>
      <c r="M2072" s="40"/>
      <c r="N2072" s="40"/>
    </row>
    <row r="2073" spans="1:14" ht="15.75" customHeight="1" x14ac:dyDescent="0.25">
      <c r="A2073" s="103"/>
      <c r="B2073" s="25"/>
      <c r="C2073" s="103"/>
      <c r="D2073" s="24"/>
      <c r="E2073" s="24"/>
      <c r="F2073" s="103"/>
      <c r="G2073" s="114"/>
      <c r="I2073" s="40"/>
      <c r="J2073" s="40"/>
      <c r="M2073" s="40"/>
      <c r="N2073" s="40"/>
    </row>
    <row r="2074" spans="1:14" ht="15.75" customHeight="1" x14ac:dyDescent="0.25">
      <c r="A2074" s="103"/>
      <c r="B2074" s="25"/>
      <c r="C2074" s="103"/>
      <c r="D2074" s="24"/>
      <c r="E2074" s="24"/>
      <c r="F2074" s="103"/>
      <c r="G2074" s="114"/>
      <c r="I2074" s="40"/>
      <c r="J2074" s="40"/>
      <c r="M2074" s="40"/>
      <c r="N2074" s="40"/>
    </row>
    <row r="2075" spans="1:14" ht="15.75" customHeight="1" x14ac:dyDescent="0.25">
      <c r="A2075" s="103"/>
      <c r="B2075" s="25"/>
      <c r="C2075" s="103"/>
      <c r="D2075" s="24"/>
      <c r="E2075" s="24"/>
      <c r="F2075" s="103"/>
      <c r="G2075" s="114"/>
      <c r="I2075" s="40"/>
      <c r="J2075" s="40"/>
      <c r="M2075" s="40"/>
      <c r="N2075" s="40"/>
    </row>
    <row r="2076" spans="1:14" ht="15.75" customHeight="1" x14ac:dyDescent="0.25">
      <c r="A2076" s="103"/>
      <c r="B2076" s="25"/>
      <c r="C2076" s="103"/>
      <c r="D2076" s="24"/>
      <c r="E2076" s="24"/>
      <c r="F2076" s="103"/>
      <c r="G2076" s="114"/>
      <c r="I2076" s="40"/>
      <c r="J2076" s="40"/>
      <c r="M2076" s="40"/>
      <c r="N2076" s="40"/>
    </row>
    <row r="2077" spans="1:14" ht="15.75" customHeight="1" x14ac:dyDescent="0.25">
      <c r="A2077" s="103"/>
      <c r="B2077" s="25"/>
      <c r="C2077" s="103"/>
      <c r="D2077" s="24"/>
      <c r="E2077" s="24"/>
      <c r="F2077" s="103"/>
      <c r="G2077" s="114"/>
      <c r="I2077" s="40"/>
      <c r="J2077" s="40"/>
      <c r="M2077" s="40"/>
      <c r="N2077" s="40"/>
    </row>
    <row r="2078" spans="1:14" ht="15.75" customHeight="1" x14ac:dyDescent="0.25">
      <c r="A2078" s="103"/>
      <c r="B2078" s="25"/>
      <c r="C2078" s="103"/>
      <c r="D2078" s="24"/>
      <c r="E2078" s="24"/>
      <c r="F2078" s="103"/>
      <c r="G2078" s="114"/>
      <c r="I2078" s="40"/>
      <c r="J2078" s="40"/>
      <c r="M2078" s="40"/>
      <c r="N2078" s="40"/>
    </row>
    <row r="2079" spans="1:14" ht="15.75" customHeight="1" x14ac:dyDescent="0.25">
      <c r="A2079" s="103"/>
      <c r="B2079" s="25"/>
      <c r="C2079" s="103"/>
      <c r="D2079" s="24"/>
      <c r="E2079" s="24"/>
      <c r="F2079" s="103"/>
      <c r="G2079" s="114"/>
      <c r="I2079" s="40"/>
      <c r="J2079" s="40"/>
      <c r="M2079" s="40"/>
      <c r="N2079" s="40"/>
    </row>
    <row r="2080" spans="1:14" ht="15.75" customHeight="1" x14ac:dyDescent="0.25">
      <c r="A2080" s="103"/>
      <c r="B2080" s="25"/>
      <c r="C2080" s="103"/>
      <c r="D2080" s="24"/>
      <c r="E2080" s="24"/>
      <c r="F2080" s="103"/>
      <c r="G2080" s="114"/>
      <c r="I2080" s="40"/>
      <c r="J2080" s="40"/>
      <c r="M2080" s="40"/>
      <c r="N2080" s="40"/>
    </row>
    <row r="2081" spans="1:14" ht="15.75" customHeight="1" x14ac:dyDescent="0.25">
      <c r="A2081" s="103"/>
      <c r="B2081" s="25"/>
      <c r="C2081" s="103"/>
      <c r="D2081" s="24"/>
      <c r="E2081" s="24"/>
      <c r="F2081" s="103"/>
      <c r="G2081" s="114"/>
      <c r="I2081" s="40"/>
      <c r="J2081" s="40"/>
      <c r="M2081" s="40"/>
      <c r="N2081" s="40"/>
    </row>
    <row r="2082" spans="1:14" ht="15.75" customHeight="1" x14ac:dyDescent="0.25">
      <c r="A2082" s="103"/>
      <c r="B2082" s="25"/>
      <c r="C2082" s="103"/>
      <c r="D2082" s="24"/>
      <c r="E2082" s="24"/>
      <c r="F2082" s="103"/>
      <c r="G2082" s="114"/>
      <c r="I2082" s="40"/>
      <c r="J2082" s="40"/>
      <c r="M2082" s="40"/>
      <c r="N2082" s="40"/>
    </row>
    <row r="2083" spans="1:14" ht="15.75" customHeight="1" x14ac:dyDescent="0.25">
      <c r="A2083" s="103"/>
      <c r="B2083" s="25"/>
      <c r="C2083" s="103"/>
      <c r="D2083" s="24"/>
      <c r="E2083" s="24"/>
      <c r="F2083" s="103"/>
      <c r="G2083" s="114"/>
      <c r="I2083" s="40"/>
      <c r="J2083" s="40"/>
      <c r="M2083" s="40"/>
      <c r="N2083" s="40"/>
    </row>
    <row r="2084" spans="1:14" ht="15.75" customHeight="1" x14ac:dyDescent="0.25">
      <c r="A2084" s="103"/>
      <c r="B2084" s="25"/>
      <c r="C2084" s="103"/>
      <c r="D2084" s="24"/>
      <c r="E2084" s="24"/>
      <c r="F2084" s="103"/>
      <c r="G2084" s="114"/>
      <c r="I2084" s="40"/>
      <c r="J2084" s="40"/>
      <c r="M2084" s="40"/>
      <c r="N2084" s="40"/>
    </row>
    <row r="2085" spans="1:14" ht="15.75" customHeight="1" x14ac:dyDescent="0.25">
      <c r="A2085" s="103"/>
      <c r="B2085" s="25"/>
      <c r="C2085" s="103"/>
      <c r="D2085" s="24"/>
      <c r="E2085" s="24"/>
      <c r="F2085" s="103"/>
      <c r="G2085" s="114"/>
      <c r="I2085" s="40"/>
      <c r="J2085" s="40"/>
      <c r="M2085" s="40"/>
      <c r="N2085" s="40"/>
    </row>
    <row r="2086" spans="1:14" ht="15.75" customHeight="1" x14ac:dyDescent="0.25">
      <c r="A2086" s="103"/>
      <c r="B2086" s="25"/>
      <c r="C2086" s="103"/>
      <c r="D2086" s="24"/>
      <c r="E2086" s="24"/>
      <c r="F2086" s="103"/>
      <c r="G2086" s="114"/>
      <c r="I2086" s="40"/>
      <c r="J2086" s="40"/>
      <c r="M2086" s="40"/>
      <c r="N2086" s="40"/>
    </row>
    <row r="2087" spans="1:14" ht="15.75" customHeight="1" x14ac:dyDescent="0.25">
      <c r="A2087" s="103"/>
      <c r="B2087" s="25"/>
      <c r="C2087" s="103"/>
      <c r="D2087" s="24"/>
      <c r="E2087" s="24"/>
      <c r="F2087" s="103"/>
      <c r="G2087" s="114"/>
      <c r="I2087" s="40"/>
      <c r="J2087" s="40"/>
      <c r="M2087" s="40"/>
      <c r="N2087" s="40"/>
    </row>
    <row r="2088" spans="1:14" ht="15.75" customHeight="1" x14ac:dyDescent="0.25">
      <c r="A2088" s="103"/>
      <c r="B2088" s="25"/>
      <c r="C2088" s="103"/>
      <c r="D2088" s="24"/>
      <c r="E2088" s="24"/>
      <c r="F2088" s="103"/>
      <c r="G2088" s="114"/>
      <c r="I2088" s="40"/>
      <c r="J2088" s="40"/>
      <c r="M2088" s="40"/>
      <c r="N2088" s="40"/>
    </row>
    <row r="2089" spans="1:14" ht="15.75" customHeight="1" x14ac:dyDescent="0.25">
      <c r="A2089" s="103"/>
      <c r="B2089" s="25"/>
      <c r="C2089" s="103"/>
      <c r="D2089" s="24"/>
      <c r="E2089" s="24"/>
      <c r="F2089" s="103"/>
      <c r="G2089" s="114"/>
      <c r="I2089" s="40"/>
      <c r="J2089" s="40"/>
      <c r="M2089" s="40"/>
      <c r="N2089" s="40"/>
    </row>
    <row r="2090" spans="1:14" ht="15.75" customHeight="1" x14ac:dyDescent="0.25">
      <c r="A2090" s="103"/>
      <c r="B2090" s="25"/>
      <c r="C2090" s="103"/>
      <c r="D2090" s="24"/>
      <c r="E2090" s="24"/>
      <c r="F2090" s="103"/>
      <c r="G2090" s="114"/>
      <c r="I2090" s="40"/>
      <c r="J2090" s="40"/>
      <c r="M2090" s="40"/>
      <c r="N2090" s="40"/>
    </row>
    <row r="2091" spans="1:14" ht="15.75" customHeight="1" x14ac:dyDescent="0.25">
      <c r="A2091" s="103"/>
      <c r="B2091" s="25"/>
      <c r="C2091" s="103"/>
      <c r="D2091" s="24"/>
      <c r="E2091" s="24"/>
      <c r="F2091" s="103"/>
      <c r="G2091" s="114"/>
      <c r="I2091" s="40"/>
      <c r="J2091" s="40"/>
      <c r="M2091" s="40"/>
      <c r="N2091" s="40"/>
    </row>
    <row r="2092" spans="1:14" ht="15.75" customHeight="1" x14ac:dyDescent="0.25">
      <c r="A2092" s="103"/>
      <c r="B2092" s="25"/>
      <c r="C2092" s="103"/>
      <c r="D2092" s="24"/>
      <c r="E2092" s="24"/>
      <c r="F2092" s="103"/>
      <c r="G2092" s="114"/>
      <c r="I2092" s="40"/>
      <c r="J2092" s="40"/>
      <c r="M2092" s="40"/>
      <c r="N2092" s="40"/>
    </row>
    <row r="2093" spans="1:14" ht="15.75" customHeight="1" x14ac:dyDescent="0.25">
      <c r="A2093" s="103"/>
      <c r="B2093" s="25"/>
      <c r="C2093" s="103"/>
      <c r="D2093" s="24"/>
      <c r="E2093" s="24"/>
      <c r="F2093" s="103"/>
      <c r="G2093" s="114"/>
      <c r="I2093" s="40"/>
      <c r="J2093" s="40"/>
      <c r="M2093" s="40"/>
      <c r="N2093" s="40"/>
    </row>
    <row r="2094" spans="1:14" ht="15.75" customHeight="1" x14ac:dyDescent="0.25">
      <c r="A2094" s="103"/>
      <c r="B2094" s="25"/>
      <c r="C2094" s="103"/>
      <c r="D2094" s="24"/>
      <c r="E2094" s="24"/>
      <c r="F2094" s="103"/>
      <c r="G2094" s="114"/>
      <c r="I2094" s="40"/>
      <c r="J2094" s="40"/>
      <c r="M2094" s="40"/>
      <c r="N2094" s="40"/>
    </row>
    <row r="2095" spans="1:14" ht="15.75" customHeight="1" x14ac:dyDescent="0.25">
      <c r="A2095" s="103"/>
      <c r="B2095" s="25"/>
      <c r="C2095" s="103"/>
      <c r="D2095" s="24"/>
      <c r="E2095" s="24"/>
      <c r="F2095" s="103"/>
      <c r="G2095" s="114"/>
      <c r="I2095" s="40"/>
      <c r="J2095" s="40"/>
      <c r="M2095" s="40"/>
      <c r="N2095" s="40"/>
    </row>
    <row r="2096" spans="1:14" ht="15.75" customHeight="1" x14ac:dyDescent="0.25">
      <c r="A2096" s="103"/>
      <c r="B2096" s="25"/>
      <c r="C2096" s="103"/>
      <c r="D2096" s="24"/>
      <c r="E2096" s="24"/>
      <c r="F2096" s="103"/>
      <c r="G2096" s="114"/>
      <c r="I2096" s="40"/>
      <c r="J2096" s="40"/>
      <c r="M2096" s="40"/>
      <c r="N2096" s="40"/>
    </row>
    <row r="2097" spans="1:14" ht="15.75" customHeight="1" x14ac:dyDescent="0.25">
      <c r="A2097" s="103"/>
      <c r="B2097" s="25"/>
      <c r="C2097" s="103"/>
      <c r="D2097" s="24"/>
      <c r="E2097" s="24"/>
      <c r="F2097" s="103"/>
      <c r="G2097" s="114"/>
      <c r="I2097" s="40"/>
      <c r="J2097" s="40"/>
      <c r="M2097" s="40"/>
      <c r="N2097" s="40"/>
    </row>
    <row r="2098" spans="1:14" ht="15.75" customHeight="1" x14ac:dyDescent="0.25">
      <c r="A2098" s="103"/>
      <c r="B2098" s="25"/>
      <c r="C2098" s="103"/>
      <c r="D2098" s="24"/>
      <c r="E2098" s="24"/>
      <c r="F2098" s="103"/>
      <c r="G2098" s="114"/>
      <c r="I2098" s="40"/>
      <c r="J2098" s="40"/>
      <c r="M2098" s="40"/>
      <c r="N2098" s="40"/>
    </row>
    <row r="2099" spans="1:14" ht="15.75" customHeight="1" x14ac:dyDescent="0.25">
      <c r="A2099" s="103"/>
      <c r="B2099" s="25"/>
      <c r="C2099" s="103"/>
      <c r="D2099" s="24"/>
      <c r="E2099" s="24"/>
      <c r="F2099" s="103"/>
      <c r="G2099" s="114"/>
      <c r="I2099" s="40"/>
      <c r="J2099" s="40"/>
      <c r="M2099" s="40"/>
      <c r="N2099" s="40"/>
    </row>
    <row r="2100" spans="1:14" ht="15.75" customHeight="1" x14ac:dyDescent="0.25">
      <c r="A2100" s="103"/>
      <c r="B2100" s="25"/>
      <c r="C2100" s="103"/>
      <c r="D2100" s="24"/>
      <c r="E2100" s="24"/>
      <c r="F2100" s="103"/>
      <c r="G2100" s="114"/>
      <c r="I2100" s="40"/>
      <c r="J2100" s="40"/>
      <c r="M2100" s="40"/>
      <c r="N2100" s="40"/>
    </row>
    <row r="2101" spans="1:14" ht="15.75" customHeight="1" x14ac:dyDescent="0.25">
      <c r="A2101" s="103"/>
      <c r="B2101" s="25"/>
      <c r="C2101" s="103"/>
      <c r="D2101" s="24"/>
      <c r="E2101" s="24"/>
      <c r="F2101" s="103"/>
      <c r="G2101" s="114"/>
      <c r="I2101" s="40"/>
      <c r="J2101" s="40"/>
      <c r="M2101" s="40"/>
      <c r="N2101" s="40"/>
    </row>
    <row r="2102" spans="1:14" ht="15.75" customHeight="1" x14ac:dyDescent="0.25">
      <c r="A2102" s="103"/>
      <c r="B2102" s="25"/>
      <c r="C2102" s="103"/>
      <c r="D2102" s="24"/>
      <c r="E2102" s="24"/>
      <c r="F2102" s="103"/>
      <c r="G2102" s="114"/>
      <c r="I2102" s="40"/>
      <c r="J2102" s="40"/>
      <c r="M2102" s="40"/>
      <c r="N2102" s="40"/>
    </row>
    <row r="2103" spans="1:14" ht="15.75" customHeight="1" x14ac:dyDescent="0.25">
      <c r="A2103" s="103"/>
      <c r="B2103" s="25"/>
      <c r="C2103" s="103"/>
      <c r="D2103" s="24"/>
      <c r="E2103" s="24"/>
      <c r="F2103" s="103"/>
      <c r="G2103" s="114"/>
      <c r="I2103" s="40"/>
      <c r="J2103" s="40"/>
      <c r="M2103" s="40"/>
      <c r="N2103" s="40"/>
    </row>
    <row r="2104" spans="1:14" ht="15.75" customHeight="1" x14ac:dyDescent="0.25">
      <c r="A2104" s="103"/>
      <c r="B2104" s="25"/>
      <c r="C2104" s="103"/>
      <c r="D2104" s="24"/>
      <c r="E2104" s="24"/>
      <c r="F2104" s="103"/>
      <c r="G2104" s="114"/>
      <c r="I2104" s="40"/>
      <c r="J2104" s="40"/>
      <c r="M2104" s="40"/>
      <c r="N2104" s="40"/>
    </row>
    <row r="2105" spans="1:14" ht="15.75" customHeight="1" x14ac:dyDescent="0.25">
      <c r="A2105" s="103"/>
      <c r="B2105" s="25"/>
      <c r="C2105" s="103"/>
      <c r="D2105" s="24"/>
      <c r="E2105" s="24"/>
      <c r="F2105" s="103"/>
      <c r="G2105" s="114"/>
      <c r="I2105" s="40"/>
      <c r="J2105" s="40"/>
      <c r="M2105" s="40"/>
      <c r="N2105" s="40"/>
    </row>
    <row r="2106" spans="1:14" ht="15.75" customHeight="1" x14ac:dyDescent="0.25">
      <c r="A2106" s="103"/>
      <c r="B2106" s="25"/>
      <c r="C2106" s="103"/>
      <c r="D2106" s="24"/>
      <c r="E2106" s="24"/>
      <c r="F2106" s="103"/>
      <c r="G2106" s="114"/>
      <c r="I2106" s="40"/>
      <c r="J2106" s="40"/>
      <c r="M2106" s="40"/>
      <c r="N2106" s="40"/>
    </row>
    <row r="2107" spans="1:14" ht="15.75" customHeight="1" x14ac:dyDescent="0.25">
      <c r="A2107" s="103"/>
      <c r="B2107" s="25"/>
      <c r="C2107" s="103"/>
      <c r="D2107" s="24"/>
      <c r="E2107" s="24"/>
      <c r="F2107" s="103"/>
      <c r="G2107" s="114"/>
      <c r="I2107" s="40"/>
      <c r="J2107" s="40"/>
      <c r="M2107" s="40"/>
      <c r="N2107" s="40"/>
    </row>
    <row r="2108" spans="1:14" ht="15.75" customHeight="1" x14ac:dyDescent="0.25">
      <c r="A2108" s="103"/>
      <c r="B2108" s="25"/>
      <c r="C2108" s="103"/>
      <c r="D2108" s="24"/>
      <c r="E2108" s="24"/>
      <c r="F2108" s="103"/>
      <c r="G2108" s="114"/>
      <c r="I2108" s="40"/>
      <c r="J2108" s="40"/>
      <c r="M2108" s="40"/>
      <c r="N2108" s="40"/>
    </row>
    <row r="2109" spans="1:14" ht="15.75" customHeight="1" x14ac:dyDescent="0.25">
      <c r="A2109" s="103"/>
      <c r="B2109" s="25"/>
      <c r="C2109" s="103"/>
      <c r="D2109" s="24"/>
      <c r="E2109" s="24"/>
      <c r="F2109" s="103"/>
      <c r="G2109" s="114"/>
      <c r="I2109" s="40"/>
      <c r="J2109" s="40"/>
      <c r="M2109" s="40"/>
      <c r="N2109" s="40"/>
    </row>
    <row r="2110" spans="1:14" ht="15.75" customHeight="1" x14ac:dyDescent="0.25">
      <c r="A2110" s="103"/>
      <c r="B2110" s="25"/>
      <c r="C2110" s="103"/>
      <c r="D2110" s="24"/>
      <c r="E2110" s="24"/>
      <c r="F2110" s="103"/>
      <c r="G2110" s="114"/>
      <c r="I2110" s="40"/>
      <c r="J2110" s="40"/>
      <c r="M2110" s="40"/>
      <c r="N2110" s="40"/>
    </row>
    <row r="2111" spans="1:14" ht="15.75" customHeight="1" x14ac:dyDescent="0.25">
      <c r="A2111" s="103"/>
      <c r="B2111" s="25"/>
      <c r="C2111" s="103"/>
      <c r="D2111" s="24"/>
      <c r="E2111" s="24"/>
      <c r="F2111" s="103"/>
      <c r="G2111" s="114"/>
      <c r="I2111" s="40"/>
      <c r="J2111" s="40"/>
      <c r="M2111" s="40"/>
      <c r="N2111" s="40"/>
    </row>
    <row r="2112" spans="1:14" ht="15.75" customHeight="1" x14ac:dyDescent="0.25">
      <c r="A2112" s="103"/>
      <c r="B2112" s="25"/>
      <c r="C2112" s="103"/>
      <c r="D2112" s="24"/>
      <c r="E2112" s="24"/>
      <c r="F2112" s="103"/>
      <c r="G2112" s="114"/>
      <c r="I2112" s="40"/>
      <c r="J2112" s="40"/>
      <c r="M2112" s="40"/>
      <c r="N2112" s="40"/>
    </row>
    <row r="2113" spans="1:14" ht="15.75" customHeight="1" x14ac:dyDescent="0.25">
      <c r="A2113" s="103"/>
      <c r="B2113" s="25"/>
      <c r="C2113" s="103"/>
      <c r="D2113" s="24"/>
      <c r="E2113" s="24"/>
      <c r="F2113" s="103"/>
      <c r="G2113" s="114"/>
      <c r="I2113" s="40"/>
      <c r="J2113" s="40"/>
      <c r="M2113" s="40"/>
      <c r="N2113" s="40"/>
    </row>
    <row r="2114" spans="1:14" ht="15.75" customHeight="1" x14ac:dyDescent="0.25">
      <c r="A2114" s="103"/>
      <c r="B2114" s="25"/>
      <c r="C2114" s="103"/>
      <c r="D2114" s="24"/>
      <c r="E2114" s="24"/>
      <c r="F2114" s="103"/>
      <c r="G2114" s="114"/>
      <c r="I2114" s="40"/>
      <c r="J2114" s="40"/>
      <c r="M2114" s="40"/>
      <c r="N2114" s="40"/>
    </row>
    <row r="2115" spans="1:14" ht="15.75" customHeight="1" x14ac:dyDescent="0.25">
      <c r="A2115" s="103"/>
      <c r="B2115" s="25"/>
      <c r="C2115" s="103"/>
      <c r="D2115" s="24"/>
      <c r="E2115" s="24"/>
      <c r="F2115" s="103"/>
      <c r="G2115" s="114"/>
      <c r="I2115" s="40"/>
      <c r="J2115" s="40"/>
      <c r="M2115" s="40"/>
      <c r="N2115" s="40"/>
    </row>
    <row r="2116" spans="1:14" ht="15.75" customHeight="1" x14ac:dyDescent="0.25">
      <c r="A2116" s="103"/>
      <c r="B2116" s="25"/>
      <c r="C2116" s="103"/>
      <c r="D2116" s="24"/>
      <c r="E2116" s="24"/>
      <c r="F2116" s="103"/>
      <c r="G2116" s="114"/>
      <c r="I2116" s="40"/>
      <c r="J2116" s="40"/>
      <c r="M2116" s="40"/>
      <c r="N2116" s="40"/>
    </row>
    <row r="2117" spans="1:14" ht="15.75" customHeight="1" x14ac:dyDescent="0.25">
      <c r="A2117" s="103"/>
      <c r="B2117" s="25"/>
      <c r="C2117" s="103"/>
      <c r="D2117" s="24"/>
      <c r="E2117" s="24"/>
      <c r="F2117" s="103"/>
      <c r="G2117" s="114"/>
      <c r="I2117" s="40"/>
      <c r="J2117" s="40"/>
      <c r="M2117" s="40"/>
      <c r="N2117" s="40"/>
    </row>
    <row r="2118" spans="1:14" ht="15.75" customHeight="1" x14ac:dyDescent="0.25">
      <c r="A2118" s="103"/>
      <c r="B2118" s="25"/>
      <c r="C2118" s="103"/>
      <c r="D2118" s="24"/>
      <c r="E2118" s="24"/>
      <c r="F2118" s="103"/>
      <c r="G2118" s="114"/>
      <c r="I2118" s="40"/>
      <c r="J2118" s="40"/>
      <c r="M2118" s="40"/>
      <c r="N2118" s="40"/>
    </row>
    <row r="2119" spans="1:14" ht="15.75" customHeight="1" x14ac:dyDescent="0.25">
      <c r="A2119" s="103"/>
      <c r="B2119" s="25"/>
      <c r="C2119" s="103"/>
      <c r="D2119" s="24"/>
      <c r="E2119" s="24"/>
      <c r="F2119" s="103"/>
      <c r="G2119" s="114"/>
      <c r="I2119" s="40"/>
      <c r="J2119" s="40"/>
      <c r="M2119" s="40"/>
      <c r="N2119" s="40"/>
    </row>
    <row r="2120" spans="1:14" ht="15.75" customHeight="1" x14ac:dyDescent="0.25">
      <c r="A2120" s="103"/>
      <c r="B2120" s="25"/>
      <c r="C2120" s="103"/>
      <c r="D2120" s="24"/>
      <c r="E2120" s="24"/>
      <c r="F2120" s="103"/>
      <c r="G2120" s="114"/>
      <c r="I2120" s="40"/>
      <c r="J2120" s="40"/>
      <c r="M2120" s="40"/>
      <c r="N2120" s="40"/>
    </row>
    <row r="2121" spans="1:14" ht="15.75" customHeight="1" x14ac:dyDescent="0.25">
      <c r="A2121" s="103"/>
      <c r="B2121" s="25"/>
      <c r="C2121" s="103"/>
      <c r="D2121" s="24"/>
      <c r="E2121" s="24"/>
      <c r="F2121" s="103"/>
      <c r="G2121" s="114"/>
      <c r="I2121" s="40"/>
      <c r="J2121" s="40"/>
      <c r="M2121" s="40"/>
      <c r="N2121" s="40"/>
    </row>
    <row r="2122" spans="1:14" ht="15.75" customHeight="1" x14ac:dyDescent="0.25">
      <c r="A2122" s="103"/>
      <c r="B2122" s="25"/>
      <c r="C2122" s="103"/>
      <c r="D2122" s="24"/>
      <c r="E2122" s="24"/>
      <c r="F2122" s="103"/>
      <c r="G2122" s="114"/>
      <c r="I2122" s="40"/>
      <c r="J2122" s="40"/>
      <c r="M2122" s="40"/>
      <c r="N2122" s="40"/>
    </row>
    <row r="2123" spans="1:14" ht="15.75" customHeight="1" x14ac:dyDescent="0.25">
      <c r="A2123" s="103"/>
      <c r="B2123" s="25"/>
      <c r="C2123" s="103"/>
      <c r="D2123" s="24"/>
      <c r="E2123" s="24"/>
      <c r="F2123" s="103"/>
      <c r="G2123" s="114"/>
      <c r="I2123" s="40"/>
      <c r="J2123" s="40"/>
      <c r="M2123" s="40"/>
      <c r="N2123" s="40"/>
    </row>
    <row r="2124" spans="1:14" ht="15.75" customHeight="1" x14ac:dyDescent="0.25">
      <c r="A2124" s="103"/>
      <c r="B2124" s="25"/>
      <c r="C2124" s="103"/>
      <c r="D2124" s="24"/>
      <c r="E2124" s="24"/>
      <c r="F2124" s="103"/>
      <c r="G2124" s="114"/>
      <c r="I2124" s="40"/>
      <c r="J2124" s="40"/>
      <c r="M2124" s="40"/>
      <c r="N2124" s="40"/>
    </row>
    <row r="2125" spans="1:14" ht="15.75" customHeight="1" x14ac:dyDescent="0.25">
      <c r="A2125" s="103"/>
      <c r="B2125" s="25"/>
      <c r="C2125" s="103"/>
      <c r="D2125" s="24"/>
      <c r="E2125" s="24"/>
      <c r="F2125" s="103"/>
      <c r="G2125" s="114"/>
      <c r="I2125" s="40"/>
      <c r="J2125" s="40"/>
      <c r="M2125" s="40"/>
      <c r="N2125" s="40"/>
    </row>
    <row r="2126" spans="1:14" ht="15.75" customHeight="1" x14ac:dyDescent="0.25">
      <c r="A2126" s="103"/>
      <c r="B2126" s="25"/>
      <c r="C2126" s="103"/>
      <c r="D2126" s="24"/>
      <c r="E2126" s="24"/>
      <c r="F2126" s="103"/>
      <c r="G2126" s="114"/>
      <c r="I2126" s="40"/>
      <c r="J2126" s="40"/>
      <c r="M2126" s="40"/>
      <c r="N2126" s="40"/>
    </row>
    <row r="2127" spans="1:14" ht="15.75" customHeight="1" x14ac:dyDescent="0.25">
      <c r="A2127" s="103"/>
      <c r="B2127" s="25"/>
      <c r="C2127" s="103"/>
      <c r="D2127" s="24"/>
      <c r="E2127" s="24"/>
      <c r="F2127" s="103"/>
      <c r="G2127" s="114"/>
      <c r="I2127" s="40"/>
      <c r="J2127" s="40"/>
      <c r="M2127" s="40"/>
      <c r="N2127" s="40"/>
    </row>
    <row r="2128" spans="1:14" ht="15.75" customHeight="1" x14ac:dyDescent="0.25">
      <c r="A2128" s="103"/>
      <c r="B2128" s="25"/>
      <c r="C2128" s="103"/>
      <c r="D2128" s="24"/>
      <c r="E2128" s="24"/>
      <c r="F2128" s="103"/>
      <c r="G2128" s="114"/>
      <c r="I2128" s="40"/>
      <c r="J2128" s="40"/>
      <c r="M2128" s="40"/>
      <c r="N2128" s="40"/>
    </row>
    <row r="2129" spans="1:14" ht="15.75" customHeight="1" x14ac:dyDescent="0.25">
      <c r="A2129" s="103"/>
      <c r="B2129" s="25"/>
      <c r="C2129" s="103"/>
      <c r="D2129" s="24"/>
      <c r="E2129" s="24"/>
      <c r="F2129" s="103"/>
      <c r="G2129" s="114"/>
      <c r="I2129" s="40"/>
      <c r="J2129" s="40"/>
      <c r="M2129" s="40"/>
      <c r="N2129" s="40"/>
    </row>
    <row r="2130" spans="1:14" ht="15.75" customHeight="1" x14ac:dyDescent="0.25">
      <c r="A2130" s="103"/>
      <c r="B2130" s="25"/>
      <c r="C2130" s="103"/>
      <c r="D2130" s="24"/>
      <c r="E2130" s="24"/>
      <c r="F2130" s="103"/>
      <c r="G2130" s="114"/>
      <c r="I2130" s="40"/>
      <c r="J2130" s="40"/>
      <c r="M2130" s="40"/>
      <c r="N2130" s="40"/>
    </row>
    <row r="2131" spans="1:14" ht="15.75" customHeight="1" x14ac:dyDescent="0.25">
      <c r="A2131" s="103"/>
      <c r="B2131" s="25"/>
      <c r="C2131" s="103"/>
      <c r="D2131" s="24"/>
      <c r="E2131" s="24"/>
      <c r="F2131" s="103"/>
      <c r="G2131" s="114"/>
      <c r="I2131" s="40"/>
      <c r="J2131" s="40"/>
      <c r="M2131" s="40"/>
      <c r="N2131" s="40"/>
    </row>
    <row r="2132" spans="1:14" ht="15.75" customHeight="1" x14ac:dyDescent="0.25">
      <c r="A2132" s="103"/>
      <c r="B2132" s="25"/>
      <c r="C2132" s="103"/>
      <c r="D2132" s="24"/>
      <c r="E2132" s="24"/>
      <c r="F2132" s="103"/>
      <c r="G2132" s="114"/>
      <c r="I2132" s="40"/>
      <c r="J2132" s="40"/>
      <c r="M2132" s="40"/>
      <c r="N2132" s="40"/>
    </row>
    <row r="2133" spans="1:14" ht="15.75" customHeight="1" x14ac:dyDescent="0.25">
      <c r="A2133" s="103"/>
      <c r="B2133" s="25"/>
      <c r="C2133" s="103"/>
      <c r="D2133" s="24"/>
      <c r="E2133" s="24"/>
      <c r="F2133" s="103"/>
      <c r="G2133" s="114"/>
      <c r="I2133" s="40"/>
      <c r="J2133" s="40"/>
      <c r="M2133" s="40"/>
      <c r="N2133" s="40"/>
    </row>
    <row r="2134" spans="1:14" ht="15.75" customHeight="1" x14ac:dyDescent="0.25">
      <c r="A2134" s="103"/>
      <c r="B2134" s="25"/>
      <c r="C2134" s="103"/>
      <c r="D2134" s="24"/>
      <c r="E2134" s="24"/>
      <c r="F2134" s="103"/>
      <c r="G2134" s="114"/>
      <c r="I2134" s="40"/>
      <c r="J2134" s="40"/>
      <c r="M2134" s="40"/>
      <c r="N2134" s="40"/>
    </row>
    <row r="2135" spans="1:14" ht="15.75" customHeight="1" x14ac:dyDescent="0.25">
      <c r="A2135" s="103"/>
      <c r="B2135" s="25"/>
      <c r="C2135" s="103"/>
      <c r="D2135" s="24"/>
      <c r="E2135" s="24"/>
      <c r="F2135" s="103"/>
      <c r="G2135" s="114"/>
      <c r="I2135" s="40"/>
      <c r="J2135" s="40"/>
      <c r="M2135" s="40"/>
      <c r="N2135" s="40"/>
    </row>
    <row r="2136" spans="1:14" ht="15.75" customHeight="1" x14ac:dyDescent="0.25">
      <c r="A2136" s="103"/>
      <c r="B2136" s="25"/>
      <c r="C2136" s="103"/>
      <c r="D2136" s="24"/>
      <c r="E2136" s="24"/>
      <c r="F2136" s="103"/>
      <c r="G2136" s="114"/>
      <c r="I2136" s="40"/>
      <c r="J2136" s="40"/>
      <c r="M2136" s="40"/>
      <c r="N2136" s="40"/>
    </row>
    <row r="2137" spans="1:14" ht="15.75" customHeight="1" x14ac:dyDescent="0.25">
      <c r="A2137" s="103"/>
      <c r="B2137" s="25"/>
      <c r="C2137" s="103"/>
      <c r="D2137" s="24"/>
      <c r="E2137" s="24"/>
      <c r="F2137" s="103"/>
      <c r="G2137" s="114"/>
      <c r="I2137" s="40"/>
      <c r="J2137" s="40"/>
      <c r="M2137" s="40"/>
      <c r="N2137" s="40"/>
    </row>
    <row r="2138" spans="1:14" ht="15.75" customHeight="1" x14ac:dyDescent="0.25">
      <c r="A2138" s="103"/>
      <c r="B2138" s="25"/>
      <c r="C2138" s="103"/>
      <c r="D2138" s="24"/>
      <c r="E2138" s="24"/>
      <c r="F2138" s="103"/>
      <c r="G2138" s="114"/>
      <c r="I2138" s="40"/>
      <c r="J2138" s="40"/>
      <c r="M2138" s="40"/>
      <c r="N2138" s="40"/>
    </row>
    <row r="2139" spans="1:14" ht="15.75" customHeight="1" x14ac:dyDescent="0.25">
      <c r="A2139" s="103"/>
      <c r="B2139" s="25"/>
      <c r="C2139" s="103"/>
      <c r="D2139" s="24"/>
      <c r="E2139" s="24"/>
      <c r="F2139" s="103"/>
      <c r="G2139" s="114"/>
      <c r="I2139" s="40"/>
      <c r="J2139" s="40"/>
      <c r="M2139" s="40"/>
      <c r="N2139" s="40"/>
    </row>
    <row r="2140" spans="1:14" ht="15.75" customHeight="1" x14ac:dyDescent="0.25">
      <c r="A2140" s="103"/>
      <c r="B2140" s="25"/>
      <c r="C2140" s="103"/>
      <c r="D2140" s="24"/>
      <c r="E2140" s="24"/>
      <c r="F2140" s="103"/>
      <c r="G2140" s="114"/>
      <c r="I2140" s="40"/>
      <c r="J2140" s="40"/>
      <c r="M2140" s="40"/>
      <c r="N2140" s="40"/>
    </row>
    <row r="2141" spans="1:14" ht="15.75" customHeight="1" x14ac:dyDescent="0.25">
      <c r="A2141" s="103"/>
      <c r="B2141" s="25"/>
      <c r="C2141" s="103"/>
      <c r="D2141" s="24"/>
      <c r="E2141" s="24"/>
      <c r="F2141" s="103"/>
      <c r="G2141" s="114"/>
      <c r="I2141" s="40"/>
      <c r="J2141" s="40"/>
      <c r="M2141" s="40"/>
      <c r="N2141" s="40"/>
    </row>
    <row r="2142" spans="1:14" ht="15.75" customHeight="1" x14ac:dyDescent="0.25">
      <c r="A2142" s="103"/>
      <c r="B2142" s="25"/>
      <c r="C2142" s="103"/>
      <c r="D2142" s="24"/>
      <c r="E2142" s="24"/>
      <c r="F2142" s="103"/>
      <c r="G2142" s="114"/>
      <c r="I2142" s="40"/>
      <c r="J2142" s="40"/>
      <c r="M2142" s="40"/>
      <c r="N2142" s="40"/>
    </row>
    <row r="2143" spans="1:14" ht="15.75" customHeight="1" x14ac:dyDescent="0.25">
      <c r="A2143" s="103"/>
      <c r="B2143" s="25"/>
      <c r="C2143" s="103"/>
      <c r="D2143" s="24"/>
      <c r="E2143" s="24"/>
      <c r="F2143" s="103"/>
      <c r="G2143" s="114"/>
      <c r="I2143" s="40"/>
      <c r="J2143" s="40"/>
      <c r="M2143" s="40"/>
      <c r="N2143" s="40"/>
    </row>
    <row r="2144" spans="1:14" ht="15.75" customHeight="1" x14ac:dyDescent="0.25">
      <c r="A2144" s="103"/>
      <c r="B2144" s="25"/>
      <c r="C2144" s="103"/>
      <c r="D2144" s="24"/>
      <c r="E2144" s="24"/>
      <c r="F2144" s="103"/>
      <c r="G2144" s="114"/>
      <c r="I2144" s="40"/>
      <c r="J2144" s="40"/>
      <c r="M2144" s="40"/>
      <c r="N2144" s="40"/>
    </row>
    <row r="2145" spans="1:14" ht="15.75" customHeight="1" x14ac:dyDescent="0.25">
      <c r="A2145" s="103"/>
      <c r="B2145" s="25"/>
      <c r="C2145" s="103"/>
      <c r="D2145" s="24"/>
      <c r="E2145" s="24"/>
      <c r="F2145" s="103"/>
      <c r="G2145" s="114"/>
      <c r="I2145" s="40"/>
      <c r="J2145" s="40"/>
      <c r="M2145" s="40"/>
      <c r="N2145" s="40"/>
    </row>
    <row r="2146" spans="1:14" ht="15.75" customHeight="1" x14ac:dyDescent="0.25">
      <c r="A2146" s="103"/>
      <c r="B2146" s="25"/>
      <c r="C2146" s="103"/>
      <c r="D2146" s="24"/>
      <c r="E2146" s="24"/>
      <c r="F2146" s="103"/>
      <c r="G2146" s="114"/>
      <c r="I2146" s="40"/>
      <c r="J2146" s="40"/>
      <c r="M2146" s="40"/>
      <c r="N2146" s="40"/>
    </row>
    <row r="2147" spans="1:14" ht="15.75" customHeight="1" x14ac:dyDescent="0.25">
      <c r="A2147" s="103"/>
      <c r="B2147" s="25"/>
      <c r="C2147" s="103"/>
      <c r="D2147" s="24"/>
      <c r="E2147" s="24"/>
      <c r="F2147" s="103"/>
      <c r="G2147" s="114"/>
      <c r="I2147" s="40"/>
      <c r="J2147" s="40"/>
      <c r="M2147" s="40"/>
      <c r="N2147" s="40"/>
    </row>
    <row r="2148" spans="1:14" ht="15.75" customHeight="1" x14ac:dyDescent="0.25">
      <c r="A2148" s="103"/>
      <c r="B2148" s="25"/>
      <c r="C2148" s="103"/>
      <c r="D2148" s="24"/>
      <c r="E2148" s="24"/>
      <c r="F2148" s="103"/>
      <c r="G2148" s="114"/>
      <c r="I2148" s="40"/>
      <c r="J2148" s="40"/>
      <c r="M2148" s="40"/>
      <c r="N2148" s="40"/>
    </row>
    <row r="2149" spans="1:14" ht="15.75" customHeight="1" x14ac:dyDescent="0.25">
      <c r="A2149" s="103"/>
      <c r="B2149" s="25"/>
      <c r="C2149" s="103"/>
      <c r="D2149" s="24"/>
      <c r="E2149" s="24"/>
      <c r="F2149" s="103"/>
      <c r="G2149" s="114"/>
      <c r="I2149" s="40"/>
      <c r="J2149" s="40"/>
      <c r="M2149" s="40"/>
      <c r="N2149" s="40"/>
    </row>
    <row r="2150" spans="1:14" ht="15.75" customHeight="1" x14ac:dyDescent="0.25">
      <c r="A2150" s="103"/>
      <c r="B2150" s="25"/>
      <c r="C2150" s="103"/>
      <c r="D2150" s="24"/>
      <c r="E2150" s="24"/>
      <c r="F2150" s="103"/>
      <c r="G2150" s="114"/>
      <c r="I2150" s="40"/>
      <c r="J2150" s="40"/>
      <c r="M2150" s="40"/>
      <c r="N2150" s="40"/>
    </row>
    <row r="2151" spans="1:14" ht="15.75" customHeight="1" x14ac:dyDescent="0.25">
      <c r="A2151" s="103"/>
      <c r="B2151" s="25"/>
      <c r="C2151" s="103"/>
      <c r="D2151" s="24"/>
      <c r="E2151" s="24"/>
      <c r="F2151" s="103"/>
      <c r="G2151" s="114"/>
      <c r="I2151" s="40"/>
      <c r="J2151" s="40"/>
      <c r="M2151" s="40"/>
      <c r="N2151" s="40"/>
    </row>
    <row r="2152" spans="1:14" ht="15.75" customHeight="1" x14ac:dyDescent="0.25">
      <c r="A2152" s="103"/>
      <c r="B2152" s="25"/>
      <c r="C2152" s="103"/>
      <c r="D2152" s="24"/>
      <c r="E2152" s="24"/>
      <c r="F2152" s="103"/>
      <c r="G2152" s="114"/>
      <c r="I2152" s="40"/>
      <c r="J2152" s="40"/>
      <c r="M2152" s="40"/>
      <c r="N2152" s="40"/>
    </row>
    <row r="2153" spans="1:14" ht="15.75" customHeight="1" x14ac:dyDescent="0.25">
      <c r="A2153" s="103"/>
      <c r="B2153" s="25"/>
      <c r="C2153" s="103"/>
      <c r="D2153" s="24"/>
      <c r="E2153" s="24"/>
      <c r="F2153" s="103"/>
      <c r="G2153" s="114"/>
      <c r="I2153" s="40"/>
      <c r="J2153" s="40"/>
      <c r="M2153" s="40"/>
      <c r="N2153" s="40"/>
    </row>
    <row r="2154" spans="1:14" ht="15.75" customHeight="1" x14ac:dyDescent="0.25">
      <c r="A2154" s="103"/>
      <c r="B2154" s="25"/>
      <c r="C2154" s="103"/>
      <c r="D2154" s="24"/>
      <c r="E2154" s="24"/>
      <c r="F2154" s="103"/>
      <c r="G2154" s="114"/>
      <c r="I2154" s="40"/>
      <c r="J2154" s="40"/>
      <c r="M2154" s="40"/>
      <c r="N2154" s="40"/>
    </row>
    <row r="2155" spans="1:14" ht="15.75" customHeight="1" x14ac:dyDescent="0.25">
      <c r="A2155" s="103"/>
      <c r="B2155" s="25"/>
      <c r="C2155" s="103"/>
      <c r="D2155" s="24"/>
      <c r="E2155" s="24"/>
      <c r="F2155" s="103"/>
      <c r="G2155" s="114"/>
      <c r="I2155" s="40"/>
      <c r="J2155" s="40"/>
      <c r="M2155" s="40"/>
      <c r="N2155" s="40"/>
    </row>
    <row r="2156" spans="1:14" ht="15.75" customHeight="1" x14ac:dyDescent="0.25">
      <c r="A2156" s="103"/>
      <c r="B2156" s="25"/>
      <c r="C2156" s="103"/>
      <c r="D2156" s="24"/>
      <c r="E2156" s="24"/>
      <c r="F2156" s="103"/>
      <c r="G2156" s="114"/>
      <c r="I2156" s="40"/>
      <c r="J2156" s="40"/>
      <c r="M2156" s="40"/>
      <c r="N2156" s="40"/>
    </row>
    <row r="2157" spans="1:14" ht="15.75" customHeight="1" x14ac:dyDescent="0.25">
      <c r="A2157" s="103"/>
      <c r="B2157" s="25"/>
      <c r="C2157" s="103"/>
      <c r="D2157" s="24"/>
      <c r="E2157" s="24"/>
      <c r="F2157" s="103"/>
      <c r="G2157" s="114"/>
      <c r="I2157" s="40"/>
      <c r="J2157" s="40"/>
      <c r="M2157" s="40"/>
      <c r="N2157" s="40"/>
    </row>
    <row r="2158" spans="1:14" ht="15.75" customHeight="1" x14ac:dyDescent="0.25">
      <c r="A2158" s="103"/>
      <c r="B2158" s="25"/>
      <c r="C2158" s="103"/>
      <c r="D2158" s="24"/>
      <c r="E2158" s="24"/>
      <c r="F2158" s="103"/>
      <c r="G2158" s="114"/>
      <c r="I2158" s="40"/>
      <c r="J2158" s="40"/>
      <c r="M2158" s="40"/>
      <c r="N2158" s="40"/>
    </row>
    <row r="2159" spans="1:14" ht="15.75" customHeight="1" x14ac:dyDescent="0.25">
      <c r="A2159" s="103"/>
      <c r="B2159" s="25"/>
      <c r="C2159" s="103"/>
      <c r="D2159" s="24"/>
      <c r="E2159" s="24"/>
      <c r="F2159" s="103"/>
      <c r="G2159" s="114"/>
      <c r="I2159" s="40"/>
      <c r="J2159" s="40"/>
      <c r="M2159" s="40"/>
      <c r="N2159" s="40"/>
    </row>
    <row r="2160" spans="1:14" ht="15.75" customHeight="1" x14ac:dyDescent="0.25">
      <c r="A2160" s="103"/>
      <c r="B2160" s="25"/>
      <c r="C2160" s="103"/>
      <c r="D2160" s="24"/>
      <c r="E2160" s="24"/>
      <c r="F2160" s="103"/>
      <c r="G2160" s="114"/>
      <c r="I2160" s="40"/>
      <c r="J2160" s="40"/>
      <c r="M2160" s="40"/>
      <c r="N2160" s="40"/>
    </row>
    <row r="2161" spans="1:14" ht="15.75" customHeight="1" x14ac:dyDescent="0.25">
      <c r="A2161" s="103"/>
      <c r="B2161" s="25"/>
      <c r="C2161" s="103"/>
      <c r="D2161" s="24"/>
      <c r="E2161" s="24"/>
      <c r="F2161" s="103"/>
      <c r="G2161" s="114"/>
      <c r="I2161" s="40"/>
      <c r="J2161" s="40"/>
      <c r="M2161" s="40"/>
      <c r="N2161" s="40"/>
    </row>
    <row r="2162" spans="1:14" ht="15.75" customHeight="1" x14ac:dyDescent="0.25">
      <c r="A2162" s="103"/>
      <c r="B2162" s="25"/>
      <c r="C2162" s="103"/>
      <c r="D2162" s="24"/>
      <c r="E2162" s="24"/>
      <c r="F2162" s="103"/>
      <c r="G2162" s="114"/>
      <c r="I2162" s="40"/>
      <c r="J2162" s="40"/>
      <c r="M2162" s="40"/>
      <c r="N2162" s="40"/>
    </row>
    <row r="2163" spans="1:14" ht="15.75" customHeight="1" x14ac:dyDescent="0.25">
      <c r="A2163" s="103"/>
      <c r="B2163" s="25"/>
      <c r="C2163" s="103"/>
      <c r="D2163" s="24"/>
      <c r="E2163" s="24"/>
      <c r="F2163" s="103"/>
      <c r="G2163" s="114"/>
      <c r="I2163" s="40"/>
      <c r="J2163" s="40"/>
      <c r="M2163" s="40"/>
      <c r="N2163" s="40"/>
    </row>
    <row r="2164" spans="1:14" ht="15.75" customHeight="1" x14ac:dyDescent="0.25">
      <c r="A2164" s="103"/>
      <c r="B2164" s="25"/>
      <c r="C2164" s="103"/>
      <c r="D2164" s="24"/>
      <c r="E2164" s="24"/>
      <c r="F2164" s="103"/>
      <c r="G2164" s="114"/>
      <c r="I2164" s="40"/>
      <c r="J2164" s="40"/>
      <c r="M2164" s="40"/>
      <c r="N2164" s="40"/>
    </row>
    <row r="2165" spans="1:14" ht="15.75" customHeight="1" x14ac:dyDescent="0.25">
      <c r="A2165" s="103"/>
      <c r="B2165" s="25"/>
      <c r="C2165" s="103"/>
      <c r="D2165" s="24"/>
      <c r="E2165" s="24"/>
      <c r="F2165" s="103"/>
      <c r="G2165" s="114"/>
      <c r="I2165" s="40"/>
      <c r="J2165" s="40"/>
      <c r="M2165" s="40"/>
      <c r="N2165" s="40"/>
    </row>
    <row r="2166" spans="1:14" ht="15.75" customHeight="1" x14ac:dyDescent="0.25">
      <c r="A2166" s="103"/>
      <c r="B2166" s="25"/>
      <c r="C2166" s="103"/>
      <c r="D2166" s="24"/>
      <c r="E2166" s="24"/>
      <c r="F2166" s="103"/>
      <c r="G2166" s="114"/>
      <c r="I2166" s="40"/>
      <c r="J2166" s="40"/>
      <c r="M2166" s="40"/>
      <c r="N2166" s="40"/>
    </row>
    <row r="2167" spans="1:14" ht="15.75" customHeight="1" x14ac:dyDescent="0.25">
      <c r="A2167" s="103"/>
      <c r="B2167" s="25"/>
      <c r="C2167" s="103"/>
      <c r="D2167" s="24"/>
      <c r="E2167" s="24"/>
      <c r="F2167" s="103"/>
      <c r="G2167" s="114"/>
      <c r="I2167" s="40"/>
      <c r="J2167" s="40"/>
      <c r="M2167" s="40"/>
      <c r="N2167" s="40"/>
    </row>
    <row r="2168" spans="1:14" ht="15.75" customHeight="1" x14ac:dyDescent="0.25">
      <c r="A2168" s="103"/>
      <c r="B2168" s="25"/>
      <c r="C2168" s="103"/>
      <c r="D2168" s="24"/>
      <c r="E2168" s="24"/>
      <c r="F2168" s="103"/>
      <c r="G2168" s="114"/>
      <c r="I2168" s="40"/>
      <c r="J2168" s="40"/>
      <c r="M2168" s="40"/>
      <c r="N2168" s="40"/>
    </row>
    <row r="2169" spans="1:14" ht="15.75" customHeight="1" x14ac:dyDescent="0.25">
      <c r="A2169" s="103"/>
      <c r="B2169" s="25"/>
      <c r="C2169" s="103"/>
      <c r="D2169" s="24"/>
      <c r="E2169" s="24"/>
      <c r="F2169" s="103"/>
      <c r="G2169" s="114"/>
      <c r="I2169" s="40"/>
      <c r="J2169" s="40"/>
      <c r="M2169" s="40"/>
      <c r="N2169" s="40"/>
    </row>
    <row r="2170" spans="1:14" ht="15.75" customHeight="1" x14ac:dyDescent="0.25">
      <c r="A2170" s="103"/>
      <c r="B2170" s="25"/>
      <c r="C2170" s="103"/>
      <c r="D2170" s="24"/>
      <c r="E2170" s="24"/>
      <c r="F2170" s="103"/>
      <c r="G2170" s="114"/>
      <c r="I2170" s="40"/>
      <c r="J2170" s="40"/>
      <c r="M2170" s="40"/>
      <c r="N2170" s="40"/>
    </row>
    <row r="2171" spans="1:14" ht="15.75" customHeight="1" x14ac:dyDescent="0.25">
      <c r="A2171" s="103"/>
      <c r="B2171" s="25"/>
      <c r="C2171" s="103"/>
      <c r="D2171" s="24"/>
      <c r="E2171" s="24"/>
      <c r="F2171" s="103"/>
      <c r="G2171" s="114"/>
      <c r="I2171" s="40"/>
      <c r="J2171" s="40"/>
      <c r="M2171" s="40"/>
      <c r="N2171" s="40"/>
    </row>
    <row r="2172" spans="1:14" ht="15.75" customHeight="1" x14ac:dyDescent="0.25">
      <c r="A2172" s="103"/>
      <c r="B2172" s="25"/>
      <c r="C2172" s="103"/>
      <c r="D2172" s="24"/>
      <c r="E2172" s="24"/>
      <c r="F2172" s="103"/>
      <c r="G2172" s="114"/>
      <c r="I2172" s="40"/>
      <c r="J2172" s="40"/>
      <c r="M2172" s="40"/>
      <c r="N2172" s="40"/>
    </row>
    <row r="2173" spans="1:14" ht="15.75" customHeight="1" x14ac:dyDescent="0.25">
      <c r="A2173" s="103"/>
      <c r="B2173" s="25"/>
      <c r="C2173" s="103"/>
      <c r="D2173" s="24"/>
      <c r="E2173" s="24"/>
      <c r="F2173" s="103"/>
      <c r="G2173" s="114"/>
      <c r="I2173" s="40"/>
      <c r="J2173" s="40"/>
      <c r="M2173" s="40"/>
      <c r="N2173" s="40"/>
    </row>
    <row r="2174" spans="1:14" ht="15.75" customHeight="1" x14ac:dyDescent="0.25">
      <c r="A2174" s="103"/>
      <c r="B2174" s="25"/>
      <c r="C2174" s="103"/>
      <c r="D2174" s="24"/>
      <c r="E2174" s="24"/>
      <c r="F2174" s="103"/>
      <c r="G2174" s="114"/>
      <c r="I2174" s="40"/>
      <c r="J2174" s="40"/>
      <c r="M2174" s="40"/>
      <c r="N2174" s="40"/>
    </row>
    <row r="2175" spans="1:14" ht="15.75" customHeight="1" x14ac:dyDescent="0.25">
      <c r="A2175" s="103"/>
      <c r="B2175" s="25"/>
      <c r="C2175" s="103"/>
      <c r="D2175" s="24"/>
      <c r="E2175" s="24"/>
      <c r="F2175" s="103"/>
      <c r="G2175" s="114"/>
      <c r="I2175" s="40"/>
      <c r="J2175" s="40"/>
      <c r="M2175" s="40"/>
      <c r="N2175" s="40"/>
    </row>
    <row r="2176" spans="1:14" ht="15.75" customHeight="1" x14ac:dyDescent="0.25">
      <c r="A2176" s="103"/>
      <c r="B2176" s="25"/>
      <c r="C2176" s="103"/>
      <c r="D2176" s="24"/>
      <c r="E2176" s="24"/>
      <c r="F2176" s="103"/>
      <c r="G2176" s="114"/>
      <c r="I2176" s="40"/>
      <c r="J2176" s="40"/>
      <c r="M2176" s="40"/>
      <c r="N2176" s="40"/>
    </row>
    <row r="2177" spans="1:14" ht="15.75" customHeight="1" x14ac:dyDescent="0.25">
      <c r="A2177" s="103"/>
      <c r="B2177" s="25"/>
      <c r="C2177" s="103"/>
      <c r="D2177" s="24"/>
      <c r="E2177" s="24"/>
      <c r="F2177" s="103"/>
      <c r="G2177" s="114"/>
      <c r="I2177" s="40"/>
      <c r="J2177" s="40"/>
      <c r="M2177" s="40"/>
      <c r="N2177" s="40"/>
    </row>
    <row r="2178" spans="1:14" ht="15.75" customHeight="1" x14ac:dyDescent="0.25">
      <c r="A2178" s="103"/>
      <c r="B2178" s="25"/>
      <c r="C2178" s="103"/>
      <c r="D2178" s="24"/>
      <c r="E2178" s="24"/>
      <c r="F2178" s="103"/>
      <c r="G2178" s="114"/>
      <c r="I2178" s="40"/>
      <c r="J2178" s="40"/>
      <c r="M2178" s="40"/>
      <c r="N2178" s="40"/>
    </row>
    <row r="2179" spans="1:14" ht="15.75" customHeight="1" x14ac:dyDescent="0.25">
      <c r="A2179" s="103"/>
      <c r="B2179" s="25"/>
      <c r="C2179" s="103"/>
      <c r="D2179" s="24"/>
      <c r="E2179" s="24"/>
      <c r="F2179" s="103"/>
      <c r="G2179" s="114"/>
      <c r="I2179" s="40"/>
      <c r="J2179" s="40"/>
      <c r="M2179" s="40"/>
      <c r="N2179" s="40"/>
    </row>
    <row r="2180" spans="1:14" ht="15.75" customHeight="1" x14ac:dyDescent="0.25">
      <c r="A2180" s="103"/>
      <c r="B2180" s="25"/>
      <c r="C2180" s="103"/>
      <c r="D2180" s="24"/>
      <c r="E2180" s="24"/>
      <c r="F2180" s="103"/>
      <c r="G2180" s="114"/>
      <c r="I2180" s="40"/>
      <c r="J2180" s="40"/>
      <c r="M2180" s="40"/>
      <c r="N2180" s="40"/>
    </row>
    <row r="2181" spans="1:14" ht="15.75" customHeight="1" x14ac:dyDescent="0.25">
      <c r="A2181" s="103"/>
      <c r="B2181" s="25"/>
      <c r="C2181" s="103"/>
      <c r="D2181" s="24"/>
      <c r="E2181" s="24"/>
      <c r="F2181" s="103"/>
      <c r="G2181" s="114"/>
      <c r="I2181" s="40"/>
      <c r="J2181" s="40"/>
      <c r="M2181" s="40"/>
      <c r="N2181" s="40"/>
    </row>
    <row r="2182" spans="1:14" ht="15.75" customHeight="1" x14ac:dyDescent="0.25">
      <c r="A2182" s="103"/>
      <c r="B2182" s="25"/>
      <c r="C2182" s="103"/>
      <c r="D2182" s="24"/>
      <c r="E2182" s="24"/>
      <c r="F2182" s="103"/>
      <c r="G2182" s="114"/>
      <c r="I2182" s="40"/>
      <c r="J2182" s="40"/>
      <c r="M2182" s="40"/>
      <c r="N2182" s="40"/>
    </row>
    <row r="2183" spans="1:14" ht="15.75" customHeight="1" x14ac:dyDescent="0.25">
      <c r="A2183" s="103"/>
      <c r="B2183" s="25"/>
      <c r="C2183" s="103"/>
      <c r="D2183" s="24"/>
      <c r="E2183" s="24"/>
      <c r="F2183" s="103"/>
      <c r="G2183" s="114"/>
      <c r="I2183" s="40"/>
      <c r="J2183" s="40"/>
      <c r="M2183" s="40"/>
      <c r="N2183" s="40"/>
    </row>
    <row r="2184" spans="1:14" ht="15.75" customHeight="1" x14ac:dyDescent="0.25">
      <c r="A2184" s="103"/>
      <c r="B2184" s="25"/>
      <c r="C2184" s="103"/>
      <c r="D2184" s="24"/>
      <c r="E2184" s="24"/>
      <c r="F2184" s="103"/>
      <c r="G2184" s="114"/>
      <c r="I2184" s="40"/>
      <c r="J2184" s="40"/>
      <c r="M2184" s="40"/>
      <c r="N2184" s="40"/>
    </row>
    <row r="2185" spans="1:14" ht="15.75" customHeight="1" x14ac:dyDescent="0.25">
      <c r="A2185" s="103"/>
      <c r="B2185" s="25"/>
      <c r="C2185" s="103"/>
      <c r="D2185" s="24"/>
      <c r="E2185" s="24"/>
      <c r="F2185" s="103"/>
      <c r="G2185" s="114"/>
      <c r="I2185" s="40"/>
      <c r="J2185" s="40"/>
      <c r="M2185" s="40"/>
      <c r="N2185" s="40"/>
    </row>
    <row r="2186" spans="1:14" ht="15.75" customHeight="1" x14ac:dyDescent="0.25">
      <c r="A2186" s="103"/>
      <c r="B2186" s="25"/>
      <c r="C2186" s="103"/>
      <c r="D2186" s="24"/>
      <c r="E2186" s="24"/>
      <c r="F2186" s="103"/>
      <c r="G2186" s="114"/>
      <c r="I2186" s="40"/>
      <c r="J2186" s="40"/>
      <c r="M2186" s="40"/>
      <c r="N2186" s="40"/>
    </row>
    <row r="2187" spans="1:14" ht="15.75" customHeight="1" x14ac:dyDescent="0.25">
      <c r="A2187" s="103"/>
      <c r="B2187" s="25"/>
      <c r="C2187" s="103"/>
      <c r="D2187" s="24"/>
      <c r="E2187" s="24"/>
      <c r="F2187" s="103"/>
      <c r="G2187" s="114"/>
      <c r="I2187" s="40"/>
      <c r="J2187" s="40"/>
      <c r="M2187" s="40"/>
      <c r="N2187" s="40"/>
    </row>
    <row r="2188" spans="1:14" ht="15.75" customHeight="1" x14ac:dyDescent="0.25">
      <c r="A2188" s="103"/>
      <c r="B2188" s="25"/>
      <c r="C2188" s="103"/>
      <c r="D2188" s="24"/>
      <c r="E2188" s="24"/>
      <c r="F2188" s="103"/>
      <c r="G2188" s="114"/>
      <c r="I2188" s="40"/>
      <c r="J2188" s="40"/>
      <c r="M2188" s="40"/>
      <c r="N2188" s="40"/>
    </row>
    <row r="2189" spans="1:14" ht="15.75" customHeight="1" x14ac:dyDescent="0.25">
      <c r="A2189" s="103"/>
      <c r="B2189" s="25"/>
      <c r="C2189" s="103"/>
      <c r="D2189" s="24"/>
      <c r="E2189" s="24"/>
      <c r="F2189" s="103"/>
      <c r="G2189" s="114"/>
      <c r="I2189" s="40"/>
      <c r="J2189" s="40"/>
      <c r="M2189" s="40"/>
      <c r="N2189" s="40"/>
    </row>
    <row r="2190" spans="1:14" ht="15.75" customHeight="1" x14ac:dyDescent="0.25">
      <c r="A2190" s="103"/>
      <c r="B2190" s="25"/>
      <c r="C2190" s="103"/>
      <c r="D2190" s="24"/>
      <c r="E2190" s="24"/>
      <c r="F2190" s="103"/>
      <c r="G2190" s="114"/>
      <c r="I2190" s="40"/>
      <c r="J2190" s="40"/>
      <c r="M2190" s="40"/>
      <c r="N2190" s="40"/>
    </row>
    <row r="2191" spans="1:14" ht="15.75" customHeight="1" x14ac:dyDescent="0.25">
      <c r="A2191" s="103"/>
      <c r="B2191" s="25"/>
      <c r="C2191" s="103"/>
      <c r="D2191" s="24"/>
      <c r="E2191" s="24"/>
      <c r="F2191" s="103"/>
      <c r="G2191" s="114"/>
      <c r="I2191" s="40"/>
      <c r="J2191" s="40"/>
      <c r="M2191" s="40"/>
      <c r="N2191" s="40"/>
    </row>
    <row r="2192" spans="1:14" ht="15.75" customHeight="1" x14ac:dyDescent="0.25">
      <c r="A2192" s="103"/>
      <c r="B2192" s="25"/>
      <c r="C2192" s="103"/>
      <c r="D2192" s="24"/>
      <c r="E2192" s="24"/>
      <c r="F2192" s="103"/>
      <c r="G2192" s="114"/>
      <c r="I2192" s="40"/>
      <c r="J2192" s="40"/>
      <c r="M2192" s="40"/>
      <c r="N2192" s="40"/>
    </row>
    <row r="2193" spans="1:14" ht="15.75" customHeight="1" x14ac:dyDescent="0.25">
      <c r="A2193" s="103"/>
      <c r="B2193" s="25"/>
      <c r="C2193" s="103"/>
      <c r="D2193" s="24"/>
      <c r="E2193" s="24"/>
      <c r="F2193" s="103"/>
      <c r="G2193" s="114"/>
      <c r="I2193" s="40"/>
      <c r="J2193" s="40"/>
      <c r="M2193" s="40"/>
      <c r="N2193" s="40"/>
    </row>
    <row r="2194" spans="1:14" ht="15.75" customHeight="1" x14ac:dyDescent="0.25">
      <c r="A2194" s="103"/>
      <c r="B2194" s="25"/>
      <c r="C2194" s="103"/>
      <c r="D2194" s="24"/>
      <c r="E2194" s="24"/>
      <c r="F2194" s="103"/>
      <c r="G2194" s="114"/>
      <c r="I2194" s="40"/>
      <c r="J2194" s="40"/>
      <c r="M2194" s="40"/>
      <c r="N2194" s="40"/>
    </row>
    <row r="2195" spans="1:14" ht="15.75" customHeight="1" x14ac:dyDescent="0.25">
      <c r="A2195" s="103"/>
      <c r="B2195" s="25"/>
      <c r="C2195" s="103"/>
      <c r="D2195" s="24"/>
      <c r="E2195" s="24"/>
      <c r="F2195" s="103"/>
      <c r="G2195" s="114"/>
      <c r="I2195" s="40"/>
      <c r="J2195" s="40"/>
      <c r="M2195" s="40"/>
      <c r="N2195" s="40"/>
    </row>
    <row r="2196" spans="1:14" ht="15.75" customHeight="1" x14ac:dyDescent="0.25">
      <c r="A2196" s="103"/>
      <c r="B2196" s="25"/>
      <c r="C2196" s="103"/>
      <c r="D2196" s="24"/>
      <c r="E2196" s="24"/>
      <c r="F2196" s="103"/>
      <c r="G2196" s="114"/>
      <c r="I2196" s="40"/>
      <c r="J2196" s="40"/>
      <c r="M2196" s="40"/>
      <c r="N2196" s="40"/>
    </row>
    <row r="2197" spans="1:14" ht="15.75" customHeight="1" x14ac:dyDescent="0.25">
      <c r="A2197" s="103"/>
      <c r="B2197" s="25"/>
      <c r="C2197" s="103"/>
      <c r="D2197" s="24"/>
      <c r="E2197" s="24"/>
      <c r="F2197" s="103"/>
      <c r="G2197" s="114"/>
      <c r="I2197" s="40"/>
      <c r="J2197" s="40"/>
      <c r="M2197" s="40"/>
      <c r="N2197" s="40"/>
    </row>
    <row r="2198" spans="1:14" ht="15.75" customHeight="1" x14ac:dyDescent="0.25">
      <c r="A2198" s="103"/>
      <c r="B2198" s="25"/>
      <c r="C2198" s="103"/>
      <c r="D2198" s="24"/>
      <c r="E2198" s="24"/>
      <c r="F2198" s="103"/>
      <c r="G2198" s="114"/>
      <c r="I2198" s="40"/>
      <c r="J2198" s="40"/>
      <c r="M2198" s="40"/>
      <c r="N2198" s="40"/>
    </row>
    <row r="2199" spans="1:14" ht="15.75" customHeight="1" x14ac:dyDescent="0.25">
      <c r="A2199" s="103"/>
      <c r="B2199" s="25"/>
      <c r="C2199" s="103"/>
      <c r="D2199" s="24"/>
      <c r="E2199" s="24"/>
      <c r="F2199" s="103"/>
      <c r="G2199" s="114"/>
      <c r="I2199" s="40"/>
      <c r="J2199" s="40"/>
      <c r="M2199" s="40"/>
      <c r="N2199" s="40"/>
    </row>
    <row r="2200" spans="1:14" ht="15.75" customHeight="1" x14ac:dyDescent="0.25">
      <c r="A2200" s="103"/>
      <c r="B2200" s="25"/>
      <c r="C2200" s="103"/>
      <c r="D2200" s="24"/>
      <c r="E2200" s="24"/>
      <c r="F2200" s="103"/>
      <c r="G2200" s="114"/>
      <c r="I2200" s="40"/>
      <c r="J2200" s="40"/>
      <c r="M2200" s="40"/>
      <c r="N2200" s="40"/>
    </row>
    <row r="2201" spans="1:14" ht="15.75" customHeight="1" x14ac:dyDescent="0.25">
      <c r="A2201" s="103"/>
      <c r="B2201" s="25"/>
      <c r="C2201" s="103"/>
      <c r="D2201" s="24"/>
      <c r="E2201" s="24"/>
      <c r="F2201" s="103"/>
      <c r="G2201" s="114"/>
      <c r="I2201" s="40"/>
      <c r="J2201" s="40"/>
      <c r="M2201" s="40"/>
      <c r="N2201" s="40"/>
    </row>
    <row r="2202" spans="1:14" ht="15.75" customHeight="1" x14ac:dyDescent="0.25">
      <c r="A2202" s="103"/>
      <c r="B2202" s="25"/>
      <c r="C2202" s="103"/>
      <c r="D2202" s="24"/>
      <c r="E2202" s="24"/>
      <c r="F2202" s="103"/>
      <c r="G2202" s="114"/>
      <c r="I2202" s="40"/>
      <c r="J2202" s="40"/>
      <c r="M2202" s="40"/>
      <c r="N2202" s="40"/>
    </row>
    <row r="2203" spans="1:14" ht="15.75" customHeight="1" x14ac:dyDescent="0.25">
      <c r="A2203" s="103"/>
      <c r="B2203" s="25"/>
      <c r="C2203" s="103"/>
      <c r="D2203" s="24"/>
      <c r="E2203" s="24"/>
      <c r="F2203" s="103"/>
      <c r="G2203" s="114"/>
      <c r="I2203" s="40"/>
      <c r="J2203" s="40"/>
      <c r="M2203" s="40"/>
      <c r="N2203" s="40"/>
    </row>
    <row r="2204" spans="1:14" ht="15.75" customHeight="1" x14ac:dyDescent="0.25">
      <c r="A2204" s="103"/>
      <c r="B2204" s="25"/>
      <c r="C2204" s="103"/>
      <c r="D2204" s="24"/>
      <c r="E2204" s="24"/>
      <c r="F2204" s="103"/>
      <c r="G2204" s="114"/>
      <c r="I2204" s="40"/>
      <c r="J2204" s="40"/>
      <c r="M2204" s="40"/>
      <c r="N2204" s="40"/>
    </row>
    <row r="2205" spans="1:14" ht="15.75" customHeight="1" x14ac:dyDescent="0.25">
      <c r="A2205" s="103"/>
      <c r="B2205" s="25"/>
      <c r="C2205" s="103"/>
      <c r="D2205" s="24"/>
      <c r="E2205" s="24"/>
      <c r="F2205" s="103"/>
      <c r="G2205" s="114"/>
      <c r="I2205" s="40"/>
      <c r="J2205" s="40"/>
      <c r="M2205" s="40"/>
      <c r="N2205" s="40"/>
    </row>
    <row r="2206" spans="1:14" ht="15.75" customHeight="1" x14ac:dyDescent="0.25">
      <c r="A2206" s="103"/>
      <c r="B2206" s="25"/>
      <c r="C2206" s="103"/>
      <c r="D2206" s="24"/>
      <c r="E2206" s="24"/>
      <c r="F2206" s="103"/>
      <c r="G2206" s="114"/>
      <c r="I2206" s="40"/>
      <c r="J2206" s="40"/>
      <c r="M2206" s="40"/>
      <c r="N2206" s="40"/>
    </row>
    <row r="2207" spans="1:14" ht="15.75" customHeight="1" x14ac:dyDescent="0.25">
      <c r="A2207" s="103"/>
      <c r="B2207" s="25"/>
      <c r="C2207" s="103"/>
      <c r="D2207" s="24"/>
      <c r="E2207" s="24"/>
      <c r="F2207" s="103"/>
      <c r="G2207" s="114"/>
      <c r="I2207" s="40"/>
      <c r="J2207" s="40"/>
      <c r="M2207" s="40"/>
      <c r="N2207" s="40"/>
    </row>
    <row r="2208" spans="1:14" ht="15.75" customHeight="1" x14ac:dyDescent="0.25">
      <c r="A2208" s="103"/>
      <c r="B2208" s="25"/>
      <c r="C2208" s="103"/>
      <c r="D2208" s="24"/>
      <c r="E2208" s="24"/>
      <c r="F2208" s="103"/>
      <c r="G2208" s="114"/>
      <c r="I2208" s="40"/>
      <c r="J2208" s="40"/>
      <c r="M2208" s="40"/>
      <c r="N2208" s="40"/>
    </row>
    <row r="2209" spans="1:14" ht="15.75" customHeight="1" x14ac:dyDescent="0.25">
      <c r="A2209" s="103"/>
      <c r="B2209" s="25"/>
      <c r="C2209" s="103"/>
      <c r="D2209" s="24"/>
      <c r="E2209" s="24"/>
      <c r="F2209" s="103"/>
      <c r="G2209" s="114"/>
      <c r="I2209" s="40"/>
      <c r="J2209" s="40"/>
      <c r="M2209" s="40"/>
      <c r="N2209" s="40"/>
    </row>
    <row r="2210" spans="1:14" ht="15.75" customHeight="1" x14ac:dyDescent="0.25">
      <c r="A2210" s="103"/>
      <c r="B2210" s="25"/>
      <c r="C2210" s="103"/>
      <c r="D2210" s="24"/>
      <c r="E2210" s="24"/>
      <c r="F2210" s="103"/>
      <c r="G2210" s="114"/>
      <c r="I2210" s="40"/>
      <c r="J2210" s="40"/>
      <c r="M2210" s="40"/>
      <c r="N2210" s="40"/>
    </row>
    <row r="2211" spans="1:14" ht="15.75" customHeight="1" x14ac:dyDescent="0.25">
      <c r="A2211" s="103"/>
      <c r="B2211" s="25"/>
      <c r="C2211" s="103"/>
      <c r="D2211" s="24"/>
      <c r="E2211" s="24"/>
      <c r="F2211" s="103"/>
      <c r="G2211" s="114"/>
      <c r="I2211" s="40"/>
      <c r="J2211" s="40"/>
      <c r="M2211" s="40"/>
      <c r="N2211" s="40"/>
    </row>
    <row r="2212" spans="1:14" ht="15.75" customHeight="1" x14ac:dyDescent="0.25">
      <c r="A2212" s="103"/>
      <c r="B2212" s="25"/>
      <c r="C2212" s="103"/>
      <c r="D2212" s="24"/>
      <c r="E2212" s="24"/>
      <c r="F2212" s="103"/>
      <c r="G2212" s="114"/>
      <c r="I2212" s="40"/>
      <c r="J2212" s="40"/>
      <c r="M2212" s="40"/>
      <c r="N2212" s="40"/>
    </row>
    <row r="2213" spans="1:14" ht="15.75" customHeight="1" x14ac:dyDescent="0.25">
      <c r="A2213" s="103"/>
      <c r="B2213" s="25"/>
      <c r="C2213" s="103"/>
      <c r="D2213" s="24"/>
      <c r="E2213" s="24"/>
      <c r="F2213" s="103"/>
      <c r="G2213" s="114"/>
      <c r="I2213" s="40"/>
      <c r="J2213" s="40"/>
      <c r="M2213" s="40"/>
      <c r="N2213" s="40"/>
    </row>
    <row r="2214" spans="1:14" ht="15.75" customHeight="1" x14ac:dyDescent="0.25">
      <c r="A2214" s="103"/>
      <c r="B2214" s="25"/>
      <c r="C2214" s="103"/>
      <c r="D2214" s="24"/>
      <c r="E2214" s="24"/>
      <c r="F2214" s="103"/>
      <c r="G2214" s="114"/>
      <c r="I2214" s="40"/>
      <c r="J2214" s="40"/>
      <c r="M2214" s="40"/>
      <c r="N2214" s="40"/>
    </row>
    <row r="2215" spans="1:14" ht="15.75" customHeight="1" x14ac:dyDescent="0.25">
      <c r="A2215" s="103"/>
      <c r="B2215" s="25"/>
      <c r="C2215" s="103"/>
      <c r="D2215" s="24"/>
      <c r="E2215" s="24"/>
      <c r="F2215" s="103"/>
      <c r="G2215" s="114"/>
      <c r="I2215" s="40"/>
      <c r="J2215" s="40"/>
      <c r="M2215" s="40"/>
      <c r="N2215" s="40"/>
    </row>
    <row r="2216" spans="1:14" ht="15.75" customHeight="1" x14ac:dyDescent="0.25">
      <c r="A2216" s="103"/>
      <c r="B2216" s="25"/>
      <c r="C2216" s="103"/>
      <c r="D2216" s="24"/>
      <c r="E2216" s="24"/>
      <c r="F2216" s="103"/>
      <c r="G2216" s="114"/>
      <c r="I2216" s="40"/>
      <c r="J2216" s="40"/>
      <c r="M2216" s="40"/>
      <c r="N2216" s="40"/>
    </row>
    <row r="2217" spans="1:14" ht="15.75" customHeight="1" x14ac:dyDescent="0.25">
      <c r="A2217" s="103"/>
      <c r="B2217" s="25"/>
      <c r="C2217" s="103"/>
      <c r="D2217" s="24"/>
      <c r="E2217" s="24"/>
      <c r="F2217" s="103"/>
      <c r="G2217" s="114"/>
      <c r="I2217" s="40"/>
      <c r="J2217" s="40"/>
      <c r="M2217" s="40"/>
      <c r="N2217" s="40"/>
    </row>
    <row r="2218" spans="1:14" ht="15.75" customHeight="1" x14ac:dyDescent="0.25">
      <c r="A2218" s="103"/>
      <c r="B2218" s="25"/>
      <c r="C2218" s="103"/>
      <c r="D2218" s="24"/>
      <c r="E2218" s="24"/>
      <c r="F2218" s="103"/>
      <c r="G2218" s="114"/>
      <c r="I2218" s="40"/>
      <c r="J2218" s="40"/>
      <c r="M2218" s="40"/>
      <c r="N2218" s="40"/>
    </row>
    <row r="2219" spans="1:14" ht="15.75" customHeight="1" x14ac:dyDescent="0.25">
      <c r="A2219" s="103"/>
      <c r="B2219" s="25"/>
      <c r="C2219" s="103"/>
      <c r="D2219" s="24"/>
      <c r="E2219" s="24"/>
      <c r="F2219" s="103"/>
      <c r="G2219" s="114"/>
      <c r="I2219" s="40"/>
      <c r="J2219" s="40"/>
      <c r="M2219" s="40"/>
      <c r="N2219" s="40"/>
    </row>
    <row r="2220" spans="1:14" ht="15.75" customHeight="1" x14ac:dyDescent="0.25">
      <c r="A2220" s="103"/>
      <c r="B2220" s="25"/>
      <c r="C2220" s="103"/>
      <c r="D2220" s="24"/>
      <c r="E2220" s="24"/>
      <c r="F2220" s="103"/>
      <c r="G2220" s="114"/>
      <c r="I2220" s="40"/>
      <c r="J2220" s="40"/>
      <c r="M2220" s="40"/>
      <c r="N2220" s="40"/>
    </row>
    <row r="2221" spans="1:14" ht="15.75" customHeight="1" x14ac:dyDescent="0.25">
      <c r="A2221" s="103"/>
      <c r="B2221" s="25"/>
      <c r="C2221" s="103"/>
      <c r="D2221" s="24"/>
      <c r="E2221" s="24"/>
      <c r="F2221" s="103"/>
      <c r="G2221" s="114"/>
      <c r="I2221" s="40"/>
      <c r="J2221" s="40"/>
      <c r="M2221" s="40"/>
      <c r="N2221" s="40"/>
    </row>
    <row r="2222" spans="1:14" ht="15.75" customHeight="1" x14ac:dyDescent="0.25">
      <c r="A2222" s="103"/>
      <c r="B2222" s="25"/>
      <c r="C2222" s="103"/>
      <c r="D2222" s="24"/>
      <c r="E2222" s="24"/>
      <c r="F2222" s="103"/>
      <c r="G2222" s="114"/>
      <c r="I2222" s="40"/>
      <c r="J2222" s="40"/>
      <c r="M2222" s="40"/>
      <c r="N2222" s="40"/>
    </row>
    <row r="2223" spans="1:14" ht="15.75" customHeight="1" x14ac:dyDescent="0.25">
      <c r="A2223" s="103"/>
      <c r="B2223" s="25"/>
      <c r="C2223" s="103"/>
      <c r="D2223" s="24"/>
      <c r="E2223" s="24"/>
      <c r="F2223" s="103"/>
      <c r="G2223" s="114"/>
      <c r="I2223" s="40"/>
      <c r="J2223" s="40"/>
      <c r="M2223" s="40"/>
      <c r="N2223" s="40"/>
    </row>
    <row r="2224" spans="1:14" ht="15.75" customHeight="1" x14ac:dyDescent="0.25">
      <c r="A2224" s="103"/>
      <c r="B2224" s="25"/>
      <c r="C2224" s="103"/>
      <c r="D2224" s="24"/>
      <c r="E2224" s="24"/>
      <c r="F2224" s="103"/>
      <c r="G2224" s="114"/>
      <c r="I2224" s="40"/>
      <c r="J2224" s="40"/>
      <c r="M2224" s="40"/>
      <c r="N2224" s="40"/>
    </row>
    <row r="2225" spans="1:14" ht="15.75" customHeight="1" x14ac:dyDescent="0.25">
      <c r="A2225" s="103"/>
      <c r="B2225" s="25"/>
      <c r="C2225" s="103"/>
      <c r="D2225" s="24"/>
      <c r="E2225" s="24"/>
      <c r="F2225" s="103"/>
      <c r="G2225" s="114"/>
      <c r="I2225" s="40"/>
      <c r="J2225" s="40"/>
      <c r="M2225" s="40"/>
      <c r="N2225" s="40"/>
    </row>
    <row r="2226" spans="1:14" ht="15.75" customHeight="1" x14ac:dyDescent="0.25">
      <c r="A2226" s="103"/>
      <c r="B2226" s="25"/>
      <c r="C2226" s="103"/>
      <c r="D2226" s="24"/>
      <c r="E2226" s="24"/>
      <c r="F2226" s="103"/>
      <c r="G2226" s="114"/>
      <c r="I2226" s="40"/>
      <c r="J2226" s="40"/>
      <c r="M2226" s="40"/>
      <c r="N2226" s="40"/>
    </row>
    <row r="2227" spans="1:14" ht="15.75" customHeight="1" x14ac:dyDescent="0.25">
      <c r="A2227" s="103"/>
      <c r="B2227" s="25"/>
      <c r="C2227" s="103"/>
      <c r="D2227" s="24"/>
      <c r="E2227" s="24"/>
      <c r="F2227" s="103"/>
      <c r="G2227" s="114"/>
      <c r="I2227" s="40"/>
      <c r="J2227" s="40"/>
      <c r="M2227" s="40"/>
      <c r="N2227" s="40"/>
    </row>
    <row r="2228" spans="1:14" ht="15.75" customHeight="1" x14ac:dyDescent="0.25">
      <c r="A2228" s="103"/>
      <c r="B2228" s="25"/>
      <c r="C2228" s="103"/>
      <c r="D2228" s="24"/>
      <c r="E2228" s="24"/>
      <c r="F2228" s="103"/>
      <c r="G2228" s="114"/>
      <c r="I2228" s="40"/>
      <c r="J2228" s="40"/>
      <c r="M2228" s="40"/>
      <c r="N2228" s="40"/>
    </row>
    <row r="2229" spans="1:14" ht="15.75" customHeight="1" x14ac:dyDescent="0.25">
      <c r="A2229" s="103"/>
      <c r="B2229" s="25"/>
      <c r="C2229" s="103"/>
      <c r="D2229" s="24"/>
      <c r="E2229" s="24"/>
      <c r="F2229" s="103"/>
      <c r="G2229" s="114"/>
      <c r="I2229" s="40"/>
      <c r="J2229" s="40"/>
      <c r="M2229" s="40"/>
      <c r="N2229" s="40"/>
    </row>
    <row r="2230" spans="1:14" ht="15.75" customHeight="1" x14ac:dyDescent="0.25">
      <c r="A2230" s="103"/>
      <c r="B2230" s="25"/>
      <c r="C2230" s="103"/>
      <c r="D2230" s="24"/>
      <c r="E2230" s="24"/>
      <c r="F2230" s="103"/>
      <c r="G2230" s="114"/>
      <c r="I2230" s="40"/>
      <c r="J2230" s="40"/>
      <c r="M2230" s="40"/>
      <c r="N2230" s="40"/>
    </row>
    <row r="2231" spans="1:14" ht="15.75" customHeight="1" x14ac:dyDescent="0.25">
      <c r="A2231" s="103"/>
      <c r="B2231" s="25"/>
      <c r="C2231" s="103"/>
      <c r="D2231" s="24"/>
      <c r="E2231" s="24"/>
      <c r="F2231" s="103"/>
      <c r="G2231" s="114"/>
      <c r="I2231" s="40"/>
      <c r="J2231" s="40"/>
      <c r="M2231" s="40"/>
      <c r="N2231" s="40"/>
    </row>
    <row r="2232" spans="1:14" ht="15.75" customHeight="1" x14ac:dyDescent="0.25">
      <c r="A2232" s="103"/>
      <c r="B2232" s="25"/>
      <c r="C2232" s="103"/>
      <c r="D2232" s="24"/>
      <c r="E2232" s="24"/>
      <c r="F2232" s="103"/>
      <c r="G2232" s="114"/>
      <c r="I2232" s="40"/>
      <c r="J2232" s="40"/>
      <c r="M2232" s="40"/>
      <c r="N2232" s="40"/>
    </row>
    <row r="2233" spans="1:14" ht="15.75" customHeight="1" x14ac:dyDescent="0.25">
      <c r="A2233" s="103"/>
      <c r="B2233" s="25"/>
      <c r="C2233" s="103"/>
      <c r="D2233" s="24"/>
      <c r="E2233" s="24"/>
      <c r="F2233" s="103"/>
      <c r="G2233" s="114"/>
      <c r="I2233" s="40"/>
      <c r="J2233" s="40"/>
      <c r="M2233" s="40"/>
      <c r="N2233" s="40"/>
    </row>
    <row r="2234" spans="1:14" ht="15.75" customHeight="1" x14ac:dyDescent="0.25">
      <c r="A2234" s="103"/>
      <c r="B2234" s="25"/>
      <c r="C2234" s="103"/>
      <c r="D2234" s="24"/>
      <c r="E2234" s="24"/>
      <c r="F2234" s="103"/>
      <c r="G2234" s="114"/>
      <c r="I2234" s="40"/>
      <c r="J2234" s="40"/>
      <c r="M2234" s="40"/>
      <c r="N2234" s="40"/>
    </row>
    <row r="2235" spans="1:14" ht="15.75" customHeight="1" x14ac:dyDescent="0.25">
      <c r="A2235" s="103"/>
      <c r="B2235" s="25"/>
      <c r="C2235" s="103"/>
      <c r="D2235" s="24"/>
      <c r="E2235" s="24"/>
      <c r="F2235" s="103"/>
      <c r="G2235" s="114"/>
      <c r="I2235" s="40"/>
      <c r="J2235" s="40"/>
      <c r="M2235" s="40"/>
      <c r="N2235" s="40"/>
    </row>
    <row r="2236" spans="1:14" ht="15.75" customHeight="1" x14ac:dyDescent="0.25">
      <c r="A2236" s="103"/>
      <c r="B2236" s="25"/>
      <c r="C2236" s="103"/>
      <c r="D2236" s="24"/>
      <c r="E2236" s="24"/>
      <c r="F2236" s="103"/>
      <c r="G2236" s="114"/>
      <c r="I2236" s="40"/>
      <c r="J2236" s="40"/>
      <c r="M2236" s="40"/>
      <c r="N2236" s="40"/>
    </row>
    <row r="2237" spans="1:14" ht="15.75" customHeight="1" x14ac:dyDescent="0.25">
      <c r="A2237" s="103"/>
      <c r="B2237" s="25"/>
      <c r="C2237" s="103"/>
      <c r="D2237" s="24"/>
      <c r="E2237" s="24"/>
      <c r="F2237" s="103"/>
      <c r="G2237" s="114"/>
      <c r="I2237" s="40"/>
      <c r="J2237" s="40"/>
      <c r="M2237" s="40"/>
      <c r="N2237" s="40"/>
    </row>
    <row r="2238" spans="1:14" ht="15.75" customHeight="1" x14ac:dyDescent="0.25">
      <c r="A2238" s="103"/>
      <c r="B2238" s="25"/>
      <c r="C2238" s="103"/>
      <c r="D2238" s="24"/>
      <c r="E2238" s="24"/>
      <c r="F2238" s="103"/>
      <c r="G2238" s="114"/>
      <c r="I2238" s="40"/>
      <c r="J2238" s="40"/>
      <c r="M2238" s="40"/>
      <c r="N2238" s="40"/>
    </row>
    <row r="2239" spans="1:14" ht="15.75" customHeight="1" x14ac:dyDescent="0.25">
      <c r="A2239" s="103"/>
      <c r="B2239" s="25"/>
      <c r="C2239" s="103"/>
      <c r="D2239" s="24"/>
      <c r="E2239" s="24"/>
      <c r="F2239" s="103"/>
      <c r="G2239" s="114"/>
      <c r="I2239" s="40"/>
      <c r="J2239" s="40"/>
      <c r="M2239" s="40"/>
      <c r="N2239" s="40"/>
    </row>
    <row r="2240" spans="1:14" ht="15.75" customHeight="1" x14ac:dyDescent="0.25">
      <c r="A2240" s="103"/>
      <c r="B2240" s="25"/>
      <c r="C2240" s="103"/>
      <c r="D2240" s="24"/>
      <c r="E2240" s="24"/>
      <c r="F2240" s="103"/>
      <c r="G2240" s="114"/>
      <c r="I2240" s="40"/>
      <c r="J2240" s="40"/>
      <c r="M2240" s="40"/>
      <c r="N2240" s="40"/>
    </row>
    <row r="2241" spans="1:14" ht="15.75" customHeight="1" x14ac:dyDescent="0.25">
      <c r="A2241" s="103"/>
      <c r="B2241" s="25"/>
      <c r="C2241" s="103"/>
      <c r="D2241" s="24"/>
      <c r="E2241" s="24"/>
      <c r="F2241" s="103"/>
      <c r="G2241" s="114"/>
      <c r="I2241" s="40"/>
      <c r="J2241" s="40"/>
      <c r="M2241" s="40"/>
      <c r="N2241" s="40"/>
    </row>
    <row r="2242" spans="1:14" ht="15.75" customHeight="1" x14ac:dyDescent="0.25">
      <c r="A2242" s="103"/>
      <c r="B2242" s="25"/>
      <c r="C2242" s="103"/>
      <c r="D2242" s="24"/>
      <c r="E2242" s="24"/>
      <c r="F2242" s="103"/>
      <c r="G2242" s="114"/>
      <c r="I2242" s="40"/>
      <c r="J2242" s="40"/>
      <c r="M2242" s="40"/>
      <c r="N2242" s="40"/>
    </row>
    <row r="2243" spans="1:14" ht="15.75" customHeight="1" x14ac:dyDescent="0.25">
      <c r="A2243" s="103"/>
      <c r="B2243" s="25"/>
      <c r="C2243" s="103"/>
      <c r="D2243" s="24"/>
      <c r="E2243" s="24"/>
      <c r="F2243" s="103"/>
      <c r="G2243" s="114"/>
      <c r="I2243" s="40"/>
      <c r="J2243" s="40"/>
      <c r="M2243" s="40"/>
      <c r="N2243" s="40"/>
    </row>
    <row r="2244" spans="1:14" ht="15.75" customHeight="1" x14ac:dyDescent="0.25">
      <c r="A2244" s="103"/>
      <c r="B2244" s="25"/>
      <c r="C2244" s="103"/>
      <c r="D2244" s="24"/>
      <c r="E2244" s="24"/>
      <c r="F2244" s="103"/>
      <c r="G2244" s="114"/>
      <c r="I2244" s="40"/>
      <c r="J2244" s="40"/>
      <c r="M2244" s="40"/>
      <c r="N2244" s="40"/>
    </row>
    <row r="2245" spans="1:14" ht="15.75" customHeight="1" x14ac:dyDescent="0.25">
      <c r="A2245" s="103"/>
      <c r="B2245" s="25"/>
      <c r="C2245" s="103"/>
      <c r="D2245" s="24"/>
      <c r="E2245" s="24"/>
      <c r="F2245" s="103"/>
      <c r="G2245" s="114"/>
      <c r="I2245" s="40"/>
      <c r="J2245" s="40"/>
      <c r="M2245" s="40"/>
      <c r="N2245" s="40"/>
    </row>
    <row r="2246" spans="1:14" ht="15.75" customHeight="1" x14ac:dyDescent="0.25">
      <c r="A2246" s="103"/>
      <c r="B2246" s="25"/>
      <c r="C2246" s="103"/>
      <c r="D2246" s="24"/>
      <c r="E2246" s="24"/>
      <c r="F2246" s="103"/>
      <c r="G2246" s="114"/>
      <c r="I2246" s="40"/>
      <c r="J2246" s="40"/>
      <c r="M2246" s="40"/>
      <c r="N2246" s="40"/>
    </row>
    <row r="2247" spans="1:14" ht="15.75" customHeight="1" x14ac:dyDescent="0.25">
      <c r="A2247" s="103"/>
      <c r="B2247" s="25"/>
      <c r="C2247" s="103"/>
      <c r="D2247" s="24"/>
      <c r="E2247" s="24"/>
      <c r="F2247" s="103"/>
      <c r="G2247" s="114"/>
      <c r="I2247" s="40"/>
      <c r="J2247" s="40"/>
      <c r="M2247" s="40"/>
      <c r="N2247" s="40"/>
    </row>
    <row r="2248" spans="1:14" ht="15.75" customHeight="1" x14ac:dyDescent="0.25">
      <c r="A2248" s="103"/>
      <c r="B2248" s="25"/>
      <c r="C2248" s="103"/>
      <c r="D2248" s="24"/>
      <c r="E2248" s="24"/>
      <c r="F2248" s="103"/>
      <c r="G2248" s="114"/>
      <c r="I2248" s="40"/>
      <c r="J2248" s="40"/>
      <c r="M2248" s="40"/>
      <c r="N2248" s="40"/>
    </row>
    <row r="2249" spans="1:14" ht="15.75" customHeight="1" x14ac:dyDescent="0.25">
      <c r="A2249" s="103"/>
      <c r="B2249" s="25"/>
      <c r="C2249" s="103"/>
      <c r="D2249" s="24"/>
      <c r="E2249" s="24"/>
      <c r="F2249" s="103"/>
      <c r="G2249" s="114"/>
      <c r="I2249" s="40"/>
      <c r="J2249" s="40"/>
      <c r="M2249" s="40"/>
      <c r="N2249" s="40"/>
    </row>
    <row r="2250" spans="1:14" ht="15.75" customHeight="1" x14ac:dyDescent="0.25">
      <c r="A2250" s="103"/>
      <c r="B2250" s="25"/>
      <c r="C2250" s="103"/>
      <c r="D2250" s="24"/>
      <c r="E2250" s="24"/>
      <c r="F2250" s="103"/>
      <c r="G2250" s="114"/>
      <c r="I2250" s="40"/>
      <c r="J2250" s="40"/>
      <c r="M2250" s="40"/>
      <c r="N2250" s="40"/>
    </row>
    <row r="2251" spans="1:14" ht="15.75" customHeight="1" x14ac:dyDescent="0.25">
      <c r="A2251" s="103"/>
      <c r="B2251" s="25"/>
      <c r="C2251" s="103"/>
      <c r="D2251" s="24"/>
      <c r="E2251" s="24"/>
      <c r="F2251" s="103"/>
      <c r="G2251" s="114"/>
      <c r="I2251" s="40"/>
      <c r="J2251" s="40"/>
      <c r="M2251" s="40"/>
      <c r="N2251" s="40"/>
    </row>
    <row r="2252" spans="1:14" ht="15.75" customHeight="1" x14ac:dyDescent="0.25">
      <c r="A2252" s="103"/>
      <c r="B2252" s="25"/>
      <c r="C2252" s="103"/>
      <c r="D2252" s="24"/>
      <c r="E2252" s="24"/>
      <c r="F2252" s="103"/>
      <c r="G2252" s="114"/>
      <c r="I2252" s="40"/>
      <c r="J2252" s="40"/>
      <c r="M2252" s="40"/>
      <c r="N2252" s="40"/>
    </row>
    <row r="2253" spans="1:14" ht="15.75" customHeight="1" x14ac:dyDescent="0.25">
      <c r="A2253" s="103"/>
      <c r="B2253" s="25"/>
      <c r="C2253" s="103"/>
      <c r="D2253" s="24"/>
      <c r="E2253" s="24"/>
      <c r="F2253" s="103"/>
      <c r="G2253" s="114"/>
      <c r="I2253" s="40"/>
      <c r="J2253" s="40"/>
      <c r="M2253" s="40"/>
      <c r="N2253" s="40"/>
    </row>
    <row r="2254" spans="1:14" ht="15.75" customHeight="1" x14ac:dyDescent="0.25">
      <c r="A2254" s="103"/>
      <c r="B2254" s="25"/>
      <c r="C2254" s="103"/>
      <c r="D2254" s="24"/>
      <c r="E2254" s="24"/>
      <c r="F2254" s="103"/>
      <c r="G2254" s="114"/>
      <c r="I2254" s="40"/>
      <c r="J2254" s="40"/>
      <c r="M2254" s="40"/>
      <c r="N2254" s="40"/>
    </row>
    <row r="2255" spans="1:14" ht="15.75" customHeight="1" x14ac:dyDescent="0.25">
      <c r="A2255" s="103"/>
      <c r="B2255" s="25"/>
      <c r="C2255" s="103"/>
      <c r="D2255" s="24"/>
      <c r="E2255" s="24"/>
      <c r="F2255" s="103"/>
      <c r="G2255" s="114"/>
      <c r="I2255" s="40"/>
      <c r="J2255" s="40"/>
      <c r="M2255" s="40"/>
      <c r="N2255" s="40"/>
    </row>
    <row r="2256" spans="1:14" ht="15.75" customHeight="1" x14ac:dyDescent="0.25">
      <c r="A2256" s="103"/>
      <c r="B2256" s="25"/>
      <c r="C2256" s="103"/>
      <c r="D2256" s="24"/>
      <c r="E2256" s="24"/>
      <c r="F2256" s="103"/>
      <c r="G2256" s="114"/>
      <c r="I2256" s="40"/>
      <c r="J2256" s="40"/>
      <c r="M2256" s="40"/>
      <c r="N2256" s="40"/>
    </row>
    <row r="2257" spans="1:14" ht="15.75" customHeight="1" x14ac:dyDescent="0.25">
      <c r="A2257" s="103"/>
      <c r="B2257" s="25"/>
      <c r="C2257" s="103"/>
      <c r="D2257" s="24"/>
      <c r="E2257" s="24"/>
      <c r="F2257" s="103"/>
      <c r="G2257" s="114"/>
      <c r="I2257" s="40"/>
      <c r="J2257" s="40"/>
      <c r="M2257" s="40"/>
      <c r="N2257" s="40"/>
    </row>
    <row r="2258" spans="1:14" ht="15.75" customHeight="1" x14ac:dyDescent="0.25">
      <c r="A2258" s="103"/>
      <c r="B2258" s="25"/>
      <c r="C2258" s="103"/>
      <c r="D2258" s="24"/>
      <c r="E2258" s="24"/>
      <c r="F2258" s="103"/>
      <c r="G2258" s="114"/>
      <c r="I2258" s="40"/>
      <c r="J2258" s="40"/>
      <c r="M2258" s="40"/>
      <c r="N2258" s="40"/>
    </row>
    <row r="2259" spans="1:14" ht="15.75" customHeight="1" x14ac:dyDescent="0.25">
      <c r="A2259" s="103"/>
      <c r="B2259" s="25"/>
      <c r="C2259" s="103"/>
      <c r="D2259" s="24"/>
      <c r="E2259" s="24"/>
      <c r="F2259" s="103"/>
      <c r="G2259" s="114"/>
      <c r="I2259" s="40"/>
      <c r="J2259" s="40"/>
      <c r="M2259" s="40"/>
      <c r="N2259" s="40"/>
    </row>
    <row r="2260" spans="1:14" ht="15.75" customHeight="1" x14ac:dyDescent="0.25">
      <c r="A2260" s="103"/>
      <c r="B2260" s="25"/>
      <c r="C2260" s="103"/>
      <c r="D2260" s="24"/>
      <c r="E2260" s="24"/>
      <c r="F2260" s="103"/>
      <c r="G2260" s="114"/>
      <c r="I2260" s="40"/>
      <c r="J2260" s="40"/>
      <c r="M2260" s="40"/>
      <c r="N2260" s="40"/>
    </row>
    <row r="2261" spans="1:14" ht="15.75" customHeight="1" x14ac:dyDescent="0.25">
      <c r="A2261" s="103"/>
      <c r="B2261" s="25"/>
      <c r="C2261" s="103"/>
      <c r="D2261" s="24"/>
      <c r="E2261" s="24"/>
      <c r="F2261" s="103"/>
      <c r="G2261" s="114"/>
      <c r="I2261" s="40"/>
      <c r="J2261" s="40"/>
      <c r="M2261" s="40"/>
      <c r="N2261" s="40"/>
    </row>
    <row r="2262" spans="1:14" ht="15.75" customHeight="1" x14ac:dyDescent="0.25">
      <c r="A2262" s="103"/>
      <c r="B2262" s="25"/>
      <c r="C2262" s="103"/>
      <c r="D2262" s="24"/>
      <c r="E2262" s="24"/>
      <c r="F2262" s="103"/>
      <c r="G2262" s="114"/>
      <c r="I2262" s="40"/>
      <c r="J2262" s="40"/>
      <c r="M2262" s="40"/>
      <c r="N2262" s="40"/>
    </row>
    <row r="2263" spans="1:14" ht="15.75" customHeight="1" x14ac:dyDescent="0.25">
      <c r="A2263" s="103"/>
      <c r="B2263" s="25"/>
      <c r="C2263" s="103"/>
      <c r="D2263" s="24"/>
      <c r="E2263" s="24"/>
      <c r="F2263" s="103"/>
      <c r="G2263" s="114"/>
      <c r="I2263" s="40"/>
      <c r="J2263" s="40"/>
      <c r="M2263" s="40"/>
      <c r="N2263" s="40"/>
    </row>
    <row r="2264" spans="1:14" ht="15.75" customHeight="1" x14ac:dyDescent="0.25">
      <c r="A2264" s="103"/>
      <c r="B2264" s="25"/>
      <c r="C2264" s="103"/>
      <c r="D2264" s="24"/>
      <c r="E2264" s="24"/>
      <c r="F2264" s="103"/>
      <c r="G2264" s="114"/>
      <c r="I2264" s="40"/>
      <c r="J2264" s="40"/>
      <c r="M2264" s="40"/>
      <c r="N2264" s="40"/>
    </row>
    <row r="2265" spans="1:14" ht="15.75" customHeight="1" x14ac:dyDescent="0.25">
      <c r="A2265" s="103"/>
      <c r="B2265" s="25"/>
      <c r="C2265" s="103"/>
      <c r="D2265" s="24"/>
      <c r="E2265" s="24"/>
      <c r="F2265" s="103"/>
      <c r="G2265" s="114"/>
      <c r="I2265" s="40"/>
      <c r="J2265" s="40"/>
      <c r="M2265" s="40"/>
      <c r="N2265" s="40"/>
    </row>
    <row r="2266" spans="1:14" ht="15.75" customHeight="1" x14ac:dyDescent="0.25">
      <c r="A2266" s="103"/>
      <c r="B2266" s="25"/>
      <c r="C2266" s="103"/>
      <c r="D2266" s="24"/>
      <c r="E2266" s="24"/>
      <c r="F2266" s="103"/>
      <c r="G2266" s="114"/>
      <c r="I2266" s="40"/>
      <c r="J2266" s="40"/>
      <c r="M2266" s="40"/>
      <c r="N2266" s="40"/>
    </row>
    <row r="2267" spans="1:14" ht="15.75" customHeight="1" x14ac:dyDescent="0.25">
      <c r="A2267" s="103"/>
      <c r="B2267" s="25"/>
      <c r="C2267" s="103"/>
      <c r="D2267" s="24"/>
      <c r="E2267" s="24"/>
      <c r="F2267" s="103"/>
      <c r="G2267" s="114"/>
      <c r="I2267" s="40"/>
      <c r="J2267" s="40"/>
      <c r="M2267" s="40"/>
      <c r="N2267" s="40"/>
    </row>
    <row r="2268" spans="1:14" ht="15.75" customHeight="1" x14ac:dyDescent="0.25">
      <c r="A2268" s="103"/>
      <c r="B2268" s="25"/>
      <c r="C2268" s="103"/>
      <c r="D2268" s="24"/>
      <c r="E2268" s="24"/>
      <c r="F2268" s="103"/>
      <c r="G2268" s="114"/>
      <c r="I2268" s="40"/>
      <c r="J2268" s="40"/>
      <c r="M2268" s="40"/>
      <c r="N2268" s="40"/>
    </row>
    <row r="2269" spans="1:14" ht="15.75" customHeight="1" x14ac:dyDescent="0.25">
      <c r="A2269" s="103"/>
      <c r="B2269" s="25"/>
      <c r="C2269" s="103"/>
      <c r="D2269" s="24"/>
      <c r="E2269" s="24"/>
      <c r="F2269" s="103"/>
      <c r="G2269" s="114"/>
      <c r="I2269" s="40"/>
      <c r="J2269" s="40"/>
      <c r="M2269" s="40"/>
      <c r="N2269" s="40"/>
    </row>
    <row r="2270" spans="1:14" ht="15.75" customHeight="1" x14ac:dyDescent="0.25">
      <c r="A2270" s="103"/>
      <c r="B2270" s="25"/>
      <c r="C2270" s="103"/>
      <c r="D2270" s="24"/>
      <c r="E2270" s="24"/>
      <c r="F2270" s="103"/>
      <c r="G2270" s="114"/>
      <c r="I2270" s="40"/>
      <c r="J2270" s="40"/>
      <c r="M2270" s="40"/>
      <c r="N2270" s="40"/>
    </row>
    <row r="2271" spans="1:14" ht="15.75" customHeight="1" x14ac:dyDescent="0.25">
      <c r="A2271" s="103"/>
      <c r="B2271" s="25"/>
      <c r="C2271" s="103"/>
      <c r="D2271" s="24"/>
      <c r="E2271" s="24"/>
      <c r="F2271" s="103"/>
      <c r="G2271" s="114"/>
      <c r="I2271" s="40"/>
      <c r="J2271" s="40"/>
      <c r="M2271" s="40"/>
      <c r="N2271" s="40"/>
    </row>
    <row r="2272" spans="1:14" ht="15.75" customHeight="1" x14ac:dyDescent="0.25">
      <c r="A2272" s="103"/>
      <c r="B2272" s="25"/>
      <c r="C2272" s="103"/>
      <c r="D2272" s="24"/>
      <c r="E2272" s="24"/>
      <c r="F2272" s="103"/>
      <c r="G2272" s="114"/>
      <c r="I2272" s="40"/>
      <c r="J2272" s="40"/>
      <c r="M2272" s="40"/>
      <c r="N2272" s="40"/>
    </row>
    <row r="2273" spans="1:14" ht="15.75" customHeight="1" x14ac:dyDescent="0.25">
      <c r="A2273" s="103"/>
      <c r="B2273" s="25"/>
      <c r="C2273" s="103"/>
      <c r="D2273" s="24"/>
      <c r="E2273" s="24"/>
      <c r="F2273" s="103"/>
      <c r="G2273" s="114"/>
      <c r="I2273" s="40"/>
      <c r="J2273" s="40"/>
      <c r="M2273" s="40"/>
      <c r="N2273" s="40"/>
    </row>
    <row r="2274" spans="1:14" ht="15.75" customHeight="1" x14ac:dyDescent="0.25">
      <c r="A2274" s="103"/>
      <c r="B2274" s="25"/>
      <c r="C2274" s="103"/>
      <c r="D2274" s="24"/>
      <c r="E2274" s="24"/>
      <c r="F2274" s="103"/>
      <c r="G2274" s="114"/>
      <c r="I2274" s="40"/>
      <c r="J2274" s="40"/>
      <c r="M2274" s="40"/>
      <c r="N2274" s="40"/>
    </row>
    <row r="2275" spans="1:14" ht="15.75" customHeight="1" x14ac:dyDescent="0.25">
      <c r="A2275" s="103"/>
      <c r="B2275" s="25"/>
      <c r="C2275" s="103"/>
      <c r="D2275" s="24"/>
      <c r="E2275" s="24"/>
      <c r="F2275" s="103"/>
      <c r="G2275" s="114"/>
      <c r="I2275" s="40"/>
      <c r="J2275" s="40"/>
      <c r="M2275" s="40"/>
      <c r="N2275" s="40"/>
    </row>
    <row r="2276" spans="1:14" ht="15.75" customHeight="1" x14ac:dyDescent="0.25">
      <c r="A2276" s="103"/>
      <c r="B2276" s="25"/>
      <c r="C2276" s="103"/>
      <c r="D2276" s="24"/>
      <c r="E2276" s="24"/>
      <c r="F2276" s="103"/>
      <c r="G2276" s="114"/>
      <c r="I2276" s="40"/>
      <c r="J2276" s="40"/>
      <c r="M2276" s="40"/>
      <c r="N2276" s="40"/>
    </row>
    <row r="2277" spans="1:14" ht="15.75" customHeight="1" x14ac:dyDescent="0.25">
      <c r="A2277" s="103"/>
      <c r="B2277" s="25"/>
      <c r="C2277" s="103"/>
      <c r="D2277" s="24"/>
      <c r="E2277" s="24"/>
      <c r="F2277" s="103"/>
      <c r="G2277" s="114"/>
      <c r="I2277" s="40"/>
      <c r="J2277" s="40"/>
      <c r="M2277" s="40"/>
      <c r="N2277" s="40"/>
    </row>
    <row r="2278" spans="1:14" ht="15.75" customHeight="1" x14ac:dyDescent="0.25">
      <c r="A2278" s="103"/>
      <c r="B2278" s="25"/>
      <c r="C2278" s="103"/>
      <c r="D2278" s="24"/>
      <c r="E2278" s="24"/>
      <c r="F2278" s="103"/>
      <c r="G2278" s="114"/>
      <c r="I2278" s="40"/>
      <c r="J2278" s="40"/>
      <c r="M2278" s="40"/>
      <c r="N2278" s="40"/>
    </row>
    <row r="2279" spans="1:14" ht="15.75" customHeight="1" x14ac:dyDescent="0.25">
      <c r="A2279" s="103"/>
      <c r="B2279" s="25"/>
      <c r="C2279" s="103"/>
      <c r="D2279" s="24"/>
      <c r="E2279" s="24"/>
      <c r="F2279" s="103"/>
      <c r="G2279" s="114"/>
      <c r="I2279" s="40"/>
      <c r="J2279" s="40"/>
      <c r="M2279" s="40"/>
      <c r="N2279" s="40"/>
    </row>
    <row r="2280" spans="1:14" ht="15.75" customHeight="1" x14ac:dyDescent="0.25">
      <c r="A2280" s="103"/>
      <c r="B2280" s="25"/>
      <c r="C2280" s="103"/>
      <c r="D2280" s="24"/>
      <c r="E2280" s="24"/>
      <c r="F2280" s="103"/>
      <c r="G2280" s="114"/>
      <c r="I2280" s="40"/>
      <c r="J2280" s="40"/>
      <c r="M2280" s="40"/>
      <c r="N2280" s="40"/>
    </row>
    <row r="2281" spans="1:14" ht="15.75" customHeight="1" x14ac:dyDescent="0.25">
      <c r="A2281" s="103"/>
      <c r="B2281" s="25"/>
      <c r="C2281" s="103"/>
      <c r="D2281" s="24"/>
      <c r="E2281" s="24"/>
      <c r="F2281" s="103"/>
      <c r="G2281" s="114"/>
      <c r="I2281" s="40"/>
      <c r="J2281" s="40"/>
      <c r="M2281" s="40"/>
      <c r="N2281" s="40"/>
    </row>
    <row r="2282" spans="1:14" ht="15.75" customHeight="1" x14ac:dyDescent="0.25">
      <c r="A2282" s="103"/>
      <c r="B2282" s="25"/>
      <c r="C2282" s="103"/>
      <c r="D2282" s="24"/>
      <c r="E2282" s="24"/>
      <c r="F2282" s="103"/>
      <c r="G2282" s="114"/>
      <c r="I2282" s="40"/>
      <c r="J2282" s="40"/>
      <c r="M2282" s="40"/>
      <c r="N2282" s="40"/>
    </row>
    <row r="2283" spans="1:14" ht="15.75" customHeight="1" x14ac:dyDescent="0.25">
      <c r="A2283" s="103"/>
      <c r="B2283" s="25"/>
      <c r="C2283" s="103"/>
      <c r="D2283" s="24"/>
      <c r="E2283" s="24"/>
      <c r="F2283" s="103"/>
      <c r="G2283" s="114"/>
      <c r="I2283" s="40"/>
      <c r="J2283" s="40"/>
      <c r="M2283" s="40"/>
      <c r="N2283" s="40"/>
    </row>
    <row r="2284" spans="1:14" ht="15.75" customHeight="1" x14ac:dyDescent="0.25">
      <c r="A2284" s="103"/>
      <c r="B2284" s="25"/>
      <c r="C2284" s="103"/>
      <c r="D2284" s="24"/>
      <c r="E2284" s="24"/>
      <c r="F2284" s="103"/>
      <c r="G2284" s="114"/>
      <c r="I2284" s="40"/>
      <c r="J2284" s="40"/>
      <c r="M2284" s="40"/>
      <c r="N2284" s="40"/>
    </row>
    <row r="2285" spans="1:14" ht="15.75" customHeight="1" x14ac:dyDescent="0.25">
      <c r="A2285" s="103"/>
      <c r="B2285" s="25"/>
      <c r="C2285" s="103"/>
      <c r="D2285" s="24"/>
      <c r="E2285" s="24"/>
      <c r="F2285" s="103"/>
      <c r="G2285" s="114"/>
      <c r="I2285" s="40"/>
      <c r="J2285" s="40"/>
      <c r="M2285" s="40"/>
      <c r="N2285" s="40"/>
    </row>
    <row r="2286" spans="1:14" ht="15.75" customHeight="1" x14ac:dyDescent="0.25">
      <c r="A2286" s="103"/>
      <c r="B2286" s="25"/>
      <c r="C2286" s="103"/>
      <c r="D2286" s="24"/>
      <c r="E2286" s="24"/>
      <c r="F2286" s="103"/>
      <c r="G2286" s="114"/>
      <c r="I2286" s="40"/>
      <c r="J2286" s="40"/>
      <c r="M2286" s="40"/>
      <c r="N2286" s="40"/>
    </row>
    <row r="2287" spans="1:14" ht="15.75" customHeight="1" x14ac:dyDescent="0.25">
      <c r="A2287" s="103"/>
      <c r="B2287" s="25"/>
      <c r="C2287" s="103"/>
      <c r="D2287" s="24"/>
      <c r="E2287" s="24"/>
      <c r="F2287" s="103"/>
      <c r="G2287" s="114"/>
      <c r="I2287" s="40"/>
      <c r="J2287" s="40"/>
      <c r="M2287" s="40"/>
      <c r="N2287" s="40"/>
    </row>
    <row r="2288" spans="1:14" ht="15.75" customHeight="1" x14ac:dyDescent="0.25">
      <c r="A2288" s="103"/>
      <c r="B2288" s="25"/>
      <c r="C2288" s="103"/>
      <c r="D2288" s="24"/>
      <c r="E2288" s="24"/>
      <c r="F2288" s="103"/>
      <c r="G2288" s="114"/>
      <c r="I2288" s="40"/>
      <c r="J2288" s="40"/>
      <c r="M2288" s="40"/>
      <c r="N2288" s="40"/>
    </row>
    <row r="2289" spans="1:14" ht="15.75" customHeight="1" x14ac:dyDescent="0.25">
      <c r="A2289" s="103"/>
      <c r="B2289" s="25"/>
      <c r="C2289" s="103"/>
      <c r="D2289" s="24"/>
      <c r="E2289" s="24"/>
      <c r="F2289" s="103"/>
      <c r="G2289" s="114"/>
      <c r="I2289" s="40"/>
      <c r="J2289" s="40"/>
      <c r="M2289" s="40"/>
      <c r="N2289" s="40"/>
    </row>
    <row r="2290" spans="1:14" ht="15.75" customHeight="1" x14ac:dyDescent="0.25">
      <c r="A2290" s="103"/>
      <c r="B2290" s="25"/>
      <c r="C2290" s="103"/>
      <c r="D2290" s="24"/>
      <c r="E2290" s="24"/>
      <c r="F2290" s="103"/>
      <c r="G2290" s="114"/>
      <c r="I2290" s="40"/>
      <c r="J2290" s="40"/>
      <c r="M2290" s="40"/>
      <c r="N2290" s="40"/>
    </row>
    <row r="2291" spans="1:14" ht="15.75" customHeight="1" x14ac:dyDescent="0.25">
      <c r="A2291" s="103"/>
      <c r="B2291" s="25"/>
      <c r="C2291" s="103"/>
      <c r="D2291" s="24"/>
      <c r="E2291" s="24"/>
      <c r="F2291" s="103"/>
      <c r="G2291" s="114"/>
      <c r="I2291" s="40"/>
      <c r="J2291" s="40"/>
      <c r="M2291" s="40"/>
      <c r="N2291" s="40"/>
    </row>
    <row r="2292" spans="1:14" ht="15.75" customHeight="1" x14ac:dyDescent="0.25">
      <c r="A2292" s="103"/>
      <c r="B2292" s="25"/>
      <c r="C2292" s="103"/>
      <c r="D2292" s="24"/>
      <c r="E2292" s="24"/>
      <c r="F2292" s="103"/>
      <c r="G2292" s="114"/>
      <c r="I2292" s="40"/>
      <c r="J2292" s="40"/>
      <c r="M2292" s="40"/>
      <c r="N2292" s="40"/>
    </row>
    <row r="2293" spans="1:14" ht="15.75" customHeight="1" x14ac:dyDescent="0.25">
      <c r="A2293" s="103"/>
      <c r="B2293" s="25"/>
      <c r="C2293" s="103"/>
      <c r="D2293" s="24"/>
      <c r="E2293" s="24"/>
      <c r="F2293" s="103"/>
      <c r="G2293" s="114"/>
      <c r="I2293" s="40"/>
      <c r="J2293" s="40"/>
      <c r="M2293" s="40"/>
      <c r="N2293" s="40"/>
    </row>
    <row r="2294" spans="1:14" ht="15.75" customHeight="1" x14ac:dyDescent="0.25">
      <c r="A2294" s="103"/>
      <c r="B2294" s="25"/>
      <c r="C2294" s="103"/>
      <c r="D2294" s="24"/>
      <c r="E2294" s="24"/>
      <c r="F2294" s="103"/>
      <c r="G2294" s="114"/>
      <c r="I2294" s="40"/>
      <c r="J2294" s="40"/>
      <c r="M2294" s="40"/>
      <c r="N2294" s="40"/>
    </row>
    <row r="2295" spans="1:14" ht="15.75" customHeight="1" x14ac:dyDescent="0.25">
      <c r="A2295" s="103"/>
      <c r="B2295" s="25"/>
      <c r="C2295" s="103"/>
      <c r="D2295" s="24"/>
      <c r="E2295" s="24"/>
      <c r="F2295" s="103"/>
      <c r="G2295" s="114"/>
      <c r="I2295" s="40"/>
      <c r="J2295" s="40"/>
      <c r="M2295" s="40"/>
      <c r="N2295" s="40"/>
    </row>
    <row r="2296" spans="1:14" ht="15.75" customHeight="1" x14ac:dyDescent="0.25">
      <c r="A2296" s="103"/>
      <c r="B2296" s="25"/>
      <c r="C2296" s="103"/>
      <c r="D2296" s="24"/>
      <c r="E2296" s="24"/>
      <c r="F2296" s="103"/>
      <c r="G2296" s="114"/>
      <c r="I2296" s="40"/>
      <c r="J2296" s="40"/>
      <c r="M2296" s="40"/>
      <c r="N2296" s="40"/>
    </row>
    <row r="2297" spans="1:14" ht="15.75" customHeight="1" x14ac:dyDescent="0.25">
      <c r="A2297" s="103"/>
      <c r="B2297" s="25"/>
      <c r="C2297" s="103"/>
      <c r="D2297" s="24"/>
      <c r="E2297" s="24"/>
      <c r="F2297" s="103"/>
      <c r="G2297" s="114"/>
      <c r="I2297" s="40"/>
      <c r="J2297" s="40"/>
      <c r="M2297" s="40"/>
      <c r="N2297" s="40"/>
    </row>
    <row r="2298" spans="1:14" ht="15.75" customHeight="1" x14ac:dyDescent="0.25">
      <c r="A2298" s="103"/>
      <c r="B2298" s="25"/>
      <c r="C2298" s="103"/>
      <c r="D2298" s="24"/>
      <c r="E2298" s="24"/>
      <c r="F2298" s="103"/>
      <c r="G2298" s="114"/>
      <c r="I2298" s="40"/>
      <c r="J2298" s="40"/>
      <c r="M2298" s="40"/>
      <c r="N2298" s="40"/>
    </row>
    <row r="2299" spans="1:14" ht="15.75" customHeight="1" x14ac:dyDescent="0.25">
      <c r="A2299" s="103"/>
      <c r="B2299" s="25"/>
      <c r="C2299" s="103"/>
      <c r="D2299" s="24"/>
      <c r="E2299" s="24"/>
      <c r="F2299" s="103"/>
      <c r="G2299" s="114"/>
      <c r="I2299" s="40"/>
      <c r="J2299" s="40"/>
      <c r="M2299" s="40"/>
      <c r="N2299" s="40"/>
    </row>
    <row r="2300" spans="1:14" ht="15.75" customHeight="1" x14ac:dyDescent="0.25">
      <c r="A2300" s="103"/>
      <c r="B2300" s="25"/>
      <c r="C2300" s="103"/>
      <c r="D2300" s="24"/>
      <c r="E2300" s="24"/>
      <c r="F2300" s="103"/>
      <c r="G2300" s="114"/>
      <c r="I2300" s="40"/>
      <c r="J2300" s="40"/>
      <c r="M2300" s="40"/>
      <c r="N2300" s="40"/>
    </row>
    <row r="2301" spans="1:14" ht="15.75" customHeight="1" x14ac:dyDescent="0.25">
      <c r="A2301" s="103"/>
      <c r="B2301" s="25"/>
      <c r="C2301" s="103"/>
      <c r="D2301" s="24"/>
      <c r="E2301" s="24"/>
      <c r="F2301" s="103"/>
      <c r="G2301" s="114"/>
      <c r="I2301" s="40"/>
      <c r="J2301" s="40"/>
      <c r="M2301" s="40"/>
      <c r="N2301" s="40"/>
    </row>
    <row r="2302" spans="1:14" ht="15.75" customHeight="1" x14ac:dyDescent="0.25">
      <c r="A2302" s="103"/>
      <c r="B2302" s="25"/>
      <c r="C2302" s="103"/>
      <c r="D2302" s="24"/>
      <c r="E2302" s="24"/>
      <c r="F2302" s="103"/>
      <c r="G2302" s="114"/>
      <c r="I2302" s="40"/>
      <c r="J2302" s="40"/>
      <c r="M2302" s="40"/>
      <c r="N2302" s="40"/>
    </row>
    <row r="2303" spans="1:14" ht="15.75" customHeight="1" x14ac:dyDescent="0.25">
      <c r="A2303" s="103"/>
      <c r="B2303" s="25"/>
      <c r="C2303" s="103"/>
      <c r="D2303" s="24"/>
      <c r="E2303" s="24"/>
      <c r="F2303" s="103"/>
      <c r="G2303" s="114"/>
      <c r="I2303" s="40"/>
      <c r="J2303" s="40"/>
      <c r="M2303" s="40"/>
      <c r="N2303" s="40"/>
    </row>
    <row r="2304" spans="1:14" ht="15.75" customHeight="1" x14ac:dyDescent="0.25">
      <c r="A2304" s="103"/>
      <c r="B2304" s="25"/>
      <c r="C2304" s="103"/>
      <c r="D2304" s="24"/>
      <c r="E2304" s="24"/>
      <c r="F2304" s="103"/>
      <c r="G2304" s="114"/>
      <c r="I2304" s="40"/>
      <c r="J2304" s="40"/>
      <c r="M2304" s="40"/>
      <c r="N2304" s="40"/>
    </row>
    <row r="2305" spans="1:14" ht="15.75" customHeight="1" x14ac:dyDescent="0.25">
      <c r="A2305" s="103"/>
      <c r="B2305" s="25"/>
      <c r="C2305" s="103"/>
      <c r="D2305" s="24"/>
      <c r="E2305" s="24"/>
      <c r="F2305" s="103"/>
      <c r="G2305" s="114"/>
      <c r="I2305" s="40"/>
      <c r="J2305" s="40"/>
      <c r="M2305" s="40"/>
      <c r="N2305" s="40"/>
    </row>
    <row r="2306" spans="1:14" ht="15.75" customHeight="1" x14ac:dyDescent="0.25">
      <c r="A2306" s="103"/>
      <c r="B2306" s="25"/>
      <c r="C2306" s="103"/>
      <c r="D2306" s="24"/>
      <c r="E2306" s="24"/>
      <c r="F2306" s="103"/>
      <c r="G2306" s="114"/>
      <c r="I2306" s="40"/>
      <c r="J2306" s="40"/>
      <c r="M2306" s="40"/>
      <c r="N2306" s="40"/>
    </row>
    <row r="2307" spans="1:14" ht="15.75" customHeight="1" x14ac:dyDescent="0.25">
      <c r="A2307" s="103"/>
      <c r="B2307" s="25"/>
      <c r="C2307" s="103"/>
      <c r="D2307" s="24"/>
      <c r="E2307" s="24"/>
      <c r="F2307" s="103"/>
      <c r="G2307" s="114"/>
      <c r="I2307" s="40"/>
      <c r="J2307" s="40"/>
      <c r="M2307" s="40"/>
      <c r="N2307" s="40"/>
    </row>
    <row r="2308" spans="1:14" ht="15.75" customHeight="1" x14ac:dyDescent="0.25">
      <c r="A2308" s="103"/>
      <c r="B2308" s="25"/>
      <c r="C2308" s="103"/>
      <c r="D2308" s="24"/>
      <c r="E2308" s="24"/>
      <c r="F2308" s="103"/>
      <c r="G2308" s="114"/>
      <c r="I2308" s="40"/>
      <c r="J2308" s="40"/>
      <c r="M2308" s="40"/>
      <c r="N2308" s="40"/>
    </row>
    <row r="2309" spans="1:14" ht="15.75" customHeight="1" x14ac:dyDescent="0.25">
      <c r="A2309" s="103"/>
      <c r="B2309" s="25"/>
      <c r="C2309" s="103"/>
      <c r="D2309" s="24"/>
      <c r="E2309" s="24"/>
      <c r="F2309" s="103"/>
      <c r="G2309" s="114"/>
      <c r="I2309" s="40"/>
      <c r="J2309" s="40"/>
      <c r="M2309" s="40"/>
      <c r="N2309" s="40"/>
    </row>
    <row r="2310" spans="1:14" ht="15.75" customHeight="1" x14ac:dyDescent="0.25">
      <c r="A2310" s="103"/>
      <c r="B2310" s="25"/>
      <c r="C2310" s="103"/>
      <c r="D2310" s="24"/>
      <c r="E2310" s="24"/>
      <c r="F2310" s="103"/>
      <c r="G2310" s="114"/>
      <c r="I2310" s="40"/>
      <c r="J2310" s="40"/>
      <c r="M2310" s="40"/>
      <c r="N2310" s="40"/>
    </row>
    <row r="2311" spans="1:14" ht="15.75" customHeight="1" x14ac:dyDescent="0.25">
      <c r="A2311" s="103"/>
      <c r="B2311" s="25"/>
      <c r="C2311" s="103"/>
      <c r="D2311" s="24"/>
      <c r="E2311" s="24"/>
      <c r="F2311" s="103"/>
      <c r="G2311" s="114"/>
      <c r="I2311" s="40"/>
      <c r="J2311" s="40"/>
      <c r="M2311" s="40"/>
      <c r="N2311" s="40"/>
    </row>
    <row r="2312" spans="1:14" ht="15.75" customHeight="1" x14ac:dyDescent="0.25">
      <c r="A2312" s="103"/>
      <c r="B2312" s="25"/>
      <c r="C2312" s="103"/>
      <c r="D2312" s="24"/>
      <c r="E2312" s="24"/>
      <c r="F2312" s="103"/>
      <c r="G2312" s="114"/>
      <c r="I2312" s="40"/>
      <c r="J2312" s="40"/>
      <c r="M2312" s="40"/>
      <c r="N2312" s="40"/>
    </row>
    <row r="2313" spans="1:14" ht="15.75" customHeight="1" x14ac:dyDescent="0.25">
      <c r="A2313" s="103"/>
      <c r="B2313" s="25"/>
      <c r="C2313" s="103"/>
      <c r="D2313" s="24"/>
      <c r="E2313" s="24"/>
      <c r="F2313" s="103"/>
      <c r="G2313" s="114"/>
      <c r="I2313" s="40"/>
      <c r="J2313" s="40"/>
      <c r="M2313" s="40"/>
      <c r="N2313" s="40"/>
    </row>
    <row r="2314" spans="1:14" ht="15.75" customHeight="1" x14ac:dyDescent="0.25">
      <c r="A2314" s="103"/>
      <c r="B2314" s="25"/>
      <c r="C2314" s="103"/>
      <c r="D2314" s="24"/>
      <c r="E2314" s="24"/>
      <c r="F2314" s="103"/>
      <c r="G2314" s="114"/>
      <c r="I2314" s="40"/>
      <c r="J2314" s="40"/>
      <c r="M2314" s="40"/>
      <c r="N2314" s="40"/>
    </row>
    <row r="2315" spans="1:14" ht="15.75" customHeight="1" x14ac:dyDescent="0.25">
      <c r="A2315" s="103"/>
      <c r="B2315" s="25"/>
      <c r="C2315" s="103"/>
      <c r="D2315" s="24"/>
      <c r="E2315" s="24"/>
      <c r="F2315" s="103"/>
      <c r="G2315" s="114"/>
      <c r="I2315" s="40"/>
      <c r="J2315" s="40"/>
      <c r="M2315" s="40"/>
      <c r="N2315" s="40"/>
    </row>
    <row r="2316" spans="1:14" ht="15.75" customHeight="1" x14ac:dyDescent="0.25">
      <c r="A2316" s="103"/>
      <c r="B2316" s="25"/>
      <c r="C2316" s="103"/>
      <c r="D2316" s="24"/>
      <c r="E2316" s="24"/>
      <c r="F2316" s="103"/>
      <c r="G2316" s="114"/>
      <c r="I2316" s="40"/>
      <c r="J2316" s="40"/>
      <c r="M2316" s="40"/>
      <c r="N2316" s="40"/>
    </row>
    <row r="2317" spans="1:14" ht="15.75" customHeight="1" x14ac:dyDescent="0.25">
      <c r="A2317" s="103"/>
      <c r="B2317" s="25"/>
      <c r="C2317" s="103"/>
      <c r="D2317" s="24"/>
      <c r="E2317" s="24"/>
      <c r="F2317" s="103"/>
      <c r="G2317" s="114"/>
      <c r="I2317" s="40"/>
      <c r="J2317" s="40"/>
      <c r="M2317" s="40"/>
      <c r="N2317" s="40"/>
    </row>
    <row r="2318" spans="1:14" ht="15.75" customHeight="1" x14ac:dyDescent="0.25">
      <c r="A2318" s="103"/>
      <c r="B2318" s="25"/>
      <c r="C2318" s="103"/>
      <c r="D2318" s="24"/>
      <c r="E2318" s="24"/>
      <c r="F2318" s="103"/>
      <c r="G2318" s="114"/>
      <c r="I2318" s="40"/>
      <c r="J2318" s="40"/>
      <c r="M2318" s="40"/>
      <c r="N2318" s="40"/>
    </row>
    <row r="2319" spans="1:14" ht="15.75" customHeight="1" x14ac:dyDescent="0.25">
      <c r="A2319" s="103"/>
      <c r="B2319" s="25"/>
      <c r="C2319" s="103"/>
      <c r="D2319" s="24"/>
      <c r="E2319" s="24"/>
      <c r="F2319" s="103"/>
      <c r="G2319" s="114"/>
      <c r="I2319" s="40"/>
      <c r="J2319" s="40"/>
      <c r="M2319" s="40"/>
      <c r="N2319" s="40"/>
    </row>
    <row r="2320" spans="1:14" ht="15.75" customHeight="1" x14ac:dyDescent="0.25">
      <c r="A2320" s="103"/>
      <c r="B2320" s="25"/>
      <c r="C2320" s="103"/>
      <c r="D2320" s="24"/>
      <c r="E2320" s="24"/>
      <c r="F2320" s="103"/>
      <c r="G2320" s="114"/>
      <c r="I2320" s="40"/>
      <c r="J2320" s="40"/>
      <c r="M2320" s="40"/>
      <c r="N2320" s="40"/>
    </row>
    <row r="2321" spans="1:14" ht="15.75" customHeight="1" x14ac:dyDescent="0.25">
      <c r="A2321" s="103"/>
      <c r="B2321" s="25"/>
      <c r="C2321" s="103"/>
      <c r="D2321" s="24"/>
      <c r="E2321" s="24"/>
      <c r="F2321" s="103"/>
      <c r="G2321" s="114"/>
      <c r="I2321" s="40"/>
      <c r="J2321" s="40"/>
      <c r="M2321" s="40"/>
      <c r="N2321" s="40"/>
    </row>
    <row r="2322" spans="1:14" ht="15.75" customHeight="1" x14ac:dyDescent="0.25">
      <c r="A2322" s="103"/>
      <c r="B2322" s="25"/>
      <c r="C2322" s="103"/>
      <c r="D2322" s="24"/>
      <c r="E2322" s="24"/>
      <c r="F2322" s="103"/>
      <c r="G2322" s="114"/>
      <c r="I2322" s="40"/>
      <c r="J2322" s="40"/>
      <c r="M2322" s="40"/>
      <c r="N2322" s="40"/>
    </row>
    <row r="2323" spans="1:14" ht="15.75" customHeight="1" x14ac:dyDescent="0.25">
      <c r="A2323" s="103"/>
      <c r="B2323" s="25"/>
      <c r="C2323" s="103"/>
      <c r="D2323" s="24"/>
      <c r="E2323" s="24"/>
      <c r="F2323" s="103"/>
      <c r="G2323" s="114"/>
      <c r="I2323" s="40"/>
      <c r="J2323" s="40"/>
      <c r="M2323" s="40"/>
      <c r="N2323" s="40"/>
    </row>
    <row r="2324" spans="1:14" ht="15.75" customHeight="1" x14ac:dyDescent="0.25">
      <c r="A2324" s="103"/>
      <c r="B2324" s="25"/>
      <c r="C2324" s="103"/>
      <c r="D2324" s="24"/>
      <c r="E2324" s="24"/>
      <c r="F2324" s="103"/>
      <c r="G2324" s="114"/>
      <c r="I2324" s="40"/>
      <c r="J2324" s="40"/>
      <c r="M2324" s="40"/>
      <c r="N2324" s="40"/>
    </row>
    <row r="2325" spans="1:14" ht="15.75" customHeight="1" x14ac:dyDescent="0.25">
      <c r="A2325" s="103"/>
      <c r="B2325" s="25"/>
      <c r="C2325" s="103"/>
      <c r="D2325" s="24"/>
      <c r="E2325" s="24"/>
      <c r="F2325" s="103"/>
      <c r="G2325" s="114"/>
      <c r="I2325" s="40"/>
      <c r="J2325" s="40"/>
      <c r="M2325" s="40"/>
      <c r="N2325" s="40"/>
    </row>
    <row r="2326" spans="1:14" ht="15.75" customHeight="1" x14ac:dyDescent="0.25">
      <c r="A2326" s="103"/>
      <c r="B2326" s="25"/>
      <c r="C2326" s="103"/>
      <c r="D2326" s="24"/>
      <c r="E2326" s="24"/>
      <c r="F2326" s="103"/>
      <c r="G2326" s="114"/>
      <c r="I2326" s="40"/>
      <c r="J2326" s="40"/>
      <c r="M2326" s="40"/>
      <c r="N2326" s="40"/>
    </row>
    <row r="2327" spans="1:14" ht="15.75" customHeight="1" x14ac:dyDescent="0.25">
      <c r="A2327" s="103"/>
      <c r="B2327" s="25"/>
      <c r="C2327" s="103"/>
      <c r="D2327" s="24"/>
      <c r="E2327" s="24"/>
      <c r="F2327" s="103"/>
      <c r="G2327" s="114"/>
      <c r="I2327" s="40"/>
      <c r="J2327" s="40"/>
      <c r="M2327" s="40"/>
      <c r="N2327" s="40"/>
    </row>
    <row r="2328" spans="1:14" ht="15.75" customHeight="1" x14ac:dyDescent="0.25">
      <c r="A2328" s="103"/>
      <c r="B2328" s="25"/>
      <c r="C2328" s="103"/>
      <c r="D2328" s="24"/>
      <c r="E2328" s="24"/>
      <c r="F2328" s="103"/>
      <c r="G2328" s="114"/>
      <c r="I2328" s="40"/>
      <c r="J2328" s="40"/>
      <c r="M2328" s="40"/>
      <c r="N2328" s="40"/>
    </row>
    <row r="2329" spans="1:14" ht="15.75" customHeight="1" x14ac:dyDescent="0.25">
      <c r="A2329" s="103"/>
      <c r="B2329" s="25"/>
      <c r="C2329" s="103"/>
      <c r="D2329" s="24"/>
      <c r="E2329" s="24"/>
      <c r="F2329" s="103"/>
      <c r="G2329" s="114"/>
      <c r="I2329" s="40"/>
      <c r="J2329" s="40"/>
      <c r="M2329" s="40"/>
      <c r="N2329" s="40"/>
    </row>
    <row r="2330" spans="1:14" ht="15.75" customHeight="1" x14ac:dyDescent="0.25">
      <c r="A2330" s="103"/>
      <c r="B2330" s="25"/>
      <c r="C2330" s="103"/>
      <c r="D2330" s="24"/>
      <c r="E2330" s="24"/>
      <c r="F2330" s="103"/>
      <c r="G2330" s="114"/>
      <c r="I2330" s="40"/>
      <c r="J2330" s="40"/>
      <c r="M2330" s="40"/>
      <c r="N2330" s="40"/>
    </row>
    <row r="2331" spans="1:14" ht="15.75" customHeight="1" x14ac:dyDescent="0.25">
      <c r="A2331" s="103"/>
      <c r="B2331" s="25"/>
      <c r="C2331" s="103"/>
      <c r="D2331" s="24"/>
      <c r="E2331" s="24"/>
      <c r="F2331" s="103"/>
      <c r="G2331" s="114"/>
      <c r="I2331" s="40"/>
      <c r="J2331" s="40"/>
      <c r="M2331" s="40"/>
      <c r="N2331" s="40"/>
    </row>
    <row r="2332" spans="1:14" ht="15.75" customHeight="1" x14ac:dyDescent="0.25">
      <c r="A2332" s="103"/>
      <c r="B2332" s="25"/>
      <c r="C2332" s="103"/>
      <c r="D2332" s="24"/>
      <c r="E2332" s="24"/>
      <c r="F2332" s="103"/>
      <c r="G2332" s="114"/>
      <c r="I2332" s="40"/>
      <c r="J2332" s="40"/>
      <c r="M2332" s="40"/>
      <c r="N2332" s="40"/>
    </row>
    <row r="2333" spans="1:14" ht="15.75" customHeight="1" x14ac:dyDescent="0.25">
      <c r="A2333" s="103"/>
      <c r="B2333" s="25"/>
      <c r="C2333" s="103"/>
      <c r="D2333" s="24"/>
      <c r="E2333" s="24"/>
      <c r="F2333" s="103"/>
      <c r="G2333" s="114"/>
      <c r="I2333" s="40"/>
      <c r="J2333" s="40"/>
      <c r="M2333" s="40"/>
      <c r="N2333" s="40"/>
    </row>
    <row r="2334" spans="1:14" ht="15.75" customHeight="1" x14ac:dyDescent="0.25">
      <c r="A2334" s="103"/>
      <c r="B2334" s="25"/>
      <c r="C2334" s="103"/>
      <c r="D2334" s="24"/>
      <c r="E2334" s="24"/>
      <c r="F2334" s="103"/>
      <c r="G2334" s="114"/>
      <c r="I2334" s="40"/>
      <c r="J2334" s="40"/>
      <c r="M2334" s="40"/>
      <c r="N2334" s="40"/>
    </row>
    <row r="2335" spans="1:14" ht="15.75" customHeight="1" x14ac:dyDescent="0.25">
      <c r="A2335" s="103"/>
      <c r="B2335" s="25"/>
      <c r="C2335" s="103"/>
      <c r="D2335" s="24"/>
      <c r="E2335" s="24"/>
      <c r="F2335" s="103"/>
      <c r="G2335" s="114"/>
      <c r="I2335" s="40"/>
      <c r="J2335" s="40"/>
      <c r="M2335" s="40"/>
      <c r="N2335" s="40"/>
    </row>
    <row r="2336" spans="1:14" ht="15.75" customHeight="1" x14ac:dyDescent="0.25">
      <c r="A2336" s="103"/>
      <c r="B2336" s="25"/>
      <c r="C2336" s="103"/>
      <c r="D2336" s="24"/>
      <c r="E2336" s="24"/>
      <c r="F2336" s="103"/>
      <c r="G2336" s="114"/>
      <c r="I2336" s="40"/>
      <c r="J2336" s="40"/>
      <c r="M2336" s="40"/>
      <c r="N2336" s="40"/>
    </row>
    <row r="2337" spans="1:14" ht="15.75" customHeight="1" x14ac:dyDescent="0.25">
      <c r="A2337" s="103"/>
      <c r="B2337" s="25"/>
      <c r="C2337" s="103"/>
      <c r="D2337" s="24"/>
      <c r="E2337" s="24"/>
      <c r="F2337" s="103"/>
      <c r="G2337" s="114"/>
      <c r="I2337" s="40"/>
      <c r="J2337" s="40"/>
      <c r="M2337" s="40"/>
      <c r="N2337" s="40"/>
    </row>
    <row r="2338" spans="1:14" ht="15.75" customHeight="1" x14ac:dyDescent="0.25">
      <c r="A2338" s="103"/>
      <c r="B2338" s="25"/>
      <c r="C2338" s="103"/>
      <c r="D2338" s="24"/>
      <c r="E2338" s="24"/>
      <c r="F2338" s="103"/>
      <c r="G2338" s="114"/>
      <c r="I2338" s="40"/>
      <c r="J2338" s="40"/>
      <c r="M2338" s="40"/>
      <c r="N2338" s="40"/>
    </row>
    <row r="2339" spans="1:14" ht="15.75" customHeight="1" x14ac:dyDescent="0.25">
      <c r="A2339" s="103"/>
      <c r="B2339" s="25"/>
      <c r="C2339" s="103"/>
      <c r="D2339" s="24"/>
      <c r="E2339" s="24"/>
      <c r="F2339" s="103"/>
      <c r="G2339" s="114"/>
      <c r="I2339" s="40"/>
      <c r="J2339" s="40"/>
      <c r="M2339" s="40"/>
      <c r="N2339" s="40"/>
    </row>
    <row r="2340" spans="1:14" ht="15.75" customHeight="1" x14ac:dyDescent="0.25">
      <c r="A2340" s="103"/>
      <c r="B2340" s="25"/>
      <c r="C2340" s="103"/>
      <c r="D2340" s="24"/>
      <c r="E2340" s="24"/>
      <c r="F2340" s="103"/>
      <c r="G2340" s="114"/>
      <c r="I2340" s="40"/>
      <c r="J2340" s="40"/>
      <c r="M2340" s="40"/>
      <c r="N2340" s="40"/>
    </row>
    <row r="2341" spans="1:14" ht="15.75" customHeight="1" x14ac:dyDescent="0.25">
      <c r="A2341" s="103"/>
      <c r="B2341" s="25"/>
      <c r="C2341" s="103"/>
      <c r="D2341" s="24"/>
      <c r="E2341" s="24"/>
      <c r="F2341" s="103"/>
      <c r="G2341" s="114"/>
      <c r="I2341" s="40"/>
      <c r="J2341" s="40"/>
      <c r="M2341" s="40"/>
      <c r="N2341" s="40"/>
    </row>
    <row r="2342" spans="1:14" ht="15.75" customHeight="1" x14ac:dyDescent="0.25">
      <c r="A2342" s="103"/>
      <c r="B2342" s="25"/>
      <c r="C2342" s="103"/>
      <c r="D2342" s="24"/>
      <c r="E2342" s="24"/>
      <c r="F2342" s="103"/>
      <c r="G2342" s="114"/>
      <c r="I2342" s="40"/>
      <c r="J2342" s="40"/>
      <c r="M2342" s="40"/>
      <c r="N2342" s="40"/>
    </row>
    <row r="2343" spans="1:14" ht="15.75" customHeight="1" x14ac:dyDescent="0.25">
      <c r="A2343" s="103"/>
      <c r="B2343" s="25"/>
      <c r="C2343" s="103"/>
      <c r="D2343" s="24"/>
      <c r="E2343" s="24"/>
      <c r="F2343" s="103"/>
      <c r="G2343" s="114"/>
      <c r="I2343" s="40"/>
      <c r="J2343" s="40"/>
      <c r="M2343" s="40"/>
      <c r="N2343" s="40"/>
    </row>
    <row r="2344" spans="1:14" ht="15.75" customHeight="1" x14ac:dyDescent="0.25">
      <c r="A2344" s="103"/>
      <c r="B2344" s="25"/>
      <c r="C2344" s="103"/>
      <c r="D2344" s="24"/>
      <c r="E2344" s="24"/>
      <c r="F2344" s="103"/>
      <c r="G2344" s="114"/>
      <c r="I2344" s="40"/>
      <c r="J2344" s="40"/>
      <c r="M2344" s="40"/>
      <c r="N2344" s="40"/>
    </row>
    <row r="2345" spans="1:14" ht="15.75" customHeight="1" x14ac:dyDescent="0.25">
      <c r="A2345" s="103"/>
      <c r="B2345" s="25"/>
      <c r="C2345" s="103"/>
      <c r="D2345" s="24"/>
      <c r="E2345" s="24"/>
      <c r="F2345" s="103"/>
      <c r="G2345" s="114"/>
      <c r="I2345" s="40"/>
      <c r="J2345" s="40"/>
      <c r="M2345" s="40"/>
      <c r="N2345" s="40"/>
    </row>
    <row r="2346" spans="1:14" ht="15.75" customHeight="1" x14ac:dyDescent="0.25">
      <c r="A2346" s="103"/>
      <c r="B2346" s="25"/>
      <c r="C2346" s="103"/>
      <c r="D2346" s="24"/>
      <c r="E2346" s="24"/>
      <c r="F2346" s="103"/>
      <c r="G2346" s="114"/>
      <c r="I2346" s="40"/>
      <c r="J2346" s="40"/>
      <c r="M2346" s="40"/>
      <c r="N2346" s="40"/>
    </row>
    <row r="2347" spans="1:14" ht="15.75" customHeight="1" x14ac:dyDescent="0.25">
      <c r="A2347" s="103"/>
      <c r="B2347" s="25"/>
      <c r="C2347" s="103"/>
      <c r="D2347" s="24"/>
      <c r="E2347" s="24"/>
      <c r="F2347" s="103"/>
      <c r="G2347" s="114"/>
      <c r="I2347" s="40"/>
      <c r="J2347" s="40"/>
      <c r="M2347" s="40"/>
      <c r="N2347" s="40"/>
    </row>
    <row r="2348" spans="1:14" ht="15.75" customHeight="1" x14ac:dyDescent="0.25">
      <c r="A2348" s="103"/>
      <c r="B2348" s="25"/>
      <c r="C2348" s="103"/>
      <c r="D2348" s="24"/>
      <c r="E2348" s="24"/>
      <c r="F2348" s="103"/>
      <c r="G2348" s="114"/>
      <c r="I2348" s="40"/>
      <c r="J2348" s="40"/>
      <c r="M2348" s="40"/>
      <c r="N2348" s="40"/>
    </row>
    <row r="2349" spans="1:14" ht="15.75" customHeight="1" x14ac:dyDescent="0.25">
      <c r="A2349" s="103"/>
      <c r="B2349" s="25"/>
      <c r="C2349" s="103"/>
      <c r="D2349" s="24"/>
      <c r="E2349" s="24"/>
      <c r="F2349" s="103"/>
      <c r="G2349" s="114"/>
      <c r="I2349" s="40"/>
      <c r="J2349" s="40"/>
      <c r="M2349" s="40"/>
      <c r="N2349" s="40"/>
    </row>
    <row r="2350" spans="1:14" ht="15.75" customHeight="1" x14ac:dyDescent="0.25">
      <c r="A2350" s="103"/>
      <c r="B2350" s="25"/>
      <c r="C2350" s="103"/>
      <c r="D2350" s="24"/>
      <c r="E2350" s="24"/>
      <c r="F2350" s="103"/>
      <c r="G2350" s="114"/>
      <c r="I2350" s="40"/>
      <c r="J2350" s="40"/>
      <c r="M2350" s="40"/>
      <c r="N2350" s="40"/>
    </row>
    <row r="2351" spans="1:14" ht="15.75" customHeight="1" x14ac:dyDescent="0.25">
      <c r="A2351" s="103"/>
      <c r="B2351" s="25"/>
      <c r="C2351" s="103"/>
      <c r="D2351" s="24"/>
      <c r="E2351" s="24"/>
      <c r="F2351" s="103"/>
      <c r="G2351" s="114"/>
      <c r="I2351" s="40"/>
      <c r="J2351" s="40"/>
      <c r="M2351" s="40"/>
      <c r="N2351" s="40"/>
    </row>
    <row r="2352" spans="1:14" ht="15.75" customHeight="1" x14ac:dyDescent="0.25">
      <c r="A2352" s="103"/>
      <c r="B2352" s="25"/>
      <c r="C2352" s="103"/>
      <c r="D2352" s="24"/>
      <c r="E2352" s="24"/>
      <c r="F2352" s="103"/>
      <c r="G2352" s="114"/>
      <c r="I2352" s="40"/>
      <c r="J2352" s="40"/>
      <c r="M2352" s="40"/>
      <c r="N2352" s="40"/>
    </row>
    <row r="2353" spans="1:14" ht="15.75" customHeight="1" x14ac:dyDescent="0.25">
      <c r="A2353" s="103"/>
      <c r="B2353" s="25"/>
      <c r="C2353" s="103"/>
      <c r="D2353" s="24"/>
      <c r="E2353" s="24"/>
      <c r="F2353" s="103"/>
      <c r="G2353" s="114"/>
      <c r="I2353" s="40"/>
      <c r="J2353" s="40"/>
      <c r="M2353" s="40"/>
      <c r="N2353" s="40"/>
    </row>
    <row r="2354" spans="1:14" ht="15.75" customHeight="1" x14ac:dyDescent="0.25">
      <c r="A2354" s="103"/>
      <c r="B2354" s="25"/>
      <c r="C2354" s="103"/>
      <c r="D2354" s="24"/>
      <c r="E2354" s="24"/>
      <c r="F2354" s="103"/>
      <c r="G2354" s="114"/>
      <c r="I2354" s="40"/>
      <c r="J2354" s="40"/>
      <c r="M2354" s="40"/>
      <c r="N2354" s="40"/>
    </row>
    <row r="2355" spans="1:14" ht="15.75" customHeight="1" x14ac:dyDescent="0.25">
      <c r="A2355" s="103"/>
      <c r="B2355" s="25"/>
      <c r="C2355" s="103"/>
      <c r="D2355" s="24"/>
      <c r="E2355" s="24"/>
      <c r="F2355" s="103"/>
      <c r="G2355" s="114"/>
      <c r="I2355" s="40"/>
      <c r="J2355" s="40"/>
      <c r="M2355" s="40"/>
      <c r="N2355" s="40"/>
    </row>
    <row r="2356" spans="1:14" ht="15.75" customHeight="1" x14ac:dyDescent="0.25">
      <c r="A2356" s="103"/>
      <c r="B2356" s="25"/>
      <c r="C2356" s="103"/>
      <c r="D2356" s="24"/>
      <c r="E2356" s="24"/>
      <c r="F2356" s="103"/>
      <c r="G2356" s="114"/>
      <c r="I2356" s="40"/>
      <c r="J2356" s="40"/>
      <c r="M2356" s="40"/>
      <c r="N2356" s="40"/>
    </row>
    <row r="2357" spans="1:14" ht="15.75" customHeight="1" x14ac:dyDescent="0.25">
      <c r="A2357" s="103"/>
      <c r="B2357" s="25"/>
      <c r="C2357" s="103"/>
      <c r="D2357" s="24"/>
      <c r="E2357" s="24"/>
      <c r="F2357" s="103"/>
      <c r="G2357" s="114"/>
      <c r="I2357" s="40"/>
      <c r="J2357" s="40"/>
      <c r="M2357" s="40"/>
      <c r="N2357" s="40"/>
    </row>
    <row r="2358" spans="1:14" ht="15.75" customHeight="1" x14ac:dyDescent="0.25">
      <c r="A2358" s="103"/>
      <c r="B2358" s="25"/>
      <c r="C2358" s="103"/>
      <c r="D2358" s="24"/>
      <c r="E2358" s="24"/>
      <c r="F2358" s="103"/>
      <c r="G2358" s="114"/>
      <c r="I2358" s="40"/>
      <c r="J2358" s="40"/>
      <c r="M2358" s="40"/>
      <c r="N2358" s="40"/>
    </row>
    <row r="2359" spans="1:14" ht="15.75" customHeight="1" x14ac:dyDescent="0.25">
      <c r="A2359" s="103"/>
      <c r="B2359" s="25"/>
      <c r="C2359" s="103"/>
      <c r="D2359" s="24"/>
      <c r="E2359" s="24"/>
      <c r="F2359" s="103"/>
      <c r="G2359" s="114"/>
      <c r="I2359" s="40"/>
      <c r="J2359" s="40"/>
      <c r="M2359" s="40"/>
      <c r="N2359" s="40"/>
    </row>
    <row r="2360" spans="1:14" ht="15.75" customHeight="1" x14ac:dyDescent="0.25">
      <c r="A2360" s="103"/>
      <c r="B2360" s="25"/>
      <c r="C2360" s="103"/>
      <c r="D2360" s="24"/>
      <c r="E2360" s="24"/>
      <c r="F2360" s="103"/>
      <c r="G2360" s="114"/>
      <c r="I2360" s="40"/>
      <c r="J2360" s="40"/>
      <c r="M2360" s="40"/>
      <c r="N2360" s="40"/>
    </row>
    <row r="2361" spans="1:14" ht="15.75" customHeight="1" x14ac:dyDescent="0.25">
      <c r="A2361" s="103"/>
      <c r="B2361" s="25"/>
      <c r="C2361" s="103"/>
      <c r="D2361" s="24"/>
      <c r="E2361" s="24"/>
      <c r="F2361" s="103"/>
      <c r="G2361" s="114"/>
      <c r="I2361" s="40"/>
      <c r="J2361" s="40"/>
      <c r="M2361" s="40"/>
      <c r="N2361" s="40"/>
    </row>
    <row r="2362" spans="1:14" ht="15.75" customHeight="1" x14ac:dyDescent="0.25">
      <c r="A2362" s="103"/>
      <c r="B2362" s="25"/>
      <c r="C2362" s="103"/>
      <c r="D2362" s="24"/>
      <c r="E2362" s="24"/>
      <c r="F2362" s="103"/>
      <c r="G2362" s="114"/>
      <c r="I2362" s="40"/>
      <c r="J2362" s="40"/>
      <c r="M2362" s="40"/>
      <c r="N2362" s="40"/>
    </row>
    <row r="2363" spans="1:14" ht="15.75" customHeight="1" x14ac:dyDescent="0.25">
      <c r="A2363" s="103"/>
      <c r="B2363" s="25"/>
      <c r="C2363" s="103"/>
      <c r="D2363" s="24"/>
      <c r="E2363" s="24"/>
      <c r="F2363" s="103"/>
      <c r="G2363" s="114"/>
      <c r="I2363" s="40"/>
      <c r="J2363" s="40"/>
      <c r="M2363" s="40"/>
      <c r="N2363" s="40"/>
    </row>
    <row r="2364" spans="1:14" ht="15.75" customHeight="1" x14ac:dyDescent="0.25">
      <c r="A2364" s="103"/>
      <c r="B2364" s="25"/>
      <c r="C2364" s="103"/>
      <c r="D2364" s="24"/>
      <c r="E2364" s="24"/>
      <c r="F2364" s="103"/>
      <c r="G2364" s="114"/>
      <c r="I2364" s="40"/>
      <c r="J2364" s="40"/>
      <c r="M2364" s="40"/>
      <c r="N2364" s="40"/>
    </row>
    <row r="2365" spans="1:14" ht="15.75" customHeight="1" x14ac:dyDescent="0.25">
      <c r="A2365" s="103"/>
      <c r="B2365" s="25"/>
      <c r="C2365" s="103"/>
      <c r="D2365" s="24"/>
      <c r="E2365" s="24"/>
      <c r="F2365" s="103"/>
      <c r="G2365" s="114"/>
      <c r="I2365" s="40"/>
      <c r="J2365" s="40"/>
      <c r="M2365" s="40"/>
      <c r="N2365" s="40"/>
    </row>
    <row r="2366" spans="1:14" ht="15.75" customHeight="1" x14ac:dyDescent="0.25">
      <c r="A2366" s="103"/>
      <c r="B2366" s="25"/>
      <c r="C2366" s="103"/>
      <c r="D2366" s="24"/>
      <c r="E2366" s="24"/>
      <c r="F2366" s="103"/>
      <c r="G2366" s="114"/>
      <c r="I2366" s="40"/>
      <c r="J2366" s="40"/>
      <c r="M2366" s="40"/>
      <c r="N2366" s="40"/>
    </row>
    <row r="2367" spans="1:14" ht="15.75" customHeight="1" x14ac:dyDescent="0.25">
      <c r="A2367" s="103"/>
      <c r="B2367" s="25"/>
      <c r="C2367" s="103"/>
      <c r="D2367" s="24"/>
      <c r="E2367" s="24"/>
      <c r="F2367" s="103"/>
      <c r="G2367" s="114"/>
      <c r="I2367" s="40"/>
      <c r="J2367" s="40"/>
      <c r="M2367" s="40"/>
      <c r="N2367" s="40"/>
    </row>
    <row r="2368" spans="1:14" ht="15.75" customHeight="1" x14ac:dyDescent="0.25">
      <c r="A2368" s="103"/>
      <c r="B2368" s="25"/>
      <c r="C2368" s="103"/>
      <c r="D2368" s="24"/>
      <c r="E2368" s="24"/>
      <c r="F2368" s="103"/>
      <c r="G2368" s="114"/>
      <c r="I2368" s="40"/>
      <c r="J2368" s="40"/>
      <c r="M2368" s="40"/>
      <c r="N2368" s="40"/>
    </row>
    <row r="2369" spans="1:14" ht="15.75" customHeight="1" x14ac:dyDescent="0.25">
      <c r="A2369" s="103"/>
      <c r="B2369" s="25"/>
      <c r="C2369" s="103"/>
      <c r="D2369" s="24"/>
      <c r="E2369" s="24"/>
      <c r="F2369" s="103"/>
      <c r="G2369" s="114"/>
      <c r="I2369" s="40"/>
      <c r="J2369" s="40"/>
      <c r="M2369" s="40"/>
      <c r="N2369" s="40"/>
    </row>
    <row r="2370" spans="1:14" ht="15.75" customHeight="1" x14ac:dyDescent="0.25">
      <c r="A2370" s="103"/>
      <c r="B2370" s="25"/>
      <c r="C2370" s="103"/>
      <c r="D2370" s="24"/>
      <c r="E2370" s="24"/>
      <c r="F2370" s="103"/>
      <c r="G2370" s="114"/>
      <c r="I2370" s="40"/>
      <c r="J2370" s="40"/>
      <c r="M2370" s="40"/>
      <c r="N2370" s="40"/>
    </row>
    <row r="2371" spans="1:14" ht="15.75" customHeight="1" x14ac:dyDescent="0.25">
      <c r="A2371" s="103"/>
      <c r="B2371" s="25"/>
      <c r="C2371" s="103"/>
      <c r="D2371" s="24"/>
      <c r="E2371" s="24"/>
      <c r="F2371" s="103"/>
      <c r="G2371" s="114"/>
      <c r="I2371" s="40"/>
      <c r="J2371" s="40"/>
      <c r="M2371" s="40"/>
      <c r="N2371" s="40"/>
    </row>
    <row r="2372" spans="1:14" ht="15.75" customHeight="1" x14ac:dyDescent="0.25">
      <c r="A2372" s="103"/>
      <c r="B2372" s="25"/>
      <c r="C2372" s="103"/>
      <c r="D2372" s="24"/>
      <c r="E2372" s="24"/>
      <c r="F2372" s="103"/>
      <c r="G2372" s="114"/>
      <c r="I2372" s="40"/>
      <c r="J2372" s="40"/>
      <c r="M2372" s="40"/>
      <c r="N2372" s="40"/>
    </row>
    <row r="2373" spans="1:14" ht="15.75" customHeight="1" x14ac:dyDescent="0.25">
      <c r="A2373" s="103"/>
      <c r="B2373" s="25"/>
      <c r="C2373" s="103"/>
      <c r="D2373" s="24"/>
      <c r="E2373" s="24"/>
      <c r="F2373" s="103"/>
      <c r="G2373" s="114"/>
      <c r="I2373" s="40"/>
      <c r="J2373" s="40"/>
      <c r="M2373" s="40"/>
      <c r="N2373" s="40"/>
    </row>
    <row r="2374" spans="1:14" ht="15.75" customHeight="1" x14ac:dyDescent="0.25">
      <c r="A2374" s="103"/>
      <c r="B2374" s="25"/>
      <c r="C2374" s="103"/>
      <c r="D2374" s="24"/>
      <c r="E2374" s="24"/>
      <c r="F2374" s="103"/>
      <c r="G2374" s="114"/>
      <c r="I2374" s="40"/>
      <c r="J2374" s="40"/>
      <c r="M2374" s="40"/>
      <c r="N2374" s="40"/>
    </row>
    <row r="2375" spans="1:14" ht="15.75" customHeight="1" x14ac:dyDescent="0.25">
      <c r="A2375" s="103"/>
      <c r="B2375" s="25"/>
      <c r="C2375" s="103"/>
      <c r="D2375" s="24"/>
      <c r="E2375" s="24"/>
      <c r="F2375" s="103"/>
      <c r="G2375" s="114"/>
      <c r="I2375" s="40"/>
      <c r="J2375" s="40"/>
      <c r="M2375" s="40"/>
      <c r="N2375" s="40"/>
    </row>
    <row r="2376" spans="1:14" ht="15.75" customHeight="1" x14ac:dyDescent="0.25">
      <c r="A2376" s="103"/>
      <c r="B2376" s="25"/>
      <c r="C2376" s="103"/>
      <c r="D2376" s="24"/>
      <c r="E2376" s="24"/>
      <c r="F2376" s="103"/>
      <c r="G2376" s="114"/>
      <c r="I2376" s="40"/>
      <c r="J2376" s="40"/>
      <c r="M2376" s="40"/>
      <c r="N2376" s="40"/>
    </row>
    <row r="2377" spans="1:14" ht="15.75" customHeight="1" x14ac:dyDescent="0.25">
      <c r="A2377" s="103"/>
      <c r="B2377" s="25"/>
      <c r="C2377" s="103"/>
      <c r="D2377" s="24"/>
      <c r="E2377" s="24"/>
      <c r="F2377" s="103"/>
      <c r="G2377" s="114"/>
      <c r="I2377" s="40"/>
      <c r="J2377" s="40"/>
      <c r="M2377" s="40"/>
      <c r="N2377" s="40"/>
    </row>
    <row r="2378" spans="1:14" ht="15.75" customHeight="1" x14ac:dyDescent="0.25">
      <c r="A2378" s="103"/>
      <c r="B2378" s="25"/>
      <c r="C2378" s="103"/>
      <c r="D2378" s="24"/>
      <c r="E2378" s="24"/>
      <c r="F2378" s="103"/>
      <c r="G2378" s="114"/>
      <c r="I2378" s="40"/>
      <c r="J2378" s="40"/>
      <c r="M2378" s="40"/>
      <c r="N2378" s="40"/>
    </row>
    <row r="2379" spans="1:14" ht="15.75" customHeight="1" x14ac:dyDescent="0.25">
      <c r="A2379" s="103"/>
      <c r="B2379" s="25"/>
      <c r="C2379" s="103"/>
      <c r="D2379" s="24"/>
      <c r="E2379" s="24"/>
      <c r="F2379" s="103"/>
      <c r="G2379" s="114"/>
      <c r="I2379" s="40"/>
      <c r="J2379" s="40"/>
      <c r="M2379" s="40"/>
      <c r="N2379" s="40"/>
    </row>
    <row r="2380" spans="1:14" ht="15.75" customHeight="1" x14ac:dyDescent="0.25">
      <c r="A2380" s="103"/>
      <c r="B2380" s="25"/>
      <c r="C2380" s="103"/>
      <c r="D2380" s="24"/>
      <c r="E2380" s="24"/>
      <c r="F2380" s="103"/>
      <c r="G2380" s="114"/>
      <c r="I2380" s="40"/>
      <c r="J2380" s="40"/>
      <c r="M2380" s="40"/>
      <c r="N2380" s="40"/>
    </row>
    <row r="2381" spans="1:14" ht="15.75" customHeight="1" x14ac:dyDescent="0.25">
      <c r="A2381" s="103"/>
      <c r="B2381" s="25"/>
      <c r="C2381" s="103"/>
      <c r="D2381" s="24"/>
      <c r="E2381" s="24"/>
      <c r="F2381" s="103"/>
      <c r="G2381" s="114"/>
      <c r="I2381" s="40"/>
      <c r="J2381" s="40"/>
      <c r="M2381" s="40"/>
      <c r="N2381" s="40"/>
    </row>
    <row r="2382" spans="1:14" ht="15.75" customHeight="1" x14ac:dyDescent="0.25">
      <c r="A2382" s="103"/>
      <c r="B2382" s="25"/>
      <c r="C2382" s="103"/>
      <c r="D2382" s="24"/>
      <c r="E2382" s="24"/>
      <c r="F2382" s="103"/>
      <c r="G2382" s="114"/>
      <c r="I2382" s="40"/>
      <c r="J2382" s="40"/>
      <c r="M2382" s="40"/>
      <c r="N2382" s="40"/>
    </row>
    <row r="2383" spans="1:14" ht="15.75" customHeight="1" x14ac:dyDescent="0.25">
      <c r="A2383" s="103"/>
      <c r="B2383" s="25"/>
      <c r="C2383" s="103"/>
      <c r="D2383" s="24"/>
      <c r="E2383" s="24"/>
      <c r="F2383" s="103"/>
      <c r="G2383" s="114"/>
      <c r="I2383" s="40"/>
      <c r="J2383" s="40"/>
      <c r="M2383" s="40"/>
      <c r="N2383" s="40"/>
    </row>
    <row r="2384" spans="1:14" ht="15.75" customHeight="1" x14ac:dyDescent="0.25">
      <c r="A2384" s="103"/>
      <c r="B2384" s="25"/>
      <c r="C2384" s="103"/>
      <c r="D2384" s="24"/>
      <c r="E2384" s="24"/>
      <c r="F2384" s="103"/>
      <c r="G2384" s="114"/>
      <c r="I2384" s="40"/>
      <c r="J2384" s="40"/>
      <c r="M2384" s="40"/>
      <c r="N2384" s="40"/>
    </row>
    <row r="2385" spans="1:14" ht="15.75" customHeight="1" x14ac:dyDescent="0.25">
      <c r="A2385" s="103"/>
      <c r="B2385" s="25"/>
      <c r="C2385" s="103"/>
      <c r="D2385" s="24"/>
      <c r="E2385" s="24"/>
      <c r="F2385" s="103"/>
      <c r="G2385" s="114"/>
      <c r="I2385" s="40"/>
      <c r="J2385" s="40"/>
      <c r="M2385" s="40"/>
      <c r="N2385" s="40"/>
    </row>
    <row r="2386" spans="1:14" ht="15.75" customHeight="1" x14ac:dyDescent="0.25">
      <c r="A2386" s="103"/>
      <c r="B2386" s="25"/>
      <c r="C2386" s="103"/>
      <c r="D2386" s="24"/>
      <c r="E2386" s="24"/>
      <c r="F2386" s="103"/>
      <c r="G2386" s="114"/>
      <c r="I2386" s="40"/>
      <c r="J2386" s="40"/>
      <c r="M2386" s="40"/>
      <c r="N2386" s="40"/>
    </row>
    <row r="2387" spans="1:14" ht="15.75" customHeight="1" x14ac:dyDescent="0.25">
      <c r="A2387" s="103"/>
      <c r="B2387" s="25"/>
      <c r="C2387" s="103"/>
      <c r="D2387" s="24"/>
      <c r="E2387" s="24"/>
      <c r="F2387" s="103"/>
      <c r="G2387" s="114"/>
      <c r="I2387" s="40"/>
      <c r="J2387" s="40"/>
      <c r="M2387" s="40"/>
      <c r="N2387" s="40"/>
    </row>
    <row r="2388" spans="1:14" ht="15.75" customHeight="1" x14ac:dyDescent="0.25">
      <c r="A2388" s="103"/>
      <c r="B2388" s="25"/>
      <c r="C2388" s="103"/>
      <c r="D2388" s="24"/>
      <c r="E2388" s="24"/>
      <c r="F2388" s="103"/>
      <c r="G2388" s="114"/>
      <c r="I2388" s="40"/>
      <c r="J2388" s="40"/>
      <c r="M2388" s="40"/>
      <c r="N2388" s="40"/>
    </row>
    <row r="2389" spans="1:14" ht="15.75" customHeight="1" x14ac:dyDescent="0.25">
      <c r="A2389" s="103"/>
      <c r="B2389" s="25"/>
      <c r="C2389" s="103"/>
      <c r="D2389" s="24"/>
      <c r="E2389" s="24"/>
      <c r="F2389" s="103"/>
      <c r="G2389" s="114"/>
      <c r="I2389" s="40"/>
      <c r="J2389" s="40"/>
      <c r="M2389" s="40"/>
      <c r="N2389" s="40"/>
    </row>
    <row r="2390" spans="1:14" ht="15.75" customHeight="1" x14ac:dyDescent="0.25">
      <c r="A2390" s="103"/>
      <c r="B2390" s="25"/>
      <c r="C2390" s="103"/>
      <c r="D2390" s="24"/>
      <c r="E2390" s="24"/>
      <c r="F2390" s="103"/>
      <c r="G2390" s="114"/>
      <c r="I2390" s="40"/>
      <c r="J2390" s="40"/>
      <c r="M2390" s="40"/>
      <c r="N2390" s="40"/>
    </row>
    <row r="2391" spans="1:14" ht="15.75" customHeight="1" x14ac:dyDescent="0.25">
      <c r="A2391" s="103"/>
      <c r="B2391" s="25"/>
      <c r="C2391" s="103"/>
      <c r="D2391" s="24"/>
      <c r="E2391" s="24"/>
      <c r="F2391" s="103"/>
      <c r="G2391" s="114"/>
      <c r="I2391" s="40"/>
      <c r="J2391" s="40"/>
      <c r="M2391" s="40"/>
      <c r="N2391" s="40"/>
    </row>
    <row r="2392" spans="1:14" ht="15.75" customHeight="1" x14ac:dyDescent="0.25">
      <c r="A2392" s="103"/>
      <c r="B2392" s="25"/>
      <c r="C2392" s="103"/>
      <c r="D2392" s="24"/>
      <c r="E2392" s="24"/>
      <c r="F2392" s="103"/>
      <c r="G2392" s="114"/>
      <c r="I2392" s="40"/>
      <c r="J2392" s="40"/>
      <c r="M2392" s="40"/>
      <c r="N2392" s="40"/>
    </row>
    <row r="2393" spans="1:14" ht="15.75" customHeight="1" x14ac:dyDescent="0.25">
      <c r="A2393" s="103"/>
      <c r="B2393" s="25"/>
      <c r="C2393" s="103"/>
      <c r="D2393" s="24"/>
      <c r="E2393" s="24"/>
      <c r="F2393" s="103"/>
      <c r="G2393" s="114"/>
      <c r="I2393" s="40"/>
      <c r="J2393" s="40"/>
      <c r="M2393" s="40"/>
      <c r="N2393" s="40"/>
    </row>
    <row r="2394" spans="1:14" ht="15.75" customHeight="1" x14ac:dyDescent="0.25">
      <c r="A2394" s="103"/>
      <c r="B2394" s="25"/>
      <c r="C2394" s="103"/>
      <c r="D2394" s="24"/>
      <c r="E2394" s="24"/>
      <c r="F2394" s="103"/>
      <c r="G2394" s="114"/>
      <c r="I2394" s="40"/>
      <c r="J2394" s="40"/>
      <c r="M2394" s="40"/>
      <c r="N2394" s="40"/>
    </row>
    <row r="2395" spans="1:14" ht="15.75" customHeight="1" x14ac:dyDescent="0.25">
      <c r="A2395" s="103"/>
      <c r="B2395" s="25"/>
      <c r="C2395" s="103"/>
      <c r="D2395" s="24"/>
      <c r="E2395" s="24"/>
      <c r="F2395" s="103"/>
      <c r="G2395" s="114"/>
      <c r="I2395" s="40"/>
      <c r="J2395" s="40"/>
      <c r="M2395" s="40"/>
      <c r="N2395" s="40"/>
    </row>
    <row r="2396" spans="1:14" ht="15.75" customHeight="1" x14ac:dyDescent="0.25">
      <c r="A2396" s="103"/>
      <c r="B2396" s="25"/>
      <c r="C2396" s="103"/>
      <c r="D2396" s="24"/>
      <c r="E2396" s="24"/>
      <c r="F2396" s="103"/>
      <c r="G2396" s="114"/>
      <c r="I2396" s="40"/>
      <c r="J2396" s="40"/>
      <c r="M2396" s="40"/>
      <c r="N2396" s="40"/>
    </row>
    <row r="2397" spans="1:14" ht="15.75" customHeight="1" x14ac:dyDescent="0.25">
      <c r="A2397" s="103"/>
      <c r="B2397" s="25"/>
      <c r="C2397" s="103"/>
      <c r="D2397" s="24"/>
      <c r="E2397" s="24"/>
      <c r="F2397" s="103"/>
      <c r="G2397" s="114"/>
      <c r="I2397" s="40"/>
      <c r="J2397" s="40"/>
      <c r="M2397" s="40"/>
      <c r="N2397" s="40"/>
    </row>
    <row r="2398" spans="1:14" ht="15.75" customHeight="1" x14ac:dyDescent="0.25">
      <c r="A2398" s="103"/>
      <c r="B2398" s="25"/>
      <c r="C2398" s="103"/>
      <c r="D2398" s="24"/>
      <c r="E2398" s="24"/>
      <c r="F2398" s="103"/>
      <c r="G2398" s="114"/>
      <c r="I2398" s="40"/>
      <c r="J2398" s="40"/>
      <c r="M2398" s="40"/>
      <c r="N2398" s="40"/>
    </row>
    <row r="2399" spans="1:14" ht="15.75" customHeight="1" x14ac:dyDescent="0.25">
      <c r="A2399" s="103"/>
      <c r="B2399" s="25"/>
      <c r="C2399" s="103"/>
      <c r="D2399" s="24"/>
      <c r="E2399" s="24"/>
      <c r="F2399" s="103"/>
      <c r="G2399" s="114"/>
      <c r="I2399" s="40"/>
      <c r="J2399" s="40"/>
      <c r="M2399" s="40"/>
      <c r="N2399" s="40"/>
    </row>
    <row r="2400" spans="1:14" ht="15.75" customHeight="1" x14ac:dyDescent="0.25">
      <c r="A2400" s="103"/>
      <c r="B2400" s="25"/>
      <c r="C2400" s="103"/>
      <c r="D2400" s="24"/>
      <c r="E2400" s="24"/>
      <c r="F2400" s="103"/>
      <c r="G2400" s="114"/>
      <c r="I2400" s="40"/>
      <c r="J2400" s="40"/>
      <c r="M2400" s="40"/>
      <c r="N2400" s="40"/>
    </row>
    <row r="2401" spans="1:14" ht="15.75" customHeight="1" x14ac:dyDescent="0.25">
      <c r="A2401" s="103"/>
      <c r="B2401" s="25"/>
      <c r="C2401" s="103"/>
      <c r="D2401" s="24"/>
      <c r="E2401" s="24"/>
      <c r="F2401" s="103"/>
      <c r="G2401" s="114"/>
      <c r="I2401" s="40"/>
      <c r="J2401" s="40"/>
      <c r="M2401" s="40"/>
      <c r="N2401" s="40"/>
    </row>
    <row r="2402" spans="1:14" ht="15.75" customHeight="1" x14ac:dyDescent="0.25">
      <c r="A2402" s="103"/>
      <c r="B2402" s="25"/>
      <c r="C2402" s="103"/>
      <c r="D2402" s="24"/>
      <c r="E2402" s="24"/>
      <c r="F2402" s="103"/>
      <c r="G2402" s="114"/>
      <c r="I2402" s="40"/>
      <c r="J2402" s="40"/>
      <c r="M2402" s="40"/>
      <c r="N2402" s="40"/>
    </row>
    <row r="2403" spans="1:14" ht="15.75" customHeight="1" x14ac:dyDescent="0.25">
      <c r="A2403" s="103"/>
      <c r="B2403" s="25"/>
      <c r="C2403" s="103"/>
      <c r="D2403" s="24"/>
      <c r="E2403" s="24"/>
      <c r="F2403" s="103"/>
      <c r="G2403" s="114"/>
      <c r="I2403" s="40"/>
      <c r="J2403" s="40"/>
      <c r="M2403" s="40"/>
      <c r="N2403" s="40"/>
    </row>
    <row r="2404" spans="1:14" ht="15.75" customHeight="1" x14ac:dyDescent="0.25">
      <c r="A2404" s="103"/>
      <c r="B2404" s="25"/>
      <c r="C2404" s="103"/>
      <c r="D2404" s="24"/>
      <c r="E2404" s="24"/>
      <c r="F2404" s="103"/>
      <c r="G2404" s="114"/>
      <c r="I2404" s="40"/>
      <c r="J2404" s="40"/>
      <c r="M2404" s="40"/>
      <c r="N2404" s="40"/>
    </row>
    <row r="2405" spans="1:14" ht="15.75" customHeight="1" x14ac:dyDescent="0.25">
      <c r="A2405" s="103"/>
      <c r="B2405" s="25"/>
      <c r="C2405" s="103"/>
      <c r="D2405" s="24"/>
      <c r="E2405" s="24"/>
      <c r="F2405" s="103"/>
      <c r="G2405" s="114"/>
      <c r="I2405" s="40"/>
      <c r="J2405" s="40"/>
      <c r="M2405" s="40"/>
      <c r="N2405" s="40"/>
    </row>
    <row r="2406" spans="1:14" ht="15.75" customHeight="1" x14ac:dyDescent="0.25">
      <c r="A2406" s="103"/>
      <c r="B2406" s="25"/>
      <c r="C2406" s="103"/>
      <c r="D2406" s="24"/>
      <c r="E2406" s="24"/>
      <c r="F2406" s="103"/>
      <c r="G2406" s="114"/>
      <c r="I2406" s="40"/>
      <c r="J2406" s="40"/>
      <c r="M2406" s="40"/>
      <c r="N2406" s="40"/>
    </row>
    <row r="2407" spans="1:14" ht="15.75" customHeight="1" x14ac:dyDescent="0.25">
      <c r="A2407" s="103"/>
      <c r="B2407" s="25"/>
      <c r="C2407" s="103"/>
      <c r="D2407" s="24"/>
      <c r="E2407" s="24"/>
      <c r="F2407" s="103"/>
      <c r="G2407" s="114"/>
      <c r="I2407" s="40"/>
      <c r="J2407" s="40"/>
      <c r="M2407" s="40"/>
      <c r="N2407" s="40"/>
    </row>
    <row r="2408" spans="1:14" ht="15.75" customHeight="1" x14ac:dyDescent="0.25">
      <c r="A2408" s="103"/>
      <c r="B2408" s="25"/>
      <c r="C2408" s="103"/>
      <c r="D2408" s="24"/>
      <c r="E2408" s="24"/>
      <c r="F2408" s="103"/>
      <c r="G2408" s="114"/>
      <c r="I2408" s="40"/>
      <c r="J2408" s="40"/>
      <c r="M2408" s="40"/>
      <c r="N2408" s="40"/>
    </row>
    <row r="2409" spans="1:14" ht="15.75" customHeight="1" x14ac:dyDescent="0.25">
      <c r="A2409" s="103"/>
      <c r="B2409" s="25"/>
      <c r="C2409" s="103"/>
      <c r="D2409" s="24"/>
      <c r="E2409" s="24"/>
      <c r="F2409" s="103"/>
      <c r="G2409" s="114"/>
      <c r="I2409" s="40"/>
      <c r="J2409" s="40"/>
      <c r="M2409" s="40"/>
      <c r="N2409" s="40"/>
    </row>
    <row r="2410" spans="1:14" ht="15.75" customHeight="1" x14ac:dyDescent="0.25">
      <c r="A2410" s="103"/>
      <c r="B2410" s="25"/>
      <c r="C2410" s="103"/>
      <c r="D2410" s="24"/>
      <c r="E2410" s="24"/>
      <c r="F2410" s="103"/>
      <c r="G2410" s="114"/>
      <c r="I2410" s="40"/>
      <c r="J2410" s="40"/>
      <c r="M2410" s="40"/>
      <c r="N2410" s="40"/>
    </row>
    <row r="2411" spans="1:14" ht="15.75" customHeight="1" x14ac:dyDescent="0.25">
      <c r="A2411" s="103"/>
      <c r="B2411" s="25"/>
      <c r="C2411" s="103"/>
      <c r="D2411" s="24"/>
      <c r="E2411" s="24"/>
      <c r="F2411" s="103"/>
      <c r="G2411" s="114"/>
      <c r="I2411" s="40"/>
      <c r="J2411" s="40"/>
      <c r="M2411" s="40"/>
      <c r="N2411" s="40"/>
    </row>
    <row r="2412" spans="1:14" ht="15.75" customHeight="1" x14ac:dyDescent="0.25">
      <c r="A2412" s="103"/>
      <c r="B2412" s="25"/>
      <c r="C2412" s="103"/>
      <c r="D2412" s="24"/>
      <c r="E2412" s="24"/>
      <c r="F2412" s="103"/>
      <c r="G2412" s="114"/>
      <c r="I2412" s="40"/>
      <c r="J2412" s="40"/>
      <c r="M2412" s="40"/>
      <c r="N2412" s="40"/>
    </row>
    <row r="2413" spans="1:14" ht="15.75" customHeight="1" x14ac:dyDescent="0.25">
      <c r="A2413" s="103"/>
      <c r="B2413" s="25"/>
      <c r="C2413" s="103"/>
      <c r="D2413" s="24"/>
      <c r="E2413" s="24"/>
      <c r="F2413" s="103"/>
      <c r="G2413" s="114"/>
      <c r="I2413" s="40"/>
      <c r="J2413" s="40"/>
      <c r="M2413" s="40"/>
      <c r="N2413" s="40"/>
    </row>
    <row r="2414" spans="1:14" ht="15.75" customHeight="1" x14ac:dyDescent="0.25">
      <c r="A2414" s="103"/>
      <c r="B2414" s="25"/>
      <c r="C2414" s="103"/>
      <c r="D2414" s="24"/>
      <c r="E2414" s="24"/>
      <c r="F2414" s="103"/>
      <c r="G2414" s="114"/>
      <c r="I2414" s="40"/>
      <c r="J2414" s="40"/>
      <c r="M2414" s="40"/>
      <c r="N2414" s="40"/>
    </row>
    <row r="2415" spans="1:14" ht="15.75" customHeight="1" x14ac:dyDescent="0.25">
      <c r="A2415" s="103"/>
      <c r="B2415" s="25"/>
      <c r="C2415" s="103"/>
      <c r="D2415" s="24"/>
      <c r="E2415" s="24"/>
      <c r="F2415" s="103"/>
      <c r="G2415" s="114"/>
      <c r="I2415" s="40"/>
      <c r="J2415" s="40"/>
      <c r="M2415" s="40"/>
      <c r="N2415" s="40"/>
    </row>
    <row r="2416" spans="1:14" ht="15.75" customHeight="1" x14ac:dyDescent="0.25">
      <c r="A2416" s="103"/>
      <c r="B2416" s="25"/>
      <c r="C2416" s="103"/>
      <c r="D2416" s="24"/>
      <c r="E2416" s="24"/>
      <c r="F2416" s="103"/>
      <c r="G2416" s="114"/>
      <c r="I2416" s="40"/>
      <c r="J2416" s="40"/>
      <c r="M2416" s="40"/>
      <c r="N2416" s="40"/>
    </row>
    <row r="2417" spans="1:14" ht="15.75" customHeight="1" x14ac:dyDescent="0.25">
      <c r="A2417" s="103"/>
      <c r="B2417" s="25"/>
      <c r="C2417" s="103"/>
      <c r="D2417" s="24"/>
      <c r="E2417" s="24"/>
      <c r="F2417" s="103"/>
      <c r="G2417" s="114"/>
      <c r="I2417" s="40"/>
      <c r="J2417" s="40"/>
      <c r="M2417" s="40"/>
      <c r="N2417" s="40"/>
    </row>
    <row r="2418" spans="1:14" ht="15.75" customHeight="1" x14ac:dyDescent="0.25">
      <c r="A2418" s="103"/>
      <c r="B2418" s="25"/>
      <c r="C2418" s="103"/>
      <c r="D2418" s="24"/>
      <c r="E2418" s="24"/>
      <c r="F2418" s="103"/>
      <c r="G2418" s="114"/>
      <c r="I2418" s="40"/>
      <c r="J2418" s="40"/>
      <c r="M2418" s="40"/>
      <c r="N2418" s="40"/>
    </row>
    <row r="2419" spans="1:14" ht="15.75" customHeight="1" x14ac:dyDescent="0.25">
      <c r="A2419" s="103"/>
      <c r="B2419" s="25"/>
      <c r="C2419" s="103"/>
      <c r="D2419" s="24"/>
      <c r="E2419" s="24"/>
      <c r="F2419" s="103"/>
      <c r="G2419" s="114"/>
      <c r="I2419" s="40"/>
      <c r="J2419" s="40"/>
      <c r="M2419" s="40"/>
      <c r="N2419" s="40"/>
    </row>
    <row r="2420" spans="1:14" ht="15.75" customHeight="1" x14ac:dyDescent="0.25">
      <c r="A2420" s="103"/>
      <c r="B2420" s="25"/>
      <c r="C2420" s="103"/>
      <c r="D2420" s="24"/>
      <c r="E2420" s="24"/>
      <c r="F2420" s="103"/>
      <c r="G2420" s="114"/>
      <c r="I2420" s="40"/>
      <c r="J2420" s="40"/>
      <c r="M2420" s="40"/>
      <c r="N2420" s="40"/>
    </row>
    <row r="2421" spans="1:14" ht="15.75" customHeight="1" x14ac:dyDescent="0.25">
      <c r="A2421" s="103"/>
      <c r="B2421" s="25"/>
      <c r="C2421" s="103"/>
      <c r="D2421" s="24"/>
      <c r="E2421" s="24"/>
      <c r="F2421" s="103"/>
      <c r="G2421" s="114"/>
      <c r="I2421" s="40"/>
      <c r="J2421" s="40"/>
      <c r="M2421" s="40"/>
      <c r="N2421" s="40"/>
    </row>
    <row r="2422" spans="1:14" ht="15.75" customHeight="1" x14ac:dyDescent="0.25">
      <c r="A2422" s="103"/>
      <c r="B2422" s="25"/>
      <c r="C2422" s="103"/>
      <c r="D2422" s="24"/>
      <c r="E2422" s="24"/>
      <c r="F2422" s="103"/>
      <c r="G2422" s="114"/>
      <c r="I2422" s="40"/>
      <c r="J2422" s="40"/>
      <c r="M2422" s="40"/>
      <c r="N2422" s="40"/>
    </row>
    <row r="2423" spans="1:14" ht="15.75" customHeight="1" x14ac:dyDescent="0.25">
      <c r="A2423" s="103"/>
      <c r="B2423" s="25"/>
      <c r="C2423" s="103"/>
      <c r="D2423" s="24"/>
      <c r="E2423" s="24"/>
      <c r="F2423" s="103"/>
      <c r="G2423" s="114"/>
      <c r="I2423" s="40"/>
      <c r="J2423" s="40"/>
      <c r="M2423" s="40"/>
      <c r="N2423" s="40"/>
    </row>
    <row r="2424" spans="1:14" ht="15.75" customHeight="1" x14ac:dyDescent="0.25">
      <c r="A2424" s="103"/>
      <c r="B2424" s="25"/>
      <c r="C2424" s="103"/>
      <c r="D2424" s="24"/>
      <c r="E2424" s="24"/>
      <c r="F2424" s="103"/>
      <c r="G2424" s="114"/>
      <c r="I2424" s="40"/>
      <c r="J2424" s="40"/>
      <c r="M2424" s="40"/>
      <c r="N2424" s="40"/>
    </row>
    <row r="2425" spans="1:14" ht="15.75" customHeight="1" x14ac:dyDescent="0.25">
      <c r="A2425" s="103"/>
      <c r="B2425" s="25"/>
      <c r="C2425" s="103"/>
      <c r="D2425" s="24"/>
      <c r="E2425" s="24"/>
      <c r="F2425" s="103"/>
      <c r="G2425" s="114"/>
      <c r="I2425" s="40"/>
      <c r="J2425" s="40"/>
      <c r="M2425" s="40"/>
      <c r="N2425" s="40"/>
    </row>
    <row r="2426" spans="1:14" ht="15.75" customHeight="1" x14ac:dyDescent="0.25">
      <c r="A2426" s="103"/>
      <c r="B2426" s="25"/>
      <c r="C2426" s="103"/>
      <c r="D2426" s="24"/>
      <c r="E2426" s="24"/>
      <c r="F2426" s="103"/>
      <c r="G2426" s="114"/>
      <c r="I2426" s="40"/>
      <c r="J2426" s="40"/>
      <c r="M2426" s="40"/>
      <c r="N2426" s="40"/>
    </row>
    <row r="2427" spans="1:14" ht="15.75" customHeight="1" x14ac:dyDescent="0.25">
      <c r="A2427" s="103"/>
      <c r="B2427" s="25"/>
      <c r="C2427" s="103"/>
      <c r="D2427" s="24"/>
      <c r="E2427" s="24"/>
      <c r="F2427" s="103"/>
      <c r="G2427" s="114"/>
      <c r="I2427" s="40"/>
      <c r="J2427" s="40"/>
      <c r="M2427" s="40"/>
      <c r="N2427" s="40"/>
    </row>
    <row r="2428" spans="1:14" ht="15.75" customHeight="1" x14ac:dyDescent="0.25">
      <c r="A2428" s="103"/>
      <c r="B2428" s="25"/>
      <c r="C2428" s="103"/>
      <c r="D2428" s="24"/>
      <c r="E2428" s="24"/>
      <c r="F2428" s="103"/>
      <c r="G2428" s="114"/>
      <c r="I2428" s="40"/>
      <c r="J2428" s="40"/>
      <c r="M2428" s="40"/>
      <c r="N2428" s="40"/>
    </row>
    <row r="2429" spans="1:14" ht="15.75" customHeight="1" x14ac:dyDescent="0.25">
      <c r="A2429" s="103"/>
      <c r="B2429" s="25"/>
      <c r="C2429" s="103"/>
      <c r="D2429" s="24"/>
      <c r="E2429" s="24"/>
      <c r="F2429" s="103"/>
      <c r="G2429" s="114"/>
      <c r="I2429" s="40"/>
      <c r="J2429" s="40"/>
      <c r="M2429" s="40"/>
      <c r="N2429" s="40"/>
    </row>
    <row r="2430" spans="1:14" ht="15.75" customHeight="1" x14ac:dyDescent="0.25">
      <c r="A2430" s="103"/>
      <c r="B2430" s="25"/>
      <c r="C2430" s="103"/>
      <c r="D2430" s="24"/>
      <c r="E2430" s="24"/>
      <c r="F2430" s="103"/>
      <c r="G2430" s="114"/>
      <c r="I2430" s="40"/>
      <c r="J2430" s="40"/>
      <c r="M2430" s="40"/>
      <c r="N2430" s="40"/>
    </row>
    <row r="2431" spans="1:14" ht="15.75" customHeight="1" x14ac:dyDescent="0.25">
      <c r="A2431" s="103"/>
      <c r="B2431" s="25"/>
      <c r="C2431" s="103"/>
      <c r="D2431" s="24"/>
      <c r="E2431" s="24"/>
      <c r="F2431" s="103"/>
      <c r="G2431" s="114"/>
      <c r="I2431" s="40"/>
      <c r="J2431" s="40"/>
      <c r="M2431" s="40"/>
      <c r="N2431" s="40"/>
    </row>
    <row r="2432" spans="1:14" ht="15.75" customHeight="1" x14ac:dyDescent="0.25">
      <c r="A2432" s="103"/>
      <c r="B2432" s="25"/>
      <c r="C2432" s="103"/>
      <c r="D2432" s="24"/>
      <c r="E2432" s="24"/>
      <c r="F2432" s="103"/>
      <c r="G2432" s="114"/>
      <c r="I2432" s="40"/>
      <c r="J2432" s="40"/>
      <c r="M2432" s="40"/>
      <c r="N2432" s="40"/>
    </row>
    <row r="2433" spans="1:14" ht="15.75" customHeight="1" x14ac:dyDescent="0.25">
      <c r="A2433" s="103"/>
      <c r="B2433" s="25"/>
      <c r="C2433" s="103"/>
      <c r="D2433" s="24"/>
      <c r="E2433" s="24"/>
      <c r="F2433" s="103"/>
      <c r="G2433" s="114"/>
      <c r="I2433" s="40"/>
      <c r="J2433" s="40"/>
      <c r="M2433" s="40"/>
      <c r="N2433" s="40"/>
    </row>
    <row r="2434" spans="1:14" ht="15.75" customHeight="1" x14ac:dyDescent="0.25">
      <c r="A2434" s="103"/>
      <c r="B2434" s="25"/>
      <c r="C2434" s="103"/>
      <c r="D2434" s="24"/>
      <c r="E2434" s="24"/>
      <c r="F2434" s="103"/>
      <c r="G2434" s="114"/>
      <c r="I2434" s="40"/>
      <c r="J2434" s="40"/>
      <c r="M2434" s="40"/>
      <c r="N2434" s="40"/>
    </row>
    <row r="2435" spans="1:14" ht="15.75" customHeight="1" x14ac:dyDescent="0.25">
      <c r="A2435" s="103"/>
      <c r="B2435" s="25"/>
      <c r="C2435" s="103"/>
      <c r="D2435" s="24"/>
      <c r="E2435" s="24"/>
      <c r="F2435" s="103"/>
      <c r="G2435" s="114"/>
      <c r="I2435" s="40"/>
      <c r="J2435" s="40"/>
      <c r="M2435" s="40"/>
      <c r="N2435" s="40"/>
    </row>
    <row r="2436" spans="1:14" ht="15.75" customHeight="1" x14ac:dyDescent="0.25">
      <c r="A2436" s="103"/>
      <c r="B2436" s="25"/>
      <c r="C2436" s="103"/>
      <c r="D2436" s="24"/>
      <c r="E2436" s="24"/>
      <c r="F2436" s="103"/>
      <c r="G2436" s="114"/>
      <c r="I2436" s="40"/>
      <c r="J2436" s="40"/>
      <c r="M2436" s="40"/>
      <c r="N2436" s="40"/>
    </row>
    <row r="2437" spans="1:14" ht="15.75" customHeight="1" x14ac:dyDescent="0.25">
      <c r="A2437" s="103"/>
      <c r="B2437" s="25"/>
      <c r="C2437" s="103"/>
      <c r="D2437" s="24"/>
      <c r="E2437" s="24"/>
      <c r="F2437" s="103"/>
      <c r="G2437" s="114"/>
      <c r="I2437" s="40"/>
      <c r="J2437" s="40"/>
      <c r="M2437" s="40"/>
      <c r="N2437" s="40"/>
    </row>
    <row r="2438" spans="1:14" ht="15.75" customHeight="1" x14ac:dyDescent="0.25">
      <c r="A2438" s="103"/>
      <c r="B2438" s="25"/>
      <c r="C2438" s="103"/>
      <c r="D2438" s="24"/>
      <c r="E2438" s="24"/>
      <c r="F2438" s="103"/>
      <c r="G2438" s="114"/>
      <c r="I2438" s="40"/>
      <c r="J2438" s="40"/>
      <c r="M2438" s="40"/>
      <c r="N2438" s="40"/>
    </row>
    <row r="2439" spans="1:14" ht="15.75" customHeight="1" x14ac:dyDescent="0.25">
      <c r="A2439" s="103"/>
      <c r="B2439" s="25"/>
      <c r="C2439" s="103"/>
      <c r="D2439" s="24"/>
      <c r="E2439" s="24"/>
      <c r="F2439" s="103"/>
      <c r="G2439" s="114"/>
      <c r="I2439" s="40"/>
      <c r="J2439" s="40"/>
      <c r="M2439" s="40"/>
      <c r="N2439" s="40"/>
    </row>
    <row r="2440" spans="1:14" ht="15.75" customHeight="1" x14ac:dyDescent="0.25">
      <c r="A2440" s="103"/>
      <c r="B2440" s="25"/>
      <c r="C2440" s="103"/>
      <c r="D2440" s="24"/>
      <c r="E2440" s="24"/>
      <c r="F2440" s="103"/>
      <c r="G2440" s="114"/>
      <c r="I2440" s="40"/>
      <c r="J2440" s="40"/>
      <c r="M2440" s="40"/>
      <c r="N2440" s="40"/>
    </row>
    <row r="2441" spans="1:14" ht="15.75" customHeight="1" x14ac:dyDescent="0.25">
      <c r="A2441" s="103"/>
      <c r="B2441" s="25"/>
      <c r="C2441" s="103"/>
      <c r="D2441" s="24"/>
      <c r="E2441" s="24"/>
      <c r="F2441" s="103"/>
      <c r="G2441" s="114"/>
      <c r="I2441" s="40"/>
      <c r="J2441" s="40"/>
      <c r="M2441" s="40"/>
      <c r="N2441" s="40"/>
    </row>
    <row r="2442" spans="1:14" ht="15.75" customHeight="1" x14ac:dyDescent="0.25">
      <c r="A2442" s="103"/>
      <c r="B2442" s="25"/>
      <c r="C2442" s="103"/>
      <c r="D2442" s="24"/>
      <c r="E2442" s="24"/>
      <c r="F2442" s="103"/>
      <c r="G2442" s="114"/>
      <c r="I2442" s="40"/>
      <c r="J2442" s="40"/>
      <c r="M2442" s="40"/>
      <c r="N2442" s="40"/>
    </row>
    <row r="2443" spans="1:14" ht="15.75" customHeight="1" x14ac:dyDescent="0.25">
      <c r="A2443" s="103"/>
      <c r="B2443" s="25"/>
      <c r="C2443" s="103"/>
      <c r="D2443" s="24"/>
      <c r="E2443" s="24"/>
      <c r="F2443" s="103"/>
      <c r="G2443" s="114"/>
      <c r="I2443" s="40"/>
      <c r="J2443" s="40"/>
      <c r="M2443" s="40"/>
      <c r="N2443" s="40"/>
    </row>
    <row r="2444" spans="1:14" ht="15.75" customHeight="1" x14ac:dyDescent="0.25">
      <c r="A2444" s="103"/>
      <c r="B2444" s="25"/>
      <c r="C2444" s="103"/>
      <c r="D2444" s="24"/>
      <c r="E2444" s="24"/>
      <c r="F2444" s="103"/>
      <c r="G2444" s="114"/>
      <c r="I2444" s="40"/>
      <c r="J2444" s="40"/>
      <c r="M2444" s="40"/>
      <c r="N2444" s="40"/>
    </row>
    <row r="2445" spans="1:14" ht="15.75" customHeight="1" x14ac:dyDescent="0.25">
      <c r="A2445" s="103"/>
      <c r="B2445" s="25"/>
      <c r="C2445" s="103"/>
      <c r="D2445" s="24"/>
      <c r="E2445" s="24"/>
      <c r="F2445" s="103"/>
      <c r="G2445" s="114"/>
      <c r="I2445" s="40"/>
      <c r="J2445" s="40"/>
      <c r="M2445" s="40"/>
      <c r="N2445" s="40"/>
    </row>
    <row r="2446" spans="1:14" ht="15.75" customHeight="1" x14ac:dyDescent="0.25">
      <c r="A2446" s="103"/>
      <c r="B2446" s="25"/>
      <c r="C2446" s="103"/>
      <c r="D2446" s="24"/>
      <c r="E2446" s="24"/>
      <c r="F2446" s="103"/>
      <c r="G2446" s="114"/>
      <c r="I2446" s="40"/>
      <c r="J2446" s="40"/>
      <c r="M2446" s="40"/>
      <c r="N2446" s="40"/>
    </row>
    <row r="2447" spans="1:14" ht="15.75" customHeight="1" x14ac:dyDescent="0.25">
      <c r="A2447" s="103"/>
      <c r="B2447" s="25"/>
      <c r="C2447" s="103"/>
      <c r="D2447" s="24"/>
      <c r="E2447" s="24"/>
      <c r="F2447" s="103"/>
      <c r="G2447" s="114"/>
      <c r="I2447" s="40"/>
      <c r="J2447" s="40"/>
      <c r="M2447" s="40"/>
      <c r="N2447" s="40"/>
    </row>
    <row r="2448" spans="1:14" ht="15.75" customHeight="1" x14ac:dyDescent="0.25">
      <c r="A2448" s="103"/>
      <c r="B2448" s="25"/>
      <c r="C2448" s="103"/>
      <c r="D2448" s="24"/>
      <c r="E2448" s="24"/>
      <c r="F2448" s="103"/>
      <c r="G2448" s="114"/>
      <c r="I2448" s="40"/>
      <c r="J2448" s="40"/>
      <c r="M2448" s="40"/>
      <c r="N2448" s="40"/>
    </row>
    <row r="2449" spans="1:14" ht="15.75" customHeight="1" x14ac:dyDescent="0.25">
      <c r="A2449" s="103"/>
      <c r="B2449" s="25"/>
      <c r="C2449" s="103"/>
      <c r="D2449" s="24"/>
      <c r="E2449" s="24"/>
      <c r="F2449" s="103"/>
      <c r="G2449" s="114"/>
      <c r="I2449" s="40"/>
      <c r="J2449" s="40"/>
      <c r="M2449" s="40"/>
      <c r="N2449" s="40"/>
    </row>
    <row r="2450" spans="1:14" ht="15.75" customHeight="1" x14ac:dyDescent="0.25">
      <c r="A2450" s="103"/>
      <c r="B2450" s="25"/>
      <c r="C2450" s="103"/>
      <c r="D2450" s="24"/>
      <c r="E2450" s="24"/>
      <c r="F2450" s="103"/>
      <c r="G2450" s="114"/>
      <c r="I2450" s="40"/>
      <c r="J2450" s="40"/>
      <c r="M2450" s="40"/>
      <c r="N2450" s="40"/>
    </row>
    <row r="2451" spans="1:14" ht="15.75" customHeight="1" x14ac:dyDescent="0.25">
      <c r="A2451" s="103"/>
      <c r="B2451" s="25"/>
      <c r="C2451" s="103"/>
      <c r="D2451" s="24"/>
      <c r="E2451" s="24"/>
      <c r="F2451" s="103"/>
      <c r="G2451" s="114"/>
      <c r="I2451" s="40"/>
      <c r="J2451" s="40"/>
      <c r="M2451" s="40"/>
      <c r="N2451" s="40"/>
    </row>
    <row r="2452" spans="1:14" ht="15.75" customHeight="1" x14ac:dyDescent="0.25">
      <c r="A2452" s="103"/>
      <c r="B2452" s="25"/>
      <c r="C2452" s="103"/>
      <c r="D2452" s="24"/>
      <c r="E2452" s="24"/>
      <c r="F2452" s="103"/>
      <c r="G2452" s="114"/>
      <c r="I2452" s="40"/>
      <c r="J2452" s="40"/>
      <c r="M2452" s="40"/>
      <c r="N2452" s="40"/>
    </row>
    <row r="2453" spans="1:14" ht="15.75" customHeight="1" x14ac:dyDescent="0.25">
      <c r="A2453" s="103"/>
      <c r="B2453" s="25"/>
      <c r="C2453" s="103"/>
      <c r="D2453" s="24"/>
      <c r="E2453" s="24"/>
      <c r="F2453" s="103"/>
      <c r="G2453" s="114"/>
      <c r="I2453" s="40"/>
      <c r="J2453" s="40"/>
      <c r="M2453" s="40"/>
      <c r="N2453" s="40"/>
    </row>
    <row r="2454" spans="1:14" ht="15.75" customHeight="1" x14ac:dyDescent="0.25">
      <c r="A2454" s="103"/>
      <c r="B2454" s="25"/>
      <c r="C2454" s="103"/>
      <c r="D2454" s="24"/>
      <c r="E2454" s="24"/>
      <c r="F2454" s="103"/>
      <c r="G2454" s="114"/>
      <c r="I2454" s="40"/>
      <c r="J2454" s="40"/>
      <c r="M2454" s="40"/>
      <c r="N2454" s="40"/>
    </row>
    <row r="2455" spans="1:14" ht="15.75" customHeight="1" x14ac:dyDescent="0.25">
      <c r="A2455" s="103"/>
      <c r="B2455" s="25"/>
      <c r="C2455" s="103"/>
      <c r="D2455" s="24"/>
      <c r="E2455" s="24"/>
      <c r="F2455" s="103"/>
      <c r="G2455" s="114"/>
      <c r="I2455" s="40"/>
      <c r="J2455" s="40"/>
      <c r="M2455" s="40"/>
      <c r="N2455" s="40"/>
    </row>
    <row r="2456" spans="1:14" ht="15.75" customHeight="1" x14ac:dyDescent="0.25">
      <c r="A2456" s="103"/>
      <c r="B2456" s="25"/>
      <c r="C2456" s="103"/>
      <c r="D2456" s="24"/>
      <c r="E2456" s="24"/>
      <c r="F2456" s="103"/>
      <c r="G2456" s="114"/>
      <c r="I2456" s="40"/>
      <c r="J2456" s="40"/>
      <c r="M2456" s="40"/>
      <c r="N2456" s="40"/>
    </row>
    <row r="2457" spans="1:14" ht="15.75" customHeight="1" x14ac:dyDescent="0.25">
      <c r="A2457" s="103"/>
      <c r="B2457" s="25"/>
      <c r="C2457" s="103"/>
      <c r="D2457" s="24"/>
      <c r="E2457" s="24"/>
      <c r="F2457" s="103"/>
      <c r="G2457" s="114"/>
      <c r="I2457" s="40"/>
      <c r="J2457" s="40"/>
      <c r="M2457" s="40"/>
      <c r="N2457" s="40"/>
    </row>
    <row r="2458" spans="1:14" ht="15.75" customHeight="1" x14ac:dyDescent="0.25">
      <c r="A2458" s="103"/>
      <c r="B2458" s="25"/>
      <c r="C2458" s="103"/>
      <c r="D2458" s="24"/>
      <c r="E2458" s="24"/>
      <c r="F2458" s="103"/>
      <c r="G2458" s="114"/>
      <c r="I2458" s="40"/>
      <c r="J2458" s="40"/>
      <c r="M2458" s="40"/>
      <c r="N2458" s="40"/>
    </row>
    <row r="2459" spans="1:14" ht="15.75" customHeight="1" x14ac:dyDescent="0.25">
      <c r="A2459" s="103"/>
      <c r="B2459" s="25"/>
      <c r="C2459" s="103"/>
      <c r="D2459" s="24"/>
      <c r="E2459" s="24"/>
      <c r="F2459" s="103"/>
      <c r="G2459" s="114"/>
      <c r="I2459" s="40"/>
      <c r="J2459" s="40"/>
      <c r="M2459" s="40"/>
      <c r="N2459" s="40"/>
    </row>
    <row r="2460" spans="1:14" ht="15.75" customHeight="1" x14ac:dyDescent="0.25">
      <c r="A2460" s="103"/>
      <c r="B2460" s="25"/>
      <c r="C2460" s="103"/>
      <c r="D2460" s="24"/>
      <c r="E2460" s="24"/>
      <c r="F2460" s="103"/>
      <c r="G2460" s="114"/>
      <c r="I2460" s="40"/>
      <c r="J2460" s="40"/>
      <c r="M2460" s="40"/>
      <c r="N2460" s="40"/>
    </row>
    <row r="2461" spans="1:14" ht="15.75" customHeight="1" x14ac:dyDescent="0.25">
      <c r="A2461" s="103"/>
      <c r="B2461" s="25"/>
      <c r="C2461" s="103"/>
      <c r="D2461" s="24"/>
      <c r="E2461" s="24"/>
      <c r="F2461" s="103"/>
      <c r="G2461" s="114"/>
      <c r="I2461" s="40"/>
      <c r="J2461" s="40"/>
      <c r="M2461" s="40"/>
      <c r="N2461" s="40"/>
    </row>
    <row r="2462" spans="1:14" ht="15.75" customHeight="1" x14ac:dyDescent="0.25">
      <c r="A2462" s="103"/>
      <c r="B2462" s="25"/>
      <c r="C2462" s="103"/>
      <c r="D2462" s="24"/>
      <c r="E2462" s="24"/>
      <c r="F2462" s="103"/>
      <c r="G2462" s="114"/>
      <c r="I2462" s="40"/>
      <c r="J2462" s="40"/>
      <c r="M2462" s="40"/>
      <c r="N2462" s="40"/>
    </row>
    <row r="2463" spans="1:14" ht="15.75" customHeight="1" x14ac:dyDescent="0.25">
      <c r="A2463" s="103"/>
      <c r="B2463" s="25"/>
      <c r="C2463" s="103"/>
      <c r="D2463" s="24"/>
      <c r="E2463" s="24"/>
      <c r="F2463" s="103"/>
      <c r="G2463" s="114"/>
      <c r="I2463" s="40"/>
      <c r="J2463" s="40"/>
      <c r="M2463" s="40"/>
      <c r="N2463" s="40"/>
    </row>
    <row r="2464" spans="1:14" ht="15.75" customHeight="1" x14ac:dyDescent="0.25">
      <c r="A2464" s="103"/>
      <c r="B2464" s="25"/>
      <c r="C2464" s="103"/>
      <c r="D2464" s="24"/>
      <c r="E2464" s="24"/>
      <c r="F2464" s="103"/>
      <c r="G2464" s="114"/>
      <c r="I2464" s="40"/>
      <c r="J2464" s="40"/>
      <c r="M2464" s="40"/>
      <c r="N2464" s="40"/>
    </row>
    <row r="2465" spans="1:14" ht="15.75" customHeight="1" x14ac:dyDescent="0.25">
      <c r="A2465" s="103"/>
      <c r="B2465" s="25"/>
      <c r="C2465" s="103"/>
      <c r="D2465" s="24"/>
      <c r="E2465" s="24"/>
      <c r="F2465" s="103"/>
      <c r="G2465" s="114"/>
      <c r="I2465" s="40"/>
      <c r="J2465" s="40"/>
      <c r="M2465" s="40"/>
      <c r="N2465" s="40"/>
    </row>
    <row r="2466" spans="1:14" ht="15.75" customHeight="1" x14ac:dyDescent="0.25">
      <c r="A2466" s="103"/>
      <c r="B2466" s="25"/>
      <c r="C2466" s="103"/>
      <c r="D2466" s="24"/>
      <c r="E2466" s="24"/>
      <c r="F2466" s="103"/>
      <c r="G2466" s="114"/>
      <c r="I2466" s="40"/>
      <c r="J2466" s="40"/>
      <c r="M2466" s="40"/>
      <c r="N2466" s="40"/>
    </row>
    <row r="2467" spans="1:14" ht="15.75" customHeight="1" x14ac:dyDescent="0.25">
      <c r="A2467" s="103"/>
      <c r="B2467" s="25"/>
      <c r="C2467" s="103"/>
      <c r="D2467" s="24"/>
      <c r="E2467" s="24"/>
      <c r="F2467" s="103"/>
      <c r="G2467" s="114"/>
      <c r="I2467" s="40"/>
      <c r="J2467" s="40"/>
      <c r="M2467" s="40"/>
      <c r="N2467" s="40"/>
    </row>
    <row r="2468" spans="1:14" ht="15.75" customHeight="1" x14ac:dyDescent="0.25">
      <c r="A2468" s="103"/>
      <c r="B2468" s="25"/>
      <c r="C2468" s="103"/>
      <c r="D2468" s="24"/>
      <c r="E2468" s="24"/>
      <c r="F2468" s="103"/>
      <c r="G2468" s="114"/>
      <c r="I2468" s="40"/>
      <c r="J2468" s="40"/>
      <c r="M2468" s="40"/>
      <c r="N2468" s="40"/>
    </row>
    <row r="2469" spans="1:14" ht="15.75" customHeight="1" x14ac:dyDescent="0.25">
      <c r="A2469" s="103"/>
      <c r="B2469" s="25"/>
      <c r="C2469" s="103"/>
      <c r="D2469" s="24"/>
      <c r="E2469" s="24"/>
      <c r="F2469" s="103"/>
      <c r="G2469" s="114"/>
      <c r="I2469" s="40"/>
      <c r="J2469" s="40"/>
      <c r="M2469" s="40"/>
      <c r="N2469" s="40"/>
    </row>
    <row r="2470" spans="1:14" ht="15.75" customHeight="1" x14ac:dyDescent="0.25">
      <c r="A2470" s="103"/>
      <c r="B2470" s="25"/>
      <c r="C2470" s="103"/>
      <c r="D2470" s="24"/>
      <c r="E2470" s="24"/>
      <c r="F2470" s="103"/>
      <c r="G2470" s="114"/>
      <c r="I2470" s="40"/>
      <c r="J2470" s="40"/>
      <c r="M2470" s="40"/>
      <c r="N2470" s="40"/>
    </row>
    <row r="2471" spans="1:14" ht="15.75" customHeight="1" x14ac:dyDescent="0.25">
      <c r="A2471" s="103"/>
      <c r="B2471" s="25"/>
      <c r="C2471" s="103"/>
      <c r="D2471" s="24"/>
      <c r="E2471" s="24"/>
      <c r="F2471" s="103"/>
      <c r="G2471" s="114"/>
      <c r="I2471" s="40"/>
      <c r="J2471" s="40"/>
      <c r="M2471" s="40"/>
      <c r="N2471" s="40"/>
    </row>
    <row r="2472" spans="1:14" ht="15.75" customHeight="1" x14ac:dyDescent="0.25">
      <c r="A2472" s="103"/>
      <c r="B2472" s="25"/>
      <c r="C2472" s="103"/>
      <c r="D2472" s="24"/>
      <c r="E2472" s="24"/>
      <c r="F2472" s="103"/>
      <c r="G2472" s="114"/>
      <c r="I2472" s="40"/>
      <c r="J2472" s="40"/>
      <c r="M2472" s="40"/>
      <c r="N2472" s="40"/>
    </row>
    <row r="2473" spans="1:14" ht="15.75" customHeight="1" x14ac:dyDescent="0.25">
      <c r="A2473" s="103"/>
      <c r="B2473" s="25"/>
      <c r="C2473" s="103"/>
      <c r="D2473" s="24"/>
      <c r="E2473" s="24"/>
      <c r="F2473" s="103"/>
      <c r="G2473" s="114"/>
      <c r="I2473" s="40"/>
      <c r="J2473" s="40"/>
      <c r="M2473" s="40"/>
      <c r="N2473" s="40"/>
    </row>
    <row r="2474" spans="1:14" ht="15.75" customHeight="1" x14ac:dyDescent="0.25">
      <c r="A2474" s="103"/>
      <c r="B2474" s="25"/>
      <c r="C2474" s="103"/>
      <c r="D2474" s="24"/>
      <c r="E2474" s="24"/>
      <c r="F2474" s="103"/>
      <c r="G2474" s="114"/>
      <c r="I2474" s="40"/>
      <c r="J2474" s="40"/>
      <c r="M2474" s="40"/>
      <c r="N2474" s="40"/>
    </row>
    <row r="2475" spans="1:14" ht="15.75" customHeight="1" x14ac:dyDescent="0.25">
      <c r="A2475" s="103"/>
      <c r="B2475" s="25"/>
      <c r="C2475" s="103"/>
      <c r="D2475" s="24"/>
      <c r="E2475" s="24"/>
      <c r="F2475" s="103"/>
      <c r="G2475" s="114"/>
      <c r="I2475" s="40"/>
      <c r="J2475" s="40"/>
      <c r="M2475" s="40"/>
      <c r="N2475" s="40"/>
    </row>
    <row r="2476" spans="1:14" ht="15.75" customHeight="1" x14ac:dyDescent="0.25">
      <c r="A2476" s="103"/>
      <c r="B2476" s="25"/>
      <c r="C2476" s="103"/>
      <c r="D2476" s="24"/>
      <c r="E2476" s="24"/>
      <c r="F2476" s="103"/>
      <c r="G2476" s="114"/>
      <c r="I2476" s="40"/>
      <c r="J2476" s="40"/>
      <c r="M2476" s="40"/>
      <c r="N2476" s="40"/>
    </row>
    <row r="2477" spans="1:14" ht="15.75" customHeight="1" x14ac:dyDescent="0.25">
      <c r="A2477" s="103"/>
      <c r="B2477" s="25"/>
      <c r="C2477" s="103"/>
      <c r="D2477" s="24"/>
      <c r="E2477" s="24"/>
      <c r="F2477" s="103"/>
      <c r="G2477" s="114"/>
      <c r="I2477" s="40"/>
      <c r="J2477" s="40"/>
      <c r="M2477" s="40"/>
      <c r="N2477" s="40"/>
    </row>
    <row r="2478" spans="1:14" ht="15.75" customHeight="1" x14ac:dyDescent="0.25">
      <c r="A2478" s="103"/>
      <c r="B2478" s="25"/>
      <c r="C2478" s="103"/>
      <c r="D2478" s="24"/>
      <c r="E2478" s="24"/>
      <c r="F2478" s="103"/>
      <c r="G2478" s="114"/>
      <c r="I2478" s="40"/>
      <c r="J2478" s="40"/>
      <c r="M2478" s="40"/>
      <c r="N2478" s="40"/>
    </row>
    <row r="2479" spans="1:14" ht="15.75" customHeight="1" x14ac:dyDescent="0.25">
      <c r="A2479" s="103"/>
      <c r="B2479" s="25"/>
      <c r="C2479" s="103"/>
      <c r="D2479" s="24"/>
      <c r="E2479" s="24"/>
      <c r="F2479" s="103"/>
      <c r="G2479" s="114"/>
      <c r="I2479" s="40"/>
      <c r="J2479" s="40"/>
      <c r="M2479" s="40"/>
      <c r="N2479" s="40"/>
    </row>
    <row r="2480" spans="1:14" ht="15.75" customHeight="1" x14ac:dyDescent="0.25">
      <c r="A2480" s="103"/>
      <c r="B2480" s="25"/>
      <c r="C2480" s="103"/>
      <c r="D2480" s="24"/>
      <c r="E2480" s="24"/>
      <c r="F2480" s="103"/>
      <c r="G2480" s="114"/>
      <c r="I2480" s="40"/>
      <c r="J2480" s="40"/>
      <c r="M2480" s="40"/>
      <c r="N2480" s="40"/>
    </row>
    <row r="2481" spans="1:14" ht="15.75" customHeight="1" x14ac:dyDescent="0.25">
      <c r="A2481" s="103"/>
      <c r="B2481" s="25"/>
      <c r="C2481" s="103"/>
      <c r="D2481" s="24"/>
      <c r="E2481" s="24"/>
      <c r="F2481" s="103"/>
      <c r="G2481" s="114"/>
      <c r="I2481" s="40"/>
      <c r="J2481" s="40"/>
      <c r="M2481" s="40"/>
      <c r="N2481" s="40"/>
    </row>
    <row r="2482" spans="1:14" ht="15.75" customHeight="1" x14ac:dyDescent="0.25">
      <c r="A2482" s="103"/>
      <c r="B2482" s="25"/>
      <c r="C2482" s="103"/>
      <c r="D2482" s="24"/>
      <c r="E2482" s="24"/>
      <c r="F2482" s="103"/>
      <c r="G2482" s="114"/>
      <c r="I2482" s="40"/>
      <c r="J2482" s="40"/>
      <c r="M2482" s="40"/>
      <c r="N2482" s="40"/>
    </row>
    <row r="2483" spans="1:14" ht="15.75" customHeight="1" x14ac:dyDescent="0.25">
      <c r="A2483" s="103"/>
      <c r="B2483" s="25"/>
      <c r="C2483" s="103"/>
      <c r="D2483" s="24"/>
      <c r="E2483" s="24"/>
      <c r="F2483" s="103"/>
      <c r="G2483" s="114"/>
      <c r="I2483" s="40"/>
      <c r="J2483" s="40"/>
      <c r="M2483" s="40"/>
      <c r="N2483" s="40"/>
    </row>
    <row r="2484" spans="1:14" ht="15.75" customHeight="1" x14ac:dyDescent="0.25">
      <c r="A2484" s="103"/>
      <c r="B2484" s="25"/>
      <c r="C2484" s="103"/>
      <c r="D2484" s="24"/>
      <c r="E2484" s="24"/>
      <c r="F2484" s="103"/>
      <c r="G2484" s="114"/>
      <c r="I2484" s="40"/>
      <c r="J2484" s="40"/>
      <c r="M2484" s="40"/>
      <c r="N2484" s="40"/>
    </row>
    <row r="2485" spans="1:14" ht="15.75" customHeight="1" x14ac:dyDescent="0.25">
      <c r="A2485" s="103"/>
      <c r="B2485" s="25"/>
      <c r="C2485" s="103"/>
      <c r="D2485" s="24"/>
      <c r="E2485" s="24"/>
      <c r="F2485" s="103"/>
      <c r="G2485" s="114"/>
      <c r="I2485" s="40"/>
      <c r="J2485" s="40"/>
      <c r="M2485" s="40"/>
      <c r="N2485" s="40"/>
    </row>
    <row r="2486" spans="1:14" ht="15.75" customHeight="1" x14ac:dyDescent="0.25">
      <c r="A2486" s="103"/>
      <c r="B2486" s="25"/>
      <c r="C2486" s="103"/>
      <c r="D2486" s="24"/>
      <c r="E2486" s="24"/>
      <c r="F2486" s="103"/>
      <c r="G2486" s="114"/>
      <c r="I2486" s="40"/>
      <c r="J2486" s="40"/>
      <c r="M2486" s="40"/>
      <c r="N2486" s="40"/>
    </row>
    <row r="2487" spans="1:14" ht="15.75" customHeight="1" x14ac:dyDescent="0.25">
      <c r="A2487" s="103"/>
      <c r="B2487" s="25"/>
      <c r="C2487" s="103"/>
      <c r="D2487" s="24"/>
      <c r="E2487" s="24"/>
      <c r="F2487" s="103"/>
      <c r="G2487" s="114"/>
      <c r="I2487" s="40"/>
      <c r="J2487" s="40"/>
      <c r="M2487" s="40"/>
      <c r="N2487" s="40"/>
    </row>
    <row r="2488" spans="1:14" ht="15.75" customHeight="1" x14ac:dyDescent="0.25">
      <c r="A2488" s="103"/>
      <c r="B2488" s="25"/>
      <c r="C2488" s="103"/>
      <c r="D2488" s="24"/>
      <c r="E2488" s="24"/>
      <c r="F2488" s="103"/>
      <c r="G2488" s="114"/>
      <c r="I2488" s="40"/>
      <c r="J2488" s="40"/>
      <c r="M2488" s="40"/>
      <c r="N2488" s="40"/>
    </row>
    <row r="2489" spans="1:14" ht="15.75" customHeight="1" x14ac:dyDescent="0.25">
      <c r="A2489" s="103"/>
      <c r="B2489" s="25"/>
      <c r="C2489" s="103"/>
      <c r="D2489" s="24"/>
      <c r="E2489" s="24"/>
      <c r="F2489" s="103"/>
      <c r="G2489" s="114"/>
      <c r="I2489" s="40"/>
      <c r="J2489" s="40"/>
      <c r="M2489" s="40"/>
      <c r="N2489" s="40"/>
    </row>
    <row r="2490" spans="1:14" ht="15.75" customHeight="1" x14ac:dyDescent="0.25">
      <c r="A2490" s="103"/>
      <c r="B2490" s="25"/>
      <c r="C2490" s="103"/>
      <c r="D2490" s="24"/>
      <c r="E2490" s="24"/>
      <c r="F2490" s="103"/>
      <c r="G2490" s="114"/>
      <c r="I2490" s="40"/>
      <c r="J2490" s="40"/>
      <c r="M2490" s="40"/>
      <c r="N2490" s="40"/>
    </row>
    <row r="2491" spans="1:14" ht="15.75" customHeight="1" x14ac:dyDescent="0.25">
      <c r="A2491" s="103"/>
      <c r="B2491" s="25"/>
      <c r="C2491" s="103"/>
      <c r="D2491" s="24"/>
      <c r="E2491" s="24"/>
      <c r="F2491" s="103"/>
      <c r="G2491" s="114"/>
      <c r="I2491" s="40"/>
      <c r="J2491" s="40"/>
      <c r="M2491" s="40"/>
      <c r="N2491" s="40"/>
    </row>
    <row r="2492" spans="1:14" ht="15.75" customHeight="1" x14ac:dyDescent="0.25">
      <c r="A2492" s="103"/>
      <c r="B2492" s="25"/>
      <c r="C2492" s="103"/>
      <c r="D2492" s="24"/>
      <c r="E2492" s="24"/>
      <c r="F2492" s="103"/>
      <c r="G2492" s="114"/>
      <c r="I2492" s="40"/>
      <c r="J2492" s="40"/>
      <c r="M2492" s="40"/>
      <c r="N2492" s="40"/>
    </row>
    <row r="2493" spans="1:14" ht="15.75" customHeight="1" x14ac:dyDescent="0.25">
      <c r="A2493" s="103"/>
      <c r="B2493" s="25"/>
      <c r="C2493" s="103"/>
      <c r="D2493" s="24"/>
      <c r="E2493" s="24"/>
      <c r="F2493" s="103"/>
      <c r="G2493" s="114"/>
      <c r="I2493" s="40"/>
      <c r="J2493" s="40"/>
      <c r="M2493" s="40"/>
      <c r="N2493" s="40"/>
    </row>
    <row r="2494" spans="1:14" ht="15.75" customHeight="1" x14ac:dyDescent="0.25">
      <c r="A2494" s="103"/>
      <c r="B2494" s="25"/>
      <c r="C2494" s="103"/>
      <c r="D2494" s="24"/>
      <c r="E2494" s="24"/>
      <c r="F2494" s="103"/>
      <c r="G2494" s="114"/>
      <c r="I2494" s="40"/>
      <c r="J2494" s="40"/>
      <c r="M2494" s="40"/>
      <c r="N2494" s="40"/>
    </row>
    <row r="2495" spans="1:14" ht="15.75" customHeight="1" x14ac:dyDescent="0.25">
      <c r="A2495" s="103"/>
      <c r="B2495" s="25"/>
      <c r="C2495" s="103"/>
      <c r="D2495" s="24"/>
      <c r="E2495" s="24"/>
      <c r="F2495" s="103"/>
      <c r="G2495" s="114"/>
      <c r="I2495" s="40"/>
      <c r="J2495" s="40"/>
      <c r="M2495" s="40"/>
      <c r="N2495" s="40"/>
    </row>
    <row r="2496" spans="1:14" ht="15.75" customHeight="1" x14ac:dyDescent="0.25">
      <c r="A2496" s="103"/>
      <c r="B2496" s="25"/>
      <c r="C2496" s="103"/>
      <c r="D2496" s="24"/>
      <c r="E2496" s="24"/>
      <c r="F2496" s="103"/>
      <c r="G2496" s="114"/>
      <c r="I2496" s="40"/>
      <c r="J2496" s="40"/>
      <c r="M2496" s="40"/>
      <c r="N2496" s="40"/>
    </row>
    <row r="2497" spans="1:14" ht="15.75" customHeight="1" x14ac:dyDescent="0.25">
      <c r="A2497" s="103"/>
      <c r="B2497" s="25"/>
      <c r="C2497" s="103"/>
      <c r="D2497" s="24"/>
      <c r="E2497" s="24"/>
      <c r="F2497" s="103"/>
      <c r="G2497" s="114"/>
      <c r="I2497" s="40"/>
      <c r="J2497" s="40"/>
      <c r="M2497" s="40"/>
      <c r="N2497" s="40"/>
    </row>
    <row r="2498" spans="1:14" ht="15.75" customHeight="1" x14ac:dyDescent="0.25">
      <c r="A2498" s="103"/>
      <c r="B2498" s="25"/>
      <c r="C2498" s="103"/>
      <c r="D2498" s="24"/>
      <c r="E2498" s="24"/>
      <c r="F2498" s="103"/>
      <c r="G2498" s="114"/>
      <c r="I2498" s="40"/>
      <c r="J2498" s="40"/>
      <c r="M2498" s="40"/>
      <c r="N2498" s="40"/>
    </row>
    <row r="2499" spans="1:14" ht="15.75" customHeight="1" x14ac:dyDescent="0.25">
      <c r="A2499" s="103"/>
      <c r="B2499" s="25"/>
      <c r="C2499" s="103"/>
      <c r="D2499" s="24"/>
      <c r="E2499" s="24"/>
      <c r="F2499" s="103"/>
      <c r="G2499" s="114"/>
      <c r="I2499" s="40"/>
      <c r="J2499" s="40"/>
      <c r="M2499" s="40"/>
      <c r="N2499" s="40"/>
    </row>
    <row r="2500" spans="1:14" ht="15.75" customHeight="1" x14ac:dyDescent="0.25">
      <c r="A2500" s="103"/>
      <c r="B2500" s="25"/>
      <c r="C2500" s="103"/>
      <c r="D2500" s="24"/>
      <c r="E2500" s="24"/>
      <c r="F2500" s="103"/>
      <c r="G2500" s="114"/>
      <c r="I2500" s="40"/>
      <c r="J2500" s="40"/>
      <c r="M2500" s="40"/>
      <c r="N2500" s="40"/>
    </row>
    <row r="2501" spans="1:14" ht="15.75" customHeight="1" x14ac:dyDescent="0.25">
      <c r="A2501" s="103"/>
      <c r="B2501" s="25"/>
      <c r="C2501" s="103"/>
      <c r="D2501" s="24"/>
      <c r="E2501" s="24"/>
      <c r="F2501" s="103"/>
      <c r="G2501" s="114"/>
      <c r="I2501" s="40"/>
      <c r="J2501" s="40"/>
      <c r="M2501" s="40"/>
      <c r="N2501" s="40"/>
    </row>
    <row r="2502" spans="1:14" ht="15.75" customHeight="1" x14ac:dyDescent="0.25">
      <c r="A2502" s="103"/>
      <c r="B2502" s="25"/>
      <c r="C2502" s="103"/>
      <c r="D2502" s="24"/>
      <c r="E2502" s="24"/>
      <c r="F2502" s="103"/>
      <c r="G2502" s="114"/>
      <c r="I2502" s="40"/>
      <c r="J2502" s="40"/>
      <c r="M2502" s="40"/>
      <c r="N2502" s="40"/>
    </row>
    <row r="2503" spans="1:14" ht="15.75" customHeight="1" x14ac:dyDescent="0.25">
      <c r="A2503" s="103"/>
      <c r="B2503" s="25"/>
      <c r="C2503" s="103"/>
      <c r="D2503" s="24"/>
      <c r="E2503" s="24"/>
      <c r="F2503" s="103"/>
      <c r="G2503" s="114"/>
      <c r="I2503" s="40"/>
      <c r="J2503" s="40"/>
      <c r="M2503" s="40"/>
      <c r="N2503" s="40"/>
    </row>
    <row r="2504" spans="1:14" ht="15.75" customHeight="1" x14ac:dyDescent="0.25">
      <c r="A2504" s="103"/>
      <c r="B2504" s="25"/>
      <c r="C2504" s="103"/>
      <c r="D2504" s="24"/>
      <c r="E2504" s="24"/>
      <c r="F2504" s="103"/>
      <c r="G2504" s="114"/>
      <c r="I2504" s="40"/>
      <c r="J2504" s="40"/>
      <c r="M2504" s="40"/>
      <c r="N2504" s="40"/>
    </row>
    <row r="2505" spans="1:14" ht="15.75" customHeight="1" x14ac:dyDescent="0.25">
      <c r="A2505" s="103"/>
      <c r="B2505" s="25"/>
      <c r="C2505" s="103"/>
      <c r="D2505" s="24"/>
      <c r="E2505" s="24"/>
      <c r="F2505" s="103"/>
      <c r="G2505" s="114"/>
      <c r="I2505" s="40"/>
      <c r="J2505" s="40"/>
      <c r="M2505" s="40"/>
      <c r="N2505" s="40"/>
    </row>
    <row r="2506" spans="1:14" ht="15.75" customHeight="1" x14ac:dyDescent="0.25">
      <c r="A2506" s="103"/>
      <c r="B2506" s="25"/>
      <c r="C2506" s="103"/>
      <c r="D2506" s="24"/>
      <c r="E2506" s="24"/>
      <c r="F2506" s="103"/>
      <c r="G2506" s="114"/>
      <c r="I2506" s="40"/>
      <c r="J2506" s="40"/>
      <c r="M2506" s="40"/>
      <c r="N2506" s="40"/>
    </row>
    <row r="2507" spans="1:14" ht="15.75" customHeight="1" x14ac:dyDescent="0.25">
      <c r="A2507" s="103"/>
      <c r="B2507" s="25"/>
      <c r="C2507" s="103"/>
      <c r="D2507" s="24"/>
      <c r="E2507" s="24"/>
      <c r="F2507" s="103"/>
      <c r="G2507" s="114"/>
      <c r="I2507" s="40"/>
      <c r="J2507" s="40"/>
      <c r="M2507" s="40"/>
      <c r="N2507" s="40"/>
    </row>
    <row r="2508" spans="1:14" ht="15.75" customHeight="1" x14ac:dyDescent="0.25">
      <c r="A2508" s="103"/>
      <c r="B2508" s="25"/>
      <c r="C2508" s="103"/>
      <c r="D2508" s="24"/>
      <c r="E2508" s="24"/>
      <c r="F2508" s="103"/>
      <c r="G2508" s="114"/>
      <c r="I2508" s="40"/>
      <c r="J2508" s="40"/>
      <c r="M2508" s="40"/>
      <c r="N2508" s="40"/>
    </row>
    <row r="2509" spans="1:14" ht="15.75" customHeight="1" x14ac:dyDescent="0.25">
      <c r="A2509" s="103"/>
      <c r="B2509" s="25"/>
      <c r="C2509" s="103"/>
      <c r="D2509" s="24"/>
      <c r="E2509" s="24"/>
      <c r="F2509" s="103"/>
      <c r="G2509" s="114"/>
      <c r="I2509" s="40"/>
      <c r="J2509" s="40"/>
      <c r="M2509" s="40"/>
      <c r="N2509" s="40"/>
    </row>
    <row r="2510" spans="1:14" ht="15.75" customHeight="1" x14ac:dyDescent="0.25">
      <c r="A2510" s="103"/>
      <c r="B2510" s="25"/>
      <c r="C2510" s="103"/>
      <c r="D2510" s="24"/>
      <c r="E2510" s="24"/>
      <c r="F2510" s="103"/>
      <c r="G2510" s="114"/>
      <c r="I2510" s="40"/>
      <c r="J2510" s="40"/>
      <c r="M2510" s="40"/>
      <c r="N2510" s="40"/>
    </row>
    <row r="2511" spans="1:14" ht="15.75" customHeight="1" x14ac:dyDescent="0.25">
      <c r="A2511" s="103"/>
      <c r="B2511" s="25"/>
      <c r="C2511" s="103"/>
      <c r="D2511" s="24"/>
      <c r="E2511" s="24"/>
      <c r="F2511" s="103"/>
      <c r="G2511" s="114"/>
      <c r="I2511" s="40"/>
      <c r="J2511" s="40"/>
      <c r="M2511" s="40"/>
      <c r="N2511" s="40"/>
    </row>
    <row r="2512" spans="1:14" ht="15.75" customHeight="1" x14ac:dyDescent="0.25">
      <c r="A2512" s="103"/>
      <c r="B2512" s="25"/>
      <c r="C2512" s="103"/>
      <c r="D2512" s="24"/>
      <c r="E2512" s="24"/>
      <c r="F2512" s="103"/>
      <c r="G2512" s="114"/>
      <c r="I2512" s="40"/>
      <c r="J2512" s="40"/>
      <c r="M2512" s="40"/>
      <c r="N2512" s="40"/>
    </row>
    <row r="2513" spans="1:14" ht="15.75" customHeight="1" x14ac:dyDescent="0.25">
      <c r="A2513" s="103"/>
      <c r="B2513" s="25"/>
      <c r="C2513" s="103"/>
      <c r="D2513" s="24"/>
      <c r="E2513" s="24"/>
      <c r="F2513" s="103"/>
      <c r="G2513" s="114"/>
      <c r="I2513" s="40"/>
      <c r="J2513" s="40"/>
      <c r="M2513" s="40"/>
      <c r="N2513" s="40"/>
    </row>
    <row r="2514" spans="1:14" ht="15.75" customHeight="1" x14ac:dyDescent="0.25">
      <c r="A2514" s="103"/>
      <c r="B2514" s="25"/>
      <c r="C2514" s="103"/>
      <c r="D2514" s="24"/>
      <c r="E2514" s="24"/>
      <c r="F2514" s="103"/>
      <c r="G2514" s="114"/>
      <c r="I2514" s="40"/>
      <c r="J2514" s="40"/>
      <c r="M2514" s="40"/>
      <c r="N2514" s="40"/>
    </row>
    <row r="2515" spans="1:14" ht="15.75" customHeight="1" x14ac:dyDescent="0.25">
      <c r="A2515" s="103"/>
      <c r="B2515" s="25"/>
      <c r="C2515" s="103"/>
      <c r="D2515" s="24"/>
      <c r="E2515" s="24"/>
      <c r="F2515" s="103"/>
      <c r="G2515" s="114"/>
      <c r="I2515" s="40"/>
      <c r="J2515" s="40"/>
      <c r="M2515" s="40"/>
      <c r="N2515" s="40"/>
    </row>
    <row r="2516" spans="1:14" ht="15.75" customHeight="1" x14ac:dyDescent="0.25">
      <c r="A2516" s="103"/>
      <c r="B2516" s="25"/>
      <c r="C2516" s="103"/>
      <c r="D2516" s="24"/>
      <c r="E2516" s="24"/>
      <c r="F2516" s="103"/>
      <c r="G2516" s="114"/>
      <c r="I2516" s="40"/>
      <c r="J2516" s="40"/>
      <c r="M2516" s="40"/>
      <c r="N2516" s="40"/>
    </row>
    <row r="2517" spans="1:14" ht="15.75" customHeight="1" x14ac:dyDescent="0.25">
      <c r="A2517" s="103"/>
      <c r="B2517" s="25"/>
      <c r="C2517" s="103"/>
      <c r="D2517" s="24"/>
      <c r="E2517" s="24"/>
      <c r="F2517" s="103"/>
      <c r="G2517" s="114"/>
      <c r="I2517" s="40"/>
      <c r="J2517" s="40"/>
      <c r="M2517" s="40"/>
      <c r="N2517" s="40"/>
    </row>
    <row r="2518" spans="1:14" ht="15.75" customHeight="1" x14ac:dyDescent="0.25">
      <c r="A2518" s="103"/>
      <c r="B2518" s="25"/>
      <c r="C2518" s="103"/>
      <c r="D2518" s="24"/>
      <c r="E2518" s="24"/>
      <c r="F2518" s="103"/>
      <c r="G2518" s="114"/>
      <c r="I2518" s="40"/>
      <c r="J2518" s="40"/>
      <c r="M2518" s="40"/>
      <c r="N2518" s="40"/>
    </row>
    <row r="2519" spans="1:14" ht="15.75" customHeight="1" x14ac:dyDescent="0.25">
      <c r="A2519" s="103"/>
      <c r="B2519" s="25"/>
      <c r="C2519" s="103"/>
      <c r="D2519" s="24"/>
      <c r="E2519" s="24"/>
      <c r="F2519" s="103"/>
      <c r="G2519" s="114"/>
      <c r="I2519" s="40"/>
      <c r="J2519" s="40"/>
      <c r="M2519" s="40"/>
      <c r="N2519" s="40"/>
    </row>
    <row r="2520" spans="1:14" ht="15.75" customHeight="1" x14ac:dyDescent="0.25">
      <c r="A2520" s="103"/>
      <c r="B2520" s="25"/>
      <c r="C2520" s="103"/>
      <c r="D2520" s="24"/>
      <c r="E2520" s="24"/>
      <c r="F2520" s="103"/>
      <c r="G2520" s="114"/>
      <c r="I2520" s="40"/>
      <c r="J2520" s="40"/>
      <c r="M2520" s="40"/>
      <c r="N2520" s="40"/>
    </row>
    <row r="2521" spans="1:14" ht="15.75" customHeight="1" x14ac:dyDescent="0.25">
      <c r="A2521" s="103"/>
      <c r="B2521" s="25"/>
      <c r="C2521" s="103"/>
      <c r="D2521" s="24"/>
      <c r="E2521" s="24"/>
      <c r="F2521" s="103"/>
      <c r="G2521" s="114"/>
      <c r="I2521" s="40"/>
      <c r="J2521" s="40"/>
      <c r="M2521" s="40"/>
      <c r="N2521" s="40"/>
    </row>
    <row r="2522" spans="1:14" ht="15.75" customHeight="1" x14ac:dyDescent="0.25">
      <c r="A2522" s="103"/>
      <c r="B2522" s="25"/>
      <c r="C2522" s="103"/>
      <c r="D2522" s="24"/>
      <c r="E2522" s="24"/>
      <c r="F2522" s="103"/>
      <c r="G2522" s="114"/>
      <c r="I2522" s="40"/>
      <c r="J2522" s="40"/>
      <c r="M2522" s="40"/>
      <c r="N2522" s="40"/>
    </row>
    <row r="2523" spans="1:14" ht="15.75" customHeight="1" x14ac:dyDescent="0.25">
      <c r="A2523" s="103"/>
      <c r="B2523" s="25"/>
      <c r="C2523" s="103"/>
      <c r="D2523" s="24"/>
      <c r="E2523" s="24"/>
      <c r="F2523" s="103"/>
      <c r="G2523" s="114"/>
      <c r="I2523" s="40"/>
      <c r="J2523" s="40"/>
      <c r="M2523" s="40"/>
      <c r="N2523" s="40"/>
    </row>
    <row r="2524" spans="1:14" ht="15.75" customHeight="1" x14ac:dyDescent="0.25">
      <c r="A2524" s="103"/>
      <c r="B2524" s="25"/>
      <c r="C2524" s="103"/>
      <c r="D2524" s="24"/>
      <c r="E2524" s="24"/>
      <c r="F2524" s="103"/>
      <c r="G2524" s="114"/>
      <c r="I2524" s="40"/>
      <c r="J2524" s="40"/>
      <c r="M2524" s="40"/>
      <c r="N2524" s="40"/>
    </row>
    <row r="2525" spans="1:14" ht="15.75" customHeight="1" x14ac:dyDescent="0.25">
      <c r="A2525" s="103"/>
      <c r="B2525" s="25"/>
      <c r="C2525" s="103"/>
      <c r="D2525" s="24"/>
      <c r="E2525" s="24"/>
      <c r="F2525" s="103"/>
      <c r="G2525" s="114"/>
      <c r="I2525" s="40"/>
      <c r="J2525" s="40"/>
      <c r="M2525" s="40"/>
      <c r="N2525" s="40"/>
    </row>
    <row r="2526" spans="1:14" ht="15.75" customHeight="1" x14ac:dyDescent="0.25">
      <c r="A2526" s="103"/>
      <c r="B2526" s="25"/>
      <c r="C2526" s="103"/>
      <c r="D2526" s="24"/>
      <c r="E2526" s="24"/>
      <c r="F2526" s="103"/>
      <c r="G2526" s="114"/>
      <c r="I2526" s="40"/>
      <c r="J2526" s="40"/>
      <c r="M2526" s="40"/>
      <c r="N2526" s="40"/>
    </row>
    <row r="2527" spans="1:14" ht="15.75" customHeight="1" x14ac:dyDescent="0.25">
      <c r="A2527" s="103"/>
      <c r="B2527" s="25"/>
      <c r="C2527" s="103"/>
      <c r="D2527" s="24"/>
      <c r="E2527" s="24"/>
      <c r="F2527" s="103"/>
      <c r="G2527" s="114"/>
      <c r="I2527" s="40"/>
      <c r="J2527" s="40"/>
      <c r="M2527" s="40"/>
      <c r="N2527" s="40"/>
    </row>
    <row r="2528" spans="1:14" ht="15.75" customHeight="1" x14ac:dyDescent="0.25">
      <c r="A2528" s="103"/>
      <c r="B2528" s="25"/>
      <c r="C2528" s="103"/>
      <c r="D2528" s="24"/>
      <c r="E2528" s="24"/>
      <c r="F2528" s="103"/>
      <c r="G2528" s="114"/>
      <c r="I2528" s="40"/>
      <c r="J2528" s="40"/>
      <c r="M2528" s="40"/>
      <c r="N2528" s="40"/>
    </row>
    <row r="2529" spans="1:14" ht="15.75" customHeight="1" x14ac:dyDescent="0.25">
      <c r="A2529" s="103"/>
      <c r="B2529" s="25"/>
      <c r="C2529" s="103"/>
      <c r="D2529" s="24"/>
      <c r="E2529" s="24"/>
      <c r="F2529" s="103"/>
      <c r="G2529" s="114"/>
      <c r="I2529" s="40"/>
      <c r="J2529" s="40"/>
      <c r="M2529" s="40"/>
      <c r="N2529" s="40"/>
    </row>
    <row r="2530" spans="1:14" ht="15.75" customHeight="1" x14ac:dyDescent="0.25">
      <c r="A2530" s="103"/>
      <c r="B2530" s="25"/>
      <c r="C2530" s="103"/>
      <c r="D2530" s="24"/>
      <c r="E2530" s="24"/>
      <c r="F2530" s="103"/>
      <c r="G2530" s="114"/>
      <c r="I2530" s="40"/>
      <c r="J2530" s="40"/>
      <c r="M2530" s="40"/>
      <c r="N2530" s="40"/>
    </row>
    <row r="2531" spans="1:14" ht="15.75" customHeight="1" x14ac:dyDescent="0.25">
      <c r="A2531" s="103"/>
      <c r="B2531" s="25"/>
      <c r="C2531" s="103"/>
      <c r="D2531" s="24"/>
      <c r="E2531" s="24"/>
      <c r="F2531" s="103"/>
      <c r="G2531" s="114"/>
      <c r="I2531" s="40"/>
      <c r="J2531" s="40"/>
      <c r="M2531" s="40"/>
      <c r="N2531" s="40"/>
    </row>
    <row r="2532" spans="1:14" ht="15.75" customHeight="1" x14ac:dyDescent="0.25">
      <c r="A2532" s="103"/>
      <c r="B2532" s="25"/>
      <c r="C2532" s="103"/>
      <c r="D2532" s="24"/>
      <c r="E2532" s="24"/>
      <c r="F2532" s="103"/>
      <c r="G2532" s="114"/>
      <c r="I2532" s="40"/>
      <c r="J2532" s="40"/>
      <c r="M2532" s="40"/>
      <c r="N2532" s="40"/>
    </row>
    <row r="2533" spans="1:14" ht="15.75" customHeight="1" x14ac:dyDescent="0.25">
      <c r="A2533" s="103"/>
      <c r="B2533" s="25"/>
      <c r="C2533" s="103"/>
      <c r="D2533" s="24"/>
      <c r="E2533" s="24"/>
      <c r="F2533" s="103"/>
      <c r="G2533" s="114"/>
      <c r="I2533" s="40"/>
      <c r="J2533" s="40"/>
      <c r="M2533" s="40"/>
      <c r="N2533" s="40"/>
    </row>
    <row r="2534" spans="1:14" ht="15.75" customHeight="1" x14ac:dyDescent="0.25">
      <c r="A2534" s="103"/>
      <c r="B2534" s="25"/>
      <c r="C2534" s="103"/>
      <c r="D2534" s="24"/>
      <c r="E2534" s="24"/>
      <c r="F2534" s="103"/>
      <c r="G2534" s="114"/>
      <c r="I2534" s="40"/>
      <c r="J2534" s="40"/>
      <c r="M2534" s="40"/>
      <c r="N2534" s="40"/>
    </row>
    <row r="2535" spans="1:14" ht="15.75" customHeight="1" x14ac:dyDescent="0.25">
      <c r="A2535" s="103"/>
      <c r="B2535" s="25"/>
      <c r="C2535" s="103"/>
      <c r="D2535" s="24"/>
      <c r="E2535" s="24"/>
      <c r="F2535" s="103"/>
      <c r="G2535" s="114"/>
      <c r="I2535" s="40"/>
      <c r="J2535" s="40"/>
      <c r="M2535" s="40"/>
      <c r="N2535" s="40"/>
    </row>
    <row r="2536" spans="1:14" ht="15.75" customHeight="1" x14ac:dyDescent="0.25">
      <c r="A2536" s="103"/>
      <c r="B2536" s="25"/>
      <c r="C2536" s="103"/>
      <c r="D2536" s="24"/>
      <c r="E2536" s="24"/>
      <c r="F2536" s="103"/>
      <c r="G2536" s="114"/>
      <c r="I2536" s="40"/>
      <c r="J2536" s="40"/>
      <c r="M2536" s="40"/>
      <c r="N2536" s="40"/>
    </row>
    <row r="2537" spans="1:14" ht="15.75" customHeight="1" x14ac:dyDescent="0.25">
      <c r="A2537" s="103"/>
      <c r="B2537" s="25"/>
      <c r="C2537" s="103"/>
      <c r="D2537" s="24"/>
      <c r="E2537" s="24"/>
      <c r="F2537" s="103"/>
      <c r="G2537" s="114"/>
      <c r="I2537" s="40"/>
      <c r="J2537" s="40"/>
      <c r="M2537" s="40"/>
      <c r="N2537" s="40"/>
    </row>
    <row r="2538" spans="1:14" ht="15.75" customHeight="1" x14ac:dyDescent="0.25">
      <c r="A2538" s="103"/>
      <c r="B2538" s="25"/>
      <c r="C2538" s="103"/>
      <c r="D2538" s="24"/>
      <c r="E2538" s="24"/>
      <c r="F2538" s="103"/>
      <c r="G2538" s="114"/>
      <c r="I2538" s="40"/>
      <c r="J2538" s="40"/>
      <c r="M2538" s="40"/>
      <c r="N2538" s="40"/>
    </row>
    <row r="2539" spans="1:14" ht="15.75" customHeight="1" x14ac:dyDescent="0.25">
      <c r="A2539" s="103"/>
      <c r="B2539" s="25"/>
      <c r="C2539" s="103"/>
      <c r="D2539" s="24"/>
      <c r="E2539" s="24"/>
      <c r="F2539" s="103"/>
      <c r="G2539" s="114"/>
      <c r="I2539" s="40"/>
      <c r="J2539" s="40"/>
      <c r="M2539" s="40"/>
      <c r="N2539" s="40"/>
    </row>
    <row r="2540" spans="1:14" ht="15.75" customHeight="1" x14ac:dyDescent="0.25">
      <c r="A2540" s="103"/>
      <c r="B2540" s="25"/>
      <c r="C2540" s="103"/>
      <c r="D2540" s="24"/>
      <c r="E2540" s="24"/>
      <c r="F2540" s="103"/>
      <c r="G2540" s="114"/>
      <c r="I2540" s="40"/>
      <c r="J2540" s="40"/>
      <c r="M2540" s="40"/>
      <c r="N2540" s="40"/>
    </row>
    <row r="2541" spans="1:14" ht="15.75" customHeight="1" x14ac:dyDescent="0.25">
      <c r="A2541" s="103"/>
      <c r="B2541" s="25"/>
      <c r="C2541" s="103"/>
      <c r="D2541" s="24"/>
      <c r="E2541" s="24"/>
      <c r="F2541" s="103"/>
      <c r="G2541" s="114"/>
      <c r="I2541" s="40"/>
      <c r="J2541" s="40"/>
      <c r="M2541" s="40"/>
      <c r="N2541" s="40"/>
    </row>
    <row r="2542" spans="1:14" ht="15.75" customHeight="1" x14ac:dyDescent="0.25">
      <c r="A2542" s="103"/>
      <c r="B2542" s="25"/>
      <c r="C2542" s="103"/>
      <c r="D2542" s="24"/>
      <c r="E2542" s="24"/>
      <c r="F2542" s="103"/>
      <c r="G2542" s="114"/>
      <c r="I2542" s="40"/>
      <c r="J2542" s="40"/>
      <c r="M2542" s="40"/>
      <c r="N2542" s="40"/>
    </row>
    <row r="2543" spans="1:14" ht="15.75" customHeight="1" x14ac:dyDescent="0.25">
      <c r="A2543" s="103"/>
      <c r="B2543" s="25"/>
      <c r="C2543" s="103"/>
      <c r="D2543" s="24"/>
      <c r="E2543" s="24"/>
      <c r="F2543" s="103"/>
      <c r="G2543" s="114"/>
      <c r="I2543" s="40"/>
      <c r="J2543" s="40"/>
      <c r="M2543" s="40"/>
      <c r="N2543" s="40"/>
    </row>
    <row r="2544" spans="1:14" ht="15.75" customHeight="1" x14ac:dyDescent="0.25">
      <c r="A2544" s="103"/>
      <c r="B2544" s="25"/>
      <c r="C2544" s="103"/>
      <c r="D2544" s="24"/>
      <c r="E2544" s="24"/>
      <c r="F2544" s="103"/>
      <c r="G2544" s="114"/>
      <c r="I2544" s="40"/>
      <c r="J2544" s="40"/>
      <c r="M2544" s="40"/>
      <c r="N2544" s="40"/>
    </row>
    <row r="2545" spans="1:14" ht="15.75" customHeight="1" x14ac:dyDescent="0.25">
      <c r="A2545" s="103"/>
      <c r="B2545" s="25"/>
      <c r="C2545" s="103"/>
      <c r="D2545" s="24"/>
      <c r="E2545" s="24"/>
      <c r="F2545" s="103"/>
      <c r="G2545" s="114"/>
      <c r="I2545" s="40"/>
      <c r="J2545" s="40"/>
      <c r="M2545" s="40"/>
      <c r="N2545" s="40"/>
    </row>
    <row r="2546" spans="1:14" ht="15.75" customHeight="1" x14ac:dyDescent="0.25">
      <c r="A2546" s="103"/>
      <c r="B2546" s="25"/>
      <c r="C2546" s="103"/>
      <c r="D2546" s="24"/>
      <c r="E2546" s="24"/>
      <c r="F2546" s="103"/>
      <c r="G2546" s="114"/>
      <c r="I2546" s="40"/>
      <c r="J2546" s="40"/>
      <c r="M2546" s="40"/>
      <c r="N2546" s="40"/>
    </row>
    <row r="2547" spans="1:14" ht="15.75" customHeight="1" x14ac:dyDescent="0.25">
      <c r="A2547" s="103"/>
      <c r="B2547" s="25"/>
      <c r="C2547" s="103"/>
      <c r="D2547" s="24"/>
      <c r="E2547" s="24"/>
      <c r="F2547" s="103"/>
      <c r="G2547" s="114"/>
      <c r="I2547" s="40"/>
      <c r="J2547" s="40"/>
      <c r="M2547" s="40"/>
      <c r="N2547" s="40"/>
    </row>
    <row r="2548" spans="1:14" ht="15.75" customHeight="1" x14ac:dyDescent="0.25">
      <c r="A2548" s="103"/>
      <c r="B2548" s="25"/>
      <c r="C2548" s="103"/>
      <c r="D2548" s="24"/>
      <c r="E2548" s="24"/>
      <c r="F2548" s="103"/>
      <c r="G2548" s="114"/>
      <c r="I2548" s="40"/>
      <c r="J2548" s="40"/>
      <c r="M2548" s="40"/>
      <c r="N2548" s="40"/>
    </row>
    <row r="2549" spans="1:14" ht="15.75" customHeight="1" x14ac:dyDescent="0.25">
      <c r="A2549" s="103"/>
      <c r="B2549" s="25"/>
      <c r="C2549" s="103"/>
      <c r="D2549" s="24"/>
      <c r="E2549" s="24"/>
      <c r="F2549" s="103"/>
      <c r="G2549" s="114"/>
      <c r="I2549" s="40"/>
      <c r="J2549" s="40"/>
      <c r="M2549" s="40"/>
      <c r="N2549" s="40"/>
    </row>
    <row r="2550" spans="1:14" ht="15.75" customHeight="1" x14ac:dyDescent="0.25">
      <c r="A2550" s="103"/>
      <c r="B2550" s="25"/>
      <c r="C2550" s="103"/>
      <c r="D2550" s="24"/>
      <c r="E2550" s="24"/>
      <c r="F2550" s="103"/>
      <c r="G2550" s="114"/>
      <c r="I2550" s="40"/>
      <c r="J2550" s="40"/>
      <c r="M2550" s="40"/>
      <c r="N2550" s="40"/>
    </row>
    <row r="2551" spans="1:14" ht="15.75" customHeight="1" x14ac:dyDescent="0.25">
      <c r="A2551" s="103"/>
      <c r="B2551" s="25"/>
      <c r="C2551" s="103"/>
      <c r="D2551" s="24"/>
      <c r="E2551" s="24"/>
      <c r="F2551" s="103"/>
      <c r="G2551" s="114"/>
      <c r="I2551" s="40"/>
      <c r="J2551" s="40"/>
      <c r="M2551" s="40"/>
      <c r="N2551" s="40"/>
    </row>
    <row r="2552" spans="1:14" ht="15.75" customHeight="1" x14ac:dyDescent="0.25">
      <c r="A2552" s="103"/>
      <c r="B2552" s="25"/>
      <c r="C2552" s="103"/>
      <c r="D2552" s="24"/>
      <c r="E2552" s="24"/>
      <c r="F2552" s="103"/>
      <c r="G2552" s="114"/>
      <c r="I2552" s="40"/>
      <c r="J2552" s="40"/>
      <c r="M2552" s="40"/>
      <c r="N2552" s="40"/>
    </row>
    <row r="2553" spans="1:14" ht="15.75" customHeight="1" x14ac:dyDescent="0.25">
      <c r="A2553" s="103"/>
      <c r="B2553" s="25"/>
      <c r="C2553" s="103"/>
      <c r="D2553" s="24"/>
      <c r="E2553" s="24"/>
      <c r="F2553" s="103"/>
      <c r="G2553" s="114"/>
      <c r="I2553" s="40"/>
      <c r="J2553" s="40"/>
      <c r="M2553" s="40"/>
      <c r="N2553" s="40"/>
    </row>
    <row r="2554" spans="1:14" ht="15.75" customHeight="1" x14ac:dyDescent="0.25">
      <c r="A2554" s="103"/>
      <c r="B2554" s="25"/>
      <c r="C2554" s="103"/>
      <c r="D2554" s="24"/>
      <c r="E2554" s="24"/>
      <c r="F2554" s="103"/>
      <c r="G2554" s="114"/>
      <c r="I2554" s="40"/>
      <c r="J2554" s="40"/>
      <c r="M2554" s="40"/>
      <c r="N2554" s="40"/>
    </row>
    <row r="2555" spans="1:14" ht="15.75" customHeight="1" x14ac:dyDescent="0.25">
      <c r="A2555" s="103"/>
      <c r="B2555" s="25"/>
      <c r="C2555" s="103"/>
      <c r="D2555" s="24"/>
      <c r="E2555" s="24"/>
      <c r="F2555" s="103"/>
      <c r="G2555" s="114"/>
      <c r="I2555" s="40"/>
      <c r="J2555" s="40"/>
      <c r="M2555" s="40"/>
      <c r="N2555" s="40"/>
    </row>
    <row r="2556" spans="1:14" ht="15.75" customHeight="1" x14ac:dyDescent="0.25">
      <c r="A2556" s="103"/>
      <c r="B2556" s="25"/>
      <c r="C2556" s="103"/>
      <c r="D2556" s="24"/>
      <c r="E2556" s="24"/>
      <c r="F2556" s="103"/>
      <c r="G2556" s="114"/>
      <c r="I2556" s="40"/>
      <c r="J2556" s="40"/>
      <c r="M2556" s="40"/>
      <c r="N2556" s="40"/>
    </row>
    <row r="2557" spans="1:14" ht="15.75" customHeight="1" x14ac:dyDescent="0.25">
      <c r="A2557" s="103"/>
      <c r="B2557" s="25"/>
      <c r="C2557" s="103"/>
      <c r="D2557" s="24"/>
      <c r="E2557" s="24"/>
      <c r="F2557" s="103"/>
      <c r="G2557" s="114"/>
      <c r="I2557" s="40"/>
      <c r="J2557" s="40"/>
      <c r="M2557" s="40"/>
      <c r="N2557" s="40"/>
    </row>
  </sheetData>
  <mergeCells count="344">
    <mergeCell ref="A1666:A1669"/>
    <mergeCell ref="B1666:B1669"/>
    <mergeCell ref="C1666:C1667"/>
    <mergeCell ref="D1666:F1666"/>
    <mergeCell ref="G1666:G1667"/>
    <mergeCell ref="F1667:F1668"/>
    <mergeCell ref="B1353:B1356"/>
    <mergeCell ref="C1353:C1354"/>
    <mergeCell ref="D1353:F1353"/>
    <mergeCell ref="G1353:G1354"/>
    <mergeCell ref="F1354:F1355"/>
    <mergeCell ref="A1387:G1387"/>
    <mergeCell ref="A1388:A1391"/>
    <mergeCell ref="B1388:B1391"/>
    <mergeCell ref="C1388:C1389"/>
    <mergeCell ref="D1388:F1388"/>
    <mergeCell ref="G1388:G1389"/>
    <mergeCell ref="F1389:F1390"/>
    <mergeCell ref="A1353:A1356"/>
    <mergeCell ref="A1413:G1413"/>
    <mergeCell ref="A1414:A1417"/>
    <mergeCell ref="B1414:B1417"/>
    <mergeCell ref="C1414:C1415"/>
    <mergeCell ref="D1414:F1414"/>
    <mergeCell ref="G1414:G1415"/>
    <mergeCell ref="A1642:G1642"/>
    <mergeCell ref="A1643:A1646"/>
    <mergeCell ref="B1643:B1646"/>
    <mergeCell ref="C1643:C1644"/>
    <mergeCell ref="D1643:F1643"/>
    <mergeCell ref="G1643:G1644"/>
    <mergeCell ref="F1496:F1497"/>
    <mergeCell ref="A1575:G1575"/>
    <mergeCell ref="A1576:A1579"/>
    <mergeCell ref="B1576:B1579"/>
    <mergeCell ref="C1576:C1577"/>
    <mergeCell ref="D1576:F1576"/>
    <mergeCell ref="G1576:G1577"/>
    <mergeCell ref="F1577:F1578"/>
    <mergeCell ref="A1494:G1494"/>
    <mergeCell ref="A1495:A1498"/>
    <mergeCell ref="B1495:B1498"/>
    <mergeCell ref="C1495:C1496"/>
    <mergeCell ref="D1495:F1495"/>
    <mergeCell ref="G1495:G1496"/>
    <mergeCell ref="A1040:G1040"/>
    <mergeCell ref="F1644:F1645"/>
    <mergeCell ref="A1665:G1665"/>
    <mergeCell ref="F1415:F1416"/>
    <mergeCell ref="A1432:G1432"/>
    <mergeCell ref="A1433:A1436"/>
    <mergeCell ref="B1433:B1436"/>
    <mergeCell ref="C1433:C1434"/>
    <mergeCell ref="D1433:F1433"/>
    <mergeCell ref="G1433:G1434"/>
    <mergeCell ref="F1434:F1435"/>
    <mergeCell ref="A1453:G1453"/>
    <mergeCell ref="A1454:A1457"/>
    <mergeCell ref="B1454:B1457"/>
    <mergeCell ref="C1454:C1455"/>
    <mergeCell ref="D1454:F1454"/>
    <mergeCell ref="G1454:G1455"/>
    <mergeCell ref="F1455:F1456"/>
    <mergeCell ref="A1294:G1294"/>
    <mergeCell ref="A1295:A1298"/>
    <mergeCell ref="B1295:B1298"/>
    <mergeCell ref="C1295:C1296"/>
    <mergeCell ref="D1295:F1295"/>
    <mergeCell ref="G1295:G1296"/>
    <mergeCell ref="F1296:F1297"/>
    <mergeCell ref="A1319:G1319"/>
    <mergeCell ref="A1320:A1323"/>
    <mergeCell ref="B1320:B1323"/>
    <mergeCell ref="C1320:C1321"/>
    <mergeCell ref="D1320:F1320"/>
    <mergeCell ref="G1320:G1321"/>
    <mergeCell ref="F1321:F1322"/>
    <mergeCell ref="A1352:G1352"/>
    <mergeCell ref="A1227:G1227"/>
    <mergeCell ref="A1228:A1231"/>
    <mergeCell ref="B1228:B1231"/>
    <mergeCell ref="C1228:C1229"/>
    <mergeCell ref="D1228:F1228"/>
    <mergeCell ref="G1228:G1229"/>
    <mergeCell ref="F1229:F1230"/>
    <mergeCell ref="A1255:G1255"/>
    <mergeCell ref="A1256:A1259"/>
    <mergeCell ref="B1256:B1259"/>
    <mergeCell ref="C1256:C1257"/>
    <mergeCell ref="D1256:F1256"/>
    <mergeCell ref="G1256:G1257"/>
    <mergeCell ref="F1257:F1258"/>
    <mergeCell ref="A1095:G1095"/>
    <mergeCell ref="A1096:A1099"/>
    <mergeCell ref="B1096:B1099"/>
    <mergeCell ref="C1096:C1097"/>
    <mergeCell ref="D1096:F1096"/>
    <mergeCell ref="G1096:G1097"/>
    <mergeCell ref="F1097:F1098"/>
    <mergeCell ref="A1144:G1144"/>
    <mergeCell ref="A1145:A1148"/>
    <mergeCell ref="B1145:B1148"/>
    <mergeCell ref="C1145:C1146"/>
    <mergeCell ref="D1145:F1145"/>
    <mergeCell ref="G1145:G1146"/>
    <mergeCell ref="F1146:F1147"/>
    <mergeCell ref="A1042:G1042"/>
    <mergeCell ref="A1043:A1046"/>
    <mergeCell ref="B1043:B1046"/>
    <mergeCell ref="C1043:C1044"/>
    <mergeCell ref="D1043:F1043"/>
    <mergeCell ref="G1043:G1044"/>
    <mergeCell ref="F1044:F1045"/>
    <mergeCell ref="A1061:G1061"/>
    <mergeCell ref="A1062:A1065"/>
    <mergeCell ref="B1062:B1065"/>
    <mergeCell ref="C1062:C1063"/>
    <mergeCell ref="D1062:F1062"/>
    <mergeCell ref="G1062:G1063"/>
    <mergeCell ref="F1063:F1064"/>
    <mergeCell ref="A992:G992"/>
    <mergeCell ref="A993:A996"/>
    <mergeCell ref="B993:B996"/>
    <mergeCell ref="C993:C994"/>
    <mergeCell ref="D993:F993"/>
    <mergeCell ref="G993:G994"/>
    <mergeCell ref="F994:F995"/>
    <mergeCell ref="A1020:G1020"/>
    <mergeCell ref="A1021:A1024"/>
    <mergeCell ref="B1021:B1024"/>
    <mergeCell ref="C1021:C1022"/>
    <mergeCell ref="D1021:F1021"/>
    <mergeCell ref="G1021:G1022"/>
    <mergeCell ref="F1022:F1023"/>
    <mergeCell ref="A943:G943"/>
    <mergeCell ref="A944:A947"/>
    <mergeCell ref="B944:B947"/>
    <mergeCell ref="C944:C945"/>
    <mergeCell ref="D944:F944"/>
    <mergeCell ref="G944:G945"/>
    <mergeCell ref="F945:F946"/>
    <mergeCell ref="A966:G966"/>
    <mergeCell ref="A967:A970"/>
    <mergeCell ref="B967:B970"/>
    <mergeCell ref="C967:C968"/>
    <mergeCell ref="D967:F967"/>
    <mergeCell ref="G967:G968"/>
    <mergeCell ref="F968:F969"/>
    <mergeCell ref="A876:G876"/>
    <mergeCell ref="A877:A880"/>
    <mergeCell ref="B877:B880"/>
    <mergeCell ref="C877:C878"/>
    <mergeCell ref="D877:F877"/>
    <mergeCell ref="G877:G878"/>
    <mergeCell ref="F878:F879"/>
    <mergeCell ref="A911:G911"/>
    <mergeCell ref="A912:A915"/>
    <mergeCell ref="B912:B915"/>
    <mergeCell ref="C912:C913"/>
    <mergeCell ref="D912:F912"/>
    <mergeCell ref="G912:G913"/>
    <mergeCell ref="F913:F914"/>
    <mergeCell ref="A801:G801"/>
    <mergeCell ref="A802:A805"/>
    <mergeCell ref="B802:B805"/>
    <mergeCell ref="C802:C803"/>
    <mergeCell ref="D802:F802"/>
    <mergeCell ref="G802:G803"/>
    <mergeCell ref="F803:F804"/>
    <mergeCell ref="A837:G837"/>
    <mergeCell ref="A838:A841"/>
    <mergeCell ref="B838:B841"/>
    <mergeCell ref="C838:C839"/>
    <mergeCell ref="D838:F838"/>
    <mergeCell ref="G838:G839"/>
    <mergeCell ref="F839:F840"/>
    <mergeCell ref="A736:G736"/>
    <mergeCell ref="A737:A740"/>
    <mergeCell ref="B737:B740"/>
    <mergeCell ref="C737:C738"/>
    <mergeCell ref="D737:F737"/>
    <mergeCell ref="G737:G738"/>
    <mergeCell ref="F738:F739"/>
    <mergeCell ref="A763:G763"/>
    <mergeCell ref="A764:A767"/>
    <mergeCell ref="B764:B767"/>
    <mergeCell ref="C764:C765"/>
    <mergeCell ref="D764:F764"/>
    <mergeCell ref="G764:G765"/>
    <mergeCell ref="F765:F766"/>
    <mergeCell ref="A694:G694"/>
    <mergeCell ref="A695:A698"/>
    <mergeCell ref="B695:B698"/>
    <mergeCell ref="C695:C696"/>
    <mergeCell ref="D695:F695"/>
    <mergeCell ref="G695:G696"/>
    <mergeCell ref="F696:F697"/>
    <mergeCell ref="A717:G717"/>
    <mergeCell ref="A718:A721"/>
    <mergeCell ref="B718:B721"/>
    <mergeCell ref="C718:C719"/>
    <mergeCell ref="D718:F718"/>
    <mergeCell ref="G718:G719"/>
    <mergeCell ref="F719:F720"/>
    <mergeCell ref="A622:G622"/>
    <mergeCell ref="A623:A626"/>
    <mergeCell ref="B623:B626"/>
    <mergeCell ref="C623:C624"/>
    <mergeCell ref="D623:F623"/>
    <mergeCell ref="G623:G624"/>
    <mergeCell ref="F624:F625"/>
    <mergeCell ref="A669:G669"/>
    <mergeCell ref="A670:A673"/>
    <mergeCell ref="B670:B673"/>
    <mergeCell ref="C670:C671"/>
    <mergeCell ref="D670:F670"/>
    <mergeCell ref="G670:G671"/>
    <mergeCell ref="F671:F672"/>
    <mergeCell ref="A541:G541"/>
    <mergeCell ref="A542:A545"/>
    <mergeCell ref="B542:B545"/>
    <mergeCell ref="C542:C543"/>
    <mergeCell ref="D542:F542"/>
    <mergeCell ref="G542:G543"/>
    <mergeCell ref="F543:F544"/>
    <mergeCell ref="A576:G576"/>
    <mergeCell ref="A577:A580"/>
    <mergeCell ref="B577:B580"/>
    <mergeCell ref="C577:C578"/>
    <mergeCell ref="D577:F577"/>
    <mergeCell ref="G577:G578"/>
    <mergeCell ref="F578:F579"/>
    <mergeCell ref="A501:G501"/>
    <mergeCell ref="A502:A505"/>
    <mergeCell ref="B502:B505"/>
    <mergeCell ref="C502:C503"/>
    <mergeCell ref="D502:F502"/>
    <mergeCell ref="G502:G503"/>
    <mergeCell ref="F503:F504"/>
    <mergeCell ref="A520:G520"/>
    <mergeCell ref="A521:A524"/>
    <mergeCell ref="B521:B524"/>
    <mergeCell ref="C521:C522"/>
    <mergeCell ref="D521:F521"/>
    <mergeCell ref="G521:G522"/>
    <mergeCell ref="F522:F523"/>
    <mergeCell ref="A446:G446"/>
    <mergeCell ref="A447:A450"/>
    <mergeCell ref="B447:B450"/>
    <mergeCell ref="C447:C448"/>
    <mergeCell ref="D447:F447"/>
    <mergeCell ref="G447:G448"/>
    <mergeCell ref="F448:F449"/>
    <mergeCell ref="A478:G478"/>
    <mergeCell ref="A479:A482"/>
    <mergeCell ref="B479:B482"/>
    <mergeCell ref="C479:C480"/>
    <mergeCell ref="D479:F479"/>
    <mergeCell ref="G479:G480"/>
    <mergeCell ref="F480:F481"/>
    <mergeCell ref="A399:G399"/>
    <mergeCell ref="A361:G361"/>
    <mergeCell ref="A362:A365"/>
    <mergeCell ref="B362:B365"/>
    <mergeCell ref="C362:C363"/>
    <mergeCell ref="D362:F362"/>
    <mergeCell ref="G362:G363"/>
    <mergeCell ref="F363:F364"/>
    <mergeCell ref="D425:F425"/>
    <mergeCell ref="G425:G426"/>
    <mergeCell ref="D400:F400"/>
    <mergeCell ref="G400:G401"/>
    <mergeCell ref="F401:F402"/>
    <mergeCell ref="A424:G424"/>
    <mergeCell ref="A425:A428"/>
    <mergeCell ref="B425:B428"/>
    <mergeCell ref="C425:C426"/>
    <mergeCell ref="F426:F427"/>
    <mergeCell ref="A400:A403"/>
    <mergeCell ref="B400:B403"/>
    <mergeCell ref="C400:C401"/>
    <mergeCell ref="A232:G232"/>
    <mergeCell ref="A233:A236"/>
    <mergeCell ref="B233:B236"/>
    <mergeCell ref="C233:C234"/>
    <mergeCell ref="D233:F233"/>
    <mergeCell ref="G233:G234"/>
    <mergeCell ref="F234:F235"/>
    <mergeCell ref="A335:G335"/>
    <mergeCell ref="A336:A339"/>
    <mergeCell ref="B336:B339"/>
    <mergeCell ref="C336:C337"/>
    <mergeCell ref="D336:F336"/>
    <mergeCell ref="G336:G337"/>
    <mergeCell ref="F337:F338"/>
    <mergeCell ref="A317:A320"/>
    <mergeCell ref="A316:G316"/>
    <mergeCell ref="B317:B320"/>
    <mergeCell ref="C317:C318"/>
    <mergeCell ref="D317:F317"/>
    <mergeCell ref="G317:G318"/>
    <mergeCell ref="F318:F319"/>
    <mergeCell ref="A170:G170"/>
    <mergeCell ref="A171:A174"/>
    <mergeCell ref="B171:B174"/>
    <mergeCell ref="C171:C172"/>
    <mergeCell ref="D171:F171"/>
    <mergeCell ref="G171:G172"/>
    <mergeCell ref="F172:F173"/>
    <mergeCell ref="A205:G205"/>
    <mergeCell ref="A206:A209"/>
    <mergeCell ref="B206:B209"/>
    <mergeCell ref="C206:C207"/>
    <mergeCell ref="D206:F206"/>
    <mergeCell ref="G206:G207"/>
    <mergeCell ref="F207:F208"/>
    <mergeCell ref="A118:G118"/>
    <mergeCell ref="A119:A122"/>
    <mergeCell ref="B119:B122"/>
    <mergeCell ref="C119:C120"/>
    <mergeCell ref="D119:F119"/>
    <mergeCell ref="G119:G120"/>
    <mergeCell ref="F120:F121"/>
    <mergeCell ref="A145:G145"/>
    <mergeCell ref="A146:A149"/>
    <mergeCell ref="B146:B149"/>
    <mergeCell ref="C146:C147"/>
    <mergeCell ref="D146:F146"/>
    <mergeCell ref="G146:G147"/>
    <mergeCell ref="F147:F148"/>
    <mergeCell ref="A6:G6"/>
    <mergeCell ref="A7:A10"/>
    <mergeCell ref="B7:B10"/>
    <mergeCell ref="C7:C8"/>
    <mergeCell ref="D7:F7"/>
    <mergeCell ref="G7:G8"/>
    <mergeCell ref="F8:F9"/>
    <mergeCell ref="A39:G39"/>
    <mergeCell ref="A40:A43"/>
    <mergeCell ref="B40:B43"/>
    <mergeCell ref="C40:C41"/>
    <mergeCell ref="D40:F40"/>
    <mergeCell ref="G40:G41"/>
    <mergeCell ref="F41:F42"/>
  </mergeCells>
  <pageMargins left="0.39370078740157483" right="0.39370078740157483" top="0.39370078740157483" bottom="0.39370078740157483" header="0" footer="0"/>
  <pageSetup paperSize="9" scale="92" fitToHeight="0" orientation="portrait" r:id="rId1"/>
  <rowBreaks count="35" manualBreakCount="35">
    <brk id="34" max="6" man="1"/>
    <brk id="83" max="6" man="1"/>
    <brk id="165" max="6" man="1"/>
    <brk id="200" max="6" man="1"/>
    <brk id="227" max="6" man="1"/>
    <brk id="279" max="6" man="1"/>
    <brk id="311" max="6" man="1"/>
    <brk id="356" max="6" man="1"/>
    <brk id="394" max="6" man="1"/>
    <brk id="441" max="6" man="1"/>
    <brk id="496" max="6" man="1"/>
    <brk id="536" max="6" man="1"/>
    <brk id="571" max="6" man="1"/>
    <brk id="617" max="6" man="1"/>
    <brk id="664" max="6" man="1"/>
    <brk id="712" max="6" man="1"/>
    <brk id="758" max="6" man="1"/>
    <brk id="796" max="6" man="1"/>
    <brk id="832" max="6" man="1"/>
    <brk id="871" max="6" man="1"/>
    <brk id="906" max="6" man="1"/>
    <brk id="938" max="6" man="1"/>
    <brk id="987" max="6" man="1"/>
    <brk id="1037" max="6" man="1"/>
    <brk id="1090" max="6" man="1"/>
    <brk id="1137" max="6" man="1"/>
    <brk id="1182" max="6" man="1"/>
    <brk id="1222" max="6" man="1"/>
    <brk id="1314" max="6" man="1"/>
    <brk id="1347" max="6" man="1"/>
    <brk id="1382" max="6" man="1"/>
    <brk id="1427" max="6" man="1"/>
    <brk id="1528" max="6" man="1"/>
    <brk id="1570" max="6" man="1"/>
    <brk id="1637"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84"/>
  <sheetViews>
    <sheetView view="pageBreakPreview" zoomScale="115" zoomScaleNormal="100" zoomScaleSheetLayoutView="115" workbookViewId="0">
      <selection activeCell="A5" sqref="A5"/>
    </sheetView>
  </sheetViews>
  <sheetFormatPr defaultColWidth="14.42578125" defaultRowHeight="15" customHeight="1" x14ac:dyDescent="0.25"/>
  <cols>
    <col min="1" max="1" width="77.5703125" customWidth="1"/>
    <col min="2" max="2" width="15" customWidth="1"/>
    <col min="3" max="6" width="17.28515625" hidden="1" customWidth="1"/>
    <col min="7" max="7" width="17.28515625" customWidth="1"/>
    <col min="8" max="8" width="14.5703125" hidden="1" customWidth="1"/>
    <col min="9" max="9" width="15.7109375" hidden="1" customWidth="1"/>
    <col min="10" max="10" width="14.7109375" customWidth="1"/>
    <col min="11" max="12" width="10.140625" customWidth="1"/>
    <col min="13" max="13" width="13.28515625" customWidth="1"/>
    <col min="14" max="14" width="15.7109375" customWidth="1"/>
    <col min="15" max="15" width="15.5703125" customWidth="1"/>
    <col min="16" max="26" width="10.28515625" customWidth="1"/>
  </cols>
  <sheetData>
    <row r="1" spans="1:26" ht="15.75" customHeight="1" x14ac:dyDescent="0.25">
      <c r="A1" s="9"/>
      <c r="B1" s="10"/>
      <c r="C1" s="11"/>
      <c r="D1" s="11"/>
      <c r="E1" s="11"/>
      <c r="F1" s="10"/>
      <c r="G1" s="13"/>
      <c r="H1" s="14"/>
      <c r="I1" s="15"/>
      <c r="J1" s="15"/>
      <c r="K1" s="15"/>
      <c r="L1" s="15"/>
      <c r="M1" s="16"/>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6"/>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6"/>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6"/>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6"/>
      <c r="N5" s="15"/>
      <c r="O5" s="15"/>
      <c r="P5" s="15"/>
      <c r="Q5" s="15"/>
      <c r="R5" s="15"/>
      <c r="S5" s="15"/>
      <c r="T5" s="15"/>
      <c r="U5" s="15"/>
      <c r="V5" s="15"/>
      <c r="W5" s="15"/>
      <c r="X5" s="15"/>
      <c r="Y5" s="15"/>
      <c r="Z5" s="15"/>
    </row>
    <row r="6" spans="1:26" ht="15.75" customHeight="1" x14ac:dyDescent="0.25">
      <c r="A6" s="17" t="s">
        <v>2021</v>
      </c>
      <c r="B6" s="24"/>
      <c r="C6" s="25"/>
      <c r="D6" s="25"/>
      <c r="E6" s="25"/>
      <c r="F6" s="24"/>
      <c r="G6" s="19"/>
      <c r="H6" s="14"/>
      <c r="I6" s="15"/>
      <c r="J6" s="15"/>
      <c r="K6" s="15"/>
      <c r="L6" s="15"/>
      <c r="M6" s="16"/>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6"/>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6"/>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6"/>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6"/>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6"/>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6"/>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L13" s="7"/>
      <c r="M13" s="40"/>
    </row>
    <row r="14" spans="1:26" ht="15.75" customHeight="1" x14ac:dyDescent="0.25">
      <c r="A14" s="17" t="s">
        <v>365</v>
      </c>
      <c r="B14" s="172"/>
      <c r="C14" s="42"/>
      <c r="D14" s="42"/>
      <c r="E14" s="42"/>
      <c r="F14" s="42"/>
      <c r="G14" s="42"/>
      <c r="L14" s="7"/>
      <c r="M14" s="40"/>
    </row>
    <row r="15" spans="1:26" ht="15.75" customHeight="1" x14ac:dyDescent="0.25">
      <c r="A15" s="17" t="s">
        <v>366</v>
      </c>
      <c r="B15" s="172"/>
      <c r="C15" s="42"/>
      <c r="D15" s="42"/>
      <c r="E15" s="42"/>
      <c r="F15" s="42"/>
      <c r="G15" s="42"/>
      <c r="L15" s="7"/>
      <c r="M15" s="40"/>
    </row>
    <row r="16" spans="1:26" ht="15.75" customHeight="1" x14ac:dyDescent="0.25">
      <c r="A16" s="44" t="s">
        <v>367</v>
      </c>
      <c r="B16" s="41" t="s">
        <v>121</v>
      </c>
      <c r="C16" s="43">
        <v>12357609.42</v>
      </c>
      <c r="D16" s="45">
        <v>6425484.0800000001</v>
      </c>
      <c r="E16" s="45">
        <f>+F16-D16</f>
        <v>12290627.92</v>
      </c>
      <c r="F16" s="45">
        <v>18716112</v>
      </c>
      <c r="G16" s="45">
        <v>19544952</v>
      </c>
      <c r="I16" s="7"/>
      <c r="J16" s="7"/>
      <c r="L16" s="7"/>
      <c r="M16" s="40"/>
      <c r="N16" s="7"/>
    </row>
    <row r="17" spans="1:26" ht="15.75" customHeight="1" x14ac:dyDescent="0.25">
      <c r="A17" s="17" t="s">
        <v>368</v>
      </c>
      <c r="B17" s="172"/>
      <c r="C17" s="43"/>
      <c r="D17" s="45"/>
      <c r="E17" s="45"/>
      <c r="F17" s="45"/>
      <c r="G17" s="45"/>
      <c r="I17" s="7"/>
      <c r="J17" s="7"/>
      <c r="L17" s="7"/>
      <c r="M17" s="40"/>
      <c r="N17" s="7"/>
    </row>
    <row r="18" spans="1:26" ht="15.75" customHeight="1" x14ac:dyDescent="0.25">
      <c r="A18" s="44" t="s">
        <v>369</v>
      </c>
      <c r="B18" s="41" t="s">
        <v>125</v>
      </c>
      <c r="C18" s="43">
        <v>695697.82</v>
      </c>
      <c r="D18" s="45">
        <v>352659.20000000001</v>
      </c>
      <c r="E18" s="45">
        <f t="shared" ref="E18:E23" si="0">+F18-D18</f>
        <v>679340.8</v>
      </c>
      <c r="F18" s="45">
        <v>1032000</v>
      </c>
      <c r="G18" s="45">
        <v>1032000</v>
      </c>
      <c r="H18" s="15"/>
      <c r="I18" s="14"/>
      <c r="J18" s="14"/>
      <c r="K18" s="15"/>
      <c r="L18" s="14"/>
      <c r="M18" s="16"/>
      <c r="N18" s="14"/>
      <c r="O18" s="15"/>
      <c r="P18" s="15"/>
      <c r="Q18" s="15"/>
      <c r="R18" s="15"/>
      <c r="S18" s="15"/>
      <c r="T18" s="15"/>
      <c r="U18" s="15"/>
      <c r="V18" s="15"/>
      <c r="W18" s="15"/>
      <c r="X18" s="15"/>
      <c r="Y18" s="15"/>
      <c r="Z18" s="15"/>
    </row>
    <row r="19" spans="1:26" ht="15.75" customHeight="1" x14ac:dyDescent="0.25">
      <c r="A19" s="44" t="s">
        <v>370</v>
      </c>
      <c r="B19" s="41" t="s">
        <v>127</v>
      </c>
      <c r="C19" s="43">
        <v>202250</v>
      </c>
      <c r="D19" s="45">
        <v>103500</v>
      </c>
      <c r="E19" s="45">
        <f t="shared" si="0"/>
        <v>112500</v>
      </c>
      <c r="F19" s="45">
        <v>216000</v>
      </c>
      <c r="G19" s="45">
        <v>216000</v>
      </c>
      <c r="H19" s="15"/>
      <c r="I19" s="14"/>
      <c r="J19" s="14"/>
      <c r="K19" s="15"/>
      <c r="L19" s="14"/>
      <c r="M19" s="16"/>
      <c r="N19" s="14"/>
      <c r="O19" s="15"/>
      <c r="P19" s="15"/>
      <c r="Q19" s="15"/>
      <c r="R19" s="15"/>
      <c r="S19" s="15"/>
      <c r="T19" s="15"/>
      <c r="U19" s="15"/>
      <c r="V19" s="15"/>
      <c r="W19" s="15"/>
      <c r="X19" s="15"/>
      <c r="Y19" s="15"/>
      <c r="Z19" s="15"/>
    </row>
    <row r="20" spans="1:26" ht="15.75" customHeight="1" x14ac:dyDescent="0.25">
      <c r="A20" s="44" t="s">
        <v>371</v>
      </c>
      <c r="B20" s="41" t="s">
        <v>372</v>
      </c>
      <c r="C20" s="43">
        <v>97750</v>
      </c>
      <c r="D20" s="45">
        <v>48875</v>
      </c>
      <c r="E20" s="45">
        <f t="shared" si="0"/>
        <v>167125</v>
      </c>
      <c r="F20" s="45">
        <v>216000</v>
      </c>
      <c r="G20" s="45">
        <v>216000</v>
      </c>
      <c r="H20" s="15"/>
      <c r="I20" s="14"/>
      <c r="J20" s="14"/>
      <c r="K20" s="15"/>
      <c r="L20" s="14"/>
      <c r="M20" s="16"/>
      <c r="N20" s="14"/>
      <c r="O20" s="15"/>
      <c r="P20" s="15"/>
      <c r="Q20" s="15"/>
      <c r="R20" s="15"/>
      <c r="S20" s="15"/>
      <c r="T20" s="15"/>
      <c r="U20" s="15"/>
      <c r="V20" s="15"/>
      <c r="W20" s="15"/>
      <c r="X20" s="15"/>
      <c r="Y20" s="15"/>
      <c r="Z20" s="15"/>
    </row>
    <row r="21" spans="1:26" ht="15.75" customHeight="1" x14ac:dyDescent="0.25">
      <c r="A21" s="44" t="s">
        <v>373</v>
      </c>
      <c r="B21" s="41" t="s">
        <v>131</v>
      </c>
      <c r="C21" s="43">
        <v>203000</v>
      </c>
      <c r="D21" s="45">
        <v>203000</v>
      </c>
      <c r="E21" s="45">
        <f t="shared" si="0"/>
        <v>98000</v>
      </c>
      <c r="F21" s="45">
        <v>301000</v>
      </c>
      <c r="G21" s="45">
        <v>301000</v>
      </c>
      <c r="H21" s="15"/>
      <c r="I21" s="14"/>
      <c r="J21" s="14"/>
      <c r="K21" s="15"/>
      <c r="L21" s="14"/>
      <c r="M21" s="16"/>
      <c r="N21" s="14"/>
      <c r="O21" s="15"/>
      <c r="P21" s="15"/>
      <c r="Q21" s="15"/>
      <c r="R21" s="15"/>
      <c r="S21" s="15"/>
      <c r="T21" s="15"/>
      <c r="U21" s="15"/>
      <c r="V21" s="15"/>
      <c r="W21" s="15"/>
      <c r="X21" s="15"/>
      <c r="Y21" s="15"/>
      <c r="Z21" s="15"/>
    </row>
    <row r="22" spans="1:26" ht="15.75" customHeight="1" x14ac:dyDescent="0.25">
      <c r="A22" s="44" t="s">
        <v>374</v>
      </c>
      <c r="B22" s="41" t="s">
        <v>151</v>
      </c>
      <c r="C22" s="43">
        <v>1058141</v>
      </c>
      <c r="D22" s="45">
        <v>0</v>
      </c>
      <c r="E22" s="45">
        <f t="shared" si="0"/>
        <v>1559676</v>
      </c>
      <c r="F22" s="45">
        <v>1559676</v>
      </c>
      <c r="G22" s="45">
        <v>1628746</v>
      </c>
      <c r="H22" s="15"/>
      <c r="I22" s="14"/>
      <c r="J22" s="14"/>
      <c r="K22" s="15"/>
      <c r="L22" s="14"/>
      <c r="M22" s="16"/>
      <c r="N22" s="14"/>
      <c r="O22" s="15"/>
      <c r="P22" s="15"/>
      <c r="Q22" s="15"/>
      <c r="R22" s="15"/>
      <c r="S22" s="15"/>
      <c r="T22" s="15"/>
      <c r="U22" s="15"/>
      <c r="V22" s="15"/>
      <c r="W22" s="15"/>
      <c r="X22" s="15"/>
      <c r="Y22" s="15"/>
      <c r="Z22" s="15"/>
    </row>
    <row r="23" spans="1:26" ht="15.75" customHeight="1" x14ac:dyDescent="0.25">
      <c r="A23" s="44" t="s">
        <v>375</v>
      </c>
      <c r="B23" s="41" t="s">
        <v>153</v>
      </c>
      <c r="C23" s="43">
        <v>145000</v>
      </c>
      <c r="D23" s="45">
        <v>0</v>
      </c>
      <c r="E23" s="45">
        <f t="shared" si="0"/>
        <v>215000</v>
      </c>
      <c r="F23" s="45">
        <v>215000</v>
      </c>
      <c r="G23" s="45">
        <v>215000</v>
      </c>
      <c r="H23" s="15"/>
      <c r="I23" s="14"/>
      <c r="J23" s="14"/>
      <c r="K23" s="15"/>
      <c r="L23" s="14"/>
      <c r="M23" s="16"/>
      <c r="N23" s="14"/>
      <c r="O23" s="15"/>
      <c r="P23" s="15"/>
      <c r="Q23" s="15"/>
      <c r="R23" s="15"/>
      <c r="S23" s="15"/>
      <c r="T23" s="15"/>
      <c r="U23" s="15"/>
      <c r="V23" s="15"/>
      <c r="W23" s="15"/>
      <c r="X23" s="15"/>
      <c r="Y23" s="15"/>
      <c r="Z23" s="15"/>
    </row>
    <row r="24" spans="1:26" ht="15.75" customHeight="1" x14ac:dyDescent="0.25">
      <c r="A24" s="44" t="s">
        <v>376</v>
      </c>
      <c r="B24" s="41" t="s">
        <v>155</v>
      </c>
      <c r="C24" s="43"/>
      <c r="D24" s="45"/>
      <c r="E24" s="45"/>
      <c r="F24" s="45"/>
      <c r="G24" s="45"/>
      <c r="H24" s="15"/>
      <c r="I24" s="14"/>
      <c r="J24" s="14"/>
      <c r="K24" s="15"/>
      <c r="L24" s="14"/>
      <c r="M24" s="16"/>
      <c r="N24" s="14"/>
      <c r="O24" s="15"/>
      <c r="P24" s="15"/>
      <c r="Q24" s="15"/>
      <c r="R24" s="15"/>
      <c r="S24" s="15"/>
      <c r="T24" s="15"/>
      <c r="U24" s="15"/>
      <c r="V24" s="15"/>
      <c r="W24" s="15"/>
      <c r="X24" s="15"/>
      <c r="Y24" s="15"/>
      <c r="Z24" s="15"/>
    </row>
    <row r="25" spans="1:26" ht="15.75" customHeight="1" x14ac:dyDescent="0.25">
      <c r="A25" s="44" t="s">
        <v>377</v>
      </c>
      <c r="B25" s="41" t="s">
        <v>157</v>
      </c>
      <c r="C25" s="43">
        <v>15000</v>
      </c>
      <c r="D25" s="45">
        <v>15000</v>
      </c>
      <c r="E25" s="45">
        <f>+F25-D25</f>
        <v>10000</v>
      </c>
      <c r="F25" s="45">
        <v>25000</v>
      </c>
      <c r="G25" s="45">
        <v>45000</v>
      </c>
      <c r="H25" s="15"/>
      <c r="I25" s="14"/>
      <c r="J25" s="14"/>
      <c r="K25" s="15"/>
      <c r="L25" s="14"/>
      <c r="M25" s="16"/>
      <c r="N25" s="14"/>
      <c r="O25" s="15"/>
      <c r="P25" s="15"/>
      <c r="Q25" s="15"/>
      <c r="R25" s="15"/>
      <c r="S25" s="15"/>
      <c r="T25" s="15"/>
      <c r="U25" s="15"/>
      <c r="V25" s="15"/>
      <c r="W25" s="15"/>
      <c r="X25" s="15"/>
      <c r="Y25" s="15"/>
      <c r="Z25" s="15"/>
    </row>
    <row r="26" spans="1:26" ht="15.75" customHeight="1" x14ac:dyDescent="0.25">
      <c r="A26" s="44" t="s">
        <v>1227</v>
      </c>
      <c r="B26" s="41" t="s">
        <v>159</v>
      </c>
      <c r="C26" s="43">
        <v>0</v>
      </c>
      <c r="D26" s="45">
        <v>87000</v>
      </c>
      <c r="E26" s="45">
        <v>42000</v>
      </c>
      <c r="F26" s="45">
        <v>129000</v>
      </c>
      <c r="G26" s="45">
        <v>0</v>
      </c>
      <c r="H26" s="15"/>
      <c r="I26" s="14"/>
      <c r="J26" s="14"/>
      <c r="K26" s="15"/>
      <c r="L26" s="14"/>
      <c r="M26" s="16"/>
      <c r="N26" s="14"/>
      <c r="O26" s="15"/>
      <c r="P26" s="15"/>
      <c r="Q26" s="15"/>
      <c r="R26" s="15"/>
      <c r="S26" s="15"/>
      <c r="T26" s="15"/>
      <c r="U26" s="15"/>
      <c r="V26" s="15"/>
      <c r="W26" s="15"/>
      <c r="X26" s="15"/>
      <c r="Y26" s="15"/>
      <c r="Z26" s="15"/>
    </row>
    <row r="27" spans="1:26" ht="15.75" customHeight="1" x14ac:dyDescent="0.25">
      <c r="A27" s="44" t="s">
        <v>379</v>
      </c>
      <c r="B27" s="41" t="s">
        <v>161</v>
      </c>
      <c r="C27" s="43">
        <v>1010612</v>
      </c>
      <c r="D27" s="45">
        <v>1063782</v>
      </c>
      <c r="E27" s="45">
        <f>+F27-D27</f>
        <v>495894</v>
      </c>
      <c r="F27" s="45">
        <v>1559676</v>
      </c>
      <c r="G27" s="45">
        <v>1628746</v>
      </c>
      <c r="H27" s="15"/>
      <c r="I27" s="14"/>
      <c r="J27" s="14"/>
      <c r="K27" s="15"/>
      <c r="L27" s="14"/>
      <c r="M27" s="16"/>
      <c r="N27" s="14"/>
      <c r="O27" s="15"/>
      <c r="P27" s="15"/>
      <c r="Q27" s="15"/>
      <c r="R27" s="15"/>
      <c r="S27" s="15"/>
      <c r="T27" s="15"/>
      <c r="U27" s="15"/>
      <c r="V27" s="15"/>
      <c r="W27" s="15"/>
      <c r="X27" s="15"/>
      <c r="Y27" s="15"/>
      <c r="Z27" s="15"/>
    </row>
    <row r="28" spans="1:26" ht="15.75" customHeight="1" x14ac:dyDescent="0.25">
      <c r="A28" s="17" t="s">
        <v>380</v>
      </c>
      <c r="B28" s="41"/>
      <c r="C28" s="43"/>
      <c r="D28" s="45"/>
      <c r="E28" s="45"/>
      <c r="F28" s="45"/>
      <c r="G28" s="45"/>
      <c r="H28" s="15"/>
      <c r="I28" s="14"/>
      <c r="J28" s="14"/>
      <c r="K28" s="15"/>
      <c r="L28" s="14"/>
      <c r="M28" s="16"/>
      <c r="N28" s="14"/>
      <c r="O28" s="15"/>
      <c r="P28" s="15"/>
      <c r="Q28" s="15"/>
      <c r="R28" s="15"/>
      <c r="S28" s="15"/>
      <c r="T28" s="15"/>
      <c r="U28" s="15"/>
      <c r="V28" s="15"/>
      <c r="W28" s="15"/>
      <c r="X28" s="15"/>
      <c r="Y28" s="15"/>
      <c r="Z28" s="15"/>
    </row>
    <row r="29" spans="1:26" ht="15.75" customHeight="1" x14ac:dyDescent="0.25">
      <c r="A29" s="44" t="s">
        <v>381</v>
      </c>
      <c r="B29" s="41" t="s">
        <v>165</v>
      </c>
      <c r="C29" s="43">
        <v>1483309.41</v>
      </c>
      <c r="D29" s="45">
        <v>770371.57</v>
      </c>
      <c r="E29" s="45">
        <f t="shared" ref="E29:E32" si="1">+F29-D29</f>
        <v>1475562.4300000002</v>
      </c>
      <c r="F29" s="45">
        <v>2245934</v>
      </c>
      <c r="G29" s="45">
        <v>2345395</v>
      </c>
      <c r="H29" s="15"/>
      <c r="I29" s="14"/>
      <c r="J29" s="14"/>
      <c r="K29" s="15"/>
      <c r="L29" s="14"/>
      <c r="M29" s="16"/>
      <c r="N29" s="14"/>
      <c r="O29" s="15"/>
      <c r="P29" s="15"/>
      <c r="Q29" s="15"/>
      <c r="R29" s="15"/>
      <c r="S29" s="15"/>
      <c r="T29" s="15"/>
      <c r="U29" s="15"/>
      <c r="V29" s="15"/>
      <c r="W29" s="15"/>
      <c r="X29" s="15"/>
      <c r="Y29" s="15"/>
      <c r="Z29" s="15"/>
    </row>
    <row r="30" spans="1:26" ht="15.75" customHeight="1" x14ac:dyDescent="0.25">
      <c r="A30" s="44" t="s">
        <v>382</v>
      </c>
      <c r="B30" s="41" t="s">
        <v>167</v>
      </c>
      <c r="C30" s="43">
        <v>247218.24</v>
      </c>
      <c r="D30" s="45">
        <v>128395.26</v>
      </c>
      <c r="E30" s="45">
        <f t="shared" si="1"/>
        <v>245927.74</v>
      </c>
      <c r="F30" s="45">
        <v>374323</v>
      </c>
      <c r="G30" s="45">
        <v>390900</v>
      </c>
      <c r="H30" s="15"/>
      <c r="I30" s="14"/>
      <c r="J30" s="14"/>
      <c r="K30" s="15"/>
      <c r="L30" s="14"/>
      <c r="M30" s="16"/>
      <c r="N30" s="14"/>
      <c r="O30" s="15"/>
      <c r="P30" s="15"/>
      <c r="Q30" s="15"/>
      <c r="R30" s="15"/>
      <c r="S30" s="15"/>
      <c r="T30" s="15"/>
      <c r="U30" s="15"/>
      <c r="V30" s="15"/>
      <c r="W30" s="15"/>
      <c r="X30" s="15"/>
      <c r="Y30" s="15"/>
      <c r="Z30" s="15"/>
    </row>
    <row r="31" spans="1:26" ht="15.75" customHeight="1" x14ac:dyDescent="0.25">
      <c r="A31" s="44" t="s">
        <v>383</v>
      </c>
      <c r="B31" s="41" t="s">
        <v>169</v>
      </c>
      <c r="C31" s="43">
        <v>299324.53000000003</v>
      </c>
      <c r="D31" s="45">
        <v>155142.04</v>
      </c>
      <c r="E31" s="45">
        <f t="shared" si="1"/>
        <v>302071.95999999996</v>
      </c>
      <c r="F31" s="45">
        <v>457214</v>
      </c>
      <c r="G31" s="45">
        <v>476019</v>
      </c>
      <c r="H31" s="15"/>
      <c r="I31" s="14"/>
      <c r="J31" s="14"/>
      <c r="K31" s="15"/>
      <c r="L31" s="14"/>
      <c r="M31" s="16"/>
      <c r="N31" s="14"/>
      <c r="O31" s="15"/>
      <c r="P31" s="15"/>
      <c r="Q31" s="15"/>
      <c r="R31" s="15"/>
      <c r="S31" s="15"/>
      <c r="T31" s="15"/>
      <c r="U31" s="15"/>
      <c r="V31" s="15"/>
      <c r="W31" s="15"/>
      <c r="X31" s="15"/>
      <c r="Y31" s="15"/>
      <c r="Z31" s="15"/>
    </row>
    <row r="32" spans="1:26" ht="15.75" customHeight="1" x14ac:dyDescent="0.25">
      <c r="A32" s="44" t="s">
        <v>384</v>
      </c>
      <c r="B32" s="41" t="s">
        <v>171</v>
      </c>
      <c r="C32" s="43">
        <v>34800</v>
      </c>
      <c r="D32" s="45">
        <v>17600</v>
      </c>
      <c r="E32" s="45">
        <f t="shared" si="1"/>
        <v>34000</v>
      </c>
      <c r="F32" s="45">
        <v>51600</v>
      </c>
      <c r="G32" s="45">
        <v>51600</v>
      </c>
      <c r="H32" s="15"/>
      <c r="I32" s="14"/>
      <c r="J32" s="14"/>
      <c r="K32" s="15"/>
      <c r="L32" s="14"/>
      <c r="M32" s="16"/>
      <c r="N32" s="14"/>
      <c r="O32" s="15"/>
      <c r="P32" s="15"/>
      <c r="Q32" s="15"/>
      <c r="R32" s="15"/>
      <c r="S32" s="15"/>
      <c r="T32" s="15"/>
      <c r="U32" s="15"/>
      <c r="V32" s="15"/>
      <c r="W32" s="15"/>
      <c r="X32" s="15"/>
      <c r="Y32" s="15"/>
      <c r="Z32" s="15"/>
    </row>
    <row r="33" spans="1:26" ht="15.75" customHeight="1" x14ac:dyDescent="0.25">
      <c r="A33" s="17" t="s">
        <v>624</v>
      </c>
      <c r="B33" s="41"/>
      <c r="C33" s="43"/>
      <c r="D33" s="45"/>
      <c r="E33" s="45"/>
      <c r="F33" s="45"/>
      <c r="G33" s="45"/>
      <c r="H33" s="15"/>
      <c r="I33" s="14"/>
      <c r="J33" s="14"/>
      <c r="K33" s="15"/>
      <c r="L33" s="14"/>
      <c r="M33" s="16"/>
      <c r="N33" s="14"/>
      <c r="O33" s="15"/>
      <c r="P33" s="15"/>
      <c r="Q33" s="15"/>
      <c r="R33" s="15"/>
      <c r="S33" s="15"/>
      <c r="T33" s="15"/>
      <c r="U33" s="15"/>
      <c r="V33" s="15"/>
      <c r="W33" s="15"/>
      <c r="X33" s="15"/>
      <c r="Y33" s="15"/>
      <c r="Z33" s="15"/>
    </row>
    <row r="34" spans="1:26" ht="15.75" customHeight="1" x14ac:dyDescent="0.25">
      <c r="A34" s="74" t="s">
        <v>791</v>
      </c>
      <c r="B34" s="25" t="s">
        <v>179</v>
      </c>
      <c r="C34" s="56">
        <v>0</v>
      </c>
      <c r="D34" s="56">
        <v>0</v>
      </c>
      <c r="E34" s="43">
        <v>0</v>
      </c>
      <c r="F34" s="26">
        <v>0</v>
      </c>
      <c r="G34" s="43">
        <f>115662+661604</f>
        <v>777266</v>
      </c>
      <c r="H34" s="15"/>
      <c r="I34" s="14"/>
      <c r="J34" s="14"/>
      <c r="K34" s="15"/>
      <c r="L34" s="14"/>
      <c r="M34" s="16"/>
      <c r="N34" s="14"/>
      <c r="O34" s="15"/>
      <c r="P34" s="15"/>
      <c r="Q34" s="15"/>
      <c r="R34" s="15"/>
      <c r="S34" s="15"/>
      <c r="T34" s="15"/>
      <c r="U34" s="15"/>
      <c r="V34" s="15"/>
      <c r="W34" s="15"/>
      <c r="X34" s="15"/>
      <c r="Y34" s="15"/>
      <c r="Z34" s="15"/>
    </row>
    <row r="35" spans="1:26" ht="15.75" customHeight="1" x14ac:dyDescent="0.25">
      <c r="A35" s="44" t="s">
        <v>387</v>
      </c>
      <c r="B35" s="41" t="s">
        <v>181</v>
      </c>
      <c r="C35" s="43">
        <v>339752.74</v>
      </c>
      <c r="D35" s="45">
        <v>207015.6</v>
      </c>
      <c r="E35" s="45">
        <f t="shared" ref="E35:E36" si="2">+F35-D35</f>
        <v>544634.4</v>
      </c>
      <c r="F35" s="45">
        <v>751650</v>
      </c>
      <c r="G35" s="45">
        <v>784937</v>
      </c>
      <c r="H35" s="15"/>
      <c r="I35" s="14"/>
      <c r="J35" s="14"/>
      <c r="K35" s="15"/>
      <c r="L35" s="14"/>
      <c r="M35" s="16"/>
      <c r="N35" s="14"/>
      <c r="O35" s="15"/>
      <c r="P35" s="15"/>
      <c r="Q35" s="15"/>
      <c r="R35" s="15"/>
      <c r="S35" s="15"/>
      <c r="T35" s="15"/>
      <c r="U35" s="15"/>
      <c r="V35" s="15"/>
      <c r="W35" s="15"/>
      <c r="X35" s="15"/>
      <c r="Y35" s="15"/>
      <c r="Z35" s="15"/>
    </row>
    <row r="36" spans="1:26" ht="15.75" customHeight="1" x14ac:dyDescent="0.25">
      <c r="A36" s="460" t="s">
        <v>388</v>
      </c>
      <c r="B36" s="454" t="s">
        <v>183</v>
      </c>
      <c r="C36" s="443">
        <v>145000</v>
      </c>
      <c r="D36" s="443">
        <v>0</v>
      </c>
      <c r="E36" s="443">
        <f t="shared" si="2"/>
        <v>215000</v>
      </c>
      <c r="F36" s="443">
        <v>215000</v>
      </c>
      <c r="G36" s="462">
        <v>215000</v>
      </c>
      <c r="H36" s="15"/>
      <c r="I36" s="14"/>
      <c r="J36" s="14"/>
      <c r="K36" s="15"/>
      <c r="L36" s="14"/>
      <c r="M36" s="16"/>
      <c r="N36" s="14"/>
      <c r="O36" s="15"/>
      <c r="P36" s="15"/>
      <c r="Q36" s="15"/>
      <c r="R36" s="15"/>
      <c r="S36" s="15"/>
      <c r="T36" s="15"/>
      <c r="U36" s="15"/>
      <c r="V36" s="15"/>
      <c r="W36" s="15"/>
      <c r="X36" s="15"/>
      <c r="Y36" s="15"/>
      <c r="Z36" s="15"/>
    </row>
    <row r="37" spans="1:26" ht="31.5" x14ac:dyDescent="0.25">
      <c r="A37" s="88" t="s">
        <v>625</v>
      </c>
      <c r="B37" s="49"/>
      <c r="C37" s="43">
        <v>0</v>
      </c>
      <c r="D37" s="45">
        <v>0</v>
      </c>
      <c r="E37" s="45">
        <v>0</v>
      </c>
      <c r="F37" s="45">
        <v>0</v>
      </c>
      <c r="G37" s="45">
        <v>560264</v>
      </c>
      <c r="H37" s="15"/>
      <c r="I37" s="14"/>
      <c r="J37" s="14"/>
      <c r="K37" s="15"/>
      <c r="L37" s="14"/>
      <c r="M37" s="16"/>
      <c r="N37" s="14"/>
      <c r="O37" s="15"/>
      <c r="P37" s="15"/>
      <c r="Q37" s="15"/>
      <c r="R37" s="15"/>
      <c r="S37" s="15"/>
      <c r="T37" s="15"/>
      <c r="U37" s="15"/>
      <c r="V37" s="15"/>
      <c r="W37" s="15"/>
      <c r="X37" s="15"/>
      <c r="Y37" s="15"/>
      <c r="Z37" s="15"/>
    </row>
    <row r="38" spans="1:26" ht="15.75" customHeight="1" x14ac:dyDescent="0.25">
      <c r="A38" s="17" t="s">
        <v>632</v>
      </c>
      <c r="B38" s="41"/>
      <c r="C38" s="54">
        <f t="shared" ref="C38:G38" si="3">+SUM(C16:C37)</f>
        <v>18334465.159999996</v>
      </c>
      <c r="D38" s="54">
        <f t="shared" si="3"/>
        <v>9577824.7499999981</v>
      </c>
      <c r="E38" s="54">
        <f t="shared" si="3"/>
        <v>18487360.25</v>
      </c>
      <c r="F38" s="54">
        <f t="shared" si="3"/>
        <v>28065185</v>
      </c>
      <c r="G38" s="54">
        <f t="shared" si="3"/>
        <v>30428825</v>
      </c>
      <c r="H38" s="232"/>
      <c r="I38" s="193"/>
      <c r="J38" s="193"/>
      <c r="K38" s="232"/>
      <c r="L38" s="193"/>
      <c r="M38" s="203"/>
      <c r="N38" s="193"/>
      <c r="O38" s="232"/>
      <c r="P38" s="232"/>
      <c r="Q38" s="232"/>
      <c r="R38" s="232"/>
      <c r="S38" s="232"/>
      <c r="T38" s="232"/>
      <c r="U38" s="232"/>
      <c r="V38" s="232"/>
      <c r="W38" s="232"/>
      <c r="X38" s="232"/>
      <c r="Y38" s="232"/>
      <c r="Z38" s="232"/>
    </row>
    <row r="39" spans="1:26" ht="15.75" customHeight="1" x14ac:dyDescent="0.25">
      <c r="A39" s="17"/>
      <c r="B39" s="20"/>
      <c r="C39" s="55"/>
      <c r="D39" s="55"/>
      <c r="E39" s="55"/>
      <c r="F39" s="55"/>
      <c r="G39" s="55"/>
      <c r="H39" s="10"/>
      <c r="I39" s="12"/>
      <c r="J39" s="12"/>
      <c r="K39" s="10"/>
      <c r="L39" s="12"/>
      <c r="M39" s="282"/>
      <c r="N39" s="12"/>
      <c r="O39" s="10"/>
      <c r="P39" s="10"/>
      <c r="Q39" s="10"/>
      <c r="R39" s="10"/>
      <c r="S39" s="10"/>
      <c r="T39" s="10"/>
      <c r="U39" s="10"/>
      <c r="V39" s="10"/>
      <c r="W39" s="10"/>
      <c r="X39" s="10"/>
      <c r="Y39" s="10"/>
      <c r="Z39" s="10"/>
    </row>
    <row r="40" spans="1:26" ht="15.75" customHeight="1" x14ac:dyDescent="0.25">
      <c r="A40" s="42" t="s">
        <v>391</v>
      </c>
      <c r="B40" s="41"/>
      <c r="C40" s="41"/>
      <c r="D40" s="43"/>
      <c r="E40" s="43"/>
      <c r="F40" s="41"/>
      <c r="G40" s="41"/>
      <c r="H40" s="15"/>
      <c r="I40" s="14"/>
      <c r="J40" s="14"/>
      <c r="K40" s="15"/>
      <c r="L40" s="14"/>
      <c r="M40" s="16"/>
      <c r="N40" s="14"/>
      <c r="O40" s="15"/>
      <c r="P40" s="15"/>
      <c r="Q40" s="15"/>
      <c r="R40" s="15"/>
      <c r="S40" s="15"/>
      <c r="T40" s="15"/>
      <c r="U40" s="15"/>
      <c r="V40" s="15"/>
      <c r="W40" s="15"/>
      <c r="X40" s="15"/>
      <c r="Y40" s="15"/>
      <c r="Z40" s="15"/>
    </row>
    <row r="41" spans="1:26" ht="15.75" customHeight="1" x14ac:dyDescent="0.25">
      <c r="A41" s="17" t="s">
        <v>642</v>
      </c>
      <c r="B41" s="41"/>
      <c r="C41" s="43"/>
      <c r="D41" s="43"/>
      <c r="E41" s="43"/>
      <c r="F41" s="43"/>
      <c r="G41" s="43"/>
      <c r="H41" s="15"/>
      <c r="I41" s="14"/>
      <c r="J41" s="14"/>
      <c r="K41" s="15"/>
      <c r="L41" s="14"/>
      <c r="M41" s="16"/>
      <c r="N41" s="14"/>
      <c r="O41" s="15"/>
      <c r="P41" s="15"/>
      <c r="Q41" s="15"/>
      <c r="R41" s="15"/>
      <c r="S41" s="15"/>
      <c r="T41" s="15"/>
      <c r="U41" s="15"/>
      <c r="V41" s="15"/>
      <c r="W41" s="15"/>
      <c r="X41" s="15"/>
      <c r="Y41" s="15"/>
      <c r="Z41" s="15"/>
    </row>
    <row r="42" spans="1:26" ht="15.75" customHeight="1" x14ac:dyDescent="0.25">
      <c r="A42" s="44" t="s">
        <v>393</v>
      </c>
      <c r="B42" s="41" t="s">
        <v>187</v>
      </c>
      <c r="C42" s="43">
        <v>613785.23</v>
      </c>
      <c r="D42" s="43">
        <v>67390.44</v>
      </c>
      <c r="E42" s="43">
        <f>+F42-D42</f>
        <v>682609.56</v>
      </c>
      <c r="F42" s="43">
        <v>750000</v>
      </c>
      <c r="G42" s="43">
        <v>725000</v>
      </c>
      <c r="H42" s="15"/>
      <c r="I42" s="14"/>
      <c r="J42" s="14"/>
      <c r="K42" s="15"/>
      <c r="L42" s="14"/>
      <c r="M42" s="16"/>
      <c r="N42" s="14"/>
      <c r="O42" s="15"/>
      <c r="P42" s="15"/>
      <c r="Q42" s="15"/>
      <c r="R42" s="15"/>
      <c r="S42" s="15"/>
      <c r="T42" s="15"/>
      <c r="U42" s="15"/>
      <c r="V42" s="15"/>
      <c r="W42" s="15"/>
      <c r="X42" s="15"/>
      <c r="Y42" s="15"/>
      <c r="Z42" s="15"/>
    </row>
    <row r="43" spans="1:26" ht="15.75" customHeight="1" x14ac:dyDescent="0.25">
      <c r="A43" s="74" t="s">
        <v>2022</v>
      </c>
      <c r="B43" s="41"/>
      <c r="C43" s="43"/>
      <c r="D43" s="43"/>
      <c r="E43" s="43"/>
      <c r="F43" s="43"/>
      <c r="G43" s="43"/>
      <c r="H43" s="15"/>
      <c r="I43" s="14"/>
      <c r="J43" s="14"/>
      <c r="K43" s="15"/>
      <c r="L43" s="14"/>
      <c r="M43" s="16"/>
      <c r="N43" s="14"/>
      <c r="O43" s="15"/>
      <c r="P43" s="15"/>
      <c r="Q43" s="15"/>
      <c r="R43" s="15"/>
      <c r="S43" s="15"/>
      <c r="T43" s="15"/>
      <c r="U43" s="15"/>
      <c r="V43" s="15"/>
      <c r="W43" s="15"/>
      <c r="X43" s="15"/>
      <c r="Y43" s="15"/>
      <c r="Z43" s="15"/>
    </row>
    <row r="44" spans="1:26" ht="15.75" customHeight="1" x14ac:dyDescent="0.25">
      <c r="A44" s="74" t="s">
        <v>2023</v>
      </c>
      <c r="B44" s="41"/>
      <c r="C44" s="43"/>
      <c r="D44" s="43"/>
      <c r="E44" s="43"/>
      <c r="F44" s="43"/>
      <c r="G44" s="43"/>
      <c r="H44" s="15"/>
      <c r="I44" s="14"/>
      <c r="J44" s="14"/>
      <c r="K44" s="15"/>
      <c r="L44" s="14"/>
      <c r="M44" s="16"/>
      <c r="N44" s="14"/>
      <c r="O44" s="15"/>
      <c r="P44" s="15"/>
      <c r="Q44" s="15"/>
      <c r="R44" s="15"/>
      <c r="S44" s="15"/>
      <c r="T44" s="15"/>
      <c r="U44" s="15"/>
      <c r="V44" s="15"/>
      <c r="W44" s="15"/>
      <c r="X44" s="15"/>
      <c r="Y44" s="15"/>
      <c r="Z44" s="15"/>
    </row>
    <row r="45" spans="1:26" ht="15.75" customHeight="1" x14ac:dyDescent="0.25">
      <c r="A45" s="42" t="s">
        <v>493</v>
      </c>
      <c r="B45" s="41"/>
      <c r="C45" s="43"/>
      <c r="D45" s="43"/>
      <c r="E45" s="43"/>
      <c r="F45" s="43"/>
      <c r="G45" s="43"/>
      <c r="H45" s="15"/>
      <c r="I45" s="14"/>
      <c r="J45" s="14"/>
      <c r="K45" s="15"/>
      <c r="L45" s="14"/>
      <c r="M45" s="16"/>
      <c r="N45" s="14"/>
      <c r="O45" s="15"/>
      <c r="P45" s="15"/>
      <c r="Q45" s="15"/>
      <c r="R45" s="15"/>
      <c r="S45" s="15"/>
      <c r="T45" s="15"/>
      <c r="U45" s="15"/>
      <c r="V45" s="15"/>
      <c r="W45" s="15"/>
      <c r="X45" s="15"/>
      <c r="Y45" s="15"/>
      <c r="Z45" s="15"/>
    </row>
    <row r="46" spans="1:26" ht="15.75" customHeight="1" x14ac:dyDescent="0.25">
      <c r="A46" s="44" t="s">
        <v>396</v>
      </c>
      <c r="B46" s="41" t="s">
        <v>191</v>
      </c>
      <c r="C46" s="43">
        <v>664267.22</v>
      </c>
      <c r="D46" s="43">
        <v>533371.59</v>
      </c>
      <c r="E46" s="43">
        <f>+F46-D46</f>
        <v>151951.41000000003</v>
      </c>
      <c r="F46" s="43">
        <v>685323</v>
      </c>
      <c r="G46" s="43">
        <f>300000+51879+83458+323861</f>
        <v>759198</v>
      </c>
      <c r="H46" s="15"/>
      <c r="I46" s="14"/>
      <c r="J46" s="14"/>
      <c r="K46" s="15"/>
      <c r="L46" s="14"/>
      <c r="M46" s="16"/>
      <c r="N46" s="14"/>
      <c r="O46" s="15"/>
      <c r="P46" s="15"/>
      <c r="Q46" s="15"/>
      <c r="R46" s="15"/>
      <c r="S46" s="15"/>
      <c r="T46" s="15"/>
      <c r="U46" s="15"/>
      <c r="V46" s="15"/>
      <c r="W46" s="15"/>
      <c r="X46" s="15"/>
      <c r="Y46" s="15"/>
      <c r="Z46" s="15"/>
    </row>
    <row r="47" spans="1:26" ht="15.75" customHeight="1" x14ac:dyDescent="0.25">
      <c r="A47" s="74" t="s">
        <v>2024</v>
      </c>
      <c r="B47" s="41"/>
      <c r="C47" s="43"/>
      <c r="D47" s="45"/>
      <c r="E47" s="43"/>
      <c r="F47" s="45"/>
      <c r="G47" s="45"/>
      <c r="H47" s="15"/>
      <c r="I47" s="14"/>
      <c r="J47" s="14"/>
      <c r="K47" s="15"/>
      <c r="L47" s="14"/>
      <c r="M47" s="16"/>
      <c r="N47" s="14"/>
      <c r="O47" s="15"/>
      <c r="P47" s="15"/>
      <c r="Q47" s="15"/>
      <c r="R47" s="15"/>
      <c r="S47" s="15"/>
      <c r="T47" s="15"/>
      <c r="U47" s="15"/>
      <c r="V47" s="15"/>
      <c r="W47" s="15"/>
      <c r="X47" s="15"/>
      <c r="Y47" s="15"/>
      <c r="Z47" s="15"/>
    </row>
    <row r="48" spans="1:26" ht="15.75" customHeight="1" x14ac:dyDescent="0.25">
      <c r="A48" s="74" t="s">
        <v>2025</v>
      </c>
      <c r="B48" s="41"/>
      <c r="C48" s="43"/>
      <c r="D48" s="45"/>
      <c r="E48" s="43"/>
      <c r="F48" s="45"/>
      <c r="G48" s="45"/>
      <c r="H48" s="15"/>
      <c r="I48" s="14"/>
      <c r="J48" s="14"/>
      <c r="K48" s="15"/>
      <c r="L48" s="14"/>
      <c r="M48" s="16"/>
      <c r="N48" s="14"/>
      <c r="O48" s="15"/>
      <c r="P48" s="15"/>
      <c r="Q48" s="15"/>
      <c r="R48" s="15"/>
      <c r="S48" s="15"/>
      <c r="T48" s="15"/>
      <c r="U48" s="15"/>
      <c r="V48" s="15"/>
      <c r="W48" s="15"/>
      <c r="X48" s="15"/>
      <c r="Y48" s="15"/>
      <c r="Z48" s="15"/>
    </row>
    <row r="49" spans="1:26" ht="31.5" x14ac:dyDescent="0.25">
      <c r="A49" s="90" t="s">
        <v>2026</v>
      </c>
      <c r="B49" s="41"/>
      <c r="C49" s="43"/>
      <c r="D49" s="45"/>
      <c r="E49" s="43"/>
      <c r="F49" s="45"/>
      <c r="G49" s="45"/>
      <c r="H49" s="15"/>
      <c r="I49" s="14"/>
      <c r="J49" s="14"/>
      <c r="K49" s="15"/>
      <c r="L49" s="14"/>
      <c r="M49" s="16"/>
      <c r="N49" s="14"/>
      <c r="O49" s="15"/>
      <c r="P49" s="15"/>
      <c r="Q49" s="15"/>
      <c r="R49" s="15"/>
      <c r="S49" s="15"/>
      <c r="T49" s="15"/>
      <c r="U49" s="15"/>
      <c r="V49" s="15"/>
      <c r="W49" s="15"/>
      <c r="X49" s="15"/>
      <c r="Y49" s="15"/>
      <c r="Z49" s="15"/>
    </row>
    <row r="50" spans="1:26" ht="15.75" customHeight="1" x14ac:dyDescent="0.25">
      <c r="A50" s="74" t="s">
        <v>2027</v>
      </c>
      <c r="B50" s="41"/>
      <c r="C50" s="43"/>
      <c r="D50" s="45"/>
      <c r="E50" s="43"/>
      <c r="F50" s="45"/>
      <c r="G50" s="45"/>
      <c r="H50" s="15"/>
      <c r="I50" s="14"/>
      <c r="J50" s="14">
        <f>35261+148000+140600-323861</f>
        <v>0</v>
      </c>
      <c r="K50" s="15"/>
      <c r="L50" s="14"/>
      <c r="M50" s="16"/>
      <c r="N50" s="14"/>
      <c r="O50" s="15"/>
      <c r="P50" s="15"/>
      <c r="Q50" s="15"/>
      <c r="R50" s="15"/>
      <c r="S50" s="15"/>
      <c r="T50" s="15"/>
      <c r="U50" s="15"/>
      <c r="V50" s="15"/>
      <c r="W50" s="15"/>
      <c r="X50" s="15"/>
      <c r="Y50" s="15"/>
      <c r="Z50" s="15"/>
    </row>
    <row r="51" spans="1:26" ht="15.75" customHeight="1" x14ac:dyDescent="0.25">
      <c r="A51" s="42" t="s">
        <v>499</v>
      </c>
      <c r="B51" s="41"/>
      <c r="C51" s="43"/>
      <c r="D51" s="45"/>
      <c r="E51" s="43"/>
      <c r="F51" s="45"/>
      <c r="G51" s="45"/>
      <c r="H51" s="15"/>
      <c r="I51" s="14"/>
      <c r="J51" s="14"/>
      <c r="K51" s="15"/>
      <c r="L51" s="14"/>
      <c r="M51" s="16"/>
      <c r="N51" s="14"/>
      <c r="O51" s="15"/>
      <c r="P51" s="15"/>
      <c r="Q51" s="15"/>
      <c r="R51" s="15"/>
      <c r="S51" s="15"/>
      <c r="T51" s="15"/>
      <c r="U51" s="15"/>
      <c r="V51" s="15"/>
      <c r="W51" s="15"/>
      <c r="X51" s="15"/>
      <c r="Y51" s="15"/>
      <c r="Z51" s="15"/>
    </row>
    <row r="52" spans="1:26" ht="15.75" customHeight="1" x14ac:dyDescent="0.25">
      <c r="A52" s="44" t="s">
        <v>398</v>
      </c>
      <c r="B52" s="41" t="s">
        <v>195</v>
      </c>
      <c r="C52" s="43">
        <v>293404.32</v>
      </c>
      <c r="D52" s="45">
        <v>0</v>
      </c>
      <c r="E52" s="43">
        <f>+F52-D52</f>
        <v>433760</v>
      </c>
      <c r="F52" s="45">
        <v>433760</v>
      </c>
      <c r="G52" s="45">
        <f>280070+4899+30885+56542+45066</f>
        <v>417462</v>
      </c>
      <c r="H52" s="15"/>
      <c r="I52" s="14"/>
      <c r="J52" s="14"/>
      <c r="K52" s="15"/>
      <c r="L52" s="14"/>
      <c r="M52" s="16"/>
      <c r="N52" s="14"/>
      <c r="O52" s="15"/>
      <c r="P52" s="15"/>
      <c r="Q52" s="15"/>
      <c r="R52" s="15"/>
      <c r="S52" s="15"/>
      <c r="T52" s="15"/>
      <c r="U52" s="15"/>
      <c r="V52" s="15"/>
      <c r="W52" s="15"/>
      <c r="X52" s="15"/>
      <c r="Y52" s="15"/>
      <c r="Z52" s="15"/>
    </row>
    <row r="53" spans="1:26" ht="15.75" customHeight="1" x14ac:dyDescent="0.25">
      <c r="A53" s="74" t="s">
        <v>2028</v>
      </c>
      <c r="B53" s="41"/>
      <c r="C53" s="43"/>
      <c r="D53" s="45"/>
      <c r="E53" s="43"/>
      <c r="F53" s="45"/>
      <c r="G53" s="45"/>
      <c r="H53" s="15"/>
      <c r="I53" s="14"/>
      <c r="J53" s="14"/>
      <c r="K53" s="15"/>
      <c r="L53" s="14"/>
      <c r="M53" s="16"/>
      <c r="N53" s="14"/>
      <c r="O53" s="15"/>
      <c r="P53" s="15"/>
      <c r="Q53" s="15"/>
      <c r="R53" s="15"/>
      <c r="S53" s="15"/>
      <c r="T53" s="15"/>
      <c r="U53" s="15"/>
      <c r="V53" s="15"/>
      <c r="W53" s="15"/>
      <c r="X53" s="15"/>
      <c r="Y53" s="15"/>
      <c r="Z53" s="15"/>
    </row>
    <row r="54" spans="1:26" ht="15.75" customHeight="1" x14ac:dyDescent="0.25">
      <c r="A54" s="74" t="s">
        <v>2029</v>
      </c>
      <c r="B54" s="41"/>
      <c r="C54" s="43"/>
      <c r="D54" s="45"/>
      <c r="E54" s="43"/>
      <c r="F54" s="45"/>
      <c r="G54" s="45"/>
      <c r="H54" s="15"/>
      <c r="I54" s="14"/>
      <c r="J54" s="14"/>
      <c r="K54" s="15"/>
      <c r="L54" s="14"/>
      <c r="M54" s="16"/>
      <c r="N54" s="14"/>
      <c r="O54" s="15"/>
      <c r="P54" s="15"/>
      <c r="Q54" s="15"/>
      <c r="R54" s="15"/>
      <c r="S54" s="15"/>
      <c r="T54" s="15"/>
      <c r="U54" s="15"/>
      <c r="V54" s="15"/>
      <c r="W54" s="15"/>
      <c r="X54" s="15"/>
      <c r="Y54" s="15"/>
      <c r="Z54" s="15"/>
    </row>
    <row r="55" spans="1:26" ht="15.75" customHeight="1" x14ac:dyDescent="0.25">
      <c r="A55" s="602" t="s">
        <v>2030</v>
      </c>
      <c r="B55" s="483"/>
      <c r="C55" s="457"/>
      <c r="D55" s="452"/>
      <c r="E55" s="457"/>
      <c r="F55" s="452"/>
      <c r="G55" s="452"/>
      <c r="H55" s="15"/>
      <c r="I55" s="14"/>
      <c r="J55" s="14"/>
      <c r="K55" s="15"/>
      <c r="L55" s="14"/>
      <c r="M55" s="16"/>
      <c r="N55" s="14"/>
      <c r="O55" s="15"/>
      <c r="P55" s="15"/>
      <c r="Q55" s="15"/>
      <c r="R55" s="15"/>
      <c r="S55" s="15"/>
      <c r="T55" s="15"/>
      <c r="U55" s="15"/>
      <c r="V55" s="15"/>
      <c r="W55" s="15"/>
      <c r="X55" s="15"/>
      <c r="Y55" s="15"/>
      <c r="Z55" s="15"/>
    </row>
    <row r="56" spans="1:26" ht="15.75" customHeight="1" x14ac:dyDescent="0.25">
      <c r="A56" s="671" t="s">
        <v>2031</v>
      </c>
      <c r="B56" s="601"/>
      <c r="C56" s="448"/>
      <c r="D56" s="449"/>
      <c r="E56" s="448"/>
      <c r="F56" s="449"/>
      <c r="G56" s="449"/>
      <c r="H56" s="15"/>
      <c r="I56" s="14"/>
      <c r="J56" s="14"/>
      <c r="K56" s="15"/>
      <c r="L56" s="14"/>
      <c r="M56" s="16"/>
      <c r="N56" s="14"/>
      <c r="O56" s="15"/>
      <c r="P56" s="15"/>
      <c r="Q56" s="15"/>
      <c r="R56" s="15"/>
      <c r="S56" s="15"/>
      <c r="T56" s="15"/>
      <c r="U56" s="15"/>
      <c r="V56" s="15"/>
      <c r="W56" s="15"/>
      <c r="X56" s="15"/>
      <c r="Y56" s="15"/>
      <c r="Z56" s="15"/>
    </row>
    <row r="57" spans="1:26" ht="15.75" customHeight="1" x14ac:dyDescent="0.25">
      <c r="A57" s="74" t="s">
        <v>2032</v>
      </c>
      <c r="B57" s="41"/>
      <c r="C57" s="43"/>
      <c r="D57" s="45"/>
      <c r="E57" s="43"/>
      <c r="F57" s="45"/>
      <c r="G57" s="45"/>
      <c r="H57" s="15"/>
      <c r="I57" s="14"/>
      <c r="J57" s="14"/>
      <c r="K57" s="15"/>
      <c r="L57" s="14"/>
      <c r="M57" s="16"/>
      <c r="N57" s="14"/>
      <c r="O57" s="15"/>
      <c r="P57" s="15"/>
      <c r="Q57" s="15"/>
      <c r="R57" s="15"/>
      <c r="S57" s="15"/>
      <c r="T57" s="15"/>
      <c r="U57" s="15"/>
      <c r="V57" s="15"/>
      <c r="W57" s="15"/>
      <c r="X57" s="15"/>
      <c r="Y57" s="15"/>
      <c r="Z57" s="15"/>
    </row>
    <row r="58" spans="1:26" ht="15.75" customHeight="1" x14ac:dyDescent="0.25">
      <c r="A58" s="48" t="s">
        <v>500</v>
      </c>
      <c r="B58" s="41" t="s">
        <v>201</v>
      </c>
      <c r="C58" s="43">
        <v>0</v>
      </c>
      <c r="D58" s="45">
        <v>0</v>
      </c>
      <c r="E58" s="43">
        <v>0</v>
      </c>
      <c r="F58" s="45">
        <v>0</v>
      </c>
      <c r="G58" s="45">
        <v>38000</v>
      </c>
      <c r="H58" s="15"/>
      <c r="I58" s="14"/>
      <c r="J58" s="14"/>
      <c r="K58" s="15"/>
      <c r="L58" s="14"/>
      <c r="M58" s="16"/>
      <c r="N58" s="14"/>
      <c r="O58" s="15"/>
      <c r="P58" s="15"/>
      <c r="Q58" s="15"/>
      <c r="R58" s="15"/>
      <c r="S58" s="15"/>
      <c r="T58" s="15"/>
      <c r="U58" s="15"/>
      <c r="V58" s="15"/>
      <c r="W58" s="15"/>
      <c r="X58" s="15"/>
      <c r="Y58" s="15"/>
      <c r="Z58" s="15"/>
    </row>
    <row r="59" spans="1:26" ht="15.75" customHeight="1" x14ac:dyDescent="0.25">
      <c r="A59" s="74" t="s">
        <v>2033</v>
      </c>
      <c r="B59" s="41"/>
      <c r="C59" s="43"/>
      <c r="D59" s="45"/>
      <c r="E59" s="43"/>
      <c r="F59" s="45"/>
      <c r="G59" s="45"/>
      <c r="H59" s="15"/>
      <c r="I59" s="14"/>
      <c r="J59" s="14"/>
      <c r="K59" s="15"/>
      <c r="L59" s="14"/>
      <c r="M59" s="16"/>
      <c r="N59" s="14"/>
      <c r="O59" s="15"/>
      <c r="P59" s="15"/>
      <c r="Q59" s="15"/>
      <c r="R59" s="15"/>
      <c r="S59" s="15"/>
      <c r="T59" s="15"/>
      <c r="U59" s="15"/>
      <c r="V59" s="15"/>
      <c r="W59" s="15"/>
      <c r="X59" s="15"/>
      <c r="Y59" s="15"/>
      <c r="Z59" s="15"/>
    </row>
    <row r="60" spans="1:26" ht="15.75" customHeight="1" x14ac:dyDescent="0.25">
      <c r="A60" s="48" t="s">
        <v>399</v>
      </c>
      <c r="B60" s="41" t="s">
        <v>211</v>
      </c>
      <c r="C60" s="43">
        <v>4339828.67</v>
      </c>
      <c r="D60" s="43">
        <v>5293123.8099999996</v>
      </c>
      <c r="E60" s="43">
        <f>+F60-D60</f>
        <v>1550697.1900000004</v>
      </c>
      <c r="F60" s="43">
        <v>6843821</v>
      </c>
      <c r="G60" s="43">
        <f>3787174+2691380</f>
        <v>6478554</v>
      </c>
      <c r="H60" s="15"/>
      <c r="I60" s="14"/>
      <c r="J60" s="14"/>
      <c r="K60" s="15"/>
      <c r="L60" s="14"/>
      <c r="M60" s="16"/>
      <c r="N60" s="14"/>
      <c r="O60" s="15"/>
      <c r="P60" s="15"/>
      <c r="Q60" s="15"/>
      <c r="R60" s="15"/>
      <c r="S60" s="15"/>
      <c r="T60" s="15"/>
      <c r="U60" s="15"/>
      <c r="V60" s="15"/>
      <c r="W60" s="15"/>
      <c r="X60" s="15"/>
      <c r="Y60" s="15"/>
      <c r="Z60" s="15"/>
    </row>
    <row r="61" spans="1:26" ht="15.75" customHeight="1" x14ac:dyDescent="0.25">
      <c r="A61" s="74" t="s">
        <v>2034</v>
      </c>
      <c r="B61" s="41"/>
      <c r="C61" s="43"/>
      <c r="D61" s="43"/>
      <c r="E61" s="43"/>
      <c r="F61" s="43"/>
      <c r="G61" s="43"/>
      <c r="H61" s="15"/>
      <c r="I61" s="14"/>
      <c r="J61" s="14"/>
      <c r="K61" s="15"/>
      <c r="L61" s="14"/>
      <c r="M61" s="16"/>
      <c r="N61" s="14"/>
      <c r="O61" s="15"/>
      <c r="P61" s="15"/>
      <c r="Q61" s="15"/>
      <c r="R61" s="15"/>
      <c r="S61" s="15"/>
      <c r="T61" s="15"/>
      <c r="U61" s="15"/>
      <c r="V61" s="15"/>
      <c r="W61" s="15"/>
      <c r="X61" s="15"/>
      <c r="Y61" s="15"/>
      <c r="Z61" s="15"/>
    </row>
    <row r="62" spans="1:26" ht="15.75" customHeight="1" x14ac:dyDescent="0.25">
      <c r="A62" s="74" t="s">
        <v>2035</v>
      </c>
      <c r="B62" s="41"/>
      <c r="C62" s="43"/>
      <c r="D62" s="43"/>
      <c r="E62" s="43"/>
      <c r="F62" s="43"/>
      <c r="G62" s="43"/>
      <c r="H62" s="15"/>
      <c r="I62" s="14"/>
      <c r="J62" s="14"/>
      <c r="K62" s="15"/>
      <c r="L62" s="14"/>
      <c r="M62" s="16"/>
      <c r="N62" s="14"/>
      <c r="O62" s="15"/>
      <c r="P62" s="15"/>
      <c r="Q62" s="15"/>
      <c r="R62" s="15"/>
      <c r="S62" s="15"/>
      <c r="T62" s="15"/>
      <c r="U62" s="15"/>
      <c r="V62" s="15"/>
      <c r="W62" s="15"/>
      <c r="X62" s="15"/>
      <c r="Y62" s="15"/>
      <c r="Z62" s="15"/>
    </row>
    <row r="63" spans="1:26" ht="15.75" customHeight="1" x14ac:dyDescent="0.25">
      <c r="A63" s="74" t="s">
        <v>835</v>
      </c>
      <c r="B63" s="41" t="s">
        <v>213</v>
      </c>
      <c r="C63" s="43">
        <v>18696641.75</v>
      </c>
      <c r="D63" s="43">
        <v>9426805.5</v>
      </c>
      <c r="E63" s="43">
        <f>+F63-D63</f>
        <v>8914504.5</v>
      </c>
      <c r="F63" s="43">
        <v>18341310</v>
      </c>
      <c r="G63" s="43">
        <f>562500+632500+1612100+223750+392500+102350+8919160</f>
        <v>12444860</v>
      </c>
      <c r="H63" s="15"/>
      <c r="I63" s="14"/>
      <c r="J63" s="14"/>
      <c r="K63" s="15"/>
      <c r="L63" s="14"/>
      <c r="M63" s="16"/>
      <c r="N63" s="14"/>
      <c r="O63" s="15"/>
      <c r="P63" s="15"/>
      <c r="Q63" s="15"/>
      <c r="R63" s="15"/>
      <c r="S63" s="15"/>
      <c r="T63" s="15"/>
      <c r="U63" s="15"/>
      <c r="V63" s="15"/>
      <c r="W63" s="15"/>
      <c r="X63" s="15"/>
      <c r="Y63" s="15"/>
      <c r="Z63" s="15"/>
    </row>
    <row r="64" spans="1:26" ht="15.75" customHeight="1" x14ac:dyDescent="0.25">
      <c r="A64" s="74" t="s">
        <v>2036</v>
      </c>
      <c r="B64" s="41"/>
      <c r="C64" s="43"/>
      <c r="D64" s="43"/>
      <c r="E64" s="43"/>
      <c r="F64" s="43"/>
      <c r="G64" s="43"/>
      <c r="H64" s="15"/>
      <c r="I64" s="14"/>
      <c r="J64" s="14"/>
      <c r="K64" s="15"/>
      <c r="L64" s="14"/>
      <c r="M64" s="16"/>
      <c r="N64" s="14"/>
      <c r="O64" s="15"/>
      <c r="P64" s="15"/>
      <c r="Q64" s="15"/>
      <c r="R64" s="15"/>
      <c r="S64" s="15"/>
      <c r="T64" s="15"/>
      <c r="U64" s="15"/>
      <c r="V64" s="15"/>
      <c r="W64" s="15"/>
      <c r="X64" s="15"/>
      <c r="Y64" s="15"/>
      <c r="Z64" s="15"/>
    </row>
    <row r="65" spans="1:26" ht="15.75" customHeight="1" x14ac:dyDescent="0.25">
      <c r="A65" s="74" t="s">
        <v>2037</v>
      </c>
      <c r="B65" s="41"/>
      <c r="C65" s="43"/>
      <c r="D65" s="43"/>
      <c r="E65" s="43"/>
      <c r="F65" s="43"/>
      <c r="G65" s="43"/>
      <c r="H65" s="15"/>
      <c r="I65" s="14"/>
      <c r="J65" s="14"/>
      <c r="K65" s="15"/>
      <c r="L65" s="14"/>
      <c r="M65" s="16"/>
      <c r="N65" s="14"/>
      <c r="O65" s="15"/>
      <c r="P65" s="15"/>
      <c r="Q65" s="15"/>
      <c r="R65" s="15"/>
      <c r="S65" s="15"/>
      <c r="T65" s="15"/>
      <c r="U65" s="15"/>
      <c r="V65" s="15"/>
      <c r="W65" s="15"/>
      <c r="X65" s="15"/>
      <c r="Y65" s="15"/>
      <c r="Z65" s="15"/>
    </row>
    <row r="66" spans="1:26" ht="15.75" customHeight="1" x14ac:dyDescent="0.25">
      <c r="A66" s="74" t="s">
        <v>2038</v>
      </c>
      <c r="B66" s="41"/>
      <c r="C66" s="43"/>
      <c r="D66" s="43"/>
      <c r="E66" s="43"/>
      <c r="F66" s="43"/>
      <c r="G66" s="43"/>
      <c r="H66" s="15"/>
      <c r="I66" s="14"/>
      <c r="J66" s="14"/>
      <c r="K66" s="15"/>
      <c r="L66" s="14"/>
      <c r="M66" s="16"/>
      <c r="N66" s="14"/>
      <c r="O66" s="15"/>
      <c r="P66" s="15"/>
      <c r="Q66" s="15"/>
      <c r="R66" s="15"/>
      <c r="S66" s="15"/>
      <c r="T66" s="15"/>
      <c r="U66" s="15"/>
      <c r="V66" s="15"/>
      <c r="W66" s="15"/>
      <c r="X66" s="15"/>
      <c r="Y66" s="15"/>
      <c r="Z66" s="15"/>
    </row>
    <row r="67" spans="1:26" ht="31.5" x14ac:dyDescent="0.25">
      <c r="A67" s="90" t="s">
        <v>2039</v>
      </c>
      <c r="B67" s="41"/>
      <c r="C67" s="43"/>
      <c r="D67" s="43"/>
      <c r="E67" s="43"/>
      <c r="F67" s="43"/>
      <c r="G67" s="43"/>
      <c r="H67" s="15"/>
      <c r="I67" s="14"/>
      <c r="J67" s="14"/>
      <c r="K67" s="15"/>
      <c r="L67" s="14"/>
      <c r="M67" s="16"/>
      <c r="N67" s="14"/>
      <c r="O67" s="15"/>
      <c r="P67" s="15"/>
      <c r="Q67" s="15"/>
      <c r="R67" s="15"/>
      <c r="S67" s="15"/>
      <c r="T67" s="15"/>
      <c r="U67" s="15"/>
      <c r="V67" s="15"/>
      <c r="W67" s="15"/>
      <c r="X67" s="15"/>
      <c r="Y67" s="15"/>
      <c r="Z67" s="15"/>
    </row>
    <row r="68" spans="1:26" ht="31.5" x14ac:dyDescent="0.25">
      <c r="A68" s="90" t="s">
        <v>2040</v>
      </c>
      <c r="B68" s="41"/>
      <c r="C68" s="43"/>
      <c r="D68" s="43"/>
      <c r="E68" s="43"/>
      <c r="F68" s="43"/>
      <c r="G68" s="43"/>
      <c r="H68" s="15"/>
      <c r="I68" s="14"/>
      <c r="J68" s="14"/>
      <c r="K68" s="15"/>
      <c r="L68" s="14"/>
      <c r="M68" s="16"/>
      <c r="N68" s="14"/>
      <c r="O68" s="15"/>
      <c r="P68" s="15"/>
      <c r="Q68" s="15"/>
      <c r="R68" s="15"/>
      <c r="S68" s="15"/>
      <c r="T68" s="15"/>
      <c r="U68" s="15"/>
      <c r="V68" s="15"/>
      <c r="W68" s="15"/>
      <c r="X68" s="15"/>
      <c r="Y68" s="15"/>
      <c r="Z68" s="15"/>
    </row>
    <row r="69" spans="1:26" ht="15.75" customHeight="1" x14ac:dyDescent="0.25">
      <c r="A69" s="468" t="s">
        <v>2041</v>
      </c>
      <c r="B69" s="454"/>
      <c r="C69" s="443"/>
      <c r="D69" s="443"/>
      <c r="E69" s="443"/>
      <c r="F69" s="443"/>
      <c r="G69" s="462"/>
      <c r="H69" s="15"/>
      <c r="I69" s="14"/>
      <c r="J69" s="14"/>
      <c r="K69" s="15"/>
      <c r="L69" s="14"/>
      <c r="M69" s="16"/>
      <c r="N69" s="14"/>
      <c r="O69" s="15"/>
      <c r="P69" s="15"/>
      <c r="Q69" s="15"/>
      <c r="R69" s="15"/>
      <c r="S69" s="15"/>
      <c r="T69" s="15"/>
      <c r="U69" s="15"/>
      <c r="V69" s="15"/>
      <c r="W69" s="15"/>
      <c r="X69" s="15"/>
      <c r="Y69" s="15"/>
      <c r="Z69" s="15"/>
    </row>
    <row r="70" spans="1:26" ht="47.25" x14ac:dyDescent="0.25">
      <c r="A70" s="465" t="s">
        <v>2042</v>
      </c>
      <c r="B70" s="454"/>
      <c r="C70" s="443"/>
      <c r="D70" s="443"/>
      <c r="E70" s="443"/>
      <c r="F70" s="443"/>
      <c r="G70" s="462"/>
      <c r="H70" s="15"/>
      <c r="I70" s="14"/>
      <c r="J70" s="14"/>
      <c r="K70" s="15"/>
      <c r="L70" s="14"/>
      <c r="M70" s="16"/>
      <c r="N70" s="14"/>
      <c r="O70" s="15"/>
      <c r="P70" s="15"/>
      <c r="Q70" s="15"/>
      <c r="R70" s="15"/>
      <c r="S70" s="15"/>
      <c r="T70" s="15"/>
      <c r="U70" s="15"/>
      <c r="V70" s="15"/>
      <c r="W70" s="15"/>
      <c r="X70" s="15"/>
      <c r="Y70" s="15"/>
      <c r="Z70" s="15"/>
    </row>
    <row r="71" spans="1:26" ht="15.75" customHeight="1" x14ac:dyDescent="0.25">
      <c r="A71" s="74" t="s">
        <v>400</v>
      </c>
      <c r="B71" s="41" t="s">
        <v>221</v>
      </c>
      <c r="C71" s="43">
        <v>0</v>
      </c>
      <c r="D71" s="43">
        <v>727362.5</v>
      </c>
      <c r="E71" s="43">
        <f>+F71-D71</f>
        <v>807412.5</v>
      </c>
      <c r="F71" s="43">
        <v>1534775</v>
      </c>
      <c r="G71" s="43">
        <f>58000+48500+246000+69000+43000+52960</f>
        <v>517460</v>
      </c>
      <c r="H71" s="15"/>
      <c r="I71" s="14"/>
      <c r="J71" s="14"/>
      <c r="K71" s="15"/>
      <c r="L71" s="14"/>
      <c r="M71" s="16"/>
      <c r="N71" s="14"/>
      <c r="O71" s="15"/>
      <c r="P71" s="15"/>
      <c r="Q71" s="15"/>
      <c r="R71" s="15"/>
      <c r="S71" s="15"/>
      <c r="T71" s="15"/>
      <c r="U71" s="15"/>
      <c r="V71" s="15"/>
      <c r="W71" s="15"/>
      <c r="X71" s="15"/>
      <c r="Y71" s="15"/>
      <c r="Z71" s="15"/>
    </row>
    <row r="72" spans="1:26" ht="15.75" customHeight="1" x14ac:dyDescent="0.25">
      <c r="A72" s="74" t="s">
        <v>2043</v>
      </c>
      <c r="B72" s="41"/>
      <c r="C72" s="43"/>
      <c r="D72" s="43"/>
      <c r="E72" s="43"/>
      <c r="F72" s="43"/>
      <c r="G72" s="43"/>
      <c r="H72" s="15"/>
      <c r="I72" s="14"/>
      <c r="J72" s="14"/>
      <c r="K72" s="15"/>
      <c r="L72" s="14"/>
      <c r="M72" s="16"/>
      <c r="N72" s="14"/>
      <c r="O72" s="15"/>
      <c r="P72" s="15"/>
      <c r="Q72" s="15"/>
      <c r="R72" s="15"/>
      <c r="S72" s="15"/>
      <c r="T72" s="15"/>
      <c r="U72" s="15"/>
      <c r="V72" s="15"/>
      <c r="W72" s="15"/>
      <c r="X72" s="15"/>
      <c r="Y72" s="15"/>
      <c r="Z72" s="15"/>
    </row>
    <row r="73" spans="1:26" ht="15.75" customHeight="1" x14ac:dyDescent="0.25">
      <c r="A73" s="74" t="s">
        <v>2044</v>
      </c>
      <c r="B73" s="41"/>
      <c r="C73" s="43"/>
      <c r="D73" s="43"/>
      <c r="E73" s="43"/>
      <c r="F73" s="43"/>
      <c r="G73" s="43"/>
      <c r="H73" s="15"/>
      <c r="I73" s="14"/>
      <c r="J73" s="14"/>
      <c r="K73" s="15"/>
      <c r="L73" s="14"/>
      <c r="M73" s="16"/>
      <c r="N73" s="14"/>
      <c r="O73" s="15"/>
      <c r="P73" s="15"/>
      <c r="Q73" s="15"/>
      <c r="R73" s="15"/>
      <c r="S73" s="15"/>
      <c r="T73" s="15"/>
      <c r="U73" s="15"/>
      <c r="V73" s="15"/>
      <c r="W73" s="15"/>
      <c r="X73" s="15"/>
      <c r="Y73" s="15"/>
      <c r="Z73" s="15"/>
    </row>
    <row r="74" spans="1:26" ht="15.75" customHeight="1" x14ac:dyDescent="0.25">
      <c r="A74" s="74" t="s">
        <v>2045</v>
      </c>
      <c r="B74" s="41"/>
      <c r="C74" s="43"/>
      <c r="D74" s="43"/>
      <c r="E74" s="43"/>
      <c r="F74" s="43"/>
      <c r="G74" s="43"/>
      <c r="H74" s="15"/>
      <c r="I74" s="14"/>
      <c r="J74" s="14"/>
      <c r="K74" s="15"/>
      <c r="L74" s="14"/>
      <c r="M74" s="16"/>
      <c r="N74" s="14"/>
      <c r="O74" s="15"/>
      <c r="P74" s="15"/>
      <c r="Q74" s="15"/>
      <c r="R74" s="15"/>
      <c r="S74" s="15"/>
      <c r="T74" s="15"/>
      <c r="U74" s="15"/>
      <c r="V74" s="15"/>
      <c r="W74" s="15"/>
      <c r="X74" s="15"/>
      <c r="Y74" s="15"/>
      <c r="Z74" s="15"/>
    </row>
    <row r="75" spans="1:26" ht="15.75" customHeight="1" x14ac:dyDescent="0.25">
      <c r="A75" s="74" t="s">
        <v>2046</v>
      </c>
      <c r="B75" s="41"/>
      <c r="C75" s="43"/>
      <c r="D75" s="43"/>
      <c r="E75" s="43"/>
      <c r="F75" s="43"/>
      <c r="G75" s="43"/>
      <c r="H75" s="15"/>
      <c r="I75" s="14"/>
      <c r="J75" s="14"/>
      <c r="K75" s="15"/>
      <c r="L75" s="14"/>
      <c r="M75" s="16"/>
      <c r="N75" s="14"/>
      <c r="O75" s="15"/>
      <c r="P75" s="15"/>
      <c r="Q75" s="15"/>
      <c r="R75" s="15"/>
      <c r="S75" s="15"/>
      <c r="T75" s="15"/>
      <c r="U75" s="15"/>
      <c r="V75" s="15"/>
      <c r="W75" s="15"/>
      <c r="X75" s="15"/>
      <c r="Y75" s="15"/>
      <c r="Z75" s="15"/>
    </row>
    <row r="76" spans="1:26" ht="31.5" x14ac:dyDescent="0.25">
      <c r="A76" s="90" t="s">
        <v>2047</v>
      </c>
      <c r="B76" s="41"/>
      <c r="C76" s="43"/>
      <c r="D76" s="43"/>
      <c r="E76" s="43"/>
      <c r="F76" s="43"/>
      <c r="G76" s="43"/>
      <c r="H76" s="15"/>
      <c r="I76" s="14"/>
      <c r="J76" s="14"/>
      <c r="K76" s="15"/>
      <c r="L76" s="14"/>
      <c r="M76" s="16"/>
      <c r="N76" s="14"/>
      <c r="O76" s="15"/>
      <c r="P76" s="15"/>
      <c r="Q76" s="15"/>
      <c r="R76" s="15"/>
      <c r="S76" s="15"/>
      <c r="T76" s="15"/>
      <c r="U76" s="15"/>
      <c r="V76" s="15"/>
      <c r="W76" s="15"/>
      <c r="X76" s="15"/>
      <c r="Y76" s="15"/>
      <c r="Z76" s="15"/>
    </row>
    <row r="77" spans="1:26" ht="15.75" customHeight="1" x14ac:dyDescent="0.25">
      <c r="A77" s="74" t="s">
        <v>2048</v>
      </c>
      <c r="B77" s="41"/>
      <c r="C77" s="43"/>
      <c r="D77" s="43"/>
      <c r="E77" s="43"/>
      <c r="F77" s="43"/>
      <c r="G77" s="43"/>
      <c r="H77" s="15"/>
      <c r="I77" s="14"/>
      <c r="J77" s="14"/>
      <c r="K77" s="15"/>
      <c r="L77" s="14"/>
      <c r="M77" s="16"/>
      <c r="N77" s="14"/>
      <c r="O77" s="15"/>
      <c r="P77" s="15"/>
      <c r="Q77" s="15"/>
      <c r="R77" s="15"/>
      <c r="S77" s="15"/>
      <c r="T77" s="15"/>
      <c r="U77" s="15"/>
      <c r="V77" s="15"/>
      <c r="W77" s="15"/>
      <c r="X77" s="15"/>
      <c r="Y77" s="15"/>
      <c r="Z77" s="15"/>
    </row>
    <row r="78" spans="1:26" ht="15.75" customHeight="1" x14ac:dyDescent="0.25">
      <c r="A78" s="74" t="s">
        <v>538</v>
      </c>
      <c r="B78" s="41" t="s">
        <v>223</v>
      </c>
      <c r="C78" s="43">
        <v>0</v>
      </c>
      <c r="D78" s="43">
        <v>55860</v>
      </c>
      <c r="E78" s="43">
        <f t="shared" ref="E78:E79" si="4">+F78-D78</f>
        <v>144060</v>
      </c>
      <c r="F78" s="43">
        <v>199920</v>
      </c>
      <c r="G78" s="43">
        <v>106468</v>
      </c>
      <c r="H78" s="15"/>
      <c r="I78" s="14"/>
      <c r="J78" s="14"/>
      <c r="K78" s="15"/>
      <c r="L78" s="14"/>
      <c r="M78" s="16"/>
      <c r="N78" s="14"/>
      <c r="O78" s="15"/>
      <c r="P78" s="15"/>
      <c r="Q78" s="15"/>
      <c r="R78" s="15"/>
      <c r="S78" s="15"/>
      <c r="T78" s="15"/>
      <c r="U78" s="15"/>
      <c r="V78" s="15"/>
      <c r="W78" s="15"/>
      <c r="X78" s="15"/>
      <c r="Y78" s="15"/>
      <c r="Z78" s="15"/>
    </row>
    <row r="79" spans="1:26" ht="15.75" customHeight="1" x14ac:dyDescent="0.25">
      <c r="A79" s="74" t="s">
        <v>402</v>
      </c>
      <c r="B79" s="41" t="s">
        <v>225</v>
      </c>
      <c r="C79" s="43">
        <v>6573039.1500000004</v>
      </c>
      <c r="D79" s="43">
        <v>2793409.8</v>
      </c>
      <c r="E79" s="43">
        <f t="shared" si="4"/>
        <v>2183961.2000000002</v>
      </c>
      <c r="F79" s="43">
        <v>4977371</v>
      </c>
      <c r="G79" s="43">
        <f>81783+20491+426000+55510+1785330+7500+523836+327570+367057+146806+193677</f>
        <v>3935560</v>
      </c>
      <c r="H79" s="15"/>
      <c r="I79" s="14"/>
      <c r="J79" s="14"/>
      <c r="K79" s="15"/>
      <c r="L79" s="14"/>
      <c r="M79" s="16"/>
      <c r="N79" s="14"/>
      <c r="O79" s="15"/>
      <c r="P79" s="15"/>
      <c r="Q79" s="15"/>
      <c r="R79" s="15"/>
      <c r="S79" s="15"/>
      <c r="T79" s="15"/>
      <c r="U79" s="15"/>
      <c r="V79" s="15"/>
      <c r="W79" s="15"/>
      <c r="X79" s="15"/>
      <c r="Y79" s="15"/>
      <c r="Z79" s="15"/>
    </row>
    <row r="80" spans="1:26" ht="15.75" customHeight="1" x14ac:dyDescent="0.25">
      <c r="A80" s="74" t="s">
        <v>2049</v>
      </c>
      <c r="B80" s="41"/>
      <c r="C80" s="43"/>
      <c r="D80" s="45"/>
      <c r="E80" s="43"/>
      <c r="F80" s="45"/>
      <c r="G80" s="45"/>
      <c r="H80" s="15"/>
      <c r="I80" s="14"/>
      <c r="J80" s="14"/>
      <c r="K80" s="15"/>
      <c r="L80" s="14"/>
      <c r="M80" s="16"/>
      <c r="N80" s="14"/>
      <c r="O80" s="15"/>
      <c r="P80" s="15"/>
      <c r="Q80" s="15"/>
      <c r="R80" s="15"/>
      <c r="S80" s="15"/>
      <c r="T80" s="15"/>
      <c r="U80" s="15"/>
      <c r="V80" s="15"/>
      <c r="W80" s="15"/>
      <c r="X80" s="15"/>
      <c r="Y80" s="15"/>
      <c r="Z80" s="15"/>
    </row>
    <row r="81" spans="1:26" ht="15.75" customHeight="1" x14ac:dyDescent="0.25">
      <c r="A81" s="74" t="s">
        <v>2050</v>
      </c>
      <c r="B81" s="41"/>
      <c r="C81" s="43"/>
      <c r="D81" s="45"/>
      <c r="E81" s="43"/>
      <c r="F81" s="45"/>
      <c r="G81" s="45"/>
      <c r="H81" s="15"/>
      <c r="I81" s="14"/>
      <c r="J81" s="14"/>
      <c r="K81" s="15"/>
      <c r="L81" s="14"/>
      <c r="M81" s="16"/>
      <c r="N81" s="14"/>
      <c r="O81" s="15"/>
      <c r="P81" s="15"/>
      <c r="Q81" s="15"/>
      <c r="R81" s="15"/>
      <c r="S81" s="15"/>
      <c r="T81" s="15"/>
      <c r="U81" s="15"/>
      <c r="V81" s="15"/>
      <c r="W81" s="15"/>
      <c r="X81" s="15"/>
      <c r="Y81" s="15"/>
      <c r="Z81" s="15"/>
    </row>
    <row r="82" spans="1:26" ht="15.75" customHeight="1" x14ac:dyDescent="0.25">
      <c r="A82" s="74" t="s">
        <v>2051</v>
      </c>
      <c r="B82" s="41"/>
      <c r="C82" s="43"/>
      <c r="D82" s="45"/>
      <c r="E82" s="43"/>
      <c r="F82" s="45"/>
      <c r="G82" s="45"/>
      <c r="H82" s="15"/>
      <c r="I82" s="14"/>
      <c r="J82" s="14"/>
      <c r="K82" s="15"/>
      <c r="L82" s="14"/>
      <c r="M82" s="16"/>
      <c r="N82" s="14"/>
      <c r="O82" s="15"/>
      <c r="P82" s="15"/>
      <c r="Q82" s="15"/>
      <c r="R82" s="15"/>
      <c r="S82" s="15"/>
      <c r="T82" s="15"/>
      <c r="U82" s="15"/>
      <c r="V82" s="15"/>
      <c r="W82" s="15"/>
      <c r="X82" s="15"/>
      <c r="Y82" s="15"/>
      <c r="Z82" s="15"/>
    </row>
    <row r="83" spans="1:26" ht="15.75" customHeight="1" x14ac:dyDescent="0.25">
      <c r="A83" s="74" t="s">
        <v>2052</v>
      </c>
      <c r="B83" s="41"/>
      <c r="C83" s="43"/>
      <c r="D83" s="45"/>
      <c r="E83" s="43"/>
      <c r="F83" s="45"/>
      <c r="G83" s="45"/>
      <c r="H83" s="15"/>
      <c r="I83" s="14"/>
      <c r="J83" s="14"/>
      <c r="K83" s="15"/>
      <c r="L83" s="14"/>
      <c r="M83" s="16"/>
      <c r="N83" s="14"/>
      <c r="O83" s="15"/>
      <c r="P83" s="15"/>
      <c r="Q83" s="15"/>
      <c r="R83" s="15"/>
      <c r="S83" s="15"/>
      <c r="T83" s="15"/>
      <c r="U83" s="15"/>
      <c r="V83" s="15"/>
      <c r="W83" s="15"/>
      <c r="X83" s="15"/>
      <c r="Y83" s="15"/>
      <c r="Z83" s="15"/>
    </row>
    <row r="84" spans="1:26" ht="15.75" customHeight="1" x14ac:dyDescent="0.25">
      <c r="A84" s="74" t="s">
        <v>2053</v>
      </c>
      <c r="B84" s="41"/>
      <c r="C84" s="43"/>
      <c r="D84" s="45"/>
      <c r="E84" s="43"/>
      <c r="F84" s="45"/>
      <c r="G84" s="45"/>
      <c r="H84" s="15"/>
      <c r="I84" s="14"/>
      <c r="J84" s="14"/>
      <c r="K84" s="15"/>
      <c r="L84" s="14"/>
      <c r="M84" s="16"/>
      <c r="N84" s="14"/>
      <c r="O84" s="15"/>
      <c r="P84" s="15"/>
      <c r="Q84" s="15"/>
      <c r="R84" s="15"/>
      <c r="S84" s="15"/>
      <c r="T84" s="15"/>
      <c r="U84" s="15"/>
      <c r="V84" s="15"/>
      <c r="W84" s="15"/>
      <c r="X84" s="15"/>
      <c r="Y84" s="15"/>
      <c r="Z84" s="15"/>
    </row>
    <row r="85" spans="1:26" ht="15.75" customHeight="1" x14ac:dyDescent="0.25">
      <c r="A85" s="74" t="s">
        <v>2054</v>
      </c>
      <c r="B85" s="41"/>
      <c r="C85" s="43"/>
      <c r="D85" s="45"/>
      <c r="E85" s="43"/>
      <c r="F85" s="45"/>
      <c r="G85" s="45"/>
      <c r="H85" s="15"/>
      <c r="I85" s="14"/>
      <c r="J85" s="14"/>
      <c r="K85" s="15"/>
      <c r="L85" s="14"/>
      <c r="M85" s="16"/>
      <c r="N85" s="14"/>
      <c r="O85" s="15"/>
      <c r="P85" s="15"/>
      <c r="Q85" s="15"/>
      <c r="R85" s="15"/>
      <c r="S85" s="15"/>
      <c r="T85" s="15"/>
      <c r="U85" s="15"/>
      <c r="V85" s="15"/>
      <c r="W85" s="15"/>
      <c r="X85" s="15"/>
      <c r="Y85" s="15"/>
      <c r="Z85" s="15"/>
    </row>
    <row r="86" spans="1:26" ht="15.75" customHeight="1" x14ac:dyDescent="0.25">
      <c r="A86" s="74" t="s">
        <v>2055</v>
      </c>
      <c r="B86" s="41"/>
      <c r="C86" s="43"/>
      <c r="D86" s="45"/>
      <c r="E86" s="43"/>
      <c r="F86" s="45"/>
      <c r="G86" s="45"/>
      <c r="H86" s="15"/>
      <c r="I86" s="14"/>
      <c r="J86" s="14"/>
      <c r="K86" s="15"/>
      <c r="L86" s="14"/>
      <c r="M86" s="16"/>
      <c r="N86" s="14"/>
      <c r="O86" s="15"/>
      <c r="P86" s="15"/>
      <c r="Q86" s="15"/>
      <c r="R86" s="15"/>
      <c r="S86" s="15"/>
      <c r="T86" s="15"/>
      <c r="U86" s="15"/>
      <c r="V86" s="15"/>
      <c r="W86" s="15"/>
      <c r="X86" s="15"/>
      <c r="Y86" s="15"/>
      <c r="Z86" s="15"/>
    </row>
    <row r="87" spans="1:26" ht="31.5" x14ac:dyDescent="0.25">
      <c r="A87" s="90" t="s">
        <v>2056</v>
      </c>
      <c r="B87" s="41"/>
      <c r="C87" s="43"/>
      <c r="D87" s="45"/>
      <c r="E87" s="43"/>
      <c r="F87" s="45"/>
      <c r="G87" s="45"/>
      <c r="H87" s="15"/>
      <c r="I87" s="14"/>
      <c r="J87" s="14"/>
      <c r="K87" s="15"/>
      <c r="L87" s="14"/>
      <c r="M87" s="16"/>
      <c r="N87" s="14"/>
      <c r="O87" s="15"/>
      <c r="P87" s="15"/>
      <c r="Q87" s="15"/>
      <c r="R87" s="15"/>
      <c r="S87" s="15"/>
      <c r="T87" s="15"/>
      <c r="U87" s="15"/>
      <c r="V87" s="15"/>
      <c r="W87" s="15"/>
      <c r="X87" s="15"/>
      <c r="Y87" s="15"/>
      <c r="Z87" s="15"/>
    </row>
    <row r="88" spans="1:26" ht="31.5" x14ac:dyDescent="0.25">
      <c r="A88" s="90" t="s">
        <v>2057</v>
      </c>
      <c r="B88" s="41"/>
      <c r="C88" s="43"/>
      <c r="D88" s="45"/>
      <c r="E88" s="43"/>
      <c r="F88" s="45"/>
      <c r="G88" s="45"/>
      <c r="H88" s="15"/>
      <c r="I88" s="14"/>
      <c r="J88" s="14"/>
      <c r="K88" s="15"/>
      <c r="L88" s="14"/>
      <c r="M88" s="16"/>
      <c r="N88" s="14"/>
      <c r="O88" s="15"/>
      <c r="P88" s="15"/>
      <c r="Q88" s="15"/>
      <c r="R88" s="15"/>
      <c r="S88" s="15"/>
      <c r="T88" s="15"/>
      <c r="U88" s="15"/>
      <c r="V88" s="15"/>
      <c r="W88" s="15"/>
      <c r="X88" s="15"/>
      <c r="Y88" s="15"/>
      <c r="Z88" s="15"/>
    </row>
    <row r="89" spans="1:26" ht="15.75" customHeight="1" x14ac:dyDescent="0.25">
      <c r="A89" s="74" t="s">
        <v>2058</v>
      </c>
      <c r="B89" s="41"/>
      <c r="C89" s="43"/>
      <c r="D89" s="45"/>
      <c r="E89" s="43"/>
      <c r="F89" s="45"/>
      <c r="G89" s="45"/>
      <c r="H89" s="15"/>
      <c r="I89" s="14"/>
      <c r="J89" s="14"/>
      <c r="K89" s="15"/>
      <c r="L89" s="14"/>
      <c r="M89" s="16"/>
      <c r="N89" s="14"/>
      <c r="O89" s="15"/>
      <c r="P89" s="15"/>
      <c r="Q89" s="15"/>
      <c r="R89" s="15"/>
      <c r="S89" s="15"/>
      <c r="T89" s="15"/>
      <c r="U89" s="15"/>
      <c r="V89" s="15"/>
      <c r="W89" s="15"/>
      <c r="X89" s="15"/>
      <c r="Y89" s="15"/>
      <c r="Z89" s="15"/>
    </row>
    <row r="90" spans="1:26" ht="31.5" x14ac:dyDescent="0.25">
      <c r="A90" s="90" t="s">
        <v>2059</v>
      </c>
      <c r="B90" s="41"/>
      <c r="C90" s="43"/>
      <c r="D90" s="45"/>
      <c r="E90" s="43"/>
      <c r="F90" s="45"/>
      <c r="G90" s="45"/>
      <c r="H90" s="15"/>
      <c r="I90" s="14"/>
      <c r="J90" s="14"/>
      <c r="K90" s="15"/>
      <c r="L90" s="14"/>
      <c r="M90" s="16"/>
      <c r="N90" s="14"/>
      <c r="O90" s="15"/>
      <c r="P90" s="15"/>
      <c r="Q90" s="15"/>
      <c r="R90" s="15"/>
      <c r="S90" s="15"/>
      <c r="T90" s="15"/>
      <c r="U90" s="15"/>
      <c r="V90" s="15"/>
      <c r="W90" s="15"/>
      <c r="X90" s="15"/>
      <c r="Y90" s="15"/>
      <c r="Z90" s="15"/>
    </row>
    <row r="91" spans="1:26" ht="15.75" customHeight="1" x14ac:dyDescent="0.25">
      <c r="A91" s="42" t="s">
        <v>503</v>
      </c>
      <c r="B91" s="41"/>
      <c r="C91" s="43"/>
      <c r="D91" s="45"/>
      <c r="E91" s="43"/>
      <c r="F91" s="45"/>
      <c r="G91" s="45"/>
      <c r="H91" s="15"/>
      <c r="I91" s="14"/>
      <c r="J91" s="14"/>
      <c r="K91" s="15"/>
      <c r="L91" s="14"/>
      <c r="M91" s="16"/>
      <c r="N91" s="14"/>
      <c r="O91" s="15"/>
      <c r="P91" s="15"/>
      <c r="Q91" s="15"/>
      <c r="R91" s="15"/>
      <c r="S91" s="15"/>
      <c r="T91" s="15"/>
      <c r="U91" s="15"/>
      <c r="V91" s="15"/>
      <c r="W91" s="15"/>
      <c r="X91" s="15"/>
      <c r="Y91" s="15"/>
      <c r="Z91" s="15"/>
    </row>
    <row r="92" spans="1:26" ht="15.75" customHeight="1" x14ac:dyDescent="0.25">
      <c r="A92" s="44" t="s">
        <v>1303</v>
      </c>
      <c r="B92" s="41" t="s">
        <v>231</v>
      </c>
      <c r="C92" s="43">
        <v>3000</v>
      </c>
      <c r="D92" s="45">
        <v>0</v>
      </c>
      <c r="E92" s="43">
        <f t="shared" ref="E92:E93" si="5">+F92-D92</f>
        <v>3000</v>
      </c>
      <c r="F92" s="45">
        <v>3000</v>
      </c>
      <c r="G92" s="45">
        <v>3000</v>
      </c>
      <c r="H92" s="15"/>
      <c r="I92" s="14"/>
      <c r="J92" s="14"/>
      <c r="K92" s="15"/>
      <c r="L92" s="14"/>
      <c r="M92" s="16"/>
      <c r="N92" s="14"/>
      <c r="O92" s="15"/>
      <c r="P92" s="15"/>
      <c r="Q92" s="15"/>
      <c r="R92" s="15"/>
      <c r="S92" s="15"/>
      <c r="T92" s="15"/>
      <c r="U92" s="15"/>
      <c r="V92" s="15"/>
      <c r="W92" s="15"/>
      <c r="X92" s="15"/>
      <c r="Y92" s="15"/>
      <c r="Z92" s="15"/>
    </row>
    <row r="93" spans="1:26" ht="15.75" customHeight="1" x14ac:dyDescent="0.25">
      <c r="A93" s="44" t="s">
        <v>405</v>
      </c>
      <c r="B93" s="20" t="s">
        <v>235</v>
      </c>
      <c r="C93" s="56">
        <v>42000</v>
      </c>
      <c r="D93" s="56">
        <v>22375</v>
      </c>
      <c r="E93" s="43">
        <f t="shared" si="5"/>
        <v>31625</v>
      </c>
      <c r="F93" s="56">
        <v>54000</v>
      </c>
      <c r="G93" s="43">
        <v>54000</v>
      </c>
      <c r="H93" s="232"/>
      <c r="I93" s="193"/>
      <c r="J93" s="193"/>
      <c r="K93" s="232"/>
      <c r="L93" s="193"/>
      <c r="M93" s="203"/>
      <c r="N93" s="193"/>
      <c r="O93" s="232"/>
      <c r="P93" s="232"/>
      <c r="Q93" s="232"/>
      <c r="R93" s="232"/>
      <c r="S93" s="232"/>
      <c r="T93" s="232"/>
      <c r="U93" s="232"/>
      <c r="V93" s="232"/>
      <c r="W93" s="232"/>
      <c r="X93" s="232"/>
      <c r="Y93" s="232"/>
      <c r="Z93" s="232"/>
    </row>
    <row r="94" spans="1:26" ht="15.75" customHeight="1" x14ac:dyDescent="0.25">
      <c r="A94" s="17" t="s">
        <v>506</v>
      </c>
      <c r="B94" s="20"/>
      <c r="C94" s="56"/>
      <c r="D94" s="56"/>
      <c r="E94" s="56"/>
      <c r="F94" s="56"/>
      <c r="G94" s="43"/>
      <c r="H94" s="10"/>
      <c r="I94" s="12"/>
      <c r="J94" s="12"/>
      <c r="K94" s="10"/>
      <c r="L94" s="12"/>
      <c r="M94" s="282"/>
      <c r="N94" s="12"/>
      <c r="O94" s="10"/>
      <c r="P94" s="10"/>
      <c r="Q94" s="10"/>
      <c r="R94" s="10"/>
      <c r="S94" s="10"/>
      <c r="T94" s="10"/>
      <c r="U94" s="10"/>
      <c r="V94" s="10"/>
      <c r="W94" s="10"/>
      <c r="X94" s="10"/>
      <c r="Y94" s="10"/>
      <c r="Z94" s="10"/>
    </row>
    <row r="95" spans="1:26" ht="15.75" customHeight="1" x14ac:dyDescent="0.25">
      <c r="A95" s="44" t="s">
        <v>725</v>
      </c>
      <c r="B95" s="41" t="s">
        <v>283</v>
      </c>
      <c r="C95" s="43">
        <v>297559.15000000002</v>
      </c>
      <c r="D95" s="45">
        <v>0</v>
      </c>
      <c r="E95" s="43">
        <f t="shared" ref="E95:E97" si="6">+F95-D95</f>
        <v>300000</v>
      </c>
      <c r="F95" s="45">
        <v>300000</v>
      </c>
      <c r="G95" s="45">
        <v>300000</v>
      </c>
      <c r="H95" s="15"/>
      <c r="I95" s="14"/>
      <c r="J95" s="14" t="s">
        <v>2060</v>
      </c>
      <c r="K95" s="15"/>
      <c r="L95" s="14"/>
      <c r="M95" s="16"/>
      <c r="N95" s="14"/>
      <c r="O95" s="15"/>
      <c r="P95" s="15"/>
      <c r="Q95" s="15"/>
      <c r="R95" s="15"/>
      <c r="S95" s="15"/>
      <c r="T95" s="15"/>
      <c r="U95" s="15"/>
      <c r="V95" s="15"/>
      <c r="W95" s="15"/>
      <c r="X95" s="15"/>
      <c r="Y95" s="15"/>
      <c r="Z95" s="15"/>
    </row>
    <row r="96" spans="1:26" ht="15.75" customHeight="1" x14ac:dyDescent="0.25">
      <c r="A96" s="44" t="s">
        <v>838</v>
      </c>
      <c r="B96" s="41" t="s">
        <v>285</v>
      </c>
      <c r="C96" s="43">
        <v>1692349</v>
      </c>
      <c r="D96" s="45">
        <v>510346</v>
      </c>
      <c r="E96" s="43">
        <f t="shared" si="6"/>
        <v>589654</v>
      </c>
      <c r="F96" s="45">
        <v>1100000</v>
      </c>
      <c r="G96" s="45">
        <v>1400000</v>
      </c>
      <c r="H96" s="15"/>
      <c r="I96" s="14"/>
      <c r="J96" s="14">
        <v>1300000</v>
      </c>
      <c r="K96" s="15"/>
      <c r="L96" s="14"/>
      <c r="M96" s="16"/>
      <c r="N96" s="14"/>
      <c r="O96" s="15"/>
      <c r="P96" s="15"/>
      <c r="Q96" s="15"/>
      <c r="R96" s="15"/>
      <c r="S96" s="15"/>
      <c r="T96" s="15"/>
      <c r="U96" s="15"/>
      <c r="V96" s="15"/>
      <c r="W96" s="15"/>
      <c r="X96" s="15"/>
      <c r="Y96" s="15"/>
      <c r="Z96" s="15"/>
    </row>
    <row r="97" spans="1:26" ht="15.75" customHeight="1" x14ac:dyDescent="0.25">
      <c r="A97" s="44" t="s">
        <v>817</v>
      </c>
      <c r="B97" s="41" t="s">
        <v>287</v>
      </c>
      <c r="C97" s="43">
        <v>463768</v>
      </c>
      <c r="D97" s="45">
        <v>316828</v>
      </c>
      <c r="E97" s="43">
        <f t="shared" si="6"/>
        <v>408172</v>
      </c>
      <c r="F97" s="45">
        <v>725000</v>
      </c>
      <c r="G97" s="45">
        <f>750000</f>
        <v>750000</v>
      </c>
      <c r="H97" s="15"/>
      <c r="I97" s="14"/>
      <c r="J97" s="14" t="s">
        <v>2061</v>
      </c>
      <c r="K97" s="15"/>
      <c r="L97" s="14"/>
      <c r="M97" s="16"/>
      <c r="N97" s="14"/>
      <c r="O97" s="15"/>
      <c r="P97" s="15"/>
      <c r="Q97" s="15"/>
      <c r="R97" s="15"/>
      <c r="S97" s="15"/>
      <c r="T97" s="15"/>
      <c r="U97" s="15"/>
      <c r="V97" s="15"/>
      <c r="W97" s="15"/>
      <c r="X97" s="15"/>
      <c r="Y97" s="15"/>
      <c r="Z97" s="15"/>
    </row>
    <row r="98" spans="1:26" ht="15.75" customHeight="1" x14ac:dyDescent="0.25">
      <c r="A98" s="42" t="s">
        <v>511</v>
      </c>
      <c r="B98" s="41"/>
      <c r="C98" s="43"/>
      <c r="D98" s="45"/>
      <c r="E98" s="43"/>
      <c r="F98" s="45"/>
      <c r="G98" s="45"/>
      <c r="H98" s="15"/>
      <c r="I98" s="14"/>
      <c r="J98" s="14"/>
      <c r="K98" s="15"/>
      <c r="L98" s="14"/>
      <c r="M98" s="16"/>
      <c r="N98" s="14"/>
      <c r="O98" s="15"/>
      <c r="P98" s="15"/>
      <c r="Q98" s="15"/>
      <c r="R98" s="15"/>
      <c r="S98" s="15"/>
      <c r="T98" s="15"/>
      <c r="U98" s="15"/>
      <c r="V98" s="15"/>
      <c r="W98" s="15"/>
      <c r="X98" s="15"/>
      <c r="Y98" s="15"/>
      <c r="Z98" s="15"/>
    </row>
    <row r="99" spans="1:26" ht="15.75" customHeight="1" x14ac:dyDescent="0.25">
      <c r="A99" s="96" t="s">
        <v>419</v>
      </c>
      <c r="B99" s="20" t="s">
        <v>333</v>
      </c>
      <c r="C99" s="43">
        <v>11028720</v>
      </c>
      <c r="D99" s="45">
        <v>4931676.5</v>
      </c>
      <c r="E99" s="43">
        <f>+F99-D99</f>
        <v>4937073.5</v>
      </c>
      <c r="F99" s="443">
        <v>9868750</v>
      </c>
      <c r="G99" s="462">
        <f>4955400+10197960</f>
        <v>15153360</v>
      </c>
      <c r="H99" s="15"/>
      <c r="I99" s="14"/>
      <c r="J99" s="14"/>
      <c r="K99" s="15"/>
      <c r="L99" s="14"/>
      <c r="M99" s="16"/>
      <c r="N99" s="14"/>
      <c r="O99" s="15"/>
      <c r="P99" s="15"/>
      <c r="Q99" s="15"/>
      <c r="R99" s="15"/>
      <c r="S99" s="15"/>
      <c r="T99" s="15"/>
      <c r="U99" s="15"/>
      <c r="V99" s="15"/>
      <c r="W99" s="15"/>
      <c r="X99" s="15"/>
      <c r="Y99" s="15"/>
      <c r="Z99" s="15"/>
    </row>
    <row r="100" spans="1:26" ht="15.75" customHeight="1" x14ac:dyDescent="0.25">
      <c r="A100" s="468" t="s">
        <v>2062</v>
      </c>
      <c r="B100" s="454"/>
      <c r="C100" s="443"/>
      <c r="D100" s="443"/>
      <c r="E100" s="443"/>
      <c r="F100" s="443"/>
      <c r="G100" s="462"/>
      <c r="H100" s="15"/>
      <c r="I100" s="14"/>
      <c r="J100" s="14">
        <v>4955400</v>
      </c>
      <c r="K100" s="15"/>
      <c r="L100" s="14"/>
      <c r="M100" s="16"/>
      <c r="N100" s="14"/>
      <c r="O100" s="15"/>
      <c r="P100" s="15"/>
      <c r="Q100" s="15"/>
      <c r="R100" s="15"/>
      <c r="S100" s="15"/>
      <c r="T100" s="15"/>
      <c r="U100" s="15"/>
      <c r="V100" s="15"/>
      <c r="W100" s="15"/>
      <c r="X100" s="15"/>
      <c r="Y100" s="15"/>
      <c r="Z100" s="15"/>
    </row>
    <row r="101" spans="1:26" ht="31.5" x14ac:dyDescent="0.25">
      <c r="A101" s="686" t="s">
        <v>2063</v>
      </c>
      <c r="B101" s="676"/>
      <c r="C101" s="677"/>
      <c r="D101" s="677"/>
      <c r="E101" s="677"/>
      <c r="F101" s="677"/>
      <c r="G101" s="678"/>
      <c r="H101" s="15"/>
      <c r="I101" s="14"/>
      <c r="J101" s="14"/>
      <c r="K101" s="15"/>
      <c r="L101" s="14"/>
      <c r="M101" s="16"/>
      <c r="N101" s="14"/>
      <c r="O101" s="15"/>
      <c r="P101" s="15"/>
      <c r="Q101" s="15"/>
      <c r="R101" s="15"/>
      <c r="S101" s="15"/>
      <c r="T101" s="15"/>
      <c r="U101" s="15"/>
      <c r="V101" s="15"/>
      <c r="W101" s="15"/>
      <c r="X101" s="15"/>
      <c r="Y101" s="15"/>
      <c r="Z101" s="15"/>
    </row>
    <row r="102" spans="1:26" ht="15.75" customHeight="1" x14ac:dyDescent="0.25">
      <c r="A102" s="687" t="s">
        <v>424</v>
      </c>
      <c r="B102" s="688" t="s">
        <v>335</v>
      </c>
      <c r="C102" s="681">
        <v>25082889.390000001</v>
      </c>
      <c r="D102" s="689">
        <v>10369657.75</v>
      </c>
      <c r="E102" s="681">
        <f>+F102-D102</f>
        <v>21900774.25</v>
      </c>
      <c r="F102" s="690">
        <v>32270432</v>
      </c>
      <c r="G102" s="691">
        <v>42804936</v>
      </c>
      <c r="H102" s="15"/>
      <c r="I102" s="14"/>
      <c r="J102" s="14"/>
      <c r="K102" s="15"/>
      <c r="L102" s="14"/>
      <c r="M102" s="16"/>
      <c r="N102" s="14"/>
      <c r="O102" s="15"/>
      <c r="P102" s="15"/>
      <c r="Q102" s="15"/>
      <c r="R102" s="15"/>
      <c r="S102" s="15"/>
      <c r="T102" s="15"/>
      <c r="U102" s="15"/>
      <c r="V102" s="15"/>
      <c r="W102" s="15"/>
      <c r="X102" s="15"/>
      <c r="Y102" s="15"/>
      <c r="Z102" s="15"/>
    </row>
    <row r="103" spans="1:26" ht="31.5" x14ac:dyDescent="0.25">
      <c r="A103" s="90" t="s">
        <v>2064</v>
      </c>
      <c r="B103" s="20"/>
      <c r="C103" s="43"/>
      <c r="D103" s="45"/>
      <c r="E103" s="43"/>
      <c r="F103" s="484"/>
      <c r="G103" s="462"/>
      <c r="H103" s="15"/>
      <c r="I103" s="14"/>
      <c r="J103" s="14"/>
      <c r="K103" s="15"/>
      <c r="L103" s="14">
        <v>44400</v>
      </c>
      <c r="M103" s="16"/>
      <c r="N103" s="14"/>
      <c r="O103" s="15"/>
      <c r="P103" s="15"/>
      <c r="Q103" s="15"/>
      <c r="R103" s="15"/>
      <c r="S103" s="15"/>
      <c r="T103" s="15"/>
      <c r="U103" s="15"/>
      <c r="V103" s="15"/>
      <c r="W103" s="15"/>
      <c r="X103" s="15"/>
      <c r="Y103" s="15"/>
      <c r="Z103" s="15"/>
    </row>
    <row r="104" spans="1:26" ht="15.75" customHeight="1" x14ac:dyDescent="0.25">
      <c r="A104" s="74" t="s">
        <v>2065</v>
      </c>
      <c r="B104" s="20"/>
      <c r="C104" s="43"/>
      <c r="D104" s="45"/>
      <c r="E104" s="43"/>
      <c r="F104" s="484"/>
      <c r="G104" s="462"/>
      <c r="H104" s="15"/>
      <c r="I104" s="14"/>
      <c r="J104" s="14"/>
      <c r="K104" s="15"/>
      <c r="L104" s="14">
        <v>74000</v>
      </c>
      <c r="M104" s="16"/>
      <c r="N104" s="14"/>
      <c r="O104" s="15"/>
      <c r="P104" s="15"/>
      <c r="Q104" s="15"/>
      <c r="R104" s="15"/>
      <c r="S104" s="15"/>
      <c r="T104" s="15"/>
      <c r="U104" s="15"/>
      <c r="V104" s="15"/>
      <c r="W104" s="15"/>
      <c r="X104" s="15"/>
      <c r="Y104" s="15"/>
      <c r="Z104" s="15"/>
    </row>
    <row r="105" spans="1:26" ht="15.75" customHeight="1" x14ac:dyDescent="0.25">
      <c r="A105" s="74" t="s">
        <v>2066</v>
      </c>
      <c r="B105" s="20"/>
      <c r="C105" s="43"/>
      <c r="D105" s="45"/>
      <c r="E105" s="43"/>
      <c r="F105" s="484"/>
      <c r="G105" s="462"/>
      <c r="H105" s="15"/>
      <c r="I105" s="14"/>
      <c r="J105" s="14"/>
      <c r="K105" s="15"/>
      <c r="L105" s="14">
        <v>36000</v>
      </c>
      <c r="M105" s="16"/>
      <c r="N105" s="14"/>
      <c r="O105" s="15"/>
      <c r="P105" s="15"/>
      <c r="Q105" s="15"/>
      <c r="R105" s="15"/>
      <c r="S105" s="15"/>
      <c r="T105" s="15"/>
      <c r="U105" s="15"/>
      <c r="V105" s="15"/>
      <c r="W105" s="15"/>
      <c r="X105" s="15"/>
      <c r="Y105" s="15"/>
      <c r="Z105" s="15"/>
    </row>
    <row r="106" spans="1:26" ht="15.75" customHeight="1" x14ac:dyDescent="0.25">
      <c r="A106" s="74" t="s">
        <v>2067</v>
      </c>
      <c r="B106" s="20"/>
      <c r="C106" s="43"/>
      <c r="D106" s="45"/>
      <c r="E106" s="43"/>
      <c r="F106" s="484"/>
      <c r="G106" s="462"/>
      <c r="H106" s="15"/>
      <c r="I106" s="14"/>
      <c r="J106" s="14"/>
      <c r="K106" s="15"/>
      <c r="L106" s="14">
        <v>185000</v>
      </c>
      <c r="M106" s="16"/>
      <c r="N106" s="14"/>
      <c r="O106" s="15"/>
      <c r="P106" s="15"/>
      <c r="Q106" s="15"/>
      <c r="R106" s="15"/>
      <c r="S106" s="15"/>
      <c r="T106" s="15"/>
      <c r="U106" s="15"/>
      <c r="V106" s="15"/>
      <c r="W106" s="15"/>
      <c r="X106" s="15"/>
      <c r="Y106" s="15"/>
      <c r="Z106" s="15"/>
    </row>
    <row r="107" spans="1:26" ht="31.5" x14ac:dyDescent="0.25">
      <c r="A107" s="90" t="s">
        <v>2068</v>
      </c>
      <c r="B107" s="20"/>
      <c r="C107" s="43"/>
      <c r="D107" s="45"/>
      <c r="E107" s="43"/>
      <c r="F107" s="484"/>
      <c r="G107" s="462"/>
      <c r="H107" s="15"/>
      <c r="I107" s="14"/>
      <c r="J107" s="14"/>
      <c r="K107" s="15"/>
      <c r="L107" s="14">
        <v>74000</v>
      </c>
      <c r="M107" s="16"/>
      <c r="N107" s="14"/>
      <c r="O107" s="15"/>
      <c r="P107" s="15"/>
      <c r="Q107" s="15"/>
      <c r="R107" s="15"/>
      <c r="S107" s="15"/>
      <c r="T107" s="15"/>
      <c r="U107" s="15"/>
      <c r="V107" s="15"/>
      <c r="W107" s="15"/>
      <c r="X107" s="15"/>
      <c r="Y107" s="15"/>
      <c r="Z107" s="15"/>
    </row>
    <row r="108" spans="1:26" ht="15.75" customHeight="1" x14ac:dyDescent="0.25">
      <c r="A108" s="74" t="s">
        <v>2069</v>
      </c>
      <c r="B108" s="20"/>
      <c r="C108" s="43"/>
      <c r="D108" s="45"/>
      <c r="E108" s="43"/>
      <c r="F108" s="484"/>
      <c r="G108" s="462"/>
      <c r="H108" s="15"/>
      <c r="I108" s="14"/>
      <c r="J108" s="14"/>
      <c r="K108" s="15"/>
      <c r="L108" s="14">
        <v>30000</v>
      </c>
      <c r="M108" s="16">
        <f>SUM(L103:L108)</f>
        <v>443400</v>
      </c>
      <c r="N108" s="14"/>
      <c r="O108" s="15"/>
      <c r="P108" s="15"/>
      <c r="Q108" s="15"/>
      <c r="R108" s="15"/>
      <c r="S108" s="15"/>
      <c r="T108" s="15"/>
      <c r="U108" s="15"/>
      <c r="V108" s="15"/>
      <c r="W108" s="15"/>
      <c r="X108" s="15"/>
      <c r="Y108" s="15"/>
      <c r="Z108" s="15"/>
    </row>
    <row r="109" spans="1:26" ht="15.75" customHeight="1" x14ac:dyDescent="0.25">
      <c r="A109" s="74" t="s">
        <v>648</v>
      </c>
      <c r="B109" s="20"/>
      <c r="C109" s="43"/>
      <c r="D109" s="45"/>
      <c r="E109" s="43"/>
      <c r="F109" s="484"/>
      <c r="G109" s="462"/>
      <c r="H109" s="15"/>
      <c r="I109" s="14"/>
      <c r="J109" s="14"/>
      <c r="K109" s="15"/>
      <c r="L109" s="14"/>
      <c r="M109" s="16"/>
      <c r="N109" s="14"/>
      <c r="O109" s="15"/>
      <c r="P109" s="15"/>
      <c r="Q109" s="15"/>
      <c r="R109" s="15"/>
      <c r="S109" s="15"/>
      <c r="T109" s="15"/>
      <c r="U109" s="15"/>
      <c r="V109" s="15"/>
      <c r="W109" s="15"/>
      <c r="X109" s="15"/>
      <c r="Y109" s="15"/>
      <c r="Z109" s="15"/>
    </row>
    <row r="110" spans="1:26" ht="15.75" customHeight="1" x14ac:dyDescent="0.25">
      <c r="A110" s="300" t="s">
        <v>2070</v>
      </c>
      <c r="B110" s="20"/>
      <c r="C110" s="43"/>
      <c r="D110" s="45"/>
      <c r="E110" s="43"/>
      <c r="F110" s="484"/>
      <c r="G110" s="462"/>
      <c r="H110" s="15"/>
      <c r="I110" s="14"/>
      <c r="J110" s="14" t="s">
        <v>2071</v>
      </c>
      <c r="K110" s="15" t="s">
        <v>2072</v>
      </c>
      <c r="L110" s="14" t="s">
        <v>2073</v>
      </c>
      <c r="M110" s="16"/>
      <c r="N110" s="14"/>
      <c r="O110" s="15"/>
      <c r="P110" s="15"/>
      <c r="Q110" s="15"/>
      <c r="R110" s="15"/>
      <c r="S110" s="15"/>
      <c r="T110" s="15"/>
      <c r="U110" s="15"/>
      <c r="V110" s="15"/>
      <c r="W110" s="15"/>
      <c r="X110" s="15"/>
      <c r="Y110" s="15"/>
      <c r="Z110" s="15"/>
    </row>
    <row r="111" spans="1:26" ht="15.75" customHeight="1" x14ac:dyDescent="0.25">
      <c r="A111" s="74" t="s">
        <v>2074</v>
      </c>
      <c r="B111" s="20"/>
      <c r="C111" s="43"/>
      <c r="D111" s="45"/>
      <c r="E111" s="43"/>
      <c r="F111" s="484"/>
      <c r="G111" s="462"/>
      <c r="H111" s="15"/>
      <c r="I111" s="14"/>
      <c r="J111" s="14">
        <v>765</v>
      </c>
      <c r="K111" s="15">
        <f t="shared" ref="K111:K112" si="7">26*12</f>
        <v>312</v>
      </c>
      <c r="L111" s="14">
        <v>1</v>
      </c>
      <c r="M111" s="16">
        <f t="shared" ref="M111:M112" si="8">L111*K111*J111</f>
        <v>238680</v>
      </c>
      <c r="N111" s="14"/>
      <c r="O111" s="15"/>
      <c r="P111" s="15"/>
      <c r="Q111" s="15"/>
      <c r="R111" s="15"/>
      <c r="S111" s="15"/>
      <c r="T111" s="15"/>
      <c r="U111" s="15"/>
      <c r="V111" s="15"/>
      <c r="W111" s="15"/>
      <c r="X111" s="15"/>
      <c r="Y111" s="15"/>
      <c r="Z111" s="15"/>
    </row>
    <row r="112" spans="1:26" ht="15.75" customHeight="1" x14ac:dyDescent="0.25">
      <c r="A112" s="74" t="s">
        <v>2075</v>
      </c>
      <c r="B112" s="20"/>
      <c r="C112" s="43"/>
      <c r="D112" s="45"/>
      <c r="E112" s="43"/>
      <c r="F112" s="484"/>
      <c r="G112" s="462"/>
      <c r="H112" s="15"/>
      <c r="I112" s="14"/>
      <c r="J112" s="14">
        <v>639</v>
      </c>
      <c r="K112" s="15">
        <f t="shared" si="7"/>
        <v>312</v>
      </c>
      <c r="L112" s="14">
        <v>17</v>
      </c>
      <c r="M112" s="16">
        <f t="shared" si="8"/>
        <v>3389256</v>
      </c>
      <c r="N112" s="14"/>
      <c r="O112" s="15"/>
      <c r="P112" s="15"/>
      <c r="Q112" s="15"/>
      <c r="R112" s="15"/>
      <c r="S112" s="15"/>
      <c r="T112" s="15"/>
      <c r="U112" s="15"/>
      <c r="V112" s="15"/>
      <c r="W112" s="15"/>
      <c r="X112" s="15"/>
      <c r="Y112" s="15"/>
      <c r="Z112" s="15"/>
    </row>
    <row r="113" spans="1:26" ht="15.75" customHeight="1" x14ac:dyDescent="0.25">
      <c r="A113" s="300" t="s">
        <v>2076</v>
      </c>
      <c r="B113" s="20"/>
      <c r="C113" s="43"/>
      <c r="D113" s="45"/>
      <c r="E113" s="43"/>
      <c r="F113" s="484"/>
      <c r="G113" s="462"/>
      <c r="H113" s="15"/>
      <c r="I113" s="14"/>
      <c r="J113" s="14"/>
      <c r="K113" s="15"/>
      <c r="L113" s="14"/>
      <c r="M113" s="16"/>
      <c r="N113" s="14"/>
      <c r="O113" s="15"/>
      <c r="P113" s="15"/>
      <c r="Q113" s="15"/>
      <c r="R113" s="15"/>
      <c r="S113" s="15"/>
      <c r="T113" s="15"/>
      <c r="U113" s="15"/>
      <c r="V113" s="15"/>
      <c r="W113" s="15"/>
      <c r="X113" s="15"/>
      <c r="Y113" s="15"/>
      <c r="Z113" s="15"/>
    </row>
    <row r="114" spans="1:26" ht="31.5" x14ac:dyDescent="0.25">
      <c r="A114" s="90" t="s">
        <v>2077</v>
      </c>
      <c r="B114" s="20"/>
      <c r="C114" s="43"/>
      <c r="D114" s="45"/>
      <c r="E114" s="43"/>
      <c r="F114" s="484"/>
      <c r="G114" s="462"/>
      <c r="H114" s="15"/>
      <c r="I114" s="14"/>
      <c r="J114" s="14">
        <v>861</v>
      </c>
      <c r="K114" s="15">
        <v>312</v>
      </c>
      <c r="L114" s="14">
        <v>4</v>
      </c>
      <c r="M114" s="16">
        <f>L114*K114*J114</f>
        <v>1074528</v>
      </c>
      <c r="N114" s="14"/>
      <c r="O114" s="15"/>
      <c r="P114" s="15"/>
      <c r="Q114" s="15"/>
      <c r="R114" s="15"/>
      <c r="S114" s="15"/>
      <c r="T114" s="15"/>
      <c r="U114" s="15"/>
      <c r="V114" s="15"/>
      <c r="W114" s="15"/>
      <c r="X114" s="15"/>
      <c r="Y114" s="15"/>
      <c r="Z114" s="15"/>
    </row>
    <row r="115" spans="1:26" ht="15.75" customHeight="1" x14ac:dyDescent="0.25">
      <c r="A115" s="300" t="s">
        <v>2078</v>
      </c>
      <c r="B115" s="20"/>
      <c r="C115" s="43"/>
      <c r="D115" s="45"/>
      <c r="E115" s="43"/>
      <c r="F115" s="484"/>
      <c r="G115" s="462"/>
      <c r="H115" s="15"/>
      <c r="I115" s="14"/>
      <c r="J115" s="14"/>
      <c r="K115" s="15"/>
      <c r="L115" s="14"/>
      <c r="M115" s="16"/>
      <c r="N115" s="14"/>
      <c r="O115" s="15"/>
      <c r="P115" s="15"/>
      <c r="Q115" s="15"/>
      <c r="R115" s="15"/>
      <c r="S115" s="15"/>
      <c r="T115" s="15"/>
      <c r="U115" s="15"/>
      <c r="V115" s="15"/>
      <c r="W115" s="15"/>
      <c r="X115" s="15"/>
      <c r="Y115" s="15"/>
      <c r="Z115" s="15"/>
    </row>
    <row r="116" spans="1:26" ht="31.5" x14ac:dyDescent="0.25">
      <c r="A116" s="90" t="s">
        <v>2079</v>
      </c>
      <c r="B116" s="358"/>
      <c r="C116" s="43"/>
      <c r="D116" s="45"/>
      <c r="E116" s="43"/>
      <c r="F116" s="484"/>
      <c r="G116" s="462"/>
      <c r="H116" s="15"/>
      <c r="I116" s="14"/>
      <c r="J116" s="14">
        <v>861</v>
      </c>
      <c r="K116" s="15">
        <f>12*22</f>
        <v>264</v>
      </c>
      <c r="L116" s="14">
        <f>1</f>
        <v>1</v>
      </c>
      <c r="M116" s="16">
        <f>L116*K116*J116</f>
        <v>227304</v>
      </c>
      <c r="N116" s="14"/>
      <c r="O116" s="15"/>
      <c r="P116" s="15"/>
      <c r="Q116" s="15"/>
      <c r="R116" s="15"/>
      <c r="S116" s="15"/>
      <c r="T116" s="15"/>
      <c r="U116" s="15"/>
      <c r="V116" s="15"/>
      <c r="W116" s="15"/>
      <c r="X116" s="15"/>
      <c r="Y116" s="15"/>
      <c r="Z116" s="15"/>
    </row>
    <row r="117" spans="1:26" ht="15.75" customHeight="1" x14ac:dyDescent="0.25">
      <c r="A117" s="300" t="s">
        <v>2080</v>
      </c>
      <c r="B117" s="20"/>
      <c r="C117" s="43"/>
      <c r="D117" s="45"/>
      <c r="E117" s="43"/>
      <c r="F117" s="484"/>
      <c r="G117" s="462"/>
      <c r="H117" s="15"/>
      <c r="I117" s="14"/>
      <c r="J117" s="14"/>
      <c r="K117" s="15"/>
      <c r="L117" s="14"/>
      <c r="M117" s="16"/>
      <c r="N117" s="14"/>
      <c r="O117" s="15"/>
      <c r="P117" s="15"/>
      <c r="Q117" s="15"/>
      <c r="R117" s="15"/>
      <c r="S117" s="15"/>
      <c r="T117" s="15"/>
      <c r="U117" s="15"/>
      <c r="V117" s="15"/>
      <c r="W117" s="15"/>
      <c r="X117" s="15"/>
      <c r="Y117" s="15"/>
      <c r="Z117" s="15"/>
    </row>
    <row r="118" spans="1:26" ht="15.75" customHeight="1" x14ac:dyDescent="0.25">
      <c r="A118" s="74" t="s">
        <v>2081</v>
      </c>
      <c r="B118" s="20"/>
      <c r="C118" s="43"/>
      <c r="D118" s="45"/>
      <c r="E118" s="43"/>
      <c r="F118" s="484"/>
      <c r="G118" s="462"/>
      <c r="H118" s="15"/>
      <c r="I118" s="14"/>
      <c r="J118" s="14">
        <v>765</v>
      </c>
      <c r="K118" s="15">
        <f>26*12</f>
        <v>312</v>
      </c>
      <c r="L118" s="14">
        <v>2</v>
      </c>
      <c r="M118" s="16">
        <f>L118*K118*J118</f>
        <v>477360</v>
      </c>
      <c r="N118" s="14"/>
      <c r="O118" s="15"/>
      <c r="P118" s="15"/>
      <c r="Q118" s="15"/>
      <c r="R118" s="15"/>
      <c r="S118" s="15"/>
      <c r="T118" s="15"/>
      <c r="U118" s="15"/>
      <c r="V118" s="15"/>
      <c r="W118" s="15"/>
      <c r="X118" s="15"/>
      <c r="Y118" s="15"/>
      <c r="Z118" s="15"/>
    </row>
    <row r="119" spans="1:26" ht="15.75" customHeight="1" x14ac:dyDescent="0.25">
      <c r="A119" s="300" t="s">
        <v>2082</v>
      </c>
      <c r="B119" s="20"/>
      <c r="C119" s="43"/>
      <c r="D119" s="45"/>
      <c r="E119" s="43"/>
      <c r="F119" s="484"/>
      <c r="G119" s="462"/>
      <c r="H119" s="15"/>
      <c r="I119" s="14"/>
      <c r="J119" s="14"/>
      <c r="K119" s="15"/>
      <c r="L119" s="14"/>
      <c r="M119" s="16"/>
      <c r="N119" s="14"/>
      <c r="O119" s="15"/>
      <c r="P119" s="15"/>
      <c r="Q119" s="15"/>
      <c r="R119" s="15"/>
      <c r="S119" s="15"/>
      <c r="T119" s="15"/>
      <c r="U119" s="15"/>
      <c r="V119" s="15"/>
      <c r="W119" s="15"/>
      <c r="X119" s="15"/>
      <c r="Y119" s="15"/>
      <c r="Z119" s="15"/>
    </row>
    <row r="120" spans="1:26" ht="15.75" customHeight="1" x14ac:dyDescent="0.25">
      <c r="A120" s="74" t="s">
        <v>2083</v>
      </c>
      <c r="B120" s="20"/>
      <c r="C120" s="43"/>
      <c r="D120" s="45"/>
      <c r="E120" s="43"/>
      <c r="F120" s="484"/>
      <c r="G120" s="462"/>
      <c r="H120" s="15"/>
      <c r="I120" s="14"/>
      <c r="J120" s="14">
        <v>678</v>
      </c>
      <c r="K120" s="15">
        <v>312</v>
      </c>
      <c r="L120" s="14">
        <v>16</v>
      </c>
      <c r="M120" s="16">
        <f>L120*K120*J120</f>
        <v>3384576</v>
      </c>
      <c r="N120" s="14"/>
      <c r="O120" s="15"/>
      <c r="P120" s="15"/>
      <c r="Q120" s="15"/>
      <c r="R120" s="15"/>
      <c r="S120" s="15"/>
      <c r="T120" s="15"/>
      <c r="U120" s="15"/>
      <c r="V120" s="15"/>
      <c r="W120" s="15"/>
      <c r="X120" s="15"/>
      <c r="Y120" s="15"/>
      <c r="Z120" s="15"/>
    </row>
    <row r="121" spans="1:26" ht="15.75" customHeight="1" x14ac:dyDescent="0.25">
      <c r="A121" s="300" t="s">
        <v>2084</v>
      </c>
      <c r="B121" s="20"/>
      <c r="C121" s="43"/>
      <c r="D121" s="45"/>
      <c r="E121" s="43"/>
      <c r="F121" s="484"/>
      <c r="G121" s="462"/>
      <c r="H121" s="15"/>
      <c r="I121" s="14"/>
      <c r="J121" s="14"/>
      <c r="K121" s="15"/>
      <c r="L121" s="14"/>
      <c r="M121" s="16"/>
      <c r="N121" s="14"/>
      <c r="O121" s="15"/>
      <c r="P121" s="15"/>
      <c r="Q121" s="15"/>
      <c r="R121" s="15"/>
      <c r="S121" s="15"/>
      <c r="T121" s="15"/>
      <c r="U121" s="15"/>
      <c r="V121" s="15"/>
      <c r="W121" s="15"/>
      <c r="X121" s="15"/>
      <c r="Y121" s="15"/>
      <c r="Z121" s="15"/>
    </row>
    <row r="122" spans="1:26" ht="31.5" x14ac:dyDescent="0.25">
      <c r="A122" s="90" t="s">
        <v>2085</v>
      </c>
      <c r="B122" s="20"/>
      <c r="C122" s="43"/>
      <c r="D122" s="45"/>
      <c r="E122" s="43"/>
      <c r="F122" s="484"/>
      <c r="G122" s="462"/>
      <c r="H122" s="15"/>
      <c r="I122" s="14"/>
      <c r="J122" s="14">
        <v>678</v>
      </c>
      <c r="K122" s="15">
        <v>312</v>
      </c>
      <c r="L122" s="14">
        <v>7</v>
      </c>
      <c r="M122" s="16">
        <f t="shared" ref="M122:M123" si="9">L122*K122*J122</f>
        <v>1480752</v>
      </c>
      <c r="N122" s="14"/>
      <c r="O122" s="15"/>
      <c r="P122" s="15"/>
      <c r="Q122" s="15"/>
      <c r="R122" s="15"/>
      <c r="S122" s="15"/>
      <c r="T122" s="15"/>
      <c r="U122" s="15"/>
      <c r="V122" s="15"/>
      <c r="W122" s="15"/>
      <c r="X122" s="15"/>
      <c r="Y122" s="15"/>
      <c r="Z122" s="15"/>
    </row>
    <row r="123" spans="1:26" ht="31.5" x14ac:dyDescent="0.25">
      <c r="A123" s="90" t="s">
        <v>2086</v>
      </c>
      <c r="B123" s="20"/>
      <c r="C123" s="43"/>
      <c r="D123" s="45"/>
      <c r="E123" s="43"/>
      <c r="F123" s="484"/>
      <c r="G123" s="462"/>
      <c r="H123" s="15"/>
      <c r="I123" s="14"/>
      <c r="J123" s="14">
        <v>678</v>
      </c>
      <c r="K123" s="15">
        <v>312</v>
      </c>
      <c r="L123" s="14">
        <v>2</v>
      </c>
      <c r="M123" s="16">
        <f t="shared" si="9"/>
        <v>423072</v>
      </c>
      <c r="N123" s="14"/>
      <c r="O123" s="15"/>
      <c r="P123" s="15"/>
      <c r="Q123" s="15"/>
      <c r="R123" s="15"/>
      <c r="S123" s="15"/>
      <c r="T123" s="15"/>
      <c r="U123" s="15"/>
      <c r="V123" s="15"/>
      <c r="W123" s="15"/>
      <c r="X123" s="15"/>
      <c r="Y123" s="15"/>
      <c r="Z123" s="15"/>
    </row>
    <row r="124" spans="1:26" ht="15.75" customHeight="1" x14ac:dyDescent="0.25">
      <c r="A124" s="300" t="s">
        <v>2087</v>
      </c>
      <c r="B124" s="20"/>
      <c r="C124" s="43"/>
      <c r="D124" s="45"/>
      <c r="E124" s="43"/>
      <c r="F124" s="484"/>
      <c r="G124" s="462"/>
      <c r="H124" s="15"/>
      <c r="I124" s="14"/>
      <c r="J124" s="14"/>
      <c r="K124" s="15"/>
      <c r="L124" s="14"/>
      <c r="M124" s="16"/>
      <c r="N124" s="14"/>
      <c r="O124" s="15"/>
      <c r="P124" s="15"/>
      <c r="Q124" s="15"/>
      <c r="R124" s="15"/>
      <c r="S124" s="15"/>
      <c r="T124" s="15"/>
      <c r="U124" s="15"/>
      <c r="V124" s="15"/>
      <c r="W124" s="15"/>
      <c r="X124" s="15"/>
      <c r="Y124" s="15"/>
      <c r="Z124" s="15"/>
    </row>
    <row r="125" spans="1:26" ht="31.5" x14ac:dyDescent="0.25">
      <c r="A125" s="90" t="s">
        <v>2088</v>
      </c>
      <c r="B125" s="20"/>
      <c r="C125" s="43"/>
      <c r="D125" s="45"/>
      <c r="E125" s="43"/>
      <c r="F125" s="484"/>
      <c r="G125" s="462"/>
      <c r="H125" s="15"/>
      <c r="I125" s="14"/>
      <c r="J125" s="14">
        <v>861</v>
      </c>
      <c r="K125" s="15">
        <f>26*12</f>
        <v>312</v>
      </c>
      <c r="L125" s="14">
        <f>8</f>
        <v>8</v>
      </c>
      <c r="M125" s="16">
        <f t="shared" ref="M125:M127" si="10">L125*K125*J125</f>
        <v>2149056</v>
      </c>
      <c r="N125" s="14"/>
      <c r="O125" s="15"/>
      <c r="P125" s="15"/>
      <c r="Q125" s="15"/>
      <c r="R125" s="15"/>
      <c r="S125" s="15"/>
      <c r="T125" s="15"/>
      <c r="U125" s="15"/>
      <c r="V125" s="15"/>
      <c r="W125" s="15"/>
      <c r="X125" s="15"/>
      <c r="Y125" s="15"/>
      <c r="Z125" s="15"/>
    </row>
    <row r="126" spans="1:26" ht="31.5" x14ac:dyDescent="0.25">
      <c r="A126" s="90" t="s">
        <v>2089</v>
      </c>
      <c r="B126" s="20"/>
      <c r="C126" s="43"/>
      <c r="D126" s="45"/>
      <c r="E126" s="43"/>
      <c r="F126" s="484"/>
      <c r="G126" s="462"/>
      <c r="H126" s="15"/>
      <c r="I126" s="14"/>
      <c r="J126" s="14">
        <v>765</v>
      </c>
      <c r="K126" s="15">
        <v>312</v>
      </c>
      <c r="L126" s="14">
        <v>2</v>
      </c>
      <c r="M126" s="16">
        <f t="shared" si="10"/>
        <v>477360</v>
      </c>
      <c r="N126" s="14"/>
      <c r="O126" s="15"/>
      <c r="P126" s="15"/>
      <c r="Q126" s="15"/>
      <c r="R126" s="15"/>
      <c r="S126" s="15"/>
      <c r="T126" s="15"/>
      <c r="U126" s="15"/>
      <c r="V126" s="15"/>
      <c r="W126" s="15"/>
      <c r="X126" s="15"/>
      <c r="Y126" s="15"/>
      <c r="Z126" s="15"/>
    </row>
    <row r="127" spans="1:26" ht="31.5" x14ac:dyDescent="0.25">
      <c r="A127" s="90" t="s">
        <v>2090</v>
      </c>
      <c r="B127" s="20"/>
      <c r="C127" s="43"/>
      <c r="D127" s="45"/>
      <c r="E127" s="43"/>
      <c r="F127" s="484"/>
      <c r="G127" s="462"/>
      <c r="H127" s="15"/>
      <c r="I127" s="14"/>
      <c r="J127" s="14">
        <v>678</v>
      </c>
      <c r="K127" s="15">
        <v>312</v>
      </c>
      <c r="L127" s="14">
        <v>1</v>
      </c>
      <c r="M127" s="16">
        <f t="shared" si="10"/>
        <v>211536</v>
      </c>
      <c r="N127" s="14"/>
      <c r="O127" s="15"/>
      <c r="P127" s="15"/>
      <c r="Q127" s="15"/>
      <c r="R127" s="15"/>
      <c r="S127" s="15"/>
      <c r="T127" s="15"/>
      <c r="U127" s="15"/>
      <c r="V127" s="15"/>
      <c r="W127" s="15"/>
      <c r="X127" s="15"/>
      <c r="Y127" s="15"/>
      <c r="Z127" s="15"/>
    </row>
    <row r="128" spans="1:26" ht="15.75" customHeight="1" x14ac:dyDescent="0.25">
      <c r="A128" s="300" t="s">
        <v>2091</v>
      </c>
      <c r="B128" s="20"/>
      <c r="C128" s="43"/>
      <c r="D128" s="45"/>
      <c r="E128" s="43"/>
      <c r="F128" s="484"/>
      <c r="G128" s="462"/>
      <c r="H128" s="15"/>
      <c r="I128" s="14"/>
      <c r="J128" s="14"/>
      <c r="K128" s="15"/>
      <c r="L128" s="14"/>
      <c r="M128" s="16"/>
      <c r="N128" s="14"/>
      <c r="O128" s="15"/>
      <c r="P128" s="15"/>
      <c r="Q128" s="15"/>
      <c r="R128" s="15"/>
      <c r="S128" s="15"/>
      <c r="T128" s="15"/>
      <c r="U128" s="15"/>
      <c r="V128" s="15"/>
      <c r="W128" s="15"/>
      <c r="X128" s="15"/>
      <c r="Y128" s="15"/>
      <c r="Z128" s="15"/>
    </row>
    <row r="129" spans="1:26" ht="15.75" customHeight="1" x14ac:dyDescent="0.25">
      <c r="A129" s="468" t="s">
        <v>2092</v>
      </c>
      <c r="B129" s="454"/>
      <c r="C129" s="443"/>
      <c r="D129" s="443"/>
      <c r="E129" s="443"/>
      <c r="F129" s="443"/>
      <c r="G129" s="462"/>
      <c r="H129" s="15"/>
      <c r="I129" s="14"/>
      <c r="J129" s="14">
        <v>974</v>
      </c>
      <c r="K129" s="15">
        <v>312</v>
      </c>
      <c r="L129" s="14">
        <v>2</v>
      </c>
      <c r="M129" s="16">
        <f t="shared" ref="M129:M131" si="11">L129*K129*J129</f>
        <v>607776</v>
      </c>
      <c r="N129" s="14"/>
      <c r="O129" s="15"/>
      <c r="P129" s="15"/>
      <c r="Q129" s="15"/>
      <c r="R129" s="15"/>
      <c r="S129" s="15"/>
      <c r="T129" s="15"/>
      <c r="U129" s="15"/>
      <c r="V129" s="15"/>
      <c r="W129" s="15"/>
      <c r="X129" s="15"/>
      <c r="Y129" s="15"/>
      <c r="Z129" s="15"/>
    </row>
    <row r="130" spans="1:26" ht="15.75" customHeight="1" x14ac:dyDescent="0.25">
      <c r="A130" s="468" t="s">
        <v>2074</v>
      </c>
      <c r="B130" s="454"/>
      <c r="C130" s="443"/>
      <c r="D130" s="443"/>
      <c r="E130" s="443"/>
      <c r="F130" s="443"/>
      <c r="G130" s="462"/>
      <c r="H130" s="15"/>
      <c r="I130" s="14"/>
      <c r="J130" s="14">
        <v>765</v>
      </c>
      <c r="K130" s="15">
        <v>312</v>
      </c>
      <c r="L130" s="14">
        <v>1</v>
      </c>
      <c r="M130" s="16">
        <f t="shared" si="11"/>
        <v>238680</v>
      </c>
      <c r="N130" s="14"/>
      <c r="O130" s="15"/>
      <c r="P130" s="15"/>
      <c r="Q130" s="15"/>
      <c r="R130" s="15"/>
      <c r="S130" s="15"/>
      <c r="T130" s="15"/>
      <c r="U130" s="15"/>
      <c r="V130" s="15"/>
      <c r="W130" s="15"/>
      <c r="X130" s="15"/>
      <c r="Y130" s="15"/>
      <c r="Z130" s="15"/>
    </row>
    <row r="131" spans="1:26" ht="15.75" customHeight="1" x14ac:dyDescent="0.25">
      <c r="A131" s="74" t="s">
        <v>2093</v>
      </c>
      <c r="B131" s="20"/>
      <c r="C131" s="43"/>
      <c r="D131" s="45"/>
      <c r="E131" s="43"/>
      <c r="F131" s="484"/>
      <c r="G131" s="462"/>
      <c r="H131" s="15"/>
      <c r="I131" s="14"/>
      <c r="J131" s="14">
        <v>678</v>
      </c>
      <c r="K131" s="15">
        <v>312</v>
      </c>
      <c r="L131" s="14">
        <v>65</v>
      </c>
      <c r="M131" s="16">
        <f t="shared" si="11"/>
        <v>13749840</v>
      </c>
      <c r="N131" s="14"/>
      <c r="O131" s="15"/>
      <c r="P131" s="15"/>
      <c r="Q131" s="15"/>
      <c r="R131" s="15"/>
      <c r="S131" s="15"/>
      <c r="T131" s="15"/>
      <c r="U131" s="15"/>
      <c r="V131" s="15"/>
      <c r="W131" s="15"/>
      <c r="X131" s="15"/>
      <c r="Y131" s="15"/>
      <c r="Z131" s="15"/>
    </row>
    <row r="132" spans="1:26" ht="15.75" customHeight="1" x14ac:dyDescent="0.25">
      <c r="A132" s="300" t="s">
        <v>2094</v>
      </c>
      <c r="B132" s="20"/>
      <c r="C132" s="43"/>
      <c r="D132" s="45"/>
      <c r="E132" s="43"/>
      <c r="F132" s="484"/>
      <c r="G132" s="462"/>
      <c r="H132" s="15"/>
      <c r="I132" s="14"/>
      <c r="J132" s="14"/>
      <c r="K132" s="15"/>
      <c r="L132" s="14"/>
      <c r="M132" s="16"/>
      <c r="N132" s="14"/>
      <c r="O132" s="15"/>
      <c r="P132" s="15"/>
      <c r="Q132" s="15"/>
      <c r="R132" s="15"/>
      <c r="S132" s="15"/>
      <c r="T132" s="15"/>
      <c r="U132" s="15"/>
      <c r="V132" s="15"/>
      <c r="W132" s="15"/>
      <c r="X132" s="15"/>
      <c r="Y132" s="15"/>
      <c r="Z132" s="15"/>
    </row>
    <row r="133" spans="1:26" ht="31.5" x14ac:dyDescent="0.25">
      <c r="A133" s="90" t="s">
        <v>2095</v>
      </c>
      <c r="B133" s="20"/>
      <c r="C133" s="43"/>
      <c r="D133" s="45"/>
      <c r="E133" s="43"/>
      <c r="F133" s="484"/>
      <c r="G133" s="462"/>
      <c r="H133" s="15"/>
      <c r="I133" s="14"/>
      <c r="J133" s="14">
        <v>861</v>
      </c>
      <c r="K133" s="15">
        <v>312</v>
      </c>
      <c r="L133" s="14">
        <v>8</v>
      </c>
      <c r="M133" s="16">
        <f>L133*K133*J133</f>
        <v>2149056</v>
      </c>
      <c r="N133" s="14"/>
      <c r="O133" s="15"/>
      <c r="P133" s="15"/>
      <c r="Q133" s="15"/>
      <c r="R133" s="15"/>
      <c r="S133" s="15"/>
      <c r="T133" s="15"/>
      <c r="U133" s="15"/>
      <c r="V133" s="15"/>
      <c r="W133" s="15"/>
      <c r="X133" s="15"/>
      <c r="Y133" s="15"/>
      <c r="Z133" s="15"/>
    </row>
    <row r="134" spans="1:26" ht="15.75" customHeight="1" x14ac:dyDescent="0.25">
      <c r="A134" s="300" t="s">
        <v>2096</v>
      </c>
      <c r="B134" s="20"/>
      <c r="C134" s="43"/>
      <c r="D134" s="45"/>
      <c r="E134" s="43"/>
      <c r="F134" s="484"/>
      <c r="G134" s="462"/>
      <c r="H134" s="15"/>
      <c r="I134" s="14"/>
      <c r="J134" s="14"/>
      <c r="K134" s="15"/>
      <c r="L134" s="14"/>
      <c r="M134" s="16"/>
      <c r="N134" s="14"/>
      <c r="O134" s="15"/>
      <c r="P134" s="15"/>
      <c r="Q134" s="15"/>
      <c r="R134" s="15"/>
      <c r="S134" s="15"/>
      <c r="T134" s="15"/>
      <c r="U134" s="15"/>
      <c r="V134" s="15"/>
      <c r="W134" s="15"/>
      <c r="X134" s="15"/>
      <c r="Y134" s="15"/>
      <c r="Z134" s="15"/>
    </row>
    <row r="135" spans="1:26" ht="15.75" customHeight="1" x14ac:dyDescent="0.25">
      <c r="A135" s="74" t="s">
        <v>2097</v>
      </c>
      <c r="B135" s="20"/>
      <c r="C135" s="43"/>
      <c r="D135" s="45"/>
      <c r="E135" s="43"/>
      <c r="F135" s="484"/>
      <c r="G135" s="462"/>
      <c r="H135" s="15"/>
      <c r="I135" s="14"/>
      <c r="J135" s="14">
        <v>974</v>
      </c>
      <c r="K135" s="15">
        <f>22*12</f>
        <v>264</v>
      </c>
      <c r="L135" s="14">
        <v>1</v>
      </c>
      <c r="M135" s="16">
        <f>L135*K135*J135</f>
        <v>257136</v>
      </c>
      <c r="N135" s="14"/>
      <c r="O135" s="15"/>
      <c r="P135" s="15"/>
      <c r="Q135" s="15"/>
      <c r="R135" s="15"/>
      <c r="S135" s="15"/>
      <c r="T135" s="15"/>
      <c r="U135" s="15"/>
      <c r="V135" s="15"/>
      <c r="W135" s="15"/>
      <c r="X135" s="15"/>
      <c r="Y135" s="15"/>
      <c r="Z135" s="15"/>
    </row>
    <row r="136" spans="1:26" ht="31.5" x14ac:dyDescent="0.25">
      <c r="A136" s="559" t="s">
        <v>2098</v>
      </c>
      <c r="B136" s="20"/>
      <c r="C136" s="43"/>
      <c r="D136" s="45"/>
      <c r="E136" s="43"/>
      <c r="F136" s="484"/>
      <c r="G136" s="462"/>
      <c r="H136" s="15"/>
      <c r="I136" s="14"/>
      <c r="J136" s="14"/>
      <c r="K136" s="15"/>
      <c r="L136" s="14"/>
      <c r="M136" s="16"/>
      <c r="N136" s="14"/>
      <c r="O136" s="15"/>
      <c r="P136" s="15"/>
      <c r="Q136" s="15"/>
      <c r="R136" s="15"/>
      <c r="S136" s="15"/>
      <c r="T136" s="15"/>
      <c r="U136" s="15"/>
      <c r="V136" s="15"/>
      <c r="W136" s="15"/>
      <c r="X136" s="15"/>
      <c r="Y136" s="15"/>
      <c r="Z136" s="15"/>
    </row>
    <row r="137" spans="1:26" ht="15.75" customHeight="1" x14ac:dyDescent="0.25">
      <c r="A137" s="74" t="s">
        <v>2099</v>
      </c>
      <c r="B137" s="20"/>
      <c r="C137" s="43"/>
      <c r="D137" s="45"/>
      <c r="E137" s="43"/>
      <c r="F137" s="484"/>
      <c r="G137" s="462"/>
      <c r="H137" s="15"/>
      <c r="I137" s="14"/>
      <c r="J137" s="14">
        <v>974</v>
      </c>
      <c r="K137" s="15">
        <f t="shared" ref="K137:K139" si="12">26*12</f>
        <v>312</v>
      </c>
      <c r="L137" s="14">
        <v>1</v>
      </c>
      <c r="M137" s="16">
        <f t="shared" ref="M137:M139" si="13">L137*K137*J137</f>
        <v>303888</v>
      </c>
      <c r="N137" s="14"/>
      <c r="O137" s="15"/>
      <c r="P137" s="15"/>
      <c r="Q137" s="15"/>
      <c r="R137" s="15"/>
      <c r="S137" s="15"/>
      <c r="T137" s="15"/>
      <c r="U137" s="15"/>
      <c r="V137" s="15"/>
      <c r="W137" s="15"/>
      <c r="X137" s="15"/>
      <c r="Y137" s="15"/>
      <c r="Z137" s="15"/>
    </row>
    <row r="138" spans="1:26" ht="15.75" customHeight="1" x14ac:dyDescent="0.25">
      <c r="A138" s="74" t="s">
        <v>2100</v>
      </c>
      <c r="B138" s="20"/>
      <c r="C138" s="43"/>
      <c r="D138" s="45"/>
      <c r="E138" s="43"/>
      <c r="F138" s="484"/>
      <c r="G138" s="462"/>
      <c r="H138" s="15"/>
      <c r="I138" s="14"/>
      <c r="J138" s="14">
        <v>678</v>
      </c>
      <c r="K138" s="15">
        <f t="shared" si="12"/>
        <v>312</v>
      </c>
      <c r="L138" s="14">
        <v>20</v>
      </c>
      <c r="M138" s="16">
        <f t="shared" si="13"/>
        <v>4230720</v>
      </c>
      <c r="N138" s="14"/>
      <c r="O138" s="15"/>
      <c r="P138" s="15"/>
      <c r="Q138" s="15"/>
      <c r="R138" s="15"/>
      <c r="S138" s="15"/>
      <c r="T138" s="15"/>
      <c r="U138" s="15"/>
      <c r="V138" s="15"/>
      <c r="W138" s="15"/>
      <c r="X138" s="15"/>
      <c r="Y138" s="15"/>
      <c r="Z138" s="15"/>
    </row>
    <row r="139" spans="1:26" ht="15.75" customHeight="1" x14ac:dyDescent="0.25">
      <c r="A139" s="74" t="s">
        <v>2101</v>
      </c>
      <c r="B139" s="20"/>
      <c r="C139" s="43"/>
      <c r="D139" s="45"/>
      <c r="E139" s="43"/>
      <c r="F139" s="484"/>
      <c r="G139" s="462"/>
      <c r="H139" s="15"/>
      <c r="I139" s="14"/>
      <c r="J139" s="14">
        <v>861</v>
      </c>
      <c r="K139" s="15">
        <f t="shared" si="12"/>
        <v>312</v>
      </c>
      <c r="L139" s="14">
        <v>1</v>
      </c>
      <c r="M139" s="16">
        <f t="shared" si="13"/>
        <v>268632</v>
      </c>
      <c r="N139" s="14"/>
      <c r="O139" s="15"/>
      <c r="P139" s="15"/>
      <c r="Q139" s="15"/>
      <c r="R139" s="15"/>
      <c r="S139" s="15"/>
      <c r="T139" s="15"/>
      <c r="U139" s="15"/>
      <c r="V139" s="15"/>
      <c r="W139" s="15"/>
      <c r="X139" s="15"/>
      <c r="Y139" s="15"/>
      <c r="Z139" s="15"/>
    </row>
    <row r="140" spans="1:26" ht="31.5" x14ac:dyDescent="0.25">
      <c r="A140" s="559" t="s">
        <v>2102</v>
      </c>
      <c r="B140" s="20"/>
      <c r="C140" s="43"/>
      <c r="D140" s="45"/>
      <c r="E140" s="43"/>
      <c r="F140" s="484"/>
      <c r="G140" s="462"/>
      <c r="H140" s="15"/>
      <c r="I140" s="14"/>
      <c r="J140" s="14"/>
      <c r="K140" s="15"/>
      <c r="L140" s="14"/>
      <c r="M140" s="16"/>
      <c r="N140" s="14"/>
      <c r="O140" s="15"/>
      <c r="P140" s="15"/>
      <c r="Q140" s="15"/>
      <c r="R140" s="15"/>
      <c r="S140" s="15"/>
      <c r="T140" s="15"/>
      <c r="U140" s="15"/>
      <c r="V140" s="15"/>
      <c r="W140" s="15"/>
      <c r="X140" s="15"/>
      <c r="Y140" s="15"/>
      <c r="Z140" s="15"/>
    </row>
    <row r="141" spans="1:26" ht="15.75" customHeight="1" x14ac:dyDescent="0.25">
      <c r="A141" s="74" t="s">
        <v>2103</v>
      </c>
      <c r="B141" s="20"/>
      <c r="C141" s="43"/>
      <c r="D141" s="45"/>
      <c r="E141" s="43"/>
      <c r="F141" s="484"/>
      <c r="G141" s="462"/>
      <c r="H141" s="15"/>
      <c r="I141" s="14"/>
      <c r="J141" s="14">
        <v>861</v>
      </c>
      <c r="K141" s="15">
        <f t="shared" ref="K141:K142" si="14">26*12</f>
        <v>312</v>
      </c>
      <c r="L141" s="14">
        <v>1</v>
      </c>
      <c r="M141" s="16">
        <f t="shared" ref="M141:M142" si="15">L141*K141*J141</f>
        <v>268632</v>
      </c>
      <c r="N141" s="14"/>
      <c r="O141" s="15"/>
      <c r="P141" s="15"/>
      <c r="Q141" s="15"/>
      <c r="R141" s="15"/>
      <c r="S141" s="15"/>
      <c r="T141" s="15"/>
      <c r="U141" s="15"/>
      <c r="V141" s="15"/>
      <c r="W141" s="15"/>
      <c r="X141" s="15"/>
      <c r="Y141" s="15"/>
      <c r="Z141" s="15"/>
    </row>
    <row r="142" spans="1:26" ht="15.75" customHeight="1" x14ac:dyDescent="0.25">
      <c r="A142" s="74" t="s">
        <v>2104</v>
      </c>
      <c r="B142" s="20"/>
      <c r="C142" s="43"/>
      <c r="D142" s="45"/>
      <c r="E142" s="43"/>
      <c r="F142" s="484"/>
      <c r="G142" s="462"/>
      <c r="H142" s="15"/>
      <c r="I142" s="14"/>
      <c r="J142" s="14">
        <v>639</v>
      </c>
      <c r="K142" s="15">
        <f t="shared" si="14"/>
        <v>312</v>
      </c>
      <c r="L142" s="14">
        <v>2</v>
      </c>
      <c r="M142" s="16">
        <f t="shared" si="15"/>
        <v>398736</v>
      </c>
      <c r="N142" s="14"/>
      <c r="O142" s="15"/>
      <c r="P142" s="15"/>
      <c r="Q142" s="15"/>
      <c r="R142" s="15"/>
      <c r="S142" s="15"/>
      <c r="T142" s="15"/>
      <c r="U142" s="15"/>
      <c r="V142" s="15"/>
      <c r="W142" s="15"/>
      <c r="X142" s="15"/>
      <c r="Y142" s="15"/>
      <c r="Z142" s="15"/>
    </row>
    <row r="143" spans="1:26" ht="15.75" customHeight="1" x14ac:dyDescent="0.25">
      <c r="A143" s="300" t="s">
        <v>2105</v>
      </c>
      <c r="B143" s="20"/>
      <c r="C143" s="43"/>
      <c r="D143" s="45"/>
      <c r="E143" s="43"/>
      <c r="F143" s="484"/>
      <c r="G143" s="462"/>
      <c r="H143" s="15"/>
      <c r="I143" s="14"/>
      <c r="J143" s="14"/>
      <c r="K143" s="15"/>
      <c r="L143" s="14"/>
      <c r="M143" s="16"/>
      <c r="N143" s="14"/>
      <c r="O143" s="15"/>
      <c r="P143" s="15"/>
      <c r="Q143" s="15"/>
      <c r="R143" s="15"/>
      <c r="S143" s="15"/>
      <c r="T143" s="15"/>
      <c r="U143" s="15"/>
      <c r="V143" s="15"/>
      <c r="W143" s="15"/>
      <c r="X143" s="15"/>
      <c r="Y143" s="15"/>
      <c r="Z143" s="15"/>
    </row>
    <row r="144" spans="1:26" ht="15.75" customHeight="1" x14ac:dyDescent="0.25">
      <c r="A144" s="74" t="s">
        <v>2106</v>
      </c>
      <c r="B144" s="20"/>
      <c r="C144" s="43"/>
      <c r="D144" s="45"/>
      <c r="E144" s="43"/>
      <c r="F144" s="484"/>
      <c r="G144" s="462"/>
      <c r="H144" s="15"/>
      <c r="I144" s="14"/>
      <c r="J144" s="14">
        <v>861</v>
      </c>
      <c r="K144" s="15">
        <v>312</v>
      </c>
      <c r="L144" s="14">
        <v>2</v>
      </c>
      <c r="M144" s="16">
        <f>L144*K144*J144</f>
        <v>537264</v>
      </c>
      <c r="N144" s="14"/>
      <c r="O144" s="15"/>
      <c r="P144" s="15"/>
      <c r="Q144" s="15"/>
      <c r="R144" s="15"/>
      <c r="S144" s="15"/>
      <c r="T144" s="15"/>
      <c r="U144" s="15"/>
      <c r="V144" s="15"/>
      <c r="W144" s="15"/>
      <c r="X144" s="15"/>
      <c r="Y144" s="15"/>
      <c r="Z144" s="15"/>
    </row>
    <row r="145" spans="1:26" ht="31.5" x14ac:dyDescent="0.25">
      <c r="A145" s="692" t="s">
        <v>2107</v>
      </c>
      <c r="B145" s="603"/>
      <c r="C145" s="457"/>
      <c r="D145" s="452"/>
      <c r="E145" s="457"/>
      <c r="F145" s="618"/>
      <c r="G145" s="693"/>
      <c r="H145" s="15"/>
      <c r="I145" s="14"/>
      <c r="J145" s="14"/>
      <c r="K145" s="15"/>
      <c r="L145" s="14"/>
      <c r="M145" s="16"/>
      <c r="N145" s="14"/>
      <c r="O145" s="15"/>
      <c r="P145" s="15"/>
      <c r="Q145" s="15"/>
      <c r="R145" s="15"/>
      <c r="S145" s="15"/>
      <c r="T145" s="15"/>
      <c r="U145" s="15"/>
      <c r="V145" s="15"/>
      <c r="W145" s="15"/>
      <c r="X145" s="15"/>
      <c r="Y145" s="15"/>
      <c r="Z145" s="15"/>
    </row>
    <row r="146" spans="1:26" ht="15.75" customHeight="1" x14ac:dyDescent="0.25">
      <c r="A146" s="671" t="s">
        <v>2106</v>
      </c>
      <c r="B146" s="539"/>
      <c r="C146" s="448"/>
      <c r="D146" s="449"/>
      <c r="E146" s="448"/>
      <c r="F146" s="513"/>
      <c r="G146" s="500"/>
      <c r="H146" s="15"/>
      <c r="I146" s="14"/>
      <c r="J146" s="14">
        <v>861</v>
      </c>
      <c r="K146" s="15">
        <f t="shared" ref="K146:K148" si="16">26*12</f>
        <v>312</v>
      </c>
      <c r="L146" s="14">
        <v>2</v>
      </c>
      <c r="M146" s="16">
        <f t="shared" ref="M146:M148" si="17">L146*K146*J146</f>
        <v>537264</v>
      </c>
      <c r="N146" s="14"/>
      <c r="O146" s="15"/>
      <c r="P146" s="15"/>
      <c r="Q146" s="15"/>
      <c r="R146" s="15"/>
      <c r="S146" s="15"/>
      <c r="T146" s="15"/>
      <c r="U146" s="15"/>
      <c r="V146" s="15"/>
      <c r="W146" s="15"/>
      <c r="X146" s="15"/>
      <c r="Y146" s="15"/>
      <c r="Z146" s="15"/>
    </row>
    <row r="147" spans="1:26" ht="15.75" customHeight="1" x14ac:dyDescent="0.25">
      <c r="A147" s="74" t="s">
        <v>2108</v>
      </c>
      <c r="B147" s="20"/>
      <c r="C147" s="43"/>
      <c r="D147" s="45"/>
      <c r="E147" s="43"/>
      <c r="F147" s="484"/>
      <c r="G147" s="462"/>
      <c r="H147" s="15"/>
      <c r="I147" s="14"/>
      <c r="J147" s="14">
        <v>765</v>
      </c>
      <c r="K147" s="15">
        <f t="shared" si="16"/>
        <v>312</v>
      </c>
      <c r="L147" s="14">
        <v>2</v>
      </c>
      <c r="M147" s="16">
        <f t="shared" si="17"/>
        <v>477360</v>
      </c>
      <c r="N147" s="14"/>
      <c r="O147" s="15"/>
      <c r="P147" s="15"/>
      <c r="Q147" s="15"/>
      <c r="R147" s="15"/>
      <c r="S147" s="15"/>
      <c r="T147" s="15"/>
      <c r="U147" s="15"/>
      <c r="V147" s="15"/>
      <c r="W147" s="15"/>
      <c r="X147" s="15"/>
      <c r="Y147" s="15"/>
      <c r="Z147" s="15"/>
    </row>
    <row r="148" spans="1:26" ht="31.5" x14ac:dyDescent="0.25">
      <c r="A148" s="90" t="s">
        <v>2086</v>
      </c>
      <c r="B148" s="20"/>
      <c r="C148" s="43"/>
      <c r="D148" s="45"/>
      <c r="E148" s="43"/>
      <c r="F148" s="484"/>
      <c r="G148" s="462"/>
      <c r="H148" s="15"/>
      <c r="I148" s="14"/>
      <c r="J148" s="14">
        <v>678</v>
      </c>
      <c r="K148" s="15">
        <f t="shared" si="16"/>
        <v>312</v>
      </c>
      <c r="L148" s="14">
        <v>2</v>
      </c>
      <c r="M148" s="16">
        <f t="shared" si="17"/>
        <v>423072</v>
      </c>
      <c r="N148" s="14"/>
      <c r="O148" s="15"/>
      <c r="P148" s="15"/>
      <c r="Q148" s="15"/>
      <c r="R148" s="15"/>
      <c r="S148" s="15"/>
      <c r="T148" s="15"/>
      <c r="U148" s="15"/>
      <c r="V148" s="15"/>
      <c r="W148" s="15"/>
      <c r="X148" s="15"/>
      <c r="Y148" s="15"/>
      <c r="Z148" s="15"/>
    </row>
    <row r="149" spans="1:26" ht="15.75" customHeight="1" x14ac:dyDescent="0.25">
      <c r="A149" s="300" t="s">
        <v>2109</v>
      </c>
      <c r="B149" s="20"/>
      <c r="C149" s="43"/>
      <c r="D149" s="45"/>
      <c r="E149" s="43"/>
      <c r="F149" s="484"/>
      <c r="G149" s="462"/>
      <c r="H149" s="15"/>
      <c r="I149" s="14"/>
      <c r="J149" s="14"/>
      <c r="K149" s="15"/>
      <c r="L149" s="14"/>
      <c r="M149" s="16"/>
      <c r="N149" s="14"/>
      <c r="O149" s="15"/>
      <c r="P149" s="15"/>
      <c r="Q149" s="15"/>
      <c r="R149" s="15"/>
      <c r="S149" s="15"/>
      <c r="T149" s="15"/>
      <c r="U149" s="15"/>
      <c r="V149" s="15"/>
      <c r="W149" s="15"/>
      <c r="X149" s="15"/>
      <c r="Y149" s="15"/>
      <c r="Z149" s="15"/>
    </row>
    <row r="150" spans="1:26" ht="15.75" customHeight="1" x14ac:dyDescent="0.25">
      <c r="A150" s="74" t="s">
        <v>2074</v>
      </c>
      <c r="B150" s="20"/>
      <c r="C150" s="43"/>
      <c r="D150" s="45"/>
      <c r="E150" s="43"/>
      <c r="F150" s="484"/>
      <c r="G150" s="462"/>
      <c r="H150" s="15"/>
      <c r="I150" s="14"/>
      <c r="J150" s="14">
        <v>765</v>
      </c>
      <c r="K150" s="15">
        <v>312</v>
      </c>
      <c r="L150" s="14">
        <v>1</v>
      </c>
      <c r="M150" s="16">
        <f t="shared" ref="M150:M151" si="18">L150*K150*J150</f>
        <v>238680</v>
      </c>
      <c r="N150" s="14"/>
      <c r="O150" s="15"/>
      <c r="P150" s="15"/>
      <c r="Q150" s="15"/>
      <c r="R150" s="15"/>
      <c r="S150" s="15"/>
      <c r="T150" s="15"/>
      <c r="U150" s="15"/>
      <c r="V150" s="15"/>
      <c r="W150" s="15"/>
      <c r="X150" s="15"/>
      <c r="Y150" s="15"/>
      <c r="Z150" s="15"/>
    </row>
    <row r="151" spans="1:26" ht="15.75" customHeight="1" x14ac:dyDescent="0.25">
      <c r="A151" s="74" t="s">
        <v>2110</v>
      </c>
      <c r="B151" s="20"/>
      <c r="C151" s="43"/>
      <c r="D151" s="45"/>
      <c r="E151" s="43"/>
      <c r="F151" s="484"/>
      <c r="G151" s="462"/>
      <c r="H151" s="15"/>
      <c r="I151" s="14"/>
      <c r="J151" s="14">
        <v>639</v>
      </c>
      <c r="K151" s="15">
        <v>312</v>
      </c>
      <c r="L151" s="14">
        <v>15</v>
      </c>
      <c r="M151" s="16">
        <f t="shared" si="18"/>
        <v>2990520</v>
      </c>
      <c r="N151" s="14"/>
      <c r="O151" s="15"/>
      <c r="P151" s="15"/>
      <c r="Q151" s="15"/>
      <c r="R151" s="15"/>
      <c r="S151" s="15"/>
      <c r="T151" s="15"/>
      <c r="U151" s="15"/>
      <c r="V151" s="15"/>
      <c r="W151" s="15"/>
      <c r="X151" s="15"/>
      <c r="Y151" s="15"/>
      <c r="Z151" s="15"/>
    </row>
    <row r="152" spans="1:26" ht="15.75" customHeight="1" x14ac:dyDescent="0.25">
      <c r="A152" s="300" t="s">
        <v>2111</v>
      </c>
      <c r="B152" s="20"/>
      <c r="C152" s="43"/>
      <c r="D152" s="45"/>
      <c r="E152" s="43"/>
      <c r="F152" s="484"/>
      <c r="G152" s="462"/>
      <c r="H152" s="15"/>
      <c r="I152" s="14"/>
      <c r="J152" s="14"/>
      <c r="K152" s="15"/>
      <c r="L152" s="14"/>
      <c r="M152" s="16"/>
      <c r="N152" s="14"/>
      <c r="O152" s="15"/>
      <c r="P152" s="15"/>
      <c r="Q152" s="15"/>
      <c r="R152" s="15"/>
      <c r="S152" s="15"/>
      <c r="T152" s="15"/>
      <c r="U152" s="15"/>
      <c r="V152" s="15"/>
      <c r="W152" s="15"/>
      <c r="X152" s="15"/>
      <c r="Y152" s="15"/>
      <c r="Z152" s="15"/>
    </row>
    <row r="153" spans="1:26" ht="15.75" customHeight="1" x14ac:dyDescent="0.25">
      <c r="A153" s="74" t="s">
        <v>2097</v>
      </c>
      <c r="B153" s="20"/>
      <c r="C153" s="43"/>
      <c r="D153" s="45"/>
      <c r="E153" s="43"/>
      <c r="F153" s="484"/>
      <c r="G153" s="462"/>
      <c r="H153" s="15"/>
      <c r="I153" s="14"/>
      <c r="J153" s="14">
        <v>974</v>
      </c>
      <c r="K153" s="15">
        <f t="shared" ref="K153:K154" si="19">22*12</f>
        <v>264</v>
      </c>
      <c r="L153" s="14">
        <v>1</v>
      </c>
      <c r="M153" s="16">
        <f t="shared" ref="M153:M154" si="20">L153*K153*J153</f>
        <v>257136</v>
      </c>
      <c r="N153" s="14"/>
      <c r="O153" s="15"/>
      <c r="P153" s="15"/>
      <c r="Q153" s="15"/>
      <c r="R153" s="15"/>
      <c r="S153" s="15"/>
      <c r="T153" s="15"/>
      <c r="U153" s="15"/>
      <c r="V153" s="15"/>
      <c r="W153" s="15"/>
      <c r="X153" s="15"/>
      <c r="Y153" s="15"/>
      <c r="Z153" s="15"/>
    </row>
    <row r="154" spans="1:26" ht="15.75" customHeight="1" x14ac:dyDescent="0.25">
      <c r="A154" s="74" t="s">
        <v>2112</v>
      </c>
      <c r="B154" s="20"/>
      <c r="C154" s="43"/>
      <c r="D154" s="45"/>
      <c r="E154" s="43"/>
      <c r="F154" s="484"/>
      <c r="G154" s="462"/>
      <c r="H154" s="15"/>
      <c r="I154" s="14"/>
      <c r="J154" s="14">
        <v>765</v>
      </c>
      <c r="K154" s="15">
        <f t="shared" si="19"/>
        <v>264</v>
      </c>
      <c r="L154" s="14">
        <v>1</v>
      </c>
      <c r="M154" s="16">
        <f t="shared" si="20"/>
        <v>201960</v>
      </c>
      <c r="N154" s="14"/>
      <c r="O154" s="15"/>
      <c r="P154" s="15"/>
      <c r="Q154" s="15"/>
      <c r="R154" s="15"/>
      <c r="S154" s="15"/>
      <c r="T154" s="15"/>
      <c r="U154" s="15"/>
      <c r="V154" s="15"/>
      <c r="W154" s="15"/>
      <c r="X154" s="15"/>
      <c r="Y154" s="15"/>
      <c r="Z154" s="15"/>
    </row>
    <row r="155" spans="1:26" ht="15.75" customHeight="1" x14ac:dyDescent="0.25">
      <c r="A155" s="300" t="s">
        <v>2113</v>
      </c>
      <c r="B155" s="20"/>
      <c r="C155" s="43"/>
      <c r="D155" s="45"/>
      <c r="E155" s="43"/>
      <c r="F155" s="484"/>
      <c r="G155" s="462"/>
      <c r="H155" s="15"/>
      <c r="I155" s="14"/>
      <c r="J155" s="14"/>
      <c r="K155" s="15"/>
      <c r="L155" s="14"/>
      <c r="M155" s="16"/>
      <c r="N155" s="14"/>
      <c r="O155" s="15"/>
      <c r="P155" s="15"/>
      <c r="Q155" s="15"/>
      <c r="R155" s="15"/>
      <c r="S155" s="15"/>
      <c r="T155" s="15"/>
      <c r="U155" s="15"/>
      <c r="V155" s="15"/>
      <c r="W155" s="15"/>
      <c r="X155" s="15"/>
      <c r="Y155" s="15"/>
      <c r="Z155" s="15"/>
    </row>
    <row r="156" spans="1:26" ht="15.75" customHeight="1" x14ac:dyDescent="0.25">
      <c r="A156" s="74" t="s">
        <v>2114</v>
      </c>
      <c r="B156" s="20"/>
      <c r="C156" s="43"/>
      <c r="D156" s="45"/>
      <c r="E156" s="43"/>
      <c r="F156" s="484"/>
      <c r="G156" s="462"/>
      <c r="H156" s="15"/>
      <c r="I156" s="14"/>
      <c r="J156" s="14">
        <f>678</f>
        <v>678</v>
      </c>
      <c r="K156" s="15">
        <f t="shared" ref="K156:K157" si="21">26*12</f>
        <v>312</v>
      </c>
      <c r="L156" s="14">
        <v>2</v>
      </c>
      <c r="M156" s="16">
        <f t="shared" ref="M156:M157" si="22">L156*K156*J156</f>
        <v>423072</v>
      </c>
      <c r="N156" s="14"/>
      <c r="O156" s="15"/>
      <c r="P156" s="15"/>
      <c r="Q156" s="15"/>
      <c r="R156" s="15"/>
      <c r="S156" s="15"/>
      <c r="T156" s="15"/>
      <c r="U156" s="15"/>
      <c r="V156" s="15"/>
      <c r="W156" s="15"/>
      <c r="X156" s="15"/>
      <c r="Y156" s="15"/>
      <c r="Z156" s="15"/>
    </row>
    <row r="157" spans="1:26" ht="15.75" customHeight="1" x14ac:dyDescent="0.25">
      <c r="A157" s="74" t="s">
        <v>2101</v>
      </c>
      <c r="B157" s="20"/>
      <c r="C157" s="43"/>
      <c r="D157" s="45"/>
      <c r="E157" s="43"/>
      <c r="F157" s="484"/>
      <c r="G157" s="462"/>
      <c r="H157" s="15"/>
      <c r="I157" s="14"/>
      <c r="J157" s="14">
        <f>861</f>
        <v>861</v>
      </c>
      <c r="K157" s="15">
        <f t="shared" si="21"/>
        <v>312</v>
      </c>
      <c r="L157" s="14">
        <v>1</v>
      </c>
      <c r="M157" s="16">
        <f t="shared" si="22"/>
        <v>268632</v>
      </c>
      <c r="N157" s="14">
        <f>SUM(M111:M157)</f>
        <v>42361536</v>
      </c>
      <c r="O157" s="16"/>
      <c r="P157" s="15"/>
      <c r="Q157" s="15"/>
      <c r="R157" s="15"/>
      <c r="S157" s="15"/>
      <c r="T157" s="15"/>
      <c r="U157" s="15"/>
      <c r="V157" s="15"/>
      <c r="W157" s="15"/>
      <c r="X157" s="15"/>
      <c r="Y157" s="15"/>
      <c r="Z157" s="15"/>
    </row>
    <row r="158" spans="1:26" ht="15.75" customHeight="1" x14ac:dyDescent="0.25">
      <c r="A158" s="42" t="s">
        <v>672</v>
      </c>
      <c r="B158" s="41"/>
      <c r="C158" s="54">
        <f t="shared" ref="C158:G158" si="23">+SUM(C42:C102)</f>
        <v>69791251.879999995</v>
      </c>
      <c r="D158" s="54">
        <f t="shared" si="23"/>
        <v>35048206.890000001</v>
      </c>
      <c r="E158" s="54">
        <f t="shared" si="23"/>
        <v>43039255.109999999</v>
      </c>
      <c r="F158" s="54">
        <f t="shared" si="23"/>
        <v>78087462</v>
      </c>
      <c r="G158" s="54">
        <f t="shared" si="23"/>
        <v>85887858</v>
      </c>
      <c r="H158" s="15"/>
      <c r="I158" s="14"/>
      <c r="J158" s="14"/>
      <c r="K158" s="15"/>
      <c r="L158" s="14"/>
      <c r="M158" s="16"/>
      <c r="N158" s="14"/>
      <c r="O158" s="15"/>
      <c r="P158" s="15"/>
      <c r="Q158" s="15"/>
      <c r="R158" s="15"/>
      <c r="S158" s="15"/>
      <c r="T158" s="15"/>
      <c r="U158" s="15"/>
      <c r="V158" s="15"/>
      <c r="W158" s="15"/>
      <c r="X158" s="15"/>
      <c r="Y158" s="15"/>
      <c r="Z158" s="15"/>
    </row>
    <row r="159" spans="1:26" ht="15.75" customHeight="1" x14ac:dyDescent="0.25">
      <c r="A159" s="42"/>
      <c r="B159" s="41"/>
      <c r="C159" s="55"/>
      <c r="D159" s="39"/>
      <c r="E159" s="39"/>
      <c r="F159" s="39"/>
      <c r="G159" s="39"/>
      <c r="H159" s="15"/>
      <c r="I159" s="14"/>
      <c r="J159" s="14"/>
      <c r="K159" s="15"/>
      <c r="L159" s="14"/>
      <c r="M159" s="16"/>
      <c r="N159" s="14"/>
      <c r="O159" s="15"/>
      <c r="P159" s="15"/>
      <c r="Q159" s="15"/>
      <c r="R159" s="15"/>
      <c r="S159" s="15"/>
      <c r="T159" s="15"/>
      <c r="U159" s="15"/>
      <c r="V159" s="15"/>
      <c r="W159" s="15"/>
      <c r="X159" s="15"/>
      <c r="Y159" s="15"/>
      <c r="Z159" s="15"/>
    </row>
    <row r="160" spans="1:26" ht="15.75" customHeight="1" x14ac:dyDescent="0.25">
      <c r="A160" s="17" t="s">
        <v>467</v>
      </c>
      <c r="B160" s="41"/>
      <c r="C160" s="43">
        <f t="shared" ref="C160:G160" si="24">+C38+C158</f>
        <v>88125717.039999992</v>
      </c>
      <c r="D160" s="43">
        <f t="shared" si="24"/>
        <v>44626031.640000001</v>
      </c>
      <c r="E160" s="43">
        <f t="shared" si="24"/>
        <v>61526615.359999999</v>
      </c>
      <c r="F160" s="43">
        <f t="shared" si="24"/>
        <v>106152647</v>
      </c>
      <c r="G160" s="43">
        <f t="shared" si="24"/>
        <v>116316683</v>
      </c>
      <c r="H160" s="15"/>
      <c r="I160" s="14"/>
      <c r="J160" s="14"/>
      <c r="K160" s="15"/>
      <c r="L160" s="14"/>
      <c r="M160" s="16"/>
      <c r="N160" s="14"/>
      <c r="O160" s="15"/>
      <c r="P160" s="15"/>
      <c r="Q160" s="15"/>
      <c r="R160" s="15"/>
      <c r="S160" s="15"/>
      <c r="T160" s="15"/>
      <c r="U160" s="15"/>
      <c r="V160" s="15"/>
      <c r="W160" s="15"/>
      <c r="X160" s="15"/>
      <c r="Y160" s="15"/>
      <c r="Z160" s="15"/>
    </row>
    <row r="161" spans="1:26" ht="15.75" customHeight="1" x14ac:dyDescent="0.25">
      <c r="A161" s="42"/>
      <c r="B161" s="41"/>
      <c r="C161" s="43"/>
      <c r="D161" s="45"/>
      <c r="E161" s="45"/>
      <c r="F161" s="45"/>
      <c r="G161" s="45"/>
      <c r="H161" s="15"/>
      <c r="I161" s="14"/>
      <c r="J161" s="14"/>
      <c r="K161" s="15"/>
      <c r="L161" s="14"/>
      <c r="M161" s="16"/>
      <c r="N161" s="14"/>
      <c r="O161" s="15"/>
      <c r="P161" s="15"/>
      <c r="Q161" s="15"/>
      <c r="R161" s="15"/>
      <c r="S161" s="15"/>
      <c r="T161" s="15"/>
      <c r="U161" s="15"/>
      <c r="V161" s="15"/>
      <c r="W161" s="15"/>
      <c r="X161" s="15"/>
      <c r="Y161" s="15"/>
      <c r="Z161" s="15"/>
    </row>
    <row r="162" spans="1:26" ht="15.75" customHeight="1" x14ac:dyDescent="0.25">
      <c r="A162" s="42" t="s">
        <v>529</v>
      </c>
      <c r="B162" s="41"/>
      <c r="C162" s="56"/>
      <c r="D162" s="56"/>
      <c r="E162" s="43"/>
      <c r="F162" s="43"/>
      <c r="G162" s="45"/>
      <c r="I162" s="7"/>
      <c r="J162" s="7"/>
      <c r="L162" s="7"/>
      <c r="M162" s="40"/>
      <c r="N162" s="7"/>
    </row>
    <row r="163" spans="1:26" ht="15.75" customHeight="1" x14ac:dyDescent="0.25">
      <c r="A163" s="42" t="s">
        <v>534</v>
      </c>
      <c r="B163" s="94"/>
      <c r="C163" s="56"/>
      <c r="D163" s="56"/>
      <c r="E163" s="43"/>
      <c r="F163" s="45"/>
      <c r="G163" s="45"/>
      <c r="I163" s="7"/>
      <c r="J163" s="7"/>
      <c r="L163" s="7"/>
      <c r="M163" s="40"/>
      <c r="N163" s="7"/>
    </row>
    <row r="164" spans="1:26" ht="15.75" customHeight="1" x14ac:dyDescent="0.25">
      <c r="A164" s="96" t="s">
        <v>1050</v>
      </c>
      <c r="B164" s="20" t="s">
        <v>51</v>
      </c>
      <c r="C164" s="56">
        <v>0</v>
      </c>
      <c r="D164" s="56">
        <v>74800</v>
      </c>
      <c r="E164" s="43">
        <f t="shared" ref="E164" si="25">+F164-D164</f>
        <v>190200</v>
      </c>
      <c r="F164" s="443">
        <v>265000</v>
      </c>
      <c r="G164" s="444">
        <v>250000</v>
      </c>
      <c r="I164" s="7"/>
      <c r="J164" s="7"/>
      <c r="L164" s="7"/>
      <c r="M164" s="40"/>
      <c r="N164" s="7"/>
    </row>
    <row r="165" spans="1:26" ht="15.75" customHeight="1" x14ac:dyDescent="0.25">
      <c r="A165" s="74" t="s">
        <v>2117</v>
      </c>
      <c r="B165" s="20"/>
      <c r="C165" s="56"/>
      <c r="D165" s="56"/>
      <c r="E165" s="43"/>
      <c r="F165" s="443"/>
      <c r="G165" s="444"/>
      <c r="I165" s="7"/>
      <c r="J165" s="7"/>
      <c r="L165" s="7"/>
      <c r="M165" s="40"/>
      <c r="N165" s="7"/>
    </row>
    <row r="166" spans="1:26" ht="15.75" customHeight="1" x14ac:dyDescent="0.25">
      <c r="A166" s="17" t="s">
        <v>536</v>
      </c>
      <c r="B166" s="41"/>
      <c r="C166" s="79">
        <f>+SUM(C163:C165)</f>
        <v>0</v>
      </c>
      <c r="D166" s="79">
        <f>+SUM(D163:D165)</f>
        <v>74800</v>
      </c>
      <c r="E166" s="79">
        <f>+SUM(E163:E165)</f>
        <v>190200</v>
      </c>
      <c r="F166" s="79">
        <f>+SUM(F163:F165)</f>
        <v>265000</v>
      </c>
      <c r="G166" s="79">
        <f>+SUM(G163:G165)</f>
        <v>250000</v>
      </c>
      <c r="H166" s="15"/>
      <c r="I166" s="14"/>
      <c r="J166" s="14"/>
      <c r="K166" s="15"/>
      <c r="L166" s="14"/>
      <c r="M166" s="16"/>
      <c r="N166" s="14"/>
      <c r="O166" s="15"/>
      <c r="P166" s="15"/>
      <c r="Q166" s="15"/>
      <c r="R166" s="15"/>
      <c r="S166" s="15"/>
      <c r="T166" s="15"/>
      <c r="U166" s="15"/>
      <c r="V166" s="15"/>
      <c r="W166" s="15"/>
      <c r="X166" s="15"/>
      <c r="Y166" s="15"/>
      <c r="Z166" s="15"/>
    </row>
    <row r="167" spans="1:26" ht="15.75" customHeight="1" x14ac:dyDescent="0.25">
      <c r="A167" s="17"/>
      <c r="B167" s="41"/>
      <c r="C167" s="43"/>
      <c r="D167" s="45"/>
      <c r="E167" s="45"/>
      <c r="F167" s="45"/>
      <c r="G167" s="45"/>
      <c r="H167" s="15"/>
      <c r="I167" s="14"/>
      <c r="J167" s="14"/>
      <c r="K167" s="15"/>
      <c r="L167" s="14"/>
      <c r="M167" s="16"/>
      <c r="N167" s="14"/>
      <c r="O167" s="15"/>
      <c r="P167" s="15"/>
      <c r="Q167" s="15"/>
      <c r="R167" s="15"/>
      <c r="S167" s="15"/>
      <c r="T167" s="15"/>
      <c r="U167" s="15"/>
      <c r="V167" s="15"/>
      <c r="W167" s="15"/>
      <c r="X167" s="15"/>
      <c r="Y167" s="15"/>
      <c r="Z167" s="15"/>
    </row>
    <row r="168" spans="1:26" ht="15.75" customHeight="1" x14ac:dyDescent="0.25">
      <c r="A168" s="50" t="s">
        <v>487</v>
      </c>
      <c r="B168" s="133" t="s">
        <v>488</v>
      </c>
      <c r="C168" s="54">
        <f>+C160+C166</f>
        <v>88125717.039999992</v>
      </c>
      <c r="D168" s="54">
        <f>+D160+D166</f>
        <v>44700831.640000001</v>
      </c>
      <c r="E168" s="54">
        <f>+E160+E166</f>
        <v>61716815.359999999</v>
      </c>
      <c r="F168" s="54">
        <f>+F160+F166</f>
        <v>106417647</v>
      </c>
      <c r="G168" s="54">
        <f>+G160+G166</f>
        <v>116566683</v>
      </c>
      <c r="I168" s="7"/>
      <c r="J168" s="175"/>
      <c r="L168" s="7"/>
      <c r="M168" s="40"/>
      <c r="N168" s="7"/>
    </row>
    <row r="169" spans="1:26" ht="15.75" customHeight="1" x14ac:dyDescent="0.25">
      <c r="A169" s="24"/>
      <c r="B169" s="25"/>
      <c r="C169" s="24"/>
      <c r="D169" s="24"/>
      <c r="E169" s="24"/>
      <c r="F169" s="185"/>
      <c r="I169" s="7"/>
      <c r="J169" s="7"/>
      <c r="L169" s="7"/>
      <c r="M169" s="40"/>
      <c r="N169" s="7"/>
    </row>
    <row r="170" spans="1:26" ht="15.75" customHeight="1" x14ac:dyDescent="0.25">
      <c r="A170" s="24"/>
      <c r="B170" s="174"/>
      <c r="C170" s="24"/>
      <c r="D170" s="99"/>
      <c r="E170" s="99"/>
      <c r="I170" s="7"/>
      <c r="J170" s="7"/>
      <c r="L170" s="7"/>
      <c r="M170" s="40"/>
      <c r="N170" s="7"/>
    </row>
    <row r="171" spans="1:26" ht="15.75" customHeight="1" x14ac:dyDescent="0.25">
      <c r="A171" s="24"/>
      <c r="B171" s="174"/>
      <c r="C171" s="24"/>
      <c r="D171" s="99"/>
      <c r="E171" s="99"/>
      <c r="I171" s="7"/>
      <c r="J171" s="7"/>
      <c r="L171" s="7"/>
      <c r="M171" s="40"/>
      <c r="N171" s="7"/>
    </row>
    <row r="172" spans="1:26" ht="15.75" customHeight="1" x14ac:dyDescent="0.25">
      <c r="A172" s="24"/>
      <c r="B172" s="174"/>
      <c r="C172" s="24"/>
      <c r="D172" s="99"/>
      <c r="E172" s="99"/>
      <c r="I172" s="7"/>
      <c r="J172" s="7"/>
      <c r="L172" s="7"/>
      <c r="M172" s="40"/>
      <c r="N172" s="7"/>
    </row>
    <row r="173" spans="1:26" ht="15.75" customHeight="1" x14ac:dyDescent="0.25">
      <c r="A173" s="24"/>
      <c r="B173" s="174"/>
      <c r="C173" s="24"/>
      <c r="D173" s="99"/>
      <c r="E173" s="99"/>
      <c r="I173" s="7"/>
      <c r="J173" s="7"/>
      <c r="L173" s="7"/>
      <c r="M173" s="40"/>
      <c r="N173" s="7"/>
    </row>
    <row r="174" spans="1:26" ht="15.75" customHeight="1" x14ac:dyDescent="0.25">
      <c r="A174" s="24"/>
      <c r="B174" s="174"/>
      <c r="C174" s="24"/>
      <c r="D174" s="99"/>
      <c r="E174" s="99"/>
      <c r="I174" s="7"/>
      <c r="J174" s="7"/>
      <c r="L174" s="7"/>
      <c r="M174" s="40"/>
      <c r="N174" s="7"/>
    </row>
    <row r="175" spans="1:26" ht="15.75" customHeight="1" x14ac:dyDescent="0.25">
      <c r="A175" s="24"/>
      <c r="B175" s="174"/>
      <c r="C175" s="24"/>
      <c r="D175" s="99"/>
      <c r="E175" s="99"/>
      <c r="I175" s="7"/>
      <c r="J175" s="7"/>
      <c r="L175" s="7"/>
      <c r="M175" s="40"/>
      <c r="N175" s="7"/>
    </row>
    <row r="176" spans="1:26" ht="15.75" customHeight="1" x14ac:dyDescent="0.25">
      <c r="A176" s="24"/>
      <c r="B176" s="174"/>
      <c r="C176" s="24"/>
      <c r="D176" s="99"/>
      <c r="E176" s="99"/>
      <c r="I176" s="7"/>
      <c r="J176" s="7"/>
      <c r="L176" s="7"/>
      <c r="M176" s="40"/>
      <c r="N176" s="7"/>
    </row>
    <row r="177" spans="1:14" ht="15.75" customHeight="1" x14ac:dyDescent="0.25">
      <c r="A177" s="24"/>
      <c r="B177" s="174"/>
      <c r="C177" s="24"/>
      <c r="D177" s="99"/>
      <c r="E177" s="99"/>
      <c r="I177" s="7"/>
      <c r="J177" s="7"/>
      <c r="L177" s="7"/>
      <c r="M177" s="40"/>
      <c r="N177" s="7"/>
    </row>
    <row r="178" spans="1:14" ht="15.75" customHeight="1" x14ac:dyDescent="0.25">
      <c r="A178" s="24"/>
      <c r="B178" s="174"/>
      <c r="C178" s="24"/>
      <c r="D178" s="99"/>
      <c r="E178" s="99"/>
      <c r="I178" s="7"/>
      <c r="J178" s="7"/>
      <c r="L178" s="7"/>
      <c r="M178" s="40"/>
      <c r="N178" s="7"/>
    </row>
    <row r="179" spans="1:14" ht="15.75" customHeight="1" x14ac:dyDescent="0.25">
      <c r="A179" s="24"/>
      <c r="B179" s="174"/>
      <c r="C179" s="24"/>
      <c r="D179" s="99"/>
      <c r="E179" s="24"/>
      <c r="I179" s="7"/>
      <c r="J179" s="7"/>
      <c r="L179" s="7"/>
      <c r="M179" s="40"/>
      <c r="N179" s="7"/>
    </row>
    <row r="180" spans="1:14" ht="15.75" customHeight="1" x14ac:dyDescent="0.25">
      <c r="A180" s="24"/>
      <c r="B180" s="174"/>
      <c r="C180" s="24"/>
      <c r="D180" s="99"/>
      <c r="E180" s="24"/>
      <c r="I180" s="7"/>
      <c r="J180" s="7"/>
      <c r="L180" s="7"/>
      <c r="M180" s="40"/>
      <c r="N180" s="7"/>
    </row>
    <row r="181" spans="1:14" ht="15.75" customHeight="1" x14ac:dyDescent="0.25">
      <c r="A181" s="24"/>
      <c r="B181" s="174"/>
      <c r="C181" s="24"/>
      <c r="D181" s="99"/>
      <c r="E181" s="24"/>
      <c r="I181" s="7"/>
      <c r="J181" s="7"/>
      <c r="L181" s="7"/>
      <c r="M181" s="40"/>
      <c r="N181" s="7"/>
    </row>
    <row r="182" spans="1:14" ht="15.75" customHeight="1" x14ac:dyDescent="0.25">
      <c r="A182" s="24"/>
      <c r="B182" s="174"/>
      <c r="C182" s="24"/>
      <c r="D182" s="99"/>
      <c r="E182" s="24"/>
      <c r="I182" s="7"/>
      <c r="J182" s="7"/>
      <c r="L182" s="7"/>
      <c r="M182" s="40"/>
      <c r="N182" s="7"/>
    </row>
    <row r="183" spans="1:14" ht="15.75" customHeight="1" x14ac:dyDescent="0.25">
      <c r="A183" s="24"/>
      <c r="B183" s="174"/>
      <c r="C183" s="24"/>
      <c r="D183" s="99"/>
      <c r="E183" s="24"/>
      <c r="I183" s="7"/>
      <c r="J183" s="7"/>
      <c r="L183" s="7"/>
      <c r="M183" s="40"/>
      <c r="N183" s="7"/>
    </row>
    <row r="184" spans="1:14" ht="15.75" customHeight="1" x14ac:dyDescent="0.25">
      <c r="A184" s="24"/>
      <c r="B184" s="174"/>
      <c r="C184" s="24"/>
      <c r="D184" s="99"/>
      <c r="E184" s="24"/>
      <c r="I184" s="7"/>
      <c r="J184" s="7"/>
      <c r="L184" s="7"/>
      <c r="M184" s="40"/>
      <c r="N184" s="7"/>
    </row>
    <row r="185" spans="1:14" ht="15.75" customHeight="1" x14ac:dyDescent="0.25">
      <c r="A185" s="24"/>
      <c r="B185" s="174"/>
      <c r="C185" s="24"/>
      <c r="D185" s="99"/>
      <c r="E185" s="24"/>
      <c r="I185" s="7"/>
      <c r="J185" s="7"/>
      <c r="L185" s="7"/>
      <c r="M185" s="40"/>
      <c r="N185" s="7"/>
    </row>
    <row r="186" spans="1:14" ht="15.75" customHeight="1" x14ac:dyDescent="0.25">
      <c r="A186" s="24"/>
      <c r="B186" s="174"/>
      <c r="C186" s="24"/>
      <c r="D186" s="24"/>
      <c r="E186" s="24"/>
      <c r="I186" s="7"/>
      <c r="J186" s="7"/>
      <c r="L186" s="7"/>
      <c r="M186" s="40"/>
      <c r="N186" s="7"/>
    </row>
    <row r="187" spans="1:14" ht="15.75" customHeight="1" x14ac:dyDescent="0.25">
      <c r="A187" s="24"/>
      <c r="B187" s="174"/>
      <c r="C187" s="24"/>
      <c r="D187" s="24"/>
      <c r="E187" s="24"/>
      <c r="I187" s="7"/>
      <c r="J187" s="7"/>
      <c r="L187" s="7"/>
      <c r="M187" s="40"/>
      <c r="N187" s="7"/>
    </row>
    <row r="188" spans="1:14" ht="15.75" customHeight="1" x14ac:dyDescent="0.25">
      <c r="A188" s="24"/>
      <c r="B188" s="174"/>
      <c r="C188" s="24"/>
      <c r="D188" s="24"/>
      <c r="E188" s="24"/>
      <c r="I188" s="7"/>
      <c r="J188" s="7"/>
      <c r="L188" s="7"/>
      <c r="M188" s="40"/>
      <c r="N188" s="7"/>
    </row>
    <row r="189" spans="1:14" ht="15.75" customHeight="1" x14ac:dyDescent="0.25">
      <c r="A189" s="24"/>
      <c r="B189" s="174"/>
      <c r="C189" s="24"/>
      <c r="D189" s="24"/>
      <c r="E189" s="24"/>
      <c r="I189" s="7"/>
      <c r="J189" s="7"/>
      <c r="L189" s="7"/>
      <c r="M189" s="40"/>
      <c r="N189" s="7"/>
    </row>
    <row r="190" spans="1:14" ht="15.75" customHeight="1" x14ac:dyDescent="0.25">
      <c r="A190" s="24"/>
      <c r="B190" s="174"/>
      <c r="C190" s="24"/>
      <c r="D190" s="24"/>
      <c r="E190" s="24"/>
      <c r="I190" s="7"/>
      <c r="J190" s="7"/>
      <c r="L190" s="7"/>
      <c r="M190" s="40"/>
      <c r="N190" s="7"/>
    </row>
    <row r="191" spans="1:14" ht="15.75" customHeight="1" x14ac:dyDescent="0.25">
      <c r="A191" s="24"/>
      <c r="B191" s="174"/>
      <c r="C191" s="24"/>
      <c r="D191" s="24"/>
      <c r="E191" s="24"/>
      <c r="I191" s="7"/>
      <c r="J191" s="7"/>
      <c r="L191" s="7"/>
      <c r="M191" s="40"/>
      <c r="N191" s="7"/>
    </row>
    <row r="192" spans="1:14" ht="15.75" customHeight="1" x14ac:dyDescent="0.25">
      <c r="A192" s="24"/>
      <c r="B192" s="174"/>
      <c r="C192" s="24"/>
      <c r="D192" s="24"/>
      <c r="E192" s="24"/>
      <c r="I192" s="7"/>
      <c r="J192" s="7"/>
      <c r="L192" s="7"/>
      <c r="M192" s="40"/>
      <c r="N192" s="7"/>
    </row>
    <row r="193" spans="1:14" ht="15.75" customHeight="1" x14ac:dyDescent="0.25">
      <c r="A193" s="24"/>
      <c r="B193" s="174"/>
      <c r="C193" s="24"/>
      <c r="D193" s="24"/>
      <c r="E193" s="24"/>
      <c r="I193" s="7"/>
      <c r="J193" s="7"/>
      <c r="L193" s="7"/>
      <c r="M193" s="40"/>
      <c r="N193" s="7"/>
    </row>
    <row r="194" spans="1:14" ht="15.75" customHeight="1" x14ac:dyDescent="0.25">
      <c r="A194" s="24"/>
      <c r="B194" s="174"/>
      <c r="C194" s="24"/>
      <c r="D194" s="24"/>
      <c r="E194" s="24"/>
      <c r="I194" s="7"/>
      <c r="J194" s="7"/>
      <c r="L194" s="7"/>
      <c r="M194" s="40"/>
      <c r="N194" s="7"/>
    </row>
    <row r="195" spans="1:14" ht="15.75" customHeight="1" x14ac:dyDescent="0.25">
      <c r="A195" s="24"/>
      <c r="B195" s="174"/>
      <c r="C195" s="24"/>
      <c r="D195" s="24"/>
      <c r="E195" s="24"/>
      <c r="I195" s="7"/>
      <c r="J195" s="7"/>
      <c r="L195" s="7"/>
      <c r="M195" s="40"/>
      <c r="N195" s="7"/>
    </row>
    <row r="196" spans="1:14" ht="15.75" customHeight="1" x14ac:dyDescent="0.25">
      <c r="A196" s="24"/>
      <c r="B196" s="174"/>
      <c r="C196" s="24"/>
      <c r="D196" s="24"/>
      <c r="E196" s="24"/>
      <c r="I196" s="7"/>
      <c r="J196" s="7"/>
      <c r="L196" s="7"/>
      <c r="M196" s="40"/>
      <c r="N196" s="7"/>
    </row>
    <row r="197" spans="1:14" ht="15.75" customHeight="1" x14ac:dyDescent="0.25">
      <c r="A197" s="24"/>
      <c r="B197" s="174"/>
      <c r="C197" s="24"/>
      <c r="D197" s="24"/>
      <c r="E197" s="24"/>
      <c r="I197" s="7"/>
      <c r="J197" s="7"/>
      <c r="L197" s="7"/>
      <c r="M197" s="40"/>
      <c r="N197" s="7"/>
    </row>
    <row r="198" spans="1:14" ht="15.75" customHeight="1" x14ac:dyDescent="0.25">
      <c r="A198" s="24"/>
      <c r="B198" s="174"/>
      <c r="C198" s="24"/>
      <c r="D198" s="24"/>
      <c r="E198" s="24"/>
      <c r="I198" s="7"/>
      <c r="J198" s="7"/>
      <c r="L198" s="7"/>
      <c r="M198" s="40"/>
      <c r="N198" s="7"/>
    </row>
    <row r="199" spans="1:14" ht="15.75" customHeight="1" x14ac:dyDescent="0.25">
      <c r="A199" s="24"/>
      <c r="B199" s="174"/>
      <c r="C199" s="24"/>
      <c r="D199" s="24"/>
      <c r="E199" s="24"/>
      <c r="I199" s="7"/>
      <c r="J199" s="7"/>
      <c r="L199" s="7"/>
      <c r="M199" s="40"/>
      <c r="N199" s="7"/>
    </row>
    <row r="200" spans="1:14" ht="15.75" customHeight="1" x14ac:dyDescent="0.25">
      <c r="A200" s="24"/>
      <c r="B200" s="174"/>
      <c r="C200" s="24"/>
      <c r="D200" s="24"/>
      <c r="E200" s="24"/>
      <c r="I200" s="7"/>
      <c r="J200" s="7"/>
      <c r="L200" s="7"/>
      <c r="M200" s="40"/>
      <c r="N200" s="7"/>
    </row>
    <row r="201" spans="1:14" ht="15.75" customHeight="1" x14ac:dyDescent="0.25">
      <c r="A201" s="24"/>
      <c r="B201" s="174"/>
      <c r="C201" s="24"/>
      <c r="D201" s="24"/>
      <c r="E201" s="24"/>
      <c r="I201" s="7"/>
      <c r="J201" s="7"/>
      <c r="L201" s="7"/>
      <c r="M201" s="40"/>
      <c r="N201" s="7"/>
    </row>
    <row r="202" spans="1:14" ht="15.75" customHeight="1" x14ac:dyDescent="0.25">
      <c r="A202" s="24"/>
      <c r="B202" s="174"/>
      <c r="C202" s="24"/>
      <c r="D202" s="24"/>
      <c r="E202" s="24"/>
      <c r="I202" s="7"/>
      <c r="J202" s="7"/>
      <c r="L202" s="7"/>
      <c r="M202" s="40"/>
      <c r="N202" s="7"/>
    </row>
    <row r="203" spans="1:14" ht="15.75" customHeight="1" x14ac:dyDescent="0.25">
      <c r="A203" s="24"/>
      <c r="B203" s="174"/>
      <c r="C203" s="24"/>
      <c r="D203" s="24"/>
      <c r="E203" s="24"/>
      <c r="I203" s="7"/>
      <c r="J203" s="7"/>
      <c r="L203" s="7"/>
      <c r="M203" s="40"/>
      <c r="N203" s="7"/>
    </row>
    <row r="204" spans="1:14" ht="15.75" customHeight="1" x14ac:dyDescent="0.25">
      <c r="A204" s="24"/>
      <c r="B204" s="174"/>
      <c r="C204" s="24"/>
      <c r="D204" s="24"/>
      <c r="E204" s="24"/>
      <c r="I204" s="7"/>
      <c r="J204" s="7"/>
      <c r="L204" s="7"/>
      <c r="M204" s="40"/>
      <c r="N204" s="7"/>
    </row>
    <row r="205" spans="1:14" ht="15.75" customHeight="1" x14ac:dyDescent="0.25">
      <c r="A205" s="24"/>
      <c r="B205" s="174"/>
      <c r="C205" s="24"/>
      <c r="D205" s="24"/>
      <c r="E205" s="24"/>
      <c r="I205" s="7"/>
      <c r="J205" s="7"/>
      <c r="L205" s="7"/>
      <c r="M205" s="40"/>
      <c r="N205" s="7"/>
    </row>
    <row r="206" spans="1:14" ht="15.75" customHeight="1" x14ac:dyDescent="0.25">
      <c r="A206" s="24"/>
      <c r="B206" s="174"/>
      <c r="C206" s="24"/>
      <c r="D206" s="24"/>
      <c r="E206" s="24"/>
      <c r="I206" s="7"/>
      <c r="J206" s="7"/>
      <c r="L206" s="7"/>
      <c r="M206" s="40"/>
      <c r="N206" s="7"/>
    </row>
    <row r="207" spans="1:14" ht="15.75" customHeight="1" x14ac:dyDescent="0.25">
      <c r="A207" s="24"/>
      <c r="B207" s="174"/>
      <c r="C207" s="24"/>
      <c r="D207" s="24"/>
      <c r="E207" s="24"/>
      <c r="I207" s="7"/>
      <c r="J207" s="7"/>
      <c r="L207" s="7"/>
      <c r="M207" s="40"/>
      <c r="N207" s="7"/>
    </row>
    <row r="208" spans="1:14" ht="15.75" customHeight="1" x14ac:dyDescent="0.25">
      <c r="A208" s="24"/>
      <c r="B208" s="174"/>
      <c r="C208" s="24"/>
      <c r="D208" s="24"/>
      <c r="E208" s="24"/>
      <c r="I208" s="7"/>
      <c r="J208" s="7"/>
      <c r="L208" s="7"/>
      <c r="M208" s="40"/>
      <c r="N208" s="7"/>
    </row>
    <row r="209" spans="1:14" ht="15.75" customHeight="1" x14ac:dyDescent="0.25">
      <c r="A209" s="24"/>
      <c r="B209" s="174"/>
      <c r="C209" s="24"/>
      <c r="D209" s="24"/>
      <c r="E209" s="24"/>
      <c r="I209" s="7"/>
      <c r="J209" s="7"/>
      <c r="L209" s="7"/>
      <c r="M209" s="40"/>
      <c r="N209" s="7"/>
    </row>
    <row r="210" spans="1:14" ht="15.75" customHeight="1" x14ac:dyDescent="0.25">
      <c r="A210" s="24"/>
      <c r="B210" s="174"/>
      <c r="C210" s="24"/>
      <c r="D210" s="24"/>
      <c r="E210" s="24"/>
      <c r="I210" s="7"/>
      <c r="J210" s="7"/>
      <c r="L210" s="7"/>
      <c r="M210" s="40"/>
      <c r="N210" s="7"/>
    </row>
    <row r="211" spans="1:14" ht="15.75" customHeight="1" x14ac:dyDescent="0.25">
      <c r="A211" s="24"/>
      <c r="B211" s="174"/>
      <c r="C211" s="24"/>
      <c r="D211" s="24"/>
      <c r="E211" s="24"/>
      <c r="I211" s="7"/>
      <c r="J211" s="7"/>
      <c r="L211" s="7"/>
      <c r="M211" s="40"/>
      <c r="N211" s="7"/>
    </row>
    <row r="212" spans="1:14" ht="15.75" customHeight="1" x14ac:dyDescent="0.25">
      <c r="A212" s="24"/>
      <c r="B212" s="174"/>
      <c r="C212" s="24"/>
      <c r="D212" s="24"/>
      <c r="E212" s="24"/>
      <c r="I212" s="7"/>
      <c r="J212" s="7"/>
      <c r="L212" s="7"/>
      <c r="M212" s="40"/>
      <c r="N212" s="7"/>
    </row>
    <row r="213" spans="1:14" ht="15.75" customHeight="1" x14ac:dyDescent="0.25">
      <c r="A213" s="24"/>
      <c r="B213" s="174"/>
      <c r="C213" s="24"/>
      <c r="D213" s="24"/>
      <c r="E213" s="24"/>
      <c r="I213" s="7"/>
      <c r="J213" s="7"/>
      <c r="L213" s="7"/>
      <c r="M213" s="40"/>
      <c r="N213" s="7"/>
    </row>
    <row r="214" spans="1:14" ht="15.75" customHeight="1" x14ac:dyDescent="0.25">
      <c r="A214" s="24"/>
      <c r="B214" s="174"/>
      <c r="C214" s="24"/>
      <c r="D214" s="24"/>
      <c r="E214" s="24"/>
      <c r="I214" s="7"/>
      <c r="J214" s="7"/>
      <c r="L214" s="7"/>
      <c r="M214" s="40"/>
      <c r="N214" s="7"/>
    </row>
    <row r="215" spans="1:14" ht="15.75" customHeight="1" x14ac:dyDescent="0.25">
      <c r="A215" s="24"/>
      <c r="B215" s="174"/>
      <c r="C215" s="24"/>
      <c r="D215" s="24"/>
      <c r="E215" s="24"/>
      <c r="I215" s="7"/>
      <c r="J215" s="7"/>
      <c r="L215" s="7"/>
      <c r="M215" s="40"/>
      <c r="N215" s="7"/>
    </row>
    <row r="216" spans="1:14" ht="15.75" customHeight="1" x14ac:dyDescent="0.25">
      <c r="A216" s="24"/>
      <c r="B216" s="174"/>
      <c r="C216" s="24"/>
      <c r="D216" s="24"/>
      <c r="E216" s="24"/>
      <c r="I216" s="7"/>
      <c r="J216" s="7"/>
      <c r="L216" s="7"/>
      <c r="M216" s="40"/>
      <c r="N216" s="7"/>
    </row>
    <row r="217" spans="1:14" ht="15.75" customHeight="1" x14ac:dyDescent="0.25">
      <c r="A217" s="24"/>
      <c r="B217" s="174"/>
      <c r="C217" s="24"/>
      <c r="D217" s="24"/>
      <c r="E217" s="24"/>
      <c r="I217" s="7"/>
      <c r="J217" s="7"/>
      <c r="L217" s="7"/>
      <c r="M217" s="40"/>
      <c r="N217" s="7"/>
    </row>
    <row r="218" spans="1:14" ht="15.75" customHeight="1" x14ac:dyDescent="0.25">
      <c r="A218" s="24"/>
      <c r="B218" s="174"/>
      <c r="C218" s="24"/>
      <c r="D218" s="24"/>
      <c r="E218" s="24"/>
      <c r="I218" s="7"/>
      <c r="J218" s="7"/>
      <c r="L218" s="7"/>
      <c r="M218" s="40"/>
      <c r="N218" s="7"/>
    </row>
    <row r="219" spans="1:14" ht="15.75" customHeight="1" x14ac:dyDescent="0.25">
      <c r="A219" s="24"/>
      <c r="B219" s="174"/>
      <c r="C219" s="24"/>
      <c r="D219" s="24"/>
      <c r="E219" s="24"/>
      <c r="I219" s="7"/>
      <c r="J219" s="7"/>
      <c r="L219" s="7"/>
      <c r="M219" s="40"/>
      <c r="N219" s="7"/>
    </row>
    <row r="220" spans="1:14" ht="15.75" customHeight="1" x14ac:dyDescent="0.25">
      <c r="A220" s="24"/>
      <c r="B220" s="174"/>
      <c r="C220" s="24"/>
      <c r="D220" s="24"/>
      <c r="E220" s="24"/>
      <c r="I220" s="7"/>
      <c r="J220" s="7"/>
      <c r="L220" s="7"/>
      <c r="M220" s="40"/>
      <c r="N220" s="7"/>
    </row>
    <row r="221" spans="1:14" ht="15.75" customHeight="1" x14ac:dyDescent="0.25">
      <c r="A221" s="24"/>
      <c r="B221" s="174"/>
      <c r="C221" s="24"/>
      <c r="D221" s="24"/>
      <c r="E221" s="24"/>
      <c r="I221" s="7"/>
      <c r="J221" s="7"/>
      <c r="L221" s="7"/>
      <c r="M221" s="40"/>
      <c r="N221" s="7"/>
    </row>
    <row r="222" spans="1:14" ht="15.75" customHeight="1" x14ac:dyDescent="0.25">
      <c r="A222" s="24"/>
      <c r="B222" s="174"/>
      <c r="C222" s="24"/>
      <c r="D222" s="24"/>
      <c r="E222" s="24"/>
      <c r="I222" s="7"/>
      <c r="J222" s="7"/>
      <c r="L222" s="7"/>
      <c r="M222" s="40"/>
      <c r="N222" s="7"/>
    </row>
    <row r="223" spans="1:14" ht="15.75" customHeight="1" x14ac:dyDescent="0.25">
      <c r="A223" s="24"/>
      <c r="B223" s="174"/>
      <c r="C223" s="24"/>
      <c r="D223" s="24"/>
      <c r="E223" s="24"/>
      <c r="I223" s="7"/>
      <c r="J223" s="7"/>
      <c r="L223" s="7"/>
      <c r="M223" s="40"/>
      <c r="N223" s="7"/>
    </row>
    <row r="224" spans="1:14" ht="15.75" customHeight="1" x14ac:dyDescent="0.25">
      <c r="A224" s="24"/>
      <c r="B224" s="174"/>
      <c r="C224" s="24"/>
      <c r="D224" s="24"/>
      <c r="E224" s="24"/>
      <c r="I224" s="7"/>
      <c r="J224" s="7"/>
      <c r="L224" s="7"/>
      <c r="M224" s="40"/>
      <c r="N224" s="7"/>
    </row>
    <row r="225" spans="1:14" ht="15.75" customHeight="1" x14ac:dyDescent="0.25">
      <c r="A225" s="24"/>
      <c r="B225" s="174"/>
      <c r="C225" s="24"/>
      <c r="D225" s="24"/>
      <c r="E225" s="24"/>
      <c r="I225" s="7"/>
      <c r="J225" s="7"/>
      <c r="L225" s="7"/>
      <c r="M225" s="40"/>
      <c r="N225" s="7"/>
    </row>
    <row r="226" spans="1:14" ht="15.75" customHeight="1" x14ac:dyDescent="0.25">
      <c r="A226" s="24"/>
      <c r="B226" s="174"/>
      <c r="C226" s="24"/>
      <c r="D226" s="24"/>
      <c r="E226" s="24"/>
      <c r="I226" s="7"/>
      <c r="J226" s="7"/>
      <c r="L226" s="7"/>
      <c r="M226" s="40"/>
      <c r="N226" s="7"/>
    </row>
    <row r="227" spans="1:14" ht="15.75" customHeight="1" x14ac:dyDescent="0.25">
      <c r="A227" s="24"/>
      <c r="B227" s="174"/>
      <c r="C227" s="24"/>
      <c r="D227" s="24"/>
      <c r="E227" s="24"/>
      <c r="I227" s="7"/>
      <c r="J227" s="7"/>
      <c r="L227" s="7"/>
      <c r="M227" s="40"/>
      <c r="N227" s="7"/>
    </row>
    <row r="228" spans="1:14" ht="15.75" customHeight="1" x14ac:dyDescent="0.25">
      <c r="A228" s="24"/>
      <c r="B228" s="174"/>
      <c r="C228" s="24"/>
      <c r="D228" s="24"/>
      <c r="E228" s="24"/>
      <c r="I228" s="7"/>
      <c r="J228" s="7"/>
      <c r="L228" s="7"/>
      <c r="M228" s="40"/>
      <c r="N228" s="7"/>
    </row>
    <row r="229" spans="1:14" ht="15.75" customHeight="1" x14ac:dyDescent="0.25">
      <c r="A229" s="24"/>
      <c r="B229" s="174"/>
      <c r="C229" s="24"/>
      <c r="D229" s="24"/>
      <c r="E229" s="24"/>
      <c r="I229" s="7"/>
      <c r="J229" s="7"/>
      <c r="L229" s="7"/>
      <c r="M229" s="40"/>
      <c r="N229" s="7"/>
    </row>
    <row r="230" spans="1:14" ht="15.75" customHeight="1" x14ac:dyDescent="0.25">
      <c r="A230" s="24"/>
      <c r="B230" s="174"/>
      <c r="C230" s="24"/>
      <c r="D230" s="24"/>
      <c r="E230" s="24"/>
      <c r="I230" s="7"/>
      <c r="J230" s="7"/>
      <c r="L230" s="7"/>
      <c r="M230" s="40"/>
      <c r="N230" s="7"/>
    </row>
    <row r="231" spans="1:14" ht="15.75" customHeight="1" x14ac:dyDescent="0.25">
      <c r="A231" s="24"/>
      <c r="B231" s="174"/>
      <c r="C231" s="24"/>
      <c r="D231" s="24"/>
      <c r="E231" s="24"/>
      <c r="I231" s="7"/>
      <c r="J231" s="7"/>
      <c r="L231" s="7"/>
      <c r="M231" s="40"/>
      <c r="N231" s="7"/>
    </row>
    <row r="232" spans="1:14" ht="15.75" customHeight="1" x14ac:dyDescent="0.25">
      <c r="A232" s="24"/>
      <c r="B232" s="174"/>
      <c r="C232" s="24"/>
      <c r="D232" s="24"/>
      <c r="E232" s="24"/>
      <c r="I232" s="7"/>
      <c r="J232" s="7"/>
      <c r="L232" s="7"/>
      <c r="M232" s="40"/>
      <c r="N232" s="7"/>
    </row>
    <row r="233" spans="1:14" ht="15.75" customHeight="1" x14ac:dyDescent="0.25">
      <c r="A233" s="24"/>
      <c r="B233" s="174"/>
      <c r="C233" s="24"/>
      <c r="D233" s="24"/>
      <c r="E233" s="24"/>
      <c r="I233" s="7"/>
      <c r="J233" s="7"/>
      <c r="L233" s="7"/>
      <c r="M233" s="40"/>
      <c r="N233" s="7"/>
    </row>
    <row r="234" spans="1:14" ht="15.75" customHeight="1" x14ac:dyDescent="0.25">
      <c r="A234" s="24"/>
      <c r="B234" s="174"/>
      <c r="C234" s="24"/>
      <c r="D234" s="24"/>
      <c r="E234" s="24"/>
      <c r="I234" s="7"/>
      <c r="J234" s="7"/>
      <c r="L234" s="7"/>
      <c r="M234" s="40"/>
      <c r="N234" s="7"/>
    </row>
    <row r="235" spans="1:14" ht="15.75" customHeight="1" x14ac:dyDescent="0.25">
      <c r="A235" s="24"/>
      <c r="B235" s="174"/>
      <c r="C235" s="24"/>
      <c r="D235" s="24"/>
      <c r="E235" s="24"/>
      <c r="I235" s="7"/>
      <c r="J235" s="7"/>
      <c r="L235" s="7"/>
      <c r="M235" s="40"/>
      <c r="N235" s="7"/>
    </row>
    <row r="236" spans="1:14" ht="15.75" customHeight="1" x14ac:dyDescent="0.25">
      <c r="A236" s="24"/>
      <c r="B236" s="174"/>
      <c r="C236" s="24"/>
      <c r="D236" s="24"/>
      <c r="E236" s="24"/>
      <c r="I236" s="7"/>
      <c r="J236" s="7"/>
      <c r="L236" s="7"/>
      <c r="M236" s="40"/>
      <c r="N236" s="7"/>
    </row>
    <row r="237" spans="1:14" ht="15.75" customHeight="1" x14ac:dyDescent="0.25">
      <c r="A237" s="24"/>
      <c r="B237" s="174"/>
      <c r="C237" s="24"/>
      <c r="D237" s="24"/>
      <c r="E237" s="24"/>
      <c r="I237" s="7"/>
      <c r="J237" s="7"/>
      <c r="L237" s="7"/>
      <c r="M237" s="40"/>
      <c r="N237" s="7"/>
    </row>
    <row r="238" spans="1:14" ht="15.75" customHeight="1" x14ac:dyDescent="0.25">
      <c r="A238" s="24"/>
      <c r="B238" s="174"/>
      <c r="C238" s="24"/>
      <c r="D238" s="24"/>
      <c r="E238" s="24"/>
      <c r="I238" s="7"/>
      <c r="J238" s="7"/>
      <c r="L238" s="7"/>
      <c r="M238" s="40"/>
      <c r="N238" s="7"/>
    </row>
    <row r="239" spans="1:14" ht="15.75" customHeight="1" x14ac:dyDescent="0.25">
      <c r="A239" s="24"/>
      <c r="B239" s="174"/>
      <c r="C239" s="24"/>
      <c r="D239" s="24"/>
      <c r="E239" s="24"/>
      <c r="I239" s="7"/>
      <c r="J239" s="7"/>
      <c r="L239" s="7"/>
      <c r="M239" s="40"/>
      <c r="N239" s="7"/>
    </row>
    <row r="240" spans="1:14" ht="15.75" customHeight="1" x14ac:dyDescent="0.25">
      <c r="A240" s="24"/>
      <c r="B240" s="174"/>
      <c r="C240" s="24"/>
      <c r="D240" s="24"/>
      <c r="E240" s="24"/>
      <c r="I240" s="7"/>
      <c r="J240" s="7"/>
      <c r="L240" s="7"/>
      <c r="M240" s="40"/>
      <c r="N240" s="7"/>
    </row>
    <row r="241" spans="1:14" ht="15.75" customHeight="1" x14ac:dyDescent="0.25">
      <c r="A241" s="24"/>
      <c r="B241" s="174"/>
      <c r="C241" s="24"/>
      <c r="D241" s="24"/>
      <c r="E241" s="24"/>
      <c r="I241" s="7"/>
      <c r="J241" s="7"/>
      <c r="L241" s="7"/>
      <c r="M241" s="40"/>
      <c r="N241" s="7"/>
    </row>
    <row r="242" spans="1:14" ht="15.75" customHeight="1" x14ac:dyDescent="0.25">
      <c r="A242" s="24"/>
      <c r="B242" s="174"/>
      <c r="C242" s="24"/>
      <c r="D242" s="24"/>
      <c r="E242" s="24"/>
      <c r="I242" s="7"/>
      <c r="J242" s="7"/>
      <c r="L242" s="7"/>
      <c r="M242" s="40"/>
      <c r="N242" s="7"/>
    </row>
    <row r="243" spans="1:14" ht="15.75" customHeight="1" x14ac:dyDescent="0.25">
      <c r="A243" s="24"/>
      <c r="B243" s="174"/>
      <c r="C243" s="24"/>
      <c r="D243" s="24"/>
      <c r="E243" s="24"/>
      <c r="I243" s="7"/>
      <c r="J243" s="7"/>
      <c r="L243" s="7"/>
      <c r="M243" s="40"/>
      <c r="N243" s="7"/>
    </row>
    <row r="244" spans="1:14" ht="15.75" customHeight="1" x14ac:dyDescent="0.25">
      <c r="A244" s="24"/>
      <c r="B244" s="174"/>
      <c r="C244" s="24"/>
      <c r="D244" s="24"/>
      <c r="E244" s="24"/>
      <c r="I244" s="7"/>
      <c r="J244" s="7"/>
      <c r="L244" s="7"/>
      <c r="M244" s="40"/>
      <c r="N244" s="7"/>
    </row>
    <row r="245" spans="1:14" ht="15.75" customHeight="1" x14ac:dyDescent="0.25">
      <c r="A245" s="24"/>
      <c r="B245" s="174"/>
      <c r="C245" s="24"/>
      <c r="D245" s="24"/>
      <c r="E245" s="24"/>
      <c r="I245" s="7"/>
      <c r="J245" s="7"/>
      <c r="L245" s="7"/>
      <c r="M245" s="40"/>
      <c r="N245" s="7"/>
    </row>
    <row r="246" spans="1:14" ht="15.75" customHeight="1" x14ac:dyDescent="0.25">
      <c r="A246" s="24"/>
      <c r="B246" s="174"/>
      <c r="C246" s="24"/>
      <c r="D246" s="24"/>
      <c r="E246" s="24"/>
      <c r="I246" s="7"/>
      <c r="J246" s="7"/>
      <c r="L246" s="7"/>
      <c r="M246" s="40"/>
      <c r="N246" s="7"/>
    </row>
    <row r="247" spans="1:14" ht="15.75" customHeight="1" x14ac:dyDescent="0.25">
      <c r="A247" s="24"/>
      <c r="B247" s="174"/>
      <c r="C247" s="24"/>
      <c r="D247" s="24"/>
      <c r="E247" s="24"/>
      <c r="I247" s="7"/>
      <c r="J247" s="7"/>
      <c r="L247" s="7"/>
      <c r="M247" s="40"/>
      <c r="N247" s="7"/>
    </row>
    <row r="248" spans="1:14" ht="15.75" customHeight="1" x14ac:dyDescent="0.25">
      <c r="A248" s="24"/>
      <c r="B248" s="174"/>
      <c r="C248" s="24"/>
      <c r="D248" s="24"/>
      <c r="E248" s="24"/>
      <c r="I248" s="7"/>
      <c r="J248" s="7"/>
      <c r="L248" s="7"/>
      <c r="M248" s="40"/>
      <c r="N248" s="7"/>
    </row>
    <row r="249" spans="1:14" ht="15.75" customHeight="1" x14ac:dyDescent="0.25">
      <c r="A249" s="24"/>
      <c r="B249" s="174"/>
      <c r="C249" s="24"/>
      <c r="D249" s="24"/>
      <c r="E249" s="24"/>
      <c r="I249" s="7"/>
      <c r="J249" s="7"/>
      <c r="L249" s="7"/>
      <c r="M249" s="40"/>
      <c r="N249" s="7"/>
    </row>
    <row r="250" spans="1:14" ht="15.75" customHeight="1" x14ac:dyDescent="0.25">
      <c r="A250" s="24"/>
      <c r="B250" s="174"/>
      <c r="C250" s="24"/>
      <c r="D250" s="24"/>
      <c r="E250" s="24"/>
      <c r="I250" s="7"/>
      <c r="J250" s="7"/>
      <c r="L250" s="7"/>
      <c r="M250" s="40"/>
      <c r="N250" s="7"/>
    </row>
    <row r="251" spans="1:14" ht="15.75" customHeight="1" x14ac:dyDescent="0.25">
      <c r="A251" s="24"/>
      <c r="B251" s="174"/>
      <c r="C251" s="24"/>
      <c r="D251" s="24"/>
      <c r="E251" s="24"/>
      <c r="I251" s="7"/>
      <c r="J251" s="7"/>
      <c r="L251" s="7"/>
      <c r="M251" s="40"/>
      <c r="N251" s="7"/>
    </row>
    <row r="252" spans="1:14" ht="15.75" customHeight="1" x14ac:dyDescent="0.25">
      <c r="A252" s="24"/>
      <c r="B252" s="174"/>
      <c r="C252" s="24"/>
      <c r="D252" s="24"/>
      <c r="E252" s="24"/>
      <c r="I252" s="7"/>
      <c r="J252" s="7"/>
      <c r="L252" s="7"/>
      <c r="M252" s="40"/>
      <c r="N252" s="7"/>
    </row>
    <row r="253" spans="1:14" ht="15.75" customHeight="1" x14ac:dyDescent="0.25">
      <c r="A253" s="24"/>
      <c r="B253" s="174"/>
      <c r="C253" s="24"/>
      <c r="D253" s="24"/>
      <c r="E253" s="24"/>
      <c r="I253" s="7"/>
      <c r="J253" s="7"/>
      <c r="L253" s="7"/>
      <c r="M253" s="40"/>
      <c r="N253" s="7"/>
    </row>
    <row r="254" spans="1:14" ht="15.75" customHeight="1" x14ac:dyDescent="0.25">
      <c r="A254" s="24"/>
      <c r="B254" s="174"/>
      <c r="C254" s="24"/>
      <c r="D254" s="24"/>
      <c r="E254" s="24"/>
      <c r="I254" s="7"/>
      <c r="J254" s="7"/>
      <c r="L254" s="7"/>
      <c r="M254" s="40"/>
      <c r="N254" s="7"/>
    </row>
    <row r="255" spans="1:14" ht="15.75" customHeight="1" x14ac:dyDescent="0.25">
      <c r="A255" s="24"/>
      <c r="B255" s="174"/>
      <c r="C255" s="24"/>
      <c r="D255" s="24"/>
      <c r="E255" s="24"/>
      <c r="I255" s="7"/>
      <c r="J255" s="7"/>
      <c r="L255" s="7"/>
      <c r="M255" s="40"/>
      <c r="N255" s="7"/>
    </row>
    <row r="256" spans="1:14" ht="15.75" customHeight="1" x14ac:dyDescent="0.25">
      <c r="A256" s="24"/>
      <c r="B256" s="174"/>
      <c r="C256" s="24"/>
      <c r="D256" s="24"/>
      <c r="E256" s="24"/>
      <c r="I256" s="7"/>
      <c r="J256" s="7"/>
      <c r="L256" s="7"/>
      <c r="M256" s="40"/>
      <c r="N256" s="7"/>
    </row>
    <row r="257" spans="1:14" ht="15.75" customHeight="1" x14ac:dyDescent="0.25">
      <c r="A257" s="24"/>
      <c r="B257" s="174"/>
      <c r="C257" s="24"/>
      <c r="D257" s="24"/>
      <c r="E257" s="24"/>
      <c r="I257" s="7"/>
      <c r="J257" s="7"/>
      <c r="L257" s="7"/>
      <c r="M257" s="40"/>
      <c r="N257" s="7"/>
    </row>
    <row r="258" spans="1:14" ht="15.75" customHeight="1" x14ac:dyDescent="0.25">
      <c r="A258" s="24"/>
      <c r="B258" s="174"/>
      <c r="C258" s="24"/>
      <c r="D258" s="24"/>
      <c r="E258" s="24"/>
      <c r="I258" s="7"/>
      <c r="J258" s="7"/>
      <c r="L258" s="7"/>
      <c r="M258" s="40"/>
      <c r="N258" s="7"/>
    </row>
    <row r="259" spans="1:14" ht="15.75" customHeight="1" x14ac:dyDescent="0.25">
      <c r="A259" s="24"/>
      <c r="B259" s="174"/>
      <c r="C259" s="24"/>
      <c r="D259" s="24"/>
      <c r="E259" s="24"/>
      <c r="I259" s="7"/>
      <c r="J259" s="7"/>
      <c r="L259" s="7"/>
      <c r="M259" s="40"/>
      <c r="N259" s="7"/>
    </row>
    <row r="260" spans="1:14" ht="15.75" customHeight="1" x14ac:dyDescent="0.25">
      <c r="A260" s="24"/>
      <c r="B260" s="174"/>
      <c r="C260" s="24"/>
      <c r="D260" s="24"/>
      <c r="E260" s="24"/>
      <c r="I260" s="7"/>
      <c r="J260" s="7"/>
      <c r="L260" s="7"/>
      <c r="M260" s="40"/>
      <c r="N260" s="7"/>
    </row>
    <row r="261" spans="1:14" ht="15.75" customHeight="1" x14ac:dyDescent="0.25">
      <c r="A261" s="24"/>
      <c r="B261" s="174"/>
      <c r="C261" s="24"/>
      <c r="D261" s="24"/>
      <c r="E261" s="24"/>
      <c r="I261" s="7"/>
      <c r="J261" s="7"/>
      <c r="L261" s="7"/>
      <c r="M261" s="40"/>
      <c r="N261" s="7"/>
    </row>
    <row r="262" spans="1:14" ht="15.75" customHeight="1" x14ac:dyDescent="0.25">
      <c r="A262" s="24"/>
      <c r="B262" s="174"/>
      <c r="C262" s="24"/>
      <c r="D262" s="24"/>
      <c r="E262" s="24"/>
      <c r="I262" s="7"/>
      <c r="J262" s="7"/>
      <c r="L262" s="7"/>
      <c r="M262" s="40"/>
      <c r="N262" s="7"/>
    </row>
    <row r="263" spans="1:14" ht="15.75" customHeight="1" x14ac:dyDescent="0.25">
      <c r="A263" s="24"/>
      <c r="B263" s="174"/>
      <c r="C263" s="24"/>
      <c r="D263" s="24"/>
      <c r="E263" s="24"/>
      <c r="I263" s="7"/>
      <c r="J263" s="7"/>
      <c r="L263" s="7"/>
      <c r="M263" s="40"/>
      <c r="N263" s="7"/>
    </row>
    <row r="264" spans="1:14" ht="15.75" customHeight="1" x14ac:dyDescent="0.25">
      <c r="A264" s="24"/>
      <c r="B264" s="174"/>
      <c r="C264" s="24"/>
      <c r="D264" s="24"/>
      <c r="E264" s="24"/>
      <c r="I264" s="7"/>
      <c r="J264" s="7"/>
      <c r="L264" s="7"/>
      <c r="M264" s="40"/>
      <c r="N264" s="7"/>
    </row>
    <row r="265" spans="1:14" ht="15.75" customHeight="1" x14ac:dyDescent="0.25">
      <c r="A265" s="24"/>
      <c r="B265" s="174"/>
      <c r="C265" s="24"/>
      <c r="D265" s="24"/>
      <c r="E265" s="24"/>
      <c r="I265" s="7"/>
      <c r="J265" s="7"/>
      <c r="L265" s="7"/>
      <c r="M265" s="40"/>
      <c r="N265" s="7"/>
    </row>
    <row r="266" spans="1:14" ht="15.75" customHeight="1" x14ac:dyDescent="0.25">
      <c r="A266" s="24"/>
      <c r="B266" s="174"/>
      <c r="C266" s="24"/>
      <c r="D266" s="24"/>
      <c r="E266" s="24"/>
      <c r="I266" s="7"/>
      <c r="J266" s="7"/>
      <c r="L266" s="7"/>
      <c r="M266" s="40"/>
      <c r="N266" s="7"/>
    </row>
    <row r="267" spans="1:14" ht="15.75" customHeight="1" x14ac:dyDescent="0.25">
      <c r="A267" s="24"/>
      <c r="B267" s="174"/>
      <c r="C267" s="24"/>
      <c r="D267" s="24"/>
      <c r="E267" s="24"/>
      <c r="I267" s="7"/>
      <c r="J267" s="7"/>
      <c r="L267" s="7"/>
      <c r="M267" s="40"/>
      <c r="N267" s="7"/>
    </row>
    <row r="268" spans="1:14" ht="15.75" customHeight="1" x14ac:dyDescent="0.25">
      <c r="A268" s="24"/>
      <c r="B268" s="174"/>
      <c r="C268" s="24"/>
      <c r="D268" s="24"/>
      <c r="E268" s="24"/>
      <c r="I268" s="7"/>
      <c r="J268" s="7"/>
      <c r="L268" s="7"/>
      <c r="M268" s="40"/>
      <c r="N268" s="7"/>
    </row>
    <row r="269" spans="1:14" ht="15.75" customHeight="1" x14ac:dyDescent="0.25">
      <c r="A269" s="24"/>
      <c r="B269" s="174"/>
      <c r="C269" s="24"/>
      <c r="D269" s="24"/>
      <c r="E269" s="24"/>
      <c r="I269" s="7"/>
      <c r="J269" s="7"/>
      <c r="L269" s="7"/>
      <c r="M269" s="40"/>
      <c r="N269" s="7"/>
    </row>
    <row r="270" spans="1:14" ht="15.75" customHeight="1" x14ac:dyDescent="0.25">
      <c r="A270" s="24"/>
      <c r="B270" s="174"/>
      <c r="C270" s="24"/>
      <c r="D270" s="24"/>
      <c r="E270" s="24"/>
      <c r="I270" s="7"/>
      <c r="J270" s="7"/>
      <c r="L270" s="7"/>
      <c r="M270" s="40"/>
      <c r="N270" s="7"/>
    </row>
    <row r="271" spans="1:14" ht="15.75" customHeight="1" x14ac:dyDescent="0.25">
      <c r="A271" s="24"/>
      <c r="B271" s="174"/>
      <c r="C271" s="24"/>
      <c r="D271" s="24"/>
      <c r="E271" s="24"/>
      <c r="I271" s="7"/>
      <c r="J271" s="7"/>
      <c r="L271" s="7"/>
      <c r="M271" s="40"/>
      <c r="N271" s="7"/>
    </row>
    <row r="272" spans="1:14" ht="15.75" customHeight="1" x14ac:dyDescent="0.25">
      <c r="A272" s="24"/>
      <c r="B272" s="174"/>
      <c r="C272" s="24"/>
      <c r="D272" s="24"/>
      <c r="E272" s="24"/>
      <c r="I272" s="7"/>
      <c r="J272" s="7"/>
      <c r="L272" s="7"/>
      <c r="M272" s="40"/>
      <c r="N272" s="7"/>
    </row>
    <row r="273" spans="1:14" ht="15.75" customHeight="1" x14ac:dyDescent="0.25">
      <c r="A273" s="24"/>
      <c r="B273" s="174"/>
      <c r="C273" s="24"/>
      <c r="D273" s="24"/>
      <c r="E273" s="24"/>
      <c r="I273" s="7"/>
      <c r="J273" s="7"/>
      <c r="L273" s="7"/>
      <c r="M273" s="40"/>
      <c r="N273" s="7"/>
    </row>
    <row r="274" spans="1:14" ht="15.75" customHeight="1" x14ac:dyDescent="0.25">
      <c r="A274" s="24"/>
      <c r="B274" s="174"/>
      <c r="C274" s="24"/>
      <c r="D274" s="24"/>
      <c r="E274" s="24"/>
      <c r="I274" s="7"/>
      <c r="J274" s="7"/>
      <c r="L274" s="7"/>
      <c r="M274" s="40"/>
      <c r="N274" s="7"/>
    </row>
    <row r="275" spans="1:14" ht="15.75" customHeight="1" x14ac:dyDescent="0.25">
      <c r="A275" s="24"/>
      <c r="B275" s="174"/>
      <c r="C275" s="24"/>
      <c r="D275" s="24"/>
      <c r="E275" s="24"/>
      <c r="I275" s="7"/>
      <c r="J275" s="7"/>
      <c r="L275" s="7"/>
      <c r="M275" s="40"/>
      <c r="N275" s="7"/>
    </row>
    <row r="276" spans="1:14" ht="15.75" customHeight="1" x14ac:dyDescent="0.25">
      <c r="A276" s="24"/>
      <c r="B276" s="174"/>
      <c r="C276" s="24"/>
      <c r="D276" s="24"/>
      <c r="E276" s="24"/>
      <c r="I276" s="7"/>
      <c r="J276" s="7"/>
      <c r="L276" s="7"/>
      <c r="M276" s="40"/>
      <c r="N276" s="7"/>
    </row>
    <row r="277" spans="1:14" ht="15.75" customHeight="1" x14ac:dyDescent="0.25">
      <c r="A277" s="24"/>
      <c r="B277" s="174"/>
      <c r="C277" s="24"/>
      <c r="D277" s="24"/>
      <c r="E277" s="24"/>
      <c r="I277" s="7"/>
      <c r="J277" s="7"/>
      <c r="L277" s="7"/>
      <c r="M277" s="40"/>
      <c r="N277" s="7"/>
    </row>
    <row r="278" spans="1:14" ht="15.75" customHeight="1" x14ac:dyDescent="0.25">
      <c r="A278" s="24"/>
      <c r="B278" s="174"/>
      <c r="C278" s="24"/>
      <c r="D278" s="24"/>
      <c r="E278" s="24"/>
      <c r="I278" s="7"/>
      <c r="J278" s="7"/>
      <c r="L278" s="7"/>
      <c r="M278" s="40"/>
      <c r="N278" s="7"/>
    </row>
    <row r="279" spans="1:14" ht="15.75" customHeight="1" x14ac:dyDescent="0.25">
      <c r="A279" s="24"/>
      <c r="B279" s="174"/>
      <c r="C279" s="24"/>
      <c r="D279" s="24"/>
      <c r="E279" s="24"/>
      <c r="I279" s="7"/>
      <c r="J279" s="7"/>
      <c r="L279" s="7"/>
      <c r="M279" s="40"/>
      <c r="N279" s="7"/>
    </row>
    <row r="280" spans="1:14" ht="15.75" customHeight="1" x14ac:dyDescent="0.25">
      <c r="A280" s="24"/>
      <c r="B280" s="174"/>
      <c r="C280" s="24"/>
      <c r="D280" s="24"/>
      <c r="E280" s="24"/>
      <c r="I280" s="7"/>
      <c r="J280" s="7"/>
      <c r="L280" s="7"/>
      <c r="M280" s="40"/>
      <c r="N280" s="7"/>
    </row>
    <row r="281" spans="1:14" ht="15.75" customHeight="1" x14ac:dyDescent="0.25">
      <c r="A281" s="24"/>
      <c r="B281" s="174"/>
      <c r="C281" s="24"/>
      <c r="D281" s="24"/>
      <c r="E281" s="24"/>
      <c r="I281" s="7"/>
      <c r="J281" s="7"/>
      <c r="L281" s="7"/>
      <c r="M281" s="40"/>
      <c r="N281" s="7"/>
    </row>
    <row r="282" spans="1:14" ht="15.75" customHeight="1" x14ac:dyDescent="0.25">
      <c r="A282" s="24"/>
      <c r="B282" s="174"/>
      <c r="C282" s="24"/>
      <c r="D282" s="24"/>
      <c r="E282" s="24"/>
      <c r="I282" s="7"/>
      <c r="J282" s="7"/>
      <c r="L282" s="7"/>
      <c r="M282" s="40"/>
      <c r="N282" s="7"/>
    </row>
    <row r="283" spans="1:14" ht="15.75" customHeight="1" x14ac:dyDescent="0.25">
      <c r="A283" s="24"/>
      <c r="B283" s="174"/>
      <c r="C283" s="24"/>
      <c r="D283" s="24"/>
      <c r="E283" s="24"/>
      <c r="I283" s="7"/>
      <c r="J283" s="7"/>
      <c r="L283" s="7"/>
      <c r="M283" s="40"/>
      <c r="N283" s="7"/>
    </row>
    <row r="284" spans="1:14" ht="15.75" customHeight="1" x14ac:dyDescent="0.25">
      <c r="A284" s="24"/>
      <c r="B284" s="174"/>
      <c r="C284" s="24"/>
      <c r="D284" s="24"/>
      <c r="E284" s="24"/>
      <c r="I284" s="7"/>
      <c r="J284" s="7"/>
      <c r="L284" s="7"/>
      <c r="M284" s="40"/>
      <c r="N284" s="7"/>
    </row>
    <row r="285" spans="1:14" ht="15.75" customHeight="1" x14ac:dyDescent="0.25">
      <c r="A285" s="24"/>
      <c r="B285" s="174"/>
      <c r="C285" s="24"/>
      <c r="D285" s="24"/>
      <c r="E285" s="24"/>
      <c r="I285" s="7"/>
      <c r="J285" s="7"/>
      <c r="L285" s="7"/>
      <c r="M285" s="40"/>
      <c r="N285" s="7"/>
    </row>
    <row r="286" spans="1:14" ht="15.75" customHeight="1" x14ac:dyDescent="0.25">
      <c r="A286" s="24"/>
      <c r="B286" s="174"/>
      <c r="C286" s="24"/>
      <c r="D286" s="24"/>
      <c r="E286" s="24"/>
      <c r="I286" s="7"/>
      <c r="J286" s="7"/>
      <c r="L286" s="7"/>
      <c r="M286" s="40"/>
      <c r="N286" s="7"/>
    </row>
    <row r="287" spans="1:14" ht="15.75" customHeight="1" x14ac:dyDescent="0.25">
      <c r="A287" s="24"/>
      <c r="B287" s="174"/>
      <c r="C287" s="24"/>
      <c r="D287" s="24"/>
      <c r="E287" s="24"/>
      <c r="I287" s="7"/>
      <c r="J287" s="7"/>
      <c r="L287" s="7"/>
      <c r="M287" s="40"/>
      <c r="N287" s="7"/>
    </row>
    <row r="288" spans="1:14" ht="15.75" customHeight="1" x14ac:dyDescent="0.25">
      <c r="A288" s="24"/>
      <c r="B288" s="174"/>
      <c r="C288" s="24"/>
      <c r="D288" s="24"/>
      <c r="E288" s="24"/>
      <c r="I288" s="7"/>
      <c r="J288" s="7"/>
      <c r="L288" s="7"/>
      <c r="M288" s="40"/>
      <c r="N288" s="7"/>
    </row>
    <row r="289" spans="1:14" ht="15.75" customHeight="1" x14ac:dyDescent="0.25">
      <c r="A289" s="24"/>
      <c r="B289" s="174"/>
      <c r="C289" s="24"/>
      <c r="D289" s="24"/>
      <c r="E289" s="24"/>
      <c r="I289" s="7"/>
      <c r="J289" s="7"/>
      <c r="L289" s="7"/>
      <c r="M289" s="40"/>
      <c r="N289" s="7"/>
    </row>
    <row r="290" spans="1:14" ht="15.75" customHeight="1" x14ac:dyDescent="0.25">
      <c r="A290" s="24"/>
      <c r="B290" s="174"/>
      <c r="C290" s="24"/>
      <c r="D290" s="24"/>
      <c r="E290" s="24"/>
      <c r="I290" s="7"/>
      <c r="J290" s="7"/>
      <c r="L290" s="7"/>
      <c r="M290" s="40"/>
      <c r="N290" s="7"/>
    </row>
    <row r="291" spans="1:14" ht="15.75" customHeight="1" x14ac:dyDescent="0.25">
      <c r="A291" s="24"/>
      <c r="B291" s="174"/>
      <c r="C291" s="24"/>
      <c r="D291" s="24"/>
      <c r="E291" s="24"/>
      <c r="I291" s="7"/>
      <c r="J291" s="7"/>
      <c r="L291" s="7"/>
      <c r="M291" s="40"/>
      <c r="N291" s="7"/>
    </row>
    <row r="292" spans="1:14" ht="15.75" customHeight="1" x14ac:dyDescent="0.25">
      <c r="A292" s="24"/>
      <c r="B292" s="174"/>
      <c r="C292" s="24"/>
      <c r="D292" s="24"/>
      <c r="E292" s="24"/>
      <c r="I292" s="7"/>
      <c r="J292" s="7"/>
      <c r="L292" s="7"/>
      <c r="M292" s="40"/>
      <c r="N292" s="7"/>
    </row>
    <row r="293" spans="1:14" ht="15.75" customHeight="1" x14ac:dyDescent="0.25">
      <c r="A293" s="24"/>
      <c r="B293" s="174"/>
      <c r="C293" s="24"/>
      <c r="D293" s="24"/>
      <c r="E293" s="24"/>
      <c r="I293" s="7"/>
      <c r="J293" s="7"/>
      <c r="L293" s="7"/>
      <c r="M293" s="40"/>
      <c r="N293" s="7"/>
    </row>
    <row r="294" spans="1:14" ht="15.75" customHeight="1" x14ac:dyDescent="0.25">
      <c r="A294" s="24"/>
      <c r="B294" s="174"/>
      <c r="C294" s="24"/>
      <c r="D294" s="24"/>
      <c r="E294" s="24"/>
      <c r="I294" s="7"/>
      <c r="J294" s="7"/>
      <c r="L294" s="7"/>
      <c r="M294" s="40"/>
      <c r="N294" s="7"/>
    </row>
    <row r="295" spans="1:14" ht="15.75" customHeight="1" x14ac:dyDescent="0.25">
      <c r="A295" s="24"/>
      <c r="B295" s="174"/>
      <c r="C295" s="24"/>
      <c r="D295" s="24"/>
      <c r="E295" s="24"/>
      <c r="I295" s="7"/>
      <c r="J295" s="7"/>
      <c r="L295" s="7"/>
      <c r="M295" s="40"/>
      <c r="N295" s="7"/>
    </row>
    <row r="296" spans="1:14" ht="15.75" customHeight="1" x14ac:dyDescent="0.25">
      <c r="A296" s="24"/>
      <c r="B296" s="174"/>
      <c r="C296" s="24"/>
      <c r="D296" s="24"/>
      <c r="E296" s="24"/>
      <c r="I296" s="7"/>
      <c r="J296" s="7"/>
      <c r="L296" s="7"/>
      <c r="M296" s="40"/>
      <c r="N296" s="7"/>
    </row>
    <row r="297" spans="1:14" ht="15.75" customHeight="1" x14ac:dyDescent="0.25">
      <c r="A297" s="24"/>
      <c r="B297" s="174"/>
      <c r="C297" s="24"/>
      <c r="D297" s="24"/>
      <c r="E297" s="24"/>
      <c r="I297" s="7"/>
      <c r="J297" s="7"/>
      <c r="L297" s="7"/>
      <c r="M297" s="40"/>
      <c r="N297" s="7"/>
    </row>
    <row r="298" spans="1:14" ht="15.75" customHeight="1" x14ac:dyDescent="0.25">
      <c r="A298" s="24"/>
      <c r="B298" s="174"/>
      <c r="C298" s="24"/>
      <c r="D298" s="24"/>
      <c r="E298" s="24"/>
      <c r="I298" s="7"/>
      <c r="J298" s="7"/>
      <c r="L298" s="7"/>
      <c r="M298" s="40"/>
      <c r="N298" s="7"/>
    </row>
    <row r="299" spans="1:14" ht="15.75" customHeight="1" x14ac:dyDescent="0.25">
      <c r="A299" s="24"/>
      <c r="B299" s="174"/>
      <c r="C299" s="24"/>
      <c r="D299" s="24"/>
      <c r="E299" s="24"/>
      <c r="I299" s="7"/>
      <c r="J299" s="7"/>
      <c r="L299" s="7"/>
      <c r="M299" s="40"/>
      <c r="N299" s="7"/>
    </row>
    <row r="300" spans="1:14" ht="15.75" customHeight="1" x14ac:dyDescent="0.25">
      <c r="A300" s="24"/>
      <c r="B300" s="174"/>
      <c r="C300" s="24"/>
      <c r="D300" s="24"/>
      <c r="E300" s="24"/>
      <c r="I300" s="7"/>
      <c r="J300" s="7"/>
      <c r="L300" s="7"/>
      <c r="M300" s="40"/>
      <c r="N300" s="7"/>
    </row>
    <row r="301" spans="1:14" ht="15.75" customHeight="1" x14ac:dyDescent="0.25">
      <c r="A301" s="24"/>
      <c r="B301" s="174"/>
      <c r="C301" s="24"/>
      <c r="D301" s="24"/>
      <c r="E301" s="24"/>
      <c r="I301" s="7"/>
      <c r="J301" s="7"/>
      <c r="L301" s="7"/>
      <c r="M301" s="40"/>
      <c r="N301" s="7"/>
    </row>
    <row r="302" spans="1:14" ht="15.75" customHeight="1" x14ac:dyDescent="0.25">
      <c r="A302" s="24"/>
      <c r="B302" s="174"/>
      <c r="C302" s="24"/>
      <c r="D302" s="24"/>
      <c r="E302" s="24"/>
      <c r="I302" s="7"/>
      <c r="J302" s="7"/>
      <c r="L302" s="7"/>
      <c r="M302" s="40"/>
      <c r="N302" s="7"/>
    </row>
    <row r="303" spans="1:14" ht="15.75" customHeight="1" x14ac:dyDescent="0.25">
      <c r="A303" s="24"/>
      <c r="B303" s="174"/>
      <c r="C303" s="24"/>
      <c r="D303" s="24"/>
      <c r="E303" s="24"/>
      <c r="I303" s="7"/>
      <c r="J303" s="7"/>
      <c r="L303" s="7"/>
      <c r="M303" s="40"/>
      <c r="N303" s="7"/>
    </row>
    <row r="304" spans="1:14" ht="15.75" customHeight="1" x14ac:dyDescent="0.25">
      <c r="A304" s="24"/>
      <c r="B304" s="174"/>
      <c r="C304" s="24"/>
      <c r="D304" s="24"/>
      <c r="E304" s="24"/>
      <c r="I304" s="7"/>
      <c r="J304" s="7"/>
      <c r="L304" s="7"/>
      <c r="M304" s="40"/>
      <c r="N304" s="7"/>
    </row>
    <row r="305" spans="1:14" ht="15.75" customHeight="1" x14ac:dyDescent="0.25">
      <c r="A305" s="24"/>
      <c r="B305" s="174"/>
      <c r="C305" s="24"/>
      <c r="D305" s="24"/>
      <c r="E305" s="24"/>
      <c r="I305" s="7"/>
      <c r="J305" s="7"/>
      <c r="L305" s="7"/>
      <c r="M305" s="40"/>
      <c r="N305" s="7"/>
    </row>
    <row r="306" spans="1:14" ht="15.75" customHeight="1" x14ac:dyDescent="0.25">
      <c r="A306" s="24"/>
      <c r="B306" s="174"/>
      <c r="C306" s="24"/>
      <c r="D306" s="24"/>
      <c r="E306" s="24"/>
      <c r="I306" s="7"/>
      <c r="J306" s="7"/>
      <c r="L306" s="7"/>
      <c r="M306" s="40"/>
      <c r="N306" s="7"/>
    </row>
    <row r="307" spans="1:14" ht="15.75" customHeight="1" x14ac:dyDescent="0.25">
      <c r="A307" s="24"/>
      <c r="B307" s="174"/>
      <c r="C307" s="24"/>
      <c r="D307" s="24"/>
      <c r="E307" s="24"/>
      <c r="I307" s="7"/>
      <c r="J307" s="7"/>
      <c r="L307" s="7"/>
      <c r="M307" s="40"/>
      <c r="N307" s="7"/>
    </row>
    <row r="308" spans="1:14" ht="15.75" customHeight="1" x14ac:dyDescent="0.25">
      <c r="A308" s="24"/>
      <c r="B308" s="174"/>
      <c r="C308" s="24"/>
      <c r="D308" s="24"/>
      <c r="E308" s="24"/>
      <c r="I308" s="7"/>
      <c r="J308" s="7"/>
      <c r="L308" s="7"/>
      <c r="M308" s="40"/>
      <c r="N308" s="7"/>
    </row>
    <row r="309" spans="1:14" ht="15.75" customHeight="1" x14ac:dyDescent="0.25">
      <c r="A309" s="24"/>
      <c r="B309" s="174"/>
      <c r="C309" s="24"/>
      <c r="D309" s="24"/>
      <c r="E309" s="24"/>
      <c r="I309" s="7"/>
      <c r="J309" s="7"/>
      <c r="L309" s="7"/>
      <c r="M309" s="40"/>
      <c r="N309" s="7"/>
    </row>
    <row r="310" spans="1:14" ht="15.75" customHeight="1" x14ac:dyDescent="0.25">
      <c r="A310" s="24"/>
      <c r="B310" s="174"/>
      <c r="C310" s="24"/>
      <c r="D310" s="24"/>
      <c r="E310" s="24"/>
      <c r="I310" s="7"/>
      <c r="J310" s="7"/>
      <c r="L310" s="7"/>
      <c r="M310" s="40"/>
      <c r="N310" s="7"/>
    </row>
    <row r="311" spans="1:14" ht="15.75" customHeight="1" x14ac:dyDescent="0.25">
      <c r="A311" s="24"/>
      <c r="B311" s="174"/>
      <c r="C311" s="24"/>
      <c r="D311" s="24"/>
      <c r="E311" s="24"/>
      <c r="I311" s="7"/>
      <c r="J311" s="7"/>
      <c r="L311" s="7"/>
      <c r="M311" s="40"/>
      <c r="N311" s="7"/>
    </row>
    <row r="312" spans="1:14" ht="15.75" customHeight="1" x14ac:dyDescent="0.25">
      <c r="A312" s="24"/>
      <c r="B312" s="174"/>
      <c r="C312" s="24"/>
      <c r="D312" s="24"/>
      <c r="E312" s="24"/>
      <c r="I312" s="7"/>
      <c r="J312" s="7"/>
      <c r="L312" s="7"/>
      <c r="M312" s="40"/>
      <c r="N312" s="7"/>
    </row>
    <row r="313" spans="1:14" ht="15.75" customHeight="1" x14ac:dyDescent="0.25">
      <c r="A313" s="24"/>
      <c r="B313" s="174"/>
      <c r="C313" s="24"/>
      <c r="D313" s="24"/>
      <c r="E313" s="24"/>
      <c r="I313" s="7"/>
      <c r="J313" s="7"/>
      <c r="L313" s="7"/>
      <c r="M313" s="40"/>
      <c r="N313" s="7"/>
    </row>
    <row r="314" spans="1:14" ht="15.75" customHeight="1" x14ac:dyDescent="0.25">
      <c r="A314" s="24"/>
      <c r="B314" s="174"/>
      <c r="C314" s="24"/>
      <c r="D314" s="24"/>
      <c r="E314" s="24"/>
      <c r="I314" s="7"/>
      <c r="J314" s="7"/>
      <c r="L314" s="7"/>
      <c r="M314" s="40"/>
      <c r="N314" s="7"/>
    </row>
    <row r="315" spans="1:14" ht="15.75" customHeight="1" x14ac:dyDescent="0.25">
      <c r="A315" s="24"/>
      <c r="B315" s="174"/>
      <c r="C315" s="24"/>
      <c r="D315" s="24"/>
      <c r="E315" s="24"/>
      <c r="I315" s="7"/>
      <c r="J315" s="7"/>
      <c r="L315" s="7"/>
      <c r="M315" s="40"/>
      <c r="N315" s="7"/>
    </row>
    <row r="316" spans="1:14" ht="15.75" customHeight="1" x14ac:dyDescent="0.25">
      <c r="A316" s="24"/>
      <c r="B316" s="174"/>
      <c r="C316" s="24"/>
      <c r="D316" s="24"/>
      <c r="E316" s="24"/>
      <c r="I316" s="7"/>
      <c r="J316" s="7"/>
      <c r="L316" s="7"/>
      <c r="M316" s="40"/>
      <c r="N316" s="7"/>
    </row>
    <row r="317" spans="1:14" ht="15.75" customHeight="1" x14ac:dyDescent="0.25">
      <c r="A317" s="24"/>
      <c r="B317" s="174"/>
      <c r="C317" s="24"/>
      <c r="D317" s="24"/>
      <c r="E317" s="24"/>
      <c r="I317" s="7"/>
      <c r="J317" s="7"/>
      <c r="L317" s="7"/>
      <c r="M317" s="40"/>
      <c r="N317" s="7"/>
    </row>
    <row r="318" spans="1:14" ht="15.75" customHeight="1" x14ac:dyDescent="0.25">
      <c r="A318" s="24"/>
      <c r="B318" s="174"/>
      <c r="C318" s="24"/>
      <c r="D318" s="24"/>
      <c r="E318" s="24"/>
      <c r="I318" s="7"/>
      <c r="J318" s="7"/>
      <c r="L318" s="7"/>
      <c r="M318" s="40"/>
      <c r="N318" s="7"/>
    </row>
    <row r="319" spans="1:14" ht="15.75" customHeight="1" x14ac:dyDescent="0.25">
      <c r="A319" s="24"/>
      <c r="B319" s="174"/>
      <c r="C319" s="24"/>
      <c r="D319" s="24"/>
      <c r="E319" s="24"/>
      <c r="I319" s="7"/>
      <c r="J319" s="7"/>
      <c r="L319" s="7"/>
      <c r="M319" s="40"/>
      <c r="N319" s="7"/>
    </row>
    <row r="320" spans="1:14" ht="15.75" customHeight="1" x14ac:dyDescent="0.25">
      <c r="A320" s="24"/>
      <c r="B320" s="174"/>
      <c r="C320" s="24"/>
      <c r="D320" s="24"/>
      <c r="E320" s="24"/>
      <c r="I320" s="7"/>
      <c r="J320" s="7"/>
      <c r="L320" s="7"/>
      <c r="M320" s="40"/>
      <c r="N320" s="7"/>
    </row>
    <row r="321" spans="1:14" ht="15.75" customHeight="1" x14ac:dyDescent="0.25">
      <c r="A321" s="24"/>
      <c r="B321" s="174"/>
      <c r="C321" s="24"/>
      <c r="D321" s="24"/>
      <c r="E321" s="24"/>
      <c r="I321" s="7"/>
      <c r="J321" s="7"/>
      <c r="L321" s="7"/>
      <c r="M321" s="40"/>
      <c r="N321" s="7"/>
    </row>
    <row r="322" spans="1:14" ht="15.75" customHeight="1" x14ac:dyDescent="0.25">
      <c r="A322" s="24"/>
      <c r="B322" s="174"/>
      <c r="C322" s="24"/>
      <c r="D322" s="24"/>
      <c r="E322" s="24"/>
      <c r="I322" s="7"/>
      <c r="J322" s="7"/>
      <c r="L322" s="7"/>
      <c r="M322" s="40"/>
      <c r="N322" s="7"/>
    </row>
    <row r="323" spans="1:14" ht="15.75" customHeight="1" x14ac:dyDescent="0.25">
      <c r="A323" s="24"/>
      <c r="B323" s="174"/>
      <c r="C323" s="24"/>
      <c r="D323" s="24"/>
      <c r="E323" s="24"/>
      <c r="I323" s="7"/>
      <c r="J323" s="7"/>
      <c r="L323" s="7"/>
      <c r="M323" s="40"/>
      <c r="N323" s="7"/>
    </row>
    <row r="324" spans="1:14" ht="15.75" customHeight="1" x14ac:dyDescent="0.25">
      <c r="A324" s="24"/>
      <c r="B324" s="174"/>
      <c r="C324" s="24"/>
      <c r="D324" s="24"/>
      <c r="E324" s="24"/>
      <c r="I324" s="7"/>
      <c r="J324" s="7"/>
      <c r="L324" s="7"/>
      <c r="M324" s="40"/>
      <c r="N324" s="7"/>
    </row>
    <row r="325" spans="1:14" ht="15.75" customHeight="1" x14ac:dyDescent="0.25">
      <c r="A325" s="24"/>
      <c r="B325" s="174"/>
      <c r="C325" s="24"/>
      <c r="D325" s="24"/>
      <c r="E325" s="24"/>
      <c r="I325" s="7"/>
      <c r="J325" s="7"/>
      <c r="L325" s="7"/>
      <c r="M325" s="40"/>
      <c r="N325" s="7"/>
    </row>
    <row r="326" spans="1:14" ht="15.75" customHeight="1" x14ac:dyDescent="0.25">
      <c r="A326" s="24"/>
      <c r="B326" s="174"/>
      <c r="C326" s="24"/>
      <c r="D326" s="24"/>
      <c r="E326" s="24"/>
      <c r="I326" s="7"/>
      <c r="J326" s="7"/>
      <c r="L326" s="7"/>
      <c r="M326" s="40"/>
      <c r="N326" s="7"/>
    </row>
    <row r="327" spans="1:14" ht="15.75" customHeight="1" x14ac:dyDescent="0.25">
      <c r="A327" s="24"/>
      <c r="B327" s="174"/>
      <c r="C327" s="24"/>
      <c r="D327" s="24"/>
      <c r="E327" s="24"/>
      <c r="I327" s="7"/>
      <c r="J327" s="7"/>
      <c r="L327" s="7"/>
      <c r="M327" s="40"/>
      <c r="N327" s="7"/>
    </row>
    <row r="328" spans="1:14" ht="15.75" customHeight="1" x14ac:dyDescent="0.25">
      <c r="A328" s="24"/>
      <c r="B328" s="174"/>
      <c r="C328" s="24"/>
      <c r="D328" s="24"/>
      <c r="E328" s="24"/>
      <c r="I328" s="7"/>
      <c r="J328" s="7"/>
      <c r="L328" s="7"/>
      <c r="M328" s="40"/>
      <c r="N328" s="7"/>
    </row>
    <row r="329" spans="1:14" ht="15.75" customHeight="1" x14ac:dyDescent="0.25">
      <c r="A329" s="24"/>
      <c r="B329" s="174"/>
      <c r="C329" s="24"/>
      <c r="D329" s="24"/>
      <c r="E329" s="24"/>
      <c r="I329" s="7"/>
      <c r="J329" s="7"/>
      <c r="L329" s="7"/>
      <c r="M329" s="40"/>
      <c r="N329" s="7"/>
    </row>
    <row r="330" spans="1:14" ht="15.75" customHeight="1" x14ac:dyDescent="0.25">
      <c r="A330" s="24"/>
      <c r="B330" s="174"/>
      <c r="C330" s="24"/>
      <c r="D330" s="24"/>
      <c r="E330" s="24"/>
      <c r="I330" s="7"/>
      <c r="J330" s="7"/>
      <c r="L330" s="7"/>
      <c r="M330" s="40"/>
      <c r="N330" s="7"/>
    </row>
    <row r="331" spans="1:14" ht="15.75" customHeight="1" x14ac:dyDescent="0.25">
      <c r="A331" s="24"/>
      <c r="B331" s="174"/>
      <c r="C331" s="24"/>
      <c r="D331" s="24"/>
      <c r="E331" s="24"/>
      <c r="I331" s="7"/>
      <c r="J331" s="7"/>
      <c r="L331" s="7"/>
      <c r="M331" s="40"/>
      <c r="N331" s="7"/>
    </row>
    <row r="332" spans="1:14" ht="15.75" customHeight="1" x14ac:dyDescent="0.25">
      <c r="A332" s="24"/>
      <c r="B332" s="174"/>
      <c r="C332" s="24"/>
      <c r="D332" s="24"/>
      <c r="E332" s="24"/>
      <c r="I332" s="7"/>
      <c r="J332" s="7"/>
      <c r="L332" s="7"/>
      <c r="M332" s="40"/>
      <c r="N332" s="7"/>
    </row>
    <row r="333" spans="1:14" ht="15.75" customHeight="1" x14ac:dyDescent="0.25">
      <c r="A333" s="24"/>
      <c r="B333" s="174"/>
      <c r="C333" s="24"/>
      <c r="D333" s="24"/>
      <c r="E333" s="24"/>
      <c r="I333" s="7"/>
      <c r="J333" s="7"/>
      <c r="L333" s="7"/>
      <c r="M333" s="40"/>
      <c r="N333" s="7"/>
    </row>
    <row r="334" spans="1:14" ht="15.75" customHeight="1" x14ac:dyDescent="0.25">
      <c r="A334" s="24"/>
      <c r="B334" s="174"/>
      <c r="C334" s="24"/>
      <c r="D334" s="24"/>
      <c r="E334" s="24"/>
      <c r="I334" s="7"/>
      <c r="J334" s="7"/>
      <c r="L334" s="7"/>
      <c r="M334" s="40"/>
      <c r="N334" s="7"/>
    </row>
    <row r="335" spans="1:14" ht="15.75" customHeight="1" x14ac:dyDescent="0.25">
      <c r="A335" s="24"/>
      <c r="B335" s="174"/>
      <c r="C335" s="24"/>
      <c r="D335" s="24"/>
      <c r="E335" s="24"/>
      <c r="I335" s="7"/>
      <c r="J335" s="7"/>
      <c r="L335" s="7"/>
      <c r="M335" s="40"/>
      <c r="N335" s="7"/>
    </row>
    <row r="336" spans="1:14" ht="15.75" customHeight="1" x14ac:dyDescent="0.25">
      <c r="A336" s="24"/>
      <c r="B336" s="174"/>
      <c r="C336" s="24"/>
      <c r="D336" s="24"/>
      <c r="E336" s="24"/>
      <c r="I336" s="7"/>
      <c r="J336" s="7"/>
      <c r="L336" s="7"/>
      <c r="M336" s="40"/>
      <c r="N336" s="7"/>
    </row>
    <row r="337" spans="1:14" ht="15.75" customHeight="1" x14ac:dyDescent="0.25">
      <c r="A337" s="24"/>
      <c r="B337" s="174"/>
      <c r="C337" s="24"/>
      <c r="D337" s="24"/>
      <c r="E337" s="24"/>
      <c r="I337" s="7"/>
      <c r="J337" s="7"/>
      <c r="L337" s="7"/>
      <c r="M337" s="40"/>
      <c r="N337" s="7"/>
    </row>
    <row r="338" spans="1:14" ht="15.75" customHeight="1" x14ac:dyDescent="0.25">
      <c r="A338" s="24"/>
      <c r="B338" s="174"/>
      <c r="C338" s="24"/>
      <c r="D338" s="24"/>
      <c r="E338" s="24"/>
      <c r="I338" s="7"/>
      <c r="J338" s="7"/>
      <c r="L338" s="7"/>
      <c r="M338" s="40"/>
      <c r="N338" s="7"/>
    </row>
    <row r="339" spans="1:14" ht="15.75" customHeight="1" x14ac:dyDescent="0.25">
      <c r="A339" s="24"/>
      <c r="B339" s="174"/>
      <c r="C339" s="24"/>
      <c r="D339" s="24"/>
      <c r="E339" s="24"/>
      <c r="I339" s="7"/>
      <c r="J339" s="7"/>
      <c r="L339" s="7"/>
      <c r="M339" s="40"/>
      <c r="N339" s="7"/>
    </row>
    <row r="340" spans="1:14" ht="15.75" customHeight="1" x14ac:dyDescent="0.25">
      <c r="A340" s="24"/>
      <c r="B340" s="174"/>
      <c r="C340" s="24"/>
      <c r="D340" s="24"/>
      <c r="E340" s="24"/>
      <c r="I340" s="7"/>
      <c r="J340" s="7"/>
      <c r="L340" s="7"/>
      <c r="M340" s="40"/>
      <c r="N340" s="7"/>
    </row>
    <row r="341" spans="1:14" ht="15.75" customHeight="1" x14ac:dyDescent="0.25">
      <c r="A341" s="24"/>
      <c r="B341" s="174"/>
      <c r="C341" s="24"/>
      <c r="D341" s="24"/>
      <c r="E341" s="24"/>
      <c r="I341" s="7"/>
      <c r="J341" s="7"/>
      <c r="L341" s="7"/>
      <c r="M341" s="40"/>
      <c r="N341" s="7"/>
    </row>
    <row r="342" spans="1:14" ht="15.75" customHeight="1" x14ac:dyDescent="0.25">
      <c r="A342" s="24"/>
      <c r="B342" s="174"/>
      <c r="C342" s="24"/>
      <c r="D342" s="24"/>
      <c r="E342" s="24"/>
      <c r="I342" s="7"/>
      <c r="J342" s="7"/>
      <c r="L342" s="7"/>
      <c r="M342" s="40"/>
      <c r="N342" s="7"/>
    </row>
    <row r="343" spans="1:14" ht="15.75" customHeight="1" x14ac:dyDescent="0.25">
      <c r="A343" s="24"/>
      <c r="B343" s="174"/>
      <c r="C343" s="24"/>
      <c r="D343" s="24"/>
      <c r="E343" s="24"/>
      <c r="I343" s="7"/>
      <c r="J343" s="7"/>
      <c r="L343" s="7"/>
      <c r="M343" s="40"/>
      <c r="N343" s="7"/>
    </row>
    <row r="344" spans="1:14" ht="15.75" customHeight="1" x14ac:dyDescent="0.25">
      <c r="A344" s="24"/>
      <c r="B344" s="174"/>
      <c r="C344" s="24"/>
      <c r="D344" s="24"/>
      <c r="E344" s="24"/>
      <c r="I344" s="7"/>
      <c r="J344" s="7"/>
      <c r="L344" s="7"/>
      <c r="M344" s="40"/>
      <c r="N344" s="7"/>
    </row>
    <row r="345" spans="1:14" ht="15.75" customHeight="1" x14ac:dyDescent="0.25">
      <c r="A345" s="24"/>
      <c r="B345" s="174"/>
      <c r="C345" s="24"/>
      <c r="D345" s="24"/>
      <c r="E345" s="24"/>
      <c r="I345" s="7"/>
      <c r="J345" s="7"/>
      <c r="L345" s="7"/>
      <c r="M345" s="40"/>
      <c r="N345" s="7"/>
    </row>
    <row r="346" spans="1:14" ht="15.75" customHeight="1" x14ac:dyDescent="0.25">
      <c r="A346" s="24"/>
      <c r="B346" s="174"/>
      <c r="C346" s="24"/>
      <c r="D346" s="24"/>
      <c r="E346" s="24"/>
      <c r="I346" s="7"/>
      <c r="J346" s="7"/>
      <c r="L346" s="7"/>
      <c r="M346" s="40"/>
      <c r="N346" s="7"/>
    </row>
    <row r="347" spans="1:14" ht="15.75" customHeight="1" x14ac:dyDescent="0.25">
      <c r="A347" s="24"/>
      <c r="B347" s="174"/>
      <c r="C347" s="24"/>
      <c r="D347" s="24"/>
      <c r="E347" s="24"/>
      <c r="I347" s="7"/>
      <c r="J347" s="7"/>
      <c r="L347" s="7"/>
      <c r="M347" s="40"/>
      <c r="N347" s="7"/>
    </row>
    <row r="348" spans="1:14" ht="15.75" customHeight="1" x14ac:dyDescent="0.25">
      <c r="A348" s="24"/>
      <c r="B348" s="174"/>
      <c r="C348" s="24"/>
      <c r="D348" s="24"/>
      <c r="E348" s="24"/>
      <c r="I348" s="7"/>
      <c r="J348" s="7"/>
      <c r="L348" s="7"/>
      <c r="M348" s="40"/>
      <c r="N348" s="7"/>
    </row>
    <row r="349" spans="1:14" ht="15.75" customHeight="1" x14ac:dyDescent="0.25">
      <c r="A349" s="24"/>
      <c r="B349" s="174"/>
      <c r="C349" s="24"/>
      <c r="D349" s="24"/>
      <c r="E349" s="24"/>
      <c r="I349" s="7"/>
      <c r="J349" s="7"/>
      <c r="L349" s="7"/>
      <c r="M349" s="40"/>
      <c r="N349" s="7"/>
    </row>
    <row r="350" spans="1:14" ht="15.75" customHeight="1" x14ac:dyDescent="0.25">
      <c r="A350" s="24"/>
      <c r="B350" s="174"/>
      <c r="C350" s="24"/>
      <c r="D350" s="24"/>
      <c r="E350" s="24"/>
      <c r="I350" s="7"/>
      <c r="J350" s="7"/>
      <c r="L350" s="7"/>
      <c r="M350" s="40"/>
      <c r="N350" s="7"/>
    </row>
    <row r="351" spans="1:14" ht="15.75" customHeight="1" x14ac:dyDescent="0.25">
      <c r="A351" s="24"/>
      <c r="B351" s="174"/>
      <c r="C351" s="24"/>
      <c r="D351" s="24"/>
      <c r="E351" s="24"/>
      <c r="I351" s="7"/>
      <c r="J351" s="7"/>
      <c r="L351" s="7"/>
      <c r="M351" s="40"/>
      <c r="N351" s="7"/>
    </row>
    <row r="352" spans="1:14" ht="15.75" customHeight="1" x14ac:dyDescent="0.25">
      <c r="A352" s="24"/>
      <c r="B352" s="174"/>
      <c r="C352" s="24"/>
      <c r="D352" s="24"/>
      <c r="E352" s="24"/>
      <c r="I352" s="7"/>
      <c r="J352" s="7"/>
      <c r="L352" s="7"/>
      <c r="M352" s="40"/>
      <c r="N352" s="7"/>
    </row>
    <row r="353" spans="1:14" ht="15.75" customHeight="1" x14ac:dyDescent="0.25">
      <c r="A353" s="24"/>
      <c r="B353" s="174"/>
      <c r="C353" s="24"/>
      <c r="D353" s="24"/>
      <c r="E353" s="24"/>
      <c r="I353" s="7"/>
      <c r="J353" s="7"/>
      <c r="L353" s="7"/>
      <c r="M353" s="40"/>
      <c r="N353" s="7"/>
    </row>
    <row r="354" spans="1:14" ht="15.75" customHeight="1" x14ac:dyDescent="0.25">
      <c r="A354" s="24"/>
      <c r="B354" s="174"/>
      <c r="C354" s="24"/>
      <c r="D354" s="24"/>
      <c r="E354" s="24"/>
      <c r="I354" s="7"/>
      <c r="J354" s="7"/>
      <c r="L354" s="7"/>
      <c r="M354" s="40"/>
      <c r="N354" s="7"/>
    </row>
    <row r="355" spans="1:14" ht="15.75" customHeight="1" x14ac:dyDescent="0.25">
      <c r="A355" s="24"/>
      <c r="B355" s="174"/>
      <c r="C355" s="24"/>
      <c r="D355" s="24"/>
      <c r="E355" s="24"/>
      <c r="I355" s="7"/>
      <c r="J355" s="7"/>
      <c r="L355" s="7"/>
      <c r="M355" s="40"/>
      <c r="N355" s="7"/>
    </row>
    <row r="356" spans="1:14" ht="15.75" customHeight="1" x14ac:dyDescent="0.25">
      <c r="A356" s="24"/>
      <c r="B356" s="174"/>
      <c r="C356" s="24"/>
      <c r="D356" s="24"/>
      <c r="E356" s="24"/>
      <c r="I356" s="7"/>
      <c r="J356" s="7"/>
      <c r="L356" s="7"/>
      <c r="M356" s="40"/>
      <c r="N356" s="7"/>
    </row>
    <row r="357" spans="1:14" ht="15.75" customHeight="1" x14ac:dyDescent="0.25">
      <c r="A357" s="24"/>
      <c r="B357" s="174"/>
      <c r="C357" s="24"/>
      <c r="D357" s="24"/>
      <c r="E357" s="24"/>
      <c r="I357" s="7"/>
      <c r="J357" s="7"/>
      <c r="L357" s="7"/>
      <c r="M357" s="40"/>
      <c r="N357" s="7"/>
    </row>
    <row r="358" spans="1:14" ht="15.75" customHeight="1" x14ac:dyDescent="0.25">
      <c r="A358" s="24"/>
      <c r="B358" s="174"/>
      <c r="C358" s="24"/>
      <c r="D358" s="24"/>
      <c r="E358" s="24"/>
      <c r="I358" s="7"/>
      <c r="J358" s="7"/>
      <c r="L358" s="7"/>
      <c r="M358" s="40"/>
      <c r="N358" s="7"/>
    </row>
    <row r="359" spans="1:14" ht="15.75" customHeight="1" x14ac:dyDescent="0.25">
      <c r="A359" s="24"/>
      <c r="B359" s="174"/>
      <c r="C359" s="24"/>
      <c r="D359" s="24"/>
      <c r="E359" s="24"/>
      <c r="I359" s="7"/>
      <c r="J359" s="7"/>
      <c r="L359" s="7"/>
      <c r="M359" s="40"/>
      <c r="N359" s="7"/>
    </row>
    <row r="360" spans="1:14" ht="15.75" customHeight="1" x14ac:dyDescent="0.25">
      <c r="A360" s="24"/>
      <c r="B360" s="174"/>
      <c r="C360" s="24"/>
      <c r="D360" s="24"/>
      <c r="E360" s="24"/>
      <c r="I360" s="7"/>
      <c r="J360" s="7"/>
      <c r="L360" s="7"/>
      <c r="M360" s="40"/>
      <c r="N360" s="7"/>
    </row>
    <row r="361" spans="1:14" ht="15.75" customHeight="1" x14ac:dyDescent="0.25">
      <c r="A361" s="24"/>
      <c r="B361" s="174"/>
      <c r="C361" s="24"/>
      <c r="D361" s="24"/>
      <c r="E361" s="24"/>
      <c r="I361" s="7"/>
      <c r="J361" s="7"/>
      <c r="L361" s="7"/>
      <c r="M361" s="40"/>
      <c r="N361" s="7"/>
    </row>
    <row r="362" spans="1:14" ht="15.75" customHeight="1" x14ac:dyDescent="0.25">
      <c r="A362" s="24"/>
      <c r="B362" s="174"/>
      <c r="C362" s="24"/>
      <c r="D362" s="24"/>
      <c r="E362" s="24"/>
      <c r="I362" s="7"/>
      <c r="J362" s="7"/>
      <c r="L362" s="7"/>
      <c r="M362" s="40"/>
      <c r="N362" s="7"/>
    </row>
    <row r="363" spans="1:14" ht="15.75" customHeight="1" x14ac:dyDescent="0.25">
      <c r="A363" s="24"/>
      <c r="B363" s="174"/>
      <c r="C363" s="24"/>
      <c r="D363" s="24"/>
      <c r="E363" s="24"/>
      <c r="I363" s="7"/>
      <c r="J363" s="7"/>
      <c r="L363" s="7"/>
      <c r="M363" s="40"/>
      <c r="N363" s="7"/>
    </row>
    <row r="364" spans="1:14" ht="15.75" customHeight="1" x14ac:dyDescent="0.25">
      <c r="A364" s="24"/>
      <c r="B364" s="174"/>
      <c r="C364" s="24"/>
      <c r="D364" s="24"/>
      <c r="E364" s="24"/>
      <c r="I364" s="7"/>
      <c r="J364" s="7"/>
      <c r="L364" s="7"/>
      <c r="M364" s="40"/>
      <c r="N364" s="7"/>
    </row>
    <row r="365" spans="1:14" ht="15.75" customHeight="1" x14ac:dyDescent="0.25">
      <c r="A365" s="24"/>
      <c r="B365" s="174"/>
      <c r="C365" s="24"/>
      <c r="D365" s="24"/>
      <c r="E365" s="24"/>
      <c r="I365" s="7"/>
      <c r="J365" s="7"/>
      <c r="L365" s="7"/>
      <c r="M365" s="40"/>
      <c r="N365" s="7"/>
    </row>
    <row r="366" spans="1:14" ht="15.75" customHeight="1" x14ac:dyDescent="0.25">
      <c r="M366" s="40"/>
    </row>
    <row r="367" spans="1:14" ht="15.75" customHeight="1" x14ac:dyDescent="0.25">
      <c r="M367" s="40"/>
    </row>
    <row r="368" spans="1:14" ht="15.75" customHeight="1" x14ac:dyDescent="0.25">
      <c r="M368" s="40"/>
    </row>
    <row r="369" spans="13:13" ht="15.75" customHeight="1" x14ac:dyDescent="0.25">
      <c r="M369" s="40"/>
    </row>
    <row r="370" spans="13:13" ht="15.75" customHeight="1" x14ac:dyDescent="0.25">
      <c r="M370" s="40"/>
    </row>
    <row r="371" spans="13:13" ht="15.75" customHeight="1" x14ac:dyDescent="0.25">
      <c r="M371" s="40"/>
    </row>
    <row r="372" spans="13:13" ht="15.75" customHeight="1" x14ac:dyDescent="0.25">
      <c r="M372" s="40"/>
    </row>
    <row r="373" spans="13:13" ht="15.75" customHeight="1" x14ac:dyDescent="0.25">
      <c r="M373" s="40"/>
    </row>
    <row r="374" spans="13:13" ht="15.75" customHeight="1" x14ac:dyDescent="0.25">
      <c r="M374" s="40"/>
    </row>
    <row r="375" spans="13:13" ht="15.75" customHeight="1" x14ac:dyDescent="0.25">
      <c r="M375" s="40"/>
    </row>
    <row r="376" spans="13:13" ht="15.75" customHeight="1" x14ac:dyDescent="0.25">
      <c r="M376" s="40"/>
    </row>
    <row r="377" spans="13:13" ht="15.75" customHeight="1" x14ac:dyDescent="0.25">
      <c r="M377" s="40"/>
    </row>
    <row r="378" spans="13:13" ht="15.75" customHeight="1" x14ac:dyDescent="0.25">
      <c r="M378" s="40"/>
    </row>
    <row r="379" spans="13:13" ht="15.75" customHeight="1" x14ac:dyDescent="0.25">
      <c r="M379" s="40"/>
    </row>
    <row r="380" spans="13:13" ht="15.75" customHeight="1" x14ac:dyDescent="0.25">
      <c r="M380" s="40"/>
    </row>
    <row r="381" spans="13:13" ht="15.75" customHeight="1" x14ac:dyDescent="0.25">
      <c r="M381" s="40"/>
    </row>
    <row r="382" spans="13:13" ht="15.75" customHeight="1" x14ac:dyDescent="0.25">
      <c r="M382" s="40"/>
    </row>
    <row r="383" spans="13:13" ht="15.75" customHeight="1" x14ac:dyDescent="0.25">
      <c r="M383" s="40"/>
    </row>
    <row r="384" spans="13:13" ht="15.75" customHeight="1" x14ac:dyDescent="0.25">
      <c r="M384" s="40"/>
    </row>
    <row r="385" spans="13:13" ht="15.75" customHeight="1" x14ac:dyDescent="0.25">
      <c r="M385" s="40"/>
    </row>
    <row r="386" spans="13:13" ht="15.75" customHeight="1" x14ac:dyDescent="0.25">
      <c r="M386" s="40"/>
    </row>
    <row r="387" spans="13:13" ht="15.75" customHeight="1" x14ac:dyDescent="0.25">
      <c r="M387" s="40"/>
    </row>
    <row r="388" spans="13:13" ht="15.75" customHeight="1" x14ac:dyDescent="0.25">
      <c r="M388" s="40"/>
    </row>
    <row r="389" spans="13:13" ht="15.75" customHeight="1" x14ac:dyDescent="0.25">
      <c r="M389" s="40"/>
    </row>
    <row r="390" spans="13:13" ht="15.75" customHeight="1" x14ac:dyDescent="0.25">
      <c r="M390" s="40"/>
    </row>
    <row r="391" spans="13:13" ht="15.75" customHeight="1" x14ac:dyDescent="0.25">
      <c r="M391" s="40"/>
    </row>
    <row r="392" spans="13:13" ht="15.75" customHeight="1" x14ac:dyDescent="0.25">
      <c r="M392" s="40"/>
    </row>
    <row r="393" spans="13:13" ht="15.75" customHeight="1" x14ac:dyDescent="0.25">
      <c r="M393" s="40"/>
    </row>
    <row r="394" spans="13:13" ht="15.75" customHeight="1" x14ac:dyDescent="0.25">
      <c r="M394" s="40"/>
    </row>
    <row r="395" spans="13:13" ht="15.75" customHeight="1" x14ac:dyDescent="0.25">
      <c r="M395" s="40"/>
    </row>
    <row r="396" spans="13:13" ht="15.75" customHeight="1" x14ac:dyDescent="0.25">
      <c r="M396" s="40"/>
    </row>
    <row r="397" spans="13:13" ht="15.75" customHeight="1" x14ac:dyDescent="0.25">
      <c r="M397" s="40"/>
    </row>
    <row r="398" spans="13:13" ht="15.75" customHeight="1" x14ac:dyDescent="0.25">
      <c r="M398" s="40"/>
    </row>
    <row r="399" spans="13:13" ht="15.75" customHeight="1" x14ac:dyDescent="0.25">
      <c r="M399" s="40"/>
    </row>
    <row r="400" spans="13:13" ht="15.75" customHeight="1" x14ac:dyDescent="0.25">
      <c r="M400" s="40"/>
    </row>
    <row r="401" spans="13:13" ht="15.75" customHeight="1" x14ac:dyDescent="0.25">
      <c r="M401" s="40"/>
    </row>
    <row r="402" spans="13:13" ht="15.75" customHeight="1" x14ac:dyDescent="0.25">
      <c r="M402" s="40"/>
    </row>
    <row r="403" spans="13:13" ht="15.75" customHeight="1" x14ac:dyDescent="0.25">
      <c r="M403" s="40"/>
    </row>
    <row r="404" spans="13:13" ht="15.75" customHeight="1" x14ac:dyDescent="0.25">
      <c r="M404" s="40"/>
    </row>
    <row r="405" spans="13:13" ht="15.75" customHeight="1" x14ac:dyDescent="0.25">
      <c r="M405" s="40"/>
    </row>
    <row r="406" spans="13:13" ht="15.75" customHeight="1" x14ac:dyDescent="0.25">
      <c r="M406" s="40"/>
    </row>
    <row r="407" spans="13:13" ht="15.75" customHeight="1" x14ac:dyDescent="0.25">
      <c r="M407" s="40"/>
    </row>
    <row r="408" spans="13:13" ht="15.75" customHeight="1" x14ac:dyDescent="0.25">
      <c r="M408" s="40"/>
    </row>
    <row r="409" spans="13:13" ht="15.75" customHeight="1" x14ac:dyDescent="0.25">
      <c r="M409" s="40"/>
    </row>
    <row r="410" spans="13:13" ht="15.75" customHeight="1" x14ac:dyDescent="0.25">
      <c r="M410" s="40"/>
    </row>
    <row r="411" spans="13:13" ht="15.75" customHeight="1" x14ac:dyDescent="0.25">
      <c r="M411" s="40"/>
    </row>
    <row r="412" spans="13:13" ht="15.75" customHeight="1" x14ac:dyDescent="0.25">
      <c r="M412" s="40"/>
    </row>
    <row r="413" spans="13:13" ht="15.75" customHeight="1" x14ac:dyDescent="0.25">
      <c r="M413" s="40"/>
    </row>
    <row r="414" spans="13:13" ht="15.75" customHeight="1" x14ac:dyDescent="0.25">
      <c r="M414" s="40"/>
    </row>
    <row r="415" spans="13:13" ht="15.75" customHeight="1" x14ac:dyDescent="0.25">
      <c r="M415" s="40"/>
    </row>
    <row r="416" spans="13:13" ht="15.75" customHeight="1" x14ac:dyDescent="0.25">
      <c r="M416" s="40"/>
    </row>
    <row r="417" spans="13:13" ht="15.75" customHeight="1" x14ac:dyDescent="0.25">
      <c r="M417" s="40"/>
    </row>
    <row r="418" spans="13:13" ht="15.75" customHeight="1" x14ac:dyDescent="0.25">
      <c r="M418" s="40"/>
    </row>
    <row r="419" spans="13:13" ht="15.75" customHeight="1" x14ac:dyDescent="0.25">
      <c r="M419" s="40"/>
    </row>
    <row r="420" spans="13:13" ht="15.75" customHeight="1" x14ac:dyDescent="0.25">
      <c r="M420" s="40"/>
    </row>
    <row r="421" spans="13:13" ht="15.75" customHeight="1" x14ac:dyDescent="0.25">
      <c r="M421" s="40"/>
    </row>
    <row r="422" spans="13:13" ht="15.75" customHeight="1" x14ac:dyDescent="0.25">
      <c r="M422" s="40"/>
    </row>
    <row r="423" spans="13:13" ht="15.75" customHeight="1" x14ac:dyDescent="0.25">
      <c r="M423" s="40"/>
    </row>
    <row r="424" spans="13:13" ht="15.75" customHeight="1" x14ac:dyDescent="0.25">
      <c r="M424" s="40"/>
    </row>
    <row r="425" spans="13:13" ht="15.75" customHeight="1" x14ac:dyDescent="0.25">
      <c r="M425" s="40"/>
    </row>
    <row r="426" spans="13:13" ht="15.75" customHeight="1" x14ac:dyDescent="0.25">
      <c r="M426" s="40"/>
    </row>
    <row r="427" spans="13:13" ht="15.75" customHeight="1" x14ac:dyDescent="0.25">
      <c r="M427" s="40"/>
    </row>
    <row r="428" spans="13:13" ht="15.75" customHeight="1" x14ac:dyDescent="0.25">
      <c r="M428" s="40"/>
    </row>
    <row r="429" spans="13:13" ht="15.75" customHeight="1" x14ac:dyDescent="0.25">
      <c r="M429" s="40"/>
    </row>
    <row r="430" spans="13:13" ht="15.75" customHeight="1" x14ac:dyDescent="0.25">
      <c r="M430" s="40"/>
    </row>
    <row r="431" spans="13:13" ht="15.75" customHeight="1" x14ac:dyDescent="0.25">
      <c r="M431" s="40"/>
    </row>
    <row r="432" spans="13:13" ht="15.75" customHeight="1" x14ac:dyDescent="0.25">
      <c r="M432" s="40"/>
    </row>
    <row r="433" spans="13:13" ht="15.75" customHeight="1" x14ac:dyDescent="0.25">
      <c r="M433" s="40"/>
    </row>
    <row r="434" spans="13:13" ht="15.75" customHeight="1" x14ac:dyDescent="0.25">
      <c r="M434" s="40"/>
    </row>
    <row r="435" spans="13:13" ht="15.75" customHeight="1" x14ac:dyDescent="0.25">
      <c r="M435" s="40"/>
    </row>
    <row r="436" spans="13:13" ht="15.75" customHeight="1" x14ac:dyDescent="0.25">
      <c r="M436" s="40"/>
    </row>
    <row r="437" spans="13:13" ht="15.75" customHeight="1" x14ac:dyDescent="0.25">
      <c r="M437" s="40"/>
    </row>
    <row r="438" spans="13:13" ht="15.75" customHeight="1" x14ac:dyDescent="0.25">
      <c r="M438" s="40"/>
    </row>
    <row r="439" spans="13:13" ht="15.75" customHeight="1" x14ac:dyDescent="0.25">
      <c r="M439" s="40"/>
    </row>
    <row r="440" spans="13:13" ht="15.75" customHeight="1" x14ac:dyDescent="0.25">
      <c r="M440" s="40"/>
    </row>
    <row r="441" spans="13:13" ht="15.75" customHeight="1" x14ac:dyDescent="0.25">
      <c r="M441" s="40"/>
    </row>
    <row r="442" spans="13:13" ht="15.75" customHeight="1" x14ac:dyDescent="0.25">
      <c r="M442" s="40"/>
    </row>
    <row r="443" spans="13:13" ht="15.75" customHeight="1" x14ac:dyDescent="0.25">
      <c r="M443" s="40"/>
    </row>
    <row r="444" spans="13:13" ht="15.75" customHeight="1" x14ac:dyDescent="0.25">
      <c r="M444" s="40"/>
    </row>
    <row r="445" spans="13:13" ht="15.75" customHeight="1" x14ac:dyDescent="0.25">
      <c r="M445" s="40"/>
    </row>
    <row r="446" spans="13:13" ht="15.75" customHeight="1" x14ac:dyDescent="0.25">
      <c r="M446" s="40"/>
    </row>
    <row r="447" spans="13:13" ht="15.75" customHeight="1" x14ac:dyDescent="0.25">
      <c r="M447" s="40"/>
    </row>
    <row r="448" spans="13:13" ht="15.75" customHeight="1" x14ac:dyDescent="0.25">
      <c r="M448" s="40"/>
    </row>
    <row r="449" spans="13:13" ht="15.75" customHeight="1" x14ac:dyDescent="0.25">
      <c r="M449" s="40"/>
    </row>
    <row r="450" spans="13:13" ht="15.75" customHeight="1" x14ac:dyDescent="0.25">
      <c r="M450" s="40"/>
    </row>
    <row r="451" spans="13:13" ht="15.75" customHeight="1" x14ac:dyDescent="0.25">
      <c r="M451" s="40"/>
    </row>
    <row r="452" spans="13:13" ht="15.75" customHeight="1" x14ac:dyDescent="0.25">
      <c r="M452" s="40"/>
    </row>
    <row r="453" spans="13:13" ht="15.75" customHeight="1" x14ac:dyDescent="0.25">
      <c r="M453" s="40"/>
    </row>
    <row r="454" spans="13:13" ht="15.75" customHeight="1" x14ac:dyDescent="0.25">
      <c r="M454" s="40"/>
    </row>
    <row r="455" spans="13:13" ht="15.75" customHeight="1" x14ac:dyDescent="0.25">
      <c r="M455" s="40"/>
    </row>
    <row r="456" spans="13:13" ht="15.75" customHeight="1" x14ac:dyDescent="0.25">
      <c r="M456" s="40"/>
    </row>
    <row r="457" spans="13:13" ht="15.75" customHeight="1" x14ac:dyDescent="0.25">
      <c r="M457" s="40"/>
    </row>
    <row r="458" spans="13:13" ht="15.75" customHeight="1" x14ac:dyDescent="0.25">
      <c r="M458" s="40"/>
    </row>
    <row r="459" spans="13:13" ht="15.75" customHeight="1" x14ac:dyDescent="0.25">
      <c r="M459" s="40"/>
    </row>
    <row r="460" spans="13:13" ht="15.75" customHeight="1" x14ac:dyDescent="0.25">
      <c r="M460" s="40"/>
    </row>
    <row r="461" spans="13:13" ht="15.75" customHeight="1" x14ac:dyDescent="0.25">
      <c r="M461" s="40"/>
    </row>
    <row r="462" spans="13:13" ht="15.75" customHeight="1" x14ac:dyDescent="0.25">
      <c r="M462" s="40"/>
    </row>
    <row r="463" spans="13:13" ht="15.75" customHeight="1" x14ac:dyDescent="0.25">
      <c r="M463" s="40"/>
    </row>
    <row r="464" spans="13:13" ht="15.75" customHeight="1" x14ac:dyDescent="0.25">
      <c r="M464" s="40"/>
    </row>
    <row r="465" spans="13:13" ht="15.75" customHeight="1" x14ac:dyDescent="0.25">
      <c r="M465" s="40"/>
    </row>
    <row r="466" spans="13:13" ht="15.75" customHeight="1" x14ac:dyDescent="0.25">
      <c r="M466" s="40"/>
    </row>
    <row r="467" spans="13:13" ht="15.75" customHeight="1" x14ac:dyDescent="0.25">
      <c r="M467" s="40"/>
    </row>
    <row r="468" spans="13:13" ht="15.75" customHeight="1" x14ac:dyDescent="0.25">
      <c r="M468" s="40"/>
    </row>
    <row r="469" spans="13:13" ht="15.75" customHeight="1" x14ac:dyDescent="0.25">
      <c r="M469" s="40"/>
    </row>
    <row r="470" spans="13:13" ht="15.75" customHeight="1" x14ac:dyDescent="0.25">
      <c r="M470" s="40"/>
    </row>
    <row r="471" spans="13:13" ht="15.75" customHeight="1" x14ac:dyDescent="0.25">
      <c r="M471" s="40"/>
    </row>
    <row r="472" spans="13:13" ht="15.75" customHeight="1" x14ac:dyDescent="0.25">
      <c r="M472" s="40"/>
    </row>
    <row r="473" spans="13:13" ht="15.75" customHeight="1" x14ac:dyDescent="0.25">
      <c r="M473" s="40"/>
    </row>
    <row r="474" spans="13:13" ht="15.75" customHeight="1" x14ac:dyDescent="0.25">
      <c r="M474" s="40"/>
    </row>
    <row r="475" spans="13:13" ht="15.75" customHeight="1" x14ac:dyDescent="0.25">
      <c r="M475" s="40"/>
    </row>
    <row r="476" spans="13:13" ht="15.75" customHeight="1" x14ac:dyDescent="0.25">
      <c r="M476" s="40"/>
    </row>
    <row r="477" spans="13:13" ht="15.75" customHeight="1" x14ac:dyDescent="0.25">
      <c r="M477" s="40"/>
    </row>
    <row r="478" spans="13:13" ht="15.75" customHeight="1" x14ac:dyDescent="0.25">
      <c r="M478" s="40"/>
    </row>
    <row r="479" spans="13:13" ht="15.75" customHeight="1" x14ac:dyDescent="0.25">
      <c r="M479" s="40"/>
    </row>
    <row r="480" spans="13:13" ht="15.75" customHeight="1" x14ac:dyDescent="0.25">
      <c r="M480" s="40"/>
    </row>
    <row r="481" spans="13:13" ht="15.75" customHeight="1" x14ac:dyDescent="0.25">
      <c r="M481" s="40"/>
    </row>
    <row r="482" spans="13:13" ht="15.75" customHeight="1" x14ac:dyDescent="0.25">
      <c r="M482" s="40"/>
    </row>
    <row r="483" spans="13:13" ht="15.75" customHeight="1" x14ac:dyDescent="0.25">
      <c r="M483" s="40"/>
    </row>
    <row r="484" spans="13:13" ht="15.75" customHeight="1" x14ac:dyDescent="0.25">
      <c r="M484" s="40"/>
    </row>
    <row r="485" spans="13:13" ht="15.75" customHeight="1" x14ac:dyDescent="0.25">
      <c r="M485" s="40"/>
    </row>
    <row r="486" spans="13:13" ht="15.75" customHeight="1" x14ac:dyDescent="0.25">
      <c r="M486" s="40"/>
    </row>
    <row r="487" spans="13:13" ht="15.75" customHeight="1" x14ac:dyDescent="0.25">
      <c r="M487" s="40"/>
    </row>
    <row r="488" spans="13:13" ht="15.75" customHeight="1" x14ac:dyDescent="0.25">
      <c r="M488" s="40"/>
    </row>
    <row r="489" spans="13:13" ht="15.75" customHeight="1" x14ac:dyDescent="0.25">
      <c r="M489" s="40"/>
    </row>
    <row r="490" spans="13:13" ht="15.75" customHeight="1" x14ac:dyDescent="0.25">
      <c r="M490" s="40"/>
    </row>
    <row r="491" spans="13:13" ht="15.75" customHeight="1" x14ac:dyDescent="0.25">
      <c r="M491" s="40"/>
    </row>
    <row r="492" spans="13:13" ht="15.75" customHeight="1" x14ac:dyDescent="0.25">
      <c r="M492" s="40"/>
    </row>
    <row r="493" spans="13:13" ht="15.75" customHeight="1" x14ac:dyDescent="0.25">
      <c r="M493" s="40"/>
    </row>
    <row r="494" spans="13:13" ht="15.75" customHeight="1" x14ac:dyDescent="0.25">
      <c r="M494" s="40"/>
    </row>
    <row r="495" spans="13:13" ht="15.75" customHeight="1" x14ac:dyDescent="0.25">
      <c r="M495" s="40"/>
    </row>
    <row r="496" spans="13:13" ht="15.75" customHeight="1" x14ac:dyDescent="0.25">
      <c r="M496" s="40"/>
    </row>
    <row r="497" spans="13:13" ht="15.75" customHeight="1" x14ac:dyDescent="0.25">
      <c r="M497" s="40"/>
    </row>
    <row r="498" spans="13:13" ht="15.75" customHeight="1" x14ac:dyDescent="0.25">
      <c r="M498" s="40"/>
    </row>
    <row r="499" spans="13:13" ht="15.75" customHeight="1" x14ac:dyDescent="0.25">
      <c r="M499" s="40"/>
    </row>
    <row r="500" spans="13:13" ht="15.75" customHeight="1" x14ac:dyDescent="0.25">
      <c r="M500" s="40"/>
    </row>
    <row r="501" spans="13:13" ht="15.75" customHeight="1" x14ac:dyDescent="0.25">
      <c r="M501" s="40"/>
    </row>
    <row r="502" spans="13:13" ht="15.75" customHeight="1" x14ac:dyDescent="0.25">
      <c r="M502" s="40"/>
    </row>
    <row r="503" spans="13:13" ht="15.75" customHeight="1" x14ac:dyDescent="0.25">
      <c r="M503" s="40"/>
    </row>
    <row r="504" spans="13:13" ht="15.75" customHeight="1" x14ac:dyDescent="0.25">
      <c r="M504" s="40"/>
    </row>
    <row r="505" spans="13:13" ht="15.75" customHeight="1" x14ac:dyDescent="0.25">
      <c r="M505" s="40"/>
    </row>
    <row r="506" spans="13:13" ht="15.75" customHeight="1" x14ac:dyDescent="0.25">
      <c r="M506" s="40"/>
    </row>
    <row r="507" spans="13:13" ht="15.75" customHeight="1" x14ac:dyDescent="0.25">
      <c r="M507" s="40"/>
    </row>
    <row r="508" spans="13:13" ht="15.75" customHeight="1" x14ac:dyDescent="0.25">
      <c r="M508" s="40"/>
    </row>
    <row r="509" spans="13:13" ht="15.75" customHeight="1" x14ac:dyDescent="0.25">
      <c r="M509" s="40"/>
    </row>
    <row r="510" spans="13:13" ht="15.75" customHeight="1" x14ac:dyDescent="0.25">
      <c r="M510" s="40"/>
    </row>
    <row r="511" spans="13:13" ht="15.75" customHeight="1" x14ac:dyDescent="0.25">
      <c r="M511" s="40"/>
    </row>
    <row r="512" spans="13:13" ht="15.75" customHeight="1" x14ac:dyDescent="0.25">
      <c r="M512" s="40"/>
    </row>
    <row r="513" spans="13:13" ht="15.75" customHeight="1" x14ac:dyDescent="0.25">
      <c r="M513" s="40"/>
    </row>
    <row r="514" spans="13:13" ht="15.75" customHeight="1" x14ac:dyDescent="0.25">
      <c r="M514" s="40"/>
    </row>
    <row r="515" spans="13:13" ht="15.75" customHeight="1" x14ac:dyDescent="0.25">
      <c r="M515" s="40"/>
    </row>
    <row r="516" spans="13:13" ht="15.75" customHeight="1" x14ac:dyDescent="0.25">
      <c r="M516" s="40"/>
    </row>
    <row r="517" spans="13:13" ht="15.75" customHeight="1" x14ac:dyDescent="0.25">
      <c r="M517" s="40"/>
    </row>
    <row r="518" spans="13:13" ht="15.75" customHeight="1" x14ac:dyDescent="0.25">
      <c r="M518" s="40"/>
    </row>
    <row r="519" spans="13:13" ht="15.75" customHeight="1" x14ac:dyDescent="0.25">
      <c r="M519" s="40"/>
    </row>
    <row r="520" spans="13:13" ht="15.75" customHeight="1" x14ac:dyDescent="0.25">
      <c r="M520" s="40"/>
    </row>
    <row r="521" spans="13:13" ht="15.75" customHeight="1" x14ac:dyDescent="0.25">
      <c r="M521" s="40"/>
    </row>
    <row r="522" spans="13:13" ht="15.75" customHeight="1" x14ac:dyDescent="0.25">
      <c r="M522" s="40"/>
    </row>
    <row r="523" spans="13:13" ht="15.75" customHeight="1" x14ac:dyDescent="0.25">
      <c r="M523" s="40"/>
    </row>
    <row r="524" spans="13:13" ht="15.75" customHeight="1" x14ac:dyDescent="0.25">
      <c r="M524" s="40"/>
    </row>
    <row r="525" spans="13:13" ht="15.75" customHeight="1" x14ac:dyDescent="0.25">
      <c r="M525" s="40"/>
    </row>
    <row r="526" spans="13:13" ht="15.75" customHeight="1" x14ac:dyDescent="0.25">
      <c r="M526" s="40"/>
    </row>
    <row r="527" spans="13:13" ht="15.75" customHeight="1" x14ac:dyDescent="0.25">
      <c r="M527" s="40"/>
    </row>
    <row r="528" spans="13:13" ht="15.75" customHeight="1" x14ac:dyDescent="0.25">
      <c r="M528" s="40"/>
    </row>
    <row r="529" spans="13:13" ht="15.75" customHeight="1" x14ac:dyDescent="0.25">
      <c r="M529" s="40"/>
    </row>
    <row r="530" spans="13:13" ht="15.75" customHeight="1" x14ac:dyDescent="0.25">
      <c r="M530" s="40"/>
    </row>
    <row r="531" spans="13:13" ht="15.75" customHeight="1" x14ac:dyDescent="0.25">
      <c r="M531" s="40"/>
    </row>
    <row r="532" spans="13:13" ht="15.75" customHeight="1" x14ac:dyDescent="0.25">
      <c r="M532" s="40"/>
    </row>
    <row r="533" spans="13:13" ht="15.75" customHeight="1" x14ac:dyDescent="0.25">
      <c r="M533" s="40"/>
    </row>
    <row r="534" spans="13:13" ht="15.75" customHeight="1" x14ac:dyDescent="0.25">
      <c r="M534" s="40"/>
    </row>
    <row r="535" spans="13:13" ht="15.75" customHeight="1" x14ac:dyDescent="0.25">
      <c r="M535" s="40"/>
    </row>
    <row r="536" spans="13:13" ht="15.75" customHeight="1" x14ac:dyDescent="0.25">
      <c r="M536" s="40"/>
    </row>
    <row r="537" spans="13:13" ht="15.75" customHeight="1" x14ac:dyDescent="0.25">
      <c r="M537" s="40"/>
    </row>
    <row r="538" spans="13:13" ht="15.75" customHeight="1" x14ac:dyDescent="0.25">
      <c r="M538" s="40"/>
    </row>
    <row r="539" spans="13:13" ht="15.75" customHeight="1" x14ac:dyDescent="0.25">
      <c r="M539" s="40"/>
    </row>
    <row r="540" spans="13:13" ht="15.75" customHeight="1" x14ac:dyDescent="0.25">
      <c r="M540" s="40"/>
    </row>
    <row r="541" spans="13:13" ht="15.75" customHeight="1" x14ac:dyDescent="0.25">
      <c r="M541" s="40"/>
    </row>
    <row r="542" spans="13:13" ht="15.75" customHeight="1" x14ac:dyDescent="0.25">
      <c r="M542" s="40"/>
    </row>
    <row r="543" spans="13:13" ht="15.75" customHeight="1" x14ac:dyDescent="0.25">
      <c r="M543" s="40"/>
    </row>
    <row r="544" spans="13:13" ht="15.75" customHeight="1" x14ac:dyDescent="0.25">
      <c r="M544" s="40"/>
    </row>
    <row r="545" spans="13:13" ht="15.75" customHeight="1" x14ac:dyDescent="0.25">
      <c r="M545" s="40"/>
    </row>
    <row r="546" spans="13:13" ht="15.75" customHeight="1" x14ac:dyDescent="0.25">
      <c r="M546" s="40"/>
    </row>
    <row r="547" spans="13:13" ht="15.75" customHeight="1" x14ac:dyDescent="0.25">
      <c r="M547" s="40"/>
    </row>
    <row r="548" spans="13:13" ht="15.75" customHeight="1" x14ac:dyDescent="0.25">
      <c r="M548" s="40"/>
    </row>
    <row r="549" spans="13:13" ht="15.75" customHeight="1" x14ac:dyDescent="0.25">
      <c r="M549" s="40"/>
    </row>
    <row r="550" spans="13:13" ht="15.75" customHeight="1" x14ac:dyDescent="0.25">
      <c r="M550" s="40"/>
    </row>
    <row r="551" spans="13:13" ht="15.75" customHeight="1" x14ac:dyDescent="0.25">
      <c r="M551" s="40"/>
    </row>
    <row r="552" spans="13:13" ht="15.75" customHeight="1" x14ac:dyDescent="0.25">
      <c r="M552" s="40"/>
    </row>
    <row r="553" spans="13:13" ht="15.75" customHeight="1" x14ac:dyDescent="0.25">
      <c r="M553" s="40"/>
    </row>
    <row r="554" spans="13:13" ht="15.75" customHeight="1" x14ac:dyDescent="0.25">
      <c r="M554" s="40"/>
    </row>
    <row r="555" spans="13:13" ht="15.75" customHeight="1" x14ac:dyDescent="0.25">
      <c r="M555" s="40"/>
    </row>
    <row r="556" spans="13:13" ht="15.75" customHeight="1" x14ac:dyDescent="0.25">
      <c r="M556" s="40"/>
    </row>
    <row r="557" spans="13:13" ht="15.75" customHeight="1" x14ac:dyDescent="0.25">
      <c r="M557" s="40"/>
    </row>
    <row r="558" spans="13:13" ht="15.75" customHeight="1" x14ac:dyDescent="0.25">
      <c r="M558" s="40"/>
    </row>
    <row r="559" spans="13:13" ht="15.75" customHeight="1" x14ac:dyDescent="0.25">
      <c r="M559" s="40"/>
    </row>
    <row r="560" spans="13:13" ht="15.75" customHeight="1" x14ac:dyDescent="0.25">
      <c r="M560" s="40"/>
    </row>
    <row r="561" spans="13:13" ht="15.75" customHeight="1" x14ac:dyDescent="0.25">
      <c r="M561" s="40"/>
    </row>
    <row r="562" spans="13:13" ht="15.75" customHeight="1" x14ac:dyDescent="0.25">
      <c r="M562" s="40"/>
    </row>
    <row r="563" spans="13:13" ht="15.75" customHeight="1" x14ac:dyDescent="0.25">
      <c r="M563" s="40"/>
    </row>
    <row r="564" spans="13:13" ht="15.75" customHeight="1" x14ac:dyDescent="0.25">
      <c r="M564" s="40"/>
    </row>
    <row r="565" spans="13:13" ht="15.75" customHeight="1" x14ac:dyDescent="0.25">
      <c r="M565" s="40"/>
    </row>
    <row r="566" spans="13:13" ht="15.75" customHeight="1" x14ac:dyDescent="0.25">
      <c r="M566" s="40"/>
    </row>
    <row r="567" spans="13:13" ht="15.75" customHeight="1" x14ac:dyDescent="0.25">
      <c r="M567" s="40"/>
    </row>
    <row r="568" spans="13:13" ht="15.75" customHeight="1" x14ac:dyDescent="0.25">
      <c r="M568" s="40"/>
    </row>
    <row r="569" spans="13:13" ht="15.75" customHeight="1" x14ac:dyDescent="0.25">
      <c r="M569" s="40"/>
    </row>
    <row r="570" spans="13:13" ht="15.75" customHeight="1" x14ac:dyDescent="0.25">
      <c r="M570" s="40"/>
    </row>
    <row r="571" spans="13:13" ht="15.75" customHeight="1" x14ac:dyDescent="0.25">
      <c r="M571" s="40"/>
    </row>
    <row r="572" spans="13:13" ht="15.75" customHeight="1" x14ac:dyDescent="0.25">
      <c r="M572" s="40"/>
    </row>
    <row r="573" spans="13:13" ht="15.75" customHeight="1" x14ac:dyDescent="0.25">
      <c r="M573" s="40"/>
    </row>
    <row r="574" spans="13:13" ht="15.75" customHeight="1" x14ac:dyDescent="0.25">
      <c r="M574" s="40"/>
    </row>
    <row r="575" spans="13:13" ht="15.75" customHeight="1" x14ac:dyDescent="0.25">
      <c r="M575" s="40"/>
    </row>
    <row r="576" spans="13:13" ht="15.75" customHeight="1" x14ac:dyDescent="0.25">
      <c r="M576" s="40"/>
    </row>
    <row r="577" spans="13:13" ht="15.75" customHeight="1" x14ac:dyDescent="0.25">
      <c r="M577" s="40"/>
    </row>
    <row r="578" spans="13:13" ht="15.75" customHeight="1" x14ac:dyDescent="0.25">
      <c r="M578" s="40"/>
    </row>
    <row r="579" spans="13:13" ht="15.75" customHeight="1" x14ac:dyDescent="0.25">
      <c r="M579" s="40"/>
    </row>
    <row r="580" spans="13:13" ht="15.75" customHeight="1" x14ac:dyDescent="0.25">
      <c r="M580" s="40"/>
    </row>
    <row r="581" spans="13:13" ht="15.75" customHeight="1" x14ac:dyDescent="0.25">
      <c r="M581" s="40"/>
    </row>
    <row r="582" spans="13:13" ht="15.75" customHeight="1" x14ac:dyDescent="0.25">
      <c r="M582" s="40"/>
    </row>
    <row r="583" spans="13:13" ht="15.75" customHeight="1" x14ac:dyDescent="0.25">
      <c r="M583" s="40"/>
    </row>
    <row r="584" spans="13:13" ht="15.75" customHeight="1" x14ac:dyDescent="0.25">
      <c r="M584" s="40"/>
    </row>
    <row r="585" spans="13:13" ht="15.75" customHeight="1" x14ac:dyDescent="0.25">
      <c r="M585" s="40"/>
    </row>
    <row r="586" spans="13:13" ht="15.75" customHeight="1" x14ac:dyDescent="0.25">
      <c r="M586" s="40"/>
    </row>
    <row r="587" spans="13:13" ht="15.75" customHeight="1" x14ac:dyDescent="0.25">
      <c r="M587" s="40"/>
    </row>
    <row r="588" spans="13:13" ht="15.75" customHeight="1" x14ac:dyDescent="0.25">
      <c r="M588" s="40"/>
    </row>
    <row r="589" spans="13:13" ht="15.75" customHeight="1" x14ac:dyDescent="0.25">
      <c r="M589" s="40"/>
    </row>
    <row r="590" spans="13:13" ht="15.75" customHeight="1" x14ac:dyDescent="0.25">
      <c r="M590" s="40"/>
    </row>
    <row r="591" spans="13:13" ht="15.75" customHeight="1" x14ac:dyDescent="0.25">
      <c r="M591" s="40"/>
    </row>
    <row r="592" spans="13:13" ht="15.75" customHeight="1" x14ac:dyDescent="0.25">
      <c r="M592" s="40"/>
    </row>
    <row r="593" spans="13:13" ht="15.75" customHeight="1" x14ac:dyDescent="0.25">
      <c r="M593" s="40"/>
    </row>
    <row r="594" spans="13:13" ht="15.75" customHeight="1" x14ac:dyDescent="0.25">
      <c r="M594" s="40"/>
    </row>
    <row r="595" spans="13:13" ht="15.75" customHeight="1" x14ac:dyDescent="0.25">
      <c r="M595" s="40"/>
    </row>
    <row r="596" spans="13:13" ht="15.75" customHeight="1" x14ac:dyDescent="0.25">
      <c r="M596" s="40"/>
    </row>
    <row r="597" spans="13:13" ht="15.75" customHeight="1" x14ac:dyDescent="0.25">
      <c r="M597" s="40"/>
    </row>
    <row r="598" spans="13:13" ht="15.75" customHeight="1" x14ac:dyDescent="0.25">
      <c r="M598" s="40"/>
    </row>
    <row r="599" spans="13:13" ht="15.75" customHeight="1" x14ac:dyDescent="0.25">
      <c r="M599" s="40"/>
    </row>
    <row r="600" spans="13:13" ht="15.75" customHeight="1" x14ac:dyDescent="0.25">
      <c r="M600" s="40"/>
    </row>
    <row r="601" spans="13:13" ht="15.75" customHeight="1" x14ac:dyDescent="0.25">
      <c r="M601" s="40"/>
    </row>
    <row r="602" spans="13:13" ht="15.75" customHeight="1" x14ac:dyDescent="0.25">
      <c r="M602" s="40"/>
    </row>
    <row r="603" spans="13:13" ht="15.75" customHeight="1" x14ac:dyDescent="0.25">
      <c r="M603" s="40"/>
    </row>
    <row r="604" spans="13:13" ht="15.75" customHeight="1" x14ac:dyDescent="0.25">
      <c r="M604" s="40"/>
    </row>
    <row r="605" spans="13:13" ht="15.75" customHeight="1" x14ac:dyDescent="0.25">
      <c r="M605" s="40"/>
    </row>
    <row r="606" spans="13:13" ht="15.75" customHeight="1" x14ac:dyDescent="0.25">
      <c r="M606" s="40"/>
    </row>
    <row r="607" spans="13:13" ht="15.75" customHeight="1" x14ac:dyDescent="0.25">
      <c r="M607" s="40"/>
    </row>
    <row r="608" spans="13:13" ht="15.75" customHeight="1" x14ac:dyDescent="0.25">
      <c r="M608" s="40"/>
    </row>
    <row r="609" spans="13:13" ht="15.75" customHeight="1" x14ac:dyDescent="0.25">
      <c r="M609" s="40"/>
    </row>
    <row r="610" spans="13:13" ht="15.75" customHeight="1" x14ac:dyDescent="0.25">
      <c r="M610" s="40"/>
    </row>
    <row r="611" spans="13:13" ht="15.75" customHeight="1" x14ac:dyDescent="0.25">
      <c r="M611" s="40"/>
    </row>
    <row r="612" spans="13:13" ht="15.75" customHeight="1" x14ac:dyDescent="0.25">
      <c r="M612" s="40"/>
    </row>
    <row r="613" spans="13:13" ht="15.75" customHeight="1" x14ac:dyDescent="0.25">
      <c r="M613" s="40"/>
    </row>
    <row r="614" spans="13:13" ht="15.75" customHeight="1" x14ac:dyDescent="0.25">
      <c r="M614" s="40"/>
    </row>
    <row r="615" spans="13:13" ht="15.75" customHeight="1" x14ac:dyDescent="0.25">
      <c r="M615" s="40"/>
    </row>
    <row r="616" spans="13:13" ht="15.75" customHeight="1" x14ac:dyDescent="0.25">
      <c r="M616" s="40"/>
    </row>
    <row r="617" spans="13:13" ht="15.75" customHeight="1" x14ac:dyDescent="0.25">
      <c r="M617" s="40"/>
    </row>
    <row r="618" spans="13:13" ht="15.75" customHeight="1" x14ac:dyDescent="0.25">
      <c r="M618" s="40"/>
    </row>
    <row r="619" spans="13:13" ht="15.75" customHeight="1" x14ac:dyDescent="0.25">
      <c r="M619" s="40"/>
    </row>
    <row r="620" spans="13:13" ht="15.75" customHeight="1" x14ac:dyDescent="0.25">
      <c r="M620" s="40"/>
    </row>
    <row r="621" spans="13:13" ht="15.75" customHeight="1" x14ac:dyDescent="0.25">
      <c r="M621" s="40"/>
    </row>
    <row r="622" spans="13:13" ht="15.75" customHeight="1" x14ac:dyDescent="0.25">
      <c r="M622" s="40"/>
    </row>
    <row r="623" spans="13:13" ht="15.75" customHeight="1" x14ac:dyDescent="0.25">
      <c r="M623" s="40"/>
    </row>
    <row r="624" spans="13:13" ht="15.75" customHeight="1" x14ac:dyDescent="0.25">
      <c r="M624" s="40"/>
    </row>
    <row r="625" spans="13:13" ht="15.75" customHeight="1" x14ac:dyDescent="0.25">
      <c r="M625" s="40"/>
    </row>
    <row r="626" spans="13:13" ht="15.75" customHeight="1" x14ac:dyDescent="0.25">
      <c r="M626" s="40"/>
    </row>
    <row r="627" spans="13:13" ht="15.75" customHeight="1" x14ac:dyDescent="0.25">
      <c r="M627" s="40"/>
    </row>
    <row r="628" spans="13:13" ht="15.75" customHeight="1" x14ac:dyDescent="0.25">
      <c r="M628" s="40"/>
    </row>
    <row r="629" spans="13:13" ht="15.75" customHeight="1" x14ac:dyDescent="0.25">
      <c r="M629" s="40"/>
    </row>
    <row r="630" spans="13:13" ht="15.75" customHeight="1" x14ac:dyDescent="0.25">
      <c r="M630" s="40"/>
    </row>
    <row r="631" spans="13:13" ht="15.75" customHeight="1" x14ac:dyDescent="0.25">
      <c r="M631" s="40"/>
    </row>
    <row r="632" spans="13:13" ht="15.75" customHeight="1" x14ac:dyDescent="0.25">
      <c r="M632" s="40"/>
    </row>
    <row r="633" spans="13:13" ht="15.75" customHeight="1" x14ac:dyDescent="0.25">
      <c r="M633" s="40"/>
    </row>
    <row r="634" spans="13:13" ht="15.75" customHeight="1" x14ac:dyDescent="0.25">
      <c r="M634" s="40"/>
    </row>
    <row r="635" spans="13:13" ht="15.75" customHeight="1" x14ac:dyDescent="0.25">
      <c r="M635" s="40"/>
    </row>
    <row r="636" spans="13:13" ht="15.75" customHeight="1" x14ac:dyDescent="0.25">
      <c r="M636" s="40"/>
    </row>
    <row r="637" spans="13:13" ht="15.75" customHeight="1" x14ac:dyDescent="0.25">
      <c r="M637" s="40"/>
    </row>
    <row r="638" spans="13:13" ht="15.75" customHeight="1" x14ac:dyDescent="0.25">
      <c r="M638" s="40"/>
    </row>
    <row r="639" spans="13:13" ht="15.75" customHeight="1" x14ac:dyDescent="0.25">
      <c r="M639" s="40"/>
    </row>
    <row r="640" spans="13:13" ht="15.75" customHeight="1" x14ac:dyDescent="0.25">
      <c r="M640" s="40"/>
    </row>
    <row r="641" spans="13:13" ht="15.75" customHeight="1" x14ac:dyDescent="0.25">
      <c r="M641" s="40"/>
    </row>
    <row r="642" spans="13:13" ht="15.75" customHeight="1" x14ac:dyDescent="0.25">
      <c r="M642" s="40"/>
    </row>
    <row r="643" spans="13:13" ht="15.75" customHeight="1" x14ac:dyDescent="0.25">
      <c r="M643" s="40"/>
    </row>
    <row r="644" spans="13:13" ht="15.75" customHeight="1" x14ac:dyDescent="0.25">
      <c r="M644" s="40"/>
    </row>
    <row r="645" spans="13:13" ht="15.75" customHeight="1" x14ac:dyDescent="0.25">
      <c r="M645" s="40"/>
    </row>
    <row r="646" spans="13:13" ht="15.75" customHeight="1" x14ac:dyDescent="0.25">
      <c r="M646" s="40"/>
    </row>
    <row r="647" spans="13:13" ht="15.75" customHeight="1" x14ac:dyDescent="0.25">
      <c r="M647" s="40"/>
    </row>
    <row r="648" spans="13:13" ht="15.75" customHeight="1" x14ac:dyDescent="0.25">
      <c r="M648" s="40"/>
    </row>
    <row r="649" spans="13:13" ht="15.75" customHeight="1" x14ac:dyDescent="0.25">
      <c r="M649" s="40"/>
    </row>
    <row r="650" spans="13:13" ht="15.75" customHeight="1" x14ac:dyDescent="0.25">
      <c r="M650" s="40"/>
    </row>
    <row r="651" spans="13:13" ht="15.75" customHeight="1" x14ac:dyDescent="0.25">
      <c r="M651" s="40"/>
    </row>
    <row r="652" spans="13:13" ht="15.75" customHeight="1" x14ac:dyDescent="0.25">
      <c r="M652" s="40"/>
    </row>
    <row r="653" spans="13:13" ht="15.75" customHeight="1" x14ac:dyDescent="0.25">
      <c r="M653" s="40"/>
    </row>
    <row r="654" spans="13:13" ht="15.75" customHeight="1" x14ac:dyDescent="0.25">
      <c r="M654" s="40"/>
    </row>
    <row r="655" spans="13:13" ht="15.75" customHeight="1" x14ac:dyDescent="0.25">
      <c r="M655" s="40"/>
    </row>
    <row r="656" spans="13:13" ht="15.75" customHeight="1" x14ac:dyDescent="0.25">
      <c r="M656" s="40"/>
    </row>
    <row r="657" spans="13:13" ht="15.75" customHeight="1" x14ac:dyDescent="0.25">
      <c r="M657" s="40"/>
    </row>
    <row r="658" spans="13:13" ht="15.75" customHeight="1" x14ac:dyDescent="0.25">
      <c r="M658" s="40"/>
    </row>
    <row r="659" spans="13:13" ht="15.75" customHeight="1" x14ac:dyDescent="0.25">
      <c r="M659" s="40"/>
    </row>
    <row r="660" spans="13:13" ht="15.75" customHeight="1" x14ac:dyDescent="0.25">
      <c r="M660" s="40"/>
    </row>
    <row r="661" spans="13:13" ht="15.75" customHeight="1" x14ac:dyDescent="0.25">
      <c r="M661" s="40"/>
    </row>
    <row r="662" spans="13:13" ht="15.75" customHeight="1" x14ac:dyDescent="0.25">
      <c r="M662" s="40"/>
    </row>
    <row r="663" spans="13:13" ht="15.75" customHeight="1" x14ac:dyDescent="0.25">
      <c r="M663" s="40"/>
    </row>
    <row r="664" spans="13:13" ht="15.75" customHeight="1" x14ac:dyDescent="0.25">
      <c r="M664" s="40"/>
    </row>
    <row r="665" spans="13:13" ht="15.75" customHeight="1" x14ac:dyDescent="0.25">
      <c r="M665" s="40"/>
    </row>
    <row r="666" spans="13:13" ht="15.75" customHeight="1" x14ac:dyDescent="0.25">
      <c r="M666" s="40"/>
    </row>
    <row r="667" spans="13:13" ht="15.75" customHeight="1" x14ac:dyDescent="0.25">
      <c r="M667" s="40"/>
    </row>
    <row r="668" spans="13:13" ht="15.75" customHeight="1" x14ac:dyDescent="0.25">
      <c r="M668" s="40"/>
    </row>
    <row r="669" spans="13:13" ht="15.75" customHeight="1" x14ac:dyDescent="0.25">
      <c r="M669" s="40"/>
    </row>
    <row r="670" spans="13:13" ht="15.75" customHeight="1" x14ac:dyDescent="0.25">
      <c r="M670" s="40"/>
    </row>
    <row r="671" spans="13:13" ht="15.75" customHeight="1" x14ac:dyDescent="0.25">
      <c r="M671" s="40"/>
    </row>
    <row r="672" spans="13:13" ht="15.75" customHeight="1" x14ac:dyDescent="0.25">
      <c r="M672" s="40"/>
    </row>
    <row r="673" spans="13:13" ht="15.75" customHeight="1" x14ac:dyDescent="0.25">
      <c r="M673" s="40"/>
    </row>
    <row r="674" spans="13:13" ht="15.75" customHeight="1" x14ac:dyDescent="0.25">
      <c r="M674" s="40"/>
    </row>
    <row r="675" spans="13:13" ht="15.75" customHeight="1" x14ac:dyDescent="0.25">
      <c r="M675" s="40"/>
    </row>
    <row r="676" spans="13:13" ht="15.75" customHeight="1" x14ac:dyDescent="0.25">
      <c r="M676" s="40"/>
    </row>
    <row r="677" spans="13:13" ht="15.75" customHeight="1" x14ac:dyDescent="0.25">
      <c r="M677" s="40"/>
    </row>
    <row r="678" spans="13:13" ht="15.75" customHeight="1" x14ac:dyDescent="0.25">
      <c r="M678" s="40"/>
    </row>
    <row r="679" spans="13:13" ht="15.75" customHeight="1" x14ac:dyDescent="0.25">
      <c r="M679" s="40"/>
    </row>
    <row r="680" spans="13:13" ht="15.75" customHeight="1" x14ac:dyDescent="0.25">
      <c r="M680" s="40"/>
    </row>
    <row r="681" spans="13:13" ht="15.75" customHeight="1" x14ac:dyDescent="0.25">
      <c r="M681" s="40"/>
    </row>
    <row r="682" spans="13:13" ht="15.75" customHeight="1" x14ac:dyDescent="0.25">
      <c r="M682" s="40"/>
    </row>
    <row r="683" spans="13:13" ht="15.75" customHeight="1" x14ac:dyDescent="0.25">
      <c r="M683" s="40"/>
    </row>
    <row r="684" spans="13:13" ht="15.75" customHeight="1" x14ac:dyDescent="0.25">
      <c r="M684" s="40"/>
    </row>
    <row r="685" spans="13:13" ht="15.75" customHeight="1" x14ac:dyDescent="0.25">
      <c r="M685" s="40"/>
    </row>
    <row r="686" spans="13:13" ht="15.75" customHeight="1" x14ac:dyDescent="0.25">
      <c r="M686" s="40"/>
    </row>
    <row r="687" spans="13:13" ht="15.75" customHeight="1" x14ac:dyDescent="0.25">
      <c r="M687" s="40"/>
    </row>
    <row r="688" spans="13:13" ht="15.75" customHeight="1" x14ac:dyDescent="0.25">
      <c r="M688" s="40"/>
    </row>
    <row r="689" spans="13:13" ht="15.75" customHeight="1" x14ac:dyDescent="0.25">
      <c r="M689" s="40"/>
    </row>
    <row r="690" spans="13:13" ht="15.75" customHeight="1" x14ac:dyDescent="0.25">
      <c r="M690" s="40"/>
    </row>
    <row r="691" spans="13:13" ht="15.75" customHeight="1" x14ac:dyDescent="0.25">
      <c r="M691" s="40"/>
    </row>
    <row r="692" spans="13:13" ht="15.75" customHeight="1" x14ac:dyDescent="0.25">
      <c r="M692" s="40"/>
    </row>
    <row r="693" spans="13:13" ht="15.75" customHeight="1" x14ac:dyDescent="0.25">
      <c r="M693" s="40"/>
    </row>
    <row r="694" spans="13:13" ht="15.75" customHeight="1" x14ac:dyDescent="0.25">
      <c r="M694" s="40"/>
    </row>
    <row r="695" spans="13:13" ht="15.75" customHeight="1" x14ac:dyDescent="0.25">
      <c r="M695" s="40"/>
    </row>
    <row r="696" spans="13:13" ht="15.75" customHeight="1" x14ac:dyDescent="0.25">
      <c r="M696" s="40"/>
    </row>
    <row r="697" spans="13:13" ht="15.75" customHeight="1" x14ac:dyDescent="0.25">
      <c r="M697" s="40"/>
    </row>
    <row r="698" spans="13:13" ht="15.75" customHeight="1" x14ac:dyDescent="0.25">
      <c r="M698" s="40"/>
    </row>
    <row r="699" spans="13:13" ht="15.75" customHeight="1" x14ac:dyDescent="0.25">
      <c r="M699" s="40"/>
    </row>
    <row r="700" spans="13:13" ht="15.75" customHeight="1" x14ac:dyDescent="0.25">
      <c r="M700" s="40"/>
    </row>
    <row r="701" spans="13:13" ht="15.75" customHeight="1" x14ac:dyDescent="0.25">
      <c r="M701" s="40"/>
    </row>
    <row r="702" spans="13:13" ht="15.75" customHeight="1" x14ac:dyDescent="0.25">
      <c r="M702" s="40"/>
    </row>
    <row r="703" spans="13:13" ht="15.75" customHeight="1" x14ac:dyDescent="0.25">
      <c r="M703" s="40"/>
    </row>
    <row r="704" spans="13:13" ht="15.75" customHeight="1" x14ac:dyDescent="0.25">
      <c r="M704" s="40"/>
    </row>
    <row r="705" spans="13:13" ht="15.75" customHeight="1" x14ac:dyDescent="0.25">
      <c r="M705" s="40"/>
    </row>
    <row r="706" spans="13:13" ht="15.75" customHeight="1" x14ac:dyDescent="0.25">
      <c r="M706" s="40"/>
    </row>
    <row r="707" spans="13:13" ht="15.75" customHeight="1" x14ac:dyDescent="0.25">
      <c r="M707" s="40"/>
    </row>
    <row r="708" spans="13:13" ht="15.75" customHeight="1" x14ac:dyDescent="0.25">
      <c r="M708" s="40"/>
    </row>
    <row r="709" spans="13:13" ht="15.75" customHeight="1" x14ac:dyDescent="0.25">
      <c r="M709" s="40"/>
    </row>
    <row r="710" spans="13:13" ht="15.75" customHeight="1" x14ac:dyDescent="0.25">
      <c r="M710" s="40"/>
    </row>
    <row r="711" spans="13:13" ht="15.75" customHeight="1" x14ac:dyDescent="0.25">
      <c r="M711" s="40"/>
    </row>
    <row r="712" spans="13:13" ht="15.75" customHeight="1" x14ac:dyDescent="0.25">
      <c r="M712" s="40"/>
    </row>
    <row r="713" spans="13:13" ht="15.75" customHeight="1" x14ac:dyDescent="0.25">
      <c r="M713" s="40"/>
    </row>
    <row r="714" spans="13:13" ht="15.75" customHeight="1" x14ac:dyDescent="0.25">
      <c r="M714" s="40"/>
    </row>
    <row r="715" spans="13:13" ht="15.75" customHeight="1" x14ac:dyDescent="0.25">
      <c r="M715" s="40"/>
    </row>
    <row r="716" spans="13:13" ht="15.75" customHeight="1" x14ac:dyDescent="0.25">
      <c r="M716" s="40"/>
    </row>
    <row r="717" spans="13:13" ht="15.75" customHeight="1" x14ac:dyDescent="0.25">
      <c r="M717" s="40"/>
    </row>
    <row r="718" spans="13:13" ht="15.75" customHeight="1" x14ac:dyDescent="0.25">
      <c r="M718" s="40"/>
    </row>
    <row r="719" spans="13:13" ht="15.75" customHeight="1" x14ac:dyDescent="0.25">
      <c r="M719" s="40"/>
    </row>
    <row r="720" spans="13:13" ht="15.75" customHeight="1" x14ac:dyDescent="0.25">
      <c r="M720" s="40"/>
    </row>
    <row r="721" spans="13:13" ht="15.75" customHeight="1" x14ac:dyDescent="0.25">
      <c r="M721" s="40"/>
    </row>
    <row r="722" spans="13:13" ht="15.75" customHeight="1" x14ac:dyDescent="0.25">
      <c r="M722" s="40"/>
    </row>
    <row r="723" spans="13:13" ht="15.75" customHeight="1" x14ac:dyDescent="0.25">
      <c r="M723" s="40"/>
    </row>
    <row r="724" spans="13:13" ht="15.75" customHeight="1" x14ac:dyDescent="0.25">
      <c r="M724" s="40"/>
    </row>
    <row r="725" spans="13:13" ht="15.75" customHeight="1" x14ac:dyDescent="0.25">
      <c r="M725" s="40"/>
    </row>
    <row r="726" spans="13:13" ht="15.75" customHeight="1" x14ac:dyDescent="0.25">
      <c r="M726" s="40"/>
    </row>
    <row r="727" spans="13:13" ht="15.75" customHeight="1" x14ac:dyDescent="0.25">
      <c r="M727" s="40"/>
    </row>
    <row r="728" spans="13:13" ht="15.75" customHeight="1" x14ac:dyDescent="0.25">
      <c r="M728" s="40"/>
    </row>
    <row r="729" spans="13:13" ht="15.75" customHeight="1" x14ac:dyDescent="0.25">
      <c r="M729" s="40"/>
    </row>
    <row r="730" spans="13:13" ht="15.75" customHeight="1" x14ac:dyDescent="0.25">
      <c r="M730" s="40"/>
    </row>
    <row r="731" spans="13:13" ht="15.75" customHeight="1" x14ac:dyDescent="0.25">
      <c r="M731" s="40"/>
    </row>
    <row r="732" spans="13:13" ht="15.75" customHeight="1" x14ac:dyDescent="0.25">
      <c r="M732" s="40"/>
    </row>
    <row r="733" spans="13:13" ht="15.75" customHeight="1" x14ac:dyDescent="0.25">
      <c r="M733" s="40"/>
    </row>
    <row r="734" spans="13:13" ht="15.75" customHeight="1" x14ac:dyDescent="0.25">
      <c r="M734" s="40"/>
    </row>
    <row r="735" spans="13:13" ht="15.75" customHeight="1" x14ac:dyDescent="0.25">
      <c r="M735" s="40"/>
    </row>
    <row r="736" spans="13:13" ht="15.75" customHeight="1" x14ac:dyDescent="0.25">
      <c r="M736" s="40"/>
    </row>
    <row r="737" spans="13:13" ht="15.75" customHeight="1" x14ac:dyDescent="0.25">
      <c r="M737" s="40"/>
    </row>
    <row r="738" spans="13:13" ht="15.75" customHeight="1" x14ac:dyDescent="0.25">
      <c r="M738" s="40"/>
    </row>
    <row r="739" spans="13:13" ht="15.75" customHeight="1" x14ac:dyDescent="0.25">
      <c r="M739" s="40"/>
    </row>
    <row r="740" spans="13:13" ht="15.75" customHeight="1" x14ac:dyDescent="0.25">
      <c r="M740" s="40"/>
    </row>
    <row r="741" spans="13:13" ht="15.75" customHeight="1" x14ac:dyDescent="0.25">
      <c r="M741" s="40"/>
    </row>
    <row r="742" spans="13:13" ht="15.75" customHeight="1" x14ac:dyDescent="0.25">
      <c r="M742" s="40"/>
    </row>
    <row r="743" spans="13:13" ht="15.75" customHeight="1" x14ac:dyDescent="0.25">
      <c r="M743" s="40"/>
    </row>
    <row r="744" spans="13:13" ht="15.75" customHeight="1" x14ac:dyDescent="0.25">
      <c r="M744" s="40"/>
    </row>
    <row r="745" spans="13:13" ht="15.75" customHeight="1" x14ac:dyDescent="0.25">
      <c r="M745" s="40"/>
    </row>
    <row r="746" spans="13:13" ht="15.75" customHeight="1" x14ac:dyDescent="0.25">
      <c r="M746" s="40"/>
    </row>
    <row r="747" spans="13:13" ht="15.75" customHeight="1" x14ac:dyDescent="0.25">
      <c r="M747" s="40"/>
    </row>
    <row r="748" spans="13:13" ht="15.75" customHeight="1" x14ac:dyDescent="0.25">
      <c r="M748" s="40"/>
    </row>
    <row r="749" spans="13:13" ht="15.75" customHeight="1" x14ac:dyDescent="0.25">
      <c r="M749" s="40"/>
    </row>
    <row r="750" spans="13:13" ht="15.75" customHeight="1" x14ac:dyDescent="0.25">
      <c r="M750" s="40"/>
    </row>
    <row r="751" spans="13:13" ht="15.75" customHeight="1" x14ac:dyDescent="0.25">
      <c r="M751" s="40"/>
    </row>
    <row r="752" spans="13:13" ht="15.75" customHeight="1" x14ac:dyDescent="0.25">
      <c r="M752" s="40"/>
    </row>
    <row r="753" spans="13:13" ht="15.75" customHeight="1" x14ac:dyDescent="0.25">
      <c r="M753" s="40"/>
    </row>
    <row r="754" spans="13:13" ht="15.75" customHeight="1" x14ac:dyDescent="0.25">
      <c r="M754" s="40"/>
    </row>
    <row r="755" spans="13:13" ht="15.75" customHeight="1" x14ac:dyDescent="0.25">
      <c r="M755" s="40"/>
    </row>
    <row r="756" spans="13:13" ht="15.75" customHeight="1" x14ac:dyDescent="0.25">
      <c r="M756" s="40"/>
    </row>
    <row r="757" spans="13:13" ht="15.75" customHeight="1" x14ac:dyDescent="0.25">
      <c r="M757" s="40"/>
    </row>
    <row r="758" spans="13:13" ht="15.75" customHeight="1" x14ac:dyDescent="0.25">
      <c r="M758" s="40"/>
    </row>
    <row r="759" spans="13:13" ht="15.75" customHeight="1" x14ac:dyDescent="0.25">
      <c r="M759" s="40"/>
    </row>
    <row r="760" spans="13:13" ht="15.75" customHeight="1" x14ac:dyDescent="0.25">
      <c r="M760" s="40"/>
    </row>
    <row r="761" spans="13:13" ht="15.75" customHeight="1" x14ac:dyDescent="0.25">
      <c r="M761" s="40"/>
    </row>
    <row r="762" spans="13:13" ht="15.75" customHeight="1" x14ac:dyDescent="0.25">
      <c r="M762" s="40"/>
    </row>
    <row r="763" spans="13:13" ht="15.75" customHeight="1" x14ac:dyDescent="0.25">
      <c r="M763" s="40"/>
    </row>
    <row r="764" spans="13:13" ht="15.75" customHeight="1" x14ac:dyDescent="0.25">
      <c r="M764" s="40"/>
    </row>
    <row r="765" spans="13:13" ht="15.75" customHeight="1" x14ac:dyDescent="0.25">
      <c r="M765" s="40"/>
    </row>
    <row r="766" spans="13:13" ht="15.75" customHeight="1" x14ac:dyDescent="0.25">
      <c r="M766" s="40"/>
    </row>
    <row r="767" spans="13:13" ht="15.75" customHeight="1" x14ac:dyDescent="0.25">
      <c r="M767" s="40"/>
    </row>
    <row r="768" spans="13:13" ht="15.75" customHeight="1" x14ac:dyDescent="0.25">
      <c r="M768" s="40"/>
    </row>
    <row r="769" spans="13:13" ht="15.75" customHeight="1" x14ac:dyDescent="0.25">
      <c r="M769" s="40"/>
    </row>
    <row r="770" spans="13:13" ht="15.75" customHeight="1" x14ac:dyDescent="0.25">
      <c r="M770" s="40"/>
    </row>
    <row r="771" spans="13:13" ht="15.75" customHeight="1" x14ac:dyDescent="0.25">
      <c r="M771" s="40"/>
    </row>
    <row r="772" spans="13:13" ht="15.75" customHeight="1" x14ac:dyDescent="0.25">
      <c r="M772" s="40"/>
    </row>
    <row r="773" spans="13:13" ht="15.75" customHeight="1" x14ac:dyDescent="0.25">
      <c r="M773" s="40"/>
    </row>
    <row r="774" spans="13:13" ht="15.75" customHeight="1" x14ac:dyDescent="0.25">
      <c r="M774" s="40"/>
    </row>
    <row r="775" spans="13:13" ht="15.75" customHeight="1" x14ac:dyDescent="0.25">
      <c r="M775" s="40"/>
    </row>
    <row r="776" spans="13:13" ht="15.75" customHeight="1" x14ac:dyDescent="0.25">
      <c r="M776" s="40"/>
    </row>
    <row r="777" spans="13:13" ht="15.75" customHeight="1" x14ac:dyDescent="0.25">
      <c r="M777" s="40"/>
    </row>
    <row r="778" spans="13:13" ht="15.75" customHeight="1" x14ac:dyDescent="0.25">
      <c r="M778" s="40"/>
    </row>
    <row r="779" spans="13:13" ht="15.75" customHeight="1" x14ac:dyDescent="0.25">
      <c r="M779" s="40"/>
    </row>
    <row r="780" spans="13:13" ht="15.75" customHeight="1" x14ac:dyDescent="0.25">
      <c r="M780" s="40"/>
    </row>
    <row r="781" spans="13:13" ht="15.75" customHeight="1" x14ac:dyDescent="0.25">
      <c r="M781" s="40"/>
    </row>
    <row r="782" spans="13:13" ht="15.75" customHeight="1" x14ac:dyDescent="0.25">
      <c r="M782" s="40"/>
    </row>
    <row r="783" spans="13:13" ht="15.75" customHeight="1" x14ac:dyDescent="0.25">
      <c r="M783" s="40"/>
    </row>
    <row r="784" spans="13:13" ht="15.75" customHeight="1" x14ac:dyDescent="0.25">
      <c r="M784" s="40"/>
    </row>
    <row r="785" spans="13:13" ht="15.75" customHeight="1" x14ac:dyDescent="0.25">
      <c r="M785" s="40"/>
    </row>
    <row r="786" spans="13:13" ht="15.75" customHeight="1" x14ac:dyDescent="0.25">
      <c r="M786" s="40"/>
    </row>
    <row r="787" spans="13:13" ht="15.75" customHeight="1" x14ac:dyDescent="0.25">
      <c r="M787" s="40"/>
    </row>
    <row r="788" spans="13:13" ht="15.75" customHeight="1" x14ac:dyDescent="0.25">
      <c r="M788" s="40"/>
    </row>
    <row r="789" spans="13:13" ht="15.75" customHeight="1" x14ac:dyDescent="0.25">
      <c r="M789" s="40"/>
    </row>
    <row r="790" spans="13:13" ht="15.75" customHeight="1" x14ac:dyDescent="0.25">
      <c r="M790" s="40"/>
    </row>
    <row r="791" spans="13:13" ht="15.75" customHeight="1" x14ac:dyDescent="0.25">
      <c r="M791" s="40"/>
    </row>
    <row r="792" spans="13:13" ht="15.75" customHeight="1" x14ac:dyDescent="0.25">
      <c r="M792" s="40"/>
    </row>
    <row r="793" spans="13:13" ht="15.75" customHeight="1" x14ac:dyDescent="0.25">
      <c r="M793" s="40"/>
    </row>
    <row r="794" spans="13:13" ht="15.75" customHeight="1" x14ac:dyDescent="0.25">
      <c r="M794" s="40"/>
    </row>
    <row r="795" spans="13:13" ht="15.75" customHeight="1" x14ac:dyDescent="0.25">
      <c r="M795" s="40"/>
    </row>
    <row r="796" spans="13:13" ht="15.75" customHeight="1" x14ac:dyDescent="0.25">
      <c r="M796" s="40"/>
    </row>
    <row r="797" spans="13:13" ht="15.75" customHeight="1" x14ac:dyDescent="0.25">
      <c r="M797" s="40"/>
    </row>
    <row r="798" spans="13:13" ht="15.75" customHeight="1" x14ac:dyDescent="0.25">
      <c r="M798" s="40"/>
    </row>
    <row r="799" spans="13:13" ht="15.75" customHeight="1" x14ac:dyDescent="0.25">
      <c r="M799" s="40"/>
    </row>
    <row r="800" spans="13:13" ht="15.75" customHeight="1" x14ac:dyDescent="0.25">
      <c r="M800" s="40"/>
    </row>
    <row r="801" spans="13:13" ht="15.75" customHeight="1" x14ac:dyDescent="0.25">
      <c r="M801" s="40"/>
    </row>
    <row r="802" spans="13:13" ht="15.75" customHeight="1" x14ac:dyDescent="0.25">
      <c r="M802" s="40"/>
    </row>
    <row r="803" spans="13:13" ht="15.75" customHeight="1" x14ac:dyDescent="0.25">
      <c r="M803" s="40"/>
    </row>
    <row r="804" spans="13:13" ht="15.75" customHeight="1" x14ac:dyDescent="0.25">
      <c r="M804" s="40"/>
    </row>
    <row r="805" spans="13:13" ht="15.75" customHeight="1" x14ac:dyDescent="0.25">
      <c r="M805" s="40"/>
    </row>
    <row r="806" spans="13:13" ht="15.75" customHeight="1" x14ac:dyDescent="0.25">
      <c r="M806" s="40"/>
    </row>
    <row r="807" spans="13:13" ht="15.75" customHeight="1" x14ac:dyDescent="0.25">
      <c r="M807" s="40"/>
    </row>
    <row r="808" spans="13:13" ht="15.75" customHeight="1" x14ac:dyDescent="0.25">
      <c r="M808" s="40"/>
    </row>
    <row r="809" spans="13:13" ht="15.75" customHeight="1" x14ac:dyDescent="0.25">
      <c r="M809" s="40"/>
    </row>
    <row r="810" spans="13:13" ht="15.75" customHeight="1" x14ac:dyDescent="0.25">
      <c r="M810" s="40"/>
    </row>
    <row r="811" spans="13:13" ht="15.75" customHeight="1" x14ac:dyDescent="0.25">
      <c r="M811" s="40"/>
    </row>
    <row r="812" spans="13:13" ht="15.75" customHeight="1" x14ac:dyDescent="0.25">
      <c r="M812" s="40"/>
    </row>
    <row r="813" spans="13:13" ht="15.75" customHeight="1" x14ac:dyDescent="0.25">
      <c r="M813" s="40"/>
    </row>
    <row r="814" spans="13:13" ht="15.75" customHeight="1" x14ac:dyDescent="0.25">
      <c r="M814" s="40"/>
    </row>
    <row r="815" spans="13:13" ht="15.75" customHeight="1" x14ac:dyDescent="0.25">
      <c r="M815" s="40"/>
    </row>
    <row r="816" spans="13:13" ht="15.75" customHeight="1" x14ac:dyDescent="0.25">
      <c r="M816" s="40"/>
    </row>
    <row r="817" spans="13:13" ht="15.75" customHeight="1" x14ac:dyDescent="0.25">
      <c r="M817" s="40"/>
    </row>
    <row r="818" spans="13:13" ht="15.75" customHeight="1" x14ac:dyDescent="0.25">
      <c r="M818" s="40"/>
    </row>
    <row r="819" spans="13:13" ht="15.75" customHeight="1" x14ac:dyDescent="0.25">
      <c r="M819" s="40"/>
    </row>
    <row r="820" spans="13:13" ht="15.75" customHeight="1" x14ac:dyDescent="0.25">
      <c r="M820" s="40"/>
    </row>
    <row r="821" spans="13:13" ht="15.75" customHeight="1" x14ac:dyDescent="0.25">
      <c r="M821" s="40"/>
    </row>
    <row r="822" spans="13:13" ht="15.75" customHeight="1" x14ac:dyDescent="0.25">
      <c r="M822" s="40"/>
    </row>
    <row r="823" spans="13:13" ht="15.75" customHeight="1" x14ac:dyDescent="0.25">
      <c r="M823" s="40"/>
    </row>
    <row r="824" spans="13:13" ht="15.75" customHeight="1" x14ac:dyDescent="0.25">
      <c r="M824" s="40"/>
    </row>
    <row r="825" spans="13:13" ht="15.75" customHeight="1" x14ac:dyDescent="0.25">
      <c r="M825" s="40"/>
    </row>
    <row r="826" spans="13:13" ht="15.75" customHeight="1" x14ac:dyDescent="0.25">
      <c r="M826" s="40"/>
    </row>
    <row r="827" spans="13:13" ht="15.75" customHeight="1" x14ac:dyDescent="0.25">
      <c r="M827" s="40"/>
    </row>
    <row r="828" spans="13:13" ht="15.75" customHeight="1" x14ac:dyDescent="0.25">
      <c r="M828" s="40"/>
    </row>
    <row r="829" spans="13:13" ht="15.75" customHeight="1" x14ac:dyDescent="0.25">
      <c r="M829" s="40"/>
    </row>
    <row r="830" spans="13:13" ht="15.75" customHeight="1" x14ac:dyDescent="0.25">
      <c r="M830" s="40"/>
    </row>
    <row r="831" spans="13:13" ht="15.75" customHeight="1" x14ac:dyDescent="0.25">
      <c r="M831" s="40"/>
    </row>
    <row r="832" spans="13:13" ht="15.75" customHeight="1" x14ac:dyDescent="0.25">
      <c r="M832" s="40"/>
    </row>
    <row r="833" spans="13:13" ht="15.75" customHeight="1" x14ac:dyDescent="0.25">
      <c r="M833" s="40"/>
    </row>
    <row r="834" spans="13:13" ht="15.75" customHeight="1" x14ac:dyDescent="0.25">
      <c r="M834" s="40"/>
    </row>
    <row r="835" spans="13:13" ht="15.75" customHeight="1" x14ac:dyDescent="0.25">
      <c r="M835" s="40"/>
    </row>
    <row r="836" spans="13:13" ht="15.75" customHeight="1" x14ac:dyDescent="0.25">
      <c r="M836" s="40"/>
    </row>
    <row r="837" spans="13:13" ht="15.75" customHeight="1" x14ac:dyDescent="0.25">
      <c r="M837" s="40"/>
    </row>
    <row r="838" spans="13:13" ht="15.75" customHeight="1" x14ac:dyDescent="0.25">
      <c r="M838" s="40"/>
    </row>
    <row r="839" spans="13:13" ht="15.75" customHeight="1" x14ac:dyDescent="0.25">
      <c r="M839" s="40"/>
    </row>
    <row r="840" spans="13:13" ht="15.75" customHeight="1" x14ac:dyDescent="0.25">
      <c r="M840" s="40"/>
    </row>
    <row r="841" spans="13:13" ht="15.75" customHeight="1" x14ac:dyDescent="0.25">
      <c r="M841" s="40"/>
    </row>
    <row r="842" spans="13:13" ht="15.75" customHeight="1" x14ac:dyDescent="0.25">
      <c r="M842" s="40"/>
    </row>
    <row r="843" spans="13:13" ht="15.75" customHeight="1" x14ac:dyDescent="0.25">
      <c r="M843" s="40"/>
    </row>
    <row r="844" spans="13:13" ht="15.75" customHeight="1" x14ac:dyDescent="0.25">
      <c r="M844" s="40"/>
    </row>
    <row r="845" spans="13:13" ht="15.75" customHeight="1" x14ac:dyDescent="0.25">
      <c r="M845" s="40"/>
    </row>
    <row r="846" spans="13:13" ht="15.75" customHeight="1" x14ac:dyDescent="0.25">
      <c r="M846" s="40"/>
    </row>
    <row r="847" spans="13:13" ht="15.75" customHeight="1" x14ac:dyDescent="0.25">
      <c r="M847" s="40"/>
    </row>
    <row r="848" spans="13:13" ht="15.75" customHeight="1" x14ac:dyDescent="0.25">
      <c r="M848" s="40"/>
    </row>
    <row r="849" spans="13:13" ht="15.75" customHeight="1" x14ac:dyDescent="0.25">
      <c r="M849" s="40"/>
    </row>
    <row r="850" spans="13:13" ht="15.75" customHeight="1" x14ac:dyDescent="0.25">
      <c r="M850" s="40"/>
    </row>
    <row r="851" spans="13:13" ht="15.75" customHeight="1" x14ac:dyDescent="0.25">
      <c r="M851" s="40"/>
    </row>
    <row r="852" spans="13:13" ht="15.75" customHeight="1" x14ac:dyDescent="0.25">
      <c r="M852" s="40"/>
    </row>
    <row r="853" spans="13:13" ht="15.75" customHeight="1" x14ac:dyDescent="0.25">
      <c r="M853" s="40"/>
    </row>
    <row r="854" spans="13:13" ht="15.75" customHeight="1" x14ac:dyDescent="0.25">
      <c r="M854" s="40"/>
    </row>
    <row r="855" spans="13:13" ht="15.75" customHeight="1" x14ac:dyDescent="0.25">
      <c r="M855" s="40"/>
    </row>
    <row r="856" spans="13:13" ht="15.75" customHeight="1" x14ac:dyDescent="0.25">
      <c r="M856" s="40"/>
    </row>
    <row r="857" spans="13:13" ht="15.75" customHeight="1" x14ac:dyDescent="0.25">
      <c r="M857" s="40"/>
    </row>
    <row r="858" spans="13:13" ht="15.75" customHeight="1" x14ac:dyDescent="0.25">
      <c r="M858" s="40"/>
    </row>
    <row r="859" spans="13:13" ht="15.75" customHeight="1" x14ac:dyDescent="0.25">
      <c r="M859" s="40"/>
    </row>
    <row r="860" spans="13:13" ht="15.75" customHeight="1" x14ac:dyDescent="0.25">
      <c r="M860" s="40"/>
    </row>
    <row r="861" spans="13:13" ht="15.75" customHeight="1" x14ac:dyDescent="0.25">
      <c r="M861" s="40"/>
    </row>
    <row r="862" spans="13:13" ht="15.75" customHeight="1" x14ac:dyDescent="0.25">
      <c r="M862" s="40"/>
    </row>
    <row r="863" spans="13:13" ht="15.75" customHeight="1" x14ac:dyDescent="0.25">
      <c r="M863" s="40"/>
    </row>
    <row r="864" spans="13:13" ht="15.75" customHeight="1" x14ac:dyDescent="0.25">
      <c r="M864" s="40"/>
    </row>
    <row r="865" spans="13:13" ht="15.75" customHeight="1" x14ac:dyDescent="0.25">
      <c r="M865" s="40"/>
    </row>
    <row r="866" spans="13:13" ht="15.75" customHeight="1" x14ac:dyDescent="0.25">
      <c r="M866" s="40"/>
    </row>
    <row r="867" spans="13:13" ht="15.75" customHeight="1" x14ac:dyDescent="0.25">
      <c r="M867" s="40"/>
    </row>
    <row r="868" spans="13:13" ht="15.75" customHeight="1" x14ac:dyDescent="0.25">
      <c r="M868" s="40"/>
    </row>
    <row r="869" spans="13:13" ht="15.75" customHeight="1" x14ac:dyDescent="0.25">
      <c r="M869" s="40"/>
    </row>
    <row r="870" spans="13:13" ht="15.75" customHeight="1" x14ac:dyDescent="0.25">
      <c r="M870" s="40"/>
    </row>
    <row r="871" spans="13:13" ht="15.75" customHeight="1" x14ac:dyDescent="0.25">
      <c r="M871" s="40"/>
    </row>
    <row r="872" spans="13:13" ht="15.75" customHeight="1" x14ac:dyDescent="0.25">
      <c r="M872" s="40"/>
    </row>
    <row r="873" spans="13:13" ht="15.75" customHeight="1" x14ac:dyDescent="0.25">
      <c r="M873" s="40"/>
    </row>
    <row r="874" spans="13:13" ht="15.75" customHeight="1" x14ac:dyDescent="0.25">
      <c r="M874" s="40"/>
    </row>
    <row r="875" spans="13:13" ht="15.75" customHeight="1" x14ac:dyDescent="0.25">
      <c r="M875" s="40"/>
    </row>
    <row r="876" spans="13:13" ht="15.75" customHeight="1" x14ac:dyDescent="0.25">
      <c r="M876" s="40"/>
    </row>
    <row r="877" spans="13:13" ht="15.75" customHeight="1" x14ac:dyDescent="0.25">
      <c r="M877" s="40"/>
    </row>
    <row r="878" spans="13:13" ht="15.75" customHeight="1" x14ac:dyDescent="0.25">
      <c r="M878" s="40"/>
    </row>
    <row r="879" spans="13:13" ht="15.75" customHeight="1" x14ac:dyDescent="0.25">
      <c r="M879" s="40"/>
    </row>
    <row r="880" spans="13:13" ht="15.75" customHeight="1" x14ac:dyDescent="0.25">
      <c r="M880" s="40"/>
    </row>
    <row r="881" spans="13:13" ht="15.75" customHeight="1" x14ac:dyDescent="0.25">
      <c r="M881" s="40"/>
    </row>
    <row r="882" spans="13:13" ht="15.75" customHeight="1" x14ac:dyDescent="0.25">
      <c r="M882" s="40"/>
    </row>
    <row r="883" spans="13:13" ht="15.75" customHeight="1" x14ac:dyDescent="0.25">
      <c r="M883" s="40"/>
    </row>
    <row r="884" spans="13:13" ht="15.75" customHeight="1" x14ac:dyDescent="0.25">
      <c r="M884" s="40"/>
    </row>
    <row r="885" spans="13:13" ht="15.75" customHeight="1" x14ac:dyDescent="0.25">
      <c r="M885" s="40"/>
    </row>
    <row r="886" spans="13:13" ht="15.75" customHeight="1" x14ac:dyDescent="0.25">
      <c r="M886" s="40"/>
    </row>
    <row r="887" spans="13:13" ht="15.75" customHeight="1" x14ac:dyDescent="0.25">
      <c r="M887" s="40"/>
    </row>
    <row r="888" spans="13:13" ht="15.75" customHeight="1" x14ac:dyDescent="0.25">
      <c r="M888" s="40"/>
    </row>
    <row r="889" spans="13:13" ht="15.75" customHeight="1" x14ac:dyDescent="0.25">
      <c r="M889" s="40"/>
    </row>
    <row r="890" spans="13:13" ht="15.75" customHeight="1" x14ac:dyDescent="0.25">
      <c r="M890" s="40"/>
    </row>
    <row r="891" spans="13:13" ht="15.75" customHeight="1" x14ac:dyDescent="0.25">
      <c r="M891" s="40"/>
    </row>
    <row r="892" spans="13:13" ht="15.75" customHeight="1" x14ac:dyDescent="0.25">
      <c r="M892" s="40"/>
    </row>
    <row r="893" spans="13:13" ht="15.75" customHeight="1" x14ac:dyDescent="0.25">
      <c r="M893" s="40"/>
    </row>
    <row r="894" spans="13:13" ht="15.75" customHeight="1" x14ac:dyDescent="0.25">
      <c r="M894" s="40"/>
    </row>
    <row r="895" spans="13:13" ht="15.75" customHeight="1" x14ac:dyDescent="0.25">
      <c r="M895" s="40"/>
    </row>
    <row r="896" spans="13:13" ht="15.75" customHeight="1" x14ac:dyDescent="0.25">
      <c r="M896" s="40"/>
    </row>
    <row r="897" spans="13:13" ht="15.75" customHeight="1" x14ac:dyDescent="0.25">
      <c r="M897" s="40"/>
    </row>
    <row r="898" spans="13:13" ht="15.75" customHeight="1" x14ac:dyDescent="0.25">
      <c r="M898" s="40"/>
    </row>
    <row r="899" spans="13:13" ht="15.75" customHeight="1" x14ac:dyDescent="0.25">
      <c r="M899" s="40"/>
    </row>
    <row r="900" spans="13:13" ht="15.75" customHeight="1" x14ac:dyDescent="0.25">
      <c r="M900" s="40"/>
    </row>
    <row r="901" spans="13:13" ht="15.75" customHeight="1" x14ac:dyDescent="0.25">
      <c r="M901" s="40"/>
    </row>
    <row r="902" spans="13:13" ht="15.75" customHeight="1" x14ac:dyDescent="0.25">
      <c r="M902" s="40"/>
    </row>
    <row r="903" spans="13:13" ht="15.75" customHeight="1" x14ac:dyDescent="0.25">
      <c r="M903" s="40"/>
    </row>
    <row r="904" spans="13:13" ht="15.75" customHeight="1" x14ac:dyDescent="0.25">
      <c r="M904" s="40"/>
    </row>
    <row r="905" spans="13:13" ht="15.75" customHeight="1" x14ac:dyDescent="0.25">
      <c r="M905" s="40"/>
    </row>
    <row r="906" spans="13:13" ht="15.75" customHeight="1" x14ac:dyDescent="0.25">
      <c r="M906" s="40"/>
    </row>
    <row r="907" spans="13:13" ht="15.75" customHeight="1" x14ac:dyDescent="0.25">
      <c r="M907" s="40"/>
    </row>
    <row r="908" spans="13:13" ht="15.75" customHeight="1" x14ac:dyDescent="0.25">
      <c r="M908" s="40"/>
    </row>
    <row r="909" spans="13:13" ht="15.75" customHeight="1" x14ac:dyDescent="0.25">
      <c r="M909" s="40"/>
    </row>
    <row r="910" spans="13:13" ht="15.75" customHeight="1" x14ac:dyDescent="0.25">
      <c r="M910" s="40"/>
    </row>
    <row r="911" spans="13:13" ht="15.75" customHeight="1" x14ac:dyDescent="0.25">
      <c r="M911" s="40"/>
    </row>
    <row r="912" spans="13:13" ht="15.75" customHeight="1" x14ac:dyDescent="0.25">
      <c r="M912" s="40"/>
    </row>
    <row r="913" spans="13:13" ht="15.75" customHeight="1" x14ac:dyDescent="0.25">
      <c r="M913" s="40"/>
    </row>
    <row r="914" spans="13:13" ht="15.75" customHeight="1" x14ac:dyDescent="0.25">
      <c r="M914" s="40"/>
    </row>
    <row r="915" spans="13:13" ht="15.75" customHeight="1" x14ac:dyDescent="0.25">
      <c r="M915" s="40"/>
    </row>
    <row r="916" spans="13:13" ht="15.75" customHeight="1" x14ac:dyDescent="0.25">
      <c r="M916" s="40"/>
    </row>
    <row r="917" spans="13:13" ht="15.75" customHeight="1" x14ac:dyDescent="0.25">
      <c r="M917" s="40"/>
    </row>
    <row r="918" spans="13:13" ht="15.75" customHeight="1" x14ac:dyDescent="0.25">
      <c r="M918" s="40"/>
    </row>
    <row r="919" spans="13:13" ht="15.75" customHeight="1" x14ac:dyDescent="0.25">
      <c r="M919" s="40"/>
    </row>
    <row r="920" spans="13:13" ht="15.75" customHeight="1" x14ac:dyDescent="0.25">
      <c r="M920" s="40"/>
    </row>
    <row r="921" spans="13:13" ht="15.75" customHeight="1" x14ac:dyDescent="0.25">
      <c r="M921" s="40"/>
    </row>
    <row r="922" spans="13:13" ht="15.75" customHeight="1" x14ac:dyDescent="0.25">
      <c r="M922" s="40"/>
    </row>
    <row r="923" spans="13:13" ht="15.75" customHeight="1" x14ac:dyDescent="0.25">
      <c r="M923" s="40"/>
    </row>
    <row r="924" spans="13:13" ht="15.75" customHeight="1" x14ac:dyDescent="0.25">
      <c r="M924" s="40"/>
    </row>
    <row r="925" spans="13:13" ht="15.75" customHeight="1" x14ac:dyDescent="0.25">
      <c r="M925" s="40"/>
    </row>
    <row r="926" spans="13:13" ht="15.75" customHeight="1" x14ac:dyDescent="0.25">
      <c r="M926" s="40"/>
    </row>
    <row r="927" spans="13:13" ht="15.75" customHeight="1" x14ac:dyDescent="0.25">
      <c r="M927" s="40"/>
    </row>
    <row r="928" spans="13:13" ht="15.75" customHeight="1" x14ac:dyDescent="0.25">
      <c r="M928" s="40"/>
    </row>
    <row r="929" spans="13:13" ht="15.75" customHeight="1" x14ac:dyDescent="0.25">
      <c r="M929" s="40"/>
    </row>
    <row r="930" spans="13:13" ht="15.75" customHeight="1" x14ac:dyDescent="0.25">
      <c r="M930" s="40"/>
    </row>
    <row r="931" spans="13:13" ht="15.75" customHeight="1" x14ac:dyDescent="0.25">
      <c r="M931" s="40"/>
    </row>
    <row r="932" spans="13:13" ht="15.75" customHeight="1" x14ac:dyDescent="0.25">
      <c r="M932" s="40"/>
    </row>
    <row r="933" spans="13:13" ht="15.75" customHeight="1" x14ac:dyDescent="0.25">
      <c r="M933" s="40"/>
    </row>
    <row r="934" spans="13:13" ht="15.75" customHeight="1" x14ac:dyDescent="0.25">
      <c r="M934" s="40"/>
    </row>
    <row r="935" spans="13:13" ht="15.75" customHeight="1" x14ac:dyDescent="0.25">
      <c r="M935" s="40"/>
    </row>
    <row r="936" spans="13:13" ht="15.75" customHeight="1" x14ac:dyDescent="0.25">
      <c r="M936" s="40"/>
    </row>
    <row r="937" spans="13:13" ht="15.75" customHeight="1" x14ac:dyDescent="0.25">
      <c r="M937" s="40"/>
    </row>
    <row r="938" spans="13:13" ht="15.75" customHeight="1" x14ac:dyDescent="0.25">
      <c r="M938" s="40"/>
    </row>
    <row r="939" spans="13:13" ht="15.75" customHeight="1" x14ac:dyDescent="0.25">
      <c r="M939" s="40"/>
    </row>
    <row r="940" spans="13:13" ht="15.75" customHeight="1" x14ac:dyDescent="0.25">
      <c r="M940" s="40"/>
    </row>
    <row r="941" spans="13:13" ht="15.75" customHeight="1" x14ac:dyDescent="0.25">
      <c r="M941" s="40"/>
    </row>
    <row r="942" spans="13:13" ht="15.75" customHeight="1" x14ac:dyDescent="0.25">
      <c r="M942" s="40"/>
    </row>
    <row r="943" spans="13:13" ht="15.75" customHeight="1" x14ac:dyDescent="0.25">
      <c r="M943" s="40"/>
    </row>
    <row r="944" spans="13:13" ht="15.75" customHeight="1" x14ac:dyDescent="0.25">
      <c r="M944" s="40"/>
    </row>
    <row r="945" spans="13:13" ht="15.75" customHeight="1" x14ac:dyDescent="0.25">
      <c r="M945" s="40"/>
    </row>
    <row r="946" spans="13:13" ht="15.75" customHeight="1" x14ac:dyDescent="0.25">
      <c r="M946" s="40"/>
    </row>
    <row r="947" spans="13:13" ht="15.75" customHeight="1" x14ac:dyDescent="0.25">
      <c r="M947" s="40"/>
    </row>
    <row r="948" spans="13:13" ht="15.75" customHeight="1" x14ac:dyDescent="0.25">
      <c r="M948" s="40"/>
    </row>
    <row r="949" spans="13:13" ht="15.75" customHeight="1" x14ac:dyDescent="0.25">
      <c r="M949" s="40"/>
    </row>
    <row r="950" spans="13:13" ht="15.75" customHeight="1" x14ac:dyDescent="0.25">
      <c r="M950" s="40"/>
    </row>
    <row r="951" spans="13:13" ht="15.75" customHeight="1" x14ac:dyDescent="0.25">
      <c r="M951" s="40"/>
    </row>
    <row r="952" spans="13:13" ht="15.75" customHeight="1" x14ac:dyDescent="0.25">
      <c r="M952" s="40"/>
    </row>
    <row r="953" spans="13:13" ht="15.75" customHeight="1" x14ac:dyDescent="0.25">
      <c r="M953" s="40"/>
    </row>
    <row r="954" spans="13:13" ht="15.75" customHeight="1" x14ac:dyDescent="0.25">
      <c r="M954" s="40"/>
    </row>
    <row r="955" spans="13:13" ht="15.75" customHeight="1" x14ac:dyDescent="0.25">
      <c r="M955" s="40"/>
    </row>
    <row r="956" spans="13:13" ht="15.75" customHeight="1" x14ac:dyDescent="0.25">
      <c r="M956" s="40"/>
    </row>
    <row r="957" spans="13:13" ht="15.75" customHeight="1" x14ac:dyDescent="0.25">
      <c r="M957" s="40"/>
    </row>
    <row r="958" spans="13:13" ht="15.75" customHeight="1" x14ac:dyDescent="0.25">
      <c r="M958" s="40"/>
    </row>
    <row r="959" spans="13:13" ht="15.75" customHeight="1" x14ac:dyDescent="0.25">
      <c r="M959" s="40"/>
    </row>
    <row r="960" spans="13:13" ht="15.75" customHeight="1" x14ac:dyDescent="0.25">
      <c r="M960" s="40"/>
    </row>
    <row r="961" spans="13:13" ht="15.75" customHeight="1" x14ac:dyDescent="0.25">
      <c r="M961" s="40"/>
    </row>
    <row r="962" spans="13:13" ht="15.75" customHeight="1" x14ac:dyDescent="0.25">
      <c r="M962" s="40"/>
    </row>
    <row r="963" spans="13:13" ht="15.75" customHeight="1" x14ac:dyDescent="0.25">
      <c r="M963" s="40"/>
    </row>
    <row r="964" spans="13:13" ht="15.75" customHeight="1" x14ac:dyDescent="0.25">
      <c r="M964" s="40"/>
    </row>
    <row r="965" spans="13:13" ht="15.75" customHeight="1" x14ac:dyDescent="0.25">
      <c r="M965" s="40"/>
    </row>
    <row r="966" spans="13:13" ht="15.75" customHeight="1" x14ac:dyDescent="0.25">
      <c r="M966" s="40"/>
    </row>
    <row r="967" spans="13:13" ht="15.75" customHeight="1" x14ac:dyDescent="0.25">
      <c r="M967" s="40"/>
    </row>
    <row r="968" spans="13:13" ht="15.75" customHeight="1" x14ac:dyDescent="0.25">
      <c r="M968" s="40"/>
    </row>
    <row r="969" spans="13:13" ht="15.75" customHeight="1" x14ac:dyDescent="0.25">
      <c r="M969" s="40"/>
    </row>
    <row r="970" spans="13:13" ht="15.75" customHeight="1" x14ac:dyDescent="0.25">
      <c r="M970" s="40"/>
    </row>
    <row r="971" spans="13:13" ht="15.75" customHeight="1" x14ac:dyDescent="0.25">
      <c r="M971" s="40"/>
    </row>
    <row r="972" spans="13:13" ht="15.75" customHeight="1" x14ac:dyDescent="0.25">
      <c r="M972" s="40"/>
    </row>
    <row r="973" spans="13:13" ht="15.75" customHeight="1" x14ac:dyDescent="0.25">
      <c r="M973" s="40"/>
    </row>
    <row r="974" spans="13:13" ht="15.75" customHeight="1" x14ac:dyDescent="0.25">
      <c r="M974" s="40"/>
    </row>
    <row r="975" spans="13:13" ht="15.75" customHeight="1" x14ac:dyDescent="0.25">
      <c r="M975" s="40"/>
    </row>
    <row r="976" spans="13:13" ht="15.75" customHeight="1" x14ac:dyDescent="0.25">
      <c r="M976" s="40"/>
    </row>
    <row r="977" spans="13:13" ht="15.75" customHeight="1" x14ac:dyDescent="0.25">
      <c r="M977" s="40"/>
    </row>
    <row r="978" spans="13:13" ht="15.75" customHeight="1" x14ac:dyDescent="0.25">
      <c r="M978" s="40"/>
    </row>
    <row r="979" spans="13:13" ht="15.75" customHeight="1" x14ac:dyDescent="0.25">
      <c r="M979" s="40"/>
    </row>
    <row r="980" spans="13:13" ht="15.75" customHeight="1" x14ac:dyDescent="0.25">
      <c r="M980" s="40"/>
    </row>
    <row r="981" spans="13:13" ht="15.75" customHeight="1" x14ac:dyDescent="0.25">
      <c r="M981" s="40"/>
    </row>
    <row r="982" spans="13:13" ht="15.75" customHeight="1" x14ac:dyDescent="0.25">
      <c r="M982" s="40"/>
    </row>
    <row r="983" spans="13:13" ht="15.75" customHeight="1" x14ac:dyDescent="0.25">
      <c r="M983" s="40"/>
    </row>
    <row r="984" spans="13:13" ht="15.75" customHeight="1" x14ac:dyDescent="0.25">
      <c r="M984" s="40"/>
    </row>
    <row r="985" spans="13:13" ht="15.75" customHeight="1" x14ac:dyDescent="0.25">
      <c r="M985" s="40"/>
    </row>
    <row r="986" spans="13:13" ht="15.75" customHeight="1" x14ac:dyDescent="0.25">
      <c r="M986" s="40"/>
    </row>
    <row r="987" spans="13:13" ht="15.75" customHeight="1" x14ac:dyDescent="0.25">
      <c r="M987" s="40"/>
    </row>
    <row r="988" spans="13:13" ht="15.75" customHeight="1" x14ac:dyDescent="0.25">
      <c r="M988" s="40"/>
    </row>
    <row r="989" spans="13:13" ht="15.75" customHeight="1" x14ac:dyDescent="0.25">
      <c r="M989" s="40"/>
    </row>
    <row r="990" spans="13:13" ht="15.75" customHeight="1" x14ac:dyDescent="0.25">
      <c r="M990" s="40"/>
    </row>
    <row r="991" spans="13:13" ht="15.75" customHeight="1" x14ac:dyDescent="0.25">
      <c r="M991" s="40"/>
    </row>
    <row r="992" spans="13:13" ht="15.75" customHeight="1" x14ac:dyDescent="0.25">
      <c r="M992" s="40"/>
    </row>
    <row r="993" spans="13:13" ht="15.75" customHeight="1" x14ac:dyDescent="0.25">
      <c r="M993" s="40"/>
    </row>
    <row r="994" spans="13:13" ht="15.75" customHeight="1" x14ac:dyDescent="0.25">
      <c r="M994" s="40"/>
    </row>
    <row r="995" spans="13:13" ht="15.75" customHeight="1" x14ac:dyDescent="0.25">
      <c r="M995" s="40"/>
    </row>
    <row r="996" spans="13:13" ht="15.75" customHeight="1" x14ac:dyDescent="0.25">
      <c r="M996" s="40"/>
    </row>
    <row r="997" spans="13:13" ht="15.75" customHeight="1" x14ac:dyDescent="0.25">
      <c r="M997" s="40"/>
    </row>
    <row r="998" spans="13:13" ht="15.75" customHeight="1" x14ac:dyDescent="0.25">
      <c r="M998" s="40"/>
    </row>
    <row r="999" spans="13:13" ht="15.75" customHeight="1" x14ac:dyDescent="0.25">
      <c r="M999" s="40"/>
    </row>
    <row r="1000" spans="13:13" ht="15.75" customHeight="1" x14ac:dyDescent="0.25">
      <c r="M1000" s="40"/>
    </row>
    <row r="1001" spans="13:13" ht="15.75" customHeight="1" x14ac:dyDescent="0.25">
      <c r="M1001" s="40"/>
    </row>
    <row r="1002" spans="13:13" ht="15.75" customHeight="1" x14ac:dyDescent="0.25">
      <c r="M1002" s="40"/>
    </row>
    <row r="1003" spans="13:13" ht="15.75" customHeight="1" x14ac:dyDescent="0.25">
      <c r="M1003" s="40"/>
    </row>
    <row r="1004" spans="13:13" ht="15.75" customHeight="1" x14ac:dyDescent="0.25">
      <c r="M1004" s="40"/>
    </row>
    <row r="1005" spans="13:13" ht="15.75" customHeight="1" x14ac:dyDescent="0.25">
      <c r="M1005" s="40"/>
    </row>
    <row r="1006" spans="13:13" ht="15.75" customHeight="1" x14ac:dyDescent="0.25">
      <c r="M1006" s="40"/>
    </row>
    <row r="1007" spans="13:13" ht="15.75" customHeight="1" x14ac:dyDescent="0.25">
      <c r="M1007" s="40"/>
    </row>
    <row r="1008" spans="13:13" ht="15.75" customHeight="1" x14ac:dyDescent="0.25">
      <c r="M1008" s="40"/>
    </row>
    <row r="1009" spans="13:13" ht="15.75" customHeight="1" x14ac:dyDescent="0.25">
      <c r="M1009" s="40"/>
    </row>
    <row r="1010" spans="13:13" ht="15.75" customHeight="1" x14ac:dyDescent="0.25">
      <c r="M1010" s="40"/>
    </row>
    <row r="1011" spans="13:13" ht="15.75" customHeight="1" x14ac:dyDescent="0.25">
      <c r="M1011" s="40"/>
    </row>
    <row r="1012" spans="13:13" ht="15.75" customHeight="1" x14ac:dyDescent="0.25">
      <c r="M1012" s="40"/>
    </row>
    <row r="1013" spans="13:13" ht="15.75" customHeight="1" x14ac:dyDescent="0.25">
      <c r="M1013" s="40"/>
    </row>
    <row r="1014" spans="13:13" ht="15.75" customHeight="1" x14ac:dyDescent="0.25">
      <c r="M1014" s="40"/>
    </row>
    <row r="1015" spans="13:13" ht="15.75" customHeight="1" x14ac:dyDescent="0.25">
      <c r="M1015" s="40"/>
    </row>
    <row r="1016" spans="13:13" ht="15.75" customHeight="1" x14ac:dyDescent="0.25">
      <c r="M1016" s="40"/>
    </row>
    <row r="1017" spans="13:13" ht="15.75" customHeight="1" x14ac:dyDescent="0.25">
      <c r="M1017" s="40"/>
    </row>
    <row r="1018" spans="13:13" ht="15.75" customHeight="1" x14ac:dyDescent="0.25">
      <c r="M1018" s="40"/>
    </row>
    <row r="1019" spans="13:13" ht="15.75" customHeight="1" x14ac:dyDescent="0.25">
      <c r="M1019" s="40"/>
    </row>
    <row r="1020" spans="13:13" ht="15.75" customHeight="1" x14ac:dyDescent="0.25">
      <c r="M1020" s="40"/>
    </row>
    <row r="1021" spans="13:13" ht="15.75" customHeight="1" x14ac:dyDescent="0.25">
      <c r="M1021" s="40"/>
    </row>
    <row r="1022" spans="13:13" ht="15.75" customHeight="1" x14ac:dyDescent="0.25">
      <c r="M1022" s="40"/>
    </row>
    <row r="1023" spans="13:13" ht="15.75" customHeight="1" x14ac:dyDescent="0.25">
      <c r="M1023" s="40"/>
    </row>
    <row r="1024" spans="13:13" ht="15.75" customHeight="1" x14ac:dyDescent="0.25">
      <c r="M1024" s="40"/>
    </row>
    <row r="1025" spans="13:13" ht="15.75" customHeight="1" x14ac:dyDescent="0.25">
      <c r="M1025" s="40"/>
    </row>
    <row r="1026" spans="13:13" ht="15.75" customHeight="1" x14ac:dyDescent="0.25">
      <c r="M1026" s="40"/>
    </row>
    <row r="1027" spans="13:13" ht="15.75" customHeight="1" x14ac:dyDescent="0.25">
      <c r="M1027" s="40"/>
    </row>
    <row r="1028" spans="13:13" ht="15.75" customHeight="1" x14ac:dyDescent="0.25">
      <c r="M1028" s="40"/>
    </row>
    <row r="1029" spans="13:13" ht="15.75" customHeight="1" x14ac:dyDescent="0.25">
      <c r="M1029" s="40"/>
    </row>
    <row r="1030" spans="13:13" ht="15.75" customHeight="1" x14ac:dyDescent="0.25">
      <c r="M1030" s="40"/>
    </row>
    <row r="1031" spans="13:13" ht="15.75" customHeight="1" x14ac:dyDescent="0.25">
      <c r="M1031" s="40"/>
    </row>
    <row r="1032" spans="13:13" ht="15.75" customHeight="1" x14ac:dyDescent="0.25">
      <c r="M1032" s="40"/>
    </row>
    <row r="1033" spans="13:13" ht="15.75" customHeight="1" x14ac:dyDescent="0.25">
      <c r="M1033" s="40"/>
    </row>
    <row r="1034" spans="13:13" ht="15.75" customHeight="1" x14ac:dyDescent="0.25">
      <c r="M1034" s="40"/>
    </row>
    <row r="1035" spans="13:13" ht="15.75" customHeight="1" x14ac:dyDescent="0.25">
      <c r="M1035" s="40"/>
    </row>
    <row r="1036" spans="13:13" ht="15.75" customHeight="1" x14ac:dyDescent="0.25">
      <c r="M1036" s="40"/>
    </row>
    <row r="1037" spans="13:13" ht="15.75" customHeight="1" x14ac:dyDescent="0.25">
      <c r="M1037" s="40"/>
    </row>
    <row r="1038" spans="13:13" ht="15.75" customHeight="1" x14ac:dyDescent="0.25">
      <c r="M1038" s="40"/>
    </row>
    <row r="1039" spans="13:13" ht="15.75" customHeight="1" x14ac:dyDescent="0.25">
      <c r="M1039" s="40"/>
    </row>
    <row r="1040" spans="13:13" ht="15.75" customHeight="1" x14ac:dyDescent="0.25">
      <c r="M1040" s="40"/>
    </row>
    <row r="1041" spans="13:13" ht="15.75" customHeight="1" x14ac:dyDescent="0.25">
      <c r="M1041" s="40"/>
    </row>
    <row r="1042" spans="13:13" ht="15.75" customHeight="1" x14ac:dyDescent="0.25">
      <c r="M1042" s="40"/>
    </row>
    <row r="1043" spans="13:13" ht="15.75" customHeight="1" x14ac:dyDescent="0.25">
      <c r="M1043" s="40"/>
    </row>
    <row r="1044" spans="13:13" ht="15.75" customHeight="1" x14ac:dyDescent="0.25">
      <c r="M1044" s="40"/>
    </row>
    <row r="1045" spans="13:13" ht="15.75" customHeight="1" x14ac:dyDescent="0.25">
      <c r="M1045" s="40"/>
    </row>
    <row r="1046" spans="13:13" ht="15.75" customHeight="1" x14ac:dyDescent="0.25">
      <c r="M1046" s="40"/>
    </row>
    <row r="1047" spans="13:13" ht="15.75" customHeight="1" x14ac:dyDescent="0.25">
      <c r="M1047" s="40"/>
    </row>
    <row r="1048" spans="13:13" ht="15.75" customHeight="1" x14ac:dyDescent="0.25">
      <c r="M1048" s="40"/>
    </row>
    <row r="1049" spans="13:13" ht="15.75" customHeight="1" x14ac:dyDescent="0.25">
      <c r="M1049" s="40"/>
    </row>
    <row r="1050" spans="13:13" ht="15.75" customHeight="1" x14ac:dyDescent="0.25">
      <c r="M1050" s="40"/>
    </row>
    <row r="1051" spans="13:13" ht="15.75" customHeight="1" x14ac:dyDescent="0.25">
      <c r="M1051" s="40"/>
    </row>
    <row r="1052" spans="13:13" ht="15.75" customHeight="1" x14ac:dyDescent="0.25">
      <c r="M1052" s="40"/>
    </row>
    <row r="1053" spans="13:13" ht="15.75" customHeight="1" x14ac:dyDescent="0.25">
      <c r="M1053" s="40"/>
    </row>
    <row r="1054" spans="13:13" ht="15.75" customHeight="1" x14ac:dyDescent="0.25">
      <c r="M1054" s="40"/>
    </row>
    <row r="1055" spans="13:13" ht="15.75" customHeight="1" x14ac:dyDescent="0.25">
      <c r="M1055" s="40"/>
    </row>
    <row r="1056" spans="13:13" ht="15.75" customHeight="1" x14ac:dyDescent="0.25">
      <c r="M1056" s="40"/>
    </row>
    <row r="1057" spans="13:13" ht="15.75" customHeight="1" x14ac:dyDescent="0.25">
      <c r="M1057" s="40"/>
    </row>
    <row r="1058" spans="13:13" ht="15.75" customHeight="1" x14ac:dyDescent="0.25">
      <c r="M1058" s="40"/>
    </row>
    <row r="1059" spans="13:13" ht="15.75" customHeight="1" x14ac:dyDescent="0.25">
      <c r="M1059" s="40"/>
    </row>
    <row r="1060" spans="13:13" ht="15.75" customHeight="1" x14ac:dyDescent="0.25">
      <c r="M1060" s="40"/>
    </row>
    <row r="1061" spans="13:13" ht="15.75" customHeight="1" x14ac:dyDescent="0.25">
      <c r="M1061" s="40"/>
    </row>
    <row r="1062" spans="13:13" ht="15.75" customHeight="1" x14ac:dyDescent="0.25">
      <c r="M1062" s="40"/>
    </row>
    <row r="1063" spans="13:13" ht="15.75" customHeight="1" x14ac:dyDescent="0.25">
      <c r="M1063" s="40"/>
    </row>
    <row r="1064" spans="13:13" ht="15.75" customHeight="1" x14ac:dyDescent="0.25">
      <c r="M1064" s="40"/>
    </row>
    <row r="1065" spans="13:13" ht="15.75" customHeight="1" x14ac:dyDescent="0.25">
      <c r="M1065" s="40"/>
    </row>
    <row r="1066" spans="13:13" ht="15.75" customHeight="1" x14ac:dyDescent="0.25">
      <c r="M1066" s="40"/>
    </row>
    <row r="1067" spans="13:13" ht="15.75" customHeight="1" x14ac:dyDescent="0.25">
      <c r="M1067" s="40"/>
    </row>
    <row r="1068" spans="13:13" ht="15.75" customHeight="1" x14ac:dyDescent="0.25">
      <c r="M1068" s="40"/>
    </row>
    <row r="1069" spans="13:13" ht="15.75" customHeight="1" x14ac:dyDescent="0.25">
      <c r="M1069" s="40"/>
    </row>
    <row r="1070" spans="13:13" ht="15.75" customHeight="1" x14ac:dyDescent="0.25">
      <c r="M1070" s="40"/>
    </row>
    <row r="1071" spans="13:13" ht="15.75" customHeight="1" x14ac:dyDescent="0.25">
      <c r="M1071" s="40"/>
    </row>
    <row r="1072" spans="13:13" ht="15.75" customHeight="1" x14ac:dyDescent="0.25">
      <c r="M1072" s="40"/>
    </row>
    <row r="1073" spans="13:13" ht="15.75" customHeight="1" x14ac:dyDescent="0.25">
      <c r="M1073" s="40"/>
    </row>
    <row r="1074" spans="13:13" ht="15.75" customHeight="1" x14ac:dyDescent="0.25">
      <c r="M1074" s="40"/>
    </row>
    <row r="1075" spans="13:13" ht="15.75" customHeight="1" x14ac:dyDescent="0.25">
      <c r="M1075" s="40"/>
    </row>
    <row r="1076" spans="13:13" ht="15.75" customHeight="1" x14ac:dyDescent="0.25">
      <c r="M1076" s="40"/>
    </row>
    <row r="1077" spans="13:13" ht="15.75" customHeight="1" x14ac:dyDescent="0.25">
      <c r="M1077" s="40"/>
    </row>
    <row r="1078" spans="13:13" ht="15.75" customHeight="1" x14ac:dyDescent="0.25">
      <c r="M1078" s="40"/>
    </row>
    <row r="1079" spans="13:13" ht="15.75" customHeight="1" x14ac:dyDescent="0.25">
      <c r="M1079" s="40"/>
    </row>
    <row r="1080" spans="13:13" ht="15.75" customHeight="1" x14ac:dyDescent="0.25">
      <c r="M1080" s="40"/>
    </row>
    <row r="1081" spans="13:13" ht="15.75" customHeight="1" x14ac:dyDescent="0.25">
      <c r="M1081" s="40"/>
    </row>
    <row r="1082" spans="13:13" ht="15.75" customHeight="1" x14ac:dyDescent="0.25">
      <c r="M1082" s="40"/>
    </row>
    <row r="1083" spans="13:13" ht="15.75" customHeight="1" x14ac:dyDescent="0.25">
      <c r="M1083" s="40"/>
    </row>
    <row r="1084" spans="13:13" ht="15.75" customHeight="1" x14ac:dyDescent="0.25">
      <c r="M1084"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101" max="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88"/>
  <sheetViews>
    <sheetView view="pageBreakPreview" topLeftCell="A15" zoomScale="130" zoomScaleNormal="100" zoomScaleSheetLayoutView="130" workbookViewId="0">
      <selection activeCell="A74" sqref="A74"/>
    </sheetView>
  </sheetViews>
  <sheetFormatPr defaultColWidth="14.42578125" defaultRowHeight="15" customHeight="1" x14ac:dyDescent="0.25"/>
  <cols>
    <col min="1" max="1" width="78.28515625" customWidth="1"/>
    <col min="2" max="2" width="19" customWidth="1"/>
    <col min="3" max="6" width="15.85546875" hidden="1" customWidth="1"/>
    <col min="7" max="7" width="15.85546875" customWidth="1"/>
    <col min="8" max="8" width="12.7109375" customWidth="1"/>
    <col min="9" max="10" width="10.28515625" customWidth="1"/>
    <col min="11" max="11" width="11.5703125" customWidth="1"/>
    <col min="12" max="26" width="10.28515625" customWidth="1"/>
  </cols>
  <sheetData>
    <row r="1" spans="1:26" ht="15.75" customHeight="1" x14ac:dyDescent="0.25">
      <c r="A1" s="9"/>
      <c r="B1" s="10"/>
      <c r="C1" s="11"/>
      <c r="D1" s="11"/>
      <c r="E1" s="11"/>
      <c r="F1" s="10"/>
      <c r="G1" s="13"/>
      <c r="H1" s="14"/>
      <c r="I1" s="15"/>
      <c r="J1" s="15"/>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7"/>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67"/>
      <c r="L5" s="15"/>
      <c r="M5" s="15"/>
      <c r="N5" s="15"/>
      <c r="O5" s="15"/>
      <c r="P5" s="15"/>
      <c r="Q5" s="15"/>
      <c r="R5" s="15"/>
      <c r="S5" s="15"/>
      <c r="T5" s="15"/>
      <c r="U5" s="15"/>
      <c r="V5" s="15"/>
      <c r="W5" s="15"/>
      <c r="X5" s="15"/>
      <c r="Y5" s="15"/>
      <c r="Z5" s="15"/>
    </row>
    <row r="6" spans="1:26" ht="15.75" customHeight="1" x14ac:dyDescent="0.25">
      <c r="A6" s="17" t="s">
        <v>2118</v>
      </c>
      <c r="B6" s="24"/>
      <c r="C6" s="25"/>
      <c r="D6" s="25"/>
      <c r="E6" s="25"/>
      <c r="F6" s="24"/>
      <c r="G6" s="19"/>
      <c r="H6" s="14"/>
      <c r="I6" s="15"/>
      <c r="J6" s="15"/>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17"/>
      <c r="D13" s="42"/>
      <c r="E13" s="19"/>
      <c r="F13" s="42"/>
      <c r="G13" s="19"/>
      <c r="K13" s="168"/>
    </row>
    <row r="14" spans="1:26" ht="15.75" customHeight="1" x14ac:dyDescent="0.25">
      <c r="A14" s="17" t="s">
        <v>365</v>
      </c>
      <c r="B14" s="172"/>
      <c r="C14" s="42"/>
      <c r="D14" s="42"/>
      <c r="E14" s="42"/>
      <c r="F14" s="42"/>
      <c r="G14" s="42"/>
      <c r="K14" s="168"/>
    </row>
    <row r="15" spans="1:26" ht="15.75" customHeight="1" x14ac:dyDescent="0.25">
      <c r="A15" s="17" t="s">
        <v>366</v>
      </c>
      <c r="B15" s="172"/>
      <c r="C15" s="42"/>
      <c r="D15" s="42"/>
      <c r="E15" s="42"/>
      <c r="F15" s="42"/>
      <c r="G15" s="42"/>
      <c r="K15" s="168"/>
    </row>
    <row r="16" spans="1:26" ht="15.75" customHeight="1" x14ac:dyDescent="0.25">
      <c r="A16" s="44" t="s">
        <v>367</v>
      </c>
      <c r="B16" s="41" t="s">
        <v>121</v>
      </c>
      <c r="C16" s="43">
        <v>5903384.21</v>
      </c>
      <c r="D16" s="43">
        <v>2887393.02</v>
      </c>
      <c r="E16" s="43">
        <f>F16-D16</f>
        <v>5897482.9800000004</v>
      </c>
      <c r="F16" s="43">
        <v>8784876</v>
      </c>
      <c r="G16" s="43">
        <v>9159792</v>
      </c>
      <c r="K16" s="168"/>
    </row>
    <row r="17" spans="1:26" ht="15.75" customHeight="1" x14ac:dyDescent="0.25">
      <c r="A17" s="17" t="s">
        <v>368</v>
      </c>
      <c r="B17" s="172"/>
      <c r="C17" s="43"/>
      <c r="D17" s="43"/>
      <c r="E17" s="43"/>
      <c r="F17" s="43"/>
      <c r="G17" s="43"/>
      <c r="K17" s="168"/>
    </row>
    <row r="18" spans="1:26" ht="15.75" customHeight="1" x14ac:dyDescent="0.25">
      <c r="A18" s="44" t="s">
        <v>369</v>
      </c>
      <c r="B18" s="41" t="s">
        <v>125</v>
      </c>
      <c r="C18" s="43">
        <v>381740.17</v>
      </c>
      <c r="D18" s="43">
        <v>180000</v>
      </c>
      <c r="E18" s="43">
        <f t="shared" ref="E18:E26" si="0">F18-D18</f>
        <v>372000</v>
      </c>
      <c r="F18" s="43">
        <v>552000</v>
      </c>
      <c r="G18" s="43">
        <v>552000</v>
      </c>
      <c r="H18" s="15"/>
      <c r="I18" s="15"/>
      <c r="J18" s="15"/>
      <c r="K18" s="167"/>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104500</v>
      </c>
      <c r="D19" s="43">
        <v>45125</v>
      </c>
      <c r="E19" s="43">
        <f t="shared" si="0"/>
        <v>68875</v>
      </c>
      <c r="F19" s="43">
        <v>114000</v>
      </c>
      <c r="G19" s="43">
        <v>114000</v>
      </c>
      <c r="H19" s="15"/>
      <c r="I19" s="15"/>
      <c r="J19" s="15"/>
      <c r="K19" s="167"/>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104500</v>
      </c>
      <c r="D20" s="43">
        <v>45125</v>
      </c>
      <c r="E20" s="43">
        <f t="shared" si="0"/>
        <v>68875</v>
      </c>
      <c r="F20" s="43">
        <v>114000</v>
      </c>
      <c r="G20" s="43">
        <v>114000</v>
      </c>
      <c r="H20" s="15"/>
      <c r="I20" s="15"/>
      <c r="J20" s="15"/>
      <c r="K20" s="167"/>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98000</v>
      </c>
      <c r="D21" s="43">
        <v>105000</v>
      </c>
      <c r="E21" s="43">
        <f t="shared" si="0"/>
        <v>56000</v>
      </c>
      <c r="F21" s="43">
        <v>161000</v>
      </c>
      <c r="G21" s="43">
        <v>161000</v>
      </c>
      <c r="H21" s="15"/>
      <c r="I21" s="15"/>
      <c r="J21" s="15"/>
      <c r="K21" s="167"/>
      <c r="L21" s="15"/>
      <c r="M21" s="15"/>
      <c r="N21" s="15"/>
      <c r="O21" s="15"/>
      <c r="P21" s="15"/>
      <c r="Q21" s="15"/>
      <c r="R21" s="15"/>
      <c r="S21" s="15"/>
      <c r="T21" s="15"/>
      <c r="U21" s="15"/>
      <c r="V21" s="15"/>
      <c r="W21" s="15"/>
      <c r="X21" s="15"/>
      <c r="Y21" s="15"/>
      <c r="Z21" s="15"/>
    </row>
    <row r="22" spans="1:26" ht="15.75" customHeight="1" x14ac:dyDescent="0.25">
      <c r="A22" s="44" t="s">
        <v>1564</v>
      </c>
      <c r="B22" s="41" t="s">
        <v>133</v>
      </c>
      <c r="C22" s="43">
        <v>218300</v>
      </c>
      <c r="D22" s="43">
        <v>81850</v>
      </c>
      <c r="E22" s="43">
        <f t="shared" si="0"/>
        <v>332150</v>
      </c>
      <c r="F22" s="43">
        <v>414000</v>
      </c>
      <c r="G22" s="369">
        <v>414000</v>
      </c>
      <c r="H22" s="15"/>
      <c r="I22" s="15"/>
      <c r="J22" s="15"/>
      <c r="K22" s="167"/>
      <c r="L22" s="15"/>
      <c r="M22" s="15"/>
      <c r="N22" s="15"/>
      <c r="O22" s="15"/>
      <c r="P22" s="15"/>
      <c r="Q22" s="15"/>
      <c r="R22" s="15"/>
      <c r="S22" s="15"/>
      <c r="T22" s="15"/>
      <c r="U22" s="15"/>
      <c r="V22" s="15"/>
      <c r="W22" s="15"/>
      <c r="X22" s="15"/>
      <c r="Y22" s="15"/>
      <c r="Z22" s="15"/>
    </row>
    <row r="23" spans="1:26" ht="15.75" customHeight="1" x14ac:dyDescent="0.25">
      <c r="A23" s="44" t="s">
        <v>1567</v>
      </c>
      <c r="B23" s="41" t="s">
        <v>145</v>
      </c>
      <c r="C23" s="43">
        <v>1079716.7</v>
      </c>
      <c r="D23" s="43">
        <v>448679.28</v>
      </c>
      <c r="E23" s="43">
        <f t="shared" si="0"/>
        <v>1264150.72</v>
      </c>
      <c r="F23" s="43">
        <v>1712830</v>
      </c>
      <c r="G23" s="43">
        <v>1786381</v>
      </c>
      <c r="H23" s="15"/>
      <c r="I23" s="15"/>
      <c r="J23" s="15"/>
      <c r="K23" s="167"/>
      <c r="L23" s="15"/>
      <c r="M23" s="15"/>
      <c r="N23" s="15"/>
      <c r="O23" s="15"/>
      <c r="P23" s="15"/>
      <c r="Q23" s="15"/>
      <c r="R23" s="15"/>
      <c r="S23" s="15"/>
      <c r="T23" s="15"/>
      <c r="U23" s="15"/>
      <c r="V23" s="15"/>
      <c r="W23" s="15"/>
      <c r="X23" s="15"/>
      <c r="Y23" s="15"/>
      <c r="Z23" s="15"/>
    </row>
    <row r="24" spans="1:26" ht="15.75" customHeight="1" x14ac:dyDescent="0.25">
      <c r="A24" s="44" t="s">
        <v>690</v>
      </c>
      <c r="B24" s="41" t="s">
        <v>149</v>
      </c>
      <c r="C24" s="289">
        <v>965791.77</v>
      </c>
      <c r="D24" s="289">
        <v>401062.40000000002</v>
      </c>
      <c r="E24" s="43">
        <f t="shared" si="0"/>
        <v>956319.6</v>
      </c>
      <c r="F24" s="369">
        <v>1357382</v>
      </c>
      <c r="G24" s="369">
        <v>1415312</v>
      </c>
      <c r="H24" s="15"/>
      <c r="I24" s="15"/>
      <c r="J24" s="15"/>
      <c r="K24" s="167"/>
      <c r="L24" s="15"/>
      <c r="M24" s="15"/>
      <c r="N24" s="15"/>
      <c r="O24" s="15"/>
      <c r="P24" s="15"/>
      <c r="Q24" s="15"/>
      <c r="R24" s="15"/>
      <c r="S24" s="15"/>
      <c r="T24" s="15"/>
      <c r="U24" s="15"/>
      <c r="V24" s="15"/>
      <c r="W24" s="15"/>
      <c r="X24" s="15"/>
      <c r="Y24" s="15"/>
      <c r="Z24" s="15"/>
    </row>
    <row r="25" spans="1:26" ht="15.75" customHeight="1" x14ac:dyDescent="0.25">
      <c r="A25" s="44" t="s">
        <v>374</v>
      </c>
      <c r="B25" s="41" t="s">
        <v>151</v>
      </c>
      <c r="C25" s="43">
        <v>521651.20000000001</v>
      </c>
      <c r="D25" s="43">
        <v>0</v>
      </c>
      <c r="E25" s="43">
        <f t="shared" si="0"/>
        <v>732073</v>
      </c>
      <c r="F25" s="43">
        <v>732073</v>
      </c>
      <c r="G25" s="43">
        <v>763316</v>
      </c>
      <c r="H25" s="15"/>
      <c r="I25" s="15"/>
      <c r="J25" s="15"/>
      <c r="K25" s="167"/>
      <c r="L25" s="15"/>
      <c r="M25" s="15"/>
      <c r="N25" s="15"/>
      <c r="O25" s="15"/>
      <c r="P25" s="15"/>
      <c r="Q25" s="15"/>
      <c r="R25" s="15"/>
      <c r="S25" s="15"/>
      <c r="T25" s="15"/>
      <c r="U25" s="15"/>
      <c r="V25" s="15"/>
      <c r="W25" s="15"/>
      <c r="X25" s="15"/>
      <c r="Y25" s="15"/>
      <c r="Z25" s="15"/>
    </row>
    <row r="26" spans="1:26" ht="15.75" customHeight="1" x14ac:dyDescent="0.25">
      <c r="A26" s="44" t="s">
        <v>375</v>
      </c>
      <c r="B26" s="41" t="s">
        <v>153</v>
      </c>
      <c r="C26" s="43">
        <v>85000</v>
      </c>
      <c r="D26" s="43">
        <v>0</v>
      </c>
      <c r="E26" s="43">
        <f t="shared" si="0"/>
        <v>115000</v>
      </c>
      <c r="F26" s="43">
        <v>115000</v>
      </c>
      <c r="G26" s="43">
        <v>115000</v>
      </c>
      <c r="H26" s="15"/>
      <c r="I26" s="15"/>
      <c r="J26" s="15"/>
      <c r="K26" s="167"/>
      <c r="L26" s="15"/>
      <c r="M26" s="15"/>
      <c r="N26" s="15"/>
      <c r="O26" s="15"/>
      <c r="P26" s="15"/>
      <c r="Q26" s="15"/>
      <c r="R26" s="15"/>
      <c r="S26" s="15"/>
      <c r="T26" s="15"/>
      <c r="U26" s="15"/>
      <c r="V26" s="15"/>
      <c r="W26" s="15"/>
      <c r="X26" s="15"/>
      <c r="Y26" s="15"/>
      <c r="Z26" s="15"/>
    </row>
    <row r="27" spans="1:26" ht="15.75" customHeight="1" x14ac:dyDescent="0.25">
      <c r="A27" s="44" t="s">
        <v>376</v>
      </c>
      <c r="B27" s="41" t="s">
        <v>155</v>
      </c>
      <c r="C27" s="43"/>
      <c r="D27" s="43"/>
      <c r="E27" s="43"/>
      <c r="F27" s="43"/>
      <c r="G27" s="43"/>
      <c r="H27" s="15"/>
      <c r="I27" s="15"/>
      <c r="J27" s="15"/>
      <c r="K27" s="167"/>
      <c r="L27" s="15"/>
      <c r="M27" s="15"/>
      <c r="N27" s="15"/>
      <c r="O27" s="15"/>
      <c r="P27" s="15"/>
      <c r="Q27" s="15"/>
      <c r="R27" s="15"/>
      <c r="S27" s="15"/>
      <c r="T27" s="15"/>
      <c r="U27" s="15"/>
      <c r="V27" s="15"/>
      <c r="W27" s="15"/>
      <c r="X27" s="15"/>
      <c r="Y27" s="15"/>
      <c r="Z27" s="15"/>
    </row>
    <row r="28" spans="1:26" ht="15.75" customHeight="1" x14ac:dyDescent="0.25">
      <c r="A28" s="44" t="s">
        <v>377</v>
      </c>
      <c r="B28" s="41" t="s">
        <v>157</v>
      </c>
      <c r="C28" s="43">
        <v>5000</v>
      </c>
      <c r="D28" s="43">
        <v>10000</v>
      </c>
      <c r="E28" s="43">
        <f t="shared" ref="E28:E30" si="1">F28-D28</f>
        <v>20000</v>
      </c>
      <c r="F28" s="43">
        <v>30000</v>
      </c>
      <c r="G28" s="43">
        <v>10000</v>
      </c>
      <c r="H28" s="15"/>
      <c r="I28" s="15"/>
      <c r="J28" s="15"/>
      <c r="K28" s="167"/>
      <c r="L28" s="15"/>
      <c r="M28" s="15"/>
      <c r="N28" s="15"/>
      <c r="O28" s="15"/>
      <c r="P28" s="15"/>
      <c r="Q28" s="15"/>
      <c r="R28" s="15"/>
      <c r="S28" s="15"/>
      <c r="T28" s="15"/>
      <c r="U28" s="15"/>
      <c r="V28" s="15"/>
      <c r="W28" s="15"/>
      <c r="X28" s="15"/>
      <c r="Y28" s="15"/>
      <c r="Z28" s="15"/>
    </row>
    <row r="29" spans="1:26" ht="15.75" customHeight="1" x14ac:dyDescent="0.25">
      <c r="A29" s="44" t="s">
        <v>1227</v>
      </c>
      <c r="B29" s="41" t="s">
        <v>159</v>
      </c>
      <c r="C29" s="43">
        <v>0</v>
      </c>
      <c r="D29" s="43">
        <v>42000</v>
      </c>
      <c r="E29" s="43">
        <f t="shared" si="1"/>
        <v>27000</v>
      </c>
      <c r="F29" s="45">
        <v>69000</v>
      </c>
      <c r="G29" s="45">
        <v>0</v>
      </c>
      <c r="H29" s="15"/>
      <c r="I29" s="15"/>
      <c r="J29" s="15"/>
      <c r="K29" s="167"/>
      <c r="L29" s="15"/>
      <c r="M29" s="15"/>
      <c r="N29" s="15"/>
      <c r="O29" s="15"/>
      <c r="P29" s="15"/>
      <c r="Q29" s="15"/>
      <c r="R29" s="15"/>
      <c r="S29" s="15"/>
      <c r="T29" s="15"/>
      <c r="U29" s="15"/>
      <c r="V29" s="15"/>
      <c r="W29" s="15"/>
      <c r="X29" s="15"/>
      <c r="Y29" s="15"/>
      <c r="Z29" s="15"/>
    </row>
    <row r="30" spans="1:26" ht="15.75" customHeight="1" x14ac:dyDescent="0.25">
      <c r="A30" s="44" t="s">
        <v>379</v>
      </c>
      <c r="B30" s="41" t="s">
        <v>161</v>
      </c>
      <c r="C30" s="43">
        <v>484623</v>
      </c>
      <c r="D30" s="43">
        <v>481653</v>
      </c>
      <c r="E30" s="43">
        <f t="shared" si="1"/>
        <v>250420</v>
      </c>
      <c r="F30" s="45">
        <v>732073</v>
      </c>
      <c r="G30" s="45">
        <v>763316</v>
      </c>
      <c r="H30" s="15"/>
      <c r="I30" s="15"/>
      <c r="J30" s="15"/>
      <c r="K30" s="167"/>
      <c r="L30" s="15"/>
      <c r="M30" s="15"/>
      <c r="N30" s="15"/>
      <c r="O30" s="15"/>
      <c r="P30" s="15"/>
      <c r="Q30" s="15"/>
      <c r="R30" s="15"/>
      <c r="S30" s="15"/>
      <c r="T30" s="15"/>
      <c r="U30" s="15"/>
      <c r="V30" s="15"/>
      <c r="W30" s="15"/>
      <c r="X30" s="15"/>
      <c r="Y30" s="15"/>
      <c r="Z30" s="15"/>
    </row>
    <row r="31" spans="1:26" ht="15.75" customHeight="1" x14ac:dyDescent="0.25">
      <c r="A31" s="17" t="s">
        <v>380</v>
      </c>
      <c r="B31" s="41"/>
      <c r="C31" s="43"/>
      <c r="D31" s="43"/>
      <c r="E31" s="43"/>
      <c r="F31" s="43"/>
      <c r="G31" s="43"/>
      <c r="H31" s="15"/>
      <c r="I31" s="15"/>
      <c r="J31" s="15"/>
      <c r="K31" s="167"/>
      <c r="L31" s="15"/>
      <c r="M31" s="15"/>
      <c r="N31" s="15"/>
      <c r="O31" s="15"/>
      <c r="P31" s="15"/>
      <c r="Q31" s="15"/>
      <c r="R31" s="15"/>
      <c r="S31" s="15"/>
      <c r="T31" s="15"/>
      <c r="U31" s="15"/>
      <c r="V31" s="15"/>
      <c r="W31" s="15"/>
      <c r="X31" s="15"/>
      <c r="Y31" s="15"/>
      <c r="Z31" s="15"/>
    </row>
    <row r="32" spans="1:26" ht="15.75" customHeight="1" x14ac:dyDescent="0.25">
      <c r="A32" s="44" t="s">
        <v>381</v>
      </c>
      <c r="B32" s="41" t="s">
        <v>165</v>
      </c>
      <c r="C32" s="43">
        <v>700953.31</v>
      </c>
      <c r="D32" s="43">
        <v>346487.17</v>
      </c>
      <c r="E32" s="43">
        <f t="shared" ref="E32:E35" si="2">F32-D32</f>
        <v>707698.83000000007</v>
      </c>
      <c r="F32" s="43">
        <v>1054186</v>
      </c>
      <c r="G32" s="43">
        <v>1099176</v>
      </c>
      <c r="H32" s="15"/>
      <c r="I32" s="15"/>
      <c r="J32" s="15"/>
      <c r="K32" s="167"/>
      <c r="L32" s="15"/>
      <c r="M32" s="15"/>
      <c r="N32" s="15"/>
      <c r="O32" s="15"/>
      <c r="P32" s="15"/>
      <c r="Q32" s="15"/>
      <c r="R32" s="15"/>
      <c r="S32" s="15"/>
      <c r="T32" s="15"/>
      <c r="U32" s="15"/>
      <c r="V32" s="15"/>
      <c r="W32" s="15"/>
      <c r="X32" s="15"/>
      <c r="Y32" s="15"/>
      <c r="Z32" s="15"/>
    </row>
    <row r="33" spans="1:26" ht="15.75" customHeight="1" x14ac:dyDescent="0.25">
      <c r="A33" s="44" t="s">
        <v>382</v>
      </c>
      <c r="B33" s="41" t="s">
        <v>167</v>
      </c>
      <c r="C33" s="43">
        <v>116825.56</v>
      </c>
      <c r="D33" s="43">
        <v>57747.86</v>
      </c>
      <c r="E33" s="43">
        <f t="shared" si="2"/>
        <v>117950.14</v>
      </c>
      <c r="F33" s="43">
        <v>175698</v>
      </c>
      <c r="G33" s="43">
        <v>183196</v>
      </c>
      <c r="H33" s="15"/>
      <c r="I33" s="15"/>
      <c r="J33" s="15"/>
      <c r="K33" s="167"/>
      <c r="L33" s="15"/>
      <c r="M33" s="15"/>
      <c r="N33" s="15"/>
      <c r="O33" s="15"/>
      <c r="P33" s="15"/>
      <c r="Q33" s="15"/>
      <c r="R33" s="15"/>
      <c r="S33" s="15"/>
      <c r="T33" s="15"/>
      <c r="U33" s="15"/>
      <c r="V33" s="15"/>
      <c r="W33" s="15"/>
      <c r="X33" s="15"/>
      <c r="Y33" s="15"/>
      <c r="Z33" s="15"/>
    </row>
    <row r="34" spans="1:26" ht="15.75" customHeight="1" x14ac:dyDescent="0.25">
      <c r="A34" s="44" t="s">
        <v>383</v>
      </c>
      <c r="B34" s="41" t="s">
        <v>169</v>
      </c>
      <c r="C34" s="43">
        <v>138365.88</v>
      </c>
      <c r="D34" s="43">
        <v>67797.52</v>
      </c>
      <c r="E34" s="43">
        <f t="shared" si="2"/>
        <v>143062.47999999998</v>
      </c>
      <c r="F34" s="43">
        <v>210860</v>
      </c>
      <c r="G34" s="43">
        <v>218701</v>
      </c>
      <c r="H34" s="15"/>
      <c r="I34" s="15"/>
      <c r="J34" s="15"/>
      <c r="K34" s="167"/>
      <c r="L34" s="15"/>
      <c r="M34" s="15"/>
      <c r="N34" s="15"/>
      <c r="O34" s="15"/>
      <c r="P34" s="15"/>
      <c r="Q34" s="15"/>
      <c r="R34" s="15"/>
      <c r="S34" s="15"/>
      <c r="T34" s="15"/>
      <c r="U34" s="15"/>
      <c r="V34" s="15"/>
      <c r="W34" s="15"/>
      <c r="X34" s="15"/>
      <c r="Y34" s="15"/>
      <c r="Z34" s="15"/>
    </row>
    <row r="35" spans="1:26" ht="15.75" customHeight="1" x14ac:dyDescent="0.25">
      <c r="A35" s="44" t="s">
        <v>384</v>
      </c>
      <c r="B35" s="41" t="s">
        <v>171</v>
      </c>
      <c r="C35" s="43">
        <v>19176.060000000001</v>
      </c>
      <c r="D35" s="43">
        <v>9000</v>
      </c>
      <c r="E35" s="43">
        <f t="shared" si="2"/>
        <v>18600</v>
      </c>
      <c r="F35" s="43">
        <v>27600</v>
      </c>
      <c r="G35" s="43">
        <v>27600</v>
      </c>
      <c r="H35" s="15"/>
      <c r="I35" s="15"/>
      <c r="J35" s="15"/>
      <c r="K35" s="167"/>
      <c r="L35" s="15"/>
      <c r="M35" s="15"/>
      <c r="N35" s="15"/>
      <c r="O35" s="15"/>
      <c r="P35" s="15"/>
      <c r="Q35" s="15"/>
      <c r="R35" s="15"/>
      <c r="S35" s="15"/>
      <c r="T35" s="15"/>
      <c r="U35" s="15"/>
      <c r="V35" s="15"/>
      <c r="W35" s="15"/>
      <c r="X35" s="15"/>
      <c r="Y35" s="15"/>
      <c r="Z35" s="15"/>
    </row>
    <row r="36" spans="1:26" ht="15.75" customHeight="1" x14ac:dyDescent="0.25">
      <c r="A36" s="456" t="s">
        <v>624</v>
      </c>
      <c r="B36" s="454"/>
      <c r="C36" s="443"/>
      <c r="D36" s="443"/>
      <c r="E36" s="443"/>
      <c r="F36" s="443"/>
      <c r="G36" s="462"/>
      <c r="H36" s="15"/>
      <c r="I36" s="15"/>
      <c r="J36" s="15"/>
      <c r="K36" s="167"/>
      <c r="L36" s="15"/>
      <c r="M36" s="15"/>
      <c r="N36" s="15"/>
      <c r="O36" s="15"/>
      <c r="P36" s="15"/>
      <c r="Q36" s="15"/>
      <c r="R36" s="15"/>
      <c r="S36" s="15"/>
      <c r="T36" s="15"/>
      <c r="U36" s="15"/>
      <c r="V36" s="15"/>
      <c r="W36" s="15"/>
      <c r="X36" s="15"/>
      <c r="Y36" s="15"/>
      <c r="Z36" s="15"/>
    </row>
    <row r="37" spans="1:26" ht="15.75" customHeight="1" x14ac:dyDescent="0.25">
      <c r="A37" s="460" t="s">
        <v>386</v>
      </c>
      <c r="B37" s="454" t="s">
        <v>179</v>
      </c>
      <c r="C37" s="443">
        <v>751080.08</v>
      </c>
      <c r="D37" s="443">
        <v>0</v>
      </c>
      <c r="E37" s="443">
        <f t="shared" ref="E37:E39" si="3">F37-D37</f>
        <v>0</v>
      </c>
      <c r="F37" s="443">
        <v>0</v>
      </c>
      <c r="G37" s="462">
        <v>1317655</v>
      </c>
      <c r="H37" s="15"/>
      <c r="I37" s="15"/>
      <c r="J37" s="15"/>
      <c r="K37" s="167"/>
      <c r="L37" s="15"/>
      <c r="M37" s="15"/>
      <c r="N37" s="15"/>
      <c r="O37" s="15"/>
      <c r="P37" s="15"/>
      <c r="Q37" s="15"/>
      <c r="R37" s="15"/>
      <c r="S37" s="15"/>
      <c r="T37" s="15"/>
      <c r="U37" s="15"/>
      <c r="V37" s="15"/>
      <c r="W37" s="15"/>
      <c r="X37" s="15"/>
      <c r="Y37" s="15"/>
      <c r="Z37" s="15"/>
    </row>
    <row r="38" spans="1:26" ht="15.75" customHeight="1" x14ac:dyDescent="0.25">
      <c r="A38" s="44" t="s">
        <v>387</v>
      </c>
      <c r="B38" s="41" t="s">
        <v>181</v>
      </c>
      <c r="C38" s="43">
        <v>0</v>
      </c>
      <c r="D38" s="43">
        <v>46643.42</v>
      </c>
      <c r="E38" s="43">
        <f t="shared" si="3"/>
        <v>306162.58</v>
      </c>
      <c r="F38" s="484">
        <v>352806</v>
      </c>
      <c r="G38" s="462">
        <v>367863</v>
      </c>
      <c r="H38" s="15"/>
      <c r="I38" s="15"/>
      <c r="J38" s="15"/>
      <c r="K38" s="167"/>
      <c r="L38" s="15"/>
      <c r="M38" s="15"/>
      <c r="N38" s="15"/>
      <c r="O38" s="15"/>
      <c r="P38" s="15"/>
      <c r="Q38" s="15"/>
      <c r="R38" s="15"/>
      <c r="S38" s="15"/>
      <c r="T38" s="15"/>
      <c r="U38" s="15"/>
      <c r="V38" s="15"/>
      <c r="W38" s="15"/>
      <c r="X38" s="15"/>
      <c r="Y38" s="15"/>
      <c r="Z38" s="15"/>
    </row>
    <row r="39" spans="1:26" ht="15.75" customHeight="1" x14ac:dyDescent="0.25">
      <c r="A39" s="44" t="s">
        <v>388</v>
      </c>
      <c r="B39" s="41" t="s">
        <v>183</v>
      </c>
      <c r="C39" s="43">
        <v>88322.58</v>
      </c>
      <c r="D39" s="43">
        <v>0</v>
      </c>
      <c r="E39" s="43">
        <f t="shared" si="3"/>
        <v>115000</v>
      </c>
      <c r="F39" s="484">
        <v>115000</v>
      </c>
      <c r="G39" s="462">
        <v>115000</v>
      </c>
      <c r="H39" s="15"/>
      <c r="I39" s="15"/>
      <c r="J39" s="15"/>
      <c r="K39" s="167"/>
      <c r="L39" s="15"/>
      <c r="M39" s="15"/>
      <c r="N39" s="15"/>
      <c r="O39" s="15"/>
      <c r="P39" s="15"/>
      <c r="Q39" s="15"/>
      <c r="R39" s="15"/>
      <c r="S39" s="15"/>
      <c r="T39" s="15"/>
      <c r="U39" s="15"/>
      <c r="V39" s="15"/>
      <c r="W39" s="15"/>
      <c r="X39" s="15"/>
      <c r="Y39" s="15"/>
      <c r="Z39" s="15"/>
    </row>
    <row r="40" spans="1:26" ht="31.5" x14ac:dyDescent="0.25">
      <c r="A40" s="117" t="s">
        <v>625</v>
      </c>
      <c r="B40" s="41"/>
      <c r="C40" s="45">
        <v>0</v>
      </c>
      <c r="D40" s="45">
        <v>0</v>
      </c>
      <c r="E40" s="43">
        <v>0</v>
      </c>
      <c r="F40" s="484">
        <v>0</v>
      </c>
      <c r="G40" s="462">
        <v>310662</v>
      </c>
      <c r="H40" s="15"/>
      <c r="I40" s="15"/>
      <c r="J40" s="15"/>
      <c r="K40" s="167"/>
      <c r="L40" s="15"/>
      <c r="M40" s="15"/>
      <c r="N40" s="15"/>
      <c r="O40" s="15"/>
      <c r="P40" s="15"/>
      <c r="Q40" s="15"/>
      <c r="R40" s="15"/>
      <c r="S40" s="15"/>
      <c r="T40" s="15"/>
      <c r="U40" s="15"/>
      <c r="V40" s="15"/>
      <c r="W40" s="15"/>
      <c r="X40" s="15"/>
      <c r="Y40" s="15"/>
      <c r="Z40" s="15"/>
    </row>
    <row r="41" spans="1:26" ht="15.75" customHeight="1" x14ac:dyDescent="0.25">
      <c r="A41" s="17" t="s">
        <v>632</v>
      </c>
      <c r="B41" s="41"/>
      <c r="C41" s="79">
        <f>SUM(C15:C40)</f>
        <v>11766930.520000001</v>
      </c>
      <c r="D41" s="79">
        <f t="shared" ref="D41:G41" si="4">SUM(D16:D40)</f>
        <v>5255563.669999999</v>
      </c>
      <c r="E41" s="54">
        <f t="shared" si="4"/>
        <v>11568820.330000002</v>
      </c>
      <c r="F41" s="498">
        <f t="shared" si="4"/>
        <v>16824384</v>
      </c>
      <c r="G41" s="499">
        <f t="shared" si="4"/>
        <v>19007970</v>
      </c>
      <c r="H41" s="232"/>
      <c r="I41" s="232"/>
      <c r="J41" s="232"/>
      <c r="K41" s="263"/>
      <c r="L41" s="232"/>
      <c r="M41" s="232"/>
      <c r="N41" s="232"/>
      <c r="O41" s="232"/>
      <c r="P41" s="232"/>
      <c r="Q41" s="232"/>
      <c r="R41" s="232"/>
      <c r="S41" s="232"/>
      <c r="T41" s="232"/>
      <c r="U41" s="232"/>
      <c r="V41" s="232"/>
      <c r="W41" s="232"/>
      <c r="X41" s="232"/>
      <c r="Y41" s="232"/>
      <c r="Z41" s="232"/>
    </row>
    <row r="42" spans="1:26" ht="15.75" customHeight="1" x14ac:dyDescent="0.25">
      <c r="A42" s="17"/>
      <c r="B42" s="20"/>
      <c r="C42" s="55"/>
      <c r="D42" s="39"/>
      <c r="E42" s="55"/>
      <c r="F42" s="513"/>
      <c r="G42" s="500"/>
      <c r="H42" s="10"/>
      <c r="I42" s="10"/>
      <c r="J42" s="10"/>
      <c r="K42" s="265"/>
      <c r="L42" s="10"/>
      <c r="M42" s="10"/>
      <c r="N42" s="10"/>
      <c r="O42" s="10"/>
      <c r="P42" s="10"/>
      <c r="Q42" s="10"/>
      <c r="R42" s="10"/>
      <c r="S42" s="10"/>
      <c r="T42" s="10"/>
      <c r="U42" s="10"/>
      <c r="V42" s="10"/>
      <c r="W42" s="10"/>
      <c r="X42" s="10"/>
      <c r="Y42" s="10"/>
      <c r="Z42" s="10"/>
    </row>
    <row r="43" spans="1:26" ht="15.75" customHeight="1" x14ac:dyDescent="0.25">
      <c r="A43" s="42" t="s">
        <v>391</v>
      </c>
      <c r="B43" s="49"/>
      <c r="C43" s="45"/>
      <c r="D43" s="26"/>
      <c r="E43" s="56"/>
      <c r="F43" s="484"/>
      <c r="G43" s="462"/>
      <c r="H43" s="15"/>
      <c r="I43" s="15"/>
      <c r="J43" s="15"/>
      <c r="K43" s="167"/>
      <c r="L43" s="15"/>
      <c r="M43" s="15"/>
      <c r="N43" s="15"/>
      <c r="O43" s="15"/>
      <c r="P43" s="15"/>
      <c r="Q43" s="15"/>
      <c r="R43" s="15"/>
      <c r="S43" s="15"/>
      <c r="T43" s="15"/>
      <c r="U43" s="15"/>
      <c r="V43" s="15"/>
      <c r="W43" s="15"/>
      <c r="X43" s="15"/>
      <c r="Y43" s="15"/>
      <c r="Z43" s="15"/>
    </row>
    <row r="44" spans="1:26" ht="15.75" customHeight="1" x14ac:dyDescent="0.25">
      <c r="A44" s="17" t="s">
        <v>642</v>
      </c>
      <c r="B44" s="41"/>
      <c r="C44" s="43"/>
      <c r="D44" s="43"/>
      <c r="E44" s="43"/>
      <c r="F44" s="43"/>
      <c r="G44" s="43"/>
      <c r="H44" s="15"/>
      <c r="I44" s="15"/>
      <c r="J44" s="15"/>
      <c r="K44" s="167"/>
      <c r="L44" s="15"/>
      <c r="M44" s="15"/>
      <c r="N44" s="15"/>
      <c r="O44" s="15"/>
      <c r="P44" s="15"/>
      <c r="Q44" s="15"/>
      <c r="R44" s="15"/>
      <c r="S44" s="15"/>
      <c r="T44" s="15"/>
      <c r="U44" s="15"/>
      <c r="V44" s="15"/>
      <c r="W44" s="15"/>
      <c r="X44" s="15"/>
      <c r="Y44" s="15"/>
      <c r="Z44" s="15"/>
    </row>
    <row r="45" spans="1:26" ht="15.75" customHeight="1" x14ac:dyDescent="0.25">
      <c r="A45" s="44" t="s">
        <v>393</v>
      </c>
      <c r="B45" s="41" t="s">
        <v>187</v>
      </c>
      <c r="C45" s="43">
        <v>121622.77</v>
      </c>
      <c r="D45" s="43">
        <v>26094</v>
      </c>
      <c r="E45" s="43">
        <f>F45-D45</f>
        <v>223906</v>
      </c>
      <c r="F45" s="43">
        <v>250000</v>
      </c>
      <c r="G45" s="43">
        <v>250000</v>
      </c>
      <c r="H45" s="15"/>
      <c r="I45" s="15"/>
      <c r="J45" s="15"/>
      <c r="K45" s="167"/>
      <c r="L45" s="15"/>
      <c r="M45" s="15"/>
      <c r="N45" s="15"/>
      <c r="O45" s="15"/>
      <c r="P45" s="15"/>
      <c r="Q45" s="15"/>
      <c r="R45" s="15"/>
      <c r="S45" s="15"/>
      <c r="T45" s="15"/>
      <c r="U45" s="15"/>
      <c r="V45" s="15"/>
      <c r="W45" s="15"/>
      <c r="X45" s="15"/>
      <c r="Y45" s="15"/>
      <c r="Z45" s="15"/>
    </row>
    <row r="46" spans="1:26" ht="15.75" customHeight="1" x14ac:dyDescent="0.25">
      <c r="A46" s="17" t="s">
        <v>493</v>
      </c>
      <c r="B46" s="41"/>
      <c r="C46" s="43"/>
      <c r="D46" s="43"/>
      <c r="E46" s="43"/>
      <c r="F46" s="43"/>
      <c r="G46" s="43"/>
      <c r="H46" s="15"/>
      <c r="I46" s="15"/>
      <c r="J46" s="15"/>
      <c r="K46" s="167"/>
      <c r="L46" s="15"/>
      <c r="M46" s="15"/>
      <c r="N46" s="15"/>
      <c r="O46" s="15"/>
      <c r="P46" s="15"/>
      <c r="Q46" s="15"/>
      <c r="R46" s="15"/>
      <c r="S46" s="15"/>
      <c r="T46" s="15"/>
      <c r="U46" s="15"/>
      <c r="V46" s="15"/>
      <c r="W46" s="15"/>
      <c r="X46" s="15"/>
      <c r="Y46" s="15"/>
      <c r="Z46" s="15"/>
    </row>
    <row r="47" spans="1:26" ht="15.75" customHeight="1" x14ac:dyDescent="0.25">
      <c r="A47" s="44" t="s">
        <v>396</v>
      </c>
      <c r="B47" s="41" t="s">
        <v>191</v>
      </c>
      <c r="C47" s="43">
        <v>159142.04999999999</v>
      </c>
      <c r="D47" s="43">
        <v>103104.06</v>
      </c>
      <c r="E47" s="43">
        <f>F47-D47</f>
        <v>146895.94</v>
      </c>
      <c r="F47" s="43">
        <v>250000</v>
      </c>
      <c r="G47" s="43">
        <v>225000</v>
      </c>
      <c r="H47" s="15"/>
      <c r="I47" s="15"/>
      <c r="J47" s="15"/>
      <c r="K47" s="167"/>
      <c r="L47" s="15"/>
      <c r="M47" s="15"/>
      <c r="N47" s="15"/>
      <c r="O47" s="15"/>
      <c r="P47" s="15"/>
      <c r="Q47" s="15"/>
      <c r="R47" s="15"/>
      <c r="S47" s="15"/>
      <c r="T47" s="15"/>
      <c r="U47" s="15"/>
      <c r="V47" s="15"/>
      <c r="W47" s="15"/>
      <c r="X47" s="15"/>
      <c r="Y47" s="15"/>
      <c r="Z47" s="15"/>
    </row>
    <row r="48" spans="1:26" ht="15.75" customHeight="1" x14ac:dyDescent="0.25">
      <c r="A48" s="17" t="s">
        <v>499</v>
      </c>
      <c r="B48" s="41"/>
      <c r="C48" s="43"/>
      <c r="D48" s="43"/>
      <c r="E48" s="43"/>
      <c r="F48" s="43"/>
      <c r="G48" s="43"/>
      <c r="H48" s="15"/>
      <c r="I48" s="15"/>
      <c r="J48" s="15"/>
      <c r="K48" s="167"/>
      <c r="L48" s="15"/>
      <c r="M48" s="15"/>
      <c r="N48" s="15"/>
      <c r="O48" s="15"/>
      <c r="P48" s="15"/>
      <c r="Q48" s="15"/>
      <c r="R48" s="15"/>
      <c r="S48" s="15"/>
      <c r="T48" s="15"/>
      <c r="U48" s="15"/>
      <c r="V48" s="15"/>
      <c r="W48" s="15"/>
      <c r="X48" s="15"/>
      <c r="Y48" s="15"/>
      <c r="Z48" s="15"/>
    </row>
    <row r="49" spans="1:26" ht="15.75" customHeight="1" x14ac:dyDescent="0.25">
      <c r="A49" s="44" t="s">
        <v>398</v>
      </c>
      <c r="B49" s="41" t="s">
        <v>195</v>
      </c>
      <c r="C49" s="43">
        <v>93130.1</v>
      </c>
      <c r="D49" s="43">
        <v>0</v>
      </c>
      <c r="E49" s="43">
        <f t="shared" ref="E49:E53" si="5">F49-D49</f>
        <v>140416</v>
      </c>
      <c r="F49" s="43">
        <v>140416</v>
      </c>
      <c r="G49" s="43">
        <v>132369</v>
      </c>
      <c r="H49" s="15"/>
      <c r="I49" s="15"/>
      <c r="J49" s="15"/>
      <c r="K49" s="167"/>
      <c r="L49" s="15"/>
      <c r="M49" s="15"/>
      <c r="N49" s="15"/>
      <c r="O49" s="15"/>
      <c r="P49" s="15"/>
      <c r="Q49" s="15"/>
      <c r="R49" s="15"/>
      <c r="S49" s="15"/>
      <c r="T49" s="15"/>
      <c r="U49" s="15"/>
      <c r="V49" s="15"/>
      <c r="W49" s="15"/>
      <c r="X49" s="15"/>
      <c r="Y49" s="15"/>
      <c r="Z49" s="15"/>
    </row>
    <row r="50" spans="1:26" ht="15.75" customHeight="1" x14ac:dyDescent="0.25">
      <c r="A50" s="44" t="s">
        <v>500</v>
      </c>
      <c r="B50" s="41" t="s">
        <v>201</v>
      </c>
      <c r="C50" s="43">
        <v>3296903.25</v>
      </c>
      <c r="D50" s="43">
        <v>0</v>
      </c>
      <c r="E50" s="43">
        <f t="shared" si="5"/>
        <v>4500459</v>
      </c>
      <c r="F50" s="43">
        <v>4500459</v>
      </c>
      <c r="G50" s="43">
        <v>4500409</v>
      </c>
      <c r="H50" s="15"/>
      <c r="I50" s="15"/>
      <c r="J50" s="15"/>
      <c r="K50" s="167"/>
      <c r="L50" s="15"/>
      <c r="M50" s="15"/>
      <c r="N50" s="15"/>
      <c r="O50" s="15"/>
      <c r="P50" s="15"/>
      <c r="Q50" s="15"/>
      <c r="R50" s="15"/>
      <c r="S50" s="15"/>
      <c r="T50" s="15"/>
      <c r="U50" s="15"/>
      <c r="V50" s="15"/>
      <c r="W50" s="15"/>
      <c r="X50" s="15"/>
      <c r="Y50" s="15"/>
      <c r="Z50" s="15"/>
    </row>
    <row r="51" spans="1:26" ht="15.75" customHeight="1" x14ac:dyDescent="0.25">
      <c r="A51" s="370" t="s">
        <v>400</v>
      </c>
      <c r="B51" s="41" t="s">
        <v>221</v>
      </c>
      <c r="C51" s="43">
        <v>0</v>
      </c>
      <c r="D51" s="43">
        <v>0</v>
      </c>
      <c r="E51" s="43">
        <f t="shared" si="5"/>
        <v>0</v>
      </c>
      <c r="F51" s="43">
        <v>0</v>
      </c>
      <c r="G51" s="43">
        <v>130000</v>
      </c>
      <c r="H51" s="15"/>
      <c r="I51" s="15"/>
      <c r="J51" s="15"/>
      <c r="K51" s="167"/>
      <c r="L51" s="15"/>
      <c r="M51" s="15"/>
      <c r="N51" s="15"/>
      <c r="O51" s="15"/>
      <c r="P51" s="15"/>
      <c r="Q51" s="15"/>
      <c r="R51" s="15"/>
      <c r="S51" s="15"/>
      <c r="T51" s="15"/>
      <c r="U51" s="15"/>
      <c r="V51" s="15"/>
      <c r="W51" s="15"/>
      <c r="X51" s="15"/>
      <c r="Y51" s="15"/>
      <c r="Z51" s="15"/>
    </row>
    <row r="52" spans="1:26" ht="15.75" customHeight="1" x14ac:dyDescent="0.25">
      <c r="A52" s="370" t="s">
        <v>538</v>
      </c>
      <c r="B52" s="41" t="s">
        <v>223</v>
      </c>
      <c r="C52" s="43">
        <v>0</v>
      </c>
      <c r="D52" s="43">
        <v>0</v>
      </c>
      <c r="E52" s="43">
        <f t="shared" si="5"/>
        <v>0</v>
      </c>
      <c r="F52" s="43">
        <v>0</v>
      </c>
      <c r="G52" s="43">
        <v>50000</v>
      </c>
      <c r="H52" s="15"/>
      <c r="I52" s="15"/>
      <c r="J52" s="15"/>
      <c r="K52" s="167"/>
      <c r="L52" s="15"/>
      <c r="M52" s="15"/>
      <c r="N52" s="15"/>
      <c r="O52" s="15"/>
      <c r="P52" s="15"/>
      <c r="Q52" s="15"/>
      <c r="R52" s="15"/>
      <c r="S52" s="15"/>
      <c r="T52" s="15"/>
      <c r="U52" s="15"/>
      <c r="V52" s="15"/>
      <c r="W52" s="15"/>
      <c r="X52" s="15"/>
      <c r="Y52" s="15"/>
      <c r="Z52" s="15"/>
    </row>
    <row r="53" spans="1:26" ht="15.75" customHeight="1" x14ac:dyDescent="0.25">
      <c r="A53" s="44" t="s">
        <v>402</v>
      </c>
      <c r="B53" s="41" t="s">
        <v>225</v>
      </c>
      <c r="C53" s="43">
        <v>93362</v>
      </c>
      <c r="D53" s="43">
        <v>0</v>
      </c>
      <c r="E53" s="43">
        <f t="shared" si="5"/>
        <v>103990</v>
      </c>
      <c r="F53" s="43">
        <v>103990</v>
      </c>
      <c r="G53" s="43">
        <v>112086</v>
      </c>
      <c r="H53" s="15"/>
      <c r="I53" s="15"/>
      <c r="J53" s="15"/>
      <c r="K53" s="167"/>
      <c r="L53" s="15"/>
      <c r="M53" s="15"/>
      <c r="N53" s="15"/>
      <c r="O53" s="15"/>
      <c r="P53" s="15"/>
      <c r="Q53" s="15"/>
      <c r="R53" s="15"/>
      <c r="S53" s="15"/>
      <c r="T53" s="15"/>
      <c r="U53" s="15"/>
      <c r="V53" s="15"/>
      <c r="W53" s="15"/>
      <c r="X53" s="15"/>
      <c r="Y53" s="15"/>
      <c r="Z53" s="15"/>
    </row>
    <row r="54" spans="1:26" ht="15.75" customHeight="1" x14ac:dyDescent="0.25">
      <c r="A54" s="17" t="s">
        <v>503</v>
      </c>
      <c r="B54" s="41"/>
      <c r="C54" s="43"/>
      <c r="D54" s="43"/>
      <c r="E54" s="43"/>
      <c r="F54" s="43"/>
      <c r="G54" s="440"/>
      <c r="H54" s="15"/>
      <c r="I54" s="15"/>
      <c r="J54" s="15"/>
      <c r="K54" s="167"/>
      <c r="L54" s="15"/>
      <c r="M54" s="15"/>
      <c r="N54" s="15"/>
      <c r="O54" s="15"/>
      <c r="P54" s="15"/>
      <c r="Q54" s="15"/>
      <c r="R54" s="15"/>
      <c r="S54" s="15"/>
      <c r="T54" s="15"/>
      <c r="U54" s="15"/>
      <c r="V54" s="15"/>
      <c r="W54" s="15"/>
      <c r="X54" s="15"/>
      <c r="Y54" s="15"/>
      <c r="Z54" s="15"/>
    </row>
    <row r="55" spans="1:26" ht="15.75" customHeight="1" x14ac:dyDescent="0.25">
      <c r="A55" s="96" t="s">
        <v>2119</v>
      </c>
      <c r="B55" s="41" t="s">
        <v>231</v>
      </c>
      <c r="C55" s="45">
        <v>0</v>
      </c>
      <c r="D55" s="43">
        <v>1100</v>
      </c>
      <c r="E55" s="43">
        <f t="shared" ref="E55:E56" si="6">F55-D55</f>
        <v>4900</v>
      </c>
      <c r="F55" s="43">
        <v>6000</v>
      </c>
      <c r="G55" s="440">
        <v>6000</v>
      </c>
      <c r="H55" s="15"/>
      <c r="I55" s="15"/>
      <c r="J55" s="15"/>
      <c r="K55" s="167"/>
      <c r="L55" s="15"/>
      <c r="M55" s="15"/>
      <c r="N55" s="15"/>
      <c r="O55" s="15"/>
      <c r="P55" s="15"/>
      <c r="Q55" s="15"/>
      <c r="R55" s="15"/>
      <c r="S55" s="15"/>
      <c r="T55" s="15"/>
      <c r="U55" s="15"/>
      <c r="V55" s="15"/>
      <c r="W55" s="15"/>
      <c r="X55" s="15"/>
      <c r="Y55" s="15"/>
      <c r="Z55" s="15"/>
    </row>
    <row r="56" spans="1:26" ht="15.75" customHeight="1" x14ac:dyDescent="0.25">
      <c r="A56" s="597" t="s">
        <v>405</v>
      </c>
      <c r="B56" s="483" t="s">
        <v>235</v>
      </c>
      <c r="C56" s="452">
        <v>12000</v>
      </c>
      <c r="D56" s="457">
        <v>5994</v>
      </c>
      <c r="E56" s="457">
        <f t="shared" si="6"/>
        <v>24006</v>
      </c>
      <c r="F56" s="457">
        <v>30000</v>
      </c>
      <c r="G56" s="623">
        <f>2500*12</f>
        <v>30000</v>
      </c>
      <c r="H56" s="15"/>
      <c r="I56" s="15"/>
      <c r="J56" s="15"/>
      <c r="K56" s="167"/>
      <c r="L56" s="15"/>
      <c r="M56" s="15"/>
      <c r="N56" s="15"/>
      <c r="O56" s="15"/>
      <c r="P56" s="15"/>
      <c r="Q56" s="15"/>
      <c r="R56" s="15"/>
      <c r="S56" s="15"/>
      <c r="T56" s="15"/>
      <c r="U56" s="15"/>
      <c r="V56" s="15"/>
      <c r="W56" s="15"/>
      <c r="X56" s="15"/>
      <c r="Y56" s="15"/>
      <c r="Z56" s="15"/>
    </row>
    <row r="57" spans="1:26" ht="15.75" customHeight="1" x14ac:dyDescent="0.25">
      <c r="A57" s="625" t="s">
        <v>424</v>
      </c>
      <c r="B57" s="624"/>
      <c r="C57" s="694"/>
      <c r="D57" s="695"/>
      <c r="E57" s="448"/>
      <c r="F57" s="448"/>
      <c r="G57" s="508"/>
      <c r="K57" s="168"/>
    </row>
    <row r="58" spans="1:26" ht="15.75" customHeight="1" x14ac:dyDescent="0.25">
      <c r="A58" s="696" t="s">
        <v>645</v>
      </c>
      <c r="B58" s="437" t="s">
        <v>335</v>
      </c>
      <c r="C58" s="697">
        <v>0</v>
      </c>
      <c r="D58" s="698">
        <v>1102.4000000000001</v>
      </c>
      <c r="E58" s="438">
        <f t="shared" ref="E58:E59" si="7">F58-D58</f>
        <v>4897.6000000000004</v>
      </c>
      <c r="F58" s="438">
        <v>6000</v>
      </c>
      <c r="G58" s="541">
        <v>6000</v>
      </c>
      <c r="K58" s="168"/>
    </row>
    <row r="59" spans="1:26" ht="15.75" customHeight="1" x14ac:dyDescent="0.25">
      <c r="A59" s="48" t="s">
        <v>424</v>
      </c>
      <c r="B59" s="41" t="s">
        <v>335</v>
      </c>
      <c r="C59" s="371">
        <v>1860832</v>
      </c>
      <c r="D59" s="371">
        <v>777637</v>
      </c>
      <c r="E59" s="43">
        <f t="shared" si="7"/>
        <v>1198763</v>
      </c>
      <c r="F59" s="371">
        <v>1976400</v>
      </c>
      <c r="G59" s="582">
        <v>2475000</v>
      </c>
      <c r="H59" s="168">
        <f>SUM(K62:K72)</f>
        <v>2475000</v>
      </c>
      <c r="K59" s="168"/>
    </row>
    <row r="60" spans="1:26" ht="15.75" customHeight="1" x14ac:dyDescent="0.25">
      <c r="A60" s="42" t="s">
        <v>2120</v>
      </c>
      <c r="B60" s="41"/>
      <c r="C60" s="41"/>
      <c r="D60" s="41"/>
      <c r="E60" s="43"/>
      <c r="F60" s="41"/>
      <c r="G60" s="466"/>
      <c r="L60" s="15"/>
      <c r="M60" s="15"/>
      <c r="N60" s="15"/>
      <c r="O60" s="15"/>
      <c r="P60" s="15"/>
      <c r="Q60" s="15"/>
      <c r="R60" s="15"/>
      <c r="S60" s="15"/>
      <c r="T60" s="15"/>
      <c r="U60" s="15"/>
      <c r="V60" s="15"/>
      <c r="W60" s="15"/>
      <c r="X60" s="15"/>
      <c r="Y60" s="15"/>
      <c r="Z60" s="15"/>
    </row>
    <row r="61" spans="1:26" ht="15.75" customHeight="1" x14ac:dyDescent="0.25">
      <c r="A61" s="42" t="s">
        <v>2121</v>
      </c>
      <c r="B61" s="41"/>
      <c r="C61" s="41"/>
      <c r="D61" s="41"/>
      <c r="E61" s="43"/>
      <c r="F61" s="41"/>
      <c r="G61" s="466"/>
      <c r="H61" s="15"/>
      <c r="I61" s="15"/>
      <c r="J61" s="15"/>
      <c r="K61" s="167"/>
      <c r="L61" s="15"/>
      <c r="M61" s="15"/>
      <c r="N61" s="15"/>
      <c r="O61" s="15"/>
      <c r="P61" s="15"/>
      <c r="Q61" s="15"/>
      <c r="R61" s="15"/>
      <c r="S61" s="15"/>
      <c r="T61" s="15"/>
      <c r="U61" s="15"/>
      <c r="V61" s="15"/>
      <c r="W61" s="15"/>
      <c r="X61" s="15"/>
      <c r="Y61" s="15"/>
      <c r="Z61" s="15"/>
    </row>
    <row r="62" spans="1:26" ht="15.75" customHeight="1" x14ac:dyDescent="0.25">
      <c r="A62" s="42" t="s">
        <v>2122</v>
      </c>
      <c r="B62" s="41"/>
      <c r="C62" s="41"/>
      <c r="D62" s="41"/>
      <c r="E62" s="43"/>
      <c r="F62" s="41"/>
      <c r="G62" s="466"/>
      <c r="H62" s="15">
        <v>264</v>
      </c>
      <c r="I62" s="15">
        <v>678</v>
      </c>
      <c r="J62" s="15">
        <v>3</v>
      </c>
      <c r="K62" s="167">
        <f t="shared" ref="K62:K72" si="8">J62*I62*H62</f>
        <v>536976</v>
      </c>
      <c r="L62" s="15"/>
      <c r="M62" s="15"/>
      <c r="N62" s="15"/>
      <c r="O62" s="15"/>
      <c r="P62" s="15"/>
      <c r="Q62" s="15"/>
      <c r="R62" s="15"/>
      <c r="S62" s="15"/>
      <c r="T62" s="15"/>
      <c r="U62" s="15"/>
      <c r="V62" s="15"/>
      <c r="W62" s="15"/>
      <c r="X62" s="15"/>
      <c r="Y62" s="15"/>
      <c r="Z62" s="15"/>
    </row>
    <row r="63" spans="1:26" ht="15.75" customHeight="1" x14ac:dyDescent="0.25">
      <c r="A63" s="293" t="s">
        <v>2123</v>
      </c>
      <c r="B63" s="41"/>
      <c r="C63" s="41"/>
      <c r="D63" s="41"/>
      <c r="E63" s="43"/>
      <c r="F63" s="41"/>
      <c r="G63" s="466"/>
      <c r="H63" s="15"/>
      <c r="I63" s="15"/>
      <c r="J63" s="15"/>
      <c r="K63" s="167">
        <f t="shared" si="8"/>
        <v>0</v>
      </c>
      <c r="L63" s="15"/>
      <c r="M63" s="15"/>
      <c r="N63" s="15"/>
      <c r="O63" s="15"/>
      <c r="P63" s="15"/>
      <c r="Q63" s="15"/>
      <c r="R63" s="15"/>
      <c r="S63" s="15"/>
      <c r="T63" s="15"/>
      <c r="U63" s="15"/>
      <c r="V63" s="15"/>
      <c r="W63" s="15"/>
      <c r="X63" s="15"/>
      <c r="Y63" s="15"/>
      <c r="Z63" s="15"/>
    </row>
    <row r="64" spans="1:26" ht="15.75" customHeight="1" x14ac:dyDescent="0.25">
      <c r="A64" s="48" t="s">
        <v>2124</v>
      </c>
      <c r="B64" s="41"/>
      <c r="C64" s="41"/>
      <c r="D64" s="41"/>
      <c r="E64" s="43"/>
      <c r="F64" s="41"/>
      <c r="G64" s="41"/>
      <c r="H64" s="15"/>
      <c r="I64" s="15"/>
      <c r="J64" s="15"/>
      <c r="K64" s="167">
        <f t="shared" si="8"/>
        <v>0</v>
      </c>
      <c r="L64" s="15"/>
      <c r="M64" s="15"/>
      <c r="N64" s="15"/>
      <c r="O64" s="15"/>
      <c r="P64" s="15"/>
      <c r="Q64" s="15"/>
      <c r="R64" s="15"/>
      <c r="S64" s="15"/>
      <c r="T64" s="15"/>
      <c r="U64" s="15"/>
      <c r="V64" s="15"/>
      <c r="W64" s="15"/>
      <c r="X64" s="15"/>
      <c r="Y64" s="15"/>
      <c r="Z64" s="15"/>
    </row>
    <row r="65" spans="1:26" ht="15.75" customHeight="1" x14ac:dyDescent="0.25">
      <c r="A65" s="48" t="s">
        <v>2125</v>
      </c>
      <c r="B65" s="41"/>
      <c r="C65" s="41"/>
      <c r="D65" s="41"/>
      <c r="E65" s="43"/>
      <c r="F65" s="41"/>
      <c r="G65" s="41"/>
      <c r="H65" s="15">
        <v>264</v>
      </c>
      <c r="I65" s="15">
        <v>678</v>
      </c>
      <c r="J65" s="15">
        <v>4</v>
      </c>
      <c r="K65" s="167">
        <f t="shared" si="8"/>
        <v>715968</v>
      </c>
      <c r="L65" s="15"/>
      <c r="M65" s="15"/>
      <c r="N65" s="15"/>
      <c r="O65" s="15"/>
      <c r="P65" s="15"/>
      <c r="Q65" s="15"/>
      <c r="R65" s="15"/>
      <c r="S65" s="15"/>
      <c r="T65" s="15"/>
      <c r="U65" s="15"/>
      <c r="V65" s="15"/>
      <c r="W65" s="15"/>
      <c r="X65" s="15"/>
      <c r="Y65" s="15"/>
      <c r="Z65" s="15"/>
    </row>
    <row r="66" spans="1:26" ht="15.75" customHeight="1" x14ac:dyDescent="0.25">
      <c r="A66" s="48" t="s">
        <v>2126</v>
      </c>
      <c r="B66" s="41"/>
      <c r="C66" s="41"/>
      <c r="D66" s="41"/>
      <c r="E66" s="43"/>
      <c r="F66" s="41"/>
      <c r="G66" s="41"/>
      <c r="H66" s="15">
        <v>264</v>
      </c>
      <c r="I66" s="15">
        <v>639</v>
      </c>
      <c r="J66" s="15">
        <v>1</v>
      </c>
      <c r="K66" s="167">
        <f t="shared" si="8"/>
        <v>168696</v>
      </c>
      <c r="L66" s="15"/>
      <c r="M66" s="15"/>
      <c r="N66" s="15"/>
      <c r="O66" s="15"/>
      <c r="P66" s="15"/>
      <c r="Q66" s="15"/>
      <c r="R66" s="15"/>
      <c r="S66" s="15"/>
      <c r="T66" s="15"/>
      <c r="U66" s="15"/>
      <c r="V66" s="15"/>
      <c r="W66" s="15"/>
      <c r="X66" s="15"/>
      <c r="Y66" s="15"/>
      <c r="Z66" s="15"/>
    </row>
    <row r="67" spans="1:26" ht="15.75" customHeight="1" x14ac:dyDescent="0.25">
      <c r="A67" s="48" t="s">
        <v>2127</v>
      </c>
      <c r="B67" s="41"/>
      <c r="C67" s="41"/>
      <c r="D67" s="41"/>
      <c r="E67" s="43"/>
      <c r="F67" s="41"/>
      <c r="G67" s="41"/>
      <c r="H67" s="15">
        <v>264</v>
      </c>
      <c r="I67" s="15">
        <v>678</v>
      </c>
      <c r="J67" s="15">
        <v>1</v>
      </c>
      <c r="K67" s="167">
        <f t="shared" si="8"/>
        <v>178992</v>
      </c>
      <c r="L67" s="15"/>
      <c r="M67" s="15"/>
      <c r="N67" s="15"/>
      <c r="O67" s="15"/>
      <c r="P67" s="15"/>
      <c r="Q67" s="15"/>
      <c r="R67" s="15"/>
      <c r="S67" s="15"/>
      <c r="T67" s="15"/>
      <c r="U67" s="15"/>
      <c r="V67" s="15"/>
      <c r="W67" s="15"/>
      <c r="X67" s="15"/>
      <c r="Y67" s="15"/>
      <c r="Z67" s="15"/>
    </row>
    <row r="68" spans="1:26" ht="15.75" customHeight="1" x14ac:dyDescent="0.25">
      <c r="A68" s="48" t="s">
        <v>2128</v>
      </c>
      <c r="B68" s="41"/>
      <c r="C68" s="41"/>
      <c r="D68" s="41"/>
      <c r="E68" s="43"/>
      <c r="F68" s="41"/>
      <c r="G68" s="41"/>
      <c r="H68" s="15"/>
      <c r="I68" s="15"/>
      <c r="J68" s="15"/>
      <c r="K68" s="167">
        <f t="shared" si="8"/>
        <v>0</v>
      </c>
      <c r="L68" s="15"/>
      <c r="M68" s="15"/>
      <c r="N68" s="15"/>
      <c r="O68" s="15"/>
      <c r="P68" s="15"/>
      <c r="Q68" s="15"/>
      <c r="R68" s="15"/>
      <c r="S68" s="15"/>
      <c r="T68" s="15"/>
      <c r="U68" s="15"/>
      <c r="V68" s="15"/>
      <c r="W68" s="15"/>
      <c r="X68" s="15"/>
      <c r="Y68" s="15"/>
      <c r="Z68" s="15"/>
    </row>
    <row r="69" spans="1:26" ht="15.75" customHeight="1" x14ac:dyDescent="0.25">
      <c r="A69" s="48" t="s">
        <v>2129</v>
      </c>
      <c r="B69" s="41"/>
      <c r="C69" s="41"/>
      <c r="D69" s="41"/>
      <c r="E69" s="43"/>
      <c r="F69" s="41"/>
      <c r="G69" s="41"/>
      <c r="H69" s="15">
        <v>264</v>
      </c>
      <c r="I69" s="15">
        <v>678</v>
      </c>
      <c r="J69" s="15">
        <v>1</v>
      </c>
      <c r="K69" s="167">
        <f t="shared" si="8"/>
        <v>178992</v>
      </c>
      <c r="L69" s="15"/>
      <c r="M69" s="15"/>
      <c r="N69" s="15"/>
      <c r="O69" s="15"/>
      <c r="P69" s="15"/>
      <c r="Q69" s="15"/>
      <c r="R69" s="15"/>
      <c r="S69" s="15"/>
      <c r="T69" s="15"/>
      <c r="U69" s="15"/>
      <c r="V69" s="15"/>
      <c r="W69" s="15"/>
      <c r="X69" s="15"/>
      <c r="Y69" s="15"/>
      <c r="Z69" s="15"/>
    </row>
    <row r="70" spans="1:26" ht="15.75" customHeight="1" x14ac:dyDescent="0.25">
      <c r="A70" s="460" t="s">
        <v>2130</v>
      </c>
      <c r="B70" s="454"/>
      <c r="C70" s="454"/>
      <c r="D70" s="454"/>
      <c r="E70" s="443"/>
      <c r="F70" s="454"/>
      <c r="G70" s="461"/>
      <c r="H70" s="15">
        <v>264</v>
      </c>
      <c r="I70" s="15">
        <v>639</v>
      </c>
      <c r="J70" s="15">
        <v>2</v>
      </c>
      <c r="K70" s="167">
        <f t="shared" si="8"/>
        <v>337392</v>
      </c>
      <c r="L70" s="15"/>
      <c r="M70" s="15"/>
      <c r="N70" s="15"/>
      <c r="O70" s="15"/>
      <c r="P70" s="15"/>
      <c r="Q70" s="15"/>
      <c r="R70" s="15"/>
      <c r="S70" s="15"/>
      <c r="T70" s="15"/>
      <c r="U70" s="15"/>
      <c r="V70" s="15"/>
      <c r="W70" s="15"/>
      <c r="X70" s="15"/>
      <c r="Y70" s="15"/>
      <c r="Z70" s="15"/>
    </row>
    <row r="71" spans="1:26" ht="15.75" customHeight="1" x14ac:dyDescent="0.25">
      <c r="A71" s="460" t="s">
        <v>2131</v>
      </c>
      <c r="B71" s="454"/>
      <c r="C71" s="454"/>
      <c r="D71" s="454"/>
      <c r="E71" s="443"/>
      <c r="F71" s="454"/>
      <c r="G71" s="461"/>
      <c r="H71" s="15"/>
      <c r="I71" s="15"/>
      <c r="J71" s="15"/>
      <c r="K71" s="167">
        <f t="shared" si="8"/>
        <v>0</v>
      </c>
      <c r="L71" s="15"/>
      <c r="M71" s="15"/>
      <c r="N71" s="15"/>
      <c r="O71" s="15"/>
      <c r="P71" s="15"/>
      <c r="Q71" s="15"/>
      <c r="R71" s="15"/>
      <c r="S71" s="15"/>
      <c r="T71" s="15"/>
      <c r="U71" s="15"/>
      <c r="V71" s="15"/>
      <c r="W71" s="15"/>
      <c r="X71" s="15"/>
      <c r="Y71" s="15"/>
      <c r="Z71" s="15"/>
    </row>
    <row r="72" spans="1:26" ht="15.75" customHeight="1" x14ac:dyDescent="0.25">
      <c r="A72" s="583" t="s">
        <v>2132</v>
      </c>
      <c r="B72" s="437"/>
      <c r="C72" s="437"/>
      <c r="D72" s="437"/>
      <c r="E72" s="438"/>
      <c r="F72" s="437"/>
      <c r="G72" s="437"/>
      <c r="H72" s="15">
        <v>264</v>
      </c>
      <c r="I72" s="15">
        <v>678</v>
      </c>
      <c r="J72" s="15">
        <v>2</v>
      </c>
      <c r="K72" s="167">
        <f t="shared" si="8"/>
        <v>357984</v>
      </c>
      <c r="L72" s="15"/>
      <c r="M72" s="15"/>
      <c r="N72" s="15"/>
      <c r="O72" s="15"/>
      <c r="P72" s="15"/>
      <c r="Q72" s="15"/>
      <c r="R72" s="15"/>
      <c r="S72" s="15"/>
      <c r="T72" s="15"/>
      <c r="U72" s="15"/>
      <c r="V72" s="15"/>
      <c r="W72" s="15"/>
      <c r="X72" s="15"/>
      <c r="Y72" s="15"/>
      <c r="Z72" s="15"/>
    </row>
    <row r="73" spans="1:26" ht="15.75" customHeight="1" x14ac:dyDescent="0.25">
      <c r="A73" s="42" t="s">
        <v>672</v>
      </c>
      <c r="B73" s="41"/>
      <c r="C73" s="79">
        <f t="shared" ref="C73:G73" si="9">SUM(C45:C59)</f>
        <v>5636992.1699999999</v>
      </c>
      <c r="D73" s="54">
        <f t="shared" si="9"/>
        <v>915031.46</v>
      </c>
      <c r="E73" s="54">
        <f t="shared" si="9"/>
        <v>6348233.54</v>
      </c>
      <c r="F73" s="54">
        <f t="shared" si="9"/>
        <v>7263265</v>
      </c>
      <c r="G73" s="54">
        <f t="shared" si="9"/>
        <v>7916864</v>
      </c>
      <c r="H73" s="15"/>
      <c r="I73" s="15"/>
      <c r="J73" s="15"/>
      <c r="K73" s="167"/>
      <c r="L73" s="15"/>
      <c r="M73" s="15"/>
      <c r="N73" s="15"/>
      <c r="O73" s="15"/>
      <c r="P73" s="15"/>
      <c r="Q73" s="15"/>
      <c r="R73" s="15"/>
      <c r="S73" s="15"/>
      <c r="T73" s="15"/>
      <c r="U73" s="15"/>
      <c r="V73" s="15"/>
      <c r="W73" s="15"/>
      <c r="X73" s="15"/>
      <c r="Y73" s="15"/>
      <c r="Z73" s="15"/>
    </row>
    <row r="74" spans="1:26" ht="15.75" customHeight="1" x14ac:dyDescent="0.25">
      <c r="A74" s="42"/>
      <c r="B74" s="41"/>
      <c r="C74" s="45"/>
      <c r="D74" s="26"/>
      <c r="E74" s="163"/>
      <c r="F74" s="55"/>
      <c r="G74" s="43"/>
      <c r="H74" s="15"/>
      <c r="I74" s="15"/>
      <c r="J74" s="15"/>
      <c r="K74" s="167"/>
      <c r="L74" s="15"/>
      <c r="M74" s="15"/>
      <c r="N74" s="15"/>
      <c r="O74" s="15"/>
      <c r="P74" s="15"/>
      <c r="Q74" s="15"/>
      <c r="R74" s="15"/>
      <c r="S74" s="15"/>
      <c r="T74" s="15"/>
      <c r="U74" s="15"/>
      <c r="V74" s="15"/>
      <c r="W74" s="15"/>
      <c r="X74" s="15"/>
      <c r="Y74" s="15"/>
      <c r="Z74" s="15"/>
    </row>
    <row r="75" spans="1:26" ht="15.75" customHeight="1" x14ac:dyDescent="0.25">
      <c r="A75" s="42" t="s">
        <v>467</v>
      </c>
      <c r="B75" s="49"/>
      <c r="C75" s="45">
        <f>C41+C73</f>
        <v>17403922.690000001</v>
      </c>
      <c r="D75" s="45">
        <f t="shared" ref="D75:F75" si="10">SUM(D41,D73)</f>
        <v>6170595.129999999</v>
      </c>
      <c r="E75" s="45">
        <f t="shared" si="10"/>
        <v>17917053.870000001</v>
      </c>
      <c r="F75" s="45">
        <f t="shared" si="10"/>
        <v>24087649</v>
      </c>
      <c r="G75" s="43">
        <f>G41+G73</f>
        <v>26924834</v>
      </c>
      <c r="H75" s="15"/>
      <c r="I75" s="15"/>
      <c r="J75" s="15"/>
      <c r="K75" s="167"/>
      <c r="L75" s="15"/>
      <c r="M75" s="15"/>
      <c r="N75" s="15"/>
      <c r="O75" s="15"/>
      <c r="P75" s="15"/>
      <c r="Q75" s="15"/>
      <c r="R75" s="15"/>
      <c r="S75" s="15"/>
      <c r="T75" s="15"/>
      <c r="U75" s="15"/>
      <c r="V75" s="15"/>
      <c r="W75" s="15"/>
      <c r="X75" s="15"/>
      <c r="Y75" s="15"/>
      <c r="Z75" s="15"/>
    </row>
    <row r="76" spans="1:26" ht="15.75" customHeight="1" x14ac:dyDescent="0.25">
      <c r="A76" s="42"/>
      <c r="B76" s="41"/>
      <c r="C76" s="43"/>
      <c r="D76" s="43"/>
      <c r="E76" s="43"/>
      <c r="F76" s="43"/>
      <c r="G76" s="43"/>
      <c r="H76" s="15"/>
      <c r="I76" s="15"/>
      <c r="J76" s="15"/>
      <c r="K76" s="167"/>
      <c r="L76" s="15"/>
      <c r="M76" s="15"/>
      <c r="N76" s="15"/>
      <c r="O76" s="15"/>
      <c r="P76" s="15"/>
      <c r="Q76" s="15"/>
      <c r="R76" s="15"/>
      <c r="S76" s="15"/>
      <c r="T76" s="15"/>
      <c r="U76" s="15"/>
      <c r="V76" s="15"/>
      <c r="W76" s="15"/>
      <c r="X76" s="15"/>
      <c r="Y76" s="15"/>
      <c r="Z76" s="15"/>
    </row>
    <row r="77" spans="1:26" ht="15.75" customHeight="1" x14ac:dyDescent="0.25">
      <c r="A77" s="160" t="s">
        <v>487</v>
      </c>
      <c r="B77" s="173" t="s">
        <v>488</v>
      </c>
      <c r="C77" s="79">
        <f t="shared" ref="C77:G77" si="11">C75</f>
        <v>17403922.690000001</v>
      </c>
      <c r="D77" s="79">
        <f t="shared" si="11"/>
        <v>6170595.129999999</v>
      </c>
      <c r="E77" s="79">
        <f t="shared" si="11"/>
        <v>17917053.870000001</v>
      </c>
      <c r="F77" s="79">
        <f t="shared" si="11"/>
        <v>24087649</v>
      </c>
      <c r="G77" s="79">
        <f t="shared" si="11"/>
        <v>26924834</v>
      </c>
      <c r="K77" s="168"/>
    </row>
    <row r="78" spans="1:26" ht="15.75" customHeight="1" x14ac:dyDescent="0.25">
      <c r="A78" s="572"/>
      <c r="B78" s="519"/>
      <c r="C78" s="443"/>
      <c r="D78" s="443"/>
      <c r="E78" s="443"/>
      <c r="F78" s="443"/>
      <c r="G78" s="443"/>
      <c r="K78" s="168"/>
    </row>
    <row r="79" spans="1:26" ht="15.75" customHeight="1" x14ac:dyDescent="0.25">
      <c r="A79" s="24"/>
      <c r="B79" s="174"/>
      <c r="C79" s="24"/>
      <c r="D79" s="24"/>
      <c r="E79" s="24"/>
      <c r="F79" s="114"/>
      <c r="G79" s="114"/>
      <c r="K79" s="168"/>
    </row>
    <row r="80" spans="1:26" ht="15.75" customHeight="1" x14ac:dyDescent="0.25">
      <c r="A80" s="24"/>
      <c r="B80" s="174"/>
      <c r="C80" s="24"/>
      <c r="D80" s="24"/>
      <c r="E80" s="24"/>
      <c r="F80" s="114"/>
      <c r="G80" s="114"/>
      <c r="K80" s="168"/>
    </row>
    <row r="81" spans="1:11" ht="15.75" customHeight="1" x14ac:dyDescent="0.25">
      <c r="A81" s="24"/>
      <c r="B81" s="174"/>
      <c r="C81" s="24"/>
      <c r="D81" s="24"/>
      <c r="E81" s="24"/>
      <c r="F81" s="114"/>
      <c r="G81" s="114"/>
      <c r="K81" s="168"/>
    </row>
    <row r="82" spans="1:11" ht="15.75" customHeight="1" x14ac:dyDescent="0.25">
      <c r="A82" s="24"/>
      <c r="B82" s="174"/>
      <c r="C82" s="24"/>
      <c r="D82" s="24"/>
      <c r="E82" s="24"/>
      <c r="F82" s="114"/>
      <c r="G82" s="114"/>
      <c r="K82" s="168"/>
    </row>
    <row r="83" spans="1:11" ht="15.75" customHeight="1" x14ac:dyDescent="0.25">
      <c r="A83" s="24"/>
      <c r="B83" s="174"/>
      <c r="C83" s="24"/>
      <c r="D83" s="24"/>
      <c r="E83" s="24"/>
      <c r="F83" s="114"/>
      <c r="G83" s="114"/>
      <c r="K83" s="168"/>
    </row>
    <row r="84" spans="1:11" ht="15.75" customHeight="1" x14ac:dyDescent="0.25">
      <c r="A84" s="24"/>
      <c r="B84" s="174"/>
      <c r="C84" s="24"/>
      <c r="D84" s="24"/>
      <c r="E84" s="24"/>
      <c r="F84" s="114"/>
      <c r="G84" s="114"/>
      <c r="K84" s="168"/>
    </row>
    <row r="85" spans="1:11" ht="15.75" customHeight="1" x14ac:dyDescent="0.25">
      <c r="A85" s="24"/>
      <c r="B85" s="174"/>
      <c r="C85" s="24"/>
      <c r="D85" s="24"/>
      <c r="E85" s="24"/>
      <c r="F85" s="114"/>
      <c r="G85" s="114"/>
      <c r="K85" s="168"/>
    </row>
    <row r="86" spans="1:11" ht="15.75" customHeight="1" x14ac:dyDescent="0.25">
      <c r="A86" s="24"/>
      <c r="B86" s="174"/>
      <c r="C86" s="24"/>
      <c r="D86" s="24"/>
      <c r="E86" s="24"/>
      <c r="F86" s="114"/>
      <c r="G86" s="114"/>
      <c r="K86" s="168"/>
    </row>
    <row r="87" spans="1:11" ht="15.75" customHeight="1" x14ac:dyDescent="0.25">
      <c r="A87" s="24"/>
      <c r="B87" s="174"/>
      <c r="C87" s="24"/>
      <c r="D87" s="24"/>
      <c r="E87" s="24"/>
      <c r="F87" s="114"/>
      <c r="G87" s="114"/>
      <c r="K87" s="168"/>
    </row>
    <row r="88" spans="1:11" ht="15.75" customHeight="1" x14ac:dyDescent="0.25">
      <c r="A88" s="24"/>
      <c r="B88" s="174"/>
      <c r="C88" s="24"/>
      <c r="D88" s="24"/>
      <c r="E88" s="24"/>
      <c r="F88" s="114"/>
      <c r="G88" s="114"/>
      <c r="K88" s="168"/>
    </row>
    <row r="89" spans="1:11" ht="15.75" customHeight="1" x14ac:dyDescent="0.25">
      <c r="A89" s="24"/>
      <c r="B89" s="174"/>
      <c r="C89" s="24"/>
      <c r="D89" s="24"/>
      <c r="E89" s="24"/>
      <c r="F89" s="114"/>
      <c r="G89" s="114"/>
      <c r="K89" s="168"/>
    </row>
    <row r="90" spans="1:11" ht="15.75" customHeight="1" x14ac:dyDescent="0.25">
      <c r="A90" s="24"/>
      <c r="B90" s="174"/>
      <c r="C90" s="24"/>
      <c r="D90" s="24"/>
      <c r="E90" s="24"/>
      <c r="F90" s="114"/>
      <c r="G90" s="114"/>
      <c r="K90" s="168"/>
    </row>
    <row r="91" spans="1:11" ht="15.75" customHeight="1" x14ac:dyDescent="0.25">
      <c r="A91" s="24"/>
      <c r="B91" s="174"/>
      <c r="C91" s="24"/>
      <c r="D91" s="24"/>
      <c r="E91" s="24"/>
      <c r="F91" s="114"/>
      <c r="G91" s="114"/>
      <c r="K91" s="168"/>
    </row>
    <row r="92" spans="1:11" ht="15.75" customHeight="1" x14ac:dyDescent="0.25">
      <c r="A92" s="24"/>
      <c r="B92" s="174"/>
      <c r="C92" s="24"/>
      <c r="D92" s="24"/>
      <c r="E92" s="24"/>
      <c r="F92" s="114"/>
      <c r="G92" s="114"/>
      <c r="K92" s="168"/>
    </row>
    <row r="93" spans="1:11" ht="15.75" customHeight="1" x14ac:dyDescent="0.25">
      <c r="A93" s="24"/>
      <c r="B93" s="174"/>
      <c r="C93" s="24"/>
      <c r="D93" s="24"/>
      <c r="E93" s="24"/>
      <c r="F93" s="114"/>
      <c r="G93" s="114"/>
      <c r="K93" s="168"/>
    </row>
    <row r="94" spans="1:11" ht="15.75" customHeight="1" x14ac:dyDescent="0.25">
      <c r="A94" s="24"/>
      <c r="B94" s="174"/>
      <c r="C94" s="24"/>
      <c r="D94" s="24"/>
      <c r="E94" s="24"/>
      <c r="F94" s="114"/>
      <c r="G94" s="114"/>
      <c r="K94" s="168"/>
    </row>
    <row r="95" spans="1:11" ht="15.75" customHeight="1" x14ac:dyDescent="0.25">
      <c r="A95" s="24"/>
      <c r="B95" s="174"/>
      <c r="C95" s="24"/>
      <c r="D95" s="24"/>
      <c r="E95" s="24"/>
      <c r="F95" s="114"/>
      <c r="G95" s="114"/>
      <c r="K95" s="168"/>
    </row>
    <row r="96" spans="1:11" ht="15.75" customHeight="1" x14ac:dyDescent="0.25">
      <c r="A96" s="24"/>
      <c r="B96" s="174"/>
      <c r="C96" s="24"/>
      <c r="D96" s="24"/>
      <c r="E96" s="24"/>
      <c r="F96" s="114"/>
      <c r="G96" s="114"/>
      <c r="K96" s="168"/>
    </row>
    <row r="97" spans="1:11" ht="15.75" customHeight="1" x14ac:dyDescent="0.25">
      <c r="A97" s="24"/>
      <c r="B97" s="174"/>
      <c r="C97" s="24"/>
      <c r="D97" s="24"/>
      <c r="E97" s="24"/>
      <c r="F97" s="114"/>
      <c r="G97" s="114"/>
      <c r="K97" s="168"/>
    </row>
    <row r="98" spans="1:11" ht="15.75" customHeight="1" x14ac:dyDescent="0.25">
      <c r="A98" s="24"/>
      <c r="B98" s="174"/>
      <c r="C98" s="24"/>
      <c r="D98" s="24"/>
      <c r="E98" s="24"/>
      <c r="F98" s="114"/>
      <c r="G98" s="114"/>
      <c r="K98" s="168"/>
    </row>
    <row r="99" spans="1:11" ht="15.75" customHeight="1" x14ac:dyDescent="0.25">
      <c r="A99" s="24"/>
      <c r="B99" s="174"/>
      <c r="C99" s="24"/>
      <c r="D99" s="24"/>
      <c r="E99" s="24"/>
      <c r="F99" s="114"/>
      <c r="G99" s="114"/>
      <c r="K99" s="168"/>
    </row>
    <row r="100" spans="1:11" ht="15.75" customHeight="1" x14ac:dyDescent="0.25">
      <c r="A100" s="24"/>
      <c r="B100" s="174"/>
      <c r="C100" s="24"/>
      <c r="D100" s="24"/>
      <c r="E100" s="24"/>
      <c r="F100" s="114"/>
      <c r="G100" s="114"/>
      <c r="K100" s="168"/>
    </row>
    <row r="101" spans="1:11" ht="15.75" customHeight="1" x14ac:dyDescent="0.25">
      <c r="A101" s="24"/>
      <c r="B101" s="174"/>
      <c r="C101" s="24"/>
      <c r="D101" s="24"/>
      <c r="E101" s="24"/>
      <c r="F101" s="114"/>
      <c r="G101" s="114"/>
      <c r="K101" s="168"/>
    </row>
    <row r="102" spans="1:11" ht="15.75" customHeight="1" x14ac:dyDescent="0.25">
      <c r="A102" s="24"/>
      <c r="B102" s="174"/>
      <c r="C102" s="24"/>
      <c r="D102" s="24"/>
      <c r="E102" s="24"/>
      <c r="F102" s="114"/>
      <c r="G102" s="114"/>
      <c r="K102" s="168"/>
    </row>
    <row r="103" spans="1:11" ht="15.75" customHeight="1" x14ac:dyDescent="0.25">
      <c r="A103" s="24"/>
      <c r="B103" s="174"/>
      <c r="C103" s="24"/>
      <c r="D103" s="24"/>
      <c r="E103" s="24"/>
      <c r="F103" s="114"/>
      <c r="G103" s="114"/>
      <c r="K103" s="168"/>
    </row>
    <row r="104" spans="1:11" ht="15.75" customHeight="1" x14ac:dyDescent="0.25">
      <c r="A104" s="24"/>
      <c r="B104" s="174"/>
      <c r="C104" s="24"/>
      <c r="D104" s="24"/>
      <c r="E104" s="24"/>
      <c r="F104" s="114"/>
      <c r="G104" s="114"/>
      <c r="K104" s="168"/>
    </row>
    <row r="105" spans="1:11" ht="15.75" customHeight="1" x14ac:dyDescent="0.25">
      <c r="A105" s="24"/>
      <c r="B105" s="174"/>
      <c r="C105" s="24"/>
      <c r="D105" s="24"/>
      <c r="E105" s="24"/>
      <c r="F105" s="114"/>
      <c r="G105" s="114"/>
      <c r="K105" s="168"/>
    </row>
    <row r="106" spans="1:11" ht="15.75" customHeight="1" x14ac:dyDescent="0.25">
      <c r="A106" s="24"/>
      <c r="B106" s="174"/>
      <c r="C106" s="24"/>
      <c r="D106" s="24"/>
      <c r="E106" s="24"/>
      <c r="F106" s="114"/>
      <c r="G106" s="114"/>
      <c r="K106" s="168"/>
    </row>
    <row r="107" spans="1:11" ht="15.75" customHeight="1" x14ac:dyDescent="0.25">
      <c r="A107" s="24"/>
      <c r="B107" s="174"/>
      <c r="C107" s="24"/>
      <c r="D107" s="24"/>
      <c r="E107" s="24"/>
      <c r="F107" s="114"/>
      <c r="G107" s="114"/>
      <c r="K107" s="168"/>
    </row>
    <row r="108" spans="1:11" ht="15.75" customHeight="1" x14ac:dyDescent="0.25">
      <c r="A108" s="24"/>
      <c r="B108" s="174"/>
      <c r="C108" s="24"/>
      <c r="D108" s="24"/>
      <c r="E108" s="24"/>
      <c r="F108" s="114"/>
      <c r="G108" s="114"/>
      <c r="K108" s="168"/>
    </row>
    <row r="109" spans="1:11" ht="15.75" customHeight="1" x14ac:dyDescent="0.25">
      <c r="A109" s="24"/>
      <c r="B109" s="174"/>
      <c r="C109" s="24"/>
      <c r="D109" s="24"/>
      <c r="E109" s="24"/>
      <c r="F109" s="114"/>
      <c r="G109" s="114"/>
      <c r="K109" s="168"/>
    </row>
    <row r="110" spans="1:11" ht="15.75" customHeight="1" x14ac:dyDescent="0.25">
      <c r="A110" s="24"/>
      <c r="B110" s="174"/>
      <c r="C110" s="24"/>
      <c r="D110" s="24"/>
      <c r="E110" s="24"/>
      <c r="F110" s="114"/>
      <c r="G110" s="114"/>
      <c r="K110" s="168"/>
    </row>
    <row r="111" spans="1:11" ht="15.75" customHeight="1" x14ac:dyDescent="0.25">
      <c r="A111" s="24"/>
      <c r="B111" s="174"/>
      <c r="C111" s="24"/>
      <c r="D111" s="24"/>
      <c r="E111" s="24"/>
      <c r="F111" s="114"/>
      <c r="G111" s="114"/>
      <c r="K111" s="168"/>
    </row>
    <row r="112" spans="1:11" ht="15.75" customHeight="1" x14ac:dyDescent="0.25">
      <c r="A112" s="24"/>
      <c r="B112" s="174"/>
      <c r="C112" s="24"/>
      <c r="D112" s="24"/>
      <c r="E112" s="24"/>
      <c r="F112" s="114"/>
      <c r="G112" s="114"/>
      <c r="K112" s="168"/>
    </row>
    <row r="113" spans="1:11" ht="15.75" customHeight="1" x14ac:dyDescent="0.25">
      <c r="A113" s="24"/>
      <c r="B113" s="174"/>
      <c r="C113" s="24"/>
      <c r="D113" s="24"/>
      <c r="E113" s="24"/>
      <c r="F113" s="114"/>
      <c r="G113" s="114"/>
      <c r="K113" s="168"/>
    </row>
    <row r="114" spans="1:11" ht="15.75" customHeight="1" x14ac:dyDescent="0.25">
      <c r="A114" s="24"/>
      <c r="B114" s="174"/>
      <c r="C114" s="24"/>
      <c r="D114" s="24"/>
      <c r="E114" s="24"/>
      <c r="F114" s="114"/>
      <c r="G114" s="114"/>
      <c r="K114" s="168"/>
    </row>
    <row r="115" spans="1:11" ht="15.75" customHeight="1" x14ac:dyDescent="0.25">
      <c r="A115" s="24"/>
      <c r="B115" s="174"/>
      <c r="C115" s="24"/>
      <c r="D115" s="24"/>
      <c r="E115" s="24"/>
      <c r="F115" s="114"/>
      <c r="G115" s="114"/>
      <c r="K115" s="168"/>
    </row>
    <row r="116" spans="1:11" ht="15.75" customHeight="1" x14ac:dyDescent="0.25">
      <c r="A116" s="24"/>
      <c r="B116" s="174"/>
      <c r="C116" s="24"/>
      <c r="D116" s="24"/>
      <c r="E116" s="24"/>
      <c r="F116" s="114"/>
      <c r="G116" s="114"/>
      <c r="K116" s="168"/>
    </row>
    <row r="117" spans="1:11" ht="15.75" customHeight="1" x14ac:dyDescent="0.25">
      <c r="A117" s="24"/>
      <c r="B117" s="174"/>
      <c r="C117" s="24"/>
      <c r="D117" s="24"/>
      <c r="E117" s="24"/>
      <c r="F117" s="114"/>
      <c r="G117" s="114"/>
      <c r="K117" s="168"/>
    </row>
    <row r="118" spans="1:11" ht="15.75" customHeight="1" x14ac:dyDescent="0.25">
      <c r="A118" s="24"/>
      <c r="B118" s="174"/>
      <c r="C118" s="24"/>
      <c r="D118" s="24"/>
      <c r="E118" s="24"/>
      <c r="F118" s="114"/>
      <c r="G118" s="114"/>
      <c r="K118" s="168"/>
    </row>
    <row r="119" spans="1:11" ht="15.75" customHeight="1" x14ac:dyDescent="0.25">
      <c r="A119" s="24"/>
      <c r="B119" s="174"/>
      <c r="C119" s="24"/>
      <c r="D119" s="24"/>
      <c r="E119" s="24"/>
      <c r="F119" s="114"/>
      <c r="G119" s="114"/>
      <c r="K119" s="168"/>
    </row>
    <row r="120" spans="1:11" ht="15.75" customHeight="1" x14ac:dyDescent="0.25">
      <c r="A120" s="24"/>
      <c r="B120" s="174"/>
      <c r="C120" s="24"/>
      <c r="D120" s="24"/>
      <c r="E120" s="24"/>
      <c r="F120" s="114"/>
      <c r="G120" s="114"/>
      <c r="K120" s="168"/>
    </row>
    <row r="121" spans="1:11" ht="15.75" customHeight="1" x14ac:dyDescent="0.25">
      <c r="A121" s="24"/>
      <c r="B121" s="174"/>
      <c r="C121" s="24"/>
      <c r="D121" s="24"/>
      <c r="E121" s="24"/>
      <c r="F121" s="114"/>
      <c r="G121" s="114"/>
      <c r="K121" s="168"/>
    </row>
    <row r="122" spans="1:11" ht="15.75" customHeight="1" x14ac:dyDescent="0.25">
      <c r="A122" s="24"/>
      <c r="B122" s="174"/>
      <c r="C122" s="24"/>
      <c r="D122" s="24"/>
      <c r="E122" s="24"/>
      <c r="F122" s="114"/>
      <c r="G122" s="114"/>
      <c r="K122" s="168"/>
    </row>
    <row r="123" spans="1:11" ht="15.75" customHeight="1" x14ac:dyDescent="0.25">
      <c r="A123" s="24"/>
      <c r="B123" s="174"/>
      <c r="C123" s="24"/>
      <c r="D123" s="24"/>
      <c r="E123" s="24"/>
      <c r="F123" s="114"/>
      <c r="G123" s="114"/>
      <c r="K123" s="168"/>
    </row>
    <row r="124" spans="1:11" ht="15.75" customHeight="1" x14ac:dyDescent="0.25">
      <c r="A124" s="24"/>
      <c r="B124" s="174"/>
      <c r="C124" s="24"/>
      <c r="D124" s="24"/>
      <c r="E124" s="24"/>
      <c r="F124" s="114"/>
      <c r="G124" s="114"/>
      <c r="K124" s="168"/>
    </row>
    <row r="125" spans="1:11" ht="15.75" customHeight="1" x14ac:dyDescent="0.25">
      <c r="A125" s="24"/>
      <c r="B125" s="174"/>
      <c r="C125" s="24"/>
      <c r="D125" s="24"/>
      <c r="E125" s="24"/>
      <c r="F125" s="114"/>
      <c r="G125" s="114"/>
      <c r="K125" s="168"/>
    </row>
    <row r="126" spans="1:11" ht="15.75" customHeight="1" x14ac:dyDescent="0.25">
      <c r="A126" s="24"/>
      <c r="B126" s="174"/>
      <c r="C126" s="24"/>
      <c r="D126" s="24"/>
      <c r="E126" s="24"/>
      <c r="F126" s="114"/>
      <c r="G126" s="114"/>
      <c r="K126" s="168"/>
    </row>
    <row r="127" spans="1:11" ht="15.75" customHeight="1" x14ac:dyDescent="0.25">
      <c r="A127" s="24"/>
      <c r="B127" s="174"/>
      <c r="C127" s="24"/>
      <c r="D127" s="24"/>
      <c r="E127" s="24"/>
      <c r="F127" s="114"/>
      <c r="G127" s="114"/>
      <c r="K127" s="168"/>
    </row>
    <row r="128" spans="1:11" ht="15.75" customHeight="1" x14ac:dyDescent="0.25">
      <c r="A128" s="24"/>
      <c r="B128" s="174"/>
      <c r="C128" s="24"/>
      <c r="D128" s="24"/>
      <c r="E128" s="24"/>
      <c r="F128" s="114"/>
      <c r="G128" s="114"/>
      <c r="K128" s="168"/>
    </row>
    <row r="129" spans="1:11" ht="15.75" customHeight="1" x14ac:dyDescent="0.25">
      <c r="A129" s="24"/>
      <c r="B129" s="174"/>
      <c r="C129" s="24"/>
      <c r="D129" s="24"/>
      <c r="E129" s="24"/>
      <c r="F129" s="114"/>
      <c r="G129" s="114"/>
      <c r="K129" s="168"/>
    </row>
    <row r="130" spans="1:11" ht="15.75" customHeight="1" x14ac:dyDescent="0.25">
      <c r="A130" s="24"/>
      <c r="B130" s="174"/>
      <c r="C130" s="24"/>
      <c r="D130" s="24"/>
      <c r="E130" s="24"/>
      <c r="F130" s="114"/>
      <c r="G130" s="114"/>
      <c r="K130" s="168"/>
    </row>
    <row r="131" spans="1:11" ht="15.75" customHeight="1" x14ac:dyDescent="0.25">
      <c r="A131" s="24"/>
      <c r="B131" s="174"/>
      <c r="C131" s="24"/>
      <c r="D131" s="24"/>
      <c r="E131" s="24"/>
      <c r="F131" s="114"/>
      <c r="G131" s="114"/>
      <c r="K131" s="168"/>
    </row>
    <row r="132" spans="1:11" ht="15.75" customHeight="1" x14ac:dyDescent="0.25">
      <c r="A132" s="24"/>
      <c r="B132" s="174"/>
      <c r="C132" s="24"/>
      <c r="D132" s="24"/>
      <c r="E132" s="24"/>
      <c r="F132" s="114"/>
      <c r="G132" s="114"/>
      <c r="K132" s="168"/>
    </row>
    <row r="133" spans="1:11" ht="15.75" customHeight="1" x14ac:dyDescent="0.25">
      <c r="A133" s="24"/>
      <c r="B133" s="174"/>
      <c r="C133" s="24"/>
      <c r="D133" s="24"/>
      <c r="E133" s="24"/>
      <c r="F133" s="114"/>
      <c r="G133" s="114"/>
      <c r="K133" s="168"/>
    </row>
    <row r="134" spans="1:11" ht="15.75" customHeight="1" x14ac:dyDescent="0.25">
      <c r="A134" s="24"/>
      <c r="B134" s="174"/>
      <c r="C134" s="24"/>
      <c r="D134" s="24"/>
      <c r="E134" s="24"/>
      <c r="F134" s="114"/>
      <c r="G134" s="114"/>
      <c r="K134" s="168"/>
    </row>
    <row r="135" spans="1:11" ht="15.75" customHeight="1" x14ac:dyDescent="0.25">
      <c r="A135" s="24"/>
      <c r="B135" s="174"/>
      <c r="C135" s="24"/>
      <c r="D135" s="24"/>
      <c r="E135" s="24"/>
      <c r="F135" s="114"/>
      <c r="G135" s="114"/>
      <c r="K135" s="168"/>
    </row>
    <row r="136" spans="1:11" ht="15.75" customHeight="1" x14ac:dyDescent="0.25">
      <c r="A136" s="24"/>
      <c r="B136" s="174"/>
      <c r="C136" s="24"/>
      <c r="D136" s="24"/>
      <c r="E136" s="24"/>
      <c r="F136" s="114"/>
      <c r="G136" s="114"/>
      <c r="K136" s="168"/>
    </row>
    <row r="137" spans="1:11" ht="15.75" customHeight="1" x14ac:dyDescent="0.25">
      <c r="A137" s="24"/>
      <c r="B137" s="174"/>
      <c r="C137" s="24"/>
      <c r="D137" s="24"/>
      <c r="E137" s="24"/>
      <c r="F137" s="114"/>
      <c r="G137" s="114"/>
      <c r="K137" s="168"/>
    </row>
    <row r="138" spans="1:11" ht="15.75" customHeight="1" x14ac:dyDescent="0.25">
      <c r="A138" s="24"/>
      <c r="B138" s="174"/>
      <c r="C138" s="24"/>
      <c r="D138" s="24"/>
      <c r="E138" s="24"/>
      <c r="F138" s="114"/>
      <c r="G138" s="114"/>
      <c r="K138" s="168"/>
    </row>
    <row r="139" spans="1:11" ht="15.75" customHeight="1" x14ac:dyDescent="0.25">
      <c r="A139" s="24"/>
      <c r="B139" s="174"/>
      <c r="C139" s="24"/>
      <c r="D139" s="24"/>
      <c r="E139" s="24"/>
      <c r="F139" s="114"/>
      <c r="G139" s="114"/>
      <c r="K139" s="168"/>
    </row>
    <row r="140" spans="1:11" ht="15.75" customHeight="1" x14ac:dyDescent="0.25">
      <c r="A140" s="24"/>
      <c r="B140" s="174"/>
      <c r="C140" s="24"/>
      <c r="D140" s="24"/>
      <c r="E140" s="24"/>
      <c r="F140" s="114"/>
      <c r="G140" s="114"/>
      <c r="K140" s="168"/>
    </row>
    <row r="141" spans="1:11" ht="15.75" customHeight="1" x14ac:dyDescent="0.25">
      <c r="A141" s="24"/>
      <c r="B141" s="174"/>
      <c r="C141" s="24"/>
      <c r="D141" s="24"/>
      <c r="E141" s="24"/>
      <c r="F141" s="114"/>
      <c r="G141" s="114"/>
      <c r="K141" s="168"/>
    </row>
    <row r="142" spans="1:11" ht="15.75" customHeight="1" x14ac:dyDescent="0.25">
      <c r="A142" s="24"/>
      <c r="B142" s="174"/>
      <c r="C142" s="24"/>
      <c r="D142" s="24"/>
      <c r="E142" s="24"/>
      <c r="F142" s="114"/>
      <c r="G142" s="114"/>
      <c r="K142" s="168"/>
    </row>
    <row r="143" spans="1:11" ht="15.75" customHeight="1" x14ac:dyDescent="0.25">
      <c r="A143" s="24"/>
      <c r="B143" s="174"/>
      <c r="C143" s="24"/>
      <c r="D143" s="24"/>
      <c r="E143" s="24"/>
      <c r="F143" s="114"/>
      <c r="G143" s="114"/>
      <c r="K143" s="168"/>
    </row>
    <row r="144" spans="1:11" ht="15.75" customHeight="1" x14ac:dyDescent="0.25">
      <c r="A144" s="24"/>
      <c r="B144" s="174"/>
      <c r="C144" s="24"/>
      <c r="D144" s="24"/>
      <c r="E144" s="24"/>
      <c r="F144" s="114"/>
      <c r="G144" s="114"/>
      <c r="K144" s="168"/>
    </row>
    <row r="145" spans="1:11" ht="15.75" customHeight="1" x14ac:dyDescent="0.25">
      <c r="A145" s="24"/>
      <c r="B145" s="174"/>
      <c r="C145" s="24"/>
      <c r="D145" s="24"/>
      <c r="E145" s="24"/>
      <c r="F145" s="114"/>
      <c r="G145" s="114"/>
      <c r="K145" s="168"/>
    </row>
    <row r="146" spans="1:11" ht="15.75" customHeight="1" x14ac:dyDescent="0.25">
      <c r="A146" s="24"/>
      <c r="B146" s="174"/>
      <c r="C146" s="24"/>
      <c r="D146" s="24"/>
      <c r="E146" s="24"/>
      <c r="F146" s="114"/>
      <c r="G146" s="114"/>
      <c r="K146" s="168"/>
    </row>
    <row r="147" spans="1:11" ht="15.75" customHeight="1" x14ac:dyDescent="0.25">
      <c r="A147" s="24"/>
      <c r="B147" s="174"/>
      <c r="C147" s="24"/>
      <c r="D147" s="24"/>
      <c r="E147" s="24"/>
      <c r="F147" s="114"/>
      <c r="G147" s="114"/>
      <c r="K147" s="168"/>
    </row>
    <row r="148" spans="1:11" ht="15.75" customHeight="1" x14ac:dyDescent="0.25">
      <c r="A148" s="24"/>
      <c r="B148" s="174"/>
      <c r="C148" s="24"/>
      <c r="D148" s="24"/>
      <c r="E148" s="24"/>
      <c r="F148" s="114"/>
      <c r="G148" s="114"/>
      <c r="K148" s="168"/>
    </row>
    <row r="149" spans="1:11" ht="15.75" customHeight="1" x14ac:dyDescent="0.25">
      <c r="A149" s="24"/>
      <c r="B149" s="174"/>
      <c r="C149" s="24"/>
      <c r="D149" s="24"/>
      <c r="E149" s="24"/>
      <c r="F149" s="114"/>
      <c r="G149" s="114"/>
      <c r="K149" s="168"/>
    </row>
    <row r="150" spans="1:11" ht="15.75" customHeight="1" x14ac:dyDescent="0.25">
      <c r="A150" s="24"/>
      <c r="B150" s="174"/>
      <c r="C150" s="24"/>
      <c r="D150" s="24"/>
      <c r="E150" s="24"/>
      <c r="F150" s="114"/>
      <c r="G150" s="114"/>
      <c r="K150" s="168"/>
    </row>
    <row r="151" spans="1:11" ht="15.75" customHeight="1" x14ac:dyDescent="0.25">
      <c r="A151" s="24"/>
      <c r="B151" s="174"/>
      <c r="C151" s="24"/>
      <c r="D151" s="24"/>
      <c r="E151" s="24"/>
      <c r="F151" s="114"/>
      <c r="G151" s="114"/>
      <c r="K151" s="168"/>
    </row>
    <row r="152" spans="1:11" ht="15.75" customHeight="1" x14ac:dyDescent="0.25">
      <c r="A152" s="24"/>
      <c r="B152" s="174"/>
      <c r="C152" s="24"/>
      <c r="D152" s="24"/>
      <c r="E152" s="24"/>
      <c r="F152" s="114"/>
      <c r="G152" s="114"/>
      <c r="K152" s="168"/>
    </row>
    <row r="153" spans="1:11" ht="15.75" customHeight="1" x14ac:dyDescent="0.25">
      <c r="A153" s="24"/>
      <c r="B153" s="174"/>
      <c r="C153" s="24"/>
      <c r="D153" s="24"/>
      <c r="E153" s="24"/>
      <c r="F153" s="114"/>
      <c r="G153" s="114"/>
      <c r="K153" s="168"/>
    </row>
    <row r="154" spans="1:11" ht="15.75" customHeight="1" x14ac:dyDescent="0.25">
      <c r="A154" s="24"/>
      <c r="B154" s="174"/>
      <c r="C154" s="24"/>
      <c r="D154" s="24"/>
      <c r="E154" s="24"/>
      <c r="F154" s="114"/>
      <c r="G154" s="114"/>
      <c r="K154" s="168"/>
    </row>
    <row r="155" spans="1:11" ht="15.75" customHeight="1" x14ac:dyDescent="0.25">
      <c r="A155" s="24"/>
      <c r="B155" s="174"/>
      <c r="C155" s="24"/>
      <c r="D155" s="24"/>
      <c r="E155" s="24"/>
      <c r="F155" s="114"/>
      <c r="G155" s="114"/>
      <c r="K155" s="168"/>
    </row>
    <row r="156" spans="1:11" ht="15.75" customHeight="1" x14ac:dyDescent="0.25">
      <c r="A156" s="24"/>
      <c r="B156" s="174"/>
      <c r="C156" s="24"/>
      <c r="D156" s="24"/>
      <c r="E156" s="24"/>
      <c r="F156" s="114"/>
      <c r="G156" s="114"/>
      <c r="K156" s="168"/>
    </row>
    <row r="157" spans="1:11" ht="15.75" customHeight="1" x14ac:dyDescent="0.25">
      <c r="A157" s="24"/>
      <c r="B157" s="174"/>
      <c r="C157" s="24"/>
      <c r="D157" s="24"/>
      <c r="E157" s="24"/>
      <c r="F157" s="114"/>
      <c r="G157" s="114"/>
      <c r="K157" s="168"/>
    </row>
    <row r="158" spans="1:11" ht="15.75" customHeight="1" x14ac:dyDescent="0.25">
      <c r="A158" s="24"/>
      <c r="B158" s="174"/>
      <c r="C158" s="24"/>
      <c r="D158" s="24"/>
      <c r="E158" s="24"/>
      <c r="F158" s="114"/>
      <c r="G158" s="114"/>
      <c r="K158" s="168"/>
    </row>
    <row r="159" spans="1:11" ht="15.75" customHeight="1" x14ac:dyDescent="0.25">
      <c r="A159" s="24"/>
      <c r="B159" s="174"/>
      <c r="C159" s="24"/>
      <c r="D159" s="24"/>
      <c r="E159" s="24"/>
      <c r="F159" s="114"/>
      <c r="G159" s="114"/>
      <c r="K159" s="168"/>
    </row>
    <row r="160" spans="1:11" ht="15.75" customHeight="1" x14ac:dyDescent="0.25">
      <c r="A160" s="24"/>
      <c r="B160" s="174"/>
      <c r="C160" s="24"/>
      <c r="D160" s="24"/>
      <c r="E160" s="24"/>
      <c r="F160" s="114"/>
      <c r="G160" s="114"/>
      <c r="K160" s="168"/>
    </row>
    <row r="161" spans="1:11" ht="15.75" customHeight="1" x14ac:dyDescent="0.25">
      <c r="A161" s="24"/>
      <c r="B161" s="174"/>
      <c r="C161" s="24"/>
      <c r="D161" s="24"/>
      <c r="E161" s="24"/>
      <c r="F161" s="114"/>
      <c r="G161" s="114"/>
      <c r="K161" s="168"/>
    </row>
    <row r="162" spans="1:11" ht="15.75" customHeight="1" x14ac:dyDescent="0.25">
      <c r="A162" s="24"/>
      <c r="B162" s="174"/>
      <c r="C162" s="24"/>
      <c r="D162" s="24"/>
      <c r="E162" s="24"/>
      <c r="F162" s="114"/>
      <c r="G162" s="114"/>
      <c r="K162" s="168"/>
    </row>
    <row r="163" spans="1:11" ht="15.75" customHeight="1" x14ac:dyDescent="0.25">
      <c r="A163" s="24"/>
      <c r="B163" s="174"/>
      <c r="C163" s="24"/>
      <c r="D163" s="24"/>
      <c r="E163" s="24"/>
      <c r="F163" s="114"/>
      <c r="G163" s="114"/>
      <c r="K163" s="168"/>
    </row>
    <row r="164" spans="1:11" ht="15.75" customHeight="1" x14ac:dyDescent="0.25">
      <c r="A164" s="24"/>
      <c r="B164" s="174"/>
      <c r="C164" s="24"/>
      <c r="D164" s="24"/>
      <c r="E164" s="24"/>
      <c r="F164" s="114"/>
      <c r="G164" s="114"/>
      <c r="K164" s="168"/>
    </row>
    <row r="165" spans="1:11" ht="15.75" customHeight="1" x14ac:dyDescent="0.25">
      <c r="A165" s="24"/>
      <c r="B165" s="174"/>
      <c r="C165" s="24"/>
      <c r="D165" s="24"/>
      <c r="E165" s="24"/>
      <c r="F165" s="114"/>
      <c r="G165" s="114"/>
      <c r="K165" s="168"/>
    </row>
    <row r="166" spans="1:11" ht="15.75" customHeight="1" x14ac:dyDescent="0.25">
      <c r="A166" s="24"/>
      <c r="B166" s="174"/>
      <c r="C166" s="24"/>
      <c r="D166" s="24"/>
      <c r="E166" s="24"/>
      <c r="F166" s="114"/>
      <c r="G166" s="114"/>
      <c r="K166" s="168"/>
    </row>
    <row r="167" spans="1:11" ht="15.75" customHeight="1" x14ac:dyDescent="0.25">
      <c r="A167" s="24"/>
      <c r="B167" s="174"/>
      <c r="C167" s="24"/>
      <c r="D167" s="24"/>
      <c r="E167" s="24"/>
      <c r="F167" s="114"/>
      <c r="G167" s="114"/>
      <c r="K167" s="168"/>
    </row>
    <row r="168" spans="1:11" ht="15.75" customHeight="1" x14ac:dyDescent="0.25">
      <c r="A168" s="24"/>
      <c r="B168" s="174"/>
      <c r="C168" s="24"/>
      <c r="D168" s="24"/>
      <c r="E168" s="24"/>
      <c r="F168" s="114"/>
      <c r="G168" s="114"/>
      <c r="K168" s="168"/>
    </row>
    <row r="169" spans="1:11" ht="15.75" customHeight="1" x14ac:dyDescent="0.25">
      <c r="A169" s="24"/>
      <c r="B169" s="174"/>
      <c r="C169" s="24"/>
      <c r="D169" s="24"/>
      <c r="E169" s="24"/>
      <c r="F169" s="114"/>
      <c r="G169" s="114"/>
      <c r="K169" s="168"/>
    </row>
    <row r="170" spans="1:11" ht="15.75" customHeight="1" x14ac:dyDescent="0.25">
      <c r="A170" s="24"/>
      <c r="B170" s="174"/>
      <c r="C170" s="24"/>
      <c r="D170" s="24"/>
      <c r="E170" s="24"/>
      <c r="F170" s="114"/>
      <c r="G170" s="114"/>
      <c r="K170" s="168"/>
    </row>
    <row r="171" spans="1:11" ht="15.75" customHeight="1" x14ac:dyDescent="0.25">
      <c r="A171" s="24"/>
      <c r="B171" s="174"/>
      <c r="C171" s="24"/>
      <c r="D171" s="24"/>
      <c r="E171" s="24"/>
      <c r="F171" s="114"/>
      <c r="G171" s="114"/>
      <c r="K171" s="168"/>
    </row>
    <row r="172" spans="1:11" ht="15.75" customHeight="1" x14ac:dyDescent="0.25">
      <c r="A172" s="24"/>
      <c r="B172" s="174"/>
      <c r="C172" s="24"/>
      <c r="D172" s="24"/>
      <c r="E172" s="24"/>
      <c r="F172" s="114"/>
      <c r="G172" s="114"/>
      <c r="K172" s="168"/>
    </row>
    <row r="173" spans="1:11" ht="15.75" customHeight="1" x14ac:dyDescent="0.25">
      <c r="A173" s="24"/>
      <c r="B173" s="174"/>
      <c r="C173" s="24"/>
      <c r="D173" s="24"/>
      <c r="E173" s="24"/>
      <c r="F173" s="114"/>
      <c r="G173" s="114"/>
      <c r="K173" s="168"/>
    </row>
    <row r="174" spans="1:11" ht="15.75" customHeight="1" x14ac:dyDescent="0.25">
      <c r="A174" s="24"/>
      <c r="B174" s="174"/>
      <c r="C174" s="24"/>
      <c r="D174" s="24"/>
      <c r="E174" s="24"/>
      <c r="F174" s="114"/>
      <c r="G174" s="114"/>
      <c r="K174" s="168"/>
    </row>
    <row r="175" spans="1:11" ht="15.75" customHeight="1" x14ac:dyDescent="0.25">
      <c r="A175" s="24"/>
      <c r="B175" s="174"/>
      <c r="C175" s="24"/>
      <c r="D175" s="24"/>
      <c r="E175" s="24"/>
      <c r="F175" s="114"/>
      <c r="G175" s="114"/>
      <c r="K175" s="168"/>
    </row>
    <row r="176" spans="1:11" ht="15.75" customHeight="1" x14ac:dyDescent="0.25">
      <c r="A176" s="24"/>
      <c r="B176" s="174"/>
      <c r="C176" s="24"/>
      <c r="D176" s="24"/>
      <c r="E176" s="24"/>
      <c r="F176" s="114"/>
      <c r="G176" s="114"/>
      <c r="K176" s="168"/>
    </row>
    <row r="177" spans="1:11" ht="15.75" customHeight="1" x14ac:dyDescent="0.25">
      <c r="A177" s="24"/>
      <c r="B177" s="174"/>
      <c r="C177" s="24"/>
      <c r="D177" s="24"/>
      <c r="E177" s="24"/>
      <c r="F177" s="114"/>
      <c r="G177" s="114"/>
      <c r="K177" s="168"/>
    </row>
    <row r="178" spans="1:11" ht="15.75" customHeight="1" x14ac:dyDescent="0.25">
      <c r="A178" s="24"/>
      <c r="B178" s="174"/>
      <c r="C178" s="24"/>
      <c r="D178" s="24"/>
      <c r="E178" s="24"/>
      <c r="F178" s="114"/>
      <c r="G178" s="114"/>
      <c r="K178" s="168"/>
    </row>
    <row r="179" spans="1:11" ht="15.75" customHeight="1" x14ac:dyDescent="0.25">
      <c r="A179" s="24"/>
      <c r="B179" s="174"/>
      <c r="C179" s="24"/>
      <c r="D179" s="24"/>
      <c r="E179" s="24"/>
      <c r="F179" s="114"/>
      <c r="G179" s="114"/>
      <c r="K179" s="168"/>
    </row>
    <row r="180" spans="1:11" ht="15.75" customHeight="1" x14ac:dyDescent="0.25">
      <c r="A180" s="24"/>
      <c r="B180" s="174"/>
      <c r="C180" s="24"/>
      <c r="D180" s="24"/>
      <c r="E180" s="24"/>
      <c r="F180" s="114"/>
      <c r="G180" s="114"/>
      <c r="K180" s="168"/>
    </row>
    <row r="181" spans="1:11" ht="15.75" customHeight="1" x14ac:dyDescent="0.25">
      <c r="A181" s="24"/>
      <c r="B181" s="174"/>
      <c r="C181" s="24"/>
      <c r="D181" s="24"/>
      <c r="E181" s="24"/>
      <c r="F181" s="114"/>
      <c r="G181" s="114"/>
      <c r="K181" s="168"/>
    </row>
    <row r="182" spans="1:11" ht="15.75" customHeight="1" x14ac:dyDescent="0.25">
      <c r="A182" s="24"/>
      <c r="B182" s="174"/>
      <c r="C182" s="24"/>
      <c r="D182" s="24"/>
      <c r="E182" s="24"/>
      <c r="F182" s="114"/>
      <c r="G182" s="114"/>
      <c r="K182" s="168"/>
    </row>
    <row r="183" spans="1:11" ht="15.75" customHeight="1" x14ac:dyDescent="0.25">
      <c r="A183" s="24"/>
      <c r="B183" s="174"/>
      <c r="C183" s="24"/>
      <c r="D183" s="24"/>
      <c r="E183" s="24"/>
      <c r="F183" s="114"/>
      <c r="G183" s="114"/>
      <c r="K183" s="168"/>
    </row>
    <row r="184" spans="1:11" ht="15.75" customHeight="1" x14ac:dyDescent="0.25">
      <c r="A184" s="24"/>
      <c r="B184" s="174"/>
      <c r="C184" s="24"/>
      <c r="D184" s="24"/>
      <c r="E184" s="24"/>
      <c r="F184" s="114"/>
      <c r="G184" s="114"/>
      <c r="K184" s="168"/>
    </row>
    <row r="185" spans="1:11" ht="15.75" customHeight="1" x14ac:dyDescent="0.25">
      <c r="A185" s="24"/>
      <c r="B185" s="174"/>
      <c r="C185" s="24"/>
      <c r="D185" s="24"/>
      <c r="E185" s="24"/>
      <c r="F185" s="114"/>
      <c r="G185" s="114"/>
      <c r="K185" s="168"/>
    </row>
    <row r="186" spans="1:11" ht="15.75" customHeight="1" x14ac:dyDescent="0.25">
      <c r="A186" s="24"/>
      <c r="B186" s="174"/>
      <c r="C186" s="24"/>
      <c r="D186" s="24"/>
      <c r="E186" s="24"/>
      <c r="F186" s="114"/>
      <c r="G186" s="114"/>
      <c r="K186" s="168"/>
    </row>
    <row r="187" spans="1:11" ht="15.75" customHeight="1" x14ac:dyDescent="0.25">
      <c r="A187" s="24"/>
      <c r="B187" s="174"/>
      <c r="C187" s="24"/>
      <c r="D187" s="24"/>
      <c r="E187" s="24"/>
      <c r="F187" s="114"/>
      <c r="G187" s="114"/>
      <c r="K187" s="168"/>
    </row>
    <row r="188" spans="1:11" ht="15.75" customHeight="1" x14ac:dyDescent="0.25">
      <c r="A188" s="24"/>
      <c r="B188" s="174"/>
      <c r="C188" s="24"/>
      <c r="D188" s="24"/>
      <c r="E188" s="24"/>
      <c r="F188" s="114"/>
      <c r="G188" s="114"/>
      <c r="K188" s="168"/>
    </row>
    <row r="189" spans="1:11" ht="15.75" customHeight="1" x14ac:dyDescent="0.25">
      <c r="A189" s="24"/>
      <c r="B189" s="174"/>
      <c r="C189" s="24"/>
      <c r="D189" s="24"/>
      <c r="E189" s="24"/>
      <c r="F189" s="114"/>
      <c r="G189" s="114"/>
      <c r="K189" s="168"/>
    </row>
    <row r="190" spans="1:11" ht="15.75" customHeight="1" x14ac:dyDescent="0.25">
      <c r="A190" s="24"/>
      <c r="B190" s="174"/>
      <c r="C190" s="24"/>
      <c r="D190" s="24"/>
      <c r="E190" s="24"/>
      <c r="F190" s="114"/>
      <c r="G190" s="114"/>
      <c r="K190" s="168"/>
    </row>
    <row r="191" spans="1:11" ht="15.75" customHeight="1" x14ac:dyDescent="0.25">
      <c r="A191" s="24"/>
      <c r="B191" s="174"/>
      <c r="C191" s="24"/>
      <c r="D191" s="24"/>
      <c r="E191" s="24"/>
      <c r="F191" s="114"/>
      <c r="G191" s="114"/>
      <c r="K191" s="168"/>
    </row>
    <row r="192" spans="1:11" ht="15.75" customHeight="1" x14ac:dyDescent="0.25">
      <c r="A192" s="24"/>
      <c r="B192" s="174"/>
      <c r="C192" s="24"/>
      <c r="D192" s="24"/>
      <c r="E192" s="24"/>
      <c r="F192" s="114"/>
      <c r="G192" s="114"/>
      <c r="K192" s="168"/>
    </row>
    <row r="193" spans="1:11" ht="15.75" customHeight="1" x14ac:dyDescent="0.25">
      <c r="A193" s="24"/>
      <c r="B193" s="174"/>
      <c r="C193" s="24"/>
      <c r="D193" s="24"/>
      <c r="E193" s="24"/>
      <c r="F193" s="114"/>
      <c r="G193" s="114"/>
      <c r="K193" s="168"/>
    </row>
    <row r="194" spans="1:11" ht="15.75" customHeight="1" x14ac:dyDescent="0.25">
      <c r="A194" s="24"/>
      <c r="B194" s="174"/>
      <c r="C194" s="24"/>
      <c r="D194" s="24"/>
      <c r="E194" s="24"/>
      <c r="F194" s="114"/>
      <c r="G194" s="114"/>
      <c r="K194" s="168"/>
    </row>
    <row r="195" spans="1:11" ht="15.75" customHeight="1" x14ac:dyDescent="0.25">
      <c r="A195" s="24"/>
      <c r="B195" s="174"/>
      <c r="C195" s="24"/>
      <c r="D195" s="24"/>
      <c r="E195" s="24"/>
      <c r="F195" s="114"/>
      <c r="G195" s="114"/>
      <c r="K195" s="168"/>
    </row>
    <row r="196" spans="1:11" ht="15.75" customHeight="1" x14ac:dyDescent="0.25">
      <c r="A196" s="24"/>
      <c r="B196" s="174"/>
      <c r="C196" s="24"/>
      <c r="D196" s="24"/>
      <c r="E196" s="24"/>
      <c r="F196" s="114"/>
      <c r="G196" s="114"/>
      <c r="K196" s="168"/>
    </row>
    <row r="197" spans="1:11" ht="15.75" customHeight="1" x14ac:dyDescent="0.25">
      <c r="A197" s="24"/>
      <c r="B197" s="174"/>
      <c r="C197" s="24"/>
      <c r="D197" s="24"/>
      <c r="E197" s="24"/>
      <c r="F197" s="114"/>
      <c r="G197" s="114"/>
      <c r="K197" s="168"/>
    </row>
    <row r="198" spans="1:11" ht="15.75" customHeight="1" x14ac:dyDescent="0.25">
      <c r="A198" s="24"/>
      <c r="B198" s="174"/>
      <c r="C198" s="24"/>
      <c r="D198" s="24"/>
      <c r="E198" s="24"/>
      <c r="F198" s="114"/>
      <c r="G198" s="114"/>
      <c r="K198" s="168"/>
    </row>
    <row r="199" spans="1:11" ht="15.75" customHeight="1" x14ac:dyDescent="0.25">
      <c r="A199" s="24"/>
      <c r="B199" s="174"/>
      <c r="C199" s="24"/>
      <c r="D199" s="24"/>
      <c r="E199" s="24"/>
      <c r="F199" s="114"/>
      <c r="G199" s="114"/>
      <c r="K199" s="168"/>
    </row>
    <row r="200" spans="1:11" ht="15.75" customHeight="1" x14ac:dyDescent="0.25">
      <c r="A200" s="24"/>
      <c r="B200" s="174"/>
      <c r="C200" s="24"/>
      <c r="D200" s="24"/>
      <c r="E200" s="24"/>
      <c r="F200" s="114"/>
      <c r="G200" s="114"/>
      <c r="K200" s="168"/>
    </row>
    <row r="201" spans="1:11" ht="15.75" customHeight="1" x14ac:dyDescent="0.25">
      <c r="A201" s="24"/>
      <c r="B201" s="174"/>
      <c r="C201" s="24"/>
      <c r="D201" s="24"/>
      <c r="E201" s="24"/>
      <c r="F201" s="114"/>
      <c r="G201" s="114"/>
      <c r="K201" s="168"/>
    </row>
    <row r="202" spans="1:11" ht="15.75" customHeight="1" x14ac:dyDescent="0.25">
      <c r="A202" s="24"/>
      <c r="B202" s="174"/>
      <c r="C202" s="24"/>
      <c r="D202" s="24"/>
      <c r="E202" s="24"/>
      <c r="F202" s="114"/>
      <c r="G202" s="114"/>
      <c r="K202" s="168"/>
    </row>
    <row r="203" spans="1:11" ht="15.75" customHeight="1" x14ac:dyDescent="0.25">
      <c r="A203" s="24"/>
      <c r="B203" s="174"/>
      <c r="C203" s="24"/>
      <c r="D203" s="24"/>
      <c r="E203" s="24"/>
      <c r="F203" s="114"/>
      <c r="G203" s="114"/>
      <c r="K203" s="168"/>
    </row>
    <row r="204" spans="1:11" ht="15.75" customHeight="1" x14ac:dyDescent="0.25">
      <c r="A204" s="24"/>
      <c r="B204" s="174"/>
      <c r="C204" s="24"/>
      <c r="D204" s="24"/>
      <c r="E204" s="24"/>
      <c r="F204" s="114"/>
      <c r="G204" s="114"/>
      <c r="K204" s="168"/>
    </row>
    <row r="205" spans="1:11" ht="15.75" customHeight="1" x14ac:dyDescent="0.25">
      <c r="A205" s="24"/>
      <c r="B205" s="174"/>
      <c r="C205" s="24"/>
      <c r="D205" s="24"/>
      <c r="E205" s="24"/>
      <c r="F205" s="114"/>
      <c r="G205" s="114"/>
      <c r="K205" s="168"/>
    </row>
    <row r="206" spans="1:11" ht="15.75" customHeight="1" x14ac:dyDescent="0.25">
      <c r="A206" s="24"/>
      <c r="B206" s="174"/>
      <c r="C206" s="24"/>
      <c r="D206" s="24"/>
      <c r="E206" s="24"/>
      <c r="F206" s="114"/>
      <c r="G206" s="114"/>
      <c r="K206" s="168"/>
    </row>
    <row r="207" spans="1:11" ht="15.75" customHeight="1" x14ac:dyDescent="0.25">
      <c r="A207" s="24"/>
      <c r="B207" s="174"/>
      <c r="C207" s="24"/>
      <c r="D207" s="24"/>
      <c r="E207" s="24"/>
      <c r="F207" s="114"/>
      <c r="G207" s="114"/>
      <c r="K207" s="168"/>
    </row>
    <row r="208" spans="1:11" ht="15.75" customHeight="1" x14ac:dyDescent="0.25">
      <c r="A208" s="24"/>
      <c r="B208" s="174"/>
      <c r="C208" s="24"/>
      <c r="D208" s="24"/>
      <c r="E208" s="24"/>
      <c r="F208" s="114"/>
      <c r="G208" s="114"/>
      <c r="K208" s="168"/>
    </row>
    <row r="209" spans="1:11" ht="15.75" customHeight="1" x14ac:dyDescent="0.25">
      <c r="A209" s="24"/>
      <c r="B209" s="174"/>
      <c r="C209" s="24"/>
      <c r="D209" s="24"/>
      <c r="E209" s="24"/>
      <c r="F209" s="114"/>
      <c r="G209" s="114"/>
      <c r="K209" s="168"/>
    </row>
    <row r="210" spans="1:11" ht="15.75" customHeight="1" x14ac:dyDescent="0.25">
      <c r="A210" s="24"/>
      <c r="B210" s="174"/>
      <c r="C210" s="24"/>
      <c r="D210" s="24"/>
      <c r="E210" s="24"/>
      <c r="F210" s="114"/>
      <c r="G210" s="114"/>
      <c r="K210" s="168"/>
    </row>
    <row r="211" spans="1:11" ht="15.75" customHeight="1" x14ac:dyDescent="0.25">
      <c r="A211" s="24"/>
      <c r="B211" s="174"/>
      <c r="C211" s="24"/>
      <c r="D211" s="24"/>
      <c r="E211" s="24"/>
      <c r="F211" s="114"/>
      <c r="G211" s="114"/>
      <c r="K211" s="168"/>
    </row>
    <row r="212" spans="1:11" ht="15.75" customHeight="1" x14ac:dyDescent="0.25">
      <c r="A212" s="24"/>
      <c r="B212" s="174"/>
      <c r="C212" s="24"/>
      <c r="D212" s="24"/>
      <c r="E212" s="24"/>
      <c r="F212" s="114"/>
      <c r="G212" s="114"/>
      <c r="K212" s="168"/>
    </row>
    <row r="213" spans="1:11" ht="15.75" customHeight="1" x14ac:dyDescent="0.25">
      <c r="A213" s="24"/>
      <c r="B213" s="174"/>
      <c r="C213" s="24"/>
      <c r="D213" s="24"/>
      <c r="E213" s="24"/>
      <c r="F213" s="114"/>
      <c r="G213" s="114"/>
      <c r="K213" s="168"/>
    </row>
    <row r="214" spans="1:11" ht="15.75" customHeight="1" x14ac:dyDescent="0.25">
      <c r="A214" s="24"/>
      <c r="B214" s="174"/>
      <c r="C214" s="24"/>
      <c r="D214" s="24"/>
      <c r="E214" s="24"/>
      <c r="F214" s="114"/>
      <c r="G214" s="114"/>
      <c r="K214" s="168"/>
    </row>
    <row r="215" spans="1:11" ht="15.75" customHeight="1" x14ac:dyDescent="0.25">
      <c r="A215" s="24"/>
      <c r="B215" s="174"/>
      <c r="C215" s="24"/>
      <c r="D215" s="24"/>
      <c r="E215" s="24"/>
      <c r="F215" s="114"/>
      <c r="G215" s="114"/>
      <c r="K215" s="168"/>
    </row>
    <row r="216" spans="1:11" ht="15.75" customHeight="1" x14ac:dyDescent="0.25">
      <c r="A216" s="24"/>
      <c r="B216" s="174"/>
      <c r="C216" s="24"/>
      <c r="D216" s="24"/>
      <c r="E216" s="24"/>
      <c r="F216" s="114"/>
      <c r="G216" s="114"/>
      <c r="K216" s="168"/>
    </row>
    <row r="217" spans="1:11" ht="15.75" customHeight="1" x14ac:dyDescent="0.25">
      <c r="A217" s="24"/>
      <c r="B217" s="174"/>
      <c r="C217" s="24"/>
      <c r="D217" s="24"/>
      <c r="E217" s="24"/>
      <c r="F217" s="114"/>
      <c r="G217" s="114"/>
      <c r="K217" s="168"/>
    </row>
    <row r="218" spans="1:11" ht="15.75" customHeight="1" x14ac:dyDescent="0.25">
      <c r="A218" s="24"/>
      <c r="B218" s="174"/>
      <c r="C218" s="24"/>
      <c r="D218" s="24"/>
      <c r="E218" s="24"/>
      <c r="F218" s="114"/>
      <c r="G218" s="114"/>
      <c r="K218" s="168"/>
    </row>
    <row r="219" spans="1:11" ht="15.75" customHeight="1" x14ac:dyDescent="0.25">
      <c r="A219" s="24"/>
      <c r="B219" s="174"/>
      <c r="C219" s="24"/>
      <c r="D219" s="24"/>
      <c r="E219" s="24"/>
      <c r="F219" s="114"/>
      <c r="G219" s="114"/>
      <c r="K219" s="168"/>
    </row>
    <row r="220" spans="1:11" ht="15.75" customHeight="1" x14ac:dyDescent="0.25">
      <c r="A220" s="24"/>
      <c r="B220" s="174"/>
      <c r="C220" s="24"/>
      <c r="D220" s="24"/>
      <c r="E220" s="24"/>
      <c r="F220" s="114"/>
      <c r="G220" s="114"/>
      <c r="K220" s="168"/>
    </row>
    <row r="221" spans="1:11" ht="15.75" customHeight="1" x14ac:dyDescent="0.25">
      <c r="A221" s="24"/>
      <c r="B221" s="174"/>
      <c r="C221" s="24"/>
      <c r="D221" s="24"/>
      <c r="E221" s="24"/>
      <c r="F221" s="114"/>
      <c r="G221" s="114"/>
      <c r="K221" s="168"/>
    </row>
    <row r="222" spans="1:11" ht="15.75" customHeight="1" x14ac:dyDescent="0.25">
      <c r="A222" s="24"/>
      <c r="B222" s="174"/>
      <c r="C222" s="24"/>
      <c r="D222" s="24"/>
      <c r="E222" s="24"/>
      <c r="F222" s="114"/>
      <c r="G222" s="114"/>
      <c r="K222" s="168"/>
    </row>
    <row r="223" spans="1:11" ht="15.75" customHeight="1" x14ac:dyDescent="0.25">
      <c r="A223" s="24"/>
      <c r="B223" s="174"/>
      <c r="C223" s="24"/>
      <c r="D223" s="24"/>
      <c r="E223" s="24"/>
      <c r="F223" s="114"/>
      <c r="G223" s="114"/>
      <c r="K223" s="168"/>
    </row>
    <row r="224" spans="1:11" ht="15.75" customHeight="1" x14ac:dyDescent="0.25">
      <c r="A224" s="24"/>
      <c r="B224" s="174"/>
      <c r="C224" s="24"/>
      <c r="D224" s="24"/>
      <c r="E224" s="24"/>
      <c r="F224" s="114"/>
      <c r="G224" s="114"/>
      <c r="K224" s="168"/>
    </row>
    <row r="225" spans="1:11" ht="15.75" customHeight="1" x14ac:dyDescent="0.25">
      <c r="A225" s="24"/>
      <c r="B225" s="174"/>
      <c r="C225" s="24"/>
      <c r="D225" s="24"/>
      <c r="E225" s="24"/>
      <c r="F225" s="114"/>
      <c r="G225" s="114"/>
      <c r="K225" s="168"/>
    </row>
    <row r="226" spans="1:11" ht="15.75" customHeight="1" x14ac:dyDescent="0.25">
      <c r="A226" s="24"/>
      <c r="B226" s="174"/>
      <c r="C226" s="24"/>
      <c r="D226" s="24"/>
      <c r="E226" s="24"/>
      <c r="F226" s="114"/>
      <c r="G226" s="114"/>
      <c r="K226" s="168"/>
    </row>
    <row r="227" spans="1:11" ht="15.75" customHeight="1" x14ac:dyDescent="0.25">
      <c r="A227" s="24"/>
      <c r="B227" s="174"/>
      <c r="C227" s="24"/>
      <c r="D227" s="24"/>
      <c r="E227" s="24"/>
      <c r="F227" s="114"/>
      <c r="G227" s="114"/>
      <c r="K227" s="168"/>
    </row>
    <row r="228" spans="1:11" ht="15.75" customHeight="1" x14ac:dyDescent="0.25">
      <c r="A228" s="24"/>
      <c r="B228" s="174"/>
      <c r="C228" s="24"/>
      <c r="D228" s="24"/>
      <c r="E228" s="24"/>
      <c r="F228" s="114"/>
      <c r="G228" s="114"/>
      <c r="K228" s="168"/>
    </row>
    <row r="229" spans="1:11" ht="15.75" customHeight="1" x14ac:dyDescent="0.25">
      <c r="A229" s="24"/>
      <c r="B229" s="174"/>
      <c r="C229" s="24"/>
      <c r="D229" s="24"/>
      <c r="E229" s="24"/>
      <c r="F229" s="114"/>
      <c r="G229" s="114"/>
      <c r="K229" s="168"/>
    </row>
    <row r="230" spans="1:11" ht="15.75" customHeight="1" x14ac:dyDescent="0.25">
      <c r="A230" s="24"/>
      <c r="B230" s="174"/>
      <c r="C230" s="24"/>
      <c r="D230" s="24"/>
      <c r="E230" s="24"/>
      <c r="F230" s="114"/>
      <c r="G230" s="114"/>
      <c r="K230" s="168"/>
    </row>
    <row r="231" spans="1:11" ht="15.75" customHeight="1" x14ac:dyDescent="0.25">
      <c r="A231" s="24"/>
      <c r="B231" s="174"/>
      <c r="C231" s="24"/>
      <c r="D231" s="24"/>
      <c r="E231" s="24"/>
      <c r="F231" s="114"/>
      <c r="G231" s="114"/>
      <c r="K231" s="168"/>
    </row>
    <row r="232" spans="1:11" ht="15.75" customHeight="1" x14ac:dyDescent="0.25">
      <c r="A232" s="24"/>
      <c r="B232" s="174"/>
      <c r="C232" s="24"/>
      <c r="D232" s="24"/>
      <c r="E232" s="24"/>
      <c r="F232" s="114"/>
      <c r="G232" s="114"/>
      <c r="K232" s="168"/>
    </row>
    <row r="233" spans="1:11" ht="15.75" customHeight="1" x14ac:dyDescent="0.25">
      <c r="A233" s="24"/>
      <c r="B233" s="174"/>
      <c r="C233" s="24"/>
      <c r="D233" s="24"/>
      <c r="E233" s="24"/>
      <c r="F233" s="114"/>
      <c r="G233" s="114"/>
      <c r="K233" s="168"/>
    </row>
    <row r="234" spans="1:11" ht="15.75" customHeight="1" x14ac:dyDescent="0.25">
      <c r="A234" s="24"/>
      <c r="B234" s="174"/>
      <c r="C234" s="24"/>
      <c r="D234" s="24"/>
      <c r="E234" s="24"/>
      <c r="F234" s="114"/>
      <c r="G234" s="114"/>
      <c r="K234" s="168"/>
    </row>
    <row r="235" spans="1:11" ht="15.75" customHeight="1" x14ac:dyDescent="0.25">
      <c r="A235" s="24"/>
      <c r="B235" s="174"/>
      <c r="C235" s="24"/>
      <c r="D235" s="24"/>
      <c r="E235" s="24"/>
      <c r="F235" s="114"/>
      <c r="G235" s="114"/>
      <c r="K235" s="168"/>
    </row>
    <row r="236" spans="1:11" ht="15.75" customHeight="1" x14ac:dyDescent="0.25">
      <c r="A236" s="24"/>
      <c r="B236" s="174"/>
      <c r="C236" s="24"/>
      <c r="D236" s="24"/>
      <c r="E236" s="24"/>
      <c r="F236" s="114"/>
      <c r="G236" s="114"/>
      <c r="K236" s="168"/>
    </row>
    <row r="237" spans="1:11" ht="15.75" customHeight="1" x14ac:dyDescent="0.25">
      <c r="A237" s="24"/>
      <c r="B237" s="174"/>
      <c r="C237" s="24"/>
      <c r="D237" s="24"/>
      <c r="E237" s="24"/>
      <c r="F237" s="114"/>
      <c r="G237" s="114"/>
      <c r="K237" s="168"/>
    </row>
    <row r="238" spans="1:11" ht="15.75" customHeight="1" x14ac:dyDescent="0.25">
      <c r="A238" s="24"/>
      <c r="B238" s="174"/>
      <c r="C238" s="24"/>
      <c r="D238" s="24"/>
      <c r="E238" s="24"/>
      <c r="F238" s="114"/>
      <c r="G238" s="114"/>
      <c r="K238" s="168"/>
    </row>
    <row r="239" spans="1:11" ht="15.75" customHeight="1" x14ac:dyDescent="0.25">
      <c r="A239" s="24"/>
      <c r="B239" s="174"/>
      <c r="C239" s="24"/>
      <c r="D239" s="24"/>
      <c r="E239" s="24"/>
      <c r="F239" s="114"/>
      <c r="G239" s="114"/>
      <c r="K239" s="168"/>
    </row>
    <row r="240" spans="1:11" ht="15.75" customHeight="1" x14ac:dyDescent="0.25">
      <c r="A240" s="24"/>
      <c r="B240" s="174"/>
      <c r="C240" s="24"/>
      <c r="D240" s="24"/>
      <c r="E240" s="24"/>
      <c r="F240" s="114"/>
      <c r="G240" s="114"/>
      <c r="K240" s="168"/>
    </row>
    <row r="241" spans="1:11" ht="15.75" customHeight="1" x14ac:dyDescent="0.25">
      <c r="A241" s="24"/>
      <c r="B241" s="174"/>
      <c r="C241" s="24"/>
      <c r="D241" s="24"/>
      <c r="E241" s="24"/>
      <c r="F241" s="114"/>
      <c r="G241" s="114"/>
      <c r="K241" s="168"/>
    </row>
    <row r="242" spans="1:11" ht="15.75" customHeight="1" x14ac:dyDescent="0.25">
      <c r="A242" s="24"/>
      <c r="B242" s="174"/>
      <c r="C242" s="24"/>
      <c r="D242" s="24"/>
      <c r="E242" s="24"/>
      <c r="F242" s="114"/>
      <c r="G242" s="114"/>
      <c r="K242" s="168"/>
    </row>
    <row r="243" spans="1:11" ht="15.75" customHeight="1" x14ac:dyDescent="0.25">
      <c r="A243" s="24"/>
      <c r="B243" s="174"/>
      <c r="C243" s="24"/>
      <c r="D243" s="24"/>
      <c r="E243" s="24"/>
      <c r="F243" s="114"/>
      <c r="G243" s="114"/>
      <c r="K243" s="168"/>
    </row>
    <row r="244" spans="1:11" ht="15.75" customHeight="1" x14ac:dyDescent="0.25">
      <c r="A244" s="24"/>
      <c r="B244" s="174"/>
      <c r="C244" s="24"/>
      <c r="D244" s="24"/>
      <c r="E244" s="24"/>
      <c r="F244" s="114"/>
      <c r="G244" s="114"/>
      <c r="K244" s="168"/>
    </row>
    <row r="245" spans="1:11" ht="15.75" customHeight="1" x14ac:dyDescent="0.25">
      <c r="A245" s="24"/>
      <c r="B245" s="174"/>
      <c r="C245" s="24"/>
      <c r="D245" s="24"/>
      <c r="E245" s="24"/>
      <c r="F245" s="114"/>
      <c r="G245" s="114"/>
      <c r="K245" s="168"/>
    </row>
    <row r="246" spans="1:11" ht="15.75" customHeight="1" x14ac:dyDescent="0.25">
      <c r="A246" s="24"/>
      <c r="B246" s="174"/>
      <c r="C246" s="24"/>
      <c r="D246" s="24"/>
      <c r="E246" s="24"/>
      <c r="F246" s="114"/>
      <c r="G246" s="114"/>
      <c r="K246" s="168"/>
    </row>
    <row r="247" spans="1:11" ht="15.75" customHeight="1" x14ac:dyDescent="0.25">
      <c r="A247" s="24"/>
      <c r="B247" s="174"/>
      <c r="C247" s="24"/>
      <c r="D247" s="24"/>
      <c r="E247" s="24"/>
      <c r="F247" s="114"/>
      <c r="G247" s="114"/>
      <c r="K247" s="168"/>
    </row>
    <row r="248" spans="1:11" ht="15.75" customHeight="1" x14ac:dyDescent="0.25">
      <c r="A248" s="24"/>
      <c r="B248" s="174"/>
      <c r="C248" s="24"/>
      <c r="D248" s="24"/>
      <c r="E248" s="24"/>
      <c r="F248" s="114"/>
      <c r="G248" s="114"/>
      <c r="K248" s="168"/>
    </row>
    <row r="249" spans="1:11" ht="15.75" customHeight="1" x14ac:dyDescent="0.25">
      <c r="A249" s="24"/>
      <c r="B249" s="174"/>
      <c r="C249" s="24"/>
      <c r="D249" s="24"/>
      <c r="E249" s="24"/>
      <c r="F249" s="114"/>
      <c r="G249" s="114"/>
      <c r="K249" s="168"/>
    </row>
    <row r="250" spans="1:11" ht="15.75" customHeight="1" x14ac:dyDescent="0.25">
      <c r="A250" s="24"/>
      <c r="B250" s="174"/>
      <c r="C250" s="24"/>
      <c r="D250" s="24"/>
      <c r="E250" s="24"/>
      <c r="F250" s="114"/>
      <c r="G250" s="114"/>
      <c r="K250" s="168"/>
    </row>
    <row r="251" spans="1:11" ht="15.75" customHeight="1" x14ac:dyDescent="0.25">
      <c r="A251" s="24"/>
      <c r="B251" s="174"/>
      <c r="C251" s="24"/>
      <c r="D251" s="24"/>
      <c r="E251" s="24"/>
      <c r="F251" s="114"/>
      <c r="G251" s="114"/>
      <c r="K251" s="168"/>
    </row>
    <row r="252" spans="1:11" ht="15.75" customHeight="1" x14ac:dyDescent="0.25">
      <c r="A252" s="24"/>
      <c r="B252" s="174"/>
      <c r="C252" s="24"/>
      <c r="D252" s="24"/>
      <c r="E252" s="24"/>
      <c r="F252" s="114"/>
      <c r="G252" s="114"/>
      <c r="K252" s="168"/>
    </row>
    <row r="253" spans="1:11" ht="15.75" customHeight="1" x14ac:dyDescent="0.25">
      <c r="A253" s="24"/>
      <c r="B253" s="174"/>
      <c r="C253" s="24"/>
      <c r="D253" s="24"/>
      <c r="E253" s="24"/>
      <c r="F253" s="114"/>
      <c r="G253" s="114"/>
      <c r="K253" s="168"/>
    </row>
    <row r="254" spans="1:11" ht="15.75" customHeight="1" x14ac:dyDescent="0.25">
      <c r="A254" s="24"/>
      <c r="B254" s="174"/>
      <c r="C254" s="24"/>
      <c r="D254" s="24"/>
      <c r="E254" s="24"/>
      <c r="F254" s="114"/>
      <c r="G254" s="114"/>
      <c r="K254" s="168"/>
    </row>
    <row r="255" spans="1:11" ht="15.75" customHeight="1" x14ac:dyDescent="0.25">
      <c r="A255" s="24"/>
      <c r="B255" s="174"/>
      <c r="C255" s="24"/>
      <c r="D255" s="24"/>
      <c r="E255" s="24"/>
      <c r="F255" s="114"/>
      <c r="G255" s="114"/>
      <c r="K255" s="168"/>
    </row>
    <row r="256" spans="1:11" ht="15.75" customHeight="1" x14ac:dyDescent="0.25">
      <c r="K256" s="168"/>
    </row>
    <row r="257" spans="11:11" ht="15.75" customHeight="1" x14ac:dyDescent="0.25">
      <c r="K257" s="168"/>
    </row>
    <row r="258" spans="11:11" ht="15.75" customHeight="1" x14ac:dyDescent="0.25">
      <c r="K258" s="168"/>
    </row>
    <row r="259" spans="11:11" ht="15.75" customHeight="1" x14ac:dyDescent="0.25">
      <c r="K259" s="168"/>
    </row>
    <row r="260" spans="11:11" ht="15.75" customHeight="1" x14ac:dyDescent="0.25">
      <c r="K260" s="168"/>
    </row>
    <row r="261" spans="11:11" ht="15.75" customHeight="1" x14ac:dyDescent="0.25">
      <c r="K261" s="168"/>
    </row>
    <row r="262" spans="11:11" ht="15.75" customHeight="1" x14ac:dyDescent="0.25">
      <c r="K262" s="168"/>
    </row>
    <row r="263" spans="11:11" ht="15.75" customHeight="1" x14ac:dyDescent="0.25">
      <c r="K263" s="168"/>
    </row>
    <row r="264" spans="11:11" ht="15.75" customHeight="1" x14ac:dyDescent="0.25">
      <c r="K264" s="168"/>
    </row>
    <row r="265" spans="11:11" ht="15.75" customHeight="1" x14ac:dyDescent="0.25">
      <c r="K265" s="168"/>
    </row>
    <row r="266" spans="11:11" ht="15.75" customHeight="1" x14ac:dyDescent="0.25">
      <c r="K266" s="168"/>
    </row>
    <row r="267" spans="11:11" ht="15.75" customHeight="1" x14ac:dyDescent="0.25">
      <c r="K267" s="168"/>
    </row>
    <row r="268" spans="11:11" ht="15.75" customHeight="1" x14ac:dyDescent="0.25">
      <c r="K268" s="168"/>
    </row>
    <row r="269" spans="11:11" ht="15.75" customHeight="1" x14ac:dyDescent="0.25">
      <c r="K269" s="168"/>
    </row>
    <row r="270" spans="11:11" ht="15.75" customHeight="1" x14ac:dyDescent="0.25">
      <c r="K270" s="168"/>
    </row>
    <row r="271" spans="11:11" ht="15.75" customHeight="1" x14ac:dyDescent="0.25">
      <c r="K271" s="168"/>
    </row>
    <row r="272" spans="11:11" ht="15.75" customHeight="1" x14ac:dyDescent="0.25">
      <c r="K272" s="168"/>
    </row>
    <row r="273" spans="11:11" ht="15.75" customHeight="1" x14ac:dyDescent="0.25">
      <c r="K273" s="168"/>
    </row>
    <row r="274" spans="11:11" ht="15.75" customHeight="1" x14ac:dyDescent="0.25">
      <c r="K274" s="168"/>
    </row>
    <row r="275" spans="11:11" ht="15.75" customHeight="1" x14ac:dyDescent="0.25">
      <c r="K275" s="168"/>
    </row>
    <row r="276" spans="11:11" ht="15.75" customHeight="1" x14ac:dyDescent="0.25">
      <c r="K276" s="168"/>
    </row>
    <row r="277" spans="11:11" ht="15.75" customHeight="1" x14ac:dyDescent="0.25">
      <c r="K277" s="168"/>
    </row>
    <row r="278" spans="11:11" ht="15.75" customHeight="1" x14ac:dyDescent="0.25">
      <c r="K278" s="168"/>
    </row>
    <row r="279" spans="11:11" ht="15.75" customHeight="1" x14ac:dyDescent="0.25">
      <c r="K279" s="168"/>
    </row>
    <row r="280" spans="11:11" ht="15.75" customHeight="1" x14ac:dyDescent="0.25">
      <c r="K280" s="168"/>
    </row>
    <row r="281" spans="11:11" ht="15.75" customHeight="1" x14ac:dyDescent="0.25">
      <c r="K281" s="168"/>
    </row>
    <row r="282" spans="11:11" ht="15.75" customHeight="1" x14ac:dyDescent="0.25">
      <c r="K282" s="168"/>
    </row>
    <row r="283" spans="11:11" ht="15.75" customHeight="1" x14ac:dyDescent="0.25">
      <c r="K283" s="168"/>
    </row>
    <row r="284" spans="11:11" ht="15.75" customHeight="1" x14ac:dyDescent="0.25">
      <c r="K284" s="168"/>
    </row>
    <row r="285" spans="11:11" ht="15.75" customHeight="1" x14ac:dyDescent="0.25">
      <c r="K285" s="168"/>
    </row>
    <row r="286" spans="11:11" ht="15.75" customHeight="1" x14ac:dyDescent="0.25">
      <c r="K286" s="168"/>
    </row>
    <row r="287" spans="11:11" ht="15.75" customHeight="1" x14ac:dyDescent="0.25">
      <c r="K287" s="168"/>
    </row>
    <row r="288" spans="11:11" ht="15.75" customHeight="1" x14ac:dyDescent="0.25">
      <c r="K288" s="168"/>
    </row>
    <row r="289" spans="11:11" ht="15.75" customHeight="1" x14ac:dyDescent="0.25">
      <c r="K289" s="168"/>
    </row>
    <row r="290" spans="11:11" ht="15.75" customHeight="1" x14ac:dyDescent="0.25">
      <c r="K290" s="168"/>
    </row>
    <row r="291" spans="11:11" ht="15.75" customHeight="1" x14ac:dyDescent="0.25">
      <c r="K291" s="168"/>
    </row>
    <row r="292" spans="11:11" ht="15.75" customHeight="1" x14ac:dyDescent="0.25">
      <c r="K292" s="168"/>
    </row>
    <row r="293" spans="11:11" ht="15.75" customHeight="1" x14ac:dyDescent="0.25">
      <c r="K293" s="168"/>
    </row>
    <row r="294" spans="11:11" ht="15.75" customHeight="1" x14ac:dyDescent="0.25">
      <c r="K294" s="168"/>
    </row>
    <row r="295" spans="11:11" ht="15.75" customHeight="1" x14ac:dyDescent="0.25">
      <c r="K295" s="168"/>
    </row>
    <row r="296" spans="11:11" ht="15.75" customHeight="1" x14ac:dyDescent="0.25">
      <c r="K296" s="168"/>
    </row>
    <row r="297" spans="11:11" ht="15.75" customHeight="1" x14ac:dyDescent="0.25">
      <c r="K297" s="168"/>
    </row>
    <row r="298" spans="11:11" ht="15.75" customHeight="1" x14ac:dyDescent="0.25">
      <c r="K298" s="168"/>
    </row>
    <row r="299" spans="11:11" ht="15.75" customHeight="1" x14ac:dyDescent="0.25">
      <c r="K299" s="168"/>
    </row>
    <row r="300" spans="11:11" ht="15.75" customHeight="1" x14ac:dyDescent="0.25">
      <c r="K300" s="168"/>
    </row>
    <row r="301" spans="11:11" ht="15.75" customHeight="1" x14ac:dyDescent="0.25">
      <c r="K301" s="168"/>
    </row>
    <row r="302" spans="11:11" ht="15.75" customHeight="1" x14ac:dyDescent="0.25">
      <c r="K302" s="168"/>
    </row>
    <row r="303" spans="11:11" ht="15.75" customHeight="1" x14ac:dyDescent="0.25">
      <c r="K303" s="168"/>
    </row>
    <row r="304" spans="11:11" ht="15.75" customHeight="1" x14ac:dyDescent="0.25">
      <c r="K304" s="168"/>
    </row>
    <row r="305" spans="11:11" ht="15.75" customHeight="1" x14ac:dyDescent="0.25">
      <c r="K305" s="168"/>
    </row>
    <row r="306" spans="11:11" ht="15.75" customHeight="1" x14ac:dyDescent="0.25">
      <c r="K306" s="168"/>
    </row>
    <row r="307" spans="11:11" ht="15.75" customHeight="1" x14ac:dyDescent="0.25">
      <c r="K307" s="168"/>
    </row>
    <row r="308" spans="11:11" ht="15.75" customHeight="1" x14ac:dyDescent="0.25">
      <c r="K308" s="168"/>
    </row>
    <row r="309" spans="11:11" ht="15.75" customHeight="1" x14ac:dyDescent="0.25">
      <c r="K309" s="168"/>
    </row>
    <row r="310" spans="11:11" ht="15.75" customHeight="1" x14ac:dyDescent="0.25">
      <c r="K310" s="168"/>
    </row>
    <row r="311" spans="11:11" ht="15.75" customHeight="1" x14ac:dyDescent="0.25">
      <c r="K311" s="168"/>
    </row>
    <row r="312" spans="11:11" ht="15.75" customHeight="1" x14ac:dyDescent="0.25">
      <c r="K312" s="168"/>
    </row>
    <row r="313" spans="11:11" ht="15.75" customHeight="1" x14ac:dyDescent="0.25">
      <c r="K313" s="168"/>
    </row>
    <row r="314" spans="11:11" ht="15.75" customHeight="1" x14ac:dyDescent="0.25">
      <c r="K314" s="168"/>
    </row>
    <row r="315" spans="11:11" ht="15.75" customHeight="1" x14ac:dyDescent="0.25">
      <c r="K315" s="168"/>
    </row>
    <row r="316" spans="11:11" ht="15.75" customHeight="1" x14ac:dyDescent="0.25">
      <c r="K316" s="168"/>
    </row>
    <row r="317" spans="11:11" ht="15.75" customHeight="1" x14ac:dyDescent="0.25">
      <c r="K317" s="168"/>
    </row>
    <row r="318" spans="11:11" ht="15.75" customHeight="1" x14ac:dyDescent="0.25">
      <c r="K318" s="168"/>
    </row>
    <row r="319" spans="11:11" ht="15.75" customHeight="1" x14ac:dyDescent="0.25">
      <c r="K319" s="168"/>
    </row>
    <row r="320" spans="11:11" ht="15.75" customHeight="1" x14ac:dyDescent="0.25">
      <c r="K320" s="168"/>
    </row>
    <row r="321" spans="11:11" ht="15.75" customHeight="1" x14ac:dyDescent="0.25">
      <c r="K321" s="168"/>
    </row>
    <row r="322" spans="11:11" ht="15.75" customHeight="1" x14ac:dyDescent="0.25">
      <c r="K322" s="168"/>
    </row>
    <row r="323" spans="11:11" ht="15.75" customHeight="1" x14ac:dyDescent="0.25">
      <c r="K323" s="168"/>
    </row>
    <row r="324" spans="11:11" ht="15.75" customHeight="1" x14ac:dyDescent="0.25">
      <c r="K324" s="168"/>
    </row>
    <row r="325" spans="11:11" ht="15.75" customHeight="1" x14ac:dyDescent="0.25">
      <c r="K325" s="168"/>
    </row>
    <row r="326" spans="11:11" ht="15.75" customHeight="1" x14ac:dyDescent="0.25">
      <c r="K326" s="168"/>
    </row>
    <row r="327" spans="11:11" ht="15.75" customHeight="1" x14ac:dyDescent="0.25">
      <c r="K327" s="168"/>
    </row>
    <row r="328" spans="11:11" ht="15.75" customHeight="1" x14ac:dyDescent="0.25">
      <c r="K328" s="168"/>
    </row>
    <row r="329" spans="11:11" ht="15.75" customHeight="1" x14ac:dyDescent="0.25">
      <c r="K329" s="168"/>
    </row>
    <row r="330" spans="11:11" ht="15.75" customHeight="1" x14ac:dyDescent="0.25">
      <c r="K330" s="168"/>
    </row>
    <row r="331" spans="11:11" ht="15.75" customHeight="1" x14ac:dyDescent="0.25">
      <c r="K331" s="168"/>
    </row>
    <row r="332" spans="11:11" ht="15.75" customHeight="1" x14ac:dyDescent="0.25">
      <c r="K332" s="168"/>
    </row>
    <row r="333" spans="11:11" ht="15.75" customHeight="1" x14ac:dyDescent="0.25">
      <c r="K333" s="168"/>
    </row>
    <row r="334" spans="11:11" ht="15.75" customHeight="1" x14ac:dyDescent="0.25">
      <c r="K334" s="168"/>
    </row>
    <row r="335" spans="11:11" ht="15.75" customHeight="1" x14ac:dyDescent="0.25">
      <c r="K335" s="168"/>
    </row>
    <row r="336" spans="11:11" ht="15.75" customHeight="1" x14ac:dyDescent="0.25">
      <c r="K336" s="168"/>
    </row>
    <row r="337" spans="11:11" ht="15.75" customHeight="1" x14ac:dyDescent="0.25">
      <c r="K337" s="168"/>
    </row>
    <row r="338" spans="11:11" ht="15.75" customHeight="1" x14ac:dyDescent="0.25">
      <c r="K338" s="168"/>
    </row>
    <row r="339" spans="11:11" ht="15.75" customHeight="1" x14ac:dyDescent="0.25">
      <c r="K339" s="168"/>
    </row>
    <row r="340" spans="11:11" ht="15.75" customHeight="1" x14ac:dyDescent="0.25">
      <c r="K340" s="168"/>
    </row>
    <row r="341" spans="11:11" ht="15.75" customHeight="1" x14ac:dyDescent="0.25">
      <c r="K341" s="168"/>
    </row>
    <row r="342" spans="11:11" ht="15.75" customHeight="1" x14ac:dyDescent="0.25">
      <c r="K342" s="168"/>
    </row>
    <row r="343" spans="11:11" ht="15.75" customHeight="1" x14ac:dyDescent="0.25">
      <c r="K343" s="168"/>
    </row>
    <row r="344" spans="11:11" ht="15.75" customHeight="1" x14ac:dyDescent="0.25">
      <c r="K344" s="168"/>
    </row>
    <row r="345" spans="11:11" ht="15.75" customHeight="1" x14ac:dyDescent="0.25">
      <c r="K345" s="168"/>
    </row>
    <row r="346" spans="11:11" ht="15.75" customHeight="1" x14ac:dyDescent="0.25">
      <c r="K346" s="168"/>
    </row>
    <row r="347" spans="11:11" ht="15.75" customHeight="1" x14ac:dyDescent="0.25">
      <c r="K347" s="168"/>
    </row>
    <row r="348" spans="11:11" ht="15.75" customHeight="1" x14ac:dyDescent="0.25">
      <c r="K348" s="168"/>
    </row>
    <row r="349" spans="11:11" ht="15.75" customHeight="1" x14ac:dyDescent="0.25">
      <c r="K349" s="168"/>
    </row>
    <row r="350" spans="11:11" ht="15.75" customHeight="1" x14ac:dyDescent="0.25">
      <c r="K350" s="168"/>
    </row>
    <row r="351" spans="11:11" ht="15.75" customHeight="1" x14ac:dyDescent="0.25">
      <c r="K351" s="168"/>
    </row>
    <row r="352" spans="11:11" ht="15.75" customHeight="1" x14ac:dyDescent="0.25">
      <c r="K352" s="168"/>
    </row>
    <row r="353" spans="11:11" ht="15.75" customHeight="1" x14ac:dyDescent="0.25">
      <c r="K353" s="168"/>
    </row>
    <row r="354" spans="11:11" ht="15.75" customHeight="1" x14ac:dyDescent="0.25">
      <c r="K354" s="168"/>
    </row>
    <row r="355" spans="11:11" ht="15.75" customHeight="1" x14ac:dyDescent="0.25">
      <c r="K355" s="168"/>
    </row>
    <row r="356" spans="11:11" ht="15.75" customHeight="1" x14ac:dyDescent="0.25">
      <c r="K356" s="168"/>
    </row>
    <row r="357" spans="11:11" ht="15.75" customHeight="1" x14ac:dyDescent="0.25">
      <c r="K357" s="168"/>
    </row>
    <row r="358" spans="11:11" ht="15.75" customHeight="1" x14ac:dyDescent="0.25">
      <c r="K358" s="168"/>
    </row>
    <row r="359" spans="11:11" ht="15.75" customHeight="1" x14ac:dyDescent="0.25">
      <c r="K359" s="168"/>
    </row>
    <row r="360" spans="11:11" ht="15.75" customHeight="1" x14ac:dyDescent="0.25">
      <c r="K360" s="168"/>
    </row>
    <row r="361" spans="11:11" ht="15.75" customHeight="1" x14ac:dyDescent="0.25">
      <c r="K361" s="168"/>
    </row>
    <row r="362" spans="11:11" ht="15.75" customHeight="1" x14ac:dyDescent="0.25">
      <c r="K362" s="168"/>
    </row>
    <row r="363" spans="11:11" ht="15.75" customHeight="1" x14ac:dyDescent="0.25">
      <c r="K363" s="168"/>
    </row>
    <row r="364" spans="11:11" ht="15.75" customHeight="1" x14ac:dyDescent="0.25">
      <c r="K364" s="168"/>
    </row>
    <row r="365" spans="11:11" ht="15.75" customHeight="1" x14ac:dyDescent="0.25">
      <c r="K365" s="168"/>
    </row>
    <row r="366" spans="11:11" ht="15.75" customHeight="1" x14ac:dyDescent="0.25">
      <c r="K366" s="168"/>
    </row>
    <row r="367" spans="11:11" ht="15.75" customHeight="1" x14ac:dyDescent="0.25">
      <c r="K367" s="168"/>
    </row>
    <row r="368" spans="11:11" ht="15.75" customHeight="1" x14ac:dyDescent="0.25">
      <c r="K368" s="168"/>
    </row>
    <row r="369" spans="11:11" ht="15.75" customHeight="1" x14ac:dyDescent="0.25">
      <c r="K369" s="168"/>
    </row>
    <row r="370" spans="11:11" ht="15.75" customHeight="1" x14ac:dyDescent="0.25">
      <c r="K370" s="168"/>
    </row>
    <row r="371" spans="11:11" ht="15.75" customHeight="1" x14ac:dyDescent="0.25">
      <c r="K371" s="168"/>
    </row>
    <row r="372" spans="11:11" ht="15.75" customHeight="1" x14ac:dyDescent="0.25">
      <c r="K372" s="168"/>
    </row>
    <row r="373" spans="11:11" ht="15.75" customHeight="1" x14ac:dyDescent="0.25">
      <c r="K373" s="168"/>
    </row>
    <row r="374" spans="11:11" ht="15.75" customHeight="1" x14ac:dyDescent="0.25">
      <c r="K374" s="168"/>
    </row>
    <row r="375" spans="11:11" ht="15.75" customHeight="1" x14ac:dyDescent="0.25">
      <c r="K375" s="168"/>
    </row>
    <row r="376" spans="11:11" ht="15.75" customHeight="1" x14ac:dyDescent="0.25">
      <c r="K376" s="168"/>
    </row>
    <row r="377" spans="11:11" ht="15.75" customHeight="1" x14ac:dyDescent="0.25">
      <c r="K377" s="168"/>
    </row>
    <row r="378" spans="11:11" ht="15.75" customHeight="1" x14ac:dyDescent="0.25">
      <c r="K378" s="168"/>
    </row>
    <row r="379" spans="11:11" ht="15.75" customHeight="1" x14ac:dyDescent="0.25">
      <c r="K379" s="168"/>
    </row>
    <row r="380" spans="11:11" ht="15.75" customHeight="1" x14ac:dyDescent="0.25">
      <c r="K380" s="168"/>
    </row>
    <row r="381" spans="11:11" ht="15.75" customHeight="1" x14ac:dyDescent="0.25">
      <c r="K381" s="168"/>
    </row>
    <row r="382" spans="11:11" ht="15.75" customHeight="1" x14ac:dyDescent="0.25">
      <c r="K382" s="168"/>
    </row>
    <row r="383" spans="11:11" ht="15.75" customHeight="1" x14ac:dyDescent="0.25">
      <c r="K383" s="168"/>
    </row>
    <row r="384" spans="11:11" ht="15.75" customHeight="1" x14ac:dyDescent="0.25">
      <c r="K384" s="168"/>
    </row>
    <row r="385" spans="11:11" ht="15.75" customHeight="1" x14ac:dyDescent="0.25">
      <c r="K385" s="168"/>
    </row>
    <row r="386" spans="11:11" ht="15.75" customHeight="1" x14ac:dyDescent="0.25">
      <c r="K386" s="168"/>
    </row>
    <row r="387" spans="11:11" ht="15.75" customHeight="1" x14ac:dyDescent="0.25">
      <c r="K387" s="168"/>
    </row>
    <row r="388" spans="11:11" ht="15.75" customHeight="1" x14ac:dyDescent="0.25">
      <c r="K388" s="168"/>
    </row>
    <row r="389" spans="11:11" ht="15.75" customHeight="1" x14ac:dyDescent="0.25">
      <c r="K389" s="168"/>
    </row>
    <row r="390" spans="11:11" ht="15.75" customHeight="1" x14ac:dyDescent="0.25">
      <c r="K390" s="168"/>
    </row>
    <row r="391" spans="11:11" ht="15.75" customHeight="1" x14ac:dyDescent="0.25">
      <c r="K391" s="168"/>
    </row>
    <row r="392" spans="11:11" ht="15.75" customHeight="1" x14ac:dyDescent="0.25">
      <c r="K392" s="168"/>
    </row>
    <row r="393" spans="11:11" ht="15.75" customHeight="1" x14ac:dyDescent="0.25">
      <c r="K393" s="168"/>
    </row>
    <row r="394" spans="11:11" ht="15.75" customHeight="1" x14ac:dyDescent="0.25">
      <c r="K394" s="168"/>
    </row>
    <row r="395" spans="11:11" ht="15.75" customHeight="1" x14ac:dyDescent="0.25">
      <c r="K395" s="168"/>
    </row>
    <row r="396" spans="11:11" ht="15.75" customHeight="1" x14ac:dyDescent="0.25">
      <c r="K396" s="168"/>
    </row>
    <row r="397" spans="11:11" ht="15.75" customHeight="1" x14ac:dyDescent="0.25">
      <c r="K397" s="168"/>
    </row>
    <row r="398" spans="11:11" ht="15.75" customHeight="1" x14ac:dyDescent="0.25">
      <c r="K398" s="168"/>
    </row>
    <row r="399" spans="11:11" ht="15.75" customHeight="1" x14ac:dyDescent="0.25">
      <c r="K399" s="168"/>
    </row>
    <row r="400" spans="11:11" ht="15.75" customHeight="1" x14ac:dyDescent="0.25">
      <c r="K400" s="168"/>
    </row>
    <row r="401" spans="11:11" ht="15.75" customHeight="1" x14ac:dyDescent="0.25">
      <c r="K401" s="168"/>
    </row>
    <row r="402" spans="11:11" ht="15.75" customHeight="1" x14ac:dyDescent="0.25">
      <c r="K402" s="168"/>
    </row>
    <row r="403" spans="11:11" ht="15.75" customHeight="1" x14ac:dyDescent="0.25">
      <c r="K403" s="168"/>
    </row>
    <row r="404" spans="11:11" ht="15.75" customHeight="1" x14ac:dyDescent="0.25">
      <c r="K404" s="168"/>
    </row>
    <row r="405" spans="11:11" ht="15.75" customHeight="1" x14ac:dyDescent="0.25">
      <c r="K405" s="168"/>
    </row>
    <row r="406" spans="11:11" ht="15.75" customHeight="1" x14ac:dyDescent="0.25">
      <c r="K406" s="168"/>
    </row>
    <row r="407" spans="11:11" ht="15.75" customHeight="1" x14ac:dyDescent="0.25">
      <c r="K407" s="168"/>
    </row>
    <row r="408" spans="11:11" ht="15.75" customHeight="1" x14ac:dyDescent="0.25">
      <c r="K408" s="168"/>
    </row>
    <row r="409" spans="11:11" ht="15.75" customHeight="1" x14ac:dyDescent="0.25">
      <c r="K409" s="168"/>
    </row>
    <row r="410" spans="11:11" ht="15.75" customHeight="1" x14ac:dyDescent="0.25">
      <c r="K410" s="168"/>
    </row>
    <row r="411" spans="11:11" ht="15.75" customHeight="1" x14ac:dyDescent="0.25">
      <c r="K411" s="168"/>
    </row>
    <row r="412" spans="11:11" ht="15.75" customHeight="1" x14ac:dyDescent="0.25">
      <c r="K412" s="168"/>
    </row>
    <row r="413" spans="11:11" ht="15.75" customHeight="1" x14ac:dyDescent="0.25">
      <c r="K413" s="168"/>
    </row>
    <row r="414" spans="11:11" ht="15.75" customHeight="1" x14ac:dyDescent="0.25">
      <c r="K414" s="168"/>
    </row>
    <row r="415" spans="11:11" ht="15.75" customHeight="1" x14ac:dyDescent="0.25">
      <c r="K415" s="168"/>
    </row>
    <row r="416" spans="11:11" ht="15.75" customHeight="1" x14ac:dyDescent="0.25">
      <c r="K416" s="168"/>
    </row>
    <row r="417" spans="11:11" ht="15.75" customHeight="1" x14ac:dyDescent="0.25">
      <c r="K417" s="168"/>
    </row>
    <row r="418" spans="11:11" ht="15.75" customHeight="1" x14ac:dyDescent="0.25">
      <c r="K418" s="168"/>
    </row>
    <row r="419" spans="11:11" ht="15.75" customHeight="1" x14ac:dyDescent="0.25">
      <c r="K419" s="168"/>
    </row>
    <row r="420" spans="11:11" ht="15.75" customHeight="1" x14ac:dyDescent="0.25">
      <c r="K420" s="168"/>
    </row>
    <row r="421" spans="11:11" ht="15.75" customHeight="1" x14ac:dyDescent="0.25">
      <c r="K421" s="168"/>
    </row>
    <row r="422" spans="11:11" ht="15.75" customHeight="1" x14ac:dyDescent="0.25">
      <c r="K422" s="168"/>
    </row>
    <row r="423" spans="11:11" ht="15.75" customHeight="1" x14ac:dyDescent="0.25">
      <c r="K423" s="168"/>
    </row>
    <row r="424" spans="11:11" ht="15.75" customHeight="1" x14ac:dyDescent="0.25">
      <c r="K424" s="168"/>
    </row>
    <row r="425" spans="11:11" ht="15.75" customHeight="1" x14ac:dyDescent="0.25">
      <c r="K425" s="168"/>
    </row>
    <row r="426" spans="11:11" ht="15.75" customHeight="1" x14ac:dyDescent="0.25">
      <c r="K426" s="168"/>
    </row>
    <row r="427" spans="11:11" ht="15.75" customHeight="1" x14ac:dyDescent="0.25">
      <c r="K427" s="168"/>
    </row>
    <row r="428" spans="11:11" ht="15.75" customHeight="1" x14ac:dyDescent="0.25">
      <c r="K428" s="168"/>
    </row>
    <row r="429" spans="11:11" ht="15.75" customHeight="1" x14ac:dyDescent="0.25">
      <c r="K429" s="168"/>
    </row>
    <row r="430" spans="11:11" ht="15.75" customHeight="1" x14ac:dyDescent="0.25">
      <c r="K430" s="168"/>
    </row>
    <row r="431" spans="11:11" ht="15.75" customHeight="1" x14ac:dyDescent="0.25">
      <c r="K431" s="168"/>
    </row>
    <row r="432" spans="11:11" ht="15.75" customHeight="1" x14ac:dyDescent="0.25">
      <c r="K432" s="168"/>
    </row>
    <row r="433" spans="11:11" ht="15.75" customHeight="1" x14ac:dyDescent="0.25">
      <c r="K433" s="168"/>
    </row>
    <row r="434" spans="11:11" ht="15.75" customHeight="1" x14ac:dyDescent="0.25">
      <c r="K434" s="168"/>
    </row>
    <row r="435" spans="11:11" ht="15.75" customHeight="1" x14ac:dyDescent="0.25">
      <c r="K435" s="168"/>
    </row>
    <row r="436" spans="11:11" ht="15.75" customHeight="1" x14ac:dyDescent="0.25">
      <c r="K436" s="168"/>
    </row>
    <row r="437" spans="11:11" ht="15.75" customHeight="1" x14ac:dyDescent="0.25">
      <c r="K437" s="168"/>
    </row>
    <row r="438" spans="11:11" ht="15.75" customHeight="1" x14ac:dyDescent="0.25">
      <c r="K438" s="168"/>
    </row>
    <row r="439" spans="11:11" ht="15.75" customHeight="1" x14ac:dyDescent="0.25">
      <c r="K439" s="168"/>
    </row>
    <row r="440" spans="11:11" ht="15.75" customHeight="1" x14ac:dyDescent="0.25">
      <c r="K440" s="168"/>
    </row>
    <row r="441" spans="11:11" ht="15.75" customHeight="1" x14ac:dyDescent="0.25">
      <c r="K441" s="168"/>
    </row>
    <row r="442" spans="11:11" ht="15.75" customHeight="1" x14ac:dyDescent="0.25">
      <c r="K442" s="168"/>
    </row>
    <row r="443" spans="11:11" ht="15.75" customHeight="1" x14ac:dyDescent="0.25">
      <c r="K443" s="168"/>
    </row>
    <row r="444" spans="11:11" ht="15.75" customHeight="1" x14ac:dyDescent="0.25">
      <c r="K444" s="168"/>
    </row>
    <row r="445" spans="11:11" ht="15.75" customHeight="1" x14ac:dyDescent="0.25">
      <c r="K445" s="168"/>
    </row>
    <row r="446" spans="11:11" ht="15.75" customHeight="1" x14ac:dyDescent="0.25">
      <c r="K446" s="168"/>
    </row>
    <row r="447" spans="11:11" ht="15.75" customHeight="1" x14ac:dyDescent="0.25">
      <c r="K447" s="168"/>
    </row>
    <row r="448" spans="11:11" ht="15.75" customHeight="1" x14ac:dyDescent="0.25">
      <c r="K448" s="168"/>
    </row>
    <row r="449" spans="11:11" ht="15.75" customHeight="1" x14ac:dyDescent="0.25">
      <c r="K449" s="168"/>
    </row>
    <row r="450" spans="11:11" ht="15.75" customHeight="1" x14ac:dyDescent="0.25">
      <c r="K450" s="168"/>
    </row>
    <row r="451" spans="11:11" ht="15.75" customHeight="1" x14ac:dyDescent="0.25">
      <c r="K451" s="168"/>
    </row>
    <row r="452" spans="11:11" ht="15.75" customHeight="1" x14ac:dyDescent="0.25">
      <c r="K452" s="168"/>
    </row>
    <row r="453" spans="11:11" ht="15.75" customHeight="1" x14ac:dyDescent="0.25">
      <c r="K453" s="168"/>
    </row>
    <row r="454" spans="11:11" ht="15.75" customHeight="1" x14ac:dyDescent="0.25">
      <c r="K454" s="168"/>
    </row>
    <row r="455" spans="11:11" ht="15.75" customHeight="1" x14ac:dyDescent="0.25">
      <c r="K455" s="168"/>
    </row>
    <row r="456" spans="11:11" ht="15.75" customHeight="1" x14ac:dyDescent="0.25">
      <c r="K456" s="168"/>
    </row>
    <row r="457" spans="11:11" ht="15.75" customHeight="1" x14ac:dyDescent="0.25">
      <c r="K457" s="168"/>
    </row>
    <row r="458" spans="11:11" ht="15.75" customHeight="1" x14ac:dyDescent="0.25">
      <c r="K458" s="168"/>
    </row>
    <row r="459" spans="11:11" ht="15.75" customHeight="1" x14ac:dyDescent="0.25">
      <c r="K459" s="168"/>
    </row>
    <row r="460" spans="11:11" ht="15.75" customHeight="1" x14ac:dyDescent="0.25">
      <c r="K460" s="168"/>
    </row>
    <row r="461" spans="11:11" ht="15.75" customHeight="1" x14ac:dyDescent="0.25">
      <c r="K461" s="168"/>
    </row>
    <row r="462" spans="11:11" ht="15.75" customHeight="1" x14ac:dyDescent="0.25">
      <c r="K462" s="168"/>
    </row>
    <row r="463" spans="11:11" ht="15.75" customHeight="1" x14ac:dyDescent="0.25">
      <c r="K463" s="168"/>
    </row>
    <row r="464" spans="11:11" ht="15.75" customHeight="1" x14ac:dyDescent="0.25">
      <c r="K464" s="168"/>
    </row>
    <row r="465" spans="11:11" ht="15.75" customHeight="1" x14ac:dyDescent="0.25">
      <c r="K465" s="168"/>
    </row>
    <row r="466" spans="11:11" ht="15.75" customHeight="1" x14ac:dyDescent="0.25">
      <c r="K466" s="168"/>
    </row>
    <row r="467" spans="11:11" ht="15.75" customHeight="1" x14ac:dyDescent="0.25">
      <c r="K467" s="168"/>
    </row>
    <row r="468" spans="11:11" ht="15.75" customHeight="1" x14ac:dyDescent="0.25">
      <c r="K468" s="168"/>
    </row>
    <row r="469" spans="11:11" ht="15.75" customHeight="1" x14ac:dyDescent="0.25">
      <c r="K469" s="168"/>
    </row>
    <row r="470" spans="11:11" ht="15.75" customHeight="1" x14ac:dyDescent="0.25">
      <c r="K470" s="168"/>
    </row>
    <row r="471" spans="11:11" ht="15.75" customHeight="1" x14ac:dyDescent="0.25">
      <c r="K471" s="168"/>
    </row>
    <row r="472" spans="11:11" ht="15.75" customHeight="1" x14ac:dyDescent="0.25">
      <c r="K472" s="168"/>
    </row>
    <row r="473" spans="11:11" ht="15.75" customHeight="1" x14ac:dyDescent="0.25">
      <c r="K473" s="168"/>
    </row>
    <row r="474" spans="11:11" ht="15.75" customHeight="1" x14ac:dyDescent="0.25">
      <c r="K474" s="168"/>
    </row>
    <row r="475" spans="11:11" ht="15.75" customHeight="1" x14ac:dyDescent="0.25">
      <c r="K475" s="168"/>
    </row>
    <row r="476" spans="11:11" ht="15.75" customHeight="1" x14ac:dyDescent="0.25">
      <c r="K476" s="168"/>
    </row>
    <row r="477" spans="11:11" ht="15.75" customHeight="1" x14ac:dyDescent="0.25">
      <c r="K477" s="168"/>
    </row>
    <row r="478" spans="11:11" ht="15.75" customHeight="1" x14ac:dyDescent="0.25">
      <c r="K478" s="168"/>
    </row>
    <row r="479" spans="11:11" ht="15.75" customHeight="1" x14ac:dyDescent="0.25">
      <c r="K479" s="168"/>
    </row>
    <row r="480" spans="11:11" ht="15.75" customHeight="1" x14ac:dyDescent="0.25">
      <c r="K480" s="168"/>
    </row>
    <row r="481" spans="11:11" ht="15.75" customHeight="1" x14ac:dyDescent="0.25">
      <c r="K481" s="168"/>
    </row>
    <row r="482" spans="11:11" ht="15.75" customHeight="1" x14ac:dyDescent="0.25">
      <c r="K482" s="168"/>
    </row>
    <row r="483" spans="11:11" ht="15.75" customHeight="1" x14ac:dyDescent="0.25">
      <c r="K483" s="168"/>
    </row>
    <row r="484" spans="11:11" ht="15.75" customHeight="1" x14ac:dyDescent="0.25">
      <c r="K484" s="168"/>
    </row>
    <row r="485" spans="11:11" ht="15.75" customHeight="1" x14ac:dyDescent="0.25">
      <c r="K485" s="168"/>
    </row>
    <row r="486" spans="11:11" ht="15.75" customHeight="1" x14ac:dyDescent="0.25">
      <c r="K486" s="168"/>
    </row>
    <row r="487" spans="11:11" ht="15.75" customHeight="1" x14ac:dyDescent="0.25">
      <c r="K487" s="168"/>
    </row>
    <row r="488" spans="11:11" ht="15.75" customHeight="1" x14ac:dyDescent="0.25">
      <c r="K488" s="168"/>
    </row>
    <row r="489" spans="11:11" ht="15.75" customHeight="1" x14ac:dyDescent="0.25">
      <c r="K489" s="168"/>
    </row>
    <row r="490" spans="11:11" ht="15.75" customHeight="1" x14ac:dyDescent="0.25">
      <c r="K490" s="168"/>
    </row>
    <row r="491" spans="11:11" ht="15.75" customHeight="1" x14ac:dyDescent="0.25">
      <c r="K491" s="168"/>
    </row>
    <row r="492" spans="11:11" ht="15.75" customHeight="1" x14ac:dyDescent="0.25">
      <c r="K492" s="168"/>
    </row>
    <row r="493" spans="11:11" ht="15.75" customHeight="1" x14ac:dyDescent="0.25">
      <c r="K493" s="168"/>
    </row>
    <row r="494" spans="11:11" ht="15.75" customHeight="1" x14ac:dyDescent="0.25">
      <c r="K494" s="168"/>
    </row>
    <row r="495" spans="11:11" ht="15.75" customHeight="1" x14ac:dyDescent="0.25">
      <c r="K495" s="168"/>
    </row>
    <row r="496" spans="11:11" ht="15.75" customHeight="1" x14ac:dyDescent="0.25">
      <c r="K496" s="168"/>
    </row>
    <row r="497" spans="11:11" ht="15.75" customHeight="1" x14ac:dyDescent="0.25">
      <c r="K497" s="168"/>
    </row>
    <row r="498" spans="11:11" ht="15.75" customHeight="1" x14ac:dyDescent="0.25">
      <c r="K498" s="168"/>
    </row>
    <row r="499" spans="11:11" ht="15.75" customHeight="1" x14ac:dyDescent="0.25">
      <c r="K499" s="168"/>
    </row>
    <row r="500" spans="11:11" ht="15.75" customHeight="1" x14ac:dyDescent="0.25">
      <c r="K500" s="168"/>
    </row>
    <row r="501" spans="11:11" ht="15.75" customHeight="1" x14ac:dyDescent="0.25">
      <c r="K501" s="168"/>
    </row>
    <row r="502" spans="11:11" ht="15.75" customHeight="1" x14ac:dyDescent="0.25">
      <c r="K502" s="168"/>
    </row>
    <row r="503" spans="11:11" ht="15.75" customHeight="1" x14ac:dyDescent="0.25">
      <c r="K503" s="168"/>
    </row>
    <row r="504" spans="11:11" ht="15.75" customHeight="1" x14ac:dyDescent="0.25">
      <c r="K504" s="168"/>
    </row>
    <row r="505" spans="11:11" ht="15.75" customHeight="1" x14ac:dyDescent="0.25">
      <c r="K505" s="168"/>
    </row>
    <row r="506" spans="11:11" ht="15.75" customHeight="1" x14ac:dyDescent="0.25">
      <c r="K506" s="168"/>
    </row>
    <row r="507" spans="11:11" ht="15.75" customHeight="1" x14ac:dyDescent="0.25">
      <c r="K507" s="168"/>
    </row>
    <row r="508" spans="11:11" ht="15.75" customHeight="1" x14ac:dyDescent="0.25">
      <c r="K508" s="168"/>
    </row>
    <row r="509" spans="11:11" ht="15.75" customHeight="1" x14ac:dyDescent="0.25">
      <c r="K509" s="168"/>
    </row>
    <row r="510" spans="11:11" ht="15.75" customHeight="1" x14ac:dyDescent="0.25">
      <c r="K510" s="168"/>
    </row>
    <row r="511" spans="11:11" ht="15.75" customHeight="1" x14ac:dyDescent="0.25">
      <c r="K511" s="168"/>
    </row>
    <row r="512" spans="11:11" ht="15.75" customHeight="1" x14ac:dyDescent="0.25">
      <c r="K512" s="168"/>
    </row>
    <row r="513" spans="11:11" ht="15.75" customHeight="1" x14ac:dyDescent="0.25">
      <c r="K513" s="168"/>
    </row>
    <row r="514" spans="11:11" ht="15.75" customHeight="1" x14ac:dyDescent="0.25">
      <c r="K514" s="168"/>
    </row>
    <row r="515" spans="11:11" ht="15.75" customHeight="1" x14ac:dyDescent="0.25">
      <c r="K515" s="168"/>
    </row>
    <row r="516" spans="11:11" ht="15.75" customHeight="1" x14ac:dyDescent="0.25">
      <c r="K516" s="168"/>
    </row>
    <row r="517" spans="11:11" ht="15.75" customHeight="1" x14ac:dyDescent="0.25">
      <c r="K517" s="168"/>
    </row>
    <row r="518" spans="11:11" ht="15.75" customHeight="1" x14ac:dyDescent="0.25">
      <c r="K518" s="168"/>
    </row>
    <row r="519" spans="11:11" ht="15.75" customHeight="1" x14ac:dyDescent="0.25">
      <c r="K519" s="168"/>
    </row>
    <row r="520" spans="11:11" ht="15.75" customHeight="1" x14ac:dyDescent="0.25">
      <c r="K520" s="168"/>
    </row>
    <row r="521" spans="11:11" ht="15.75" customHeight="1" x14ac:dyDescent="0.25">
      <c r="K521" s="168"/>
    </row>
    <row r="522" spans="11:11" ht="15.75" customHeight="1" x14ac:dyDescent="0.25">
      <c r="K522" s="168"/>
    </row>
    <row r="523" spans="11:11" ht="15.75" customHeight="1" x14ac:dyDescent="0.25">
      <c r="K523" s="168"/>
    </row>
    <row r="524" spans="11:11" ht="15.75" customHeight="1" x14ac:dyDescent="0.25">
      <c r="K524" s="168"/>
    </row>
    <row r="525" spans="11:11" ht="15.75" customHeight="1" x14ac:dyDescent="0.25">
      <c r="K525" s="168"/>
    </row>
    <row r="526" spans="11:11" ht="15.75" customHeight="1" x14ac:dyDescent="0.25">
      <c r="K526" s="168"/>
    </row>
    <row r="527" spans="11:11" ht="15.75" customHeight="1" x14ac:dyDescent="0.25">
      <c r="K527" s="168"/>
    </row>
    <row r="528" spans="11:11" ht="15.75" customHeight="1" x14ac:dyDescent="0.25">
      <c r="K528" s="168"/>
    </row>
    <row r="529" spans="11:11" ht="15.75" customHeight="1" x14ac:dyDescent="0.25">
      <c r="K529" s="168"/>
    </row>
    <row r="530" spans="11:11" ht="15.75" customHeight="1" x14ac:dyDescent="0.25">
      <c r="K530" s="168"/>
    </row>
    <row r="531" spans="11:11" ht="15.75" customHeight="1" x14ac:dyDescent="0.25">
      <c r="K531" s="168"/>
    </row>
    <row r="532" spans="11:11" ht="15.75" customHeight="1" x14ac:dyDescent="0.25">
      <c r="K532" s="168"/>
    </row>
    <row r="533" spans="11:11" ht="15.75" customHeight="1" x14ac:dyDescent="0.25">
      <c r="K533" s="168"/>
    </row>
    <row r="534" spans="11:11" ht="15.75" customHeight="1" x14ac:dyDescent="0.25">
      <c r="K534" s="168"/>
    </row>
    <row r="535" spans="11:11" ht="15.75" customHeight="1" x14ac:dyDescent="0.25">
      <c r="K535" s="168"/>
    </row>
    <row r="536" spans="11:11" ht="15.75" customHeight="1" x14ac:dyDescent="0.25">
      <c r="K536" s="168"/>
    </row>
    <row r="537" spans="11:11" ht="15.75" customHeight="1" x14ac:dyDescent="0.25">
      <c r="K537" s="168"/>
    </row>
    <row r="538" spans="11:11" ht="15.75" customHeight="1" x14ac:dyDescent="0.25">
      <c r="K538" s="168"/>
    </row>
    <row r="539" spans="11:11" ht="15.75" customHeight="1" x14ac:dyDescent="0.25">
      <c r="K539" s="168"/>
    </row>
    <row r="540" spans="11:11" ht="15.75" customHeight="1" x14ac:dyDescent="0.25">
      <c r="K540" s="168"/>
    </row>
    <row r="541" spans="11:11" ht="15.75" customHeight="1" x14ac:dyDescent="0.25">
      <c r="K541" s="168"/>
    </row>
    <row r="542" spans="11:11" ht="15.75" customHeight="1" x14ac:dyDescent="0.25">
      <c r="K542" s="168"/>
    </row>
    <row r="543" spans="11:11" ht="15.75" customHeight="1" x14ac:dyDescent="0.25">
      <c r="K543" s="168"/>
    </row>
    <row r="544" spans="11:11" ht="15.75" customHeight="1" x14ac:dyDescent="0.25">
      <c r="K544" s="168"/>
    </row>
    <row r="545" spans="11:11" ht="15.75" customHeight="1" x14ac:dyDescent="0.25">
      <c r="K545" s="168"/>
    </row>
    <row r="546" spans="11:11" ht="15.75" customHeight="1" x14ac:dyDescent="0.25">
      <c r="K546" s="168"/>
    </row>
    <row r="547" spans="11:11" ht="15.75" customHeight="1" x14ac:dyDescent="0.25">
      <c r="K547" s="168"/>
    </row>
    <row r="548" spans="11:11" ht="15.75" customHeight="1" x14ac:dyDescent="0.25">
      <c r="K548" s="168"/>
    </row>
    <row r="549" spans="11:11" ht="15.75" customHeight="1" x14ac:dyDescent="0.25">
      <c r="K549" s="168"/>
    </row>
    <row r="550" spans="11:11" ht="15.75" customHeight="1" x14ac:dyDescent="0.25">
      <c r="K550" s="168"/>
    </row>
    <row r="551" spans="11:11" ht="15.75" customHeight="1" x14ac:dyDescent="0.25">
      <c r="K551" s="168"/>
    </row>
    <row r="552" spans="11:11" ht="15.75" customHeight="1" x14ac:dyDescent="0.25">
      <c r="K552" s="168"/>
    </row>
    <row r="553" spans="11:11" ht="15.75" customHeight="1" x14ac:dyDescent="0.25">
      <c r="K553" s="168"/>
    </row>
    <row r="554" spans="11:11" ht="15.75" customHeight="1" x14ac:dyDescent="0.25">
      <c r="K554" s="168"/>
    </row>
    <row r="555" spans="11:11" ht="15.75" customHeight="1" x14ac:dyDescent="0.25">
      <c r="K555" s="168"/>
    </row>
    <row r="556" spans="11:11" ht="15.75" customHeight="1" x14ac:dyDescent="0.25">
      <c r="K556" s="168"/>
    </row>
    <row r="557" spans="11:11" ht="15.75" customHeight="1" x14ac:dyDescent="0.25">
      <c r="K557" s="168"/>
    </row>
    <row r="558" spans="11:11" ht="15.75" customHeight="1" x14ac:dyDescent="0.25">
      <c r="K558" s="168"/>
    </row>
    <row r="559" spans="11:11" ht="15.75" customHeight="1" x14ac:dyDescent="0.25">
      <c r="K559" s="168"/>
    </row>
    <row r="560" spans="11:11" ht="15.75" customHeight="1" x14ac:dyDescent="0.25">
      <c r="K560" s="168"/>
    </row>
    <row r="561" spans="11:11" ht="15.75" customHeight="1" x14ac:dyDescent="0.25">
      <c r="K561" s="168"/>
    </row>
    <row r="562" spans="11:11" ht="15.75" customHeight="1" x14ac:dyDescent="0.25">
      <c r="K562" s="168"/>
    </row>
    <row r="563" spans="11:11" ht="15.75" customHeight="1" x14ac:dyDescent="0.25">
      <c r="K563" s="168"/>
    </row>
    <row r="564" spans="11:11" ht="15.75" customHeight="1" x14ac:dyDescent="0.25">
      <c r="K564" s="168"/>
    </row>
    <row r="565" spans="11:11" ht="15.75" customHeight="1" x14ac:dyDescent="0.25">
      <c r="K565" s="168"/>
    </row>
    <row r="566" spans="11:11" ht="15.75" customHeight="1" x14ac:dyDescent="0.25">
      <c r="K566" s="168"/>
    </row>
    <row r="567" spans="11:11" ht="15.75" customHeight="1" x14ac:dyDescent="0.25">
      <c r="K567" s="168"/>
    </row>
    <row r="568" spans="11:11" ht="15.75" customHeight="1" x14ac:dyDescent="0.25">
      <c r="K568" s="168"/>
    </row>
    <row r="569" spans="11:11" ht="15.75" customHeight="1" x14ac:dyDescent="0.25">
      <c r="K569" s="168"/>
    </row>
    <row r="570" spans="11:11" ht="15.75" customHeight="1" x14ac:dyDescent="0.25">
      <c r="K570" s="168"/>
    </row>
    <row r="571" spans="11:11" ht="15.75" customHeight="1" x14ac:dyDescent="0.25">
      <c r="K571" s="168"/>
    </row>
    <row r="572" spans="11:11" ht="15.75" customHeight="1" x14ac:dyDescent="0.25">
      <c r="K572" s="168"/>
    </row>
    <row r="573" spans="11:11" ht="15.75" customHeight="1" x14ac:dyDescent="0.25">
      <c r="K573" s="168"/>
    </row>
    <row r="574" spans="11:11" ht="15.75" customHeight="1" x14ac:dyDescent="0.25">
      <c r="K574" s="168"/>
    </row>
    <row r="575" spans="11:11" ht="15.75" customHeight="1" x14ac:dyDescent="0.25">
      <c r="K575" s="168"/>
    </row>
    <row r="576" spans="11:11" ht="15.75" customHeight="1" x14ac:dyDescent="0.25">
      <c r="K576" s="168"/>
    </row>
    <row r="577" spans="11:11" ht="15.75" customHeight="1" x14ac:dyDescent="0.25">
      <c r="K577" s="168"/>
    </row>
    <row r="578" spans="11:11" ht="15.75" customHeight="1" x14ac:dyDescent="0.25">
      <c r="K578" s="168"/>
    </row>
    <row r="579" spans="11:11" ht="15.75" customHeight="1" x14ac:dyDescent="0.25">
      <c r="K579" s="168"/>
    </row>
    <row r="580" spans="11:11" ht="15.75" customHeight="1" x14ac:dyDescent="0.25">
      <c r="K580" s="168"/>
    </row>
    <row r="581" spans="11:11" ht="15.75" customHeight="1" x14ac:dyDescent="0.25">
      <c r="K581" s="168"/>
    </row>
    <row r="582" spans="11:11" ht="15.75" customHeight="1" x14ac:dyDescent="0.25">
      <c r="K582" s="168"/>
    </row>
    <row r="583" spans="11:11" ht="15.75" customHeight="1" x14ac:dyDescent="0.25">
      <c r="K583" s="168"/>
    </row>
    <row r="584" spans="11:11" ht="15.75" customHeight="1" x14ac:dyDescent="0.25">
      <c r="K584" s="168"/>
    </row>
    <row r="585" spans="11:11" ht="15.75" customHeight="1" x14ac:dyDescent="0.25">
      <c r="K585" s="168"/>
    </row>
    <row r="586" spans="11:11" ht="15.75" customHeight="1" x14ac:dyDescent="0.25">
      <c r="K586" s="168"/>
    </row>
    <row r="587" spans="11:11" ht="15.75" customHeight="1" x14ac:dyDescent="0.25">
      <c r="K587" s="168"/>
    </row>
    <row r="588" spans="11:11" ht="15.75" customHeight="1" x14ac:dyDescent="0.25">
      <c r="K588" s="168"/>
    </row>
    <row r="589" spans="11:11" ht="15.75" customHeight="1" x14ac:dyDescent="0.25">
      <c r="K589" s="168"/>
    </row>
    <row r="590" spans="11:11" ht="15.75" customHeight="1" x14ac:dyDescent="0.25">
      <c r="K590" s="168"/>
    </row>
    <row r="591" spans="11:11" ht="15.75" customHeight="1" x14ac:dyDescent="0.25">
      <c r="K591" s="168"/>
    </row>
    <row r="592" spans="11:11" ht="15.75" customHeight="1" x14ac:dyDescent="0.25">
      <c r="K592" s="168"/>
    </row>
    <row r="593" spans="11:11" ht="15.75" customHeight="1" x14ac:dyDescent="0.25">
      <c r="K593" s="168"/>
    </row>
    <row r="594" spans="11:11" ht="15.75" customHeight="1" x14ac:dyDescent="0.25">
      <c r="K594" s="168"/>
    </row>
    <row r="595" spans="11:11" ht="15.75" customHeight="1" x14ac:dyDescent="0.25">
      <c r="K595" s="168"/>
    </row>
    <row r="596" spans="11:11" ht="15.75" customHeight="1" x14ac:dyDescent="0.25">
      <c r="K596" s="168"/>
    </row>
    <row r="597" spans="11:11" ht="15.75" customHeight="1" x14ac:dyDescent="0.25">
      <c r="K597" s="168"/>
    </row>
    <row r="598" spans="11:11" ht="15.75" customHeight="1" x14ac:dyDescent="0.25">
      <c r="K598" s="168"/>
    </row>
    <row r="599" spans="11:11" ht="15.75" customHeight="1" x14ac:dyDescent="0.25">
      <c r="K599" s="168"/>
    </row>
    <row r="600" spans="11:11" ht="15.75" customHeight="1" x14ac:dyDescent="0.25">
      <c r="K600" s="168"/>
    </row>
    <row r="601" spans="11:11" ht="15.75" customHeight="1" x14ac:dyDescent="0.25">
      <c r="K601" s="168"/>
    </row>
    <row r="602" spans="11:11" ht="15.75" customHeight="1" x14ac:dyDescent="0.25">
      <c r="K602" s="168"/>
    </row>
    <row r="603" spans="11:11" ht="15.75" customHeight="1" x14ac:dyDescent="0.25">
      <c r="K603" s="168"/>
    </row>
    <row r="604" spans="11:11" ht="15.75" customHeight="1" x14ac:dyDescent="0.25">
      <c r="K604" s="168"/>
    </row>
    <row r="605" spans="11:11" ht="15.75" customHeight="1" x14ac:dyDescent="0.25">
      <c r="K605" s="168"/>
    </row>
    <row r="606" spans="11:11" ht="15.75" customHeight="1" x14ac:dyDescent="0.25">
      <c r="K606" s="168"/>
    </row>
    <row r="607" spans="11:11" ht="15.75" customHeight="1" x14ac:dyDescent="0.25">
      <c r="K607" s="168"/>
    </row>
    <row r="608" spans="11:11" ht="15.75" customHeight="1" x14ac:dyDescent="0.25">
      <c r="K608" s="168"/>
    </row>
    <row r="609" spans="11:11" ht="15.75" customHeight="1" x14ac:dyDescent="0.25">
      <c r="K609" s="168"/>
    </row>
    <row r="610" spans="11:11" ht="15.75" customHeight="1" x14ac:dyDescent="0.25">
      <c r="K610" s="168"/>
    </row>
    <row r="611" spans="11:11" ht="15.75" customHeight="1" x14ac:dyDescent="0.25">
      <c r="K611" s="168"/>
    </row>
    <row r="612" spans="11:11" ht="15.75" customHeight="1" x14ac:dyDescent="0.25">
      <c r="K612" s="168"/>
    </row>
    <row r="613" spans="11:11" ht="15.75" customHeight="1" x14ac:dyDescent="0.25">
      <c r="K613" s="168"/>
    </row>
    <row r="614" spans="11:11" ht="15.75" customHeight="1" x14ac:dyDescent="0.25">
      <c r="K614" s="168"/>
    </row>
    <row r="615" spans="11:11" ht="15.75" customHeight="1" x14ac:dyDescent="0.25">
      <c r="K615" s="168"/>
    </row>
    <row r="616" spans="11:11" ht="15.75" customHeight="1" x14ac:dyDescent="0.25">
      <c r="K616" s="168"/>
    </row>
    <row r="617" spans="11:11" ht="15.75" customHeight="1" x14ac:dyDescent="0.25">
      <c r="K617" s="168"/>
    </row>
    <row r="618" spans="11:11" ht="15.75" customHeight="1" x14ac:dyDescent="0.25">
      <c r="K618" s="168"/>
    </row>
    <row r="619" spans="11:11" ht="15.75" customHeight="1" x14ac:dyDescent="0.25">
      <c r="K619" s="168"/>
    </row>
    <row r="620" spans="11:11" ht="15.75" customHeight="1" x14ac:dyDescent="0.25">
      <c r="K620" s="168"/>
    </row>
    <row r="621" spans="11:11" ht="15.75" customHeight="1" x14ac:dyDescent="0.25">
      <c r="K621" s="168"/>
    </row>
    <row r="622" spans="11:11" ht="15.75" customHeight="1" x14ac:dyDescent="0.25">
      <c r="K622" s="168"/>
    </row>
    <row r="623" spans="11:11" ht="15.75" customHeight="1" x14ac:dyDescent="0.25">
      <c r="K623" s="168"/>
    </row>
    <row r="624" spans="11:11" ht="15.75" customHeight="1" x14ac:dyDescent="0.25">
      <c r="K624" s="168"/>
    </row>
    <row r="625" spans="11:11" ht="15.75" customHeight="1" x14ac:dyDescent="0.25">
      <c r="K625" s="168"/>
    </row>
    <row r="626" spans="11:11" ht="15.75" customHeight="1" x14ac:dyDescent="0.25">
      <c r="K626" s="168"/>
    </row>
    <row r="627" spans="11:11" ht="15.75" customHeight="1" x14ac:dyDescent="0.25">
      <c r="K627" s="168"/>
    </row>
    <row r="628" spans="11:11" ht="15.75" customHeight="1" x14ac:dyDescent="0.25">
      <c r="K628" s="168"/>
    </row>
    <row r="629" spans="11:11" ht="15.75" customHeight="1" x14ac:dyDescent="0.25">
      <c r="K629" s="168"/>
    </row>
    <row r="630" spans="11:11" ht="15.75" customHeight="1" x14ac:dyDescent="0.25">
      <c r="K630" s="168"/>
    </row>
    <row r="631" spans="11:11" ht="15.75" customHeight="1" x14ac:dyDescent="0.25">
      <c r="K631" s="168"/>
    </row>
    <row r="632" spans="11:11" ht="15.75" customHeight="1" x14ac:dyDescent="0.25">
      <c r="K632" s="168"/>
    </row>
    <row r="633" spans="11:11" ht="15.75" customHeight="1" x14ac:dyDescent="0.25">
      <c r="K633" s="168"/>
    </row>
    <row r="634" spans="11:11" ht="15.75" customHeight="1" x14ac:dyDescent="0.25">
      <c r="K634" s="168"/>
    </row>
    <row r="635" spans="11:11" ht="15.75" customHeight="1" x14ac:dyDescent="0.25">
      <c r="K635" s="168"/>
    </row>
    <row r="636" spans="11:11" ht="15.75" customHeight="1" x14ac:dyDescent="0.25">
      <c r="K636" s="168"/>
    </row>
    <row r="637" spans="11:11" ht="15.75" customHeight="1" x14ac:dyDescent="0.25">
      <c r="K637" s="168"/>
    </row>
    <row r="638" spans="11:11" ht="15.75" customHeight="1" x14ac:dyDescent="0.25">
      <c r="K638" s="168"/>
    </row>
    <row r="639" spans="11:11" ht="15.75" customHeight="1" x14ac:dyDescent="0.25">
      <c r="K639" s="168"/>
    </row>
    <row r="640" spans="11:11" ht="15.75" customHeight="1" x14ac:dyDescent="0.25">
      <c r="K640" s="168"/>
    </row>
    <row r="641" spans="11:11" ht="15.75" customHeight="1" x14ac:dyDescent="0.25">
      <c r="K641" s="168"/>
    </row>
    <row r="642" spans="11:11" ht="15.75" customHeight="1" x14ac:dyDescent="0.25">
      <c r="K642" s="168"/>
    </row>
    <row r="643" spans="11:11" ht="15.75" customHeight="1" x14ac:dyDescent="0.25">
      <c r="K643" s="168"/>
    </row>
    <row r="644" spans="11:11" ht="15.75" customHeight="1" x14ac:dyDescent="0.25">
      <c r="K644" s="168"/>
    </row>
    <row r="645" spans="11:11" ht="15.75" customHeight="1" x14ac:dyDescent="0.25">
      <c r="K645" s="168"/>
    </row>
    <row r="646" spans="11:11" ht="15.75" customHeight="1" x14ac:dyDescent="0.25">
      <c r="K646" s="168"/>
    </row>
    <row r="647" spans="11:11" ht="15.75" customHeight="1" x14ac:dyDescent="0.25">
      <c r="K647" s="168"/>
    </row>
    <row r="648" spans="11:11" ht="15.75" customHeight="1" x14ac:dyDescent="0.25">
      <c r="K648" s="168"/>
    </row>
    <row r="649" spans="11:11" ht="15.75" customHeight="1" x14ac:dyDescent="0.25">
      <c r="K649" s="168"/>
    </row>
    <row r="650" spans="11:11" ht="15.75" customHeight="1" x14ac:dyDescent="0.25">
      <c r="K650" s="168"/>
    </row>
    <row r="651" spans="11:11" ht="15.75" customHeight="1" x14ac:dyDescent="0.25">
      <c r="K651" s="168"/>
    </row>
    <row r="652" spans="11:11" ht="15.75" customHeight="1" x14ac:dyDescent="0.25">
      <c r="K652" s="168"/>
    </row>
    <row r="653" spans="11:11" ht="15.75" customHeight="1" x14ac:dyDescent="0.25">
      <c r="K653" s="168"/>
    </row>
    <row r="654" spans="11:11" ht="15.75" customHeight="1" x14ac:dyDescent="0.25">
      <c r="K654" s="168"/>
    </row>
    <row r="655" spans="11:11" ht="15.75" customHeight="1" x14ac:dyDescent="0.25">
      <c r="K655" s="168"/>
    </row>
    <row r="656" spans="11:11" ht="15.75" customHeight="1" x14ac:dyDescent="0.25">
      <c r="K656" s="168"/>
    </row>
    <row r="657" spans="11:11" ht="15.75" customHeight="1" x14ac:dyDescent="0.25">
      <c r="K657" s="168"/>
    </row>
    <row r="658" spans="11:11" ht="15.75" customHeight="1" x14ac:dyDescent="0.25">
      <c r="K658" s="168"/>
    </row>
    <row r="659" spans="11:11" ht="15.75" customHeight="1" x14ac:dyDescent="0.25">
      <c r="K659" s="168"/>
    </row>
    <row r="660" spans="11:11" ht="15.75" customHeight="1" x14ac:dyDescent="0.25">
      <c r="K660" s="168"/>
    </row>
    <row r="661" spans="11:11" ht="15.75" customHeight="1" x14ac:dyDescent="0.25">
      <c r="K661" s="168"/>
    </row>
    <row r="662" spans="11:11" ht="15.75" customHeight="1" x14ac:dyDescent="0.25">
      <c r="K662" s="168"/>
    </row>
    <row r="663" spans="11:11" ht="15.75" customHeight="1" x14ac:dyDescent="0.25">
      <c r="K663" s="168"/>
    </row>
    <row r="664" spans="11:11" ht="15.75" customHeight="1" x14ac:dyDescent="0.25">
      <c r="K664" s="168"/>
    </row>
    <row r="665" spans="11:11" ht="15.75" customHeight="1" x14ac:dyDescent="0.25">
      <c r="K665" s="168"/>
    </row>
    <row r="666" spans="11:11" ht="15.75" customHeight="1" x14ac:dyDescent="0.25">
      <c r="K666" s="168"/>
    </row>
    <row r="667" spans="11:11" ht="15.75" customHeight="1" x14ac:dyDescent="0.25">
      <c r="K667" s="168"/>
    </row>
    <row r="668" spans="11:11" ht="15.75" customHeight="1" x14ac:dyDescent="0.25">
      <c r="K668" s="168"/>
    </row>
    <row r="669" spans="11:11" ht="15.75" customHeight="1" x14ac:dyDescent="0.25">
      <c r="K669" s="168"/>
    </row>
    <row r="670" spans="11:11" ht="15.75" customHeight="1" x14ac:dyDescent="0.25">
      <c r="K670" s="168"/>
    </row>
    <row r="671" spans="11:11" ht="15.75" customHeight="1" x14ac:dyDescent="0.25">
      <c r="K671" s="168"/>
    </row>
    <row r="672" spans="11:11" ht="15.75" customHeight="1" x14ac:dyDescent="0.25">
      <c r="K672" s="168"/>
    </row>
    <row r="673" spans="11:11" ht="15.75" customHeight="1" x14ac:dyDescent="0.25">
      <c r="K673" s="168"/>
    </row>
    <row r="674" spans="11:11" ht="15.75" customHeight="1" x14ac:dyDescent="0.25">
      <c r="K674" s="168"/>
    </row>
    <row r="675" spans="11:11" ht="15.75" customHeight="1" x14ac:dyDescent="0.25">
      <c r="K675" s="168"/>
    </row>
    <row r="676" spans="11:11" ht="15.75" customHeight="1" x14ac:dyDescent="0.25">
      <c r="K676" s="168"/>
    </row>
    <row r="677" spans="11:11" ht="15.75" customHeight="1" x14ac:dyDescent="0.25">
      <c r="K677" s="168"/>
    </row>
    <row r="678" spans="11:11" ht="15.75" customHeight="1" x14ac:dyDescent="0.25">
      <c r="K678" s="168"/>
    </row>
    <row r="679" spans="11:11" ht="15.75" customHeight="1" x14ac:dyDescent="0.25">
      <c r="K679" s="168"/>
    </row>
    <row r="680" spans="11:11" ht="15.75" customHeight="1" x14ac:dyDescent="0.25">
      <c r="K680" s="168"/>
    </row>
    <row r="681" spans="11:11" ht="15.75" customHeight="1" x14ac:dyDescent="0.25">
      <c r="K681" s="168"/>
    </row>
    <row r="682" spans="11:11" ht="15.75" customHeight="1" x14ac:dyDescent="0.25">
      <c r="K682" s="168"/>
    </row>
    <row r="683" spans="11:11" ht="15.75" customHeight="1" x14ac:dyDescent="0.25">
      <c r="K683" s="168"/>
    </row>
    <row r="684" spans="11:11" ht="15.75" customHeight="1" x14ac:dyDescent="0.25">
      <c r="K684" s="168"/>
    </row>
    <row r="685" spans="11:11" ht="15.75" customHeight="1" x14ac:dyDescent="0.25">
      <c r="K685" s="168"/>
    </row>
    <row r="686" spans="11:11" ht="15.75" customHeight="1" x14ac:dyDescent="0.25">
      <c r="K686" s="168"/>
    </row>
    <row r="687" spans="11:11" ht="15.75" customHeight="1" x14ac:dyDescent="0.25">
      <c r="K687" s="168"/>
    </row>
    <row r="688" spans="11:11" ht="15.75" customHeight="1" x14ac:dyDescent="0.25">
      <c r="K688" s="168"/>
    </row>
    <row r="689" spans="11:11" ht="15.75" customHeight="1" x14ac:dyDescent="0.25">
      <c r="K689" s="168"/>
    </row>
    <row r="690" spans="11:11" ht="15.75" customHeight="1" x14ac:dyDescent="0.25">
      <c r="K690" s="168"/>
    </row>
    <row r="691" spans="11:11" ht="15.75" customHeight="1" x14ac:dyDescent="0.25">
      <c r="K691" s="168"/>
    </row>
    <row r="692" spans="11:11" ht="15.75" customHeight="1" x14ac:dyDescent="0.25">
      <c r="K692" s="168"/>
    </row>
    <row r="693" spans="11:11" ht="15.75" customHeight="1" x14ac:dyDescent="0.25">
      <c r="K693" s="168"/>
    </row>
    <row r="694" spans="11:11" ht="15.75" customHeight="1" x14ac:dyDescent="0.25">
      <c r="K694" s="168"/>
    </row>
    <row r="695" spans="11:11" ht="15.75" customHeight="1" x14ac:dyDescent="0.25">
      <c r="K695" s="168"/>
    </row>
    <row r="696" spans="11:11" ht="15.75" customHeight="1" x14ac:dyDescent="0.25">
      <c r="K696" s="168"/>
    </row>
    <row r="697" spans="11:11" ht="15.75" customHeight="1" x14ac:dyDescent="0.25">
      <c r="K697" s="168"/>
    </row>
    <row r="698" spans="11:11" ht="15.75" customHeight="1" x14ac:dyDescent="0.25">
      <c r="K698" s="168"/>
    </row>
    <row r="699" spans="11:11" ht="15.75" customHeight="1" x14ac:dyDescent="0.25">
      <c r="K699" s="168"/>
    </row>
    <row r="700" spans="11:11" ht="15.75" customHeight="1" x14ac:dyDescent="0.25">
      <c r="K700" s="168"/>
    </row>
    <row r="701" spans="11:11" ht="15.75" customHeight="1" x14ac:dyDescent="0.25">
      <c r="K701" s="168"/>
    </row>
    <row r="702" spans="11:11" ht="15.75" customHeight="1" x14ac:dyDescent="0.25">
      <c r="K702" s="168"/>
    </row>
    <row r="703" spans="11:11" ht="15.75" customHeight="1" x14ac:dyDescent="0.25">
      <c r="K703" s="168"/>
    </row>
    <row r="704" spans="11:11" ht="15.75" customHeight="1" x14ac:dyDescent="0.25">
      <c r="K704" s="168"/>
    </row>
    <row r="705" spans="11:11" ht="15.75" customHeight="1" x14ac:dyDescent="0.25">
      <c r="K705" s="168"/>
    </row>
    <row r="706" spans="11:11" ht="15.75" customHeight="1" x14ac:dyDescent="0.25">
      <c r="K706" s="168"/>
    </row>
    <row r="707" spans="11:11" ht="15.75" customHeight="1" x14ac:dyDescent="0.25">
      <c r="K707" s="168"/>
    </row>
    <row r="708" spans="11:11" ht="15.75" customHeight="1" x14ac:dyDescent="0.25">
      <c r="K708" s="168"/>
    </row>
    <row r="709" spans="11:11" ht="15.75" customHeight="1" x14ac:dyDescent="0.25">
      <c r="K709" s="168"/>
    </row>
    <row r="710" spans="11:11" ht="15.75" customHeight="1" x14ac:dyDescent="0.25">
      <c r="K710" s="168"/>
    </row>
    <row r="711" spans="11:11" ht="15.75" customHeight="1" x14ac:dyDescent="0.25">
      <c r="K711" s="168"/>
    </row>
    <row r="712" spans="11:11" ht="15.75" customHeight="1" x14ac:dyDescent="0.25">
      <c r="K712" s="168"/>
    </row>
    <row r="713" spans="11:11" ht="15.75" customHeight="1" x14ac:dyDescent="0.25">
      <c r="K713" s="168"/>
    </row>
    <row r="714" spans="11:11" ht="15.75" customHeight="1" x14ac:dyDescent="0.25">
      <c r="K714" s="168"/>
    </row>
    <row r="715" spans="11:11" ht="15.75" customHeight="1" x14ac:dyDescent="0.25">
      <c r="K715" s="168"/>
    </row>
    <row r="716" spans="11:11" ht="15.75" customHeight="1" x14ac:dyDescent="0.25">
      <c r="K716" s="168"/>
    </row>
    <row r="717" spans="11:11" ht="15.75" customHeight="1" x14ac:dyDescent="0.25">
      <c r="K717" s="168"/>
    </row>
    <row r="718" spans="11:11" ht="15.75" customHeight="1" x14ac:dyDescent="0.25">
      <c r="K718" s="168"/>
    </row>
    <row r="719" spans="11:11" ht="15.75" customHeight="1" x14ac:dyDescent="0.25">
      <c r="K719" s="168"/>
    </row>
    <row r="720" spans="11:11" ht="15.75" customHeight="1" x14ac:dyDescent="0.25">
      <c r="K720" s="168"/>
    </row>
    <row r="721" spans="11:11" ht="15.75" customHeight="1" x14ac:dyDescent="0.25">
      <c r="K721" s="168"/>
    </row>
    <row r="722" spans="11:11" ht="15.75" customHeight="1" x14ac:dyDescent="0.25">
      <c r="K722" s="168"/>
    </row>
    <row r="723" spans="11:11" ht="15.75" customHeight="1" x14ac:dyDescent="0.25">
      <c r="K723" s="168"/>
    </row>
    <row r="724" spans="11:11" ht="15.75" customHeight="1" x14ac:dyDescent="0.25">
      <c r="K724" s="168"/>
    </row>
    <row r="725" spans="11:11" ht="15.75" customHeight="1" x14ac:dyDescent="0.25">
      <c r="K725" s="168"/>
    </row>
    <row r="726" spans="11:11" ht="15.75" customHeight="1" x14ac:dyDescent="0.25">
      <c r="K726" s="168"/>
    </row>
    <row r="727" spans="11:11" ht="15.75" customHeight="1" x14ac:dyDescent="0.25">
      <c r="K727" s="168"/>
    </row>
    <row r="728" spans="11:11" ht="15.75" customHeight="1" x14ac:dyDescent="0.25">
      <c r="K728" s="168"/>
    </row>
    <row r="729" spans="11:11" ht="15.75" customHeight="1" x14ac:dyDescent="0.25">
      <c r="K729" s="168"/>
    </row>
    <row r="730" spans="11:11" ht="15.75" customHeight="1" x14ac:dyDescent="0.25">
      <c r="K730" s="168"/>
    </row>
    <row r="731" spans="11:11" ht="15.75" customHeight="1" x14ac:dyDescent="0.25">
      <c r="K731" s="168"/>
    </row>
    <row r="732" spans="11:11" ht="15.75" customHeight="1" x14ac:dyDescent="0.25">
      <c r="K732" s="168"/>
    </row>
    <row r="733" spans="11:11" ht="15.75" customHeight="1" x14ac:dyDescent="0.25">
      <c r="K733" s="168"/>
    </row>
    <row r="734" spans="11:11" ht="15.75" customHeight="1" x14ac:dyDescent="0.25">
      <c r="K734" s="168"/>
    </row>
    <row r="735" spans="11:11" ht="15.75" customHeight="1" x14ac:dyDescent="0.25">
      <c r="K735" s="168"/>
    </row>
    <row r="736" spans="11:11" ht="15.75" customHeight="1" x14ac:dyDescent="0.25">
      <c r="K736" s="168"/>
    </row>
    <row r="737" spans="11:11" ht="15.75" customHeight="1" x14ac:dyDescent="0.25">
      <c r="K737" s="168"/>
    </row>
    <row r="738" spans="11:11" ht="15.75" customHeight="1" x14ac:dyDescent="0.25">
      <c r="K738" s="168"/>
    </row>
    <row r="739" spans="11:11" ht="15.75" customHeight="1" x14ac:dyDescent="0.25">
      <c r="K739" s="168"/>
    </row>
    <row r="740" spans="11:11" ht="15.75" customHeight="1" x14ac:dyDescent="0.25">
      <c r="K740" s="168"/>
    </row>
    <row r="741" spans="11:11" ht="15.75" customHeight="1" x14ac:dyDescent="0.25">
      <c r="K741" s="168"/>
    </row>
    <row r="742" spans="11:11" ht="15.75" customHeight="1" x14ac:dyDescent="0.25">
      <c r="K742" s="168"/>
    </row>
    <row r="743" spans="11:11" ht="15.75" customHeight="1" x14ac:dyDescent="0.25">
      <c r="K743" s="168"/>
    </row>
    <row r="744" spans="11:11" ht="15.75" customHeight="1" x14ac:dyDescent="0.25">
      <c r="K744" s="168"/>
    </row>
    <row r="745" spans="11:11" ht="15.75" customHeight="1" x14ac:dyDescent="0.25">
      <c r="K745" s="168"/>
    </row>
    <row r="746" spans="11:11" ht="15.75" customHeight="1" x14ac:dyDescent="0.25">
      <c r="K746" s="168"/>
    </row>
    <row r="747" spans="11:11" ht="15.75" customHeight="1" x14ac:dyDescent="0.25">
      <c r="K747" s="168"/>
    </row>
    <row r="748" spans="11:11" ht="15.75" customHeight="1" x14ac:dyDescent="0.25">
      <c r="K748" s="168"/>
    </row>
    <row r="749" spans="11:11" ht="15.75" customHeight="1" x14ac:dyDescent="0.25">
      <c r="K749" s="168"/>
    </row>
    <row r="750" spans="11:11" ht="15.75" customHeight="1" x14ac:dyDescent="0.25">
      <c r="K750" s="168"/>
    </row>
    <row r="751" spans="11:11" ht="15.75" customHeight="1" x14ac:dyDescent="0.25">
      <c r="K751" s="168"/>
    </row>
    <row r="752" spans="11:11" ht="15.75" customHeight="1" x14ac:dyDescent="0.25">
      <c r="K752" s="168"/>
    </row>
    <row r="753" spans="11:11" ht="15.75" customHeight="1" x14ac:dyDescent="0.25">
      <c r="K753" s="168"/>
    </row>
    <row r="754" spans="11:11" ht="15.75" customHeight="1" x14ac:dyDescent="0.25">
      <c r="K754" s="168"/>
    </row>
    <row r="755" spans="11:11" ht="15.75" customHeight="1" x14ac:dyDescent="0.25">
      <c r="K755" s="168"/>
    </row>
    <row r="756" spans="11:11" ht="15.75" customHeight="1" x14ac:dyDescent="0.25">
      <c r="K756" s="168"/>
    </row>
    <row r="757" spans="11:11" ht="15.75" customHeight="1" x14ac:dyDescent="0.25">
      <c r="K757" s="168"/>
    </row>
    <row r="758" spans="11:11" ht="15.75" customHeight="1" x14ac:dyDescent="0.25">
      <c r="K758" s="168"/>
    </row>
    <row r="759" spans="11:11" ht="15.75" customHeight="1" x14ac:dyDescent="0.25">
      <c r="K759" s="168"/>
    </row>
    <row r="760" spans="11:11" ht="15.75" customHeight="1" x14ac:dyDescent="0.25">
      <c r="K760" s="168"/>
    </row>
    <row r="761" spans="11:11" ht="15.75" customHeight="1" x14ac:dyDescent="0.25">
      <c r="K761" s="168"/>
    </row>
    <row r="762" spans="11:11" ht="15.75" customHeight="1" x14ac:dyDescent="0.25">
      <c r="K762" s="168"/>
    </row>
    <row r="763" spans="11:11" ht="15.75" customHeight="1" x14ac:dyDescent="0.25">
      <c r="K763" s="168"/>
    </row>
    <row r="764" spans="11:11" ht="15.75" customHeight="1" x14ac:dyDescent="0.25">
      <c r="K764" s="168"/>
    </row>
    <row r="765" spans="11:11" ht="15.75" customHeight="1" x14ac:dyDescent="0.25">
      <c r="K765" s="168"/>
    </row>
    <row r="766" spans="11:11" ht="15.75" customHeight="1" x14ac:dyDescent="0.25">
      <c r="K766" s="168"/>
    </row>
    <row r="767" spans="11:11" ht="15.75" customHeight="1" x14ac:dyDescent="0.25">
      <c r="K767" s="168"/>
    </row>
    <row r="768" spans="11:11" ht="15.75" customHeight="1" x14ac:dyDescent="0.25">
      <c r="K768" s="168"/>
    </row>
    <row r="769" spans="11:11" ht="15.75" customHeight="1" x14ac:dyDescent="0.25">
      <c r="K769" s="168"/>
    </row>
    <row r="770" spans="11:11" ht="15.75" customHeight="1" x14ac:dyDescent="0.25">
      <c r="K770" s="168"/>
    </row>
    <row r="771" spans="11:11" ht="15.75" customHeight="1" x14ac:dyDescent="0.25">
      <c r="K771" s="168"/>
    </row>
    <row r="772" spans="11:11" ht="15.75" customHeight="1" x14ac:dyDescent="0.25">
      <c r="K772" s="168"/>
    </row>
    <row r="773" spans="11:11" ht="15.75" customHeight="1" x14ac:dyDescent="0.25">
      <c r="K773" s="168"/>
    </row>
    <row r="774" spans="11:11" ht="15.75" customHeight="1" x14ac:dyDescent="0.25">
      <c r="K774" s="168"/>
    </row>
    <row r="775" spans="11:11" ht="15.75" customHeight="1" x14ac:dyDescent="0.25">
      <c r="K775" s="168"/>
    </row>
    <row r="776" spans="11:11" ht="15.75" customHeight="1" x14ac:dyDescent="0.25">
      <c r="K776" s="168"/>
    </row>
    <row r="777" spans="11:11" ht="15.75" customHeight="1" x14ac:dyDescent="0.25">
      <c r="K777" s="168"/>
    </row>
    <row r="778" spans="11:11" ht="15.75" customHeight="1" x14ac:dyDescent="0.25">
      <c r="K778" s="168"/>
    </row>
    <row r="779" spans="11:11" ht="15.75" customHeight="1" x14ac:dyDescent="0.25">
      <c r="K779" s="168"/>
    </row>
    <row r="780" spans="11:11" ht="15.75" customHeight="1" x14ac:dyDescent="0.25">
      <c r="K780" s="168"/>
    </row>
    <row r="781" spans="11:11" ht="15.75" customHeight="1" x14ac:dyDescent="0.25">
      <c r="K781" s="168"/>
    </row>
    <row r="782" spans="11:11" ht="15.75" customHeight="1" x14ac:dyDescent="0.25">
      <c r="K782" s="168"/>
    </row>
    <row r="783" spans="11:11" ht="15.75" customHeight="1" x14ac:dyDescent="0.25">
      <c r="K783" s="168"/>
    </row>
    <row r="784" spans="11:11" ht="15.75" customHeight="1" x14ac:dyDescent="0.25">
      <c r="K784" s="168"/>
    </row>
    <row r="785" spans="11:11" ht="15.75" customHeight="1" x14ac:dyDescent="0.25">
      <c r="K785" s="168"/>
    </row>
    <row r="786" spans="11:11" ht="15.75" customHeight="1" x14ac:dyDescent="0.25">
      <c r="K786" s="168"/>
    </row>
    <row r="787" spans="11:11" ht="15.75" customHeight="1" x14ac:dyDescent="0.25">
      <c r="K787" s="168"/>
    </row>
    <row r="788" spans="11:11" ht="15.75" customHeight="1" x14ac:dyDescent="0.25">
      <c r="K788" s="168"/>
    </row>
    <row r="789" spans="11:11" ht="15.75" customHeight="1" x14ac:dyDescent="0.25">
      <c r="K789" s="168"/>
    </row>
    <row r="790" spans="11:11" ht="15.75" customHeight="1" x14ac:dyDescent="0.25">
      <c r="K790" s="168"/>
    </row>
    <row r="791" spans="11:11" ht="15.75" customHeight="1" x14ac:dyDescent="0.25">
      <c r="K791" s="168"/>
    </row>
    <row r="792" spans="11:11" ht="15.75" customHeight="1" x14ac:dyDescent="0.25">
      <c r="K792" s="168"/>
    </row>
    <row r="793" spans="11:11" ht="15.75" customHeight="1" x14ac:dyDescent="0.25">
      <c r="K793" s="168"/>
    </row>
    <row r="794" spans="11:11" ht="15.75" customHeight="1" x14ac:dyDescent="0.25">
      <c r="K794" s="168"/>
    </row>
    <row r="795" spans="11:11" ht="15.75" customHeight="1" x14ac:dyDescent="0.25">
      <c r="K795" s="168"/>
    </row>
    <row r="796" spans="11:11" ht="15.75" customHeight="1" x14ac:dyDescent="0.25">
      <c r="K796" s="168"/>
    </row>
    <row r="797" spans="11:11" ht="15.75" customHeight="1" x14ac:dyDescent="0.25">
      <c r="K797" s="168"/>
    </row>
    <row r="798" spans="11:11" ht="15.75" customHeight="1" x14ac:dyDescent="0.25">
      <c r="K798" s="168"/>
    </row>
    <row r="799" spans="11:11" ht="15.75" customHeight="1" x14ac:dyDescent="0.25">
      <c r="K799" s="168"/>
    </row>
    <row r="800" spans="11:11" ht="15.75" customHeight="1" x14ac:dyDescent="0.25">
      <c r="K800" s="168"/>
    </row>
    <row r="801" spans="11:11" ht="15.75" customHeight="1" x14ac:dyDescent="0.25">
      <c r="K801" s="168"/>
    </row>
    <row r="802" spans="11:11" ht="15.75" customHeight="1" x14ac:dyDescent="0.25">
      <c r="K802" s="168"/>
    </row>
    <row r="803" spans="11:11" ht="15.75" customHeight="1" x14ac:dyDescent="0.25">
      <c r="K803" s="168"/>
    </row>
    <row r="804" spans="11:11" ht="15.75" customHeight="1" x14ac:dyDescent="0.25">
      <c r="K804" s="168"/>
    </row>
    <row r="805" spans="11:11" ht="15.75" customHeight="1" x14ac:dyDescent="0.25">
      <c r="K805" s="168"/>
    </row>
    <row r="806" spans="11:11" ht="15.75" customHeight="1" x14ac:dyDescent="0.25">
      <c r="K806" s="168"/>
    </row>
    <row r="807" spans="11:11" ht="15.75" customHeight="1" x14ac:dyDescent="0.25">
      <c r="K807" s="168"/>
    </row>
    <row r="808" spans="11:11" ht="15.75" customHeight="1" x14ac:dyDescent="0.25">
      <c r="K808" s="168"/>
    </row>
    <row r="809" spans="11:11" ht="15.75" customHeight="1" x14ac:dyDescent="0.25">
      <c r="K809" s="168"/>
    </row>
    <row r="810" spans="11:11" ht="15.75" customHeight="1" x14ac:dyDescent="0.25">
      <c r="K810" s="168"/>
    </row>
    <row r="811" spans="11:11" ht="15.75" customHeight="1" x14ac:dyDescent="0.25">
      <c r="K811" s="168"/>
    </row>
    <row r="812" spans="11:11" ht="15.75" customHeight="1" x14ac:dyDescent="0.25">
      <c r="K812" s="168"/>
    </row>
    <row r="813" spans="11:11" ht="15.75" customHeight="1" x14ac:dyDescent="0.25">
      <c r="K813" s="168"/>
    </row>
    <row r="814" spans="11:11" ht="15.75" customHeight="1" x14ac:dyDescent="0.25">
      <c r="K814" s="168"/>
    </row>
    <row r="815" spans="11:11" ht="15.75" customHeight="1" x14ac:dyDescent="0.25">
      <c r="K815" s="168"/>
    </row>
    <row r="816" spans="11:11" ht="15.75" customHeight="1" x14ac:dyDescent="0.25">
      <c r="K816" s="168"/>
    </row>
    <row r="817" spans="11:11" ht="15.75" customHeight="1" x14ac:dyDescent="0.25">
      <c r="K817" s="168"/>
    </row>
    <row r="818" spans="11:11" ht="15.75" customHeight="1" x14ac:dyDescent="0.25">
      <c r="K818" s="168"/>
    </row>
    <row r="819" spans="11:11" ht="15.75" customHeight="1" x14ac:dyDescent="0.25">
      <c r="K819" s="168"/>
    </row>
    <row r="820" spans="11:11" ht="15.75" customHeight="1" x14ac:dyDescent="0.25">
      <c r="K820" s="168"/>
    </row>
    <row r="821" spans="11:11" ht="15.75" customHeight="1" x14ac:dyDescent="0.25">
      <c r="K821" s="168"/>
    </row>
    <row r="822" spans="11:11" ht="15.75" customHeight="1" x14ac:dyDescent="0.25">
      <c r="K822" s="168"/>
    </row>
    <row r="823" spans="11:11" ht="15.75" customHeight="1" x14ac:dyDescent="0.25">
      <c r="K823" s="168"/>
    </row>
    <row r="824" spans="11:11" ht="15.75" customHeight="1" x14ac:dyDescent="0.25">
      <c r="K824" s="168"/>
    </row>
    <row r="825" spans="11:11" ht="15.75" customHeight="1" x14ac:dyDescent="0.25">
      <c r="K825" s="168"/>
    </row>
    <row r="826" spans="11:11" ht="15.75" customHeight="1" x14ac:dyDescent="0.25">
      <c r="K826" s="168"/>
    </row>
    <row r="827" spans="11:11" ht="15.75" customHeight="1" x14ac:dyDescent="0.25">
      <c r="K827" s="168"/>
    </row>
    <row r="828" spans="11:11" ht="15.75" customHeight="1" x14ac:dyDescent="0.25">
      <c r="K828" s="168"/>
    </row>
    <row r="829" spans="11:11" ht="15.75" customHeight="1" x14ac:dyDescent="0.25">
      <c r="K829" s="168"/>
    </row>
    <row r="830" spans="11:11" ht="15.75" customHeight="1" x14ac:dyDescent="0.25">
      <c r="K830" s="168"/>
    </row>
    <row r="831" spans="11:11" ht="15.75" customHeight="1" x14ac:dyDescent="0.25">
      <c r="K831" s="168"/>
    </row>
    <row r="832" spans="11:11" ht="15.75" customHeight="1" x14ac:dyDescent="0.25">
      <c r="K832" s="168"/>
    </row>
    <row r="833" spans="11:11" ht="15.75" customHeight="1" x14ac:dyDescent="0.25">
      <c r="K833" s="168"/>
    </row>
    <row r="834" spans="11:11" ht="15.75" customHeight="1" x14ac:dyDescent="0.25">
      <c r="K834" s="168"/>
    </row>
    <row r="835" spans="11:11" ht="15.75" customHeight="1" x14ac:dyDescent="0.25">
      <c r="K835" s="168"/>
    </row>
    <row r="836" spans="11:11" ht="15.75" customHeight="1" x14ac:dyDescent="0.25">
      <c r="K836" s="168"/>
    </row>
    <row r="837" spans="11:11" ht="15.75" customHeight="1" x14ac:dyDescent="0.25">
      <c r="K837" s="168"/>
    </row>
    <row r="838" spans="11:11" ht="15.75" customHeight="1" x14ac:dyDescent="0.25">
      <c r="K838" s="168"/>
    </row>
    <row r="839" spans="11:11" ht="15.75" customHeight="1" x14ac:dyDescent="0.25">
      <c r="K839" s="168"/>
    </row>
    <row r="840" spans="11:11" ht="15.75" customHeight="1" x14ac:dyDescent="0.25">
      <c r="K840" s="168"/>
    </row>
    <row r="841" spans="11:11" ht="15.75" customHeight="1" x14ac:dyDescent="0.25">
      <c r="K841" s="168"/>
    </row>
    <row r="842" spans="11:11" ht="15.75" customHeight="1" x14ac:dyDescent="0.25">
      <c r="K842" s="168"/>
    </row>
    <row r="843" spans="11:11" ht="15.75" customHeight="1" x14ac:dyDescent="0.25">
      <c r="K843" s="168"/>
    </row>
    <row r="844" spans="11:11" ht="15.75" customHeight="1" x14ac:dyDescent="0.25">
      <c r="K844" s="168"/>
    </row>
    <row r="845" spans="11:11" ht="15.75" customHeight="1" x14ac:dyDescent="0.25">
      <c r="K845" s="168"/>
    </row>
    <row r="846" spans="11:11" ht="15.75" customHeight="1" x14ac:dyDescent="0.25">
      <c r="K846" s="168"/>
    </row>
    <row r="847" spans="11:11" ht="15.75" customHeight="1" x14ac:dyDescent="0.25">
      <c r="K847" s="168"/>
    </row>
    <row r="848" spans="11:11" ht="15.75" customHeight="1" x14ac:dyDescent="0.25">
      <c r="K848" s="168"/>
    </row>
    <row r="849" spans="11:11" ht="15.75" customHeight="1" x14ac:dyDescent="0.25">
      <c r="K849" s="168"/>
    </row>
    <row r="850" spans="11:11" ht="15.75" customHeight="1" x14ac:dyDescent="0.25">
      <c r="K850" s="168"/>
    </row>
    <row r="851" spans="11:11" ht="15.75" customHeight="1" x14ac:dyDescent="0.25">
      <c r="K851" s="168"/>
    </row>
    <row r="852" spans="11:11" ht="15.75" customHeight="1" x14ac:dyDescent="0.25">
      <c r="K852" s="168"/>
    </row>
    <row r="853" spans="11:11" ht="15.75" customHeight="1" x14ac:dyDescent="0.25">
      <c r="K853" s="168"/>
    </row>
    <row r="854" spans="11:11" ht="15.75" customHeight="1" x14ac:dyDescent="0.25">
      <c r="K854" s="168"/>
    </row>
    <row r="855" spans="11:11" ht="15.75" customHeight="1" x14ac:dyDescent="0.25">
      <c r="K855" s="168"/>
    </row>
    <row r="856" spans="11:11" ht="15.75" customHeight="1" x14ac:dyDescent="0.25">
      <c r="K856" s="168"/>
    </row>
    <row r="857" spans="11:11" ht="15.75" customHeight="1" x14ac:dyDescent="0.25">
      <c r="K857" s="168"/>
    </row>
    <row r="858" spans="11:11" ht="15.75" customHeight="1" x14ac:dyDescent="0.25">
      <c r="K858" s="168"/>
    </row>
    <row r="859" spans="11:11" ht="15.75" customHeight="1" x14ac:dyDescent="0.25">
      <c r="K859" s="168"/>
    </row>
    <row r="860" spans="11:11" ht="15.75" customHeight="1" x14ac:dyDescent="0.25">
      <c r="K860" s="168"/>
    </row>
    <row r="861" spans="11:11" ht="15.75" customHeight="1" x14ac:dyDescent="0.25">
      <c r="K861" s="168"/>
    </row>
    <row r="862" spans="11:11" ht="15.75" customHeight="1" x14ac:dyDescent="0.25">
      <c r="K862" s="168"/>
    </row>
    <row r="863" spans="11:11" ht="15.75" customHeight="1" x14ac:dyDescent="0.25">
      <c r="K863" s="168"/>
    </row>
    <row r="864" spans="11:11" ht="15.75" customHeight="1" x14ac:dyDescent="0.25">
      <c r="K864" s="168"/>
    </row>
    <row r="865" spans="11:11" ht="15.75" customHeight="1" x14ac:dyDescent="0.25">
      <c r="K865" s="168"/>
    </row>
    <row r="866" spans="11:11" ht="15.75" customHeight="1" x14ac:dyDescent="0.25">
      <c r="K866" s="168"/>
    </row>
    <row r="867" spans="11:11" ht="15.75" customHeight="1" x14ac:dyDescent="0.25">
      <c r="K867" s="168"/>
    </row>
    <row r="868" spans="11:11" ht="15.75" customHeight="1" x14ac:dyDescent="0.25">
      <c r="K868" s="168"/>
    </row>
    <row r="869" spans="11:11" ht="15.75" customHeight="1" x14ac:dyDescent="0.25">
      <c r="K869" s="168"/>
    </row>
    <row r="870" spans="11:11" ht="15.75" customHeight="1" x14ac:dyDescent="0.25">
      <c r="K870" s="168"/>
    </row>
    <row r="871" spans="11:11" ht="15.75" customHeight="1" x14ac:dyDescent="0.25">
      <c r="K871" s="168"/>
    </row>
    <row r="872" spans="11:11" ht="15.75" customHeight="1" x14ac:dyDescent="0.25">
      <c r="K872" s="168"/>
    </row>
    <row r="873" spans="11:11" ht="15.75" customHeight="1" x14ac:dyDescent="0.25">
      <c r="K873" s="168"/>
    </row>
    <row r="874" spans="11:11" ht="15.75" customHeight="1" x14ac:dyDescent="0.25">
      <c r="K874" s="168"/>
    </row>
    <row r="875" spans="11:11" ht="15.75" customHeight="1" x14ac:dyDescent="0.25">
      <c r="K875" s="168"/>
    </row>
    <row r="876" spans="11:11" ht="15.75" customHeight="1" x14ac:dyDescent="0.25">
      <c r="K876" s="168"/>
    </row>
    <row r="877" spans="11:11" ht="15.75" customHeight="1" x14ac:dyDescent="0.25">
      <c r="K877" s="168"/>
    </row>
    <row r="878" spans="11:11" ht="15.75" customHeight="1" x14ac:dyDescent="0.25">
      <c r="K878" s="168"/>
    </row>
    <row r="879" spans="11:11" ht="15.75" customHeight="1" x14ac:dyDescent="0.25">
      <c r="K879" s="168"/>
    </row>
    <row r="880" spans="11:11" ht="15.75" customHeight="1" x14ac:dyDescent="0.25">
      <c r="K880" s="168"/>
    </row>
    <row r="881" spans="11:11" ht="15.75" customHeight="1" x14ac:dyDescent="0.25">
      <c r="K881" s="168"/>
    </row>
    <row r="882" spans="11:11" ht="15.75" customHeight="1" x14ac:dyDescent="0.25">
      <c r="K882" s="168"/>
    </row>
    <row r="883" spans="11:11" ht="15.75" customHeight="1" x14ac:dyDescent="0.25">
      <c r="K883" s="168"/>
    </row>
    <row r="884" spans="11:11" ht="15.75" customHeight="1" x14ac:dyDescent="0.25">
      <c r="K884" s="168"/>
    </row>
    <row r="885" spans="11:11" ht="15.75" customHeight="1" x14ac:dyDescent="0.25">
      <c r="K885" s="168"/>
    </row>
    <row r="886" spans="11:11" ht="15.75" customHeight="1" x14ac:dyDescent="0.25">
      <c r="K886" s="168"/>
    </row>
    <row r="887" spans="11:11" ht="15.75" customHeight="1" x14ac:dyDescent="0.25">
      <c r="K887" s="168"/>
    </row>
    <row r="888" spans="11:11" ht="15.75" customHeight="1" x14ac:dyDescent="0.25">
      <c r="K888" s="168"/>
    </row>
    <row r="889" spans="11:11" ht="15.75" customHeight="1" x14ac:dyDescent="0.25">
      <c r="K889" s="168"/>
    </row>
    <row r="890" spans="11:11" ht="15.75" customHeight="1" x14ac:dyDescent="0.25">
      <c r="K890" s="168"/>
    </row>
    <row r="891" spans="11:11" ht="15.75" customHeight="1" x14ac:dyDescent="0.25">
      <c r="K891" s="168"/>
    </row>
    <row r="892" spans="11:11" ht="15.75" customHeight="1" x14ac:dyDescent="0.25">
      <c r="K892" s="168"/>
    </row>
    <row r="893" spans="11:11" ht="15.75" customHeight="1" x14ac:dyDescent="0.25">
      <c r="K893" s="168"/>
    </row>
    <row r="894" spans="11:11" ht="15.75" customHeight="1" x14ac:dyDescent="0.25">
      <c r="K894" s="168"/>
    </row>
    <row r="895" spans="11:11" ht="15.75" customHeight="1" x14ac:dyDescent="0.25">
      <c r="K895" s="168"/>
    </row>
    <row r="896" spans="11:11" ht="15.75" customHeight="1" x14ac:dyDescent="0.25">
      <c r="K896" s="168"/>
    </row>
    <row r="897" spans="11:11" ht="15.75" customHeight="1" x14ac:dyDescent="0.25">
      <c r="K897" s="168"/>
    </row>
    <row r="898" spans="11:11" ht="15.75" customHeight="1" x14ac:dyDescent="0.25">
      <c r="K898" s="168"/>
    </row>
    <row r="899" spans="11:11" ht="15.75" customHeight="1" x14ac:dyDescent="0.25">
      <c r="K899" s="168"/>
    </row>
    <row r="900" spans="11:11" ht="15.75" customHeight="1" x14ac:dyDescent="0.25">
      <c r="K900" s="168"/>
    </row>
    <row r="901" spans="11:11" ht="15.75" customHeight="1" x14ac:dyDescent="0.25">
      <c r="K901" s="168"/>
    </row>
    <row r="902" spans="11:11" ht="15.75" customHeight="1" x14ac:dyDescent="0.25">
      <c r="K902" s="168"/>
    </row>
    <row r="903" spans="11:11" ht="15.75" customHeight="1" x14ac:dyDescent="0.25">
      <c r="K903" s="168"/>
    </row>
    <row r="904" spans="11:11" ht="15.75" customHeight="1" x14ac:dyDescent="0.25">
      <c r="K904" s="168"/>
    </row>
    <row r="905" spans="11:11" ht="15.75" customHeight="1" x14ac:dyDescent="0.25">
      <c r="K905" s="168"/>
    </row>
    <row r="906" spans="11:11" ht="15.75" customHeight="1" x14ac:dyDescent="0.25">
      <c r="K906" s="168"/>
    </row>
    <row r="907" spans="11:11" ht="15.75" customHeight="1" x14ac:dyDescent="0.25">
      <c r="K907" s="168"/>
    </row>
    <row r="908" spans="11:11" ht="15.75" customHeight="1" x14ac:dyDescent="0.25">
      <c r="K908" s="168"/>
    </row>
    <row r="909" spans="11:11" ht="15.75" customHeight="1" x14ac:dyDescent="0.25">
      <c r="K909" s="168"/>
    </row>
    <row r="910" spans="11:11" ht="15.75" customHeight="1" x14ac:dyDescent="0.25">
      <c r="K910" s="168"/>
    </row>
    <row r="911" spans="11:11" ht="15.75" customHeight="1" x14ac:dyDescent="0.25">
      <c r="K911" s="168"/>
    </row>
    <row r="912" spans="11:11" ht="15.75" customHeight="1" x14ac:dyDescent="0.25">
      <c r="K912" s="168"/>
    </row>
    <row r="913" spans="11:11" ht="15.75" customHeight="1" x14ac:dyDescent="0.25">
      <c r="K913" s="168"/>
    </row>
    <row r="914" spans="11:11" ht="15.75" customHeight="1" x14ac:dyDescent="0.25">
      <c r="K914" s="168"/>
    </row>
    <row r="915" spans="11:11" ht="15.75" customHeight="1" x14ac:dyDescent="0.25">
      <c r="K915" s="168"/>
    </row>
    <row r="916" spans="11:11" ht="15.75" customHeight="1" x14ac:dyDescent="0.25">
      <c r="K916" s="168"/>
    </row>
    <row r="917" spans="11:11" ht="15.75" customHeight="1" x14ac:dyDescent="0.25">
      <c r="K917" s="168"/>
    </row>
    <row r="918" spans="11:11" ht="15.75" customHeight="1" x14ac:dyDescent="0.25">
      <c r="K918" s="168"/>
    </row>
    <row r="919" spans="11:11" ht="15.75" customHeight="1" x14ac:dyDescent="0.25">
      <c r="K919" s="168"/>
    </row>
    <row r="920" spans="11:11" ht="15.75" customHeight="1" x14ac:dyDescent="0.25">
      <c r="K920" s="168"/>
    </row>
    <row r="921" spans="11:11" ht="15.75" customHeight="1" x14ac:dyDescent="0.25">
      <c r="K921" s="168"/>
    </row>
    <row r="922" spans="11:11" ht="15.75" customHeight="1" x14ac:dyDescent="0.25">
      <c r="K922" s="168"/>
    </row>
    <row r="923" spans="11:11" ht="15.75" customHeight="1" x14ac:dyDescent="0.25">
      <c r="K923" s="168"/>
    </row>
    <row r="924" spans="11:11" ht="15.75" customHeight="1" x14ac:dyDescent="0.25">
      <c r="K924" s="168"/>
    </row>
    <row r="925" spans="11:11" ht="15.75" customHeight="1" x14ac:dyDescent="0.25">
      <c r="K925" s="168"/>
    </row>
    <row r="926" spans="11:11" ht="15.75" customHeight="1" x14ac:dyDescent="0.25">
      <c r="K926" s="168"/>
    </row>
    <row r="927" spans="11:11" ht="15.75" customHeight="1" x14ac:dyDescent="0.25">
      <c r="K927" s="168"/>
    </row>
    <row r="928" spans="11:11" ht="15.75" customHeight="1" x14ac:dyDescent="0.25">
      <c r="K928" s="168"/>
    </row>
    <row r="929" spans="11:11" ht="15.75" customHeight="1" x14ac:dyDescent="0.25">
      <c r="K929" s="168"/>
    </row>
    <row r="930" spans="11:11" ht="15.75" customHeight="1" x14ac:dyDescent="0.25">
      <c r="K930" s="168"/>
    </row>
    <row r="931" spans="11:11" ht="15.75" customHeight="1" x14ac:dyDescent="0.25">
      <c r="K931" s="168"/>
    </row>
    <row r="932" spans="11:11" ht="15.75" customHeight="1" x14ac:dyDescent="0.25">
      <c r="K932" s="168"/>
    </row>
    <row r="933" spans="11:11" ht="15.75" customHeight="1" x14ac:dyDescent="0.25">
      <c r="K933" s="168"/>
    </row>
    <row r="934" spans="11:11" ht="15.75" customHeight="1" x14ac:dyDescent="0.25">
      <c r="K934" s="168"/>
    </row>
    <row r="935" spans="11:11" ht="15.75" customHeight="1" x14ac:dyDescent="0.25">
      <c r="K935" s="168"/>
    </row>
    <row r="936" spans="11:11" ht="15.75" customHeight="1" x14ac:dyDescent="0.25">
      <c r="K936" s="168"/>
    </row>
    <row r="937" spans="11:11" ht="15.75" customHeight="1" x14ac:dyDescent="0.25">
      <c r="K937" s="168"/>
    </row>
    <row r="938" spans="11:11" ht="15.75" customHeight="1" x14ac:dyDescent="0.25">
      <c r="K938" s="168"/>
    </row>
    <row r="939" spans="11:11" ht="15.75" customHeight="1" x14ac:dyDescent="0.25">
      <c r="K939" s="168"/>
    </row>
    <row r="940" spans="11:11" ht="15.75" customHeight="1" x14ac:dyDescent="0.25">
      <c r="K940" s="168"/>
    </row>
    <row r="941" spans="11:11" ht="15.75" customHeight="1" x14ac:dyDescent="0.25">
      <c r="K941" s="168"/>
    </row>
    <row r="942" spans="11:11" ht="15.75" customHeight="1" x14ac:dyDescent="0.25">
      <c r="K942" s="168"/>
    </row>
    <row r="943" spans="11:11" ht="15.75" customHeight="1" x14ac:dyDescent="0.25">
      <c r="K943" s="168"/>
    </row>
    <row r="944" spans="11:11" ht="15.75" customHeight="1" x14ac:dyDescent="0.25">
      <c r="K944" s="168"/>
    </row>
    <row r="945" spans="11:11" ht="15.75" customHeight="1" x14ac:dyDescent="0.25">
      <c r="K945" s="168"/>
    </row>
    <row r="946" spans="11:11" ht="15.75" customHeight="1" x14ac:dyDescent="0.25">
      <c r="K946" s="168"/>
    </row>
    <row r="947" spans="11:11" ht="15.75" customHeight="1" x14ac:dyDescent="0.25">
      <c r="K947" s="168"/>
    </row>
    <row r="948" spans="11:11" ht="15.75" customHeight="1" x14ac:dyDescent="0.25">
      <c r="K948" s="168"/>
    </row>
    <row r="949" spans="11:11" ht="15.75" customHeight="1" x14ac:dyDescent="0.25">
      <c r="K949" s="168"/>
    </row>
    <row r="950" spans="11:11" ht="15.75" customHeight="1" x14ac:dyDescent="0.25">
      <c r="K950" s="168"/>
    </row>
    <row r="951" spans="11:11" ht="15.75" customHeight="1" x14ac:dyDescent="0.25">
      <c r="K951" s="168"/>
    </row>
    <row r="952" spans="11:11" ht="15.75" customHeight="1" x14ac:dyDescent="0.25">
      <c r="K952" s="168"/>
    </row>
    <row r="953" spans="11:11" ht="15.75" customHeight="1" x14ac:dyDescent="0.25">
      <c r="K953" s="168"/>
    </row>
    <row r="954" spans="11:11" ht="15.75" customHeight="1" x14ac:dyDescent="0.25">
      <c r="K954" s="168"/>
    </row>
    <row r="955" spans="11:11" ht="15.75" customHeight="1" x14ac:dyDescent="0.25">
      <c r="K955" s="168"/>
    </row>
    <row r="956" spans="11:11" ht="15.75" customHeight="1" x14ac:dyDescent="0.25">
      <c r="K956" s="168"/>
    </row>
    <row r="957" spans="11:11" ht="15.75" customHeight="1" x14ac:dyDescent="0.25">
      <c r="K957" s="168"/>
    </row>
    <row r="958" spans="11:11" ht="15.75" customHeight="1" x14ac:dyDescent="0.25">
      <c r="K958" s="168"/>
    </row>
    <row r="959" spans="11:11" ht="15.75" customHeight="1" x14ac:dyDescent="0.25">
      <c r="K959" s="168"/>
    </row>
    <row r="960" spans="11:11" ht="15.75" customHeight="1" x14ac:dyDescent="0.25">
      <c r="K960" s="168"/>
    </row>
    <row r="961" spans="11:11" ht="15.75" customHeight="1" x14ac:dyDescent="0.25">
      <c r="K961" s="168"/>
    </row>
    <row r="962" spans="11:11" ht="15.75" customHeight="1" x14ac:dyDescent="0.25">
      <c r="K962" s="168"/>
    </row>
    <row r="963" spans="11:11" ht="15.75" customHeight="1" x14ac:dyDescent="0.25">
      <c r="K963" s="168"/>
    </row>
    <row r="964" spans="11:11" ht="15.75" customHeight="1" x14ac:dyDescent="0.25">
      <c r="K964" s="168"/>
    </row>
    <row r="965" spans="11:11" ht="15.75" customHeight="1" x14ac:dyDescent="0.25">
      <c r="K965" s="168"/>
    </row>
    <row r="966" spans="11:11" ht="15.75" customHeight="1" x14ac:dyDescent="0.25">
      <c r="K966" s="168"/>
    </row>
    <row r="967" spans="11:11" ht="15.75" customHeight="1" x14ac:dyDescent="0.25">
      <c r="K967" s="168"/>
    </row>
    <row r="968" spans="11:11" ht="15.75" customHeight="1" x14ac:dyDescent="0.25">
      <c r="K968" s="168"/>
    </row>
    <row r="969" spans="11:11" ht="15.75" customHeight="1" x14ac:dyDescent="0.25">
      <c r="K969" s="168"/>
    </row>
    <row r="970" spans="11:11" ht="15.75" customHeight="1" x14ac:dyDescent="0.25">
      <c r="K970" s="168"/>
    </row>
    <row r="971" spans="11:11" ht="15.75" customHeight="1" x14ac:dyDescent="0.25">
      <c r="K971" s="168"/>
    </row>
    <row r="972" spans="11:11" ht="15.75" customHeight="1" x14ac:dyDescent="0.25">
      <c r="K972" s="168"/>
    </row>
    <row r="973" spans="11:11" ht="15.75" customHeight="1" x14ac:dyDescent="0.25">
      <c r="K973" s="168"/>
    </row>
    <row r="974" spans="11:11" ht="15.75" customHeight="1" x14ac:dyDescent="0.25">
      <c r="K974" s="168"/>
    </row>
    <row r="975" spans="11:11" ht="15.75" customHeight="1" x14ac:dyDescent="0.25">
      <c r="K975" s="168"/>
    </row>
    <row r="976" spans="11:11" ht="15.75" customHeight="1" x14ac:dyDescent="0.25">
      <c r="K976" s="168"/>
    </row>
    <row r="977" spans="11:11" ht="15.75" customHeight="1" x14ac:dyDescent="0.25">
      <c r="K977" s="168"/>
    </row>
    <row r="978" spans="11:11" ht="15.75" customHeight="1" x14ac:dyDescent="0.25">
      <c r="K978" s="168"/>
    </row>
    <row r="979" spans="11:11" ht="15.75" customHeight="1" x14ac:dyDescent="0.25">
      <c r="K979" s="168"/>
    </row>
    <row r="980" spans="11:11" ht="15.75" customHeight="1" x14ac:dyDescent="0.25">
      <c r="K980" s="168"/>
    </row>
    <row r="981" spans="11:11" ht="15.75" customHeight="1" x14ac:dyDescent="0.25">
      <c r="K981" s="168"/>
    </row>
    <row r="982" spans="11:11" ht="15.75" customHeight="1" x14ac:dyDescent="0.25">
      <c r="K982" s="168"/>
    </row>
    <row r="983" spans="11:11" ht="15.75" customHeight="1" x14ac:dyDescent="0.25">
      <c r="K983" s="168"/>
    </row>
    <row r="984" spans="11:11" ht="15.75" customHeight="1" x14ac:dyDescent="0.25">
      <c r="K984" s="168"/>
    </row>
    <row r="985" spans="11:11" ht="15.75" customHeight="1" x14ac:dyDescent="0.25">
      <c r="K985" s="168"/>
    </row>
    <row r="986" spans="11:11" ht="15.75" customHeight="1" x14ac:dyDescent="0.25">
      <c r="K986" s="168"/>
    </row>
    <row r="987" spans="11:11" ht="15.75" customHeight="1" x14ac:dyDescent="0.25">
      <c r="K987" s="168"/>
    </row>
    <row r="988" spans="11:11" ht="15.75" customHeight="1" x14ac:dyDescent="0.25">
      <c r="K988"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fitToHeight="0" orientation="portrait" r:id="rId1"/>
  <rowBreaks count="1" manualBreakCount="1">
    <brk id="5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2"/>
  <sheetViews>
    <sheetView workbookViewId="0">
      <selection sqref="A1:XFD20"/>
    </sheetView>
  </sheetViews>
  <sheetFormatPr defaultColWidth="14.42578125" defaultRowHeight="15" customHeight="1" x14ac:dyDescent="0.25"/>
  <cols>
    <col min="1" max="1" width="72.85546875" customWidth="1"/>
    <col min="2" max="2" width="14.42578125" customWidth="1"/>
    <col min="3" max="6" width="16.85546875" hidden="1" customWidth="1"/>
    <col min="7" max="7" width="16.85546875" customWidth="1"/>
    <col min="8" max="26" width="10.28515625" customWidth="1"/>
  </cols>
  <sheetData>
    <row r="1" spans="1:26" ht="15.75" customHeight="1" x14ac:dyDescent="0.25">
      <c r="A1" s="9"/>
      <c r="B1" s="104"/>
      <c r="C1" s="105"/>
      <c r="D1" s="105"/>
      <c r="E1" s="105"/>
      <c r="F1" s="10"/>
      <c r="G1" s="180"/>
      <c r="H1" s="15"/>
      <c r="I1" s="15"/>
      <c r="J1" s="15"/>
      <c r="K1" s="15"/>
      <c r="L1" s="15"/>
      <c r="M1" s="15"/>
      <c r="N1" s="15"/>
      <c r="O1" s="15"/>
      <c r="P1" s="15"/>
      <c r="Q1" s="15"/>
      <c r="R1" s="15"/>
      <c r="S1" s="15"/>
      <c r="T1" s="15"/>
      <c r="U1" s="15"/>
      <c r="V1" s="15"/>
      <c r="W1" s="15"/>
      <c r="X1" s="15"/>
      <c r="Y1" s="15"/>
      <c r="Z1" s="15"/>
    </row>
    <row r="2" spans="1:26" ht="15.75" customHeight="1" x14ac:dyDescent="0.25">
      <c r="A2" s="17" t="s">
        <v>489</v>
      </c>
      <c r="B2" s="25"/>
      <c r="C2" s="24"/>
      <c r="D2" s="24"/>
      <c r="E2" s="24"/>
      <c r="F2" s="15"/>
      <c r="G2" s="181"/>
      <c r="H2" s="15"/>
      <c r="I2" s="15"/>
      <c r="J2" s="15"/>
      <c r="K2" s="15"/>
      <c r="L2" s="15"/>
      <c r="M2" s="15"/>
      <c r="N2" s="15"/>
      <c r="O2" s="15"/>
      <c r="P2" s="15"/>
      <c r="Q2" s="15"/>
      <c r="R2" s="15"/>
      <c r="S2" s="15"/>
      <c r="T2" s="15"/>
      <c r="U2" s="15"/>
      <c r="V2" s="15"/>
      <c r="W2" s="15"/>
      <c r="X2" s="15"/>
      <c r="Y2" s="15"/>
      <c r="Z2" s="15"/>
    </row>
    <row r="3" spans="1:26" ht="15.75" customHeight="1" x14ac:dyDescent="0.25">
      <c r="A3" s="17"/>
      <c r="B3" s="25"/>
      <c r="C3" s="24"/>
      <c r="D3" s="24"/>
      <c r="E3" s="24"/>
      <c r="F3" s="15"/>
      <c r="G3" s="181"/>
      <c r="H3" s="15"/>
      <c r="I3" s="15"/>
      <c r="J3" s="15"/>
      <c r="K3" s="15"/>
      <c r="L3" s="15"/>
      <c r="M3" s="15"/>
      <c r="N3" s="15"/>
      <c r="O3" s="15"/>
      <c r="P3" s="15"/>
      <c r="Q3" s="15"/>
      <c r="R3" s="15"/>
      <c r="S3" s="15"/>
      <c r="T3" s="15"/>
      <c r="U3" s="15"/>
      <c r="V3" s="15"/>
      <c r="W3" s="15"/>
      <c r="X3" s="15"/>
      <c r="Y3" s="15"/>
      <c r="Z3" s="15"/>
    </row>
    <row r="4" spans="1:26" ht="15.75" customHeight="1" x14ac:dyDescent="0.25">
      <c r="A4" s="108" t="s">
        <v>2133</v>
      </c>
      <c r="B4" s="25"/>
      <c r="C4" s="26"/>
      <c r="D4" s="26"/>
      <c r="E4" s="26"/>
      <c r="F4" s="14"/>
      <c r="G4" s="181"/>
      <c r="H4" s="15"/>
      <c r="I4" s="15"/>
      <c r="J4" s="15"/>
      <c r="K4" s="15"/>
      <c r="L4" s="15"/>
      <c r="M4" s="15"/>
      <c r="N4" s="15"/>
      <c r="O4" s="15"/>
      <c r="P4" s="15"/>
      <c r="Q4" s="15"/>
      <c r="R4" s="15"/>
      <c r="S4" s="15"/>
      <c r="T4" s="15"/>
      <c r="U4" s="15"/>
      <c r="V4" s="15"/>
      <c r="W4" s="15"/>
      <c r="X4" s="15"/>
      <c r="Y4" s="15"/>
      <c r="Z4" s="15"/>
    </row>
    <row r="5" spans="1:26" ht="15.75" customHeight="1" x14ac:dyDescent="0.25">
      <c r="A5" s="108"/>
      <c r="B5" s="25"/>
      <c r="C5" s="26"/>
      <c r="D5" s="26"/>
      <c r="E5" s="26"/>
      <c r="F5" s="14"/>
      <c r="G5" s="181"/>
      <c r="H5" s="15"/>
      <c r="I5" s="15"/>
      <c r="J5" s="15"/>
      <c r="K5" s="15"/>
      <c r="L5" s="15"/>
      <c r="M5" s="15"/>
      <c r="N5" s="15"/>
      <c r="O5" s="15"/>
      <c r="P5" s="15"/>
      <c r="Q5" s="15"/>
      <c r="R5" s="15"/>
      <c r="S5" s="15"/>
      <c r="T5" s="15"/>
      <c r="U5" s="15"/>
      <c r="V5" s="15"/>
      <c r="W5" s="15"/>
      <c r="X5" s="15"/>
      <c r="Y5" s="15"/>
      <c r="Z5" s="15"/>
    </row>
    <row r="6" spans="1:26" ht="15.75" customHeight="1" x14ac:dyDescent="0.25">
      <c r="A6" s="865" t="s">
        <v>352</v>
      </c>
      <c r="B6" s="866"/>
      <c r="C6" s="866"/>
      <c r="D6" s="866"/>
      <c r="E6" s="866"/>
      <c r="F6" s="866"/>
      <c r="G6" s="867"/>
      <c r="H6" s="15"/>
      <c r="I6" s="15"/>
      <c r="J6" s="15"/>
      <c r="K6" s="15"/>
      <c r="L6" s="15"/>
      <c r="M6" s="15"/>
      <c r="N6" s="15"/>
      <c r="O6" s="15"/>
      <c r="P6" s="15"/>
      <c r="Q6" s="15"/>
      <c r="R6" s="15"/>
      <c r="S6" s="15"/>
      <c r="T6" s="15"/>
      <c r="U6" s="15"/>
      <c r="V6" s="15"/>
      <c r="W6" s="15"/>
      <c r="X6" s="15"/>
      <c r="Y6" s="15"/>
      <c r="Z6" s="15"/>
    </row>
    <row r="7" spans="1:26" ht="15.75" customHeight="1" x14ac:dyDescent="0.25">
      <c r="A7" s="868" t="s">
        <v>1194</v>
      </c>
      <c r="B7" s="857" t="s">
        <v>354</v>
      </c>
      <c r="C7" s="870" t="s">
        <v>355</v>
      </c>
      <c r="D7" s="872" t="s">
        <v>356</v>
      </c>
      <c r="E7" s="873"/>
      <c r="F7" s="874"/>
      <c r="G7" s="857" t="s">
        <v>357</v>
      </c>
      <c r="H7" s="15"/>
      <c r="I7" s="15"/>
      <c r="J7" s="15"/>
      <c r="K7" s="15"/>
      <c r="L7" s="15"/>
      <c r="M7" s="15"/>
      <c r="N7" s="15"/>
      <c r="O7" s="15"/>
      <c r="P7" s="15"/>
      <c r="Q7" s="15"/>
      <c r="R7" s="15"/>
      <c r="S7" s="15"/>
      <c r="T7" s="15"/>
      <c r="U7" s="15"/>
      <c r="V7" s="15"/>
      <c r="W7" s="15"/>
      <c r="X7" s="15"/>
      <c r="Y7" s="15"/>
      <c r="Z7" s="15"/>
    </row>
    <row r="8" spans="1:26" ht="15.75" customHeight="1" x14ac:dyDescent="0.25">
      <c r="A8" s="858"/>
      <c r="B8" s="858"/>
      <c r="C8" s="871"/>
      <c r="D8" s="28" t="s">
        <v>358</v>
      </c>
      <c r="E8" s="29" t="s">
        <v>359</v>
      </c>
      <c r="F8" s="875" t="s">
        <v>360</v>
      </c>
      <c r="G8" s="858"/>
      <c r="H8" s="15"/>
      <c r="I8" s="15"/>
      <c r="J8" s="15"/>
      <c r="K8" s="15"/>
      <c r="L8" s="15"/>
      <c r="M8" s="15"/>
      <c r="N8" s="15"/>
      <c r="O8" s="15"/>
      <c r="P8" s="15"/>
      <c r="Q8" s="15"/>
      <c r="R8" s="15"/>
      <c r="S8" s="15"/>
      <c r="T8" s="15"/>
      <c r="U8" s="15"/>
      <c r="V8" s="15"/>
      <c r="W8" s="15"/>
      <c r="X8" s="15"/>
      <c r="Y8" s="15"/>
      <c r="Z8" s="15"/>
    </row>
    <row r="9" spans="1:26" ht="15.75" customHeight="1" x14ac:dyDescent="0.25">
      <c r="A9" s="858"/>
      <c r="B9" s="858"/>
      <c r="C9" s="30" t="s">
        <v>361</v>
      </c>
      <c r="D9" s="31" t="s">
        <v>361</v>
      </c>
      <c r="E9" s="32" t="s">
        <v>362</v>
      </c>
      <c r="F9" s="860"/>
      <c r="G9" s="442" t="s">
        <v>2669</v>
      </c>
      <c r="H9" s="15"/>
      <c r="I9" s="15"/>
      <c r="J9" s="15"/>
      <c r="K9" s="15"/>
      <c r="L9" s="15"/>
      <c r="M9" s="15"/>
      <c r="N9" s="15"/>
      <c r="O9" s="15"/>
      <c r="P9" s="15"/>
      <c r="Q9" s="15"/>
      <c r="R9" s="15"/>
      <c r="S9" s="15"/>
      <c r="T9" s="15"/>
      <c r="U9" s="15"/>
      <c r="V9" s="15"/>
      <c r="W9" s="15"/>
      <c r="X9" s="15"/>
      <c r="Y9" s="15"/>
      <c r="Z9" s="15"/>
    </row>
    <row r="10" spans="1:26" ht="15.75" customHeight="1" x14ac:dyDescent="0.25">
      <c r="A10" s="869"/>
      <c r="B10" s="869"/>
      <c r="C10" s="33">
        <v>2024</v>
      </c>
      <c r="D10" s="34">
        <v>2025</v>
      </c>
      <c r="E10" s="35">
        <v>2025</v>
      </c>
      <c r="F10" s="34">
        <v>2025</v>
      </c>
      <c r="G10" s="36" t="s">
        <v>2668</v>
      </c>
      <c r="H10" s="15"/>
      <c r="I10" s="15"/>
      <c r="J10" s="15"/>
      <c r="K10" s="15"/>
      <c r="L10" s="15"/>
      <c r="M10" s="15"/>
      <c r="N10" s="15"/>
      <c r="O10" s="15"/>
      <c r="P10" s="15"/>
      <c r="Q10" s="15"/>
      <c r="R10" s="15"/>
      <c r="S10" s="15"/>
      <c r="T10" s="15"/>
      <c r="U10" s="15"/>
      <c r="V10" s="15"/>
      <c r="W10" s="15"/>
      <c r="X10" s="15"/>
      <c r="Y10" s="15"/>
      <c r="Z10" s="15"/>
    </row>
    <row r="11" spans="1:26" ht="15.75" customHeight="1" x14ac:dyDescent="0.25">
      <c r="A11" s="17" t="s">
        <v>364</v>
      </c>
      <c r="B11" s="172"/>
      <c r="C11" s="17"/>
      <c r="D11" s="42"/>
      <c r="E11" s="19"/>
      <c r="F11" s="42"/>
      <c r="G11" s="19"/>
    </row>
    <row r="12" spans="1:26" ht="15.75" customHeight="1" x14ac:dyDescent="0.25">
      <c r="A12" s="42" t="s">
        <v>1463</v>
      </c>
      <c r="B12" s="172"/>
      <c r="C12" s="42"/>
      <c r="D12" s="42"/>
      <c r="E12" s="42"/>
      <c r="F12" s="42"/>
      <c r="G12" s="42"/>
    </row>
    <row r="13" spans="1:26" ht="15.75" customHeight="1" x14ac:dyDescent="0.25">
      <c r="A13" s="227" t="s">
        <v>424</v>
      </c>
      <c r="B13" s="41"/>
      <c r="C13" s="41"/>
      <c r="D13" s="41"/>
      <c r="E13" s="20"/>
      <c r="F13" s="41"/>
      <c r="G13" s="49"/>
    </row>
    <row r="14" spans="1:26" ht="15.75" customHeight="1" x14ac:dyDescent="0.25">
      <c r="A14" s="44" t="s">
        <v>837</v>
      </c>
      <c r="B14" s="41" t="s">
        <v>333</v>
      </c>
      <c r="C14" s="91">
        <v>14974668</v>
      </c>
      <c r="D14" s="91">
        <v>0</v>
      </c>
      <c r="E14" s="372">
        <f>F14-D14</f>
        <v>15000000</v>
      </c>
      <c r="F14" s="91">
        <v>15000000</v>
      </c>
      <c r="G14" s="91">
        <v>10000000</v>
      </c>
    </row>
    <row r="15" spans="1:26" ht="15.75" customHeight="1" x14ac:dyDescent="0.25">
      <c r="A15" s="44" t="s">
        <v>2134</v>
      </c>
      <c r="B15" s="41"/>
      <c r="C15" s="91"/>
      <c r="D15" s="91"/>
      <c r="E15" s="86"/>
      <c r="F15" s="91"/>
      <c r="G15" s="91"/>
    </row>
    <row r="16" spans="1:26" ht="15.75" customHeight="1" x14ac:dyDescent="0.25">
      <c r="A16" s="42" t="s">
        <v>672</v>
      </c>
      <c r="B16" s="41"/>
      <c r="C16" s="221">
        <f t="shared" ref="C16:G16" si="0">SUM(C13:C14)</f>
        <v>14974668</v>
      </c>
      <c r="D16" s="221">
        <f t="shared" si="0"/>
        <v>0</v>
      </c>
      <c r="E16" s="221">
        <f t="shared" si="0"/>
        <v>15000000</v>
      </c>
      <c r="F16" s="221">
        <f t="shared" si="0"/>
        <v>15000000</v>
      </c>
      <c r="G16" s="221">
        <f t="shared" si="0"/>
        <v>10000000</v>
      </c>
    </row>
    <row r="17" spans="1:7" ht="15.75" customHeight="1" x14ac:dyDescent="0.25">
      <c r="A17" s="42"/>
      <c r="B17" s="41"/>
      <c r="C17" s="41"/>
      <c r="D17" s="41"/>
      <c r="E17" s="20"/>
      <c r="F17" s="120"/>
      <c r="G17" s="49"/>
    </row>
    <row r="18" spans="1:7" ht="15.75" customHeight="1" x14ac:dyDescent="0.25">
      <c r="A18" s="17" t="s">
        <v>467</v>
      </c>
      <c r="B18" s="41"/>
      <c r="C18" s="91">
        <f t="shared" ref="C18:G18" si="1">C16</f>
        <v>14974668</v>
      </c>
      <c r="D18" s="91">
        <f t="shared" si="1"/>
        <v>0</v>
      </c>
      <c r="E18" s="91">
        <f t="shared" si="1"/>
        <v>15000000</v>
      </c>
      <c r="F18" s="91">
        <f t="shared" si="1"/>
        <v>15000000</v>
      </c>
      <c r="G18" s="91">
        <f t="shared" si="1"/>
        <v>10000000</v>
      </c>
    </row>
    <row r="19" spans="1:7" ht="15.75" customHeight="1" x14ac:dyDescent="0.25">
      <c r="A19" s="227"/>
      <c r="B19" s="41"/>
      <c r="C19" s="41"/>
      <c r="D19" s="41"/>
      <c r="E19" s="20"/>
      <c r="F19" s="120"/>
      <c r="G19" s="49"/>
    </row>
    <row r="20" spans="1:7" ht="15.75" customHeight="1" x14ac:dyDescent="0.25">
      <c r="A20" s="50" t="s">
        <v>487</v>
      </c>
      <c r="B20" s="51" t="s">
        <v>488</v>
      </c>
      <c r="C20" s="54">
        <f t="shared" ref="C20:G20" si="2">+C18</f>
        <v>14974668</v>
      </c>
      <c r="D20" s="54">
        <f t="shared" si="2"/>
        <v>0</v>
      </c>
      <c r="E20" s="54">
        <f t="shared" si="2"/>
        <v>15000000</v>
      </c>
      <c r="F20" s="54">
        <f t="shared" si="2"/>
        <v>15000000</v>
      </c>
      <c r="G20" s="54">
        <f t="shared" si="2"/>
        <v>10000000</v>
      </c>
    </row>
    <row r="21" spans="1:7" ht="15.75" customHeight="1" x14ac:dyDescent="0.25">
      <c r="A21" s="24"/>
      <c r="B21" s="174"/>
      <c r="C21" s="26"/>
      <c r="D21" s="26"/>
      <c r="E21" s="26"/>
      <c r="F21" s="26"/>
      <c r="G21" s="26"/>
    </row>
    <row r="22" spans="1:7" ht="15.75" customHeight="1" x14ac:dyDescent="0.25">
      <c r="A22" s="24"/>
      <c r="B22" s="25"/>
      <c r="C22" s="24"/>
      <c r="D22" s="24"/>
      <c r="E22" s="24"/>
      <c r="F22" s="26"/>
      <c r="G22" s="26"/>
    </row>
    <row r="23" spans="1:7" ht="15.75" customHeight="1" x14ac:dyDescent="0.25">
      <c r="A23" s="24"/>
      <c r="B23" s="25"/>
      <c r="C23" s="24"/>
      <c r="D23" s="24"/>
      <c r="E23" s="24"/>
      <c r="F23" s="26"/>
      <c r="G23" s="26"/>
    </row>
    <row r="24" spans="1:7" ht="15.75" customHeight="1" x14ac:dyDescent="0.25">
      <c r="A24" s="24"/>
      <c r="B24" s="25"/>
      <c r="C24" s="24"/>
      <c r="D24" s="24"/>
      <c r="E24" s="24"/>
      <c r="F24" s="26"/>
      <c r="G24" s="26"/>
    </row>
    <row r="25" spans="1:7" ht="15.75" customHeight="1" x14ac:dyDescent="0.25">
      <c r="A25" s="24"/>
      <c r="B25" s="25"/>
      <c r="C25" s="24"/>
      <c r="D25" s="24"/>
      <c r="E25" s="24"/>
      <c r="F25" s="26"/>
      <c r="G25" s="26"/>
    </row>
    <row r="26" spans="1:7" ht="15.75" customHeight="1" x14ac:dyDescent="0.25">
      <c r="A26" s="24"/>
      <c r="B26" s="25"/>
      <c r="C26" s="24"/>
      <c r="D26" s="24"/>
      <c r="E26" s="24"/>
      <c r="F26" s="26"/>
      <c r="G26" s="26"/>
    </row>
    <row r="27" spans="1:7" ht="15.75" customHeight="1" x14ac:dyDescent="0.25">
      <c r="A27" s="24"/>
      <c r="B27" s="25"/>
      <c r="C27" s="24"/>
      <c r="D27" s="24"/>
      <c r="E27" s="24"/>
      <c r="F27" s="26"/>
      <c r="G27" s="26"/>
    </row>
    <row r="28" spans="1:7" ht="15.75" customHeight="1" x14ac:dyDescent="0.25">
      <c r="A28" s="24"/>
      <c r="B28" s="25"/>
      <c r="C28" s="24"/>
      <c r="D28" s="24"/>
      <c r="E28" s="24"/>
      <c r="F28" s="26"/>
      <c r="G28" s="26"/>
    </row>
    <row r="29" spans="1:7" ht="15.75" customHeight="1" x14ac:dyDescent="0.25">
      <c r="A29" s="24"/>
      <c r="B29" s="25"/>
      <c r="C29" s="24"/>
      <c r="D29" s="24"/>
      <c r="E29" s="24"/>
      <c r="F29" s="26"/>
      <c r="G29" s="26"/>
    </row>
    <row r="30" spans="1:7" ht="15.75" customHeight="1" x14ac:dyDescent="0.25">
      <c r="A30" s="24"/>
      <c r="B30" s="25"/>
      <c r="C30" s="24"/>
      <c r="D30" s="24"/>
      <c r="E30" s="24"/>
      <c r="F30" s="26"/>
      <c r="G30" s="26"/>
    </row>
    <row r="31" spans="1:7" ht="15.75" customHeight="1" x14ac:dyDescent="0.25">
      <c r="A31" s="24"/>
      <c r="B31" s="25"/>
      <c r="C31" s="24"/>
      <c r="D31" s="24"/>
      <c r="E31" s="24"/>
      <c r="F31" s="26"/>
      <c r="G31" s="26"/>
    </row>
    <row r="32" spans="1:7" ht="15.75" customHeight="1" x14ac:dyDescent="0.25">
      <c r="A32" s="24"/>
      <c r="B32" s="25"/>
      <c r="C32" s="24"/>
      <c r="D32" s="24"/>
      <c r="E32" s="24"/>
      <c r="F32" s="26"/>
      <c r="G32" s="26"/>
    </row>
    <row r="33" spans="1:7" ht="15.75" customHeight="1" x14ac:dyDescent="0.25">
      <c r="A33" s="24"/>
      <c r="B33" s="25"/>
      <c r="C33" s="24"/>
      <c r="D33" s="24"/>
      <c r="E33" s="24"/>
      <c r="F33" s="26"/>
      <c r="G33" s="26"/>
    </row>
    <row r="34" spans="1:7" ht="15.75" customHeight="1" x14ac:dyDescent="0.25">
      <c r="A34" s="24"/>
      <c r="B34" s="25"/>
      <c r="C34" s="24"/>
      <c r="D34" s="24"/>
      <c r="E34" s="24"/>
      <c r="F34" s="26"/>
      <c r="G34" s="26"/>
    </row>
    <row r="35" spans="1:7" ht="15.75" customHeight="1" x14ac:dyDescent="0.25">
      <c r="A35" s="24"/>
      <c r="B35" s="25"/>
      <c r="C35" s="24"/>
      <c r="D35" s="24"/>
      <c r="E35" s="24"/>
      <c r="F35" s="26"/>
      <c r="G35" s="26"/>
    </row>
    <row r="36" spans="1:7" ht="15.75" customHeight="1" x14ac:dyDescent="0.25">
      <c r="A36" s="24"/>
      <c r="B36" s="25"/>
      <c r="C36" s="24"/>
      <c r="D36" s="24"/>
      <c r="E36" s="24"/>
      <c r="F36" s="26"/>
      <c r="G36" s="26"/>
    </row>
    <row r="37" spans="1:7" ht="15.75" customHeight="1" x14ac:dyDescent="0.25">
      <c r="A37" s="24"/>
      <c r="B37" s="25"/>
      <c r="C37" s="24"/>
      <c r="D37" s="24"/>
      <c r="E37" s="24"/>
      <c r="F37" s="26"/>
      <c r="G37" s="26"/>
    </row>
    <row r="38" spans="1:7" ht="15.75" customHeight="1" x14ac:dyDescent="0.25">
      <c r="A38" s="24"/>
      <c r="B38" s="25"/>
      <c r="C38" s="24"/>
      <c r="D38" s="24"/>
      <c r="E38" s="24"/>
      <c r="F38" s="26"/>
      <c r="G38" s="26"/>
    </row>
    <row r="39" spans="1:7" ht="15.75" customHeight="1" x14ac:dyDescent="0.25">
      <c r="A39" s="24"/>
      <c r="B39" s="25"/>
      <c r="C39" s="24"/>
      <c r="D39" s="24"/>
      <c r="E39" s="24"/>
      <c r="F39" s="26"/>
      <c r="G39" s="26"/>
    </row>
    <row r="40" spans="1:7" ht="15.75" customHeight="1" x14ac:dyDescent="0.25">
      <c r="A40" s="24"/>
      <c r="B40" s="25"/>
      <c r="C40" s="24"/>
      <c r="D40" s="24"/>
      <c r="E40" s="24"/>
      <c r="F40" s="26"/>
      <c r="G40" s="26"/>
    </row>
    <row r="41" spans="1:7" ht="15.75" customHeight="1" x14ac:dyDescent="0.25">
      <c r="A41" s="24"/>
      <c r="B41" s="25"/>
      <c r="C41" s="24"/>
      <c r="D41" s="24"/>
      <c r="E41" s="24"/>
      <c r="F41" s="26"/>
      <c r="G41" s="26"/>
    </row>
    <row r="42" spans="1:7" ht="15.75" customHeight="1" x14ac:dyDescent="0.25">
      <c r="A42" s="24"/>
      <c r="B42" s="25"/>
      <c r="C42" s="24"/>
      <c r="D42" s="24"/>
      <c r="E42" s="24"/>
      <c r="F42" s="26"/>
      <c r="G42" s="26"/>
    </row>
    <row r="43" spans="1:7" ht="15.75" customHeight="1" x14ac:dyDescent="0.25">
      <c r="A43" s="24"/>
      <c r="B43" s="25"/>
      <c r="C43" s="24"/>
      <c r="D43" s="24"/>
      <c r="E43" s="24"/>
      <c r="F43" s="26"/>
      <c r="G43" s="26"/>
    </row>
    <row r="44" spans="1:7" ht="15.75" customHeight="1" x14ac:dyDescent="0.25">
      <c r="A44" s="24"/>
      <c r="B44" s="25"/>
      <c r="C44" s="24"/>
      <c r="D44" s="24"/>
      <c r="E44" s="24"/>
      <c r="F44" s="26"/>
      <c r="G44" s="26"/>
    </row>
    <row r="45" spans="1:7" ht="15.75" customHeight="1" x14ac:dyDescent="0.25">
      <c r="A45" s="24"/>
      <c r="B45" s="25"/>
      <c r="C45" s="24"/>
      <c r="D45" s="24"/>
      <c r="E45" s="24"/>
      <c r="F45" s="26"/>
      <c r="G45" s="26"/>
    </row>
    <row r="46" spans="1:7" ht="15.75" customHeight="1" x14ac:dyDescent="0.25">
      <c r="A46" s="24"/>
      <c r="B46" s="25"/>
      <c r="C46" s="24"/>
      <c r="D46" s="24"/>
      <c r="E46" s="24"/>
      <c r="F46" s="26"/>
      <c r="G46" s="26"/>
    </row>
    <row r="47" spans="1:7" ht="15.75" customHeight="1" x14ac:dyDescent="0.25">
      <c r="A47" s="24"/>
      <c r="B47" s="25"/>
      <c r="C47" s="24"/>
      <c r="D47" s="24"/>
      <c r="E47" s="24"/>
      <c r="F47" s="26"/>
      <c r="G47" s="26"/>
    </row>
    <row r="48" spans="1:7" ht="15.75" customHeight="1" x14ac:dyDescent="0.25">
      <c r="A48" s="24"/>
      <c r="B48" s="25"/>
      <c r="C48" s="24"/>
      <c r="D48" s="24"/>
      <c r="E48" s="24"/>
      <c r="F48" s="26"/>
      <c r="G48" s="26"/>
    </row>
    <row r="49" spans="1:7" ht="15.75" customHeight="1" x14ac:dyDescent="0.25">
      <c r="A49" s="24"/>
      <c r="B49" s="25"/>
      <c r="C49" s="24"/>
      <c r="D49" s="24"/>
      <c r="E49" s="24"/>
      <c r="F49" s="26"/>
      <c r="G49" s="26"/>
    </row>
    <row r="50" spans="1:7" ht="15.75" customHeight="1" x14ac:dyDescent="0.25">
      <c r="A50" s="24"/>
      <c r="B50" s="25"/>
      <c r="C50" s="24"/>
      <c r="D50" s="24"/>
      <c r="E50" s="24"/>
      <c r="F50" s="26"/>
      <c r="G50" s="26"/>
    </row>
    <row r="51" spans="1:7" ht="15.75" customHeight="1" x14ac:dyDescent="0.25">
      <c r="A51" s="24"/>
      <c r="B51" s="25"/>
      <c r="C51" s="24"/>
      <c r="D51" s="24"/>
      <c r="E51" s="24"/>
      <c r="F51" s="26"/>
      <c r="G51" s="26"/>
    </row>
    <row r="52" spans="1:7" ht="15.75" customHeight="1" x14ac:dyDescent="0.25">
      <c r="A52" s="24"/>
      <c r="B52" s="25"/>
      <c r="C52" s="24"/>
      <c r="D52" s="24"/>
      <c r="E52" s="24"/>
      <c r="F52" s="26"/>
      <c r="G52" s="26"/>
    </row>
    <row r="53" spans="1:7" ht="15.75" customHeight="1" x14ac:dyDescent="0.25">
      <c r="A53" s="24"/>
      <c r="B53" s="25"/>
      <c r="C53" s="24"/>
      <c r="D53" s="24"/>
      <c r="E53" s="24"/>
      <c r="F53" s="26"/>
      <c r="G53" s="26"/>
    </row>
    <row r="54" spans="1:7" ht="15.75" customHeight="1" x14ac:dyDescent="0.25">
      <c r="A54" s="24"/>
      <c r="B54" s="25"/>
      <c r="C54" s="24"/>
      <c r="D54" s="24"/>
      <c r="E54" s="24"/>
      <c r="F54" s="26"/>
      <c r="G54" s="26"/>
    </row>
    <row r="55" spans="1:7" ht="15.75" customHeight="1" x14ac:dyDescent="0.25">
      <c r="A55" s="24"/>
      <c r="B55" s="25"/>
      <c r="C55" s="24"/>
      <c r="D55" s="24"/>
      <c r="E55" s="24"/>
      <c r="F55" s="26"/>
      <c r="G55" s="26"/>
    </row>
    <row r="56" spans="1:7" ht="15.75" customHeight="1" x14ac:dyDescent="0.25">
      <c r="A56" s="24"/>
      <c r="B56" s="25"/>
      <c r="C56" s="24"/>
      <c r="D56" s="24"/>
      <c r="E56" s="24"/>
      <c r="F56" s="26"/>
      <c r="G56" s="26"/>
    </row>
    <row r="57" spans="1:7" ht="15.75" customHeight="1" x14ac:dyDescent="0.25">
      <c r="A57" s="24"/>
      <c r="B57" s="25"/>
      <c r="C57" s="24"/>
      <c r="D57" s="24"/>
      <c r="E57" s="24"/>
      <c r="F57" s="26"/>
      <c r="G57" s="26"/>
    </row>
    <row r="58" spans="1:7" ht="15.75" customHeight="1" x14ac:dyDescent="0.25">
      <c r="A58" s="24"/>
      <c r="B58" s="25"/>
      <c r="C58" s="24"/>
      <c r="D58" s="24"/>
      <c r="E58" s="24"/>
      <c r="F58" s="26"/>
      <c r="G58" s="26"/>
    </row>
    <row r="59" spans="1:7" ht="15.75" customHeight="1" x14ac:dyDescent="0.25">
      <c r="A59" s="24"/>
      <c r="B59" s="25"/>
      <c r="C59" s="24"/>
      <c r="D59" s="24"/>
      <c r="E59" s="24"/>
      <c r="F59" s="26"/>
      <c r="G59" s="26"/>
    </row>
    <row r="60" spans="1:7" ht="15.75" customHeight="1" x14ac:dyDescent="0.25">
      <c r="A60" s="24"/>
      <c r="B60" s="25"/>
      <c r="C60" s="24"/>
      <c r="D60" s="24"/>
      <c r="E60" s="24"/>
      <c r="F60" s="26"/>
      <c r="G60" s="26"/>
    </row>
    <row r="61" spans="1:7" ht="15.75" customHeight="1" x14ac:dyDescent="0.25">
      <c r="A61" s="24"/>
      <c r="B61" s="25"/>
      <c r="C61" s="24"/>
      <c r="D61" s="24"/>
      <c r="E61" s="24"/>
      <c r="F61" s="26"/>
      <c r="G61" s="26"/>
    </row>
    <row r="62" spans="1:7" ht="15.75" customHeight="1" x14ac:dyDescent="0.25">
      <c r="A62" s="24"/>
      <c r="B62" s="25"/>
      <c r="C62" s="24"/>
      <c r="D62" s="24"/>
      <c r="E62" s="24"/>
      <c r="F62" s="26"/>
      <c r="G62" s="26"/>
    </row>
    <row r="63" spans="1:7" ht="15.75" customHeight="1" x14ac:dyDescent="0.25">
      <c r="A63" s="24"/>
      <c r="B63" s="25"/>
      <c r="C63" s="24"/>
      <c r="D63" s="24"/>
      <c r="E63" s="24"/>
      <c r="F63" s="26"/>
      <c r="G63" s="26"/>
    </row>
    <row r="64" spans="1:7" ht="15.75" customHeight="1" x14ac:dyDescent="0.25">
      <c r="A64" s="24"/>
      <c r="B64" s="25"/>
      <c r="C64" s="24"/>
      <c r="D64" s="24"/>
      <c r="E64" s="24"/>
      <c r="F64" s="26"/>
      <c r="G64" s="26"/>
    </row>
    <row r="65" spans="1:7" ht="15.75" customHeight="1" x14ac:dyDescent="0.25">
      <c r="A65" s="24"/>
      <c r="B65" s="25"/>
      <c r="C65" s="24"/>
      <c r="D65" s="24"/>
      <c r="E65" s="24"/>
      <c r="F65" s="26"/>
      <c r="G65" s="26"/>
    </row>
    <row r="66" spans="1:7" ht="15.75" customHeight="1" x14ac:dyDescent="0.25">
      <c r="A66" s="24"/>
      <c r="B66" s="25"/>
      <c r="C66" s="24"/>
      <c r="D66" s="24"/>
      <c r="E66" s="24"/>
      <c r="F66" s="26"/>
      <c r="G66" s="26"/>
    </row>
    <row r="67" spans="1:7" ht="15.75" customHeight="1" x14ac:dyDescent="0.25">
      <c r="A67" s="24"/>
      <c r="B67" s="25"/>
      <c r="C67" s="24"/>
      <c r="D67" s="24"/>
      <c r="E67" s="24"/>
      <c r="F67" s="26"/>
      <c r="G67" s="26"/>
    </row>
    <row r="68" spans="1:7" ht="15.75" customHeight="1" x14ac:dyDescent="0.25">
      <c r="A68" s="24"/>
      <c r="B68" s="25"/>
      <c r="C68" s="24"/>
      <c r="D68" s="24"/>
      <c r="E68" s="24"/>
      <c r="F68" s="26"/>
      <c r="G68" s="26"/>
    </row>
    <row r="69" spans="1:7" ht="15.75" customHeight="1" x14ac:dyDescent="0.25">
      <c r="A69" s="24"/>
      <c r="B69" s="25"/>
      <c r="C69" s="24"/>
      <c r="D69" s="24"/>
      <c r="E69" s="24"/>
      <c r="F69" s="26"/>
      <c r="G69" s="26"/>
    </row>
    <row r="70" spans="1:7" ht="15.75" customHeight="1" x14ac:dyDescent="0.25">
      <c r="A70" s="24"/>
      <c r="B70" s="25"/>
      <c r="C70" s="24"/>
      <c r="D70" s="24"/>
      <c r="E70" s="24"/>
      <c r="F70" s="26"/>
      <c r="G70" s="26"/>
    </row>
    <row r="71" spans="1:7" ht="15.75" customHeight="1" x14ac:dyDescent="0.25">
      <c r="A71" s="24"/>
      <c r="B71" s="25"/>
      <c r="C71" s="24"/>
      <c r="D71" s="24"/>
      <c r="E71" s="24"/>
      <c r="F71" s="26"/>
      <c r="G71" s="26"/>
    </row>
    <row r="72" spans="1:7" ht="15.75" customHeight="1" x14ac:dyDescent="0.25">
      <c r="A72" s="24"/>
      <c r="B72" s="25"/>
      <c r="C72" s="24"/>
      <c r="D72" s="24"/>
      <c r="E72" s="24"/>
      <c r="F72" s="26"/>
      <c r="G72" s="26"/>
    </row>
    <row r="73" spans="1:7" ht="15.75" customHeight="1" x14ac:dyDescent="0.25">
      <c r="A73" s="24"/>
      <c r="B73" s="25"/>
      <c r="C73" s="24"/>
      <c r="D73" s="24"/>
      <c r="E73" s="24"/>
      <c r="F73" s="26"/>
      <c r="G73" s="26"/>
    </row>
    <row r="74" spans="1:7" ht="15.75" customHeight="1" x14ac:dyDescent="0.25">
      <c r="A74" s="24"/>
      <c r="B74" s="25"/>
      <c r="C74" s="24"/>
      <c r="D74" s="24"/>
      <c r="E74" s="24"/>
      <c r="F74" s="26"/>
      <c r="G74" s="26"/>
    </row>
    <row r="75" spans="1:7" ht="15.75" customHeight="1" x14ac:dyDescent="0.25">
      <c r="A75" s="24"/>
      <c r="B75" s="25"/>
      <c r="C75" s="24"/>
      <c r="D75" s="24"/>
      <c r="E75" s="24"/>
      <c r="F75" s="26"/>
      <c r="G75" s="26"/>
    </row>
    <row r="76" spans="1:7" ht="15.75" customHeight="1" x14ac:dyDescent="0.25">
      <c r="A76" s="24"/>
      <c r="B76" s="25"/>
      <c r="C76" s="24"/>
      <c r="D76" s="24"/>
      <c r="E76" s="24"/>
      <c r="F76" s="26"/>
      <c r="G76" s="26"/>
    </row>
    <row r="77" spans="1:7" ht="15.75" customHeight="1" x14ac:dyDescent="0.25">
      <c r="A77" s="24"/>
      <c r="B77" s="25"/>
      <c r="C77" s="24"/>
      <c r="D77" s="24"/>
      <c r="E77" s="24"/>
      <c r="F77" s="26"/>
      <c r="G77" s="26"/>
    </row>
    <row r="78" spans="1:7" ht="15.75" customHeight="1" x14ac:dyDescent="0.25">
      <c r="A78" s="24"/>
      <c r="B78" s="25"/>
      <c r="C78" s="24"/>
      <c r="D78" s="24"/>
      <c r="E78" s="24"/>
      <c r="F78" s="26"/>
      <c r="G78" s="26"/>
    </row>
    <row r="79" spans="1:7" ht="15.75" customHeight="1" x14ac:dyDescent="0.25">
      <c r="A79" s="24"/>
      <c r="B79" s="25"/>
      <c r="C79" s="24"/>
      <c r="D79" s="24"/>
      <c r="E79" s="24"/>
      <c r="F79" s="26"/>
      <c r="G79" s="26"/>
    </row>
    <row r="80" spans="1:7" ht="15.75" customHeight="1" x14ac:dyDescent="0.25">
      <c r="A80" s="24"/>
      <c r="B80" s="25"/>
      <c r="C80" s="24"/>
      <c r="D80" s="24"/>
      <c r="E80" s="24"/>
      <c r="F80" s="26"/>
      <c r="G80" s="26"/>
    </row>
    <row r="81" spans="1:7" ht="15.75" customHeight="1" x14ac:dyDescent="0.25">
      <c r="A81" s="24"/>
      <c r="B81" s="25"/>
      <c r="C81" s="24"/>
      <c r="D81" s="24"/>
      <c r="E81" s="24"/>
      <c r="F81" s="26"/>
      <c r="G81" s="26"/>
    </row>
    <row r="82" spans="1:7" ht="15.75" customHeight="1" x14ac:dyDescent="0.25">
      <c r="A82" s="24"/>
      <c r="B82" s="25"/>
      <c r="C82" s="24"/>
      <c r="D82" s="24"/>
      <c r="E82" s="24"/>
      <c r="F82" s="26"/>
      <c r="G82" s="26"/>
    </row>
    <row r="83" spans="1:7" ht="15.75" customHeight="1" x14ac:dyDescent="0.25">
      <c r="A83" s="24"/>
      <c r="B83" s="25"/>
      <c r="C83" s="24"/>
      <c r="D83" s="24"/>
      <c r="E83" s="24"/>
      <c r="F83" s="26"/>
      <c r="G83" s="26"/>
    </row>
    <row r="84" spans="1:7" ht="15.75" customHeight="1" x14ac:dyDescent="0.25">
      <c r="A84" s="24"/>
      <c r="B84" s="25"/>
      <c r="C84" s="24"/>
      <c r="D84" s="24"/>
      <c r="E84" s="24"/>
      <c r="F84" s="26"/>
      <c r="G84" s="26"/>
    </row>
    <row r="85" spans="1:7" ht="15.75" customHeight="1" x14ac:dyDescent="0.25">
      <c r="A85" s="24"/>
      <c r="B85" s="25"/>
      <c r="C85" s="24"/>
      <c r="D85" s="24"/>
      <c r="E85" s="24"/>
      <c r="F85" s="26"/>
      <c r="G85" s="26"/>
    </row>
    <row r="86" spans="1:7" ht="15.75" customHeight="1" x14ac:dyDescent="0.25">
      <c r="A86" s="24"/>
      <c r="B86" s="25"/>
      <c r="C86" s="24"/>
      <c r="D86" s="24"/>
      <c r="E86" s="24"/>
      <c r="F86" s="26"/>
      <c r="G86" s="26"/>
    </row>
    <row r="87" spans="1:7" ht="15.75" customHeight="1" x14ac:dyDescent="0.25">
      <c r="A87" s="24"/>
      <c r="B87" s="25"/>
      <c r="C87" s="24"/>
      <c r="D87" s="24"/>
      <c r="E87" s="24"/>
      <c r="F87" s="26"/>
      <c r="G87" s="26"/>
    </row>
    <row r="88" spans="1:7" ht="15.75" customHeight="1" x14ac:dyDescent="0.25">
      <c r="A88" s="24"/>
      <c r="B88" s="25"/>
      <c r="C88" s="24"/>
      <c r="D88" s="24"/>
      <c r="E88" s="24"/>
      <c r="F88" s="26"/>
      <c r="G88" s="26"/>
    </row>
    <row r="89" spans="1:7" ht="15.75" customHeight="1" x14ac:dyDescent="0.25">
      <c r="A89" s="24"/>
      <c r="B89" s="25"/>
      <c r="C89" s="24"/>
      <c r="D89" s="24"/>
      <c r="E89" s="24"/>
      <c r="F89" s="26"/>
      <c r="G89" s="26"/>
    </row>
    <row r="90" spans="1:7" ht="15.75" customHeight="1" x14ac:dyDescent="0.25">
      <c r="A90" s="24"/>
      <c r="B90" s="25"/>
      <c r="C90" s="24"/>
      <c r="D90" s="24"/>
      <c r="E90" s="24"/>
      <c r="F90" s="26"/>
      <c r="G90" s="26"/>
    </row>
    <row r="91" spans="1:7" ht="15.75" customHeight="1" x14ac:dyDescent="0.25">
      <c r="A91" s="24"/>
      <c r="B91" s="25"/>
      <c r="C91" s="24"/>
      <c r="D91" s="24"/>
      <c r="E91" s="24"/>
      <c r="F91" s="26"/>
      <c r="G91" s="26"/>
    </row>
    <row r="92" spans="1:7" ht="15.75" customHeight="1" x14ac:dyDescent="0.25">
      <c r="A92" s="24"/>
      <c r="B92" s="25"/>
      <c r="C92" s="24"/>
      <c r="D92" s="24"/>
      <c r="E92" s="24"/>
      <c r="F92" s="26"/>
      <c r="G92" s="26"/>
    </row>
    <row r="93" spans="1:7" ht="15.75" customHeight="1" x14ac:dyDescent="0.25">
      <c r="A93" s="24"/>
      <c r="B93" s="25"/>
      <c r="C93" s="24"/>
      <c r="D93" s="24"/>
      <c r="E93" s="24"/>
      <c r="F93" s="26"/>
      <c r="G93" s="26"/>
    </row>
    <row r="94" spans="1:7" ht="15.75" customHeight="1" x14ac:dyDescent="0.25">
      <c r="A94" s="24"/>
      <c r="B94" s="25"/>
      <c r="C94" s="24"/>
      <c r="D94" s="24"/>
      <c r="E94" s="24"/>
      <c r="F94" s="26"/>
      <c r="G94" s="26"/>
    </row>
    <row r="95" spans="1:7" ht="15.75" customHeight="1" x14ac:dyDescent="0.25">
      <c r="A95" s="24"/>
      <c r="B95" s="25"/>
      <c r="C95" s="24"/>
      <c r="D95" s="24"/>
      <c r="E95" s="24"/>
      <c r="F95" s="26"/>
      <c r="G95" s="26"/>
    </row>
    <row r="96" spans="1:7" ht="15.75" customHeight="1" x14ac:dyDescent="0.25">
      <c r="A96" s="24"/>
      <c r="B96" s="25"/>
      <c r="C96" s="24"/>
      <c r="D96" s="24"/>
      <c r="E96" s="24"/>
      <c r="F96" s="26"/>
      <c r="G96" s="26"/>
    </row>
    <row r="97" spans="1:7" ht="15.75" customHeight="1" x14ac:dyDescent="0.25">
      <c r="A97" s="24"/>
      <c r="B97" s="25"/>
      <c r="C97" s="24"/>
      <c r="D97" s="24"/>
      <c r="E97" s="24"/>
      <c r="F97" s="26"/>
      <c r="G97" s="26"/>
    </row>
    <row r="98" spans="1:7" ht="15.75" customHeight="1" x14ac:dyDescent="0.25">
      <c r="A98" s="24"/>
      <c r="B98" s="25"/>
      <c r="C98" s="24"/>
      <c r="D98" s="24"/>
      <c r="E98" s="24"/>
      <c r="F98" s="26"/>
      <c r="G98" s="26"/>
    </row>
    <row r="99" spans="1:7" ht="15.75" customHeight="1" x14ac:dyDescent="0.25">
      <c r="A99" s="24"/>
      <c r="B99" s="25"/>
      <c r="C99" s="24"/>
      <c r="D99" s="24"/>
      <c r="E99" s="24"/>
      <c r="F99" s="26"/>
      <c r="G99" s="26"/>
    </row>
    <row r="100" spans="1:7" ht="15.75" customHeight="1" x14ac:dyDescent="0.25">
      <c r="A100" s="24"/>
      <c r="B100" s="25"/>
      <c r="C100" s="24"/>
      <c r="D100" s="24"/>
      <c r="E100" s="24"/>
      <c r="F100" s="26"/>
      <c r="G100" s="26"/>
    </row>
    <row r="101" spans="1:7" ht="15.75" customHeight="1" x14ac:dyDescent="0.25">
      <c r="A101" s="24"/>
      <c r="B101" s="25"/>
      <c r="C101" s="24"/>
      <c r="D101" s="24"/>
      <c r="E101" s="24"/>
      <c r="F101" s="26"/>
      <c r="G101" s="26"/>
    </row>
    <row r="102" spans="1:7" ht="15.75" customHeight="1" x14ac:dyDescent="0.25">
      <c r="A102" s="24"/>
      <c r="B102" s="25"/>
      <c r="C102" s="24"/>
      <c r="D102" s="24"/>
      <c r="E102" s="24"/>
      <c r="F102" s="26"/>
      <c r="G102" s="26"/>
    </row>
    <row r="103" spans="1:7" ht="15.75" customHeight="1" x14ac:dyDescent="0.25">
      <c r="A103" s="24"/>
      <c r="B103" s="25"/>
      <c r="C103" s="24"/>
      <c r="D103" s="24"/>
      <c r="E103" s="24"/>
      <c r="F103" s="26"/>
      <c r="G103" s="26"/>
    </row>
    <row r="104" spans="1:7" ht="15.75" customHeight="1" x14ac:dyDescent="0.25">
      <c r="A104" s="24"/>
      <c r="B104" s="25"/>
      <c r="C104" s="24"/>
      <c r="D104" s="24"/>
      <c r="E104" s="24"/>
      <c r="F104" s="26"/>
      <c r="G104" s="26"/>
    </row>
    <row r="105" spans="1:7" ht="15.75" customHeight="1" x14ac:dyDescent="0.25">
      <c r="A105" s="24"/>
      <c r="B105" s="25"/>
      <c r="C105" s="24"/>
      <c r="D105" s="24"/>
      <c r="E105" s="24"/>
      <c r="F105" s="26"/>
      <c r="G105" s="26"/>
    </row>
    <row r="106" spans="1:7" ht="15.75" customHeight="1" x14ac:dyDescent="0.25">
      <c r="A106" s="24"/>
      <c r="B106" s="25"/>
      <c r="C106" s="24"/>
      <c r="D106" s="24"/>
      <c r="E106" s="24"/>
      <c r="F106" s="26"/>
      <c r="G106" s="26"/>
    </row>
    <row r="107" spans="1:7" ht="15.75" customHeight="1" x14ac:dyDescent="0.25">
      <c r="A107" s="24"/>
      <c r="B107" s="25"/>
      <c r="C107" s="24"/>
      <c r="D107" s="24"/>
      <c r="E107" s="24"/>
      <c r="F107" s="26"/>
      <c r="G107" s="26"/>
    </row>
    <row r="108" spans="1:7" ht="15.75" customHeight="1" x14ac:dyDescent="0.25">
      <c r="A108" s="24"/>
      <c r="B108" s="25"/>
      <c r="C108" s="24"/>
      <c r="D108" s="24"/>
      <c r="E108" s="24"/>
      <c r="F108" s="26"/>
      <c r="G108" s="26"/>
    </row>
    <row r="109" spans="1:7" ht="15.75" customHeight="1" x14ac:dyDescent="0.25">
      <c r="A109" s="24"/>
      <c r="B109" s="25"/>
      <c r="C109" s="24"/>
      <c r="D109" s="24"/>
      <c r="E109" s="24"/>
      <c r="F109" s="26"/>
      <c r="G109" s="26"/>
    </row>
    <row r="110" spans="1:7" ht="15.75" customHeight="1" x14ac:dyDescent="0.25">
      <c r="A110" s="24"/>
      <c r="B110" s="25"/>
      <c r="C110" s="24"/>
      <c r="D110" s="24"/>
      <c r="E110" s="24"/>
      <c r="F110" s="26"/>
      <c r="G110" s="26"/>
    </row>
    <row r="111" spans="1:7" ht="15.75" customHeight="1" x14ac:dyDescent="0.25">
      <c r="A111" s="24"/>
      <c r="B111" s="25"/>
      <c r="C111" s="24"/>
      <c r="D111" s="24"/>
      <c r="E111" s="24"/>
      <c r="F111" s="26"/>
      <c r="G111" s="26"/>
    </row>
    <row r="112" spans="1:7" ht="15.75" customHeight="1" x14ac:dyDescent="0.25">
      <c r="A112" s="24"/>
      <c r="B112" s="25"/>
      <c r="C112" s="24"/>
      <c r="D112" s="24"/>
      <c r="E112" s="24"/>
      <c r="F112" s="26"/>
      <c r="G112" s="26"/>
    </row>
    <row r="113" spans="1:7" ht="15.75" customHeight="1" x14ac:dyDescent="0.25">
      <c r="A113" s="24"/>
      <c r="B113" s="25"/>
      <c r="C113" s="24"/>
      <c r="D113" s="24"/>
      <c r="E113" s="24"/>
      <c r="F113" s="26"/>
      <c r="G113" s="26"/>
    </row>
    <row r="114" spans="1:7" ht="15.75" customHeight="1" x14ac:dyDescent="0.25">
      <c r="A114" s="24"/>
      <c r="B114" s="25"/>
      <c r="C114" s="24"/>
      <c r="D114" s="24"/>
      <c r="E114" s="24"/>
      <c r="F114" s="26"/>
      <c r="G114" s="26"/>
    </row>
    <row r="115" spans="1:7" ht="15.75" customHeight="1" x14ac:dyDescent="0.25">
      <c r="A115" s="24"/>
      <c r="B115" s="25"/>
      <c r="C115" s="24"/>
      <c r="D115" s="24"/>
      <c r="E115" s="24"/>
      <c r="F115" s="26"/>
      <c r="G115" s="26"/>
    </row>
    <row r="116" spans="1:7" ht="15.75" customHeight="1" x14ac:dyDescent="0.25">
      <c r="A116" s="24"/>
      <c r="B116" s="25"/>
      <c r="C116" s="24"/>
      <c r="D116" s="24"/>
      <c r="E116" s="24"/>
      <c r="F116" s="26"/>
      <c r="G116" s="26"/>
    </row>
    <row r="117" spans="1:7" ht="15.75" customHeight="1" x14ac:dyDescent="0.25">
      <c r="A117" s="24"/>
      <c r="B117" s="25"/>
      <c r="C117" s="24"/>
      <c r="D117" s="24"/>
      <c r="E117" s="24"/>
      <c r="F117" s="26"/>
      <c r="G117" s="26"/>
    </row>
    <row r="118" spans="1:7" ht="15.75" customHeight="1" x14ac:dyDescent="0.25">
      <c r="A118" s="24"/>
      <c r="B118" s="25"/>
      <c r="C118" s="24"/>
      <c r="D118" s="24"/>
      <c r="E118" s="24"/>
      <c r="F118" s="26"/>
      <c r="G118" s="26"/>
    </row>
    <row r="119" spans="1:7" ht="15.75" customHeight="1" x14ac:dyDescent="0.25">
      <c r="A119" s="24"/>
      <c r="B119" s="25"/>
      <c r="C119" s="24"/>
      <c r="D119" s="24"/>
      <c r="E119" s="24"/>
      <c r="F119" s="26"/>
      <c r="G119" s="26"/>
    </row>
    <row r="120" spans="1:7" ht="15.75" customHeight="1" x14ac:dyDescent="0.25">
      <c r="A120" s="24"/>
      <c r="B120" s="25"/>
      <c r="C120" s="24"/>
      <c r="D120" s="24"/>
      <c r="E120" s="24"/>
      <c r="F120" s="26"/>
      <c r="G120" s="26"/>
    </row>
    <row r="121" spans="1:7" ht="15.75" customHeight="1" x14ac:dyDescent="0.25">
      <c r="A121" s="24"/>
      <c r="B121" s="25"/>
      <c r="C121" s="24"/>
      <c r="D121" s="24"/>
      <c r="E121" s="24"/>
      <c r="F121" s="26"/>
      <c r="G121" s="26"/>
    </row>
    <row r="122" spans="1:7" ht="15.75" customHeight="1" x14ac:dyDescent="0.25">
      <c r="A122" s="24"/>
      <c r="B122" s="25"/>
      <c r="C122" s="24"/>
      <c r="D122" s="24"/>
      <c r="E122" s="24"/>
      <c r="F122" s="26"/>
      <c r="G122" s="26"/>
    </row>
    <row r="123" spans="1:7" ht="15.75" customHeight="1" x14ac:dyDescent="0.25">
      <c r="A123" s="24"/>
      <c r="B123" s="25"/>
      <c r="C123" s="24"/>
      <c r="D123" s="24"/>
      <c r="E123" s="24"/>
      <c r="F123" s="26"/>
      <c r="G123" s="26"/>
    </row>
    <row r="124" spans="1:7" ht="15.75" customHeight="1" x14ac:dyDescent="0.25">
      <c r="A124" s="24"/>
      <c r="B124" s="25"/>
      <c r="C124" s="24"/>
      <c r="D124" s="24"/>
      <c r="E124" s="24"/>
      <c r="F124" s="26"/>
      <c r="G124" s="26"/>
    </row>
    <row r="125" spans="1:7" ht="15.75" customHeight="1" x14ac:dyDescent="0.25">
      <c r="A125" s="24"/>
      <c r="B125" s="25"/>
      <c r="C125" s="24"/>
      <c r="D125" s="24"/>
      <c r="E125" s="24"/>
      <c r="F125" s="26"/>
      <c r="G125" s="26"/>
    </row>
    <row r="126" spans="1:7" ht="15.75" customHeight="1" x14ac:dyDescent="0.25">
      <c r="A126" s="24"/>
      <c r="B126" s="25"/>
      <c r="C126" s="24"/>
      <c r="D126" s="24"/>
      <c r="E126" s="24"/>
      <c r="F126" s="26"/>
      <c r="G126" s="26"/>
    </row>
    <row r="127" spans="1:7" ht="15.75" customHeight="1" x14ac:dyDescent="0.25">
      <c r="A127" s="24"/>
      <c r="B127" s="25"/>
      <c r="C127" s="24"/>
      <c r="D127" s="24"/>
      <c r="E127" s="24"/>
      <c r="F127" s="26"/>
      <c r="G127" s="26"/>
    </row>
    <row r="128" spans="1:7" ht="15.75" customHeight="1" x14ac:dyDescent="0.25">
      <c r="A128" s="24"/>
      <c r="B128" s="25"/>
      <c r="C128" s="24"/>
      <c r="D128" s="24"/>
      <c r="E128" s="24"/>
      <c r="F128" s="26"/>
      <c r="G128" s="26"/>
    </row>
    <row r="129" spans="1:7" ht="15.75" customHeight="1" x14ac:dyDescent="0.25">
      <c r="A129" s="24"/>
      <c r="B129" s="25"/>
      <c r="C129" s="24"/>
      <c r="D129" s="24"/>
      <c r="E129" s="24"/>
      <c r="F129" s="26"/>
      <c r="G129" s="26"/>
    </row>
    <row r="130" spans="1:7" ht="15.75" customHeight="1" x14ac:dyDescent="0.25">
      <c r="A130" s="24"/>
      <c r="B130" s="25"/>
      <c r="C130" s="24"/>
      <c r="D130" s="24"/>
      <c r="E130" s="24"/>
      <c r="F130" s="26"/>
      <c r="G130" s="26"/>
    </row>
    <row r="131" spans="1:7" ht="15.75" customHeight="1" x14ac:dyDescent="0.25">
      <c r="A131" s="24"/>
      <c r="B131" s="25"/>
      <c r="C131" s="24"/>
      <c r="D131" s="24"/>
      <c r="E131" s="24"/>
      <c r="F131" s="26"/>
      <c r="G131" s="26"/>
    </row>
    <row r="132" spans="1:7" ht="15.75" customHeight="1" x14ac:dyDescent="0.25">
      <c r="A132" s="24"/>
      <c r="B132" s="25"/>
      <c r="C132" s="24"/>
      <c r="D132" s="24"/>
      <c r="E132" s="24"/>
      <c r="F132" s="26"/>
      <c r="G132" s="26"/>
    </row>
    <row r="133" spans="1:7" ht="15.75" customHeight="1" x14ac:dyDescent="0.25">
      <c r="A133" s="24"/>
      <c r="B133" s="25"/>
      <c r="C133" s="24"/>
      <c r="D133" s="24"/>
      <c r="E133" s="24"/>
      <c r="F133" s="26"/>
      <c r="G133" s="26"/>
    </row>
    <row r="134" spans="1:7" ht="15.75" customHeight="1" x14ac:dyDescent="0.25">
      <c r="A134" s="24"/>
      <c r="B134" s="25"/>
      <c r="C134" s="24"/>
      <c r="D134" s="24"/>
      <c r="E134" s="24"/>
      <c r="F134" s="26"/>
      <c r="G134" s="26"/>
    </row>
    <row r="135" spans="1:7" ht="15.75" customHeight="1" x14ac:dyDescent="0.25">
      <c r="A135" s="24"/>
      <c r="B135" s="25"/>
      <c r="C135" s="24"/>
      <c r="D135" s="24"/>
      <c r="E135" s="24"/>
      <c r="F135" s="26"/>
      <c r="G135" s="26"/>
    </row>
    <row r="136" spans="1:7" ht="15.75" customHeight="1" x14ac:dyDescent="0.25">
      <c r="A136" s="24"/>
      <c r="B136" s="25"/>
      <c r="C136" s="24"/>
      <c r="D136" s="24"/>
      <c r="E136" s="24"/>
      <c r="F136" s="26"/>
      <c r="G136" s="26"/>
    </row>
    <row r="137" spans="1:7" ht="15.75" customHeight="1" x14ac:dyDescent="0.25">
      <c r="A137" s="24"/>
      <c r="B137" s="25"/>
      <c r="C137" s="24"/>
      <c r="D137" s="24"/>
      <c r="E137" s="24"/>
      <c r="F137" s="26"/>
      <c r="G137" s="26"/>
    </row>
    <row r="138" spans="1:7" ht="15.75" customHeight="1" x14ac:dyDescent="0.25">
      <c r="A138" s="24"/>
      <c r="B138" s="25"/>
      <c r="C138" s="24"/>
      <c r="D138" s="24"/>
      <c r="E138" s="24"/>
      <c r="F138" s="26"/>
      <c r="G138" s="26"/>
    </row>
    <row r="139" spans="1:7" ht="15.75" customHeight="1" x14ac:dyDescent="0.25">
      <c r="A139" s="24"/>
      <c r="B139" s="25"/>
      <c r="C139" s="24"/>
      <c r="D139" s="24"/>
      <c r="E139" s="24"/>
      <c r="F139" s="26"/>
      <c r="G139" s="26"/>
    </row>
    <row r="140" spans="1:7" ht="15.75" customHeight="1" x14ac:dyDescent="0.25">
      <c r="A140" s="24"/>
      <c r="B140" s="25"/>
      <c r="C140" s="24"/>
      <c r="D140" s="24"/>
      <c r="E140" s="24"/>
      <c r="F140" s="26"/>
      <c r="G140" s="26"/>
    </row>
    <row r="141" spans="1:7" ht="15.75" customHeight="1" x14ac:dyDescent="0.25">
      <c r="A141" s="24"/>
      <c r="B141" s="25"/>
      <c r="C141" s="24"/>
      <c r="D141" s="24"/>
      <c r="E141" s="24"/>
      <c r="F141" s="26"/>
      <c r="G141" s="26"/>
    </row>
    <row r="142" spans="1:7" ht="15.75" customHeight="1" x14ac:dyDescent="0.25">
      <c r="A142" s="24"/>
      <c r="B142" s="25"/>
      <c r="C142" s="24"/>
      <c r="D142" s="24"/>
      <c r="E142" s="24"/>
      <c r="F142" s="26"/>
      <c r="G142" s="26"/>
    </row>
    <row r="143" spans="1:7" ht="15.75" customHeight="1" x14ac:dyDescent="0.25">
      <c r="A143" s="24"/>
      <c r="B143" s="25"/>
      <c r="C143" s="24"/>
      <c r="D143" s="24"/>
      <c r="E143" s="24"/>
      <c r="F143" s="26"/>
      <c r="G143" s="26"/>
    </row>
    <row r="144" spans="1:7" ht="15.75" customHeight="1" x14ac:dyDescent="0.25">
      <c r="A144" s="24"/>
      <c r="B144" s="25"/>
      <c r="C144" s="24"/>
      <c r="D144" s="24"/>
      <c r="E144" s="24"/>
      <c r="F144" s="26"/>
      <c r="G144" s="26"/>
    </row>
    <row r="145" spans="1:7" ht="15.75" customHeight="1" x14ac:dyDescent="0.25">
      <c r="A145" s="24"/>
      <c r="B145" s="25"/>
      <c r="C145" s="24"/>
      <c r="D145" s="24"/>
      <c r="E145" s="24"/>
      <c r="F145" s="26"/>
      <c r="G145" s="26"/>
    </row>
    <row r="146" spans="1:7" ht="15.75" customHeight="1" x14ac:dyDescent="0.25">
      <c r="A146" s="24"/>
      <c r="B146" s="25"/>
      <c r="C146" s="24"/>
      <c r="D146" s="24"/>
      <c r="E146" s="24"/>
      <c r="F146" s="26"/>
      <c r="G146" s="26"/>
    </row>
    <row r="147" spans="1:7" ht="15.75" customHeight="1" x14ac:dyDescent="0.25">
      <c r="A147" s="24"/>
      <c r="B147" s="25"/>
      <c r="C147" s="24"/>
      <c r="D147" s="24"/>
      <c r="E147" s="24"/>
      <c r="F147" s="26"/>
      <c r="G147" s="26"/>
    </row>
    <row r="148" spans="1:7" ht="15.75" customHeight="1" x14ac:dyDescent="0.25">
      <c r="A148" s="24"/>
      <c r="B148" s="25"/>
      <c r="C148" s="24"/>
      <c r="D148" s="24"/>
      <c r="E148" s="24"/>
      <c r="F148" s="26"/>
      <c r="G148" s="26"/>
    </row>
    <row r="149" spans="1:7" ht="15.75" customHeight="1" x14ac:dyDescent="0.25">
      <c r="A149" s="24"/>
      <c r="B149" s="25"/>
      <c r="C149" s="24"/>
      <c r="D149" s="24"/>
      <c r="E149" s="24"/>
      <c r="F149" s="26"/>
      <c r="G149" s="26"/>
    </row>
    <row r="150" spans="1:7" ht="15.75" customHeight="1" x14ac:dyDescent="0.25">
      <c r="A150" s="24"/>
      <c r="B150" s="25"/>
      <c r="C150" s="24"/>
      <c r="D150" s="24"/>
      <c r="E150" s="24"/>
      <c r="F150" s="26"/>
      <c r="G150" s="26"/>
    </row>
    <row r="151" spans="1:7" ht="15.75" customHeight="1" x14ac:dyDescent="0.25">
      <c r="A151" s="24"/>
      <c r="B151" s="25"/>
      <c r="C151" s="24"/>
      <c r="D151" s="24"/>
      <c r="E151" s="24"/>
      <c r="F151" s="26"/>
      <c r="G151" s="26"/>
    </row>
    <row r="152" spans="1:7" ht="15.75" customHeight="1" x14ac:dyDescent="0.25">
      <c r="A152" s="24"/>
      <c r="B152" s="25"/>
      <c r="C152" s="24"/>
      <c r="D152" s="24"/>
      <c r="E152" s="24"/>
      <c r="F152" s="26"/>
      <c r="G152" s="26"/>
    </row>
    <row r="153" spans="1:7" ht="15.75" customHeight="1" x14ac:dyDescent="0.25">
      <c r="A153" s="24"/>
      <c r="B153" s="25"/>
      <c r="C153" s="24"/>
      <c r="D153" s="24"/>
      <c r="E153" s="24"/>
      <c r="F153" s="26"/>
      <c r="G153" s="26"/>
    </row>
    <row r="154" spans="1:7" ht="15.75" customHeight="1" x14ac:dyDescent="0.25">
      <c r="A154" s="24"/>
      <c r="B154" s="25"/>
      <c r="C154" s="24"/>
      <c r="D154" s="24"/>
      <c r="E154" s="24"/>
      <c r="F154" s="26"/>
      <c r="G154" s="26"/>
    </row>
    <row r="155" spans="1:7" ht="15.75" customHeight="1" x14ac:dyDescent="0.25">
      <c r="A155" s="24"/>
      <c r="B155" s="25"/>
      <c r="C155" s="24"/>
      <c r="D155" s="24"/>
      <c r="E155" s="24"/>
      <c r="F155" s="26"/>
      <c r="G155" s="26"/>
    </row>
    <row r="156" spans="1:7" ht="15.75" customHeight="1" x14ac:dyDescent="0.25">
      <c r="A156" s="24"/>
      <c r="B156" s="25"/>
      <c r="C156" s="24"/>
      <c r="D156" s="24"/>
      <c r="E156" s="24"/>
      <c r="F156" s="26"/>
      <c r="G156" s="26"/>
    </row>
    <row r="157" spans="1:7" ht="15.75" customHeight="1" x14ac:dyDescent="0.25">
      <c r="A157" s="24"/>
      <c r="B157" s="25"/>
      <c r="C157" s="24"/>
      <c r="D157" s="24"/>
      <c r="E157" s="24"/>
      <c r="F157" s="26"/>
      <c r="G157" s="26"/>
    </row>
    <row r="158" spans="1:7" ht="15.75" customHeight="1" x14ac:dyDescent="0.25">
      <c r="A158" s="24"/>
      <c r="B158" s="25"/>
      <c r="C158" s="24"/>
      <c r="D158" s="24"/>
      <c r="E158" s="24"/>
      <c r="F158" s="26"/>
      <c r="G158" s="26"/>
    </row>
    <row r="159" spans="1:7" ht="15.75" customHeight="1" x14ac:dyDescent="0.25">
      <c r="A159" s="24"/>
      <c r="B159" s="25"/>
      <c r="C159" s="24"/>
      <c r="D159" s="24"/>
      <c r="E159" s="24"/>
      <c r="F159" s="26"/>
      <c r="G159" s="26"/>
    </row>
    <row r="160" spans="1:7" ht="15.75" customHeight="1" x14ac:dyDescent="0.25">
      <c r="A160" s="24"/>
      <c r="B160" s="25"/>
      <c r="C160" s="24"/>
      <c r="D160" s="24"/>
      <c r="E160" s="24"/>
      <c r="F160" s="26"/>
      <c r="G160" s="26"/>
    </row>
    <row r="161" spans="1:7" ht="15.75" customHeight="1" x14ac:dyDescent="0.25">
      <c r="A161" s="24"/>
      <c r="B161" s="25"/>
      <c r="C161" s="24"/>
      <c r="D161" s="24"/>
      <c r="E161" s="24"/>
      <c r="F161" s="26"/>
      <c r="G161" s="26"/>
    </row>
    <row r="162" spans="1:7" ht="15.75" customHeight="1" x14ac:dyDescent="0.25">
      <c r="A162" s="24"/>
      <c r="B162" s="25"/>
      <c r="C162" s="24"/>
      <c r="D162" s="24"/>
      <c r="E162" s="24"/>
      <c r="F162" s="26"/>
      <c r="G162" s="26"/>
    </row>
    <row r="163" spans="1:7" ht="15.75" customHeight="1" x14ac:dyDescent="0.25">
      <c r="A163" s="24"/>
      <c r="B163" s="25"/>
      <c r="C163" s="24"/>
      <c r="D163" s="24"/>
      <c r="E163" s="24"/>
      <c r="F163" s="26"/>
      <c r="G163" s="26"/>
    </row>
    <row r="164" spans="1:7" ht="15.75" customHeight="1" x14ac:dyDescent="0.25">
      <c r="A164" s="24"/>
      <c r="B164" s="25"/>
      <c r="C164" s="24"/>
      <c r="D164" s="24"/>
      <c r="E164" s="24"/>
      <c r="F164" s="26"/>
      <c r="G164" s="26"/>
    </row>
    <row r="165" spans="1:7" ht="15.75" customHeight="1" x14ac:dyDescent="0.25">
      <c r="A165" s="24"/>
      <c r="B165" s="25"/>
      <c r="C165" s="24"/>
      <c r="D165" s="24"/>
      <c r="E165" s="24"/>
      <c r="F165" s="26"/>
      <c r="G165" s="26"/>
    </row>
    <row r="166" spans="1:7" ht="15.75" customHeight="1" x14ac:dyDescent="0.25">
      <c r="A166" s="24"/>
      <c r="B166" s="25"/>
      <c r="C166" s="24"/>
      <c r="D166" s="24"/>
      <c r="E166" s="24"/>
      <c r="F166" s="26"/>
      <c r="G166" s="26"/>
    </row>
    <row r="167" spans="1:7" ht="15.75" customHeight="1" x14ac:dyDescent="0.25">
      <c r="A167" s="24"/>
      <c r="B167" s="25"/>
      <c r="C167" s="24"/>
      <c r="D167" s="24"/>
      <c r="E167" s="24"/>
      <c r="F167" s="26"/>
      <c r="G167" s="26"/>
    </row>
    <row r="168" spans="1:7" ht="15.75" customHeight="1" x14ac:dyDescent="0.25">
      <c r="A168" s="24"/>
      <c r="B168" s="25"/>
      <c r="C168" s="24"/>
      <c r="D168" s="24"/>
      <c r="E168" s="24"/>
      <c r="F168" s="26"/>
      <c r="G168" s="26"/>
    </row>
    <row r="169" spans="1:7" ht="15.75" customHeight="1" x14ac:dyDescent="0.25">
      <c r="A169" s="24"/>
      <c r="B169" s="25"/>
      <c r="C169" s="24"/>
      <c r="D169" s="24"/>
      <c r="E169" s="24"/>
      <c r="F169" s="26"/>
      <c r="G169" s="26"/>
    </row>
    <row r="170" spans="1:7" ht="15.75" customHeight="1" x14ac:dyDescent="0.25">
      <c r="A170" s="24"/>
      <c r="B170" s="25"/>
      <c r="C170" s="24"/>
      <c r="D170" s="24"/>
      <c r="E170" s="24"/>
      <c r="F170" s="26"/>
      <c r="G170" s="26"/>
    </row>
    <row r="171" spans="1:7" ht="15.75" customHeight="1" x14ac:dyDescent="0.25">
      <c r="A171" s="24"/>
      <c r="B171" s="25"/>
      <c r="C171" s="24"/>
      <c r="D171" s="24"/>
      <c r="E171" s="24"/>
      <c r="F171" s="26"/>
      <c r="G171" s="26"/>
    </row>
    <row r="172" spans="1:7" ht="15.75" customHeight="1" x14ac:dyDescent="0.25">
      <c r="A172" s="24"/>
      <c r="B172" s="25"/>
      <c r="C172" s="24"/>
      <c r="D172" s="24"/>
      <c r="E172" s="24"/>
      <c r="F172" s="26"/>
      <c r="G172" s="26"/>
    </row>
    <row r="173" spans="1:7" ht="15.75" customHeight="1" x14ac:dyDescent="0.25">
      <c r="A173" s="24"/>
      <c r="B173" s="25"/>
      <c r="C173" s="24"/>
      <c r="D173" s="24"/>
      <c r="E173" s="24"/>
      <c r="F173" s="26"/>
      <c r="G173" s="26"/>
    </row>
    <row r="174" spans="1:7" ht="15.75" customHeight="1" x14ac:dyDescent="0.25">
      <c r="A174" s="24"/>
      <c r="B174" s="25"/>
      <c r="C174" s="24"/>
      <c r="D174" s="24"/>
      <c r="E174" s="24"/>
      <c r="F174" s="26"/>
      <c r="G174" s="26"/>
    </row>
    <row r="175" spans="1:7" ht="15.75" customHeight="1" x14ac:dyDescent="0.25">
      <c r="A175" s="24"/>
      <c r="B175" s="25"/>
      <c r="C175" s="24"/>
      <c r="D175" s="24"/>
      <c r="E175" s="24"/>
      <c r="F175" s="26"/>
      <c r="G175" s="26"/>
    </row>
    <row r="176" spans="1:7" ht="15.75" customHeight="1" x14ac:dyDescent="0.25">
      <c r="A176" s="24"/>
      <c r="B176" s="25"/>
      <c r="C176" s="24"/>
      <c r="D176" s="24"/>
      <c r="E176" s="24"/>
      <c r="F176" s="26"/>
      <c r="G176" s="26"/>
    </row>
    <row r="177" spans="1:7" ht="15.75" customHeight="1" x14ac:dyDescent="0.25">
      <c r="A177" s="24"/>
      <c r="B177" s="25"/>
      <c r="C177" s="24"/>
      <c r="D177" s="24"/>
      <c r="E177" s="24"/>
      <c r="F177" s="26"/>
      <c r="G177" s="26"/>
    </row>
    <row r="178" spans="1:7" ht="15.75" customHeight="1" x14ac:dyDescent="0.25">
      <c r="A178" s="24"/>
      <c r="B178" s="25"/>
      <c r="C178" s="24"/>
      <c r="D178" s="24"/>
      <c r="E178" s="24"/>
      <c r="F178" s="26"/>
      <c r="G178" s="26"/>
    </row>
    <row r="179" spans="1:7" ht="15.75" customHeight="1" x14ac:dyDescent="0.25">
      <c r="A179" s="24"/>
      <c r="B179" s="25"/>
      <c r="C179" s="24"/>
      <c r="D179" s="24"/>
      <c r="E179" s="24"/>
      <c r="F179" s="26"/>
      <c r="G179" s="26"/>
    </row>
    <row r="180" spans="1:7" ht="15.75" customHeight="1" x14ac:dyDescent="0.25">
      <c r="A180" s="24"/>
      <c r="B180" s="25"/>
      <c r="C180" s="24"/>
      <c r="D180" s="24"/>
      <c r="E180" s="24"/>
      <c r="F180" s="26"/>
      <c r="G180" s="26"/>
    </row>
    <row r="181" spans="1:7" ht="15.75" customHeight="1" x14ac:dyDescent="0.25">
      <c r="A181" s="24"/>
      <c r="B181" s="25"/>
      <c r="C181" s="24"/>
      <c r="D181" s="24"/>
      <c r="E181" s="24"/>
      <c r="F181" s="26"/>
      <c r="G181" s="26"/>
    </row>
    <row r="182" spans="1:7" ht="15.75" customHeight="1" x14ac:dyDescent="0.25">
      <c r="A182" s="24"/>
      <c r="B182" s="25"/>
      <c r="C182" s="24"/>
      <c r="D182" s="24"/>
      <c r="E182" s="24"/>
      <c r="F182" s="26"/>
      <c r="G182" s="26"/>
    </row>
    <row r="183" spans="1:7" ht="15.75" customHeight="1" x14ac:dyDescent="0.25">
      <c r="A183" s="24"/>
      <c r="B183" s="25"/>
      <c r="C183" s="24"/>
      <c r="D183" s="24"/>
      <c r="E183" s="24"/>
      <c r="F183" s="26"/>
      <c r="G183" s="26"/>
    </row>
    <row r="184" spans="1:7" ht="15.75" customHeight="1" x14ac:dyDescent="0.25">
      <c r="A184" s="24"/>
      <c r="B184" s="25"/>
      <c r="C184" s="24"/>
      <c r="D184" s="24"/>
      <c r="E184" s="24"/>
      <c r="F184" s="26"/>
      <c r="G184" s="26"/>
    </row>
    <row r="185" spans="1:7" ht="15.75" customHeight="1" x14ac:dyDescent="0.25">
      <c r="A185" s="24"/>
      <c r="B185" s="25"/>
      <c r="C185" s="24"/>
      <c r="D185" s="24"/>
      <c r="E185" s="24"/>
      <c r="F185" s="26"/>
      <c r="G185" s="26"/>
    </row>
    <row r="186" spans="1:7" ht="15.75" customHeight="1" x14ac:dyDescent="0.25">
      <c r="A186" s="24"/>
      <c r="B186" s="25"/>
      <c r="C186" s="24"/>
      <c r="D186" s="24"/>
      <c r="E186" s="24"/>
      <c r="F186" s="26"/>
      <c r="G186" s="26"/>
    </row>
    <row r="187" spans="1:7" ht="15.75" customHeight="1" x14ac:dyDescent="0.25">
      <c r="A187" s="24"/>
      <c r="B187" s="25"/>
      <c r="C187" s="24"/>
      <c r="D187" s="24"/>
      <c r="E187" s="24"/>
      <c r="F187" s="26"/>
      <c r="G187" s="26"/>
    </row>
    <row r="188" spans="1:7" ht="15.75" customHeight="1" x14ac:dyDescent="0.25">
      <c r="A188" s="24"/>
      <c r="B188" s="25"/>
      <c r="C188" s="24"/>
      <c r="D188" s="24"/>
      <c r="E188" s="24"/>
      <c r="F188" s="26"/>
      <c r="G188" s="26"/>
    </row>
    <row r="189" spans="1:7" ht="15.75" customHeight="1" x14ac:dyDescent="0.25">
      <c r="A189" s="24"/>
      <c r="B189" s="25"/>
      <c r="C189" s="24"/>
      <c r="D189" s="24"/>
      <c r="E189" s="24"/>
      <c r="F189" s="26"/>
      <c r="G189" s="26"/>
    </row>
    <row r="190" spans="1:7" ht="15.75" customHeight="1" x14ac:dyDescent="0.25">
      <c r="A190" s="24"/>
      <c r="B190" s="25"/>
      <c r="C190" s="24"/>
      <c r="D190" s="24"/>
      <c r="E190" s="24"/>
      <c r="F190" s="26"/>
      <c r="G190" s="26"/>
    </row>
    <row r="191" spans="1:7" ht="15.75" customHeight="1" x14ac:dyDescent="0.25">
      <c r="A191" s="24"/>
      <c r="B191" s="25"/>
      <c r="C191" s="24"/>
      <c r="D191" s="24"/>
      <c r="E191" s="24"/>
      <c r="F191" s="26"/>
      <c r="G191" s="26"/>
    </row>
    <row r="192" spans="1:7" ht="15.75" customHeight="1" x14ac:dyDescent="0.25">
      <c r="A192" s="24"/>
      <c r="B192" s="25"/>
      <c r="C192" s="24"/>
      <c r="D192" s="24"/>
      <c r="E192" s="24"/>
      <c r="F192" s="26"/>
      <c r="G192" s="26"/>
    </row>
    <row r="193" spans="1:7" ht="15.75" customHeight="1" x14ac:dyDescent="0.25">
      <c r="A193" s="24"/>
      <c r="B193" s="25"/>
      <c r="C193" s="24"/>
      <c r="D193" s="24"/>
      <c r="E193" s="24"/>
      <c r="F193" s="26"/>
      <c r="G193" s="26"/>
    </row>
    <row r="194" spans="1:7" ht="15.75" customHeight="1" x14ac:dyDescent="0.25">
      <c r="A194" s="24"/>
      <c r="B194" s="25"/>
      <c r="C194" s="24"/>
      <c r="D194" s="24"/>
      <c r="E194" s="24"/>
      <c r="F194" s="26"/>
      <c r="G194" s="26"/>
    </row>
    <row r="195" spans="1:7" ht="15.75" customHeight="1" x14ac:dyDescent="0.25">
      <c r="A195" s="24"/>
      <c r="B195" s="25"/>
      <c r="C195" s="24"/>
      <c r="D195" s="24"/>
      <c r="E195" s="24"/>
      <c r="F195" s="26"/>
      <c r="G195" s="26"/>
    </row>
    <row r="196" spans="1:7" ht="15.75" customHeight="1" x14ac:dyDescent="0.25">
      <c r="A196" s="24"/>
      <c r="B196" s="25"/>
      <c r="C196" s="24"/>
      <c r="D196" s="24"/>
      <c r="E196" s="24"/>
      <c r="F196" s="26"/>
      <c r="G196" s="26"/>
    </row>
    <row r="197" spans="1:7" ht="15.75" customHeight="1" x14ac:dyDescent="0.25">
      <c r="A197" s="24"/>
      <c r="B197" s="25"/>
      <c r="C197" s="24"/>
      <c r="D197" s="24"/>
      <c r="E197" s="24"/>
      <c r="F197" s="26"/>
      <c r="G197" s="26"/>
    </row>
    <row r="198" spans="1:7" ht="15.75" customHeight="1" x14ac:dyDescent="0.25">
      <c r="A198" s="24"/>
      <c r="B198" s="25"/>
      <c r="C198" s="24"/>
      <c r="D198" s="24"/>
      <c r="E198" s="24"/>
      <c r="F198" s="26"/>
      <c r="G198" s="26"/>
    </row>
    <row r="199" spans="1:7" ht="15.75" customHeight="1" x14ac:dyDescent="0.25">
      <c r="A199" s="24"/>
      <c r="B199" s="25"/>
      <c r="C199" s="24"/>
      <c r="D199" s="24"/>
      <c r="E199" s="24"/>
      <c r="F199" s="26"/>
      <c r="G199" s="26"/>
    </row>
    <row r="200" spans="1:7" ht="15.75" customHeight="1" x14ac:dyDescent="0.25">
      <c r="A200" s="24"/>
      <c r="B200" s="25"/>
      <c r="C200" s="24"/>
      <c r="D200" s="24"/>
      <c r="E200" s="24"/>
      <c r="F200" s="26"/>
      <c r="G200" s="26"/>
    </row>
    <row r="201" spans="1:7" ht="15.75" customHeight="1" x14ac:dyDescent="0.25">
      <c r="A201" s="24"/>
      <c r="B201" s="25"/>
      <c r="C201" s="24"/>
      <c r="D201" s="24"/>
      <c r="E201" s="24"/>
      <c r="F201" s="26"/>
      <c r="G201" s="26"/>
    </row>
    <row r="202" spans="1:7" ht="15.75" customHeight="1" x14ac:dyDescent="0.25">
      <c r="A202" s="24"/>
      <c r="B202" s="25"/>
      <c r="C202" s="24"/>
      <c r="D202" s="24"/>
      <c r="E202" s="24"/>
      <c r="F202" s="26"/>
      <c r="G202" s="26"/>
    </row>
    <row r="203" spans="1:7" ht="15.75" customHeight="1" x14ac:dyDescent="0.25">
      <c r="A203" s="24"/>
      <c r="B203" s="25"/>
      <c r="C203" s="24"/>
      <c r="D203" s="24"/>
      <c r="E203" s="24"/>
      <c r="F203" s="26"/>
      <c r="G203" s="26"/>
    </row>
    <row r="204" spans="1:7" ht="15.75" customHeight="1" x14ac:dyDescent="0.25">
      <c r="A204" s="24"/>
      <c r="B204" s="25"/>
      <c r="C204" s="24"/>
      <c r="D204" s="24"/>
      <c r="E204" s="24"/>
      <c r="F204" s="26"/>
      <c r="G204" s="26"/>
    </row>
    <row r="205" spans="1:7" ht="15.75" customHeight="1" x14ac:dyDescent="0.25">
      <c r="A205" s="24"/>
      <c r="B205" s="25"/>
      <c r="C205" s="24"/>
      <c r="D205" s="24"/>
      <c r="E205" s="24"/>
      <c r="F205" s="26"/>
      <c r="G205" s="26"/>
    </row>
    <row r="206" spans="1:7" ht="15.75" customHeight="1" x14ac:dyDescent="0.25">
      <c r="A206" s="24"/>
      <c r="B206" s="25"/>
      <c r="C206" s="24"/>
      <c r="D206" s="24"/>
      <c r="E206" s="24"/>
      <c r="F206" s="26"/>
      <c r="G206" s="26"/>
    </row>
    <row r="207" spans="1:7" ht="15.75" customHeight="1" x14ac:dyDescent="0.25">
      <c r="A207" s="24"/>
      <c r="B207" s="25"/>
      <c r="C207" s="24"/>
      <c r="D207" s="24"/>
      <c r="E207" s="24"/>
      <c r="F207" s="26"/>
      <c r="G207" s="26"/>
    </row>
    <row r="208" spans="1:7" ht="15.75" customHeight="1" x14ac:dyDescent="0.25">
      <c r="A208" s="24"/>
      <c r="B208" s="25"/>
      <c r="C208" s="24"/>
      <c r="D208" s="24"/>
      <c r="E208" s="24"/>
      <c r="F208" s="26"/>
      <c r="G208" s="26"/>
    </row>
    <row r="209" spans="1:7" ht="15.75" customHeight="1" x14ac:dyDescent="0.25">
      <c r="A209" s="24"/>
      <c r="B209" s="25"/>
      <c r="C209" s="24"/>
      <c r="D209" s="24"/>
      <c r="E209" s="24"/>
      <c r="F209" s="26"/>
      <c r="G209" s="26"/>
    </row>
    <row r="210" spans="1:7" ht="15.75" customHeight="1" x14ac:dyDescent="0.25">
      <c r="A210" s="24"/>
      <c r="B210" s="25"/>
      <c r="C210" s="24"/>
      <c r="D210" s="24"/>
      <c r="E210" s="24"/>
      <c r="F210" s="26"/>
      <c r="G210" s="26"/>
    </row>
    <row r="211" spans="1:7" ht="15.75" customHeight="1" x14ac:dyDescent="0.25">
      <c r="A211" s="24"/>
      <c r="B211" s="25"/>
      <c r="C211" s="24"/>
      <c r="D211" s="24"/>
      <c r="E211" s="24"/>
      <c r="F211" s="26"/>
      <c r="G211" s="26"/>
    </row>
    <row r="212" spans="1:7" ht="15.75" customHeight="1" x14ac:dyDescent="0.25">
      <c r="A212" s="24"/>
      <c r="B212" s="25"/>
      <c r="C212" s="24"/>
      <c r="D212" s="24"/>
      <c r="E212" s="24"/>
      <c r="F212" s="26"/>
      <c r="G212" s="26"/>
    </row>
    <row r="213" spans="1:7" ht="15.75" customHeight="1" x14ac:dyDescent="0.25">
      <c r="A213" s="24"/>
      <c r="B213" s="25"/>
      <c r="C213" s="24"/>
      <c r="D213" s="24"/>
      <c r="E213" s="24"/>
      <c r="F213" s="26"/>
      <c r="G213" s="26"/>
    </row>
    <row r="214" spans="1:7" ht="15.75" customHeight="1" x14ac:dyDescent="0.25">
      <c r="A214" s="24"/>
      <c r="B214" s="25"/>
      <c r="C214" s="24"/>
      <c r="D214" s="24"/>
      <c r="E214" s="24"/>
      <c r="F214" s="26"/>
      <c r="G214" s="26"/>
    </row>
    <row r="215" spans="1:7" ht="15.75" customHeight="1" x14ac:dyDescent="0.25">
      <c r="A215" s="24"/>
      <c r="B215" s="25"/>
      <c r="C215" s="24"/>
      <c r="D215" s="24"/>
      <c r="E215" s="24"/>
      <c r="F215" s="26"/>
      <c r="G215" s="26"/>
    </row>
    <row r="216" spans="1:7" ht="15.75" customHeight="1" x14ac:dyDescent="0.25">
      <c r="A216" s="24"/>
      <c r="B216" s="25"/>
      <c r="C216" s="24"/>
      <c r="D216" s="24"/>
      <c r="E216" s="24"/>
      <c r="F216" s="26"/>
      <c r="G216" s="26"/>
    </row>
    <row r="217" spans="1:7" ht="15.75" customHeight="1" x14ac:dyDescent="0.25">
      <c r="A217" s="24"/>
      <c r="B217" s="25"/>
      <c r="C217" s="24"/>
      <c r="D217" s="24"/>
      <c r="E217" s="24"/>
      <c r="F217" s="26"/>
      <c r="G217" s="26"/>
    </row>
    <row r="218" spans="1:7" ht="15.75" customHeight="1" x14ac:dyDescent="0.25"/>
    <row r="219" spans="1:7" ht="15.75" customHeight="1" x14ac:dyDescent="0.25"/>
    <row r="220" spans="1:7" ht="15.75" customHeight="1" x14ac:dyDescent="0.25"/>
    <row r="221" spans="1:7" ht="15.75" customHeight="1" x14ac:dyDescent="0.25"/>
    <row r="222" spans="1:7" ht="15.75" customHeight="1" x14ac:dyDescent="0.25"/>
    <row r="223" spans="1:7" ht="15.75" customHeight="1" x14ac:dyDescent="0.25"/>
    <row r="224" spans="1:7"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sheetData>
  <mergeCells count="7">
    <mergeCell ref="A6:G6"/>
    <mergeCell ref="A7:A10"/>
    <mergeCell ref="B7:B10"/>
    <mergeCell ref="C7:C8"/>
    <mergeCell ref="D7:F7"/>
    <mergeCell ref="G7:G8"/>
    <mergeCell ref="F8:F9"/>
  </mergeCells>
  <pageMargins left="0.39370078740157483" right="0.39370078740157483" top="0.39370078740157483" bottom="0.39370078740157483" header="0" footer="0"/>
  <pageSetup paperSize="9" scale="91"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388"/>
  <sheetViews>
    <sheetView view="pageBreakPreview" zoomScale="130" zoomScaleNormal="100" zoomScaleSheetLayoutView="130" workbookViewId="0">
      <selection activeCell="A5" sqref="A5"/>
    </sheetView>
  </sheetViews>
  <sheetFormatPr defaultColWidth="14.42578125" defaultRowHeight="15" x14ac:dyDescent="0.25"/>
  <cols>
    <col min="1" max="1" width="81.42578125" customWidth="1"/>
    <col min="2" max="2" width="15" customWidth="1"/>
    <col min="3" max="6" width="16.7109375" hidden="1" customWidth="1"/>
    <col min="7" max="7" width="16.7109375" customWidth="1"/>
    <col min="8" max="8" width="11.140625" customWidth="1"/>
    <col min="9" max="9" width="13" customWidth="1"/>
    <col min="10" max="10" width="11.28515625" customWidth="1"/>
    <col min="11" max="11" width="18.5703125" customWidth="1"/>
    <col min="12" max="12" width="10.28515625" customWidth="1"/>
    <col min="13" max="13" width="12.7109375" customWidth="1"/>
    <col min="14" max="14" width="14.5703125" customWidth="1"/>
    <col min="15" max="26" width="10.28515625" customWidth="1"/>
  </cols>
  <sheetData>
    <row r="1" spans="1:26" ht="15.75"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x14ac:dyDescent="0.25">
      <c r="A6" s="17" t="s">
        <v>2135</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31.5"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x14ac:dyDescent="0.25">
      <c r="A13" s="17" t="s">
        <v>364</v>
      </c>
      <c r="B13" s="172"/>
      <c r="C13" s="42"/>
      <c r="D13" s="42"/>
      <c r="E13" s="42"/>
      <c r="F13" s="42"/>
      <c r="G13" s="42"/>
      <c r="H13" s="114"/>
      <c r="J13" s="7"/>
      <c r="K13" s="7"/>
      <c r="L13" s="373"/>
      <c r="M13" s="374"/>
      <c r="N13" s="202"/>
      <c r="O13" s="150"/>
    </row>
    <row r="14" spans="1:26" ht="15.75" x14ac:dyDescent="0.25">
      <c r="A14" s="17" t="s">
        <v>365</v>
      </c>
      <c r="B14" s="172"/>
      <c r="C14" s="42"/>
      <c r="D14" s="42"/>
      <c r="E14" s="42"/>
      <c r="F14" s="42"/>
      <c r="G14" s="42"/>
      <c r="H14" s="114"/>
      <c r="J14" s="7"/>
      <c r="K14" s="7"/>
      <c r="L14" s="373"/>
      <c r="M14" s="374"/>
      <c r="N14" s="202"/>
      <c r="O14" s="150"/>
    </row>
    <row r="15" spans="1:26" ht="15.75" x14ac:dyDescent="0.25">
      <c r="A15" s="17" t="s">
        <v>366</v>
      </c>
      <c r="B15" s="172"/>
      <c r="C15" s="42"/>
      <c r="D15" s="42"/>
      <c r="E15" s="42"/>
      <c r="F15" s="42"/>
      <c r="G15" s="43"/>
      <c r="H15" s="114"/>
      <c r="J15" s="7"/>
      <c r="K15" s="7"/>
      <c r="L15" s="373"/>
      <c r="M15" s="374"/>
      <c r="N15" s="202"/>
      <c r="O15" s="150"/>
    </row>
    <row r="16" spans="1:26" ht="15.75" x14ac:dyDescent="0.25">
      <c r="A16" s="44" t="s">
        <v>367</v>
      </c>
      <c r="B16" s="41" t="s">
        <v>121</v>
      </c>
      <c r="C16" s="43">
        <v>9818925.5399999991</v>
      </c>
      <c r="D16" s="43">
        <v>5005114.49</v>
      </c>
      <c r="E16" s="43">
        <f>F16-D16</f>
        <v>8202889.5099999998</v>
      </c>
      <c r="F16" s="43">
        <v>13208004</v>
      </c>
      <c r="G16" s="43">
        <v>13808424</v>
      </c>
      <c r="H16" s="114"/>
      <c r="J16" s="7"/>
      <c r="K16" s="7"/>
      <c r="L16" s="373"/>
      <c r="M16" s="374"/>
      <c r="N16" s="202"/>
      <c r="O16" s="150"/>
    </row>
    <row r="17" spans="1:26" ht="15.75" x14ac:dyDescent="0.25">
      <c r="A17" s="17" t="s">
        <v>368</v>
      </c>
      <c r="B17" s="41"/>
      <c r="C17" s="43"/>
      <c r="D17" s="43"/>
      <c r="E17" s="43"/>
      <c r="F17" s="43"/>
      <c r="G17" s="43"/>
      <c r="H17" s="114"/>
      <c r="J17" s="7"/>
      <c r="K17" s="7"/>
      <c r="L17" s="373"/>
      <c r="M17" s="374"/>
      <c r="N17" s="202"/>
      <c r="O17" s="150"/>
    </row>
    <row r="18" spans="1:26" ht="15.75" x14ac:dyDescent="0.25">
      <c r="A18" s="44" t="s">
        <v>369</v>
      </c>
      <c r="B18" s="41" t="s">
        <v>125</v>
      </c>
      <c r="C18" s="43">
        <v>606436.36</v>
      </c>
      <c r="D18" s="43">
        <v>300688.48</v>
      </c>
      <c r="E18" s="43">
        <f t="shared" ref="E18:E23" si="0">F18-D18</f>
        <v>443311.52</v>
      </c>
      <c r="F18" s="43">
        <v>744000</v>
      </c>
      <c r="G18" s="43">
        <v>744000</v>
      </c>
      <c r="H18" s="15"/>
      <c r="I18" s="15"/>
      <c r="J18" s="14"/>
      <c r="K18" s="14"/>
      <c r="L18" s="375"/>
      <c r="M18" s="376"/>
      <c r="N18" s="287"/>
      <c r="O18" s="286"/>
      <c r="P18" s="15"/>
      <c r="Q18" s="15"/>
      <c r="R18" s="15"/>
      <c r="S18" s="15"/>
      <c r="T18" s="15"/>
      <c r="U18" s="15"/>
      <c r="V18" s="15"/>
      <c r="W18" s="15"/>
      <c r="X18" s="15"/>
      <c r="Y18" s="15"/>
      <c r="Z18" s="15"/>
    </row>
    <row r="19" spans="1:26" ht="15.75" x14ac:dyDescent="0.25">
      <c r="A19" s="44" t="s">
        <v>370</v>
      </c>
      <c r="B19" s="41" t="s">
        <v>127</v>
      </c>
      <c r="C19" s="43">
        <v>213625</v>
      </c>
      <c r="D19" s="43">
        <v>108000</v>
      </c>
      <c r="E19" s="43">
        <f t="shared" si="0"/>
        <v>108000</v>
      </c>
      <c r="F19" s="43">
        <v>216000</v>
      </c>
      <c r="G19" s="43">
        <v>216000</v>
      </c>
      <c r="H19" s="15"/>
      <c r="I19" s="15"/>
      <c r="J19" s="14"/>
      <c r="K19" s="14"/>
      <c r="L19" s="375"/>
      <c r="M19" s="376"/>
      <c r="N19" s="287"/>
      <c r="O19" s="286"/>
      <c r="P19" s="15"/>
      <c r="Q19" s="15"/>
      <c r="R19" s="15"/>
      <c r="S19" s="15"/>
      <c r="T19" s="15"/>
      <c r="U19" s="15"/>
      <c r="V19" s="15"/>
      <c r="W19" s="15"/>
      <c r="X19" s="15"/>
      <c r="Y19" s="15"/>
      <c r="Z19" s="15"/>
    </row>
    <row r="20" spans="1:26" ht="15.75" x14ac:dyDescent="0.25">
      <c r="A20" s="44" t="s">
        <v>371</v>
      </c>
      <c r="B20" s="41" t="s">
        <v>372</v>
      </c>
      <c r="C20" s="43">
        <v>213625</v>
      </c>
      <c r="D20" s="43">
        <v>108000</v>
      </c>
      <c r="E20" s="43">
        <f t="shared" si="0"/>
        <v>108000</v>
      </c>
      <c r="F20" s="43">
        <v>216000</v>
      </c>
      <c r="G20" s="43">
        <v>216000</v>
      </c>
      <c r="H20" s="15"/>
      <c r="I20" s="15"/>
      <c r="J20" s="14"/>
      <c r="K20" s="14"/>
      <c r="L20" s="375"/>
      <c r="M20" s="376"/>
      <c r="N20" s="287"/>
      <c r="O20" s="286"/>
      <c r="P20" s="15"/>
      <c r="Q20" s="15"/>
      <c r="R20" s="15"/>
      <c r="S20" s="15"/>
      <c r="T20" s="15"/>
      <c r="U20" s="15"/>
      <c r="V20" s="15"/>
      <c r="W20" s="15"/>
      <c r="X20" s="15"/>
      <c r="Y20" s="15"/>
      <c r="Z20" s="15"/>
    </row>
    <row r="21" spans="1:26" ht="15.75" x14ac:dyDescent="0.25">
      <c r="A21" s="44" t="s">
        <v>373</v>
      </c>
      <c r="B21" s="41" t="s">
        <v>131</v>
      </c>
      <c r="C21" s="43">
        <v>175000</v>
      </c>
      <c r="D21" s="43">
        <v>175000</v>
      </c>
      <c r="E21" s="43">
        <f t="shared" si="0"/>
        <v>42000</v>
      </c>
      <c r="F21" s="43">
        <v>217000</v>
      </c>
      <c r="G21" s="43">
        <v>217000</v>
      </c>
      <c r="H21" s="15"/>
      <c r="I21" s="15"/>
      <c r="J21" s="14"/>
      <c r="K21" s="14"/>
      <c r="L21" s="375"/>
      <c r="M21" s="376"/>
      <c r="N21" s="287"/>
      <c r="O21" s="286"/>
      <c r="P21" s="15"/>
      <c r="Q21" s="15"/>
      <c r="R21" s="15"/>
      <c r="S21" s="15"/>
      <c r="T21" s="15"/>
      <c r="U21" s="15"/>
      <c r="V21" s="15"/>
      <c r="W21" s="15"/>
      <c r="X21" s="15"/>
      <c r="Y21" s="15"/>
      <c r="Z21" s="15"/>
    </row>
    <row r="22" spans="1:26" ht="15.75" x14ac:dyDescent="0.25">
      <c r="A22" s="44" t="s">
        <v>374</v>
      </c>
      <c r="B22" s="41" t="s">
        <v>151</v>
      </c>
      <c r="C22" s="43">
        <v>833626</v>
      </c>
      <c r="D22" s="43">
        <v>0</v>
      </c>
      <c r="E22" s="43">
        <f t="shared" si="0"/>
        <v>1100667</v>
      </c>
      <c r="F22" s="43">
        <v>1100667</v>
      </c>
      <c r="G22" s="43">
        <v>1150702</v>
      </c>
      <c r="H22" s="15"/>
      <c r="I22" s="15"/>
      <c r="J22" s="14"/>
      <c r="K22" s="14"/>
      <c r="L22" s="375"/>
      <c r="M22" s="376"/>
      <c r="N22" s="287"/>
      <c r="O22" s="286"/>
      <c r="P22" s="15"/>
      <c r="Q22" s="15"/>
      <c r="R22" s="15"/>
      <c r="S22" s="15"/>
      <c r="T22" s="15"/>
      <c r="U22" s="15"/>
      <c r="V22" s="15"/>
      <c r="W22" s="15"/>
      <c r="X22" s="15"/>
      <c r="Y22" s="15"/>
      <c r="Z22" s="15"/>
    </row>
    <row r="23" spans="1:26" ht="15.75" x14ac:dyDescent="0.25">
      <c r="A23" s="44" t="s">
        <v>375</v>
      </c>
      <c r="B23" s="41" t="s">
        <v>153</v>
      </c>
      <c r="C23" s="43">
        <v>125000</v>
      </c>
      <c r="D23" s="43">
        <v>0</v>
      </c>
      <c r="E23" s="43">
        <f t="shared" si="0"/>
        <v>155000</v>
      </c>
      <c r="F23" s="43">
        <v>155000</v>
      </c>
      <c r="G23" s="43">
        <v>155000</v>
      </c>
      <c r="H23" s="15"/>
      <c r="I23" s="15"/>
      <c r="J23" s="14"/>
      <c r="K23" s="14"/>
      <c r="L23" s="375"/>
      <c r="M23" s="376"/>
      <c r="N23" s="287"/>
      <c r="O23" s="286"/>
      <c r="P23" s="15"/>
      <c r="Q23" s="15"/>
      <c r="R23" s="15"/>
      <c r="S23" s="15"/>
      <c r="T23" s="15"/>
      <c r="U23" s="15"/>
      <c r="V23" s="15"/>
      <c r="W23" s="15"/>
      <c r="X23" s="15"/>
      <c r="Y23" s="15"/>
      <c r="Z23" s="15"/>
    </row>
    <row r="24" spans="1:26" ht="15.75" x14ac:dyDescent="0.25">
      <c r="A24" s="44" t="s">
        <v>376</v>
      </c>
      <c r="B24" s="41" t="s">
        <v>155</v>
      </c>
      <c r="C24" s="43"/>
      <c r="D24" s="43"/>
      <c r="E24" s="43"/>
      <c r="F24" s="43"/>
      <c r="G24" s="43"/>
      <c r="H24" s="15"/>
      <c r="I24" s="15"/>
      <c r="J24" s="14"/>
      <c r="K24" s="14"/>
      <c r="L24" s="375"/>
      <c r="M24" s="376"/>
      <c r="N24" s="287"/>
      <c r="O24" s="286"/>
      <c r="P24" s="15"/>
      <c r="Q24" s="15"/>
      <c r="R24" s="15"/>
      <c r="S24" s="15"/>
      <c r="T24" s="15"/>
      <c r="U24" s="15"/>
      <c r="V24" s="15"/>
      <c r="W24" s="15"/>
      <c r="X24" s="15"/>
      <c r="Y24" s="15"/>
      <c r="Z24" s="15"/>
    </row>
    <row r="25" spans="1:26" ht="15.75" x14ac:dyDescent="0.25">
      <c r="A25" s="44" t="s">
        <v>377</v>
      </c>
      <c r="B25" s="41" t="s">
        <v>157</v>
      </c>
      <c r="C25" s="43">
        <v>15000</v>
      </c>
      <c r="D25" s="43">
        <v>0</v>
      </c>
      <c r="E25" s="43">
        <f>F25-D25</f>
        <v>15000</v>
      </c>
      <c r="F25" s="43">
        <v>15000</v>
      </c>
      <c r="G25" s="43">
        <v>50000</v>
      </c>
      <c r="H25" s="15"/>
      <c r="I25" s="15"/>
      <c r="J25" s="14"/>
      <c r="K25" s="14"/>
      <c r="L25" s="375"/>
      <c r="M25" s="376"/>
      <c r="N25" s="287"/>
      <c r="O25" s="286"/>
      <c r="P25" s="15"/>
      <c r="Q25" s="15"/>
      <c r="R25" s="15"/>
      <c r="S25" s="15"/>
      <c r="T25" s="15"/>
      <c r="U25" s="15"/>
      <c r="V25" s="15"/>
      <c r="W25" s="15"/>
      <c r="X25" s="15"/>
      <c r="Y25" s="15"/>
      <c r="Z25" s="15"/>
    </row>
    <row r="26" spans="1:26" ht="15.75" x14ac:dyDescent="0.25">
      <c r="A26" s="44" t="s">
        <v>1227</v>
      </c>
      <c r="B26" s="41" t="s">
        <v>159</v>
      </c>
      <c r="C26" s="43">
        <v>0</v>
      </c>
      <c r="D26" s="43">
        <v>75000</v>
      </c>
      <c r="E26" s="43">
        <v>18000</v>
      </c>
      <c r="F26" s="43">
        <v>93000</v>
      </c>
      <c r="G26" s="43">
        <v>0</v>
      </c>
      <c r="H26" s="15"/>
      <c r="I26" s="15"/>
      <c r="J26" s="14"/>
      <c r="K26" s="14"/>
      <c r="L26" s="375"/>
      <c r="M26" s="376"/>
      <c r="N26" s="287"/>
      <c r="O26" s="286"/>
      <c r="P26" s="15"/>
      <c r="Q26" s="15"/>
      <c r="R26" s="15"/>
      <c r="S26" s="15"/>
      <c r="T26" s="15"/>
      <c r="U26" s="15"/>
      <c r="V26" s="15"/>
      <c r="W26" s="15"/>
      <c r="X26" s="15"/>
      <c r="Y26" s="15"/>
      <c r="Z26" s="15"/>
    </row>
    <row r="27" spans="1:26" ht="15.75" x14ac:dyDescent="0.25">
      <c r="A27" s="44" t="s">
        <v>379</v>
      </c>
      <c r="B27" s="41" t="s">
        <v>161</v>
      </c>
      <c r="C27" s="43">
        <v>797530</v>
      </c>
      <c r="D27" s="43">
        <v>838387</v>
      </c>
      <c r="E27" s="43">
        <f>F27-D27</f>
        <v>262280</v>
      </c>
      <c r="F27" s="43">
        <v>1100667</v>
      </c>
      <c r="G27" s="43">
        <v>1150702</v>
      </c>
      <c r="H27" s="15"/>
      <c r="I27" s="15"/>
      <c r="J27" s="14"/>
      <c r="K27" s="14"/>
      <c r="L27" s="375"/>
      <c r="M27" s="376"/>
      <c r="N27" s="287"/>
      <c r="O27" s="286"/>
      <c r="P27" s="15"/>
      <c r="Q27" s="15"/>
      <c r="R27" s="15"/>
      <c r="S27" s="15"/>
      <c r="T27" s="15"/>
      <c r="U27" s="15"/>
      <c r="V27" s="15"/>
      <c r="W27" s="15"/>
      <c r="X27" s="15"/>
      <c r="Y27" s="15"/>
      <c r="Z27" s="15"/>
    </row>
    <row r="28" spans="1:26" ht="15.75" x14ac:dyDescent="0.25">
      <c r="A28" s="17" t="s">
        <v>380</v>
      </c>
      <c r="B28" s="41"/>
      <c r="C28" s="43"/>
      <c r="D28" s="43"/>
      <c r="E28" s="43"/>
      <c r="F28" s="43"/>
      <c r="G28" s="43"/>
      <c r="H28" s="15"/>
      <c r="I28" s="15"/>
      <c r="J28" s="14"/>
      <c r="K28" s="14"/>
      <c r="L28" s="375"/>
      <c r="M28" s="376"/>
      <c r="N28" s="287"/>
      <c r="O28" s="286"/>
      <c r="P28" s="15"/>
      <c r="Q28" s="15"/>
      <c r="R28" s="15"/>
      <c r="S28" s="15"/>
      <c r="T28" s="15"/>
      <c r="U28" s="15"/>
      <c r="V28" s="15"/>
      <c r="W28" s="15"/>
      <c r="X28" s="15"/>
      <c r="Y28" s="15"/>
      <c r="Z28" s="15"/>
    </row>
    <row r="29" spans="1:26" ht="15.75" x14ac:dyDescent="0.25">
      <c r="A29" s="44" t="s">
        <v>381</v>
      </c>
      <c r="B29" s="41" t="s">
        <v>165</v>
      </c>
      <c r="C29" s="43">
        <v>1178806.47</v>
      </c>
      <c r="D29" s="43">
        <v>625017.74</v>
      </c>
      <c r="E29" s="43">
        <f t="shared" ref="E29:E32" si="1">F29-D29</f>
        <v>959943.26</v>
      </c>
      <c r="F29" s="43">
        <v>1584961</v>
      </c>
      <c r="G29" s="43">
        <v>1657011</v>
      </c>
      <c r="H29" s="15"/>
      <c r="I29" s="15"/>
      <c r="J29" s="14"/>
      <c r="K29" s="14"/>
      <c r="L29" s="375"/>
      <c r="M29" s="376"/>
      <c r="N29" s="287"/>
      <c r="O29" s="286"/>
      <c r="P29" s="15"/>
      <c r="Q29" s="15"/>
      <c r="R29" s="15"/>
      <c r="S29" s="15"/>
      <c r="T29" s="15"/>
      <c r="U29" s="15"/>
      <c r="V29" s="15"/>
      <c r="W29" s="15"/>
      <c r="X29" s="15"/>
      <c r="Y29" s="15"/>
      <c r="Z29" s="15"/>
    </row>
    <row r="30" spans="1:26" ht="15.75" x14ac:dyDescent="0.25">
      <c r="A30" s="44" t="s">
        <v>382</v>
      </c>
      <c r="B30" s="41" t="s">
        <v>167</v>
      </c>
      <c r="C30" s="43">
        <v>196467.76</v>
      </c>
      <c r="D30" s="43">
        <v>100550.37</v>
      </c>
      <c r="E30" s="43">
        <f t="shared" si="1"/>
        <v>163610.63</v>
      </c>
      <c r="F30" s="43">
        <v>264161</v>
      </c>
      <c r="G30" s="43">
        <v>276169</v>
      </c>
      <c r="H30" s="15"/>
      <c r="I30" s="15"/>
      <c r="J30" s="14"/>
      <c r="K30" s="14"/>
      <c r="L30" s="375"/>
      <c r="M30" s="376"/>
      <c r="N30" s="287"/>
      <c r="O30" s="286"/>
      <c r="P30" s="15"/>
      <c r="Q30" s="15"/>
      <c r="R30" s="15"/>
      <c r="S30" s="15"/>
      <c r="T30" s="15"/>
      <c r="U30" s="15"/>
      <c r="V30" s="15"/>
      <c r="W30" s="15"/>
      <c r="X30" s="15"/>
      <c r="Y30" s="15"/>
      <c r="Z30" s="15"/>
    </row>
    <row r="31" spans="1:26" ht="15.75" x14ac:dyDescent="0.25">
      <c r="A31" s="44" t="s">
        <v>383</v>
      </c>
      <c r="B31" s="41" t="s">
        <v>169</v>
      </c>
      <c r="C31" s="43">
        <v>238876.02</v>
      </c>
      <c r="D31" s="43">
        <v>121612.07</v>
      </c>
      <c r="E31" s="43">
        <f t="shared" si="1"/>
        <v>200451.93</v>
      </c>
      <c r="F31" s="43">
        <v>322064</v>
      </c>
      <c r="G31" s="43">
        <v>335545</v>
      </c>
      <c r="H31" s="15"/>
      <c r="I31" s="15"/>
      <c r="J31" s="14"/>
      <c r="K31" s="14"/>
      <c r="L31" s="375"/>
      <c r="M31" s="376"/>
      <c r="N31" s="287"/>
      <c r="O31" s="286"/>
      <c r="P31" s="15"/>
      <c r="Q31" s="15"/>
      <c r="R31" s="15"/>
      <c r="S31" s="15"/>
      <c r="T31" s="15"/>
      <c r="U31" s="15"/>
      <c r="V31" s="15"/>
      <c r="W31" s="15"/>
      <c r="X31" s="15"/>
      <c r="Y31" s="15"/>
      <c r="Z31" s="15"/>
    </row>
    <row r="32" spans="1:26" ht="15.75" x14ac:dyDescent="0.25">
      <c r="A32" s="44" t="s">
        <v>384</v>
      </c>
      <c r="B32" s="41" t="s">
        <v>171</v>
      </c>
      <c r="C32" s="43">
        <v>30400</v>
      </c>
      <c r="D32" s="43">
        <v>15000</v>
      </c>
      <c r="E32" s="43">
        <f t="shared" si="1"/>
        <v>22200</v>
      </c>
      <c r="F32" s="43">
        <v>37200</v>
      </c>
      <c r="G32" s="43">
        <v>37200</v>
      </c>
      <c r="H32" s="15"/>
      <c r="I32" s="15"/>
      <c r="J32" s="14"/>
      <c r="K32" s="14"/>
      <c r="L32" s="375"/>
      <c r="M32" s="376"/>
      <c r="N32" s="287"/>
      <c r="O32" s="286"/>
      <c r="P32" s="15"/>
      <c r="Q32" s="15"/>
      <c r="R32" s="15"/>
      <c r="S32" s="15"/>
      <c r="T32" s="15"/>
      <c r="U32" s="15"/>
      <c r="V32" s="15"/>
      <c r="W32" s="15"/>
      <c r="X32" s="15"/>
      <c r="Y32" s="15"/>
      <c r="Z32" s="15"/>
    </row>
    <row r="33" spans="1:26" ht="15.75" x14ac:dyDescent="0.25">
      <c r="A33" s="17" t="s">
        <v>624</v>
      </c>
      <c r="B33" s="41"/>
      <c r="C33" s="43"/>
      <c r="D33" s="43"/>
      <c r="E33" s="43"/>
      <c r="F33" s="43"/>
      <c r="G33" s="43"/>
      <c r="H33" s="15"/>
      <c r="I33" s="15"/>
      <c r="J33" s="14"/>
      <c r="K33" s="14"/>
      <c r="L33" s="375"/>
      <c r="M33" s="376"/>
      <c r="N33" s="287"/>
      <c r="O33" s="286"/>
      <c r="P33" s="15"/>
      <c r="Q33" s="15"/>
      <c r="R33" s="15"/>
      <c r="S33" s="15"/>
      <c r="T33" s="15"/>
      <c r="U33" s="15"/>
      <c r="V33" s="15"/>
      <c r="W33" s="15"/>
      <c r="X33" s="15"/>
      <c r="Y33" s="15"/>
      <c r="Z33" s="15"/>
    </row>
    <row r="34" spans="1:26" ht="15.75" x14ac:dyDescent="0.25">
      <c r="A34" s="44" t="s">
        <v>386</v>
      </c>
      <c r="B34" s="41" t="s">
        <v>179</v>
      </c>
      <c r="C34" s="43">
        <v>553017.94999999995</v>
      </c>
      <c r="D34" s="43">
        <v>0</v>
      </c>
      <c r="E34" s="43">
        <f t="shared" ref="E34:E36" si="2">F34-D34</f>
        <v>0</v>
      </c>
      <c r="F34" s="43">
        <v>0</v>
      </c>
      <c r="G34" s="43">
        <v>208239</v>
      </c>
      <c r="H34" s="15"/>
      <c r="I34" s="15"/>
      <c r="J34" s="14"/>
      <c r="K34" s="14"/>
      <c r="L34" s="375"/>
      <c r="M34" s="376"/>
      <c r="N34" s="287"/>
      <c r="O34" s="286"/>
      <c r="P34" s="15"/>
      <c r="Q34" s="15"/>
      <c r="R34" s="15"/>
      <c r="S34" s="15"/>
      <c r="T34" s="15"/>
      <c r="U34" s="15"/>
      <c r="V34" s="15"/>
      <c r="W34" s="15"/>
      <c r="X34" s="15"/>
      <c r="Y34" s="15"/>
      <c r="Z34" s="15"/>
    </row>
    <row r="35" spans="1:26" ht="15.75" x14ac:dyDescent="0.25">
      <c r="A35" s="44" t="s">
        <v>387</v>
      </c>
      <c r="B35" s="41" t="s">
        <v>181</v>
      </c>
      <c r="C35" s="43">
        <v>303133.51</v>
      </c>
      <c r="D35" s="43">
        <v>213056.28</v>
      </c>
      <c r="E35" s="43">
        <f t="shared" si="2"/>
        <v>317385.71999999997</v>
      </c>
      <c r="F35" s="43">
        <v>530442</v>
      </c>
      <c r="G35" s="43">
        <v>554555</v>
      </c>
      <c r="H35" s="15"/>
      <c r="I35" s="15"/>
      <c r="J35" s="14"/>
      <c r="K35" s="14"/>
      <c r="L35" s="375"/>
      <c r="M35" s="376"/>
      <c r="N35" s="287"/>
      <c r="O35" s="286"/>
      <c r="P35" s="15"/>
      <c r="Q35" s="15"/>
      <c r="R35" s="15"/>
      <c r="S35" s="15"/>
      <c r="T35" s="15"/>
      <c r="U35" s="15"/>
      <c r="V35" s="15"/>
      <c r="W35" s="15"/>
      <c r="X35" s="15"/>
      <c r="Y35" s="15"/>
      <c r="Z35" s="15"/>
    </row>
    <row r="36" spans="1:26" ht="15.75" x14ac:dyDescent="0.25">
      <c r="A36" s="460" t="s">
        <v>388</v>
      </c>
      <c r="B36" s="454" t="s">
        <v>183</v>
      </c>
      <c r="C36" s="443">
        <v>125000</v>
      </c>
      <c r="D36" s="443">
        <v>0</v>
      </c>
      <c r="E36" s="443">
        <f t="shared" si="2"/>
        <v>155000</v>
      </c>
      <c r="F36" s="443">
        <v>155000</v>
      </c>
      <c r="G36" s="462">
        <v>155000</v>
      </c>
      <c r="H36" s="515"/>
      <c r="I36" s="15"/>
      <c r="J36" s="14"/>
      <c r="K36" s="14"/>
      <c r="L36" s="375"/>
      <c r="M36" s="376"/>
      <c r="N36" s="287"/>
      <c r="O36" s="286"/>
      <c r="P36" s="15"/>
      <c r="Q36" s="15"/>
      <c r="R36" s="15"/>
      <c r="S36" s="15"/>
      <c r="T36" s="15"/>
      <c r="U36" s="15"/>
      <c r="V36" s="15"/>
      <c r="W36" s="15"/>
      <c r="X36" s="15"/>
      <c r="Y36" s="15"/>
      <c r="Z36" s="15"/>
    </row>
    <row r="37" spans="1:26" ht="31.5" x14ac:dyDescent="0.25">
      <c r="A37" s="455" t="s">
        <v>625</v>
      </c>
      <c r="B37" s="487"/>
      <c r="C37" s="43">
        <v>0</v>
      </c>
      <c r="D37" s="43">
        <v>0</v>
      </c>
      <c r="E37" s="43">
        <v>0</v>
      </c>
      <c r="F37" s="43">
        <v>0</v>
      </c>
      <c r="G37" s="43">
        <v>383481</v>
      </c>
      <c r="H37" s="15"/>
      <c r="I37" s="15"/>
      <c r="J37" s="14"/>
      <c r="K37" s="14"/>
      <c r="L37" s="375"/>
      <c r="M37" s="376"/>
      <c r="N37" s="287"/>
      <c r="O37" s="286"/>
      <c r="P37" s="15"/>
      <c r="Q37" s="15"/>
      <c r="R37" s="15"/>
      <c r="S37" s="15"/>
      <c r="T37" s="15"/>
      <c r="U37" s="15"/>
      <c r="V37" s="15"/>
      <c r="W37" s="15"/>
      <c r="X37" s="15"/>
      <c r="Y37" s="15"/>
      <c r="Z37" s="15"/>
    </row>
    <row r="38" spans="1:26" ht="15.75" x14ac:dyDescent="0.25">
      <c r="A38" s="17" t="s">
        <v>632</v>
      </c>
      <c r="B38" s="41"/>
      <c r="C38" s="54">
        <f t="shared" ref="C38:G38" si="3">SUM(C16:C37)</f>
        <v>15424469.609999998</v>
      </c>
      <c r="D38" s="54">
        <f t="shared" si="3"/>
        <v>7685426.4300000016</v>
      </c>
      <c r="E38" s="54">
        <f t="shared" si="3"/>
        <v>12273739.57</v>
      </c>
      <c r="F38" s="54">
        <f t="shared" si="3"/>
        <v>19959166</v>
      </c>
      <c r="G38" s="54">
        <f t="shared" si="3"/>
        <v>21315028</v>
      </c>
      <c r="H38" s="232"/>
      <c r="I38" s="232"/>
      <c r="J38" s="193"/>
      <c r="K38" s="193"/>
      <c r="L38" s="377"/>
      <c r="M38" s="378"/>
      <c r="N38" s="379"/>
      <c r="O38" s="380"/>
      <c r="P38" s="232"/>
      <c r="Q38" s="232"/>
      <c r="R38" s="232"/>
      <c r="S38" s="232"/>
      <c r="T38" s="232"/>
      <c r="U38" s="232"/>
      <c r="V38" s="232"/>
      <c r="W38" s="232"/>
      <c r="X38" s="232"/>
      <c r="Y38" s="232"/>
      <c r="Z38" s="232"/>
    </row>
    <row r="39" spans="1:26" ht="15.75" x14ac:dyDescent="0.25">
      <c r="A39" s="17"/>
      <c r="B39" s="41"/>
      <c r="C39" s="39"/>
      <c r="D39" s="55"/>
      <c r="E39" s="55"/>
      <c r="F39" s="55"/>
      <c r="G39" s="55"/>
      <c r="H39" s="10"/>
      <c r="I39" s="10"/>
      <c r="J39" s="12"/>
      <c r="K39" s="12"/>
      <c r="L39" s="381"/>
      <c r="M39" s="382"/>
      <c r="N39" s="383"/>
      <c r="O39" s="285"/>
      <c r="P39" s="10"/>
      <c r="Q39" s="10"/>
      <c r="R39" s="10"/>
      <c r="S39" s="10"/>
      <c r="T39" s="10"/>
      <c r="U39" s="10"/>
      <c r="V39" s="10"/>
      <c r="W39" s="10"/>
      <c r="X39" s="10"/>
      <c r="Y39" s="10"/>
      <c r="Z39" s="10"/>
    </row>
    <row r="40" spans="1:26" ht="15.75" x14ac:dyDescent="0.25">
      <c r="A40" s="42" t="s">
        <v>391</v>
      </c>
      <c r="B40" s="41"/>
      <c r="C40" s="41"/>
      <c r="D40" s="26"/>
      <c r="E40" s="43"/>
      <c r="F40" s="41"/>
      <c r="G40" s="41"/>
      <c r="H40" s="15"/>
      <c r="I40" s="15"/>
      <c r="J40" s="14"/>
      <c r="K40" s="14"/>
      <c r="L40" s="375"/>
      <c r="M40" s="376"/>
      <c r="N40" s="287"/>
      <c r="O40" s="286"/>
      <c r="P40" s="15"/>
      <c r="Q40" s="15"/>
      <c r="R40" s="15"/>
      <c r="S40" s="15"/>
      <c r="T40" s="15"/>
      <c r="U40" s="15"/>
      <c r="V40" s="15"/>
      <c r="W40" s="15"/>
      <c r="X40" s="15"/>
      <c r="Y40" s="15"/>
      <c r="Z40" s="15"/>
    </row>
    <row r="41" spans="1:26" ht="15.75" x14ac:dyDescent="0.25">
      <c r="A41" s="17" t="s">
        <v>642</v>
      </c>
      <c r="B41" s="41"/>
      <c r="C41" s="43"/>
      <c r="D41" s="43"/>
      <c r="E41" s="43"/>
      <c r="F41" s="43"/>
      <c r="G41" s="43"/>
      <c r="H41" s="15"/>
      <c r="I41" s="15"/>
      <c r="J41" s="14"/>
      <c r="K41" s="14"/>
      <c r="L41" s="375"/>
      <c r="M41" s="376"/>
      <c r="N41" s="287"/>
      <c r="O41" s="286"/>
      <c r="P41" s="15"/>
      <c r="Q41" s="15"/>
      <c r="R41" s="15"/>
      <c r="S41" s="15"/>
      <c r="T41" s="15"/>
      <c r="U41" s="15"/>
      <c r="V41" s="15"/>
      <c r="W41" s="15"/>
      <c r="X41" s="15"/>
      <c r="Y41" s="15"/>
      <c r="Z41" s="15"/>
    </row>
    <row r="42" spans="1:26" ht="15.75" x14ac:dyDescent="0.25">
      <c r="A42" s="44" t="s">
        <v>393</v>
      </c>
      <c r="B42" s="41" t="s">
        <v>187</v>
      </c>
      <c r="C42" s="43">
        <v>110284.92</v>
      </c>
      <c r="D42" s="43">
        <v>99861.119999999995</v>
      </c>
      <c r="E42" s="43">
        <f>F42-D42</f>
        <v>20138.880000000005</v>
      </c>
      <c r="F42" s="43">
        <v>120000</v>
      </c>
      <c r="G42" s="43">
        <v>200000</v>
      </c>
      <c r="H42" s="15"/>
      <c r="I42" s="15"/>
      <c r="J42" s="14"/>
      <c r="K42" s="14"/>
      <c r="L42" s="375"/>
      <c r="M42" s="376"/>
      <c r="N42" s="287"/>
      <c r="O42" s="286"/>
      <c r="P42" s="15"/>
      <c r="Q42" s="15"/>
      <c r="R42" s="15"/>
      <c r="S42" s="15"/>
      <c r="T42" s="15"/>
      <c r="U42" s="15"/>
      <c r="V42" s="15"/>
      <c r="W42" s="15"/>
      <c r="X42" s="15"/>
      <c r="Y42" s="15"/>
      <c r="Z42" s="15"/>
    </row>
    <row r="43" spans="1:26" ht="15.75" x14ac:dyDescent="0.25">
      <c r="A43" s="17" t="s">
        <v>493</v>
      </c>
      <c r="B43" s="41"/>
      <c r="C43" s="197"/>
      <c r="D43" s="197"/>
      <c r="E43" s="197"/>
      <c r="F43" s="197"/>
      <c r="G43" s="197"/>
      <c r="H43" s="15"/>
      <c r="I43" s="15"/>
      <c r="J43" s="14"/>
      <c r="K43" s="14"/>
      <c r="L43" s="375"/>
      <c r="M43" s="376"/>
      <c r="N43" s="287"/>
      <c r="O43" s="286"/>
      <c r="P43" s="15"/>
      <c r="Q43" s="15"/>
      <c r="R43" s="15"/>
      <c r="S43" s="15"/>
      <c r="T43" s="15"/>
      <c r="U43" s="15"/>
      <c r="V43" s="15"/>
      <c r="W43" s="15"/>
      <c r="X43" s="15"/>
      <c r="Y43" s="15"/>
      <c r="Z43" s="15"/>
    </row>
    <row r="44" spans="1:26" ht="15.75" x14ac:dyDescent="0.25">
      <c r="A44" s="44" t="s">
        <v>396</v>
      </c>
      <c r="B44" s="41" t="s">
        <v>191</v>
      </c>
      <c r="C44" s="43">
        <v>172425.33</v>
      </c>
      <c r="D44" s="43">
        <v>434947.33</v>
      </c>
      <c r="E44" s="45">
        <f>F44-D44</f>
        <v>513642.67</v>
      </c>
      <c r="F44" s="43">
        <v>948590</v>
      </c>
      <c r="G44" s="43">
        <v>753850</v>
      </c>
      <c r="H44" s="15"/>
      <c r="I44" s="15"/>
      <c r="J44" s="14"/>
      <c r="K44" s="14"/>
      <c r="L44" s="375"/>
      <c r="M44" s="376"/>
      <c r="N44" s="287"/>
      <c r="O44" s="286"/>
      <c r="P44" s="15"/>
      <c r="Q44" s="15"/>
      <c r="R44" s="15"/>
      <c r="S44" s="15"/>
      <c r="T44" s="15"/>
      <c r="U44" s="15"/>
      <c r="V44" s="15"/>
      <c r="W44" s="15"/>
      <c r="X44" s="15"/>
      <c r="Y44" s="15"/>
      <c r="Z44" s="15"/>
    </row>
    <row r="45" spans="1:26" ht="15.75" x14ac:dyDescent="0.25">
      <c r="A45" s="74" t="s">
        <v>2136</v>
      </c>
      <c r="B45" s="41"/>
      <c r="C45" s="43"/>
      <c r="D45" s="43"/>
      <c r="E45" s="45"/>
      <c r="F45" s="43"/>
      <c r="G45" s="45"/>
      <c r="H45" s="15">
        <v>200000</v>
      </c>
      <c r="I45" s="15"/>
      <c r="J45" s="14"/>
      <c r="K45" s="14"/>
      <c r="L45" s="375"/>
      <c r="M45" s="376"/>
      <c r="N45" s="287"/>
      <c r="O45" s="286"/>
      <c r="P45" s="15"/>
      <c r="Q45" s="15"/>
      <c r="R45" s="15"/>
      <c r="S45" s="15"/>
      <c r="T45" s="15"/>
      <c r="U45" s="15"/>
      <c r="V45" s="15"/>
      <c r="W45" s="15"/>
      <c r="X45" s="15"/>
      <c r="Y45" s="15"/>
      <c r="Z45" s="15"/>
    </row>
    <row r="46" spans="1:26" ht="31.5" x14ac:dyDescent="0.25">
      <c r="A46" s="90" t="s">
        <v>2137</v>
      </c>
      <c r="B46" s="41"/>
      <c r="C46" s="43"/>
      <c r="D46" s="43"/>
      <c r="E46" s="45"/>
      <c r="F46" s="43"/>
      <c r="G46" s="45"/>
      <c r="H46" s="15">
        <v>74000</v>
      </c>
      <c r="I46" s="15"/>
      <c r="J46" s="14"/>
      <c r="K46" s="14"/>
      <c r="L46" s="375"/>
      <c r="M46" s="376"/>
      <c r="N46" s="287"/>
      <c r="O46" s="286"/>
      <c r="P46" s="15"/>
      <c r="Q46" s="15"/>
      <c r="R46" s="15"/>
      <c r="S46" s="15"/>
      <c r="T46" s="15"/>
      <c r="U46" s="15"/>
      <c r="V46" s="15"/>
      <c r="W46" s="15"/>
      <c r="X46" s="15"/>
      <c r="Y46" s="15"/>
      <c r="Z46" s="15"/>
    </row>
    <row r="47" spans="1:26" ht="15.75" x14ac:dyDescent="0.25">
      <c r="A47" s="74" t="s">
        <v>2138</v>
      </c>
      <c r="B47" s="41"/>
      <c r="C47" s="43"/>
      <c r="D47" s="43"/>
      <c r="E47" s="45"/>
      <c r="F47" s="43"/>
      <c r="G47" s="45"/>
      <c r="H47" s="15">
        <v>33300</v>
      </c>
      <c r="I47" s="15"/>
      <c r="J47" s="14"/>
      <c r="K47" s="14"/>
      <c r="L47" s="375"/>
      <c r="M47" s="376"/>
      <c r="N47" s="287"/>
      <c r="O47" s="286"/>
      <c r="P47" s="15"/>
      <c r="Q47" s="15"/>
      <c r="R47" s="15"/>
      <c r="S47" s="15"/>
      <c r="T47" s="15"/>
      <c r="U47" s="15"/>
      <c r="V47" s="15"/>
      <c r="W47" s="15"/>
      <c r="X47" s="15"/>
      <c r="Y47" s="15"/>
      <c r="Z47" s="15"/>
    </row>
    <row r="48" spans="1:26" ht="15.75" x14ac:dyDescent="0.25">
      <c r="A48" s="74" t="s">
        <v>2139</v>
      </c>
      <c r="B48" s="41"/>
      <c r="C48" s="43"/>
      <c r="D48" s="43"/>
      <c r="E48" s="45"/>
      <c r="F48" s="43"/>
      <c r="G48" s="45"/>
      <c r="H48" s="15">
        <v>22200</v>
      </c>
      <c r="I48" s="15"/>
      <c r="J48" s="14"/>
      <c r="K48" s="14"/>
      <c r="L48" s="375"/>
      <c r="M48" s="376"/>
      <c r="N48" s="287"/>
      <c r="O48" s="286"/>
      <c r="P48" s="15"/>
      <c r="Q48" s="15"/>
      <c r="R48" s="15"/>
      <c r="S48" s="15"/>
      <c r="T48" s="15"/>
      <c r="U48" s="15"/>
      <c r="V48" s="15"/>
      <c r="W48" s="15"/>
      <c r="X48" s="15"/>
      <c r="Y48" s="15"/>
      <c r="Z48" s="15"/>
    </row>
    <row r="49" spans="1:26" ht="31.5" x14ac:dyDescent="0.25">
      <c r="A49" s="90" t="s">
        <v>2140</v>
      </c>
      <c r="B49" s="41"/>
      <c r="C49" s="43"/>
      <c r="D49" s="43"/>
      <c r="E49" s="45"/>
      <c r="F49" s="43"/>
      <c r="G49" s="45"/>
      <c r="H49" s="15">
        <v>25900</v>
      </c>
      <c r="I49" s="15"/>
      <c r="J49" s="14"/>
      <c r="K49" s="14"/>
      <c r="L49" s="375"/>
      <c r="M49" s="376"/>
      <c r="N49" s="287"/>
      <c r="O49" s="286"/>
      <c r="P49" s="15"/>
      <c r="Q49" s="15"/>
      <c r="R49" s="15"/>
      <c r="S49" s="15"/>
      <c r="T49" s="15"/>
      <c r="U49" s="15"/>
      <c r="V49" s="15"/>
      <c r="W49" s="15"/>
      <c r="X49" s="15"/>
      <c r="Y49" s="15"/>
      <c r="Z49" s="15"/>
    </row>
    <row r="50" spans="1:26" ht="31.5" x14ac:dyDescent="0.25">
      <c r="A50" s="90" t="s">
        <v>2141</v>
      </c>
      <c r="B50" s="41"/>
      <c r="C50" s="43"/>
      <c r="D50" s="43"/>
      <c r="E50" s="45"/>
      <c r="F50" s="43"/>
      <c r="G50" s="45"/>
      <c r="H50" s="15">
        <v>12950</v>
      </c>
      <c r="I50" s="15"/>
      <c r="J50" s="14"/>
      <c r="K50" s="14"/>
      <c r="L50" s="375"/>
      <c r="M50" s="376"/>
      <c r="N50" s="287"/>
      <c r="O50" s="286"/>
      <c r="P50" s="15"/>
      <c r="Q50" s="15"/>
      <c r="R50" s="15"/>
      <c r="S50" s="15"/>
      <c r="T50" s="15"/>
      <c r="U50" s="15"/>
      <c r="V50" s="15"/>
      <c r="W50" s="15"/>
      <c r="X50" s="15"/>
      <c r="Y50" s="15"/>
      <c r="Z50" s="15"/>
    </row>
    <row r="51" spans="1:26" ht="47.25" x14ac:dyDescent="0.25">
      <c r="A51" s="90" t="s">
        <v>2142</v>
      </c>
      <c r="B51" s="41"/>
      <c r="C51" s="43"/>
      <c r="D51" s="43"/>
      <c r="E51" s="45"/>
      <c r="F51" s="43"/>
      <c r="G51" s="45"/>
      <c r="H51" s="15">
        <v>75000</v>
      </c>
      <c r="I51" s="15"/>
      <c r="J51" s="14"/>
      <c r="K51" s="14"/>
      <c r="L51" s="375"/>
      <c r="M51" s="376"/>
      <c r="N51" s="287"/>
      <c r="O51" s="286"/>
      <c r="P51" s="15"/>
      <c r="Q51" s="15"/>
      <c r="R51" s="15"/>
      <c r="S51" s="15"/>
      <c r="T51" s="15"/>
      <c r="U51" s="15"/>
      <c r="V51" s="15"/>
      <c r="W51" s="15"/>
      <c r="X51" s="15"/>
      <c r="Y51" s="15"/>
      <c r="Z51" s="15"/>
    </row>
    <row r="52" spans="1:26" ht="15.75" x14ac:dyDescent="0.25">
      <c r="A52" s="602" t="s">
        <v>2143</v>
      </c>
      <c r="B52" s="483"/>
      <c r="C52" s="457"/>
      <c r="D52" s="457"/>
      <c r="E52" s="452"/>
      <c r="F52" s="457"/>
      <c r="G52" s="452"/>
      <c r="H52" s="15">
        <v>22200</v>
      </c>
      <c r="I52" s="15"/>
      <c r="J52" s="14"/>
      <c r="K52" s="14"/>
      <c r="L52" s="375"/>
      <c r="M52" s="376"/>
      <c r="N52" s="287"/>
      <c r="O52" s="286"/>
      <c r="P52" s="15"/>
      <c r="Q52" s="15"/>
      <c r="R52" s="15"/>
      <c r="S52" s="15"/>
      <c r="T52" s="15"/>
      <c r="U52" s="15"/>
      <c r="V52" s="15"/>
      <c r="W52" s="15"/>
      <c r="X52" s="15"/>
      <c r="Y52" s="15"/>
      <c r="Z52" s="15"/>
    </row>
    <row r="53" spans="1:26" ht="15.75" x14ac:dyDescent="0.25">
      <c r="A53" s="671" t="s">
        <v>2144</v>
      </c>
      <c r="B53" s="601"/>
      <c r="C53" s="448"/>
      <c r="D53" s="448"/>
      <c r="E53" s="449"/>
      <c r="F53" s="448"/>
      <c r="G53" s="449"/>
      <c r="H53" s="15">
        <v>11100</v>
      </c>
      <c r="I53" s="15"/>
      <c r="J53" s="14"/>
      <c r="K53" s="14"/>
      <c r="L53" s="375"/>
      <c r="M53" s="376"/>
      <c r="N53" s="287"/>
      <c r="O53" s="286"/>
      <c r="P53" s="15"/>
      <c r="Q53" s="15"/>
      <c r="R53" s="15"/>
      <c r="S53" s="15"/>
      <c r="T53" s="15"/>
      <c r="U53" s="15"/>
      <c r="V53" s="15"/>
      <c r="W53" s="15"/>
      <c r="X53" s="15"/>
      <c r="Y53" s="15"/>
      <c r="Z53" s="15"/>
    </row>
    <row r="54" spans="1:26" ht="31.5" x14ac:dyDescent="0.25">
      <c r="A54" s="90" t="s">
        <v>2145</v>
      </c>
      <c r="B54" s="41"/>
      <c r="C54" s="43"/>
      <c r="D54" s="43"/>
      <c r="E54" s="45"/>
      <c r="F54" s="43"/>
      <c r="G54" s="45"/>
      <c r="H54" s="15">
        <v>14800</v>
      </c>
      <c r="I54" s="15"/>
      <c r="J54" s="14"/>
      <c r="K54" s="14"/>
      <c r="L54" s="375"/>
      <c r="M54" s="376"/>
      <c r="N54" s="287"/>
      <c r="O54" s="286"/>
      <c r="P54" s="15"/>
      <c r="Q54" s="15"/>
      <c r="R54" s="15"/>
      <c r="S54" s="15"/>
      <c r="T54" s="15"/>
      <c r="U54" s="15"/>
      <c r="V54" s="15"/>
      <c r="W54" s="15"/>
      <c r="X54" s="15"/>
      <c r="Y54" s="15"/>
      <c r="Z54" s="15"/>
    </row>
    <row r="55" spans="1:26" ht="15.75" x14ac:dyDescent="0.25">
      <c r="A55" s="74" t="s">
        <v>2146</v>
      </c>
      <c r="B55" s="41"/>
      <c r="C55" s="43"/>
      <c r="D55" s="43"/>
      <c r="E55" s="45"/>
      <c r="F55" s="43"/>
      <c r="G55" s="45"/>
      <c r="H55" s="15">
        <v>22200</v>
      </c>
      <c r="I55" s="15"/>
      <c r="J55" s="14"/>
      <c r="K55" s="14"/>
      <c r="L55" s="375"/>
      <c r="M55" s="376"/>
      <c r="N55" s="287"/>
      <c r="O55" s="286"/>
      <c r="P55" s="15"/>
      <c r="Q55" s="15"/>
      <c r="R55" s="15"/>
      <c r="S55" s="15"/>
      <c r="T55" s="15"/>
      <c r="U55" s="15"/>
      <c r="V55" s="15"/>
      <c r="W55" s="15"/>
      <c r="X55" s="15"/>
      <c r="Y55" s="15"/>
      <c r="Z55" s="15"/>
    </row>
    <row r="56" spans="1:26" ht="31.5" x14ac:dyDescent="0.25">
      <c r="A56" s="90" t="s">
        <v>2147</v>
      </c>
      <c r="B56" s="41"/>
      <c r="C56" s="43"/>
      <c r="D56" s="43"/>
      <c r="E56" s="45"/>
      <c r="F56" s="43"/>
      <c r="G56" s="45"/>
      <c r="H56" s="15">
        <v>29600</v>
      </c>
      <c r="I56" s="15"/>
      <c r="J56" s="14"/>
      <c r="K56" s="14"/>
      <c r="L56" s="375"/>
      <c r="M56" s="376"/>
      <c r="N56" s="287"/>
      <c r="O56" s="286"/>
      <c r="P56" s="15"/>
      <c r="Q56" s="15"/>
      <c r="R56" s="15"/>
      <c r="S56" s="15"/>
      <c r="T56" s="15"/>
      <c r="U56" s="15"/>
      <c r="V56" s="15"/>
      <c r="W56" s="15"/>
      <c r="X56" s="15"/>
      <c r="Y56" s="15"/>
      <c r="Z56" s="15"/>
    </row>
    <row r="57" spans="1:26" ht="31.5" x14ac:dyDescent="0.25">
      <c r="A57" s="90" t="s">
        <v>2148</v>
      </c>
      <c r="B57" s="41"/>
      <c r="C57" s="43"/>
      <c r="D57" s="43"/>
      <c r="E57" s="45"/>
      <c r="F57" s="43"/>
      <c r="G57" s="45"/>
      <c r="H57" s="15">
        <v>81000</v>
      </c>
      <c r="I57" s="15"/>
      <c r="J57" s="14"/>
      <c r="K57" s="14"/>
      <c r="L57" s="375"/>
      <c r="M57" s="376"/>
      <c r="N57" s="287"/>
      <c r="O57" s="286"/>
      <c r="P57" s="15"/>
      <c r="Q57" s="15"/>
      <c r="R57" s="15"/>
      <c r="S57" s="15"/>
      <c r="T57" s="15"/>
      <c r="U57" s="15"/>
      <c r="V57" s="15"/>
      <c r="W57" s="15"/>
      <c r="X57" s="15"/>
      <c r="Y57" s="15"/>
      <c r="Z57" s="15"/>
    </row>
    <row r="58" spans="1:26" ht="15.75" x14ac:dyDescent="0.25">
      <c r="A58" s="74" t="s">
        <v>2149</v>
      </c>
      <c r="B58" s="41"/>
      <c r="C58" s="43"/>
      <c r="D58" s="43"/>
      <c r="E58" s="45"/>
      <c r="F58" s="43"/>
      <c r="G58" s="45"/>
      <c r="H58" s="15">
        <v>64800</v>
      </c>
      <c r="I58" s="15"/>
      <c r="J58" s="14"/>
      <c r="K58" s="14"/>
      <c r="L58" s="375"/>
      <c r="M58" s="376"/>
      <c r="N58" s="287"/>
      <c r="O58" s="286"/>
      <c r="P58" s="15"/>
      <c r="Q58" s="15"/>
      <c r="R58" s="15"/>
      <c r="S58" s="15"/>
      <c r="T58" s="15"/>
      <c r="U58" s="15"/>
      <c r="V58" s="15"/>
      <c r="W58" s="15"/>
      <c r="X58" s="15"/>
      <c r="Y58" s="15"/>
      <c r="Z58" s="15"/>
    </row>
    <row r="59" spans="1:26" ht="15.75" x14ac:dyDescent="0.25">
      <c r="A59" s="74" t="s">
        <v>2150</v>
      </c>
      <c r="B59" s="41"/>
      <c r="C59" s="43"/>
      <c r="D59" s="43"/>
      <c r="E59" s="45"/>
      <c r="F59" s="43"/>
      <c r="G59" s="45"/>
      <c r="H59" s="15">
        <f>64800</f>
        <v>64800</v>
      </c>
      <c r="I59" s="15"/>
      <c r="J59" s="14"/>
      <c r="K59" s="14"/>
      <c r="L59" s="375"/>
      <c r="M59" s="376"/>
      <c r="N59" s="287"/>
      <c r="O59" s="286"/>
      <c r="P59" s="15"/>
      <c r="Q59" s="15"/>
      <c r="R59" s="15"/>
      <c r="S59" s="15"/>
      <c r="T59" s="15"/>
      <c r="U59" s="15"/>
      <c r="V59" s="15"/>
      <c r="W59" s="15"/>
      <c r="X59" s="15"/>
      <c r="Y59" s="15"/>
      <c r="Z59" s="15"/>
    </row>
    <row r="60" spans="1:26" ht="15.75" x14ac:dyDescent="0.25">
      <c r="A60" s="17" t="s">
        <v>499</v>
      </c>
      <c r="B60" s="41"/>
      <c r="C60" s="43"/>
      <c r="D60" s="43"/>
      <c r="E60" s="45"/>
      <c r="F60" s="43"/>
      <c r="G60" s="45"/>
      <c r="H60" s="15"/>
      <c r="I60" s="15"/>
      <c r="J60" s="14"/>
      <c r="K60" s="14"/>
      <c r="L60" s="375"/>
      <c r="M60" s="376"/>
      <c r="N60" s="287"/>
      <c r="O60" s="286"/>
      <c r="P60" s="15"/>
      <c r="Q60" s="15"/>
      <c r="R60" s="15"/>
      <c r="S60" s="15"/>
      <c r="T60" s="15"/>
      <c r="U60" s="15"/>
      <c r="V60" s="15"/>
      <c r="W60" s="15"/>
      <c r="X60" s="15"/>
      <c r="Y60" s="15"/>
      <c r="Z60" s="15"/>
    </row>
    <row r="61" spans="1:26" ht="15.75" x14ac:dyDescent="0.25">
      <c r="A61" s="44" t="s">
        <v>398</v>
      </c>
      <c r="B61" s="41" t="s">
        <v>195</v>
      </c>
      <c r="C61" s="43">
        <v>713776.25</v>
      </c>
      <c r="D61" s="43">
        <v>203088.83</v>
      </c>
      <c r="E61" s="43">
        <f>F61-D61</f>
        <v>519566.17000000004</v>
      </c>
      <c r="F61" s="43">
        <v>722655</v>
      </c>
      <c r="G61" s="43">
        <v>722655</v>
      </c>
      <c r="H61" s="15"/>
      <c r="I61" s="15"/>
      <c r="J61" s="14"/>
      <c r="K61" s="14"/>
      <c r="L61" s="375"/>
      <c r="M61" s="376"/>
      <c r="N61" s="287"/>
      <c r="O61" s="286"/>
      <c r="P61" s="15"/>
      <c r="Q61" s="15"/>
      <c r="R61" s="15"/>
      <c r="S61" s="15"/>
      <c r="T61" s="15"/>
      <c r="U61" s="15"/>
      <c r="V61" s="15"/>
      <c r="W61" s="15"/>
      <c r="X61" s="15"/>
      <c r="Y61" s="15"/>
      <c r="Z61" s="15"/>
    </row>
    <row r="62" spans="1:26" ht="15.75" x14ac:dyDescent="0.25">
      <c r="A62" s="44" t="s">
        <v>2151</v>
      </c>
      <c r="B62" s="41" t="s">
        <v>201</v>
      </c>
      <c r="C62" s="43">
        <v>0</v>
      </c>
      <c r="D62" s="43">
        <v>0</v>
      </c>
      <c r="E62" s="43">
        <v>0</v>
      </c>
      <c r="F62" s="43">
        <v>0</v>
      </c>
      <c r="G62" s="43">
        <v>225000</v>
      </c>
      <c r="H62" s="15"/>
      <c r="I62" s="15"/>
      <c r="J62" s="14"/>
      <c r="K62" s="14"/>
      <c r="L62" s="375"/>
      <c r="M62" s="376"/>
      <c r="N62" s="287"/>
      <c r="O62" s="286"/>
      <c r="P62" s="15"/>
      <c r="Q62" s="15"/>
      <c r="R62" s="15"/>
      <c r="S62" s="15"/>
      <c r="T62" s="15"/>
      <c r="U62" s="15"/>
      <c r="V62" s="15"/>
      <c r="W62" s="15"/>
      <c r="X62" s="15"/>
      <c r="Y62" s="15"/>
      <c r="Z62" s="15"/>
    </row>
    <row r="63" spans="1:26" ht="15.75" x14ac:dyDescent="0.25">
      <c r="A63" s="48" t="s">
        <v>835</v>
      </c>
      <c r="B63" s="41" t="s">
        <v>213</v>
      </c>
      <c r="C63" s="43">
        <v>1328648</v>
      </c>
      <c r="D63" s="43">
        <v>614793</v>
      </c>
      <c r="E63" s="43">
        <f>F63-D63</f>
        <v>846916</v>
      </c>
      <c r="F63" s="43">
        <v>1461709</v>
      </c>
      <c r="G63" s="43">
        <v>1290680</v>
      </c>
      <c r="H63" s="15"/>
      <c r="I63" s="15"/>
      <c r="J63" s="14"/>
      <c r="K63" s="14"/>
      <c r="L63" s="375"/>
      <c r="M63" s="376"/>
      <c r="N63" s="287"/>
      <c r="O63" s="286"/>
      <c r="P63" s="15"/>
      <c r="Q63" s="15"/>
      <c r="R63" s="15"/>
      <c r="S63" s="15"/>
      <c r="T63" s="15"/>
      <c r="U63" s="15"/>
      <c r="V63" s="15"/>
      <c r="W63" s="15"/>
      <c r="X63" s="15"/>
      <c r="Y63" s="15"/>
      <c r="Z63" s="15"/>
    </row>
    <row r="64" spans="1:26" ht="15.75" x14ac:dyDescent="0.25">
      <c r="A64" s="48" t="s">
        <v>400</v>
      </c>
      <c r="B64" s="41" t="s">
        <v>221</v>
      </c>
      <c r="C64" s="43">
        <v>0</v>
      </c>
      <c r="D64" s="43">
        <v>0</v>
      </c>
      <c r="E64" s="43">
        <v>0</v>
      </c>
      <c r="F64" s="43">
        <v>0</v>
      </c>
      <c r="G64" s="43">
        <v>629975</v>
      </c>
      <c r="H64" s="15"/>
      <c r="I64" s="15"/>
      <c r="J64" s="14"/>
      <c r="K64" s="14"/>
      <c r="L64" s="375"/>
      <c r="M64" s="376"/>
      <c r="N64" s="287"/>
      <c r="O64" s="286"/>
      <c r="P64" s="15"/>
      <c r="Q64" s="15"/>
      <c r="R64" s="15"/>
      <c r="S64" s="15"/>
      <c r="T64" s="15"/>
      <c r="U64" s="15"/>
      <c r="V64" s="15"/>
      <c r="W64" s="15"/>
      <c r="X64" s="15"/>
      <c r="Y64" s="15"/>
      <c r="Z64" s="15"/>
    </row>
    <row r="65" spans="1:26" ht="15.75" x14ac:dyDescent="0.25">
      <c r="A65" s="48" t="s">
        <v>402</v>
      </c>
      <c r="B65" s="41" t="s">
        <v>225</v>
      </c>
      <c r="C65" s="43">
        <v>3052911.46</v>
      </c>
      <c r="D65" s="43">
        <v>1896599.98</v>
      </c>
      <c r="E65" s="43">
        <f>F65-D65</f>
        <v>1615311.02</v>
      </c>
      <c r="F65" s="43">
        <v>3511911</v>
      </c>
      <c r="G65" s="43">
        <f>1527593+278008+910350</f>
        <v>2715951</v>
      </c>
      <c r="H65" s="15"/>
      <c r="I65" s="15"/>
      <c r="J65" s="14"/>
      <c r="K65" s="14"/>
      <c r="L65" s="375"/>
      <c r="M65" s="376"/>
      <c r="N65" s="287"/>
      <c r="O65" s="286"/>
      <c r="P65" s="15"/>
      <c r="Q65" s="15"/>
      <c r="R65" s="15"/>
      <c r="S65" s="15"/>
      <c r="T65" s="15"/>
      <c r="U65" s="15"/>
      <c r="V65" s="15"/>
      <c r="W65" s="15"/>
      <c r="X65" s="15"/>
      <c r="Y65" s="15"/>
      <c r="Z65" s="15"/>
    </row>
    <row r="66" spans="1:26" ht="15.75" x14ac:dyDescent="0.25">
      <c r="A66" s="468" t="s">
        <v>2152</v>
      </c>
      <c r="B66" s="454"/>
      <c r="C66" s="443"/>
      <c r="D66" s="443"/>
      <c r="E66" s="443"/>
      <c r="F66" s="443"/>
      <c r="G66" s="462"/>
      <c r="H66" s="15"/>
      <c r="I66" s="14"/>
      <c r="J66" s="14"/>
      <c r="K66" s="14"/>
      <c r="L66" s="375"/>
      <c r="M66" s="376"/>
      <c r="N66" s="287"/>
      <c r="O66" s="286"/>
      <c r="P66" s="15"/>
      <c r="Q66" s="15"/>
      <c r="R66" s="15"/>
      <c r="S66" s="15"/>
      <c r="T66" s="15"/>
      <c r="U66" s="15"/>
      <c r="V66" s="15"/>
      <c r="W66" s="15"/>
      <c r="X66" s="15"/>
      <c r="Y66" s="15"/>
      <c r="Z66" s="15"/>
    </row>
    <row r="67" spans="1:26" ht="15.75" x14ac:dyDescent="0.25">
      <c r="A67" s="468" t="s">
        <v>2153</v>
      </c>
      <c r="B67" s="454"/>
      <c r="C67" s="443"/>
      <c r="D67" s="443"/>
      <c r="E67" s="443"/>
      <c r="F67" s="443"/>
      <c r="G67" s="462"/>
      <c r="H67" s="15"/>
      <c r="I67" s="14"/>
      <c r="J67" s="14"/>
      <c r="K67" s="14"/>
      <c r="L67" s="375"/>
      <c r="M67" s="376"/>
      <c r="N67" s="287"/>
      <c r="O67" s="286"/>
      <c r="P67" s="15"/>
      <c r="Q67" s="15"/>
      <c r="R67" s="15"/>
      <c r="S67" s="15"/>
      <c r="T67" s="15"/>
      <c r="U67" s="15"/>
      <c r="V67" s="15"/>
      <c r="W67" s="15"/>
      <c r="X67" s="15"/>
      <c r="Y67" s="15"/>
      <c r="Z67" s="15"/>
    </row>
    <row r="68" spans="1:26" ht="15.75" x14ac:dyDescent="0.25">
      <c r="A68" s="74" t="s">
        <v>2154</v>
      </c>
      <c r="B68" s="41"/>
      <c r="C68" s="43"/>
      <c r="D68" s="43"/>
      <c r="E68" s="43"/>
      <c r="F68" s="43"/>
      <c r="G68" s="43"/>
      <c r="H68" s="15"/>
      <c r="I68" s="14"/>
      <c r="J68" s="14"/>
      <c r="K68" s="14"/>
      <c r="L68" s="375"/>
      <c r="M68" s="376"/>
      <c r="N68" s="287"/>
      <c r="O68" s="286"/>
      <c r="P68" s="15"/>
      <c r="Q68" s="15"/>
      <c r="R68" s="15"/>
      <c r="S68" s="15"/>
      <c r="T68" s="15"/>
      <c r="U68" s="15"/>
      <c r="V68" s="15"/>
      <c r="W68" s="15"/>
      <c r="X68" s="15"/>
      <c r="Y68" s="15"/>
      <c r="Z68" s="15"/>
    </row>
    <row r="69" spans="1:26" ht="15.75" x14ac:dyDescent="0.25">
      <c r="A69" s="17" t="s">
        <v>503</v>
      </c>
      <c r="B69" s="41"/>
      <c r="C69" s="43"/>
      <c r="D69" s="43"/>
      <c r="E69" s="43"/>
      <c r="F69" s="43"/>
      <c r="G69" s="43"/>
      <c r="H69" s="15"/>
      <c r="I69" s="14"/>
      <c r="J69" s="14"/>
      <c r="K69" s="14"/>
      <c r="L69" s="375"/>
      <c r="M69" s="376"/>
      <c r="N69" s="287"/>
      <c r="O69" s="286"/>
      <c r="P69" s="15"/>
      <c r="Q69" s="15"/>
      <c r="R69" s="15"/>
      <c r="S69" s="15"/>
      <c r="T69" s="15"/>
      <c r="U69" s="15"/>
      <c r="V69" s="15"/>
      <c r="W69" s="15"/>
      <c r="X69" s="15"/>
      <c r="Y69" s="15"/>
      <c r="Z69" s="15"/>
    </row>
    <row r="70" spans="1:26" ht="15.75" x14ac:dyDescent="0.25">
      <c r="A70" s="44" t="s">
        <v>405</v>
      </c>
      <c r="B70" s="41" t="s">
        <v>235</v>
      </c>
      <c r="C70" s="43">
        <v>42000</v>
      </c>
      <c r="D70" s="43">
        <v>0</v>
      </c>
      <c r="E70" s="43">
        <f>F70-D70</f>
        <v>54000</v>
      </c>
      <c r="F70" s="43">
        <v>54000</v>
      </c>
      <c r="G70" s="43">
        <f>(2000+2500)*12</f>
        <v>54000</v>
      </c>
      <c r="H70" s="15"/>
      <c r="I70" s="14"/>
      <c r="J70" s="14"/>
      <c r="K70" s="14"/>
      <c r="L70" s="375"/>
      <c r="M70" s="376"/>
      <c r="N70" s="287"/>
      <c r="O70" s="286"/>
      <c r="P70" s="15"/>
      <c r="Q70" s="15"/>
      <c r="R70" s="15"/>
      <c r="S70" s="15"/>
      <c r="T70" s="15"/>
      <c r="U70" s="15"/>
      <c r="V70" s="15"/>
      <c r="W70" s="15"/>
      <c r="X70" s="15"/>
      <c r="Y70" s="15"/>
      <c r="Z70" s="15"/>
    </row>
    <row r="71" spans="1:26" ht="15.75" x14ac:dyDescent="0.25">
      <c r="A71" s="17" t="s">
        <v>506</v>
      </c>
      <c r="B71" s="41"/>
      <c r="C71" s="43"/>
      <c r="D71" s="43"/>
      <c r="E71" s="43"/>
      <c r="F71" s="43"/>
      <c r="G71" s="43"/>
      <c r="H71" s="15"/>
      <c r="I71" s="14"/>
      <c r="J71" s="14"/>
      <c r="K71" s="14"/>
      <c r="L71" s="375"/>
      <c r="M71" s="376"/>
      <c r="N71" s="287"/>
      <c r="O71" s="286"/>
      <c r="P71" s="15"/>
      <c r="Q71" s="15"/>
      <c r="R71" s="15"/>
      <c r="S71" s="15"/>
      <c r="T71" s="15"/>
      <c r="U71" s="15"/>
      <c r="V71" s="15"/>
      <c r="W71" s="15"/>
      <c r="X71" s="15"/>
      <c r="Y71" s="15"/>
      <c r="Z71" s="15"/>
    </row>
    <row r="72" spans="1:26" ht="15.75" x14ac:dyDescent="0.25">
      <c r="A72" s="44" t="s">
        <v>725</v>
      </c>
      <c r="B72" s="41" t="s">
        <v>283</v>
      </c>
      <c r="C72" s="43">
        <v>894968</v>
      </c>
      <c r="D72" s="43">
        <v>0</v>
      </c>
      <c r="E72" s="43">
        <f>F72-D72</f>
        <v>900000</v>
      </c>
      <c r="F72" s="43">
        <v>900000</v>
      </c>
      <c r="G72" s="43">
        <f>382350</f>
        <v>382350</v>
      </c>
      <c r="H72" s="15"/>
      <c r="I72" s="14"/>
      <c r="J72" s="14"/>
      <c r="K72" s="14"/>
      <c r="L72" s="375"/>
      <c r="M72" s="376"/>
      <c r="N72" s="287"/>
      <c r="O72" s="286"/>
      <c r="P72" s="15"/>
      <c r="Q72" s="15"/>
      <c r="R72" s="15"/>
      <c r="S72" s="15"/>
      <c r="T72" s="15"/>
      <c r="U72" s="15"/>
      <c r="V72" s="15"/>
      <c r="W72" s="15"/>
      <c r="X72" s="15"/>
      <c r="Y72" s="15"/>
      <c r="Z72" s="15"/>
    </row>
    <row r="73" spans="1:26" ht="15.75" x14ac:dyDescent="0.25">
      <c r="A73" s="17" t="s">
        <v>424</v>
      </c>
      <c r="B73" s="41"/>
      <c r="C73" s="43"/>
      <c r="D73" s="43"/>
      <c r="E73" s="43"/>
      <c r="F73" s="43"/>
      <c r="G73" s="43"/>
      <c r="H73" s="15"/>
      <c r="I73" s="14"/>
      <c r="J73" s="14"/>
      <c r="K73" s="14"/>
      <c r="L73" s="375"/>
      <c r="M73" s="376"/>
      <c r="N73" s="287"/>
      <c r="O73" s="286"/>
      <c r="P73" s="15"/>
      <c r="Q73" s="15"/>
      <c r="R73" s="15"/>
      <c r="S73" s="15"/>
      <c r="T73" s="15"/>
      <c r="U73" s="15"/>
      <c r="V73" s="15"/>
      <c r="W73" s="15"/>
      <c r="X73" s="15"/>
      <c r="Y73" s="15"/>
      <c r="Z73" s="15"/>
    </row>
    <row r="74" spans="1:26" ht="15.75" x14ac:dyDescent="0.25">
      <c r="A74" s="44" t="s">
        <v>424</v>
      </c>
      <c r="B74" s="41" t="s">
        <v>335</v>
      </c>
      <c r="C74" s="43">
        <v>51046398</v>
      </c>
      <c r="D74" s="43">
        <v>23689090</v>
      </c>
      <c r="E74" s="43">
        <f>F74-D74</f>
        <v>49348540</v>
      </c>
      <c r="F74" s="43">
        <v>73037630</v>
      </c>
      <c r="G74" s="43">
        <v>80122420</v>
      </c>
      <c r="H74" s="15"/>
      <c r="I74" s="14"/>
      <c r="J74" s="26">
        <f>I75+K80+J160</f>
        <v>80122420</v>
      </c>
      <c r="K74" s="14"/>
      <c r="L74" s="375"/>
      <c r="M74" s="376"/>
      <c r="N74" s="287"/>
      <c r="O74" s="286"/>
      <c r="P74" s="15"/>
      <c r="Q74" s="15"/>
      <c r="R74" s="15"/>
      <c r="S74" s="15"/>
      <c r="T74" s="15"/>
      <c r="U74" s="15"/>
      <c r="V74" s="15"/>
      <c r="W74" s="15"/>
      <c r="X74" s="15"/>
      <c r="Y74" s="15"/>
      <c r="Z74" s="15"/>
    </row>
    <row r="75" spans="1:26" ht="15.75" x14ac:dyDescent="0.25">
      <c r="A75" s="74" t="s">
        <v>2155</v>
      </c>
      <c r="B75" s="41"/>
      <c r="C75" s="43"/>
      <c r="D75" s="43"/>
      <c r="E75" s="43"/>
      <c r="F75" s="45"/>
      <c r="G75" s="45"/>
      <c r="H75" s="15">
        <v>46500</v>
      </c>
      <c r="I75" s="384">
        <f>SUM(H75:H78)</f>
        <v>1667340</v>
      </c>
      <c r="J75" s="14"/>
      <c r="K75" s="14"/>
      <c r="L75" s="375"/>
      <c r="M75" s="376"/>
      <c r="N75" s="287"/>
      <c r="O75" s="286"/>
      <c r="P75" s="15"/>
      <c r="Q75" s="15"/>
      <c r="R75" s="15"/>
      <c r="S75" s="15"/>
      <c r="T75" s="15"/>
      <c r="U75" s="15"/>
      <c r="V75" s="15"/>
      <c r="W75" s="15"/>
      <c r="X75" s="15"/>
      <c r="Y75" s="15"/>
      <c r="Z75" s="15"/>
    </row>
    <row r="76" spans="1:26" ht="15.75" x14ac:dyDescent="0.25">
      <c r="A76" s="74" t="s">
        <v>2156</v>
      </c>
      <c r="B76" s="41"/>
      <c r="C76" s="43"/>
      <c r="D76" s="43"/>
      <c r="E76" s="43"/>
      <c r="F76" s="45"/>
      <c r="G76" s="45"/>
      <c r="H76" s="15">
        <v>1000000</v>
      </c>
      <c r="I76" s="15"/>
      <c r="J76" s="14"/>
      <c r="K76" s="14"/>
      <c r="L76" s="375"/>
      <c r="M76" s="376"/>
      <c r="N76" s="287"/>
      <c r="O76" s="286"/>
      <c r="P76" s="15"/>
      <c r="Q76" s="15"/>
      <c r="R76" s="15"/>
      <c r="S76" s="15"/>
      <c r="T76" s="15"/>
      <c r="U76" s="15"/>
      <c r="V76" s="15"/>
      <c r="W76" s="15"/>
      <c r="X76" s="15"/>
      <c r="Y76" s="15"/>
      <c r="Z76" s="15"/>
    </row>
    <row r="77" spans="1:26" ht="31.5" x14ac:dyDescent="0.25">
      <c r="A77" s="90" t="s">
        <v>2157</v>
      </c>
      <c r="B77" s="41"/>
      <c r="C77" s="43"/>
      <c r="D77" s="43"/>
      <c r="E77" s="43"/>
      <c r="F77" s="45"/>
      <c r="G77" s="45"/>
      <c r="H77" s="15">
        <v>270840</v>
      </c>
      <c r="I77" s="15"/>
      <c r="J77" s="14"/>
      <c r="K77" s="14"/>
      <c r="L77" s="375"/>
      <c r="M77" s="376"/>
      <c r="N77" s="287"/>
      <c r="O77" s="286"/>
      <c r="P77" s="15"/>
      <c r="Q77" s="15"/>
      <c r="R77" s="15"/>
      <c r="S77" s="15"/>
      <c r="T77" s="15"/>
      <c r="U77" s="15"/>
      <c r="V77" s="15"/>
      <c r="W77" s="15"/>
      <c r="X77" s="15"/>
      <c r="Y77" s="15"/>
      <c r="Z77" s="15"/>
    </row>
    <row r="78" spans="1:26" ht="47.25" x14ac:dyDescent="0.25">
      <c r="A78" s="90" t="s">
        <v>2158</v>
      </c>
      <c r="B78" s="41"/>
      <c r="C78" s="43"/>
      <c r="D78" s="43"/>
      <c r="E78" s="43"/>
      <c r="F78" s="45"/>
      <c r="G78" s="45"/>
      <c r="H78" s="15">
        <v>350000</v>
      </c>
      <c r="I78" s="15"/>
      <c r="J78" s="14"/>
      <c r="K78" s="14"/>
      <c r="L78" s="375"/>
      <c r="M78" s="376"/>
      <c r="N78" s="287"/>
      <c r="O78" s="286"/>
      <c r="P78" s="15"/>
      <c r="Q78" s="15"/>
      <c r="R78" s="15"/>
      <c r="S78" s="15"/>
      <c r="T78" s="15"/>
      <c r="U78" s="15"/>
      <c r="V78" s="15"/>
      <c r="W78" s="15"/>
      <c r="X78" s="15"/>
      <c r="Y78" s="15"/>
      <c r="Z78" s="15"/>
    </row>
    <row r="79" spans="1:26" ht="15.75" x14ac:dyDescent="0.25">
      <c r="A79" s="74" t="s">
        <v>648</v>
      </c>
      <c r="B79" s="41"/>
      <c r="C79" s="43"/>
      <c r="D79" s="43"/>
      <c r="E79" s="43"/>
      <c r="F79" s="45"/>
      <c r="G79" s="45"/>
      <c r="H79" s="15"/>
      <c r="I79" s="15"/>
      <c r="J79" s="14"/>
      <c r="K79" s="14"/>
      <c r="L79" s="375"/>
      <c r="M79" s="376"/>
      <c r="N79" s="287"/>
      <c r="O79" s="286"/>
      <c r="P79" s="15"/>
      <c r="Q79" s="15"/>
      <c r="R79" s="15"/>
      <c r="S79" s="15"/>
      <c r="T79" s="15"/>
      <c r="U79" s="15"/>
      <c r="V79" s="15"/>
      <c r="W79" s="15"/>
      <c r="X79" s="15"/>
      <c r="Y79" s="15"/>
      <c r="Z79" s="15"/>
    </row>
    <row r="80" spans="1:26" ht="31.5" x14ac:dyDescent="0.25">
      <c r="A80" s="559" t="s">
        <v>2159</v>
      </c>
      <c r="B80" s="41"/>
      <c r="C80" s="43"/>
      <c r="D80" s="43"/>
      <c r="E80" s="43"/>
      <c r="F80" s="45"/>
      <c r="G80" s="45"/>
      <c r="H80" s="15"/>
      <c r="I80" s="15"/>
      <c r="J80" s="14"/>
      <c r="K80" s="385">
        <f>SUM(K81:K158)</f>
        <v>77317080</v>
      </c>
      <c r="L80" s="375"/>
      <c r="M80" s="376"/>
      <c r="N80" s="287"/>
      <c r="O80" s="286"/>
      <c r="P80" s="15"/>
      <c r="Q80" s="15"/>
      <c r="R80" s="15"/>
      <c r="S80" s="15"/>
      <c r="T80" s="15"/>
      <c r="U80" s="15"/>
      <c r="V80" s="15"/>
      <c r="W80" s="15"/>
      <c r="X80" s="15"/>
      <c r="Y80" s="15"/>
      <c r="Z80" s="15"/>
    </row>
    <row r="81" spans="1:26" ht="15.75" x14ac:dyDescent="0.25">
      <c r="A81" s="74" t="s">
        <v>460</v>
      </c>
      <c r="B81" s="41"/>
      <c r="C81" s="43"/>
      <c r="D81" s="43"/>
      <c r="E81" s="43"/>
      <c r="F81" s="45"/>
      <c r="G81" s="45"/>
      <c r="H81" s="15">
        <v>2</v>
      </c>
      <c r="I81" s="15">
        <v>264</v>
      </c>
      <c r="J81" s="14">
        <v>678</v>
      </c>
      <c r="K81" s="14">
        <f t="shared" ref="K81:K83" si="4">J81*I81*H81</f>
        <v>357984</v>
      </c>
      <c r="L81" s="375"/>
      <c r="M81" s="376"/>
      <c r="N81" s="287"/>
      <c r="O81" s="286"/>
      <c r="P81" s="15"/>
      <c r="Q81" s="15"/>
      <c r="R81" s="15"/>
      <c r="S81" s="15"/>
      <c r="T81" s="15"/>
      <c r="U81" s="15"/>
      <c r="V81" s="15"/>
      <c r="W81" s="15"/>
      <c r="X81" s="15"/>
      <c r="Y81" s="15"/>
      <c r="Z81" s="15"/>
    </row>
    <row r="82" spans="1:26" ht="31.5" x14ac:dyDescent="0.25">
      <c r="A82" s="90" t="s">
        <v>2160</v>
      </c>
      <c r="B82" s="41"/>
      <c r="C82" s="43"/>
      <c r="D82" s="43"/>
      <c r="E82" s="43"/>
      <c r="F82" s="45"/>
      <c r="G82" s="45"/>
      <c r="H82" s="15">
        <v>2</v>
      </c>
      <c r="I82" s="15">
        <v>264</v>
      </c>
      <c r="J82" s="14">
        <v>720</v>
      </c>
      <c r="K82" s="14">
        <f t="shared" si="4"/>
        <v>380160</v>
      </c>
      <c r="L82" s="375"/>
      <c r="M82" s="376"/>
      <c r="N82" s="287"/>
      <c r="O82" s="286"/>
      <c r="P82" s="15"/>
      <c r="Q82" s="15"/>
      <c r="R82" s="15"/>
      <c r="S82" s="15"/>
      <c r="T82" s="15"/>
      <c r="U82" s="15"/>
      <c r="V82" s="15"/>
      <c r="W82" s="15"/>
      <c r="X82" s="15"/>
      <c r="Y82" s="15"/>
      <c r="Z82" s="15"/>
    </row>
    <row r="83" spans="1:26" ht="15.75" x14ac:dyDescent="0.25">
      <c r="A83" s="74" t="s">
        <v>2161</v>
      </c>
      <c r="B83" s="41"/>
      <c r="C83" s="43"/>
      <c r="D83" s="43"/>
      <c r="E83" s="43"/>
      <c r="F83" s="45"/>
      <c r="G83" s="45"/>
      <c r="H83" s="15">
        <v>2</v>
      </c>
      <c r="I83" s="15">
        <v>264</v>
      </c>
      <c r="J83" s="14">
        <v>765</v>
      </c>
      <c r="K83" s="14">
        <f t="shared" si="4"/>
        <v>403920</v>
      </c>
      <c r="L83" s="375"/>
      <c r="M83" s="376"/>
      <c r="N83" s="287"/>
      <c r="O83" s="286"/>
      <c r="P83" s="15"/>
      <c r="Q83" s="15"/>
      <c r="R83" s="15"/>
      <c r="S83" s="15"/>
      <c r="T83" s="15"/>
      <c r="U83" s="15"/>
      <c r="V83" s="15"/>
      <c r="W83" s="15"/>
      <c r="X83" s="15"/>
      <c r="Y83" s="15"/>
      <c r="Z83" s="15"/>
    </row>
    <row r="84" spans="1:26" ht="15.75" x14ac:dyDescent="0.25">
      <c r="A84" s="300" t="s">
        <v>2162</v>
      </c>
      <c r="B84" s="41"/>
      <c r="C84" s="43"/>
      <c r="D84" s="43"/>
      <c r="E84" s="43"/>
      <c r="F84" s="45"/>
      <c r="G84" s="45"/>
      <c r="H84" s="15"/>
      <c r="I84" s="15"/>
      <c r="J84" s="14"/>
      <c r="K84" s="14"/>
      <c r="L84" s="375"/>
      <c r="M84" s="376"/>
      <c r="N84" s="287"/>
      <c r="O84" s="286"/>
      <c r="P84" s="15"/>
      <c r="Q84" s="15"/>
      <c r="R84" s="15"/>
      <c r="S84" s="15"/>
      <c r="T84" s="15"/>
      <c r="U84" s="15"/>
      <c r="V84" s="15"/>
      <c r="W84" s="15"/>
      <c r="X84" s="15"/>
      <c r="Y84" s="15"/>
      <c r="Z84" s="15"/>
    </row>
    <row r="85" spans="1:26" ht="31.5" x14ac:dyDescent="0.25">
      <c r="A85" s="90" t="s">
        <v>2163</v>
      </c>
      <c r="B85" s="41"/>
      <c r="C85" s="43"/>
      <c r="D85" s="43"/>
      <c r="E85" s="43"/>
      <c r="F85" s="45"/>
      <c r="G85" s="45"/>
      <c r="H85" s="15">
        <v>1</v>
      </c>
      <c r="I85" s="15">
        <v>264</v>
      </c>
      <c r="J85" s="14">
        <v>974</v>
      </c>
      <c r="K85" s="14">
        <f t="shared" ref="K85:K87" si="5">J85*I85*H85</f>
        <v>257136</v>
      </c>
      <c r="L85" s="375"/>
      <c r="M85" s="376"/>
      <c r="N85" s="287"/>
      <c r="O85" s="286"/>
      <c r="P85" s="15"/>
      <c r="Q85" s="15"/>
      <c r="R85" s="15"/>
      <c r="S85" s="15"/>
      <c r="T85" s="15"/>
      <c r="U85" s="15"/>
      <c r="V85" s="15"/>
      <c r="W85" s="15"/>
      <c r="X85" s="15"/>
      <c r="Y85" s="15"/>
      <c r="Z85" s="15"/>
    </row>
    <row r="86" spans="1:26" ht="31.5" x14ac:dyDescent="0.25">
      <c r="A86" s="90" t="s">
        <v>2164</v>
      </c>
      <c r="B86" s="41"/>
      <c r="C86" s="43"/>
      <c r="D86" s="43"/>
      <c r="E86" s="43"/>
      <c r="F86" s="45"/>
      <c r="G86" s="45"/>
      <c r="H86" s="15">
        <v>5</v>
      </c>
      <c r="I86" s="15">
        <v>264</v>
      </c>
      <c r="J86" s="14">
        <v>720</v>
      </c>
      <c r="K86" s="14">
        <f t="shared" si="5"/>
        <v>950400</v>
      </c>
      <c r="L86" s="375"/>
      <c r="M86" s="376"/>
      <c r="N86" s="287"/>
      <c r="O86" s="286"/>
      <c r="P86" s="15"/>
      <c r="Q86" s="15"/>
      <c r="R86" s="15"/>
      <c r="S86" s="15"/>
      <c r="T86" s="15"/>
      <c r="U86" s="15"/>
      <c r="V86" s="15"/>
      <c r="W86" s="15"/>
      <c r="X86" s="15"/>
      <c r="Y86" s="15"/>
      <c r="Z86" s="15"/>
    </row>
    <row r="87" spans="1:26" ht="31.5" x14ac:dyDescent="0.25">
      <c r="A87" s="90" t="s">
        <v>2165</v>
      </c>
      <c r="B87" s="41"/>
      <c r="C87" s="43"/>
      <c r="D87" s="43"/>
      <c r="E87" s="43"/>
      <c r="F87" s="45"/>
      <c r="G87" s="45"/>
      <c r="H87" s="15">
        <v>5</v>
      </c>
      <c r="I87" s="15">
        <f>22*12</f>
        <v>264</v>
      </c>
      <c r="J87" s="14">
        <v>639</v>
      </c>
      <c r="K87" s="14">
        <f t="shared" si="5"/>
        <v>843480</v>
      </c>
      <c r="L87" s="375"/>
      <c r="M87" s="376"/>
      <c r="N87" s="287"/>
      <c r="O87" s="286"/>
      <c r="P87" s="15"/>
      <c r="Q87" s="15"/>
      <c r="R87" s="15"/>
      <c r="S87" s="15"/>
      <c r="T87" s="15"/>
      <c r="U87" s="15"/>
      <c r="V87" s="15"/>
      <c r="W87" s="15"/>
      <c r="X87" s="15"/>
      <c r="Y87" s="15"/>
      <c r="Z87" s="15"/>
    </row>
    <row r="88" spans="1:26" ht="15.75" x14ac:dyDescent="0.25">
      <c r="A88" s="300" t="s">
        <v>2166</v>
      </c>
      <c r="B88" s="41"/>
      <c r="C88" s="43"/>
      <c r="D88" s="43"/>
      <c r="E88" s="43"/>
      <c r="F88" s="45"/>
      <c r="G88" s="45"/>
      <c r="H88" s="15"/>
      <c r="I88" s="15"/>
      <c r="J88" s="14"/>
      <c r="K88" s="14"/>
      <c r="L88" s="375"/>
      <c r="M88" s="376"/>
      <c r="N88" s="287"/>
      <c r="O88" s="286"/>
      <c r="P88" s="15"/>
      <c r="Q88" s="15"/>
      <c r="R88" s="15"/>
      <c r="S88" s="15"/>
      <c r="T88" s="15"/>
      <c r="U88" s="15"/>
      <c r="V88" s="15"/>
      <c r="W88" s="15"/>
      <c r="X88" s="15"/>
      <c r="Y88" s="15"/>
      <c r="Z88" s="15"/>
    </row>
    <row r="89" spans="1:26" ht="15.75" x14ac:dyDescent="0.25">
      <c r="A89" s="74" t="s">
        <v>2167</v>
      </c>
      <c r="B89" s="41"/>
      <c r="C89" s="43"/>
      <c r="D89" s="43"/>
      <c r="E89" s="43"/>
      <c r="F89" s="45"/>
      <c r="G89" s="45"/>
      <c r="H89" s="15">
        <v>17</v>
      </c>
      <c r="I89" s="15">
        <v>264</v>
      </c>
      <c r="J89" s="14">
        <v>639</v>
      </c>
      <c r="K89" s="14">
        <f>J89*I89*H89</f>
        <v>2867832</v>
      </c>
      <c r="L89" s="375"/>
      <c r="M89" s="376"/>
      <c r="N89" s="287"/>
      <c r="O89" s="286"/>
      <c r="P89" s="15"/>
      <c r="Q89" s="15"/>
      <c r="R89" s="15"/>
      <c r="S89" s="15"/>
      <c r="T89" s="15"/>
      <c r="U89" s="15"/>
      <c r="V89" s="15"/>
      <c r="W89" s="15"/>
      <c r="X89" s="15"/>
      <c r="Y89" s="15"/>
      <c r="Z89" s="15"/>
    </row>
    <row r="90" spans="1:26" ht="15.75" x14ac:dyDescent="0.25">
      <c r="A90" s="300" t="s">
        <v>2168</v>
      </c>
      <c r="B90" s="41"/>
      <c r="C90" s="43"/>
      <c r="D90" s="43"/>
      <c r="E90" s="43"/>
      <c r="F90" s="45"/>
      <c r="G90" s="45"/>
      <c r="H90" s="15"/>
      <c r="I90" s="15"/>
      <c r="J90" s="14"/>
      <c r="K90" s="14"/>
      <c r="L90" s="375"/>
      <c r="M90" s="376"/>
      <c r="N90" s="287"/>
      <c r="O90" s="286"/>
      <c r="P90" s="15"/>
      <c r="Q90" s="15"/>
      <c r="R90" s="15"/>
      <c r="S90" s="15"/>
      <c r="T90" s="15"/>
      <c r="U90" s="15"/>
      <c r="V90" s="15"/>
      <c r="W90" s="15"/>
      <c r="X90" s="15"/>
      <c r="Y90" s="15"/>
      <c r="Z90" s="15"/>
    </row>
    <row r="91" spans="1:26" ht="15.75" x14ac:dyDescent="0.25">
      <c r="A91" s="74" t="s">
        <v>2169</v>
      </c>
      <c r="B91" s="41"/>
      <c r="C91" s="43"/>
      <c r="D91" s="43"/>
      <c r="E91" s="43"/>
      <c r="F91" s="45"/>
      <c r="G91" s="45"/>
      <c r="H91" s="15">
        <v>5</v>
      </c>
      <c r="I91" s="15">
        <v>264</v>
      </c>
      <c r="J91" s="14">
        <v>639</v>
      </c>
      <c r="K91" s="14">
        <f t="shared" ref="K91:K92" si="6">J91*I91*H91</f>
        <v>843480</v>
      </c>
      <c r="L91" s="375"/>
      <c r="M91" s="376"/>
      <c r="N91" s="287"/>
      <c r="O91" s="286"/>
      <c r="P91" s="15"/>
      <c r="Q91" s="15"/>
      <c r="R91" s="15"/>
      <c r="S91" s="15"/>
      <c r="T91" s="15"/>
      <c r="U91" s="15"/>
      <c r="V91" s="15"/>
      <c r="W91" s="15"/>
      <c r="X91" s="15"/>
      <c r="Y91" s="15"/>
      <c r="Z91" s="15"/>
    </row>
    <row r="92" spans="1:26" ht="15.75" x14ac:dyDescent="0.25">
      <c r="A92" s="74" t="s">
        <v>2170</v>
      </c>
      <c r="B92" s="41"/>
      <c r="C92" s="43"/>
      <c r="D92" s="43"/>
      <c r="E92" s="43"/>
      <c r="F92" s="45"/>
      <c r="G92" s="45"/>
      <c r="H92" s="15">
        <v>5</v>
      </c>
      <c r="I92" s="15">
        <f>22*12</f>
        <v>264</v>
      </c>
      <c r="J92" s="14">
        <f>678</f>
        <v>678</v>
      </c>
      <c r="K92" s="14">
        <f t="shared" si="6"/>
        <v>894960</v>
      </c>
      <c r="L92" s="375"/>
      <c r="M92" s="376"/>
      <c r="N92" s="287"/>
      <c r="O92" s="286"/>
      <c r="P92" s="15"/>
      <c r="Q92" s="15"/>
      <c r="R92" s="15"/>
      <c r="S92" s="15"/>
      <c r="T92" s="15"/>
      <c r="U92" s="15"/>
      <c r="V92" s="15"/>
      <c r="W92" s="15"/>
      <c r="X92" s="15"/>
      <c r="Y92" s="15"/>
      <c r="Z92" s="15"/>
    </row>
    <row r="93" spans="1:26" ht="47.25" x14ac:dyDescent="0.25">
      <c r="A93" s="584" t="s">
        <v>2171</v>
      </c>
      <c r="B93" s="454"/>
      <c r="C93" s="443"/>
      <c r="D93" s="443"/>
      <c r="E93" s="443"/>
      <c r="F93" s="443"/>
      <c r="G93" s="462"/>
      <c r="H93" s="15"/>
      <c r="I93" s="15"/>
      <c r="J93" s="14"/>
      <c r="K93" s="14"/>
      <c r="L93" s="375"/>
      <c r="M93" s="376"/>
      <c r="N93" s="287"/>
      <c r="O93" s="286"/>
      <c r="P93" s="15"/>
      <c r="Q93" s="15"/>
      <c r="R93" s="15"/>
      <c r="S93" s="15"/>
      <c r="T93" s="15"/>
      <c r="U93" s="15"/>
      <c r="V93" s="15"/>
      <c r="W93" s="15"/>
      <c r="X93" s="15"/>
      <c r="Y93" s="15"/>
      <c r="Z93" s="15"/>
    </row>
    <row r="94" spans="1:26" ht="15.75" x14ac:dyDescent="0.25">
      <c r="A94" s="468" t="s">
        <v>2172</v>
      </c>
      <c r="B94" s="454"/>
      <c r="C94" s="443"/>
      <c r="D94" s="443"/>
      <c r="E94" s="443"/>
      <c r="F94" s="443"/>
      <c r="G94" s="462"/>
      <c r="H94" s="15">
        <v>2</v>
      </c>
      <c r="I94" s="15">
        <f>22*12</f>
        <v>264</v>
      </c>
      <c r="J94" s="14">
        <v>639</v>
      </c>
      <c r="K94" s="14">
        <f t="shared" ref="K94:K95" si="7">J94*I94*H94</f>
        <v>337392</v>
      </c>
      <c r="L94" s="375"/>
      <c r="M94" s="376"/>
      <c r="N94" s="287"/>
      <c r="O94" s="286"/>
      <c r="P94" s="15"/>
      <c r="Q94" s="15"/>
      <c r="R94" s="15"/>
      <c r="S94" s="15"/>
      <c r="T94" s="15"/>
      <c r="U94" s="15"/>
      <c r="V94" s="15"/>
      <c r="W94" s="15"/>
      <c r="X94" s="15"/>
      <c r="Y94" s="15"/>
      <c r="Z94" s="15"/>
    </row>
    <row r="95" spans="1:26" ht="15.75" x14ac:dyDescent="0.25">
      <c r="A95" s="74" t="s">
        <v>2173</v>
      </c>
      <c r="B95" s="41"/>
      <c r="C95" s="43"/>
      <c r="D95" s="43"/>
      <c r="E95" s="43"/>
      <c r="F95" s="45"/>
      <c r="G95" s="45"/>
      <c r="H95" s="15">
        <v>3</v>
      </c>
      <c r="I95" s="15">
        <f>26*12</f>
        <v>312</v>
      </c>
      <c r="J95" s="14">
        <v>765</v>
      </c>
      <c r="K95" s="14">
        <f t="shared" si="7"/>
        <v>716040</v>
      </c>
      <c r="L95" s="375"/>
      <c r="M95" s="376"/>
      <c r="N95" s="287"/>
      <c r="O95" s="286"/>
      <c r="P95" s="15"/>
      <c r="Q95" s="15"/>
      <c r="R95" s="15"/>
      <c r="S95" s="15"/>
      <c r="T95" s="15"/>
      <c r="U95" s="15"/>
      <c r="V95" s="15"/>
      <c r="W95" s="15"/>
      <c r="X95" s="15"/>
      <c r="Y95" s="15"/>
      <c r="Z95" s="15"/>
    </row>
    <row r="96" spans="1:26" ht="15.75" x14ac:dyDescent="0.25">
      <c r="A96" s="300" t="s">
        <v>2174</v>
      </c>
      <c r="B96" s="41"/>
      <c r="C96" s="43"/>
      <c r="D96" s="43"/>
      <c r="E96" s="43"/>
      <c r="F96" s="45"/>
      <c r="G96" s="45"/>
      <c r="H96" s="15"/>
      <c r="I96" s="15"/>
      <c r="J96" s="14"/>
      <c r="K96" s="14"/>
      <c r="L96" s="375"/>
      <c r="M96" s="376"/>
      <c r="N96" s="287"/>
      <c r="O96" s="286"/>
      <c r="P96" s="15"/>
      <c r="Q96" s="15"/>
      <c r="R96" s="15"/>
      <c r="S96" s="15"/>
      <c r="T96" s="15"/>
      <c r="U96" s="15"/>
      <c r="V96" s="15"/>
      <c r="W96" s="15"/>
      <c r="X96" s="15"/>
      <c r="Y96" s="15"/>
      <c r="Z96" s="15"/>
    </row>
    <row r="97" spans="1:26" ht="15.75" x14ac:dyDescent="0.25">
      <c r="A97" s="74" t="s">
        <v>2175</v>
      </c>
      <c r="B97" s="41"/>
      <c r="C97" s="43"/>
      <c r="D97" s="43"/>
      <c r="E97" s="43"/>
      <c r="F97" s="45"/>
      <c r="G97" s="45"/>
      <c r="H97" s="15">
        <v>5</v>
      </c>
      <c r="I97" s="15">
        <f>22*12</f>
        <v>264</v>
      </c>
      <c r="J97" s="14">
        <v>639</v>
      </c>
      <c r="K97" s="14">
        <f>J97*I97*H97</f>
        <v>843480</v>
      </c>
      <c r="L97" s="375"/>
      <c r="M97" s="376"/>
      <c r="N97" s="287"/>
      <c r="O97" s="286"/>
      <c r="P97" s="15"/>
      <c r="Q97" s="15"/>
      <c r="R97" s="15"/>
      <c r="S97" s="15"/>
      <c r="T97" s="15"/>
      <c r="U97" s="15"/>
      <c r="V97" s="15"/>
      <c r="W97" s="15"/>
      <c r="X97" s="15"/>
      <c r="Y97" s="15"/>
      <c r="Z97" s="15"/>
    </row>
    <row r="98" spans="1:26" ht="15.75" x14ac:dyDescent="0.25">
      <c r="A98" s="699" t="s">
        <v>2176</v>
      </c>
      <c r="B98" s="483"/>
      <c r="C98" s="457"/>
      <c r="D98" s="457"/>
      <c r="E98" s="457"/>
      <c r="F98" s="452"/>
      <c r="G98" s="452"/>
      <c r="H98" s="15"/>
      <c r="I98" s="15"/>
      <c r="J98" s="14"/>
      <c r="K98" s="14"/>
      <c r="L98" s="375"/>
      <c r="M98" s="376"/>
      <c r="N98" s="287"/>
      <c r="O98" s="286"/>
      <c r="P98" s="15"/>
      <c r="Q98" s="15"/>
      <c r="R98" s="15"/>
      <c r="S98" s="15"/>
      <c r="T98" s="15"/>
      <c r="U98" s="15"/>
      <c r="V98" s="15"/>
      <c r="W98" s="15"/>
      <c r="X98" s="15"/>
      <c r="Y98" s="15"/>
      <c r="Z98" s="15"/>
    </row>
    <row r="99" spans="1:26" ht="15.75" x14ac:dyDescent="0.25">
      <c r="A99" s="671" t="s">
        <v>2169</v>
      </c>
      <c r="B99" s="601"/>
      <c r="C99" s="448"/>
      <c r="D99" s="448"/>
      <c r="E99" s="448"/>
      <c r="F99" s="449"/>
      <c r="G99" s="449"/>
      <c r="H99" s="15">
        <v>5</v>
      </c>
      <c r="I99" s="15">
        <f>22*12</f>
        <v>264</v>
      </c>
      <c r="J99" s="14">
        <v>639</v>
      </c>
      <c r="K99" s="14">
        <f>J99*I99*H99</f>
        <v>843480</v>
      </c>
      <c r="L99" s="375"/>
      <c r="M99" s="376"/>
      <c r="N99" s="287"/>
      <c r="O99" s="286"/>
      <c r="P99" s="15"/>
      <c r="Q99" s="15"/>
      <c r="R99" s="15"/>
      <c r="S99" s="15"/>
      <c r="T99" s="15"/>
      <c r="U99" s="15"/>
      <c r="V99" s="15"/>
      <c r="W99" s="15"/>
      <c r="X99" s="15"/>
      <c r="Y99" s="15"/>
      <c r="Z99" s="15"/>
    </row>
    <row r="100" spans="1:26" ht="15.75" x14ac:dyDescent="0.25">
      <c r="A100" s="300" t="s">
        <v>2177</v>
      </c>
      <c r="B100" s="41"/>
      <c r="C100" s="43"/>
      <c r="D100" s="43"/>
      <c r="E100" s="43"/>
      <c r="F100" s="45"/>
      <c r="G100" s="45"/>
      <c r="H100" s="15"/>
      <c r="I100" s="15"/>
      <c r="J100" s="14"/>
      <c r="K100" s="14"/>
      <c r="L100" s="375"/>
      <c r="M100" s="376"/>
      <c r="N100" s="287"/>
      <c r="O100" s="286"/>
      <c r="P100" s="15"/>
      <c r="Q100" s="15"/>
      <c r="R100" s="15"/>
      <c r="S100" s="15"/>
      <c r="T100" s="15"/>
      <c r="U100" s="15"/>
      <c r="V100" s="15"/>
      <c r="W100" s="15"/>
      <c r="X100" s="15"/>
      <c r="Y100" s="15"/>
      <c r="Z100" s="15"/>
    </row>
    <row r="101" spans="1:26" ht="15.75" x14ac:dyDescent="0.25">
      <c r="A101" s="74" t="s">
        <v>2178</v>
      </c>
      <c r="B101" s="41"/>
      <c r="C101" s="43"/>
      <c r="D101" s="43"/>
      <c r="E101" s="43"/>
      <c r="F101" s="45"/>
      <c r="G101" s="45"/>
      <c r="H101" s="15">
        <v>6</v>
      </c>
      <c r="I101" s="15">
        <v>264</v>
      </c>
      <c r="J101" s="14">
        <v>639</v>
      </c>
      <c r="K101" s="14">
        <f>J101*I101*H101</f>
        <v>1012176</v>
      </c>
      <c r="L101" s="375"/>
      <c r="M101" s="376"/>
      <c r="N101" s="287"/>
      <c r="O101" s="286"/>
      <c r="P101" s="15"/>
      <c r="Q101" s="15"/>
      <c r="R101" s="15"/>
      <c r="S101" s="15"/>
      <c r="T101" s="15"/>
      <c r="U101" s="15"/>
      <c r="V101" s="15"/>
      <c r="W101" s="15"/>
      <c r="X101" s="15"/>
      <c r="Y101" s="15"/>
      <c r="Z101" s="15"/>
    </row>
    <row r="102" spans="1:26" ht="15.75" x14ac:dyDescent="0.25">
      <c r="A102" s="300" t="s">
        <v>2179</v>
      </c>
      <c r="B102" s="41"/>
      <c r="C102" s="43"/>
      <c r="D102" s="43"/>
      <c r="E102" s="43"/>
      <c r="F102" s="45"/>
      <c r="G102" s="45"/>
      <c r="H102" s="15"/>
      <c r="I102" s="15"/>
      <c r="J102" s="14"/>
      <c r="K102" s="14"/>
      <c r="L102" s="375"/>
      <c r="M102" s="376"/>
      <c r="N102" s="287"/>
      <c r="O102" s="286"/>
      <c r="P102" s="15"/>
      <c r="Q102" s="15"/>
      <c r="R102" s="15"/>
      <c r="S102" s="15"/>
      <c r="T102" s="15"/>
      <c r="U102" s="15"/>
      <c r="V102" s="15"/>
      <c r="W102" s="15"/>
      <c r="X102" s="15"/>
      <c r="Y102" s="15"/>
      <c r="Z102" s="15"/>
    </row>
    <row r="103" spans="1:26" ht="15.75" x14ac:dyDescent="0.25">
      <c r="A103" s="74" t="s">
        <v>2175</v>
      </c>
      <c r="B103" s="41"/>
      <c r="C103" s="43"/>
      <c r="D103" s="43"/>
      <c r="E103" s="43"/>
      <c r="F103" s="45"/>
      <c r="G103" s="45"/>
      <c r="H103" s="15">
        <v>5</v>
      </c>
      <c r="I103" s="15">
        <v>264</v>
      </c>
      <c r="J103" s="14">
        <v>639</v>
      </c>
      <c r="K103" s="14">
        <f>J103*I103*H103</f>
        <v>843480</v>
      </c>
      <c r="L103" s="375"/>
      <c r="M103" s="376"/>
      <c r="N103" s="287"/>
      <c r="O103" s="286"/>
      <c r="P103" s="15"/>
      <c r="Q103" s="15"/>
      <c r="R103" s="15"/>
      <c r="S103" s="15"/>
      <c r="T103" s="15"/>
      <c r="U103" s="15"/>
      <c r="V103" s="15"/>
      <c r="W103" s="15"/>
      <c r="X103" s="15"/>
      <c r="Y103" s="15"/>
      <c r="Z103" s="15"/>
    </row>
    <row r="104" spans="1:26" ht="15.75" x14ac:dyDescent="0.25">
      <c r="A104" s="300" t="s">
        <v>2180</v>
      </c>
      <c r="B104" s="41"/>
      <c r="C104" s="43"/>
      <c r="D104" s="43"/>
      <c r="E104" s="43"/>
      <c r="F104" s="45"/>
      <c r="G104" s="45"/>
      <c r="H104" s="15"/>
      <c r="I104" s="15"/>
      <c r="J104" s="14"/>
      <c r="K104" s="14"/>
      <c r="L104" s="375"/>
      <c r="M104" s="376"/>
      <c r="N104" s="287"/>
      <c r="O104" s="286"/>
      <c r="P104" s="15"/>
      <c r="Q104" s="15"/>
      <c r="R104" s="15"/>
      <c r="S104" s="15"/>
      <c r="T104" s="15"/>
      <c r="U104" s="15"/>
      <c r="V104" s="15"/>
      <c r="W104" s="15"/>
      <c r="X104" s="15"/>
      <c r="Y104" s="15"/>
      <c r="Z104" s="15"/>
    </row>
    <row r="105" spans="1:26" ht="31.5" x14ac:dyDescent="0.25">
      <c r="A105" s="90" t="s">
        <v>2181</v>
      </c>
      <c r="B105" s="41"/>
      <c r="C105" s="43"/>
      <c r="D105" s="43"/>
      <c r="E105" s="43"/>
      <c r="F105" s="45"/>
      <c r="G105" s="45"/>
      <c r="H105" s="15">
        <v>1</v>
      </c>
      <c r="I105" s="15">
        <v>264</v>
      </c>
      <c r="J105" s="14">
        <v>974</v>
      </c>
      <c r="K105" s="14">
        <f t="shared" ref="K105:K109" si="8">J105*I105*H105</f>
        <v>257136</v>
      </c>
      <c r="L105" s="375"/>
      <c r="M105" s="376"/>
      <c r="N105" s="287"/>
      <c r="O105" s="286"/>
      <c r="P105" s="15"/>
      <c r="Q105" s="15"/>
      <c r="R105" s="15"/>
      <c r="S105" s="15"/>
      <c r="T105" s="15"/>
      <c r="U105" s="15"/>
      <c r="V105" s="15"/>
      <c r="W105" s="15"/>
      <c r="X105" s="15"/>
      <c r="Y105" s="15"/>
      <c r="Z105" s="15"/>
    </row>
    <row r="106" spans="1:26" ht="15.75" x14ac:dyDescent="0.25">
      <c r="A106" s="74" t="s">
        <v>2182</v>
      </c>
      <c r="B106" s="41"/>
      <c r="C106" s="43"/>
      <c r="D106" s="43"/>
      <c r="E106" s="43"/>
      <c r="F106" s="45"/>
      <c r="G106" s="45"/>
      <c r="H106" s="15">
        <v>9</v>
      </c>
      <c r="I106" s="15">
        <f t="shared" ref="I106:I107" si="9">26*12</f>
        <v>312</v>
      </c>
      <c r="J106" s="14">
        <v>765</v>
      </c>
      <c r="K106" s="14">
        <f t="shared" si="8"/>
        <v>2148120</v>
      </c>
      <c r="L106" s="375"/>
      <c r="M106" s="376"/>
      <c r="N106" s="287"/>
      <c r="O106" s="286"/>
      <c r="P106" s="15"/>
      <c r="Q106" s="15"/>
      <c r="R106" s="15"/>
      <c r="S106" s="15"/>
      <c r="T106" s="15"/>
      <c r="U106" s="15"/>
      <c r="V106" s="15"/>
      <c r="W106" s="15"/>
      <c r="X106" s="15"/>
      <c r="Y106" s="15"/>
      <c r="Z106" s="15"/>
    </row>
    <row r="107" spans="1:26" ht="15.75" x14ac:dyDescent="0.25">
      <c r="A107" s="74" t="s">
        <v>2183</v>
      </c>
      <c r="B107" s="41"/>
      <c r="C107" s="43"/>
      <c r="D107" s="43"/>
      <c r="E107" s="43"/>
      <c r="F107" s="45"/>
      <c r="G107" s="45"/>
      <c r="H107" s="15">
        <v>18</v>
      </c>
      <c r="I107" s="15">
        <f t="shared" si="9"/>
        <v>312</v>
      </c>
      <c r="J107" s="14">
        <v>678</v>
      </c>
      <c r="K107" s="14">
        <f t="shared" si="8"/>
        <v>3807648</v>
      </c>
      <c r="L107" s="375"/>
      <c r="M107" s="376"/>
      <c r="N107" s="287"/>
      <c r="O107" s="286"/>
      <c r="P107" s="15"/>
      <c r="Q107" s="15"/>
      <c r="R107" s="15"/>
      <c r="S107" s="15"/>
      <c r="T107" s="15"/>
      <c r="U107" s="15"/>
      <c r="V107" s="15"/>
      <c r="W107" s="15"/>
      <c r="X107" s="15"/>
      <c r="Y107" s="15"/>
      <c r="Z107" s="15"/>
    </row>
    <row r="108" spans="1:26" ht="15.75" x14ac:dyDescent="0.25">
      <c r="A108" s="74" t="s">
        <v>2184</v>
      </c>
      <c r="B108" s="41"/>
      <c r="C108" s="43"/>
      <c r="D108" s="43"/>
      <c r="E108" s="43"/>
      <c r="F108" s="45"/>
      <c r="G108" s="45"/>
      <c r="H108" s="15">
        <v>3</v>
      </c>
      <c r="I108" s="15">
        <v>264</v>
      </c>
      <c r="J108" s="14">
        <v>678</v>
      </c>
      <c r="K108" s="14">
        <f t="shared" si="8"/>
        <v>536976</v>
      </c>
      <c r="L108" s="375"/>
      <c r="M108" s="376"/>
      <c r="N108" s="287"/>
      <c r="O108" s="286"/>
      <c r="P108" s="15"/>
      <c r="Q108" s="15"/>
      <c r="R108" s="15"/>
      <c r="S108" s="15"/>
      <c r="T108" s="15"/>
      <c r="U108" s="15"/>
      <c r="V108" s="15"/>
      <c r="W108" s="15"/>
      <c r="X108" s="15"/>
      <c r="Y108" s="15"/>
      <c r="Z108" s="15"/>
    </row>
    <row r="109" spans="1:26" ht="15.75" x14ac:dyDescent="0.25">
      <c r="A109" s="74" t="s">
        <v>2185</v>
      </c>
      <c r="B109" s="41"/>
      <c r="C109" s="43"/>
      <c r="D109" s="43"/>
      <c r="E109" s="43"/>
      <c r="F109" s="45"/>
      <c r="G109" s="45"/>
      <c r="H109" s="15">
        <v>20</v>
      </c>
      <c r="I109" s="15">
        <v>264</v>
      </c>
      <c r="J109" s="14">
        <v>639</v>
      </c>
      <c r="K109" s="14">
        <f t="shared" si="8"/>
        <v>3373920</v>
      </c>
      <c r="L109" s="375"/>
      <c r="M109" s="376"/>
      <c r="N109" s="287"/>
      <c r="O109" s="286"/>
      <c r="P109" s="15"/>
      <c r="Q109" s="15"/>
      <c r="R109" s="15"/>
      <c r="S109" s="15"/>
      <c r="T109" s="15"/>
      <c r="U109" s="15"/>
      <c r="V109" s="15"/>
      <c r="W109" s="15"/>
      <c r="X109" s="15"/>
      <c r="Y109" s="15"/>
      <c r="Z109" s="15"/>
    </row>
    <row r="110" spans="1:26" ht="31.5" x14ac:dyDescent="0.25">
      <c r="A110" s="559" t="s">
        <v>2186</v>
      </c>
      <c r="B110" s="41"/>
      <c r="C110" s="43"/>
      <c r="D110" s="43"/>
      <c r="E110" s="43"/>
      <c r="F110" s="45"/>
      <c r="G110" s="45"/>
      <c r="H110" s="15"/>
      <c r="I110" s="15"/>
      <c r="J110" s="14"/>
      <c r="K110" s="14"/>
      <c r="L110" s="375"/>
      <c r="M110" s="376"/>
      <c r="N110" s="287"/>
      <c r="O110" s="286"/>
      <c r="P110" s="15"/>
      <c r="Q110" s="15"/>
      <c r="R110" s="15"/>
      <c r="S110" s="15"/>
      <c r="T110" s="15"/>
      <c r="U110" s="15"/>
      <c r="V110" s="15"/>
      <c r="W110" s="15"/>
      <c r="X110" s="15"/>
      <c r="Y110" s="15"/>
      <c r="Z110" s="15"/>
    </row>
    <row r="111" spans="1:26" ht="15.75" x14ac:dyDescent="0.25">
      <c r="A111" s="74" t="s">
        <v>2187</v>
      </c>
      <c r="B111" s="41"/>
      <c r="C111" s="43"/>
      <c r="D111" s="43"/>
      <c r="E111" s="43"/>
      <c r="F111" s="45"/>
      <c r="G111" s="45"/>
      <c r="H111" s="15">
        <v>6</v>
      </c>
      <c r="I111" s="15">
        <f>26*12</f>
        <v>312</v>
      </c>
      <c r="J111" s="14">
        <v>765</v>
      </c>
      <c r="K111" s="14">
        <f t="shared" ref="K111:K112" si="10">J111*I111*H111</f>
        <v>1432080</v>
      </c>
      <c r="L111" s="375"/>
      <c r="M111" s="376"/>
      <c r="N111" s="287"/>
      <c r="O111" s="286"/>
      <c r="P111" s="15"/>
      <c r="Q111" s="15"/>
      <c r="R111" s="15"/>
      <c r="S111" s="15"/>
      <c r="T111" s="15"/>
      <c r="U111" s="15"/>
      <c r="V111" s="15"/>
      <c r="W111" s="15"/>
      <c r="X111" s="15"/>
      <c r="Y111" s="15"/>
      <c r="Z111" s="15"/>
    </row>
    <row r="112" spans="1:26" ht="15.75" x14ac:dyDescent="0.25">
      <c r="A112" s="74" t="s">
        <v>2188</v>
      </c>
      <c r="B112" s="41"/>
      <c r="C112" s="43"/>
      <c r="D112" s="43"/>
      <c r="E112" s="43"/>
      <c r="F112" s="45"/>
      <c r="G112" s="45"/>
      <c r="H112" s="15">
        <v>8</v>
      </c>
      <c r="I112" s="15">
        <f>22*12</f>
        <v>264</v>
      </c>
      <c r="J112" s="14">
        <v>639</v>
      </c>
      <c r="K112" s="14">
        <f t="shared" si="10"/>
        <v>1349568</v>
      </c>
      <c r="L112" s="375"/>
      <c r="M112" s="376"/>
      <c r="N112" s="287"/>
      <c r="O112" s="286"/>
      <c r="P112" s="15"/>
      <c r="Q112" s="15"/>
      <c r="R112" s="15"/>
      <c r="S112" s="15"/>
      <c r="T112" s="15"/>
      <c r="U112" s="15"/>
      <c r="V112" s="15"/>
      <c r="W112" s="15"/>
      <c r="X112" s="15"/>
      <c r="Y112" s="15"/>
      <c r="Z112" s="15"/>
    </row>
    <row r="113" spans="1:26" ht="15.75" x14ac:dyDescent="0.25">
      <c r="A113" s="300" t="s">
        <v>2189</v>
      </c>
      <c r="B113" s="41"/>
      <c r="C113" s="43"/>
      <c r="D113" s="43"/>
      <c r="E113" s="43"/>
      <c r="F113" s="45"/>
      <c r="G113" s="45"/>
      <c r="H113" s="15"/>
      <c r="I113" s="15"/>
      <c r="J113" s="14"/>
      <c r="K113" s="14"/>
      <c r="L113" s="375"/>
      <c r="M113" s="376"/>
      <c r="N113" s="287"/>
      <c r="O113" s="286"/>
      <c r="P113" s="15"/>
      <c r="Q113" s="15"/>
      <c r="R113" s="15"/>
      <c r="S113" s="15"/>
      <c r="T113" s="15"/>
      <c r="U113" s="15"/>
      <c r="V113" s="15"/>
      <c r="W113" s="15"/>
      <c r="X113" s="15"/>
      <c r="Y113" s="15"/>
      <c r="Z113" s="15"/>
    </row>
    <row r="114" spans="1:26" ht="15.75" x14ac:dyDescent="0.25">
      <c r="A114" s="74" t="s">
        <v>1710</v>
      </c>
      <c r="B114" s="41"/>
      <c r="C114" s="43"/>
      <c r="D114" s="43"/>
      <c r="E114" s="43"/>
      <c r="F114" s="45"/>
      <c r="G114" s="45"/>
      <c r="H114" s="15">
        <v>1</v>
      </c>
      <c r="I114" s="15">
        <v>264</v>
      </c>
      <c r="J114" s="14">
        <v>678</v>
      </c>
      <c r="K114" s="14">
        <f t="shared" ref="K114:K115" si="11">J114*I114*H114</f>
        <v>178992</v>
      </c>
      <c r="L114" s="375"/>
      <c r="M114" s="376"/>
      <c r="N114" s="287"/>
      <c r="O114" s="286"/>
      <c r="P114" s="15"/>
      <c r="Q114" s="15"/>
      <c r="R114" s="15"/>
      <c r="S114" s="15"/>
      <c r="T114" s="15"/>
      <c r="U114" s="15"/>
      <c r="V114" s="15"/>
      <c r="W114" s="15"/>
      <c r="X114" s="15"/>
      <c r="Y114" s="15"/>
      <c r="Z114" s="15"/>
    </row>
    <row r="115" spans="1:26" ht="15.75" x14ac:dyDescent="0.25">
      <c r="A115" s="74" t="s">
        <v>2178</v>
      </c>
      <c r="B115" s="41"/>
      <c r="C115" s="43"/>
      <c r="D115" s="43"/>
      <c r="E115" s="43"/>
      <c r="F115" s="45"/>
      <c r="G115" s="45"/>
      <c r="H115" s="15">
        <v>6</v>
      </c>
      <c r="I115" s="15">
        <v>264</v>
      </c>
      <c r="J115" s="14">
        <v>639</v>
      </c>
      <c r="K115" s="14">
        <f t="shared" si="11"/>
        <v>1012176</v>
      </c>
      <c r="L115" s="375"/>
      <c r="M115" s="376"/>
      <c r="N115" s="287"/>
      <c r="O115" s="286"/>
      <c r="P115" s="15"/>
      <c r="Q115" s="15"/>
      <c r="R115" s="15"/>
      <c r="S115" s="15"/>
      <c r="T115" s="15"/>
      <c r="U115" s="15"/>
      <c r="V115" s="15"/>
      <c r="W115" s="15"/>
      <c r="X115" s="15"/>
      <c r="Y115" s="15"/>
      <c r="Z115" s="15"/>
    </row>
    <row r="116" spans="1:26" ht="15.75" x14ac:dyDescent="0.25">
      <c r="A116" s="300" t="s">
        <v>2190</v>
      </c>
      <c r="B116" s="41"/>
      <c r="C116" s="43"/>
      <c r="D116" s="43"/>
      <c r="E116" s="43"/>
      <c r="F116" s="45"/>
      <c r="G116" s="45"/>
      <c r="H116" s="15"/>
      <c r="I116" s="15"/>
      <c r="J116" s="14"/>
      <c r="K116" s="14"/>
      <c r="L116" s="375"/>
      <c r="M116" s="376"/>
      <c r="N116" s="287"/>
      <c r="O116" s="286"/>
      <c r="P116" s="15"/>
      <c r="Q116" s="15"/>
      <c r="R116" s="15"/>
      <c r="S116" s="15"/>
      <c r="T116" s="15"/>
      <c r="U116" s="15"/>
      <c r="V116" s="15"/>
      <c r="W116" s="15"/>
      <c r="X116" s="15"/>
      <c r="Y116" s="15"/>
      <c r="Z116" s="15"/>
    </row>
    <row r="117" spans="1:26" ht="31.5" x14ac:dyDescent="0.25">
      <c r="A117" s="90" t="s">
        <v>2191</v>
      </c>
      <c r="B117" s="41"/>
      <c r="C117" s="43"/>
      <c r="D117" s="43"/>
      <c r="E117" s="43"/>
      <c r="F117" s="45"/>
      <c r="G117" s="45"/>
      <c r="H117" s="15">
        <v>1</v>
      </c>
      <c r="I117" s="15">
        <v>264</v>
      </c>
      <c r="J117" s="14">
        <v>974</v>
      </c>
      <c r="K117" s="14">
        <f t="shared" ref="K117:K118" si="12">J117*I117*H117</f>
        <v>257136</v>
      </c>
      <c r="L117" s="375"/>
      <c r="M117" s="376"/>
      <c r="N117" s="287"/>
      <c r="O117" s="286"/>
      <c r="P117" s="15"/>
      <c r="Q117" s="15"/>
      <c r="R117" s="15"/>
      <c r="S117" s="15"/>
      <c r="T117" s="15"/>
      <c r="U117" s="15"/>
      <c r="V117" s="15"/>
      <c r="W117" s="15"/>
      <c r="X117" s="15"/>
      <c r="Y117" s="15"/>
      <c r="Z117" s="15"/>
    </row>
    <row r="118" spans="1:26" ht="15.75" x14ac:dyDescent="0.25">
      <c r="A118" s="74" t="s">
        <v>2178</v>
      </c>
      <c r="B118" s="41"/>
      <c r="C118" s="43"/>
      <c r="D118" s="43"/>
      <c r="E118" s="43"/>
      <c r="F118" s="45"/>
      <c r="G118" s="45"/>
      <c r="H118" s="15">
        <v>6</v>
      </c>
      <c r="I118" s="15">
        <v>264</v>
      </c>
      <c r="J118" s="14">
        <v>639</v>
      </c>
      <c r="K118" s="14">
        <f t="shared" si="12"/>
        <v>1012176</v>
      </c>
      <c r="L118" s="375"/>
      <c r="M118" s="376"/>
      <c r="N118" s="287"/>
      <c r="O118" s="286"/>
      <c r="P118" s="15"/>
      <c r="Q118" s="15"/>
      <c r="R118" s="15"/>
      <c r="S118" s="15"/>
      <c r="T118" s="15"/>
      <c r="U118" s="15"/>
      <c r="V118" s="15"/>
      <c r="W118" s="15"/>
      <c r="X118" s="15"/>
      <c r="Y118" s="15"/>
      <c r="Z118" s="15"/>
    </row>
    <row r="119" spans="1:26" ht="15.75" x14ac:dyDescent="0.25">
      <c r="A119" s="300" t="s">
        <v>2192</v>
      </c>
      <c r="B119" s="41"/>
      <c r="C119" s="43"/>
      <c r="D119" s="43"/>
      <c r="E119" s="43"/>
      <c r="F119" s="45"/>
      <c r="G119" s="45"/>
      <c r="H119" s="15"/>
      <c r="I119" s="15"/>
      <c r="J119" s="14"/>
      <c r="K119" s="14"/>
      <c r="L119" s="375"/>
      <c r="M119" s="376"/>
      <c r="N119" s="287"/>
      <c r="O119" s="286"/>
      <c r="P119" s="15"/>
      <c r="Q119" s="15"/>
      <c r="R119" s="15"/>
      <c r="S119" s="15"/>
      <c r="T119" s="15"/>
      <c r="U119" s="15"/>
      <c r="V119" s="15"/>
      <c r="W119" s="15"/>
      <c r="X119" s="15"/>
      <c r="Y119" s="15"/>
      <c r="Z119" s="15"/>
    </row>
    <row r="120" spans="1:26" ht="31.5" x14ac:dyDescent="0.25">
      <c r="A120" s="90" t="s">
        <v>2163</v>
      </c>
      <c r="B120" s="41"/>
      <c r="C120" s="43"/>
      <c r="D120" s="43"/>
      <c r="E120" s="43"/>
      <c r="F120" s="45"/>
      <c r="G120" s="45"/>
      <c r="H120" s="15">
        <v>1</v>
      </c>
      <c r="I120" s="15">
        <v>264</v>
      </c>
      <c r="J120" s="14">
        <v>974</v>
      </c>
      <c r="K120" s="14">
        <f t="shared" ref="K120:K121" si="13">J120*I120*H120</f>
        <v>257136</v>
      </c>
      <c r="L120" s="375"/>
      <c r="M120" s="376"/>
      <c r="N120" s="287"/>
      <c r="O120" s="286"/>
      <c r="P120" s="15"/>
      <c r="Q120" s="15"/>
      <c r="R120" s="15"/>
      <c r="S120" s="15"/>
      <c r="T120" s="15"/>
      <c r="U120" s="15"/>
      <c r="V120" s="15"/>
      <c r="W120" s="15"/>
      <c r="X120" s="15"/>
      <c r="Y120" s="15"/>
      <c r="Z120" s="15"/>
    </row>
    <row r="121" spans="1:26" ht="15.75" x14ac:dyDescent="0.25">
      <c r="A121" s="74" t="s">
        <v>2193</v>
      </c>
      <c r="B121" s="41"/>
      <c r="C121" s="43"/>
      <c r="D121" s="43"/>
      <c r="E121" s="43"/>
      <c r="F121" s="45"/>
      <c r="G121" s="45"/>
      <c r="H121" s="15">
        <v>10</v>
      </c>
      <c r="I121" s="15">
        <v>264</v>
      </c>
      <c r="J121" s="14">
        <v>639</v>
      </c>
      <c r="K121" s="14">
        <f t="shared" si="13"/>
        <v>1686960</v>
      </c>
      <c r="L121" s="375"/>
      <c r="M121" s="376"/>
      <c r="N121" s="287"/>
      <c r="O121" s="286"/>
      <c r="P121" s="15"/>
      <c r="Q121" s="15"/>
      <c r="R121" s="15"/>
      <c r="S121" s="15"/>
      <c r="T121" s="15"/>
      <c r="U121" s="15"/>
      <c r="V121" s="15"/>
      <c r="W121" s="15"/>
      <c r="X121" s="15"/>
      <c r="Y121" s="15"/>
      <c r="Z121" s="15"/>
    </row>
    <row r="122" spans="1:26" ht="15.75" x14ac:dyDescent="0.25">
      <c r="A122" s="300" t="s">
        <v>2194</v>
      </c>
      <c r="B122" s="41"/>
      <c r="C122" s="43"/>
      <c r="D122" s="43"/>
      <c r="E122" s="43"/>
      <c r="F122" s="45"/>
      <c r="G122" s="45"/>
      <c r="H122" s="15"/>
      <c r="I122" s="15"/>
      <c r="J122" s="14"/>
      <c r="K122" s="14"/>
      <c r="L122" s="375"/>
      <c r="M122" s="376"/>
      <c r="N122" s="287"/>
      <c r="O122" s="286"/>
      <c r="P122" s="15"/>
      <c r="Q122" s="15"/>
      <c r="R122" s="15"/>
      <c r="S122" s="15"/>
      <c r="T122" s="15"/>
      <c r="U122" s="15"/>
      <c r="V122" s="15"/>
      <c r="W122" s="15"/>
      <c r="X122" s="15"/>
      <c r="Y122" s="15"/>
      <c r="Z122" s="15"/>
    </row>
    <row r="123" spans="1:26" ht="15.75" x14ac:dyDescent="0.25">
      <c r="A123" s="74" t="s">
        <v>2178</v>
      </c>
      <c r="B123" s="41"/>
      <c r="C123" s="43"/>
      <c r="D123" s="43"/>
      <c r="E123" s="43"/>
      <c r="F123" s="45"/>
      <c r="G123" s="45"/>
      <c r="H123" s="15">
        <v>6</v>
      </c>
      <c r="I123" s="15">
        <v>264</v>
      </c>
      <c r="J123" s="14">
        <v>639</v>
      </c>
      <c r="K123" s="14">
        <f>J123*I123*H123</f>
        <v>1012176</v>
      </c>
      <c r="L123" s="375"/>
      <c r="M123" s="376"/>
      <c r="N123" s="287"/>
      <c r="O123" s="286"/>
      <c r="P123" s="15"/>
      <c r="Q123" s="15"/>
      <c r="R123" s="15"/>
      <c r="S123" s="15"/>
      <c r="T123" s="15"/>
      <c r="U123" s="15"/>
      <c r="V123" s="15"/>
      <c r="W123" s="15"/>
      <c r="X123" s="15"/>
      <c r="Y123" s="15"/>
      <c r="Z123" s="15"/>
    </row>
    <row r="124" spans="1:26" ht="15.75" x14ac:dyDescent="0.25">
      <c r="A124" s="300" t="s">
        <v>2195</v>
      </c>
      <c r="B124" s="41"/>
      <c r="C124" s="43"/>
      <c r="D124" s="43"/>
      <c r="E124" s="43"/>
      <c r="F124" s="45"/>
      <c r="G124" s="45"/>
      <c r="H124" s="15"/>
      <c r="I124" s="15"/>
      <c r="J124" s="14"/>
      <c r="K124" s="14"/>
      <c r="L124" s="375"/>
      <c r="M124" s="376"/>
      <c r="N124" s="287"/>
      <c r="O124" s="286"/>
      <c r="P124" s="15"/>
      <c r="Q124" s="15"/>
      <c r="R124" s="15"/>
      <c r="S124" s="15"/>
      <c r="T124" s="15"/>
      <c r="U124" s="15"/>
      <c r="V124" s="15"/>
      <c r="W124" s="15"/>
      <c r="X124" s="15"/>
      <c r="Y124" s="15"/>
      <c r="Z124" s="15"/>
    </row>
    <row r="125" spans="1:26" ht="15.75" x14ac:dyDescent="0.25">
      <c r="A125" s="74" t="s">
        <v>2196</v>
      </c>
      <c r="B125" s="41"/>
      <c r="C125" s="43"/>
      <c r="D125" s="43"/>
      <c r="E125" s="43"/>
      <c r="F125" s="45"/>
      <c r="G125" s="45"/>
      <c r="H125" s="15">
        <v>4</v>
      </c>
      <c r="I125" s="15">
        <v>264</v>
      </c>
      <c r="J125" s="14">
        <v>639</v>
      </c>
      <c r="K125" s="14">
        <f>J125*I125*H125</f>
        <v>674784</v>
      </c>
      <c r="L125" s="375"/>
      <c r="M125" s="376"/>
      <c r="N125" s="287"/>
      <c r="O125" s="286"/>
      <c r="P125" s="15"/>
      <c r="Q125" s="15"/>
      <c r="R125" s="15"/>
      <c r="S125" s="15"/>
      <c r="T125" s="15"/>
      <c r="U125" s="15"/>
      <c r="V125" s="15"/>
      <c r="W125" s="15"/>
      <c r="X125" s="15"/>
      <c r="Y125" s="15"/>
      <c r="Z125" s="15"/>
    </row>
    <row r="126" spans="1:26" ht="15.75" x14ac:dyDescent="0.25">
      <c r="A126" s="300" t="s">
        <v>2197</v>
      </c>
      <c r="B126" s="41"/>
      <c r="C126" s="43"/>
      <c r="D126" s="43"/>
      <c r="E126" s="43"/>
      <c r="F126" s="45"/>
      <c r="G126" s="45"/>
      <c r="H126" s="15"/>
      <c r="I126" s="15"/>
      <c r="J126" s="14"/>
      <c r="K126" s="14"/>
      <c r="L126" s="375"/>
      <c r="M126" s="376"/>
      <c r="N126" s="287"/>
      <c r="O126" s="286"/>
      <c r="P126" s="15"/>
      <c r="Q126" s="15"/>
      <c r="R126" s="15"/>
      <c r="S126" s="15"/>
      <c r="T126" s="15"/>
      <c r="U126" s="15"/>
      <c r="V126" s="15"/>
      <c r="W126" s="15"/>
      <c r="X126" s="15"/>
      <c r="Y126" s="15"/>
      <c r="Z126" s="15"/>
    </row>
    <row r="127" spans="1:26" ht="31.5" x14ac:dyDescent="0.25">
      <c r="A127" s="465" t="s">
        <v>2198</v>
      </c>
      <c r="B127" s="454"/>
      <c r="C127" s="443"/>
      <c r="D127" s="443"/>
      <c r="E127" s="443"/>
      <c r="F127" s="443"/>
      <c r="G127" s="462"/>
      <c r="H127" s="15">
        <v>2</v>
      </c>
      <c r="I127" s="15">
        <v>264</v>
      </c>
      <c r="J127" s="14">
        <v>1163</v>
      </c>
      <c r="K127" s="14">
        <f t="shared" ref="K127:K139" si="14">J127*I127*H127</f>
        <v>614064</v>
      </c>
      <c r="L127" s="375"/>
      <c r="M127" s="376"/>
      <c r="N127" s="287"/>
      <c r="O127" s="286"/>
      <c r="P127" s="15"/>
      <c r="Q127" s="15"/>
      <c r="R127" s="15"/>
      <c r="S127" s="15"/>
      <c r="T127" s="15"/>
      <c r="U127" s="15"/>
      <c r="V127" s="15"/>
      <c r="W127" s="15"/>
      <c r="X127" s="15"/>
      <c r="Y127" s="15"/>
      <c r="Z127" s="15"/>
    </row>
    <row r="128" spans="1:26" ht="31.5" x14ac:dyDescent="0.25">
      <c r="A128" s="465" t="s">
        <v>2199</v>
      </c>
      <c r="B128" s="454"/>
      <c r="C128" s="443"/>
      <c r="D128" s="443"/>
      <c r="E128" s="443"/>
      <c r="F128" s="443"/>
      <c r="G128" s="462"/>
      <c r="H128" s="15">
        <v>5</v>
      </c>
      <c r="I128" s="15">
        <f t="shared" ref="I128:I129" si="15">26*12</f>
        <v>312</v>
      </c>
      <c r="J128" s="14">
        <v>765</v>
      </c>
      <c r="K128" s="14">
        <f t="shared" si="14"/>
        <v>1193400</v>
      </c>
      <c r="L128" s="375"/>
      <c r="M128" s="376"/>
      <c r="N128" s="287"/>
      <c r="O128" s="286"/>
      <c r="P128" s="15"/>
      <c r="Q128" s="15"/>
      <c r="R128" s="15"/>
      <c r="S128" s="15"/>
      <c r="T128" s="15"/>
      <c r="U128" s="15"/>
      <c r="V128" s="15"/>
      <c r="W128" s="15"/>
      <c r="X128" s="15"/>
      <c r="Y128" s="15"/>
      <c r="Z128" s="15"/>
    </row>
    <row r="129" spans="1:26" ht="31.5" x14ac:dyDescent="0.25">
      <c r="A129" s="90" t="s">
        <v>2200</v>
      </c>
      <c r="B129" s="41"/>
      <c r="C129" s="43"/>
      <c r="D129" s="43"/>
      <c r="E129" s="43"/>
      <c r="F129" s="45"/>
      <c r="G129" s="45"/>
      <c r="H129" s="15">
        <v>6</v>
      </c>
      <c r="I129" s="15">
        <f t="shared" si="15"/>
        <v>312</v>
      </c>
      <c r="J129" s="14">
        <v>720</v>
      </c>
      <c r="K129" s="14">
        <f t="shared" si="14"/>
        <v>1347840</v>
      </c>
      <c r="L129" s="375"/>
      <c r="M129" s="376"/>
      <c r="N129" s="287"/>
      <c r="O129" s="286"/>
      <c r="P129" s="15"/>
      <c r="Q129" s="15"/>
      <c r="R129" s="15"/>
      <c r="S129" s="15"/>
      <c r="T129" s="15"/>
      <c r="U129" s="15"/>
      <c r="V129" s="15"/>
      <c r="W129" s="15"/>
      <c r="X129" s="15"/>
      <c r="Y129" s="15"/>
      <c r="Z129" s="15"/>
    </row>
    <row r="130" spans="1:26" ht="31.5" x14ac:dyDescent="0.25">
      <c r="A130" s="90" t="s">
        <v>2201</v>
      </c>
      <c r="B130" s="41"/>
      <c r="C130" s="43"/>
      <c r="D130" s="43"/>
      <c r="E130" s="43"/>
      <c r="F130" s="45"/>
      <c r="G130" s="45"/>
      <c r="H130" s="15">
        <v>1</v>
      </c>
      <c r="I130" s="15">
        <v>264</v>
      </c>
      <c r="J130" s="14">
        <v>678</v>
      </c>
      <c r="K130" s="14">
        <f t="shared" si="14"/>
        <v>178992</v>
      </c>
      <c r="L130" s="375"/>
      <c r="M130" s="376"/>
      <c r="N130" s="287"/>
      <c r="O130" s="286"/>
      <c r="P130" s="15"/>
      <c r="Q130" s="15"/>
      <c r="R130" s="15"/>
      <c r="S130" s="15"/>
      <c r="T130" s="15"/>
      <c r="U130" s="15"/>
      <c r="V130" s="15"/>
      <c r="W130" s="15"/>
      <c r="X130" s="15"/>
      <c r="Y130" s="15"/>
      <c r="Z130" s="15"/>
    </row>
    <row r="131" spans="1:26" ht="31.5" x14ac:dyDescent="0.25">
      <c r="A131" s="90" t="s">
        <v>2202</v>
      </c>
      <c r="B131" s="41"/>
      <c r="C131" s="43"/>
      <c r="D131" s="43"/>
      <c r="E131" s="43"/>
      <c r="F131" s="45"/>
      <c r="G131" s="45"/>
      <c r="H131" s="15">
        <v>2</v>
      </c>
      <c r="I131" s="15">
        <v>264</v>
      </c>
      <c r="J131" s="14">
        <v>678</v>
      </c>
      <c r="K131" s="14">
        <f t="shared" si="14"/>
        <v>357984</v>
      </c>
      <c r="L131" s="375"/>
      <c r="M131" s="376"/>
      <c r="N131" s="287"/>
      <c r="O131" s="286"/>
      <c r="P131" s="15"/>
      <c r="Q131" s="15"/>
      <c r="R131" s="15"/>
      <c r="S131" s="15"/>
      <c r="T131" s="15"/>
      <c r="U131" s="15"/>
      <c r="V131" s="15"/>
      <c r="W131" s="15"/>
      <c r="X131" s="15"/>
      <c r="Y131" s="15"/>
      <c r="Z131" s="15"/>
    </row>
    <row r="132" spans="1:26" ht="15.75" x14ac:dyDescent="0.25">
      <c r="A132" s="74" t="s">
        <v>2203</v>
      </c>
      <c r="B132" s="41"/>
      <c r="C132" s="43"/>
      <c r="D132" s="43"/>
      <c r="E132" s="43"/>
      <c r="F132" s="45"/>
      <c r="G132" s="45"/>
      <c r="H132" s="15">
        <v>42</v>
      </c>
      <c r="I132" s="15">
        <f>26*12</f>
        <v>312</v>
      </c>
      <c r="J132" s="14">
        <v>678</v>
      </c>
      <c r="K132" s="14">
        <f t="shared" si="14"/>
        <v>8884512</v>
      </c>
      <c r="L132" s="375"/>
      <c r="M132" s="376"/>
      <c r="N132" s="287"/>
      <c r="O132" s="286"/>
      <c r="P132" s="15"/>
      <c r="Q132" s="15"/>
      <c r="R132" s="15"/>
      <c r="S132" s="15"/>
      <c r="T132" s="15"/>
      <c r="U132" s="15"/>
      <c r="V132" s="15"/>
      <c r="W132" s="15"/>
      <c r="X132" s="15"/>
      <c r="Y132" s="15"/>
      <c r="Z132" s="15"/>
    </row>
    <row r="133" spans="1:26" ht="15.75" x14ac:dyDescent="0.25">
      <c r="A133" s="300" t="s">
        <v>2204</v>
      </c>
      <c r="B133" s="41"/>
      <c r="C133" s="43"/>
      <c r="D133" s="43"/>
      <c r="E133" s="43"/>
      <c r="F133" s="45"/>
      <c r="G133" s="45"/>
      <c r="H133" s="15"/>
      <c r="I133" s="15"/>
      <c r="J133" s="14"/>
      <c r="K133" s="14">
        <f t="shared" si="14"/>
        <v>0</v>
      </c>
      <c r="L133" s="375"/>
      <c r="M133" s="376"/>
      <c r="N133" s="287"/>
      <c r="O133" s="286"/>
      <c r="P133" s="15"/>
      <c r="Q133" s="15"/>
      <c r="R133" s="15"/>
      <c r="S133" s="15"/>
      <c r="T133" s="15"/>
      <c r="U133" s="15"/>
      <c r="V133" s="15"/>
      <c r="W133" s="15"/>
      <c r="X133" s="15"/>
      <c r="Y133" s="15"/>
      <c r="Z133" s="15"/>
    </row>
    <row r="134" spans="1:26" ht="31.5" x14ac:dyDescent="0.25">
      <c r="A134" s="90" t="s">
        <v>2205</v>
      </c>
      <c r="B134" s="41"/>
      <c r="C134" s="43"/>
      <c r="D134" s="43"/>
      <c r="E134" s="43"/>
      <c r="F134" s="45"/>
      <c r="G134" s="45"/>
      <c r="H134" s="15">
        <v>1</v>
      </c>
      <c r="I134" s="15">
        <v>264</v>
      </c>
      <c r="J134" s="14">
        <v>1163</v>
      </c>
      <c r="K134" s="14">
        <f t="shared" si="14"/>
        <v>307032</v>
      </c>
      <c r="L134" s="375"/>
      <c r="M134" s="376"/>
      <c r="N134" s="287"/>
      <c r="O134" s="286"/>
      <c r="P134" s="15"/>
      <c r="Q134" s="15"/>
      <c r="R134" s="15"/>
      <c r="S134" s="15"/>
      <c r="T134" s="15"/>
      <c r="U134" s="15"/>
      <c r="V134" s="15"/>
      <c r="W134" s="15"/>
      <c r="X134" s="15"/>
      <c r="Y134" s="15"/>
      <c r="Z134" s="15"/>
    </row>
    <row r="135" spans="1:26" ht="31.5" x14ac:dyDescent="0.25">
      <c r="A135" s="90" t="s">
        <v>2206</v>
      </c>
      <c r="B135" s="41"/>
      <c r="C135" s="43"/>
      <c r="D135" s="43"/>
      <c r="E135" s="43"/>
      <c r="F135" s="45"/>
      <c r="G135" s="45"/>
      <c r="H135" s="15">
        <v>3</v>
      </c>
      <c r="I135" s="15">
        <f t="shared" ref="I135:I136" si="16">26*12</f>
        <v>312</v>
      </c>
      <c r="J135" s="14">
        <v>765</v>
      </c>
      <c r="K135" s="14">
        <f t="shared" si="14"/>
        <v>716040</v>
      </c>
      <c r="L135" s="375"/>
      <c r="M135" s="376"/>
      <c r="N135" s="287"/>
      <c r="O135" s="286"/>
      <c r="P135" s="15"/>
      <c r="Q135" s="15"/>
      <c r="R135" s="15"/>
      <c r="S135" s="15"/>
      <c r="T135" s="15"/>
      <c r="U135" s="15"/>
      <c r="V135" s="15"/>
      <c r="W135" s="15"/>
      <c r="X135" s="15"/>
      <c r="Y135" s="15"/>
      <c r="Z135" s="15"/>
    </row>
    <row r="136" spans="1:26" ht="31.5" x14ac:dyDescent="0.25">
      <c r="A136" s="90" t="s">
        <v>2207</v>
      </c>
      <c r="B136" s="41"/>
      <c r="C136" s="43"/>
      <c r="D136" s="43"/>
      <c r="E136" s="43"/>
      <c r="F136" s="45"/>
      <c r="G136" s="45"/>
      <c r="H136" s="15">
        <v>2</v>
      </c>
      <c r="I136" s="15">
        <f t="shared" si="16"/>
        <v>312</v>
      </c>
      <c r="J136" s="14">
        <v>720</v>
      </c>
      <c r="K136" s="14">
        <f t="shared" si="14"/>
        <v>449280</v>
      </c>
      <c r="L136" s="375"/>
      <c r="M136" s="376"/>
      <c r="N136" s="287"/>
      <c r="O136" s="286"/>
      <c r="P136" s="15"/>
      <c r="Q136" s="15"/>
      <c r="R136" s="15"/>
      <c r="S136" s="15"/>
      <c r="T136" s="15"/>
      <c r="U136" s="15"/>
      <c r="V136" s="15"/>
      <c r="W136" s="15"/>
      <c r="X136" s="15"/>
      <c r="Y136" s="15"/>
      <c r="Z136" s="15"/>
    </row>
    <row r="137" spans="1:26" ht="31.5" x14ac:dyDescent="0.25">
      <c r="A137" s="90" t="s">
        <v>2201</v>
      </c>
      <c r="B137" s="41"/>
      <c r="C137" s="43"/>
      <c r="D137" s="43"/>
      <c r="E137" s="43"/>
      <c r="F137" s="45"/>
      <c r="G137" s="45"/>
      <c r="H137" s="15">
        <v>1</v>
      </c>
      <c r="I137" s="15">
        <v>264</v>
      </c>
      <c r="J137" s="14">
        <v>678</v>
      </c>
      <c r="K137" s="14">
        <f t="shared" si="14"/>
        <v>178992</v>
      </c>
      <c r="L137" s="375"/>
      <c r="M137" s="376"/>
      <c r="N137" s="287"/>
      <c r="O137" s="286"/>
      <c r="P137" s="15"/>
      <c r="Q137" s="15"/>
      <c r="R137" s="15"/>
      <c r="S137" s="15"/>
      <c r="T137" s="15"/>
      <c r="U137" s="15"/>
      <c r="V137" s="15"/>
      <c r="W137" s="15"/>
      <c r="X137" s="15"/>
      <c r="Y137" s="15"/>
      <c r="Z137" s="15"/>
    </row>
    <row r="138" spans="1:26" ht="31.5" x14ac:dyDescent="0.25">
      <c r="A138" s="90" t="s">
        <v>2208</v>
      </c>
      <c r="B138" s="41"/>
      <c r="C138" s="43"/>
      <c r="D138" s="43"/>
      <c r="E138" s="43"/>
      <c r="F138" s="45"/>
      <c r="G138" s="45"/>
      <c r="H138" s="15">
        <v>1</v>
      </c>
      <c r="I138" s="15">
        <v>264</v>
      </c>
      <c r="J138" s="14">
        <v>678</v>
      </c>
      <c r="K138" s="14">
        <f t="shared" si="14"/>
        <v>178992</v>
      </c>
      <c r="L138" s="375"/>
      <c r="M138" s="376"/>
      <c r="N138" s="287"/>
      <c r="O138" s="286"/>
      <c r="P138" s="15"/>
      <c r="Q138" s="15"/>
      <c r="R138" s="15"/>
      <c r="S138" s="15"/>
      <c r="T138" s="15"/>
      <c r="U138" s="15"/>
      <c r="V138" s="15"/>
      <c r="W138" s="15"/>
      <c r="X138" s="15"/>
      <c r="Y138" s="15"/>
      <c r="Z138" s="15"/>
    </row>
    <row r="139" spans="1:26" ht="15.75" x14ac:dyDescent="0.25">
      <c r="A139" s="74" t="s">
        <v>2209</v>
      </c>
      <c r="B139" s="41"/>
      <c r="C139" s="43"/>
      <c r="D139" s="43"/>
      <c r="E139" s="43"/>
      <c r="F139" s="45"/>
      <c r="G139" s="45"/>
      <c r="H139" s="15">
        <v>24</v>
      </c>
      <c r="I139" s="15">
        <f>26*12</f>
        <v>312</v>
      </c>
      <c r="J139" s="14">
        <v>678</v>
      </c>
      <c r="K139" s="14">
        <f t="shared" si="14"/>
        <v>5076864</v>
      </c>
      <c r="L139" s="375"/>
      <c r="M139" s="376"/>
      <c r="N139" s="287"/>
      <c r="O139" s="286"/>
      <c r="P139" s="15"/>
      <c r="Q139" s="15"/>
      <c r="R139" s="15"/>
      <c r="S139" s="15"/>
      <c r="T139" s="15"/>
      <c r="U139" s="15"/>
      <c r="V139" s="15"/>
      <c r="W139" s="15"/>
      <c r="X139" s="15"/>
      <c r="Y139" s="15"/>
      <c r="Z139" s="15"/>
    </row>
    <row r="140" spans="1:26" ht="15.75" x14ac:dyDescent="0.25">
      <c r="A140" s="300" t="s">
        <v>2210</v>
      </c>
      <c r="B140" s="41"/>
      <c r="C140" s="43"/>
      <c r="D140" s="43"/>
      <c r="E140" s="43"/>
      <c r="F140" s="45"/>
      <c r="G140" s="45"/>
      <c r="H140" s="15"/>
      <c r="I140" s="15"/>
      <c r="J140" s="14"/>
      <c r="K140" s="14"/>
      <c r="L140" s="375"/>
      <c r="M140" s="376"/>
      <c r="N140" s="287"/>
      <c r="O140" s="286"/>
      <c r="P140" s="15"/>
      <c r="Q140" s="15"/>
      <c r="R140" s="15"/>
      <c r="S140" s="15"/>
      <c r="T140" s="15"/>
      <c r="U140" s="15"/>
      <c r="V140" s="15"/>
      <c r="W140" s="15"/>
      <c r="X140" s="15"/>
      <c r="Y140" s="15"/>
      <c r="Z140" s="15"/>
    </row>
    <row r="141" spans="1:26" ht="31.5" x14ac:dyDescent="0.25">
      <c r="A141" s="626" t="s">
        <v>2205</v>
      </c>
      <c r="B141" s="483"/>
      <c r="C141" s="457"/>
      <c r="D141" s="457"/>
      <c r="E141" s="457"/>
      <c r="F141" s="452"/>
      <c r="G141" s="452"/>
      <c r="H141" s="15">
        <v>1</v>
      </c>
      <c r="I141" s="15">
        <v>264</v>
      </c>
      <c r="J141" s="14">
        <v>1163</v>
      </c>
      <c r="K141" s="14">
        <f t="shared" ref="K141:K148" si="17">J141*I141*H141</f>
        <v>307032</v>
      </c>
      <c r="L141" s="375"/>
      <c r="M141" s="376"/>
      <c r="N141" s="287"/>
      <c r="O141" s="286"/>
      <c r="P141" s="15"/>
      <c r="Q141" s="15"/>
      <c r="R141" s="15"/>
      <c r="S141" s="15"/>
      <c r="T141" s="15"/>
      <c r="U141" s="15"/>
      <c r="V141" s="15"/>
      <c r="W141" s="15"/>
      <c r="X141" s="15"/>
      <c r="Y141" s="15"/>
      <c r="Z141" s="15"/>
    </row>
    <row r="142" spans="1:26" ht="31.5" x14ac:dyDescent="0.25">
      <c r="A142" s="620" t="s">
        <v>2211</v>
      </c>
      <c r="B142" s="601"/>
      <c r="C142" s="448"/>
      <c r="D142" s="448"/>
      <c r="E142" s="448"/>
      <c r="F142" s="449"/>
      <c r="G142" s="449"/>
      <c r="H142" s="15">
        <v>6</v>
      </c>
      <c r="I142" s="15">
        <f t="shared" ref="I142:I143" si="18">26*12</f>
        <v>312</v>
      </c>
      <c r="J142" s="14">
        <v>765</v>
      </c>
      <c r="K142" s="14">
        <f t="shared" si="17"/>
        <v>1432080</v>
      </c>
      <c r="L142" s="375"/>
      <c r="M142" s="376"/>
      <c r="N142" s="287"/>
      <c r="O142" s="286"/>
      <c r="P142" s="15"/>
      <c r="Q142" s="15"/>
      <c r="R142" s="15"/>
      <c r="S142" s="15"/>
      <c r="T142" s="15"/>
      <c r="U142" s="15"/>
      <c r="V142" s="15"/>
      <c r="W142" s="15"/>
      <c r="X142" s="15"/>
      <c r="Y142" s="15"/>
      <c r="Z142" s="15"/>
    </row>
    <row r="143" spans="1:26" ht="31.5" x14ac:dyDescent="0.25">
      <c r="A143" s="90" t="s">
        <v>2212</v>
      </c>
      <c r="B143" s="41"/>
      <c r="C143" s="43"/>
      <c r="D143" s="43"/>
      <c r="E143" s="43"/>
      <c r="F143" s="45"/>
      <c r="G143" s="45"/>
      <c r="H143" s="15">
        <v>6</v>
      </c>
      <c r="I143" s="15">
        <f t="shared" si="18"/>
        <v>312</v>
      </c>
      <c r="J143" s="14">
        <v>678</v>
      </c>
      <c r="K143" s="14">
        <f t="shared" si="17"/>
        <v>1269216</v>
      </c>
      <c r="L143" s="375"/>
      <c r="M143" s="376"/>
      <c r="N143" s="287"/>
      <c r="O143" s="286"/>
      <c r="P143" s="15"/>
      <c r="Q143" s="15"/>
      <c r="R143" s="15"/>
      <c r="S143" s="15"/>
      <c r="T143" s="15"/>
      <c r="U143" s="15"/>
      <c r="V143" s="15"/>
      <c r="W143" s="15"/>
      <c r="X143" s="15"/>
      <c r="Y143" s="15"/>
      <c r="Z143" s="15"/>
    </row>
    <row r="144" spans="1:26" ht="31.5" x14ac:dyDescent="0.25">
      <c r="A144" s="90" t="s">
        <v>2213</v>
      </c>
      <c r="B144" s="41"/>
      <c r="C144" s="43"/>
      <c r="D144" s="43"/>
      <c r="E144" s="43"/>
      <c r="F144" s="45"/>
      <c r="G144" s="45"/>
      <c r="H144" s="15">
        <v>4</v>
      </c>
      <c r="I144" s="15">
        <v>264</v>
      </c>
      <c r="J144" s="14">
        <v>678</v>
      </c>
      <c r="K144" s="14">
        <f t="shared" si="17"/>
        <v>715968</v>
      </c>
      <c r="L144" s="375"/>
      <c r="M144" s="376"/>
      <c r="N144" s="287"/>
      <c r="O144" s="286"/>
      <c r="P144" s="15"/>
      <c r="Q144" s="15"/>
      <c r="R144" s="15"/>
      <c r="S144" s="15"/>
      <c r="T144" s="15"/>
      <c r="U144" s="15"/>
      <c r="V144" s="15"/>
      <c r="W144" s="15"/>
      <c r="X144" s="15"/>
      <c r="Y144" s="15"/>
      <c r="Z144" s="15"/>
    </row>
    <row r="145" spans="1:26" ht="15.75" x14ac:dyDescent="0.25">
      <c r="A145" s="74" t="s">
        <v>2214</v>
      </c>
      <c r="B145" s="41"/>
      <c r="C145" s="43"/>
      <c r="D145" s="43"/>
      <c r="E145" s="43"/>
      <c r="F145" s="45"/>
      <c r="G145" s="45"/>
      <c r="H145" s="15">
        <v>60</v>
      </c>
      <c r="I145" s="15">
        <f>26*12</f>
        <v>312</v>
      </c>
      <c r="J145" s="14">
        <v>678</v>
      </c>
      <c r="K145" s="14">
        <f t="shared" si="17"/>
        <v>12692160</v>
      </c>
      <c r="L145" s="375"/>
      <c r="M145" s="376"/>
      <c r="N145" s="287"/>
      <c r="O145" s="286"/>
      <c r="P145" s="15"/>
      <c r="Q145" s="15"/>
      <c r="R145" s="15"/>
      <c r="S145" s="15"/>
      <c r="T145" s="15"/>
      <c r="U145" s="15"/>
      <c r="V145" s="15"/>
      <c r="W145" s="15"/>
      <c r="X145" s="15"/>
      <c r="Y145" s="15"/>
      <c r="Z145" s="15"/>
    </row>
    <row r="146" spans="1:26" ht="31.5" x14ac:dyDescent="0.25">
      <c r="A146" s="559" t="s">
        <v>2215</v>
      </c>
      <c r="B146" s="41"/>
      <c r="C146" s="43"/>
      <c r="D146" s="43"/>
      <c r="E146" s="43"/>
      <c r="F146" s="45"/>
      <c r="G146" s="45"/>
      <c r="H146" s="15"/>
      <c r="I146" s="15"/>
      <c r="J146" s="14"/>
      <c r="K146" s="14">
        <f t="shared" si="17"/>
        <v>0</v>
      </c>
      <c r="L146" s="375"/>
      <c r="M146" s="376"/>
      <c r="N146" s="287"/>
      <c r="O146" s="286"/>
      <c r="P146" s="15"/>
      <c r="Q146" s="15"/>
      <c r="R146" s="15"/>
      <c r="S146" s="15"/>
      <c r="T146" s="15"/>
      <c r="U146" s="15"/>
      <c r="V146" s="15"/>
      <c r="W146" s="15"/>
      <c r="X146" s="15"/>
      <c r="Y146" s="15"/>
      <c r="Z146" s="15"/>
    </row>
    <row r="147" spans="1:26" ht="31.5" x14ac:dyDescent="0.25">
      <c r="A147" s="90" t="s">
        <v>2216</v>
      </c>
      <c r="B147" s="41"/>
      <c r="C147" s="43"/>
      <c r="D147" s="43"/>
      <c r="E147" s="43"/>
      <c r="F147" s="45"/>
      <c r="G147" s="45"/>
      <c r="H147" s="15">
        <v>1</v>
      </c>
      <c r="I147" s="15">
        <f t="shared" ref="I147:I148" si="19">22*12</f>
        <v>264</v>
      </c>
      <c r="J147" s="14">
        <v>974</v>
      </c>
      <c r="K147" s="14">
        <f t="shared" si="17"/>
        <v>257136</v>
      </c>
      <c r="L147" s="375"/>
      <c r="M147" s="376"/>
      <c r="N147" s="287"/>
      <c r="O147" s="286"/>
      <c r="P147" s="15"/>
      <c r="Q147" s="15"/>
      <c r="R147" s="15"/>
      <c r="S147" s="15"/>
      <c r="T147" s="15"/>
      <c r="U147" s="15"/>
      <c r="V147" s="15"/>
      <c r="W147" s="15"/>
      <c r="X147" s="15"/>
      <c r="Y147" s="15"/>
      <c r="Z147" s="15"/>
    </row>
    <row r="148" spans="1:26" ht="15.75" x14ac:dyDescent="0.25">
      <c r="A148" s="74" t="s">
        <v>2217</v>
      </c>
      <c r="B148" s="41"/>
      <c r="C148" s="43"/>
      <c r="D148" s="43"/>
      <c r="E148" s="43"/>
      <c r="F148" s="45"/>
      <c r="G148" s="45"/>
      <c r="H148" s="15">
        <v>12</v>
      </c>
      <c r="I148" s="15">
        <f t="shared" si="19"/>
        <v>264</v>
      </c>
      <c r="J148" s="14">
        <v>639</v>
      </c>
      <c r="K148" s="14">
        <f t="shared" si="17"/>
        <v>2024352</v>
      </c>
      <c r="L148" s="375"/>
      <c r="M148" s="376"/>
      <c r="N148" s="287"/>
      <c r="O148" s="286"/>
      <c r="P148" s="15"/>
      <c r="Q148" s="15"/>
      <c r="R148" s="15"/>
      <c r="S148" s="15"/>
      <c r="T148" s="15"/>
      <c r="U148" s="15"/>
      <c r="V148" s="15"/>
      <c r="W148" s="15"/>
      <c r="X148" s="15"/>
      <c r="Y148" s="15"/>
      <c r="Z148" s="15"/>
    </row>
    <row r="149" spans="1:26" ht="15.75" x14ac:dyDescent="0.25">
      <c r="A149" s="300" t="s">
        <v>2218</v>
      </c>
      <c r="B149" s="41"/>
      <c r="C149" s="43"/>
      <c r="D149" s="43"/>
      <c r="E149" s="43"/>
      <c r="F149" s="45"/>
      <c r="G149" s="45"/>
      <c r="H149" s="15"/>
      <c r="I149" s="15"/>
      <c r="J149" s="14"/>
      <c r="K149" s="14"/>
      <c r="L149" s="375"/>
      <c r="M149" s="376"/>
      <c r="N149" s="287"/>
      <c r="O149" s="286"/>
      <c r="P149" s="15"/>
      <c r="Q149" s="15"/>
      <c r="R149" s="15"/>
      <c r="S149" s="15"/>
      <c r="T149" s="15"/>
      <c r="U149" s="15"/>
      <c r="V149" s="15"/>
      <c r="W149" s="15"/>
      <c r="X149" s="15"/>
      <c r="Y149" s="15"/>
      <c r="Z149" s="15"/>
    </row>
    <row r="150" spans="1:26" ht="31.5" x14ac:dyDescent="0.25">
      <c r="A150" s="90" t="s">
        <v>2219</v>
      </c>
      <c r="B150" s="41"/>
      <c r="C150" s="43"/>
      <c r="D150" s="43"/>
      <c r="E150" s="43"/>
      <c r="F150" s="45"/>
      <c r="G150" s="45"/>
      <c r="H150" s="15">
        <v>1</v>
      </c>
      <c r="I150" s="15">
        <v>264</v>
      </c>
      <c r="J150" s="14">
        <v>720</v>
      </c>
      <c r="K150" s="14">
        <f t="shared" ref="K150:K151" si="20">J150*I150*H150</f>
        <v>190080</v>
      </c>
      <c r="L150" s="375"/>
      <c r="M150" s="376"/>
      <c r="N150" s="287"/>
      <c r="O150" s="286"/>
      <c r="P150" s="15"/>
      <c r="Q150" s="15"/>
      <c r="R150" s="15"/>
      <c r="S150" s="15"/>
      <c r="T150" s="15"/>
      <c r="U150" s="15"/>
      <c r="V150" s="15"/>
      <c r="W150" s="15"/>
      <c r="X150" s="15"/>
      <c r="Y150" s="15"/>
      <c r="Z150" s="15"/>
    </row>
    <row r="151" spans="1:26" ht="15.75" x14ac:dyDescent="0.25">
      <c r="A151" s="468" t="s">
        <v>2220</v>
      </c>
      <c r="B151" s="454"/>
      <c r="C151" s="443"/>
      <c r="D151" s="443"/>
      <c r="E151" s="443"/>
      <c r="F151" s="443"/>
      <c r="G151" s="462"/>
      <c r="H151" s="15">
        <v>4</v>
      </c>
      <c r="I151" s="15">
        <f>26*12</f>
        <v>312</v>
      </c>
      <c r="J151" s="14">
        <v>639</v>
      </c>
      <c r="K151" s="14">
        <f t="shared" si="20"/>
        <v>797472</v>
      </c>
      <c r="L151" s="375"/>
      <c r="M151" s="376"/>
      <c r="N151" s="287"/>
      <c r="O151" s="286"/>
      <c r="P151" s="15"/>
      <c r="Q151" s="15"/>
      <c r="R151" s="15"/>
      <c r="S151" s="15"/>
      <c r="T151" s="15"/>
      <c r="U151" s="15"/>
      <c r="V151" s="15"/>
      <c r="W151" s="15"/>
      <c r="X151" s="15"/>
      <c r="Y151" s="15"/>
      <c r="Z151" s="15"/>
    </row>
    <row r="152" spans="1:26" ht="15.75" x14ac:dyDescent="0.25">
      <c r="A152" s="585" t="s">
        <v>2221</v>
      </c>
      <c r="B152" s="454"/>
      <c r="C152" s="443"/>
      <c r="D152" s="443"/>
      <c r="E152" s="443"/>
      <c r="F152" s="443"/>
      <c r="G152" s="462"/>
      <c r="H152" s="15"/>
      <c r="I152" s="15"/>
      <c r="J152" s="14"/>
      <c r="K152" s="14"/>
      <c r="L152" s="375"/>
      <c r="M152" s="376"/>
      <c r="N152" s="287"/>
      <c r="O152" s="286"/>
      <c r="P152" s="15"/>
      <c r="Q152" s="15"/>
      <c r="R152" s="15"/>
      <c r="S152" s="15"/>
      <c r="T152" s="15"/>
      <c r="U152" s="15"/>
      <c r="V152" s="15"/>
      <c r="W152" s="15"/>
      <c r="X152" s="15"/>
      <c r="Y152" s="15"/>
      <c r="Z152" s="15"/>
    </row>
    <row r="153" spans="1:26" ht="31.5" x14ac:dyDescent="0.25">
      <c r="A153" s="90" t="s">
        <v>2222</v>
      </c>
      <c r="B153" s="41"/>
      <c r="C153" s="43"/>
      <c r="D153" s="43"/>
      <c r="E153" s="43"/>
      <c r="F153" s="45"/>
      <c r="G153" s="45"/>
      <c r="H153" s="15">
        <v>1</v>
      </c>
      <c r="I153" s="15">
        <v>264</v>
      </c>
      <c r="J153" s="14">
        <v>1163</v>
      </c>
      <c r="K153" s="14">
        <f t="shared" ref="K153:K158" si="21">J153*I153*H153</f>
        <v>307032</v>
      </c>
      <c r="L153" s="375"/>
      <c r="M153" s="376"/>
      <c r="N153" s="287"/>
      <c r="O153" s="286"/>
      <c r="P153" s="15"/>
      <c r="Q153" s="15"/>
      <c r="R153" s="15"/>
      <c r="S153" s="15"/>
      <c r="T153" s="15"/>
      <c r="U153" s="15"/>
      <c r="V153" s="15"/>
      <c r="W153" s="15"/>
      <c r="X153" s="15"/>
      <c r="Y153" s="15"/>
      <c r="Z153" s="15"/>
    </row>
    <row r="154" spans="1:26" ht="31.5" x14ac:dyDescent="0.25">
      <c r="A154" s="90" t="s">
        <v>2223</v>
      </c>
      <c r="B154" s="41"/>
      <c r="C154" s="43"/>
      <c r="D154" s="43"/>
      <c r="E154" s="43"/>
      <c r="F154" s="45"/>
      <c r="G154" s="45"/>
      <c r="H154" s="15">
        <v>3</v>
      </c>
      <c r="I154" s="15">
        <v>264</v>
      </c>
      <c r="J154" s="14">
        <v>974</v>
      </c>
      <c r="K154" s="14">
        <f t="shared" si="21"/>
        <v>771408</v>
      </c>
      <c r="L154" s="375"/>
      <c r="M154" s="376"/>
      <c r="N154" s="287"/>
      <c r="O154" s="286"/>
      <c r="P154" s="15"/>
      <c r="Q154" s="15"/>
      <c r="R154" s="15"/>
      <c r="S154" s="15"/>
      <c r="T154" s="15"/>
      <c r="U154" s="15"/>
      <c r="V154" s="15"/>
      <c r="W154" s="15"/>
      <c r="X154" s="15"/>
      <c r="Y154" s="15"/>
      <c r="Z154" s="15"/>
    </row>
    <row r="155" spans="1:26" ht="31.5" x14ac:dyDescent="0.25">
      <c r="A155" s="90" t="s">
        <v>2224</v>
      </c>
      <c r="B155" s="41"/>
      <c r="C155" s="43"/>
      <c r="D155" s="43"/>
      <c r="E155" s="43"/>
      <c r="F155" s="45"/>
      <c r="G155" s="45"/>
      <c r="H155" s="15">
        <v>3</v>
      </c>
      <c r="I155" s="15">
        <v>264</v>
      </c>
      <c r="J155" s="14">
        <v>720</v>
      </c>
      <c r="K155" s="14">
        <f t="shared" si="21"/>
        <v>570240</v>
      </c>
      <c r="L155" s="375"/>
      <c r="M155" s="376"/>
      <c r="N155" s="287"/>
      <c r="O155" s="286"/>
      <c r="P155" s="15"/>
      <c r="Q155" s="15"/>
      <c r="R155" s="15"/>
      <c r="S155" s="15"/>
      <c r="T155" s="15"/>
      <c r="U155" s="15"/>
      <c r="V155" s="15"/>
      <c r="W155" s="15"/>
      <c r="X155" s="15"/>
      <c r="Y155" s="15"/>
      <c r="Z155" s="15"/>
    </row>
    <row r="156" spans="1:26" ht="15.75" x14ac:dyDescent="0.25">
      <c r="A156" s="74" t="s">
        <v>460</v>
      </c>
      <c r="B156" s="41"/>
      <c r="C156" s="43"/>
      <c r="D156" s="43"/>
      <c r="E156" s="43"/>
      <c r="F156" s="45"/>
      <c r="G156" s="45"/>
      <c r="H156" s="15">
        <v>2</v>
      </c>
      <c r="I156" s="15">
        <v>264</v>
      </c>
      <c r="J156" s="14">
        <v>678</v>
      </c>
      <c r="K156" s="14">
        <f t="shared" si="21"/>
        <v>357984</v>
      </c>
      <c r="L156" s="375"/>
      <c r="M156" s="376"/>
      <c r="N156" s="287"/>
      <c r="O156" s="286"/>
      <c r="P156" s="15"/>
      <c r="Q156" s="15"/>
      <c r="R156" s="15"/>
      <c r="S156" s="15"/>
      <c r="T156" s="15"/>
      <c r="U156" s="15"/>
      <c r="V156" s="15"/>
      <c r="W156" s="15"/>
      <c r="X156" s="15"/>
      <c r="Y156" s="15"/>
      <c r="Z156" s="15"/>
    </row>
    <row r="157" spans="1:26" ht="15.75" x14ac:dyDescent="0.25">
      <c r="A157" s="74" t="s">
        <v>2225</v>
      </c>
      <c r="B157" s="41"/>
      <c r="C157" s="43"/>
      <c r="D157" s="43"/>
      <c r="E157" s="43"/>
      <c r="F157" s="45"/>
      <c r="G157" s="45"/>
      <c r="H157" s="15">
        <v>10</v>
      </c>
      <c r="I157" s="15">
        <f>26*12</f>
        <v>312</v>
      </c>
      <c r="J157" s="14">
        <v>765</v>
      </c>
      <c r="K157" s="14">
        <f t="shared" si="21"/>
        <v>2386800</v>
      </c>
      <c r="L157" s="375"/>
      <c r="M157" s="376"/>
      <c r="N157" s="287"/>
      <c r="O157" s="286"/>
      <c r="P157" s="15"/>
      <c r="Q157" s="15"/>
      <c r="R157" s="15"/>
      <c r="S157" s="15"/>
      <c r="T157" s="15"/>
      <c r="U157" s="15"/>
      <c r="V157" s="15"/>
      <c r="W157" s="15"/>
      <c r="X157" s="15"/>
      <c r="Y157" s="15"/>
      <c r="Z157" s="15"/>
    </row>
    <row r="158" spans="1:26" ht="15.75" x14ac:dyDescent="0.25">
      <c r="A158" s="74" t="s">
        <v>2226</v>
      </c>
      <c r="B158" s="41"/>
      <c r="C158" s="43"/>
      <c r="D158" s="43"/>
      <c r="E158" s="43"/>
      <c r="F158" s="45"/>
      <c r="G158" s="45"/>
      <c r="H158" s="15">
        <v>14</v>
      </c>
      <c r="I158" s="15">
        <v>264</v>
      </c>
      <c r="J158" s="14">
        <v>639</v>
      </c>
      <c r="K158" s="14">
        <f t="shared" si="21"/>
        <v>2361744</v>
      </c>
      <c r="L158" s="375"/>
      <c r="M158" s="376"/>
      <c r="N158" s="287"/>
      <c r="O158" s="286"/>
      <c r="P158" s="15"/>
      <c r="Q158" s="15"/>
      <c r="R158" s="15"/>
      <c r="S158" s="15"/>
      <c r="T158" s="15"/>
      <c r="U158" s="15"/>
      <c r="V158" s="15"/>
      <c r="W158" s="15"/>
      <c r="X158" s="15"/>
      <c r="Y158" s="15"/>
      <c r="Z158" s="15"/>
    </row>
    <row r="159" spans="1:26" ht="15.75" x14ac:dyDescent="0.25">
      <c r="A159" s="74" t="s">
        <v>2227</v>
      </c>
      <c r="B159" s="41"/>
      <c r="C159" s="43"/>
      <c r="D159" s="43"/>
      <c r="E159" s="43"/>
      <c r="F159" s="45"/>
      <c r="G159" s="45"/>
      <c r="H159" s="15"/>
      <c r="I159" s="15"/>
      <c r="J159" s="14"/>
      <c r="K159" s="14"/>
      <c r="L159" s="375"/>
      <c r="M159" s="376"/>
      <c r="N159" s="287"/>
      <c r="O159" s="286"/>
      <c r="P159" s="15"/>
      <c r="Q159" s="15"/>
      <c r="R159" s="15"/>
      <c r="S159" s="15"/>
      <c r="T159" s="15"/>
      <c r="U159" s="15"/>
      <c r="V159" s="15"/>
      <c r="W159" s="15"/>
      <c r="X159" s="15"/>
      <c r="Y159" s="15"/>
      <c r="Z159" s="15"/>
    </row>
    <row r="160" spans="1:26" ht="15.75" x14ac:dyDescent="0.25">
      <c r="A160" s="300" t="s">
        <v>2228</v>
      </c>
      <c r="B160" s="41"/>
      <c r="C160" s="43"/>
      <c r="D160" s="43"/>
      <c r="E160" s="43"/>
      <c r="F160" s="45"/>
      <c r="G160" s="45"/>
      <c r="H160" s="15"/>
      <c r="I160" s="15"/>
      <c r="J160" s="385">
        <f>SUM(H161:H175)</f>
        <v>1138000</v>
      </c>
      <c r="K160" s="14"/>
      <c r="L160" s="375"/>
      <c r="M160" s="376"/>
      <c r="N160" s="287"/>
      <c r="O160" s="286"/>
      <c r="P160" s="15"/>
      <c r="Q160" s="15"/>
      <c r="R160" s="15"/>
      <c r="S160" s="15"/>
      <c r="T160" s="15"/>
      <c r="U160" s="15"/>
      <c r="V160" s="15"/>
      <c r="W160" s="15"/>
      <c r="X160" s="15"/>
      <c r="Y160" s="15"/>
      <c r="Z160" s="15"/>
    </row>
    <row r="161" spans="1:26" ht="31.5" x14ac:dyDescent="0.25">
      <c r="A161" s="295" t="s">
        <v>2229</v>
      </c>
      <c r="B161" s="41"/>
      <c r="C161" s="43"/>
      <c r="D161" s="43"/>
      <c r="E161" s="43"/>
      <c r="F161" s="45"/>
      <c r="G161" s="45"/>
      <c r="H161" s="15">
        <v>6000</v>
      </c>
      <c r="I161" s="15"/>
      <c r="J161" s="14"/>
      <c r="K161" s="14"/>
      <c r="L161" s="375"/>
      <c r="M161" s="376"/>
      <c r="N161" s="287"/>
      <c r="O161" s="286"/>
      <c r="P161" s="15"/>
      <c r="Q161" s="15"/>
      <c r="R161" s="15"/>
      <c r="S161" s="15"/>
      <c r="T161" s="15"/>
      <c r="U161" s="15"/>
      <c r="V161" s="15"/>
      <c r="W161" s="15"/>
      <c r="X161" s="15"/>
      <c r="Y161" s="15"/>
      <c r="Z161" s="15"/>
    </row>
    <row r="162" spans="1:26" ht="31.5" x14ac:dyDescent="0.25">
      <c r="A162" s="295" t="s">
        <v>2230</v>
      </c>
      <c r="B162" s="41"/>
      <c r="C162" s="43"/>
      <c r="D162" s="43"/>
      <c r="E162" s="43"/>
      <c r="F162" s="45"/>
      <c r="G162" s="45"/>
      <c r="H162" s="15">
        <v>80000</v>
      </c>
      <c r="I162" s="15"/>
      <c r="J162" s="14"/>
      <c r="K162" s="14"/>
      <c r="L162" s="375"/>
      <c r="M162" s="376"/>
      <c r="N162" s="287"/>
      <c r="O162" s="286"/>
      <c r="P162" s="15"/>
      <c r="Q162" s="15"/>
      <c r="R162" s="15"/>
      <c r="S162" s="15"/>
      <c r="T162" s="15"/>
      <c r="U162" s="15"/>
      <c r="V162" s="15"/>
      <c r="W162" s="15"/>
      <c r="X162" s="15"/>
      <c r="Y162" s="15"/>
      <c r="Z162" s="15"/>
    </row>
    <row r="163" spans="1:26" ht="15.75" x14ac:dyDescent="0.25">
      <c r="A163" s="295" t="s">
        <v>2231</v>
      </c>
      <c r="B163" s="41"/>
      <c r="C163" s="43"/>
      <c r="D163" s="43"/>
      <c r="E163" s="43"/>
      <c r="F163" s="45"/>
      <c r="G163" s="45"/>
      <c r="H163" s="15">
        <v>8000</v>
      </c>
      <c r="I163" s="15"/>
      <c r="J163" s="14"/>
      <c r="K163" s="14"/>
      <c r="L163" s="375"/>
      <c r="M163" s="376"/>
      <c r="N163" s="287"/>
      <c r="O163" s="286"/>
      <c r="P163" s="15"/>
      <c r="Q163" s="15"/>
      <c r="R163" s="15"/>
      <c r="S163" s="15"/>
      <c r="T163" s="15"/>
      <c r="U163" s="15"/>
      <c r="V163" s="15"/>
      <c r="W163" s="15"/>
      <c r="X163" s="15"/>
      <c r="Y163" s="15"/>
      <c r="Z163" s="15"/>
    </row>
    <row r="164" spans="1:26" ht="15.75" x14ac:dyDescent="0.25">
      <c r="A164" s="300" t="s">
        <v>2232</v>
      </c>
      <c r="B164" s="41"/>
      <c r="C164" s="43"/>
      <c r="D164" s="43"/>
      <c r="E164" s="43"/>
      <c r="F164" s="45"/>
      <c r="G164" s="45"/>
      <c r="H164" s="15"/>
      <c r="I164" s="15"/>
      <c r="J164" s="14"/>
      <c r="K164" s="14"/>
      <c r="L164" s="375"/>
      <c r="M164" s="376"/>
      <c r="N164" s="287"/>
      <c r="O164" s="286"/>
      <c r="P164" s="15"/>
      <c r="Q164" s="15"/>
      <c r="R164" s="15"/>
      <c r="S164" s="15"/>
      <c r="T164" s="15"/>
      <c r="U164" s="15"/>
      <c r="V164" s="15"/>
      <c r="W164" s="15"/>
      <c r="X164" s="15"/>
      <c r="Y164" s="15"/>
      <c r="Z164" s="15"/>
    </row>
    <row r="165" spans="1:26" ht="15.75" x14ac:dyDescent="0.25">
      <c r="A165" s="295" t="s">
        <v>2233</v>
      </c>
      <c r="B165" s="41"/>
      <c r="C165" s="43"/>
      <c r="D165" s="43"/>
      <c r="E165" s="43"/>
      <c r="F165" s="45"/>
      <c r="G165" s="45"/>
      <c r="H165" s="15">
        <v>12000</v>
      </c>
      <c r="I165" s="15"/>
      <c r="J165" s="14"/>
      <c r="K165" s="14"/>
      <c r="L165" s="375"/>
      <c r="M165" s="376"/>
      <c r="N165" s="287"/>
      <c r="O165" s="286"/>
      <c r="P165" s="15"/>
      <c r="Q165" s="15"/>
      <c r="R165" s="15"/>
      <c r="S165" s="15"/>
      <c r="T165" s="15"/>
      <c r="U165" s="15"/>
      <c r="V165" s="15"/>
      <c r="W165" s="15"/>
      <c r="X165" s="15"/>
      <c r="Y165" s="15"/>
      <c r="Z165" s="15"/>
    </row>
    <row r="166" spans="1:26" ht="31.5" x14ac:dyDescent="0.25">
      <c r="A166" s="295" t="s">
        <v>2234</v>
      </c>
      <c r="B166" s="41"/>
      <c r="C166" s="43"/>
      <c r="D166" s="43"/>
      <c r="E166" s="43"/>
      <c r="F166" s="45"/>
      <c r="G166" s="45"/>
      <c r="H166" s="15">
        <v>126000</v>
      </c>
      <c r="I166" s="15"/>
      <c r="J166" s="14"/>
      <c r="K166" s="14"/>
      <c r="L166" s="375"/>
      <c r="M166" s="376"/>
      <c r="N166" s="287"/>
      <c r="O166" s="286"/>
      <c r="P166" s="15"/>
      <c r="Q166" s="15"/>
      <c r="R166" s="15"/>
      <c r="S166" s="15"/>
      <c r="T166" s="15"/>
      <c r="U166" s="15"/>
      <c r="V166" s="15"/>
      <c r="W166" s="15"/>
      <c r="X166" s="15"/>
      <c r="Y166" s="15"/>
      <c r="Z166" s="15"/>
    </row>
    <row r="167" spans="1:26" ht="15.75" x14ac:dyDescent="0.25">
      <c r="A167" s="295" t="s">
        <v>2235</v>
      </c>
      <c r="B167" s="41"/>
      <c r="C167" s="43"/>
      <c r="D167" s="43"/>
      <c r="E167" s="43"/>
      <c r="F167" s="45"/>
      <c r="G167" s="45"/>
      <c r="H167" s="15">
        <v>24000</v>
      </c>
      <c r="I167" s="15"/>
      <c r="J167" s="14"/>
      <c r="K167" s="14"/>
      <c r="L167" s="375"/>
      <c r="M167" s="376"/>
      <c r="N167" s="287"/>
      <c r="O167" s="286"/>
      <c r="P167" s="15"/>
      <c r="Q167" s="15"/>
      <c r="R167" s="15"/>
      <c r="S167" s="15"/>
      <c r="T167" s="15"/>
      <c r="U167" s="15"/>
      <c r="V167" s="15"/>
      <c r="W167" s="15"/>
      <c r="X167" s="15"/>
      <c r="Y167" s="15"/>
      <c r="Z167" s="15"/>
    </row>
    <row r="168" spans="1:26" ht="31.5" x14ac:dyDescent="0.25">
      <c r="A168" s="295" t="s">
        <v>2236</v>
      </c>
      <c r="B168" s="41"/>
      <c r="C168" s="43"/>
      <c r="D168" s="43"/>
      <c r="E168" s="43"/>
      <c r="F168" s="45"/>
      <c r="G168" s="45"/>
      <c r="H168" s="15">
        <v>288000</v>
      </c>
      <c r="I168" s="15"/>
      <c r="J168" s="14"/>
      <c r="K168" s="14"/>
      <c r="L168" s="375"/>
      <c r="M168" s="376"/>
      <c r="N168" s="287"/>
      <c r="O168" s="286"/>
      <c r="P168" s="15"/>
      <c r="Q168" s="15"/>
      <c r="R168" s="15"/>
      <c r="S168" s="15"/>
      <c r="T168" s="15"/>
      <c r="U168" s="15"/>
      <c r="V168" s="15"/>
      <c r="W168" s="15"/>
      <c r="X168" s="15"/>
      <c r="Y168" s="15"/>
      <c r="Z168" s="15"/>
    </row>
    <row r="169" spans="1:26" ht="15.75" x14ac:dyDescent="0.25">
      <c r="A169" s="300" t="s">
        <v>2221</v>
      </c>
      <c r="B169" s="41"/>
      <c r="C169" s="43"/>
      <c r="D169" s="43"/>
      <c r="E169" s="43"/>
      <c r="F169" s="45"/>
      <c r="G169" s="45"/>
      <c r="H169" s="15"/>
      <c r="I169" s="15"/>
      <c r="J169" s="14"/>
      <c r="K169" s="14"/>
      <c r="L169" s="375"/>
      <c r="M169" s="376"/>
      <c r="N169" s="287"/>
      <c r="O169" s="286"/>
      <c r="P169" s="15"/>
      <c r="Q169" s="15"/>
      <c r="R169" s="15"/>
      <c r="S169" s="15"/>
      <c r="T169" s="15"/>
      <c r="U169" s="15"/>
      <c r="V169" s="15"/>
      <c r="W169" s="15"/>
      <c r="X169" s="15"/>
      <c r="Y169" s="15"/>
      <c r="Z169" s="15"/>
    </row>
    <row r="170" spans="1:26" ht="31.5" x14ac:dyDescent="0.25">
      <c r="A170" s="295" t="s">
        <v>2237</v>
      </c>
      <c r="B170" s="41"/>
      <c r="C170" s="43"/>
      <c r="D170" s="43"/>
      <c r="E170" s="43"/>
      <c r="F170" s="45"/>
      <c r="G170" s="45"/>
      <c r="H170" s="15">
        <v>12000</v>
      </c>
      <c r="I170" s="15"/>
      <c r="J170" s="14"/>
      <c r="K170" s="14"/>
      <c r="L170" s="375"/>
      <c r="M170" s="376"/>
      <c r="N170" s="287"/>
      <c r="O170" s="286"/>
      <c r="P170" s="15"/>
      <c r="Q170" s="15"/>
      <c r="R170" s="15"/>
      <c r="S170" s="15"/>
      <c r="T170" s="15"/>
      <c r="U170" s="15"/>
      <c r="V170" s="15"/>
      <c r="W170" s="15"/>
      <c r="X170" s="15"/>
      <c r="Y170" s="15"/>
      <c r="Z170" s="15"/>
    </row>
    <row r="171" spans="1:26" ht="31.5" x14ac:dyDescent="0.25">
      <c r="A171" s="295" t="s">
        <v>2238</v>
      </c>
      <c r="B171" s="41"/>
      <c r="C171" s="43"/>
      <c r="D171" s="43"/>
      <c r="E171" s="43"/>
      <c r="F171" s="45"/>
      <c r="G171" s="45"/>
      <c r="H171" s="15">
        <v>144000</v>
      </c>
      <c r="I171" s="15"/>
      <c r="J171" s="14"/>
      <c r="K171" s="14"/>
      <c r="L171" s="375"/>
      <c r="M171" s="376"/>
      <c r="N171" s="287"/>
      <c r="O171" s="286"/>
      <c r="P171" s="15"/>
      <c r="Q171" s="15"/>
      <c r="R171" s="15"/>
      <c r="S171" s="15"/>
      <c r="T171" s="15"/>
      <c r="U171" s="15"/>
      <c r="V171" s="15"/>
      <c r="W171" s="15"/>
      <c r="X171" s="15"/>
      <c r="Y171" s="15"/>
      <c r="Z171" s="15"/>
    </row>
    <row r="172" spans="1:26" ht="31.5" x14ac:dyDescent="0.25">
      <c r="A172" s="295" t="s">
        <v>2239</v>
      </c>
      <c r="B172" s="41"/>
      <c r="C172" s="43"/>
      <c r="D172" s="43"/>
      <c r="E172" s="43"/>
      <c r="F172" s="45"/>
      <c r="G172" s="45"/>
      <c r="H172" s="15">
        <v>18000</v>
      </c>
      <c r="I172" s="15"/>
      <c r="J172" s="14"/>
      <c r="K172" s="14"/>
      <c r="L172" s="375"/>
      <c r="M172" s="376"/>
      <c r="N172" s="287"/>
      <c r="O172" s="286"/>
      <c r="P172" s="15"/>
      <c r="Q172" s="15"/>
      <c r="R172" s="15"/>
      <c r="S172" s="15"/>
      <c r="T172" s="15"/>
      <c r="U172" s="15"/>
      <c r="V172" s="15"/>
      <c r="W172" s="15"/>
      <c r="X172" s="15"/>
      <c r="Y172" s="15"/>
      <c r="Z172" s="15"/>
    </row>
    <row r="173" spans="1:26" ht="31.5" x14ac:dyDescent="0.25">
      <c r="A173" s="295" t="s">
        <v>2240</v>
      </c>
      <c r="B173" s="41"/>
      <c r="C173" s="43"/>
      <c r="D173" s="43"/>
      <c r="E173" s="43"/>
      <c r="F173" s="45"/>
      <c r="G173" s="45"/>
      <c r="H173" s="15">
        <v>360000</v>
      </c>
      <c r="I173" s="15"/>
      <c r="J173" s="14"/>
      <c r="K173" s="14"/>
      <c r="L173" s="375"/>
      <c r="M173" s="376"/>
      <c r="N173" s="287"/>
      <c r="O173" s="286"/>
      <c r="P173" s="15"/>
      <c r="Q173" s="15"/>
      <c r="R173" s="15"/>
      <c r="S173" s="15"/>
      <c r="T173" s="15"/>
      <c r="U173" s="15"/>
      <c r="V173" s="15"/>
      <c r="W173" s="15"/>
      <c r="X173" s="15"/>
      <c r="Y173" s="15"/>
      <c r="Z173" s="15"/>
    </row>
    <row r="174" spans="1:26" ht="31.5" x14ac:dyDescent="0.25">
      <c r="A174" s="295" t="s">
        <v>2241</v>
      </c>
      <c r="B174" s="41"/>
      <c r="C174" s="43"/>
      <c r="D174" s="43"/>
      <c r="E174" s="43"/>
      <c r="F174" s="45"/>
      <c r="G174" s="45"/>
      <c r="H174" s="15">
        <v>24000</v>
      </c>
      <c r="I174" s="15"/>
      <c r="J174" s="14"/>
      <c r="K174" s="14"/>
      <c r="L174" s="375"/>
      <c r="M174" s="376"/>
      <c r="N174" s="287"/>
      <c r="O174" s="286"/>
      <c r="P174" s="15"/>
      <c r="Q174" s="15"/>
      <c r="R174" s="15"/>
      <c r="S174" s="15"/>
      <c r="T174" s="15"/>
      <c r="U174" s="15"/>
      <c r="V174" s="15"/>
      <c r="W174" s="15"/>
      <c r="X174" s="15"/>
      <c r="Y174" s="15"/>
      <c r="Z174" s="15"/>
    </row>
    <row r="175" spans="1:26" ht="31.5" x14ac:dyDescent="0.25">
      <c r="A175" s="295" t="s">
        <v>2242</v>
      </c>
      <c r="B175" s="41"/>
      <c r="C175" s="43"/>
      <c r="D175" s="43"/>
      <c r="E175" s="43"/>
      <c r="F175" s="45"/>
      <c r="G175" s="45"/>
      <c r="H175" s="15">
        <v>36000</v>
      </c>
      <c r="I175" s="15"/>
      <c r="J175" s="14"/>
      <c r="K175" s="14"/>
      <c r="L175" s="375"/>
      <c r="M175" s="376"/>
      <c r="N175" s="287"/>
      <c r="O175" s="286"/>
      <c r="P175" s="15"/>
      <c r="Q175" s="15"/>
      <c r="R175" s="15"/>
      <c r="S175" s="15"/>
      <c r="T175" s="15"/>
      <c r="U175" s="15"/>
      <c r="V175" s="15"/>
      <c r="W175" s="15"/>
      <c r="X175" s="15"/>
      <c r="Y175" s="15"/>
      <c r="Z175" s="15"/>
    </row>
    <row r="176" spans="1:26" ht="15.75" x14ac:dyDescent="0.25">
      <c r="A176" s="386" t="s">
        <v>2243</v>
      </c>
      <c r="B176" s="49"/>
      <c r="C176" s="54">
        <f>SUM(C42:C74)</f>
        <v>57361411.960000001</v>
      </c>
      <c r="D176" s="54">
        <f>SUM(D42:D74)</f>
        <v>26938380.259999998</v>
      </c>
      <c r="E176" s="54">
        <f>SUM(E42:E74)</f>
        <v>53818114.740000002</v>
      </c>
      <c r="F176" s="79">
        <f>SUM(F42:F74)</f>
        <v>80756495</v>
      </c>
      <c r="G176" s="79">
        <f>SUM(G42:G175)</f>
        <v>87096881</v>
      </c>
      <c r="H176" s="15"/>
      <c r="I176" s="15"/>
      <c r="J176" s="14"/>
      <c r="K176" s="14"/>
      <c r="L176" s="375"/>
      <c r="M176" s="376"/>
      <c r="N176" s="287"/>
      <c r="O176" s="286"/>
      <c r="P176" s="15"/>
      <c r="Q176" s="15"/>
      <c r="R176" s="15"/>
      <c r="S176" s="15"/>
      <c r="T176" s="15"/>
      <c r="U176" s="15"/>
      <c r="V176" s="15"/>
      <c r="W176" s="15"/>
      <c r="X176" s="15"/>
      <c r="Y176" s="15"/>
      <c r="Z176" s="15"/>
    </row>
    <row r="177" spans="1:26" ht="15.75" x14ac:dyDescent="0.25">
      <c r="A177" s="465"/>
      <c r="B177" s="454"/>
      <c r="C177" s="452"/>
      <c r="D177" s="53"/>
      <c r="E177" s="53"/>
      <c r="F177" s="53"/>
      <c r="G177" s="438"/>
      <c r="H177" s="15"/>
      <c r="I177" s="15"/>
      <c r="J177" s="14"/>
      <c r="K177" s="14"/>
      <c r="L177" s="375"/>
      <c r="M177" s="376"/>
      <c r="N177" s="287"/>
      <c r="O177" s="286"/>
      <c r="P177" s="15"/>
      <c r="Q177" s="15"/>
      <c r="R177" s="15"/>
      <c r="S177" s="15"/>
      <c r="T177" s="15"/>
      <c r="U177" s="15"/>
      <c r="V177" s="15"/>
      <c r="W177" s="15"/>
      <c r="X177" s="15"/>
      <c r="Y177" s="15"/>
      <c r="Z177" s="15"/>
    </row>
    <row r="178" spans="1:26" ht="15.75" x14ac:dyDescent="0.25">
      <c r="A178" s="456" t="s">
        <v>467</v>
      </c>
      <c r="B178" s="454"/>
      <c r="C178" s="473">
        <f>C38+C176</f>
        <v>72785881.569999993</v>
      </c>
      <c r="D178" s="43">
        <f>D38+D176</f>
        <v>34623806.689999998</v>
      </c>
      <c r="E178" s="43">
        <f>E38+E176</f>
        <v>66091854.310000002</v>
      </c>
      <c r="F178" s="484">
        <f>F38+F176</f>
        <v>100715661</v>
      </c>
      <c r="G178" s="462">
        <f>G38+G176</f>
        <v>108411909</v>
      </c>
      <c r="H178" s="15"/>
      <c r="I178" s="15"/>
      <c r="J178" s="14"/>
      <c r="K178" s="14"/>
      <c r="L178" s="375"/>
      <c r="M178" s="376"/>
      <c r="N178" s="287"/>
      <c r="O178" s="286"/>
      <c r="P178" s="15"/>
      <c r="Q178" s="15"/>
      <c r="R178" s="15"/>
      <c r="S178" s="15"/>
      <c r="T178" s="15"/>
      <c r="U178" s="15"/>
      <c r="V178" s="15"/>
      <c r="W178" s="15"/>
      <c r="X178" s="15"/>
      <c r="Y178" s="15"/>
      <c r="Z178" s="15"/>
    </row>
    <row r="179" spans="1:26" ht="15.75" x14ac:dyDescent="0.25">
      <c r="A179" s="482"/>
      <c r="B179" s="483"/>
      <c r="C179" s="457"/>
      <c r="D179" s="457"/>
      <c r="E179" s="457"/>
      <c r="F179" s="457"/>
      <c r="G179" s="457"/>
      <c r="H179" s="15"/>
      <c r="I179" s="15"/>
      <c r="J179" s="14"/>
      <c r="K179" s="14"/>
      <c r="L179" s="375"/>
      <c r="M179" s="376"/>
      <c r="N179" s="287"/>
      <c r="O179" s="286"/>
      <c r="P179" s="15"/>
      <c r="Q179" s="15"/>
      <c r="R179" s="15"/>
      <c r="S179" s="15"/>
      <c r="T179" s="15"/>
      <c r="U179" s="15"/>
      <c r="V179" s="15"/>
      <c r="W179" s="15"/>
      <c r="X179" s="15"/>
      <c r="Y179" s="15"/>
      <c r="Z179" s="15"/>
    </row>
    <row r="180" spans="1:26" ht="15.75" x14ac:dyDescent="0.25">
      <c r="A180" s="599" t="s">
        <v>529</v>
      </c>
      <c r="B180" s="624"/>
      <c r="C180" s="448"/>
      <c r="D180" s="448"/>
      <c r="E180" s="448"/>
      <c r="F180" s="448"/>
      <c r="G180" s="448"/>
      <c r="H180" s="15"/>
      <c r="I180" s="15"/>
      <c r="J180" s="14"/>
      <c r="K180" s="14"/>
      <c r="L180" s="375"/>
      <c r="M180" s="376"/>
      <c r="N180" s="287"/>
      <c r="O180" s="286"/>
      <c r="P180" s="15"/>
      <c r="Q180" s="15"/>
      <c r="R180" s="15"/>
      <c r="S180" s="15"/>
      <c r="T180" s="15"/>
      <c r="U180" s="15"/>
      <c r="V180" s="15"/>
      <c r="W180" s="15"/>
      <c r="X180" s="15"/>
      <c r="Y180" s="15"/>
      <c r="Z180" s="15"/>
    </row>
    <row r="181" spans="1:26" ht="15.75" x14ac:dyDescent="0.25">
      <c r="A181" s="161" t="s">
        <v>476</v>
      </c>
      <c r="B181" s="172"/>
      <c r="C181" s="43"/>
      <c r="D181" s="43"/>
      <c r="E181" s="43"/>
      <c r="F181" s="43"/>
      <c r="G181" s="43"/>
      <c r="H181" s="15"/>
      <c r="I181" s="15"/>
      <c r="J181" s="14"/>
      <c r="K181" s="14"/>
      <c r="L181" s="375"/>
      <c r="M181" s="376"/>
      <c r="N181" s="287"/>
      <c r="O181" s="286"/>
      <c r="P181" s="15"/>
      <c r="Q181" s="15"/>
      <c r="R181" s="15"/>
      <c r="S181" s="15"/>
      <c r="T181" s="15"/>
      <c r="U181" s="15"/>
      <c r="V181" s="15"/>
      <c r="W181" s="15"/>
      <c r="X181" s="15"/>
      <c r="Y181" s="15"/>
      <c r="Z181" s="15"/>
    </row>
    <row r="182" spans="1:26" ht="15.75" x14ac:dyDescent="0.25">
      <c r="A182" s="96" t="s">
        <v>479</v>
      </c>
      <c r="B182" s="41" t="s">
        <v>47</v>
      </c>
      <c r="C182" s="43">
        <v>0</v>
      </c>
      <c r="D182" s="43">
        <v>0</v>
      </c>
      <c r="E182" s="43">
        <v>0</v>
      </c>
      <c r="F182" s="43">
        <v>0</v>
      </c>
      <c r="G182" s="43">
        <f>60600+105600+108000</f>
        <v>274200</v>
      </c>
      <c r="H182" s="15"/>
      <c r="I182" s="15"/>
      <c r="J182" s="14"/>
      <c r="K182" s="14"/>
      <c r="L182" s="375"/>
      <c r="M182" s="376"/>
      <c r="N182" s="287"/>
      <c r="O182" s="286"/>
      <c r="P182" s="15"/>
      <c r="Q182" s="15"/>
      <c r="R182" s="15"/>
      <c r="S182" s="15"/>
      <c r="T182" s="15"/>
      <c r="U182" s="15"/>
      <c r="V182" s="15"/>
      <c r="W182" s="15"/>
      <c r="X182" s="15"/>
      <c r="Y182" s="15"/>
      <c r="Z182" s="15"/>
    </row>
    <row r="183" spans="1:26" ht="15.75" x14ac:dyDescent="0.25">
      <c r="A183" s="74" t="s">
        <v>2244</v>
      </c>
      <c r="B183" s="41"/>
      <c r="C183" s="43"/>
      <c r="D183" s="43"/>
      <c r="E183" s="43"/>
      <c r="F183" s="43"/>
      <c r="G183" s="43"/>
      <c r="H183" s="15"/>
      <c r="I183" s="15"/>
      <c r="J183" s="14"/>
      <c r="K183" s="14"/>
      <c r="L183" s="375"/>
      <c r="M183" s="376"/>
      <c r="N183" s="287"/>
      <c r="O183" s="286"/>
      <c r="P183" s="15"/>
      <c r="Q183" s="15"/>
      <c r="R183" s="15"/>
      <c r="S183" s="15"/>
      <c r="T183" s="15"/>
      <c r="U183" s="15"/>
      <c r="V183" s="15"/>
      <c r="W183" s="15"/>
      <c r="X183" s="15"/>
      <c r="Y183" s="15"/>
      <c r="Z183" s="15"/>
    </row>
    <row r="184" spans="1:26" ht="15.75" x14ac:dyDescent="0.25">
      <c r="A184" s="74" t="s">
        <v>2245</v>
      </c>
      <c r="B184" s="41"/>
      <c r="C184" s="43"/>
      <c r="D184" s="43"/>
      <c r="E184" s="43"/>
      <c r="F184" s="43"/>
      <c r="G184" s="43"/>
      <c r="H184" s="15"/>
      <c r="I184" s="15"/>
      <c r="J184" s="14"/>
      <c r="K184" s="14"/>
      <c r="L184" s="375"/>
      <c r="M184" s="376"/>
      <c r="N184" s="287"/>
      <c r="O184" s="286"/>
      <c r="P184" s="15"/>
      <c r="Q184" s="15"/>
      <c r="R184" s="15"/>
      <c r="S184" s="15"/>
      <c r="T184" s="15"/>
      <c r="U184" s="15"/>
      <c r="V184" s="15"/>
      <c r="W184" s="15"/>
      <c r="X184" s="15"/>
      <c r="Y184" s="15"/>
      <c r="Z184" s="15"/>
    </row>
    <row r="185" spans="1:26" ht="15.75" x14ac:dyDescent="0.25">
      <c r="A185" s="74" t="s">
        <v>2246</v>
      </c>
      <c r="B185" s="41"/>
      <c r="C185" s="43"/>
      <c r="D185" s="43"/>
      <c r="E185" s="43"/>
      <c r="F185" s="43"/>
      <c r="G185" s="43"/>
      <c r="H185" s="15"/>
      <c r="I185" s="15"/>
      <c r="J185" s="14"/>
      <c r="K185" s="14"/>
      <c r="L185" s="375"/>
      <c r="M185" s="376"/>
      <c r="N185" s="287"/>
      <c r="O185" s="286"/>
      <c r="P185" s="15"/>
      <c r="Q185" s="15"/>
      <c r="R185" s="15"/>
      <c r="S185" s="15"/>
      <c r="T185" s="15"/>
      <c r="U185" s="15"/>
      <c r="V185" s="15"/>
      <c r="W185" s="15"/>
      <c r="X185" s="15"/>
      <c r="Y185" s="15"/>
      <c r="Z185" s="15"/>
    </row>
    <row r="186" spans="1:26" ht="15.75" x14ac:dyDescent="0.25">
      <c r="A186" s="96" t="s">
        <v>482</v>
      </c>
      <c r="B186" s="41" t="s">
        <v>52</v>
      </c>
      <c r="C186" s="43">
        <v>0</v>
      </c>
      <c r="D186" s="43">
        <v>0</v>
      </c>
      <c r="E186" s="43">
        <v>0</v>
      </c>
      <c r="F186" s="43">
        <v>0</v>
      </c>
      <c r="G186" s="43">
        <v>500000</v>
      </c>
      <c r="H186" s="15"/>
      <c r="I186" s="15"/>
      <c r="J186" s="14"/>
      <c r="K186" s="14"/>
      <c r="L186" s="375"/>
      <c r="M186" s="376"/>
      <c r="N186" s="287"/>
      <c r="O186" s="286"/>
      <c r="P186" s="15"/>
      <c r="Q186" s="15"/>
      <c r="R186" s="15"/>
      <c r="S186" s="15"/>
      <c r="T186" s="15"/>
      <c r="U186" s="15"/>
      <c r="V186" s="15"/>
      <c r="W186" s="15"/>
      <c r="X186" s="15"/>
      <c r="Y186" s="15"/>
      <c r="Z186" s="15"/>
    </row>
    <row r="187" spans="1:26" ht="15.75" x14ac:dyDescent="0.25">
      <c r="A187" s="74" t="s">
        <v>2247</v>
      </c>
      <c r="B187" s="41"/>
      <c r="C187" s="43"/>
      <c r="D187" s="43"/>
      <c r="E187" s="43"/>
      <c r="F187" s="43"/>
      <c r="G187" s="43"/>
      <c r="H187" s="15"/>
      <c r="I187" s="15"/>
      <c r="J187" s="14"/>
      <c r="K187" s="14"/>
      <c r="L187" s="375"/>
      <c r="M187" s="376"/>
      <c r="N187" s="287"/>
      <c r="O187" s="286"/>
      <c r="P187" s="15"/>
      <c r="Q187" s="15"/>
      <c r="R187" s="15"/>
      <c r="S187" s="15"/>
      <c r="T187" s="15"/>
      <c r="U187" s="15"/>
      <c r="V187" s="15"/>
      <c r="W187" s="15"/>
      <c r="X187" s="15"/>
      <c r="Y187" s="15"/>
      <c r="Z187" s="15"/>
    </row>
    <row r="188" spans="1:26" ht="15.75" x14ac:dyDescent="0.25">
      <c r="A188" s="17" t="s">
        <v>1145</v>
      </c>
      <c r="B188" s="41"/>
      <c r="C188" s="54">
        <f t="shared" ref="C188:G188" si="22">SUM(C182:C187)</f>
        <v>0</v>
      </c>
      <c r="D188" s="54">
        <f t="shared" si="22"/>
        <v>0</v>
      </c>
      <c r="E188" s="54">
        <f t="shared" si="22"/>
        <v>0</v>
      </c>
      <c r="F188" s="54">
        <f t="shared" si="22"/>
        <v>0</v>
      </c>
      <c r="G188" s="54">
        <f t="shared" si="22"/>
        <v>774200</v>
      </c>
      <c r="H188" s="15"/>
      <c r="I188" s="15"/>
      <c r="J188" s="14"/>
      <c r="K188" s="14"/>
      <c r="L188" s="375"/>
      <c r="M188" s="376"/>
      <c r="N188" s="287"/>
      <c r="O188" s="286"/>
      <c r="P188" s="15"/>
      <c r="Q188" s="15"/>
      <c r="R188" s="15"/>
      <c r="S188" s="15"/>
      <c r="T188" s="15"/>
      <c r="U188" s="15"/>
      <c r="V188" s="15"/>
      <c r="W188" s="15"/>
      <c r="X188" s="15"/>
      <c r="Y188" s="15"/>
      <c r="Z188" s="15"/>
    </row>
    <row r="189" spans="1:26" ht="15.75" x14ac:dyDescent="0.25">
      <c r="A189" s="17"/>
      <c r="B189" s="41"/>
      <c r="C189" s="43"/>
      <c r="D189" s="26"/>
      <c r="E189" s="43"/>
      <c r="F189" s="43"/>
      <c r="G189" s="43"/>
      <c r="H189" s="15"/>
      <c r="I189" s="15"/>
      <c r="J189" s="14"/>
      <c r="K189" s="14"/>
      <c r="L189" s="375"/>
      <c r="M189" s="376"/>
      <c r="N189" s="287"/>
      <c r="O189" s="286"/>
      <c r="P189" s="15"/>
      <c r="Q189" s="15"/>
      <c r="R189" s="15"/>
      <c r="S189" s="15"/>
      <c r="T189" s="15"/>
      <c r="U189" s="15"/>
      <c r="V189" s="15"/>
      <c r="W189" s="15"/>
      <c r="X189" s="15"/>
      <c r="Y189" s="15"/>
      <c r="Z189" s="15"/>
    </row>
    <row r="190" spans="1:26" ht="15.75" x14ac:dyDescent="0.25">
      <c r="A190" s="640" t="s">
        <v>487</v>
      </c>
      <c r="B190" s="647" t="s">
        <v>488</v>
      </c>
      <c r="C190" s="634">
        <f t="shared" ref="C190:G190" si="23">C188+C178</f>
        <v>72785881.569999993</v>
      </c>
      <c r="D190" s="634">
        <f t="shared" si="23"/>
        <v>34623806.689999998</v>
      </c>
      <c r="E190" s="634">
        <f t="shared" si="23"/>
        <v>66091854.310000002</v>
      </c>
      <c r="F190" s="634">
        <f t="shared" si="23"/>
        <v>100715661</v>
      </c>
      <c r="G190" s="634">
        <f t="shared" si="23"/>
        <v>109186109</v>
      </c>
      <c r="H190" s="232"/>
      <c r="I190" s="15"/>
      <c r="J190" s="14"/>
      <c r="K190" s="14"/>
      <c r="L190" s="375"/>
      <c r="M190" s="376"/>
      <c r="N190" s="287"/>
      <c r="O190" s="286"/>
      <c r="P190" s="15"/>
      <c r="Q190" s="15"/>
      <c r="R190" s="15"/>
      <c r="S190" s="15"/>
      <c r="T190" s="15"/>
      <c r="U190" s="15"/>
      <c r="V190" s="15"/>
      <c r="W190" s="15"/>
      <c r="X190" s="15"/>
      <c r="Y190" s="15"/>
      <c r="Z190" s="15"/>
    </row>
    <row r="191" spans="1:26" ht="15.75" x14ac:dyDescent="0.25">
      <c r="A191" s="637"/>
      <c r="B191" s="638"/>
      <c r="C191" s="637"/>
      <c r="D191" s="637"/>
      <c r="E191" s="637"/>
      <c r="F191" s="700"/>
      <c r="G191" s="700"/>
      <c r="H191" s="15"/>
      <c r="I191" s="15"/>
      <c r="J191" s="14"/>
      <c r="K191" s="14"/>
      <c r="L191" s="375"/>
      <c r="M191" s="376"/>
      <c r="N191" s="287"/>
      <c r="O191" s="286"/>
      <c r="P191" s="15"/>
      <c r="Q191" s="15"/>
      <c r="R191" s="15"/>
      <c r="S191" s="15"/>
      <c r="T191" s="15"/>
      <c r="U191" s="15"/>
      <c r="V191" s="15"/>
      <c r="W191" s="15"/>
      <c r="X191" s="15"/>
      <c r="Y191" s="15"/>
      <c r="Z191" s="15"/>
    </row>
    <row r="192" spans="1:26" ht="15.75" x14ac:dyDescent="0.25">
      <c r="A192" s="24"/>
      <c r="B192" s="25"/>
      <c r="C192" s="24"/>
      <c r="D192" s="24"/>
      <c r="E192" s="24"/>
      <c r="F192" s="114"/>
      <c r="G192" s="114"/>
      <c r="H192" s="114"/>
      <c r="J192" s="7"/>
      <c r="K192" s="7"/>
      <c r="L192" s="373"/>
      <c r="M192" s="374"/>
      <c r="N192" s="202"/>
      <c r="O192" s="150"/>
    </row>
    <row r="193" spans="1:15" ht="15.75" x14ac:dyDescent="0.25">
      <c r="A193" s="24"/>
      <c r="B193" s="25"/>
      <c r="C193" s="24"/>
      <c r="D193" s="24"/>
      <c r="E193" s="24"/>
      <c r="F193" s="114"/>
      <c r="G193" s="114"/>
      <c r="H193" s="114"/>
      <c r="J193" s="7"/>
      <c r="K193" s="7"/>
      <c r="L193" s="373"/>
      <c r="M193" s="374"/>
      <c r="N193" s="202"/>
      <c r="O193" s="150"/>
    </row>
    <row r="194" spans="1:15" ht="15.75" x14ac:dyDescent="0.25">
      <c r="A194" s="24"/>
      <c r="B194" s="25"/>
      <c r="C194" s="24"/>
      <c r="D194" s="24"/>
      <c r="E194" s="24"/>
      <c r="F194" s="114"/>
      <c r="G194" s="114"/>
      <c r="H194" s="114"/>
      <c r="J194" s="7"/>
      <c r="K194" s="7"/>
      <c r="L194" s="373"/>
      <c r="M194" s="374"/>
      <c r="N194" s="202"/>
      <c r="O194" s="150"/>
    </row>
    <row r="195" spans="1:15" ht="15.75" x14ac:dyDescent="0.25">
      <c r="A195" s="24"/>
      <c r="B195" s="25"/>
      <c r="C195" s="24"/>
      <c r="D195" s="24"/>
      <c r="E195" s="24"/>
      <c r="F195" s="114"/>
      <c r="G195" s="114"/>
      <c r="H195" s="114"/>
      <c r="J195" s="7"/>
      <c r="K195" s="7"/>
      <c r="L195" s="373"/>
      <c r="M195" s="374"/>
      <c r="N195" s="202"/>
      <c r="O195" s="150"/>
    </row>
    <row r="196" spans="1:15" ht="15.75" x14ac:dyDescent="0.25">
      <c r="A196" s="24"/>
      <c r="B196" s="25"/>
      <c r="C196" s="24"/>
      <c r="D196" s="24"/>
      <c r="E196" s="24"/>
      <c r="F196" s="114"/>
      <c r="G196" s="114"/>
      <c r="H196" s="114"/>
      <c r="J196" s="7"/>
      <c r="K196" s="7"/>
      <c r="L196" s="373"/>
      <c r="M196" s="374"/>
      <c r="N196" s="202"/>
      <c r="O196" s="150"/>
    </row>
    <row r="197" spans="1:15" ht="15.75" x14ac:dyDescent="0.25">
      <c r="A197" s="24"/>
      <c r="B197" s="25"/>
      <c r="C197" s="24"/>
      <c r="D197" s="24"/>
      <c r="E197" s="24"/>
      <c r="F197" s="114"/>
      <c r="G197" s="114"/>
      <c r="H197" s="114"/>
      <c r="J197" s="7"/>
      <c r="K197" s="7"/>
      <c r="L197" s="373"/>
      <c r="M197" s="374"/>
      <c r="N197" s="202"/>
      <c r="O197" s="150"/>
    </row>
    <row r="198" spans="1:15" ht="15.75" x14ac:dyDescent="0.25">
      <c r="A198" s="24"/>
      <c r="B198" s="25"/>
      <c r="C198" s="24"/>
      <c r="D198" s="24"/>
      <c r="E198" s="24"/>
      <c r="F198" s="114"/>
      <c r="G198" s="114"/>
      <c r="H198" s="114"/>
      <c r="J198" s="7"/>
      <c r="K198" s="7"/>
      <c r="L198" s="373"/>
      <c r="M198" s="374"/>
      <c r="N198" s="202"/>
      <c r="O198" s="150"/>
    </row>
    <row r="199" spans="1:15" ht="15.75" x14ac:dyDescent="0.25">
      <c r="A199" s="24"/>
      <c r="B199" s="25"/>
      <c r="C199" s="24"/>
      <c r="D199" s="24"/>
      <c r="E199" s="24"/>
      <c r="F199" s="114"/>
      <c r="G199" s="114"/>
      <c r="H199" s="114"/>
      <c r="J199" s="7"/>
      <c r="K199" s="7"/>
      <c r="L199" s="373"/>
      <c r="M199" s="374"/>
      <c r="N199" s="202"/>
      <c r="O199" s="150"/>
    </row>
    <row r="200" spans="1:15" ht="15.75" x14ac:dyDescent="0.25">
      <c r="A200" s="24"/>
      <c r="B200" s="25"/>
      <c r="C200" s="24"/>
      <c r="D200" s="24"/>
      <c r="E200" s="24"/>
      <c r="F200" s="114"/>
      <c r="G200" s="114"/>
      <c r="H200" s="114"/>
      <c r="J200" s="7"/>
      <c r="K200" s="7"/>
      <c r="L200" s="373"/>
      <c r="M200" s="374"/>
      <c r="N200" s="202"/>
      <c r="O200" s="150"/>
    </row>
    <row r="201" spans="1:15" ht="15.75" x14ac:dyDescent="0.25">
      <c r="A201" s="24"/>
      <c r="B201" s="25"/>
      <c r="C201" s="24"/>
      <c r="D201" s="24"/>
      <c r="E201" s="24"/>
      <c r="F201" s="114"/>
      <c r="G201" s="114"/>
      <c r="H201" s="114"/>
      <c r="J201" s="7"/>
      <c r="K201" s="7"/>
      <c r="L201" s="373"/>
      <c r="M201" s="374"/>
      <c r="N201" s="202"/>
      <c r="O201" s="150"/>
    </row>
    <row r="202" spans="1:15" ht="15.75" x14ac:dyDescent="0.25">
      <c r="A202" s="24"/>
      <c r="B202" s="25"/>
      <c r="C202" s="24"/>
      <c r="D202" s="24"/>
      <c r="E202" s="24"/>
      <c r="F202" s="114"/>
      <c r="G202" s="114"/>
      <c r="H202" s="114"/>
      <c r="J202" s="7"/>
      <c r="K202" s="7"/>
      <c r="L202" s="373"/>
      <c r="M202" s="374"/>
      <c r="N202" s="202"/>
      <c r="O202" s="150"/>
    </row>
    <row r="203" spans="1:15" ht="15.75" x14ac:dyDescent="0.25">
      <c r="A203" s="24"/>
      <c r="B203" s="25"/>
      <c r="C203" s="24"/>
      <c r="D203" s="24"/>
      <c r="E203" s="24"/>
      <c r="F203" s="114"/>
      <c r="G203" s="114"/>
      <c r="H203" s="114"/>
      <c r="J203" s="7"/>
      <c r="K203" s="7"/>
      <c r="L203" s="373"/>
      <c r="M203" s="374"/>
      <c r="N203" s="202"/>
      <c r="O203" s="150"/>
    </row>
    <row r="204" spans="1:15" ht="15.75" x14ac:dyDescent="0.25">
      <c r="A204" s="24"/>
      <c r="B204" s="25"/>
      <c r="C204" s="24"/>
      <c r="D204" s="24"/>
      <c r="E204" s="24"/>
      <c r="F204" s="114"/>
      <c r="G204" s="114"/>
      <c r="H204" s="114"/>
      <c r="J204" s="7"/>
      <c r="K204" s="7"/>
      <c r="L204" s="373"/>
      <c r="M204" s="374"/>
      <c r="N204" s="202"/>
      <c r="O204" s="150"/>
    </row>
    <row r="205" spans="1:15" ht="15.75" x14ac:dyDescent="0.25">
      <c r="A205" s="24"/>
      <c r="B205" s="25"/>
      <c r="C205" s="24"/>
      <c r="D205" s="24"/>
      <c r="E205" s="24"/>
      <c r="F205" s="114"/>
      <c r="G205" s="114"/>
      <c r="H205" s="114"/>
      <c r="J205" s="7"/>
      <c r="K205" s="7"/>
      <c r="L205" s="373"/>
      <c r="M205" s="374"/>
      <c r="N205" s="202"/>
      <c r="O205" s="150"/>
    </row>
    <row r="206" spans="1:15" ht="15.75" x14ac:dyDescent="0.25">
      <c r="A206" s="24"/>
      <c r="B206" s="25"/>
      <c r="C206" s="24"/>
      <c r="D206" s="24"/>
      <c r="E206" s="24"/>
      <c r="F206" s="114"/>
      <c r="G206" s="114"/>
      <c r="H206" s="114"/>
      <c r="J206" s="7"/>
      <c r="K206" s="7"/>
      <c r="L206" s="373"/>
      <c r="M206" s="374"/>
      <c r="N206" s="202"/>
      <c r="O206" s="150"/>
    </row>
    <row r="207" spans="1:15" ht="15.75" x14ac:dyDescent="0.25">
      <c r="A207" s="24"/>
      <c r="B207" s="25"/>
      <c r="C207" s="24"/>
      <c r="D207" s="24"/>
      <c r="E207" s="24"/>
      <c r="F207" s="114"/>
      <c r="G207" s="114"/>
      <c r="H207" s="114"/>
      <c r="J207" s="7"/>
      <c r="K207" s="7"/>
      <c r="L207" s="373"/>
      <c r="M207" s="374"/>
      <c r="N207" s="202"/>
      <c r="O207" s="150"/>
    </row>
    <row r="208" spans="1:15" ht="15.75" x14ac:dyDescent="0.25">
      <c r="A208" s="24"/>
      <c r="B208" s="25"/>
      <c r="C208" s="24"/>
      <c r="D208" s="24"/>
      <c r="E208" s="24"/>
      <c r="F208" s="114"/>
      <c r="G208" s="114"/>
      <c r="H208" s="114"/>
      <c r="J208" s="7"/>
      <c r="K208" s="7"/>
      <c r="L208" s="373"/>
      <c r="M208" s="374"/>
      <c r="N208" s="202"/>
      <c r="O208" s="150"/>
    </row>
    <row r="209" spans="1:15" ht="15.75" x14ac:dyDescent="0.25">
      <c r="A209" s="24"/>
      <c r="B209" s="25"/>
      <c r="C209" s="24"/>
      <c r="D209" s="24"/>
      <c r="E209" s="24"/>
      <c r="F209" s="114"/>
      <c r="G209" s="114"/>
      <c r="H209" s="114"/>
      <c r="J209" s="7"/>
      <c r="K209" s="7"/>
      <c r="L209" s="373"/>
      <c r="M209" s="374"/>
      <c r="N209" s="202"/>
      <c r="O209" s="150"/>
    </row>
    <row r="210" spans="1:15" ht="15.75" x14ac:dyDescent="0.25">
      <c r="A210" s="24"/>
      <c r="B210" s="25"/>
      <c r="C210" s="24"/>
      <c r="D210" s="24"/>
      <c r="E210" s="24"/>
      <c r="F210" s="114"/>
      <c r="G210" s="114"/>
      <c r="H210" s="114"/>
      <c r="J210" s="7"/>
      <c r="K210" s="7"/>
      <c r="L210" s="373"/>
      <c r="M210" s="374"/>
      <c r="N210" s="202"/>
      <c r="O210" s="150"/>
    </row>
    <row r="211" spans="1:15" ht="15.75" x14ac:dyDescent="0.25">
      <c r="A211" s="24"/>
      <c r="B211" s="25"/>
      <c r="C211" s="24"/>
      <c r="D211" s="24"/>
      <c r="E211" s="24"/>
      <c r="F211" s="114"/>
      <c r="G211" s="114"/>
      <c r="H211" s="114"/>
      <c r="J211" s="7"/>
      <c r="K211" s="7"/>
      <c r="L211" s="373"/>
      <c r="M211" s="374"/>
      <c r="N211" s="202"/>
      <c r="O211" s="150"/>
    </row>
    <row r="212" spans="1:15" ht="15.75" x14ac:dyDescent="0.25">
      <c r="A212" s="24"/>
      <c r="B212" s="25"/>
      <c r="C212" s="24"/>
      <c r="D212" s="24"/>
      <c r="E212" s="24"/>
      <c r="F212" s="114"/>
      <c r="G212" s="114"/>
      <c r="H212" s="114"/>
      <c r="J212" s="7"/>
      <c r="K212" s="7"/>
      <c r="L212" s="373"/>
      <c r="M212" s="374"/>
      <c r="N212" s="202"/>
      <c r="O212" s="150"/>
    </row>
    <row r="213" spans="1:15" ht="15.75" x14ac:dyDescent="0.25">
      <c r="A213" s="24"/>
      <c r="B213" s="25"/>
      <c r="C213" s="24"/>
      <c r="D213" s="24"/>
      <c r="E213" s="24"/>
      <c r="F213" s="114"/>
      <c r="G213" s="114"/>
      <c r="H213" s="114"/>
      <c r="J213" s="7"/>
      <c r="K213" s="7"/>
      <c r="L213" s="373"/>
      <c r="M213" s="374"/>
      <c r="N213" s="202"/>
      <c r="O213" s="150"/>
    </row>
    <row r="214" spans="1:15" ht="15.75" x14ac:dyDescent="0.25">
      <c r="A214" s="24"/>
      <c r="B214" s="25"/>
      <c r="C214" s="24"/>
      <c r="D214" s="24"/>
      <c r="E214" s="24"/>
      <c r="F214" s="114"/>
      <c r="G214" s="114"/>
      <c r="H214" s="114"/>
      <c r="J214" s="7"/>
      <c r="K214" s="7"/>
      <c r="L214" s="373"/>
      <c r="M214" s="374"/>
      <c r="N214" s="202"/>
      <c r="O214" s="150"/>
    </row>
    <row r="215" spans="1:15" ht="15.75" x14ac:dyDescent="0.25">
      <c r="A215" s="24"/>
      <c r="B215" s="25"/>
      <c r="C215" s="24"/>
      <c r="D215" s="24"/>
      <c r="E215" s="24"/>
      <c r="F215" s="114"/>
      <c r="G215" s="114"/>
      <c r="H215" s="114"/>
      <c r="J215" s="7"/>
      <c r="K215" s="7"/>
      <c r="L215" s="373"/>
      <c r="M215" s="374"/>
      <c r="N215" s="202"/>
      <c r="O215" s="150"/>
    </row>
    <row r="216" spans="1:15" ht="15.75" x14ac:dyDescent="0.25">
      <c r="A216" s="24"/>
      <c r="B216" s="25"/>
      <c r="C216" s="24"/>
      <c r="D216" s="24"/>
      <c r="E216" s="24"/>
      <c r="F216" s="114"/>
      <c r="G216" s="114"/>
      <c r="H216" s="114"/>
      <c r="J216" s="7"/>
      <c r="K216" s="7"/>
      <c r="L216" s="373"/>
      <c r="M216" s="374"/>
      <c r="N216" s="202"/>
      <c r="O216" s="150"/>
    </row>
    <row r="217" spans="1:15" ht="15.75" x14ac:dyDescent="0.25">
      <c r="A217" s="24"/>
      <c r="B217" s="25"/>
      <c r="C217" s="24"/>
      <c r="D217" s="24"/>
      <c r="E217" s="24"/>
      <c r="F217" s="114"/>
      <c r="G217" s="114"/>
      <c r="H217" s="114"/>
      <c r="J217" s="7"/>
      <c r="K217" s="7"/>
      <c r="L217" s="373"/>
      <c r="M217" s="374"/>
      <c r="N217" s="202"/>
      <c r="O217" s="150"/>
    </row>
    <row r="218" spans="1:15" ht="15.75" x14ac:dyDescent="0.25">
      <c r="A218" s="24"/>
      <c r="B218" s="25"/>
      <c r="C218" s="24"/>
      <c r="D218" s="24"/>
      <c r="E218" s="24"/>
      <c r="F218" s="114"/>
      <c r="G218" s="114"/>
      <c r="H218" s="114"/>
      <c r="J218" s="7"/>
      <c r="K218" s="7"/>
      <c r="L218" s="373"/>
      <c r="M218" s="374"/>
      <c r="N218" s="202"/>
      <c r="O218" s="150"/>
    </row>
    <row r="219" spans="1:15" ht="15.75" x14ac:dyDescent="0.25">
      <c r="A219" s="24"/>
      <c r="B219" s="25"/>
      <c r="C219" s="24"/>
      <c r="D219" s="24"/>
      <c r="E219" s="24"/>
      <c r="F219" s="114"/>
      <c r="G219" s="114"/>
      <c r="H219" s="114"/>
      <c r="J219" s="7"/>
      <c r="K219" s="7"/>
      <c r="L219" s="373"/>
      <c r="M219" s="374"/>
      <c r="N219" s="202"/>
      <c r="O219" s="150"/>
    </row>
    <row r="220" spans="1:15" ht="15.75" x14ac:dyDescent="0.25">
      <c r="A220" s="24"/>
      <c r="B220" s="25"/>
      <c r="C220" s="24"/>
      <c r="D220" s="24"/>
      <c r="E220" s="24"/>
      <c r="F220" s="114"/>
      <c r="G220" s="114"/>
      <c r="H220" s="114"/>
      <c r="J220" s="7"/>
      <c r="K220" s="7"/>
      <c r="L220" s="373"/>
      <c r="M220" s="374"/>
      <c r="N220" s="202"/>
      <c r="O220" s="150"/>
    </row>
    <row r="221" spans="1:15" ht="15.75" x14ac:dyDescent="0.25">
      <c r="A221" s="24"/>
      <c r="B221" s="25"/>
      <c r="C221" s="24"/>
      <c r="D221" s="24"/>
      <c r="E221" s="24"/>
      <c r="F221" s="114"/>
      <c r="G221" s="114"/>
      <c r="H221" s="114"/>
      <c r="J221" s="7"/>
      <c r="K221" s="7"/>
      <c r="L221" s="373"/>
      <c r="M221" s="374"/>
      <c r="N221" s="202"/>
      <c r="O221" s="150"/>
    </row>
    <row r="222" spans="1:15" ht="15.75" x14ac:dyDescent="0.25">
      <c r="A222" s="24"/>
      <c r="B222" s="25"/>
      <c r="C222" s="24"/>
      <c r="D222" s="24"/>
      <c r="E222" s="24"/>
      <c r="F222" s="114"/>
      <c r="G222" s="114"/>
      <c r="H222" s="114"/>
      <c r="J222" s="7"/>
      <c r="K222" s="7"/>
      <c r="L222" s="373"/>
      <c r="M222" s="374"/>
      <c r="N222" s="202"/>
      <c r="O222" s="150"/>
    </row>
    <row r="223" spans="1:15" ht="15.75" x14ac:dyDescent="0.25">
      <c r="A223" s="24"/>
      <c r="B223" s="25"/>
      <c r="C223" s="24"/>
      <c r="D223" s="24"/>
      <c r="E223" s="24"/>
      <c r="F223" s="114"/>
      <c r="G223" s="114"/>
      <c r="H223" s="114"/>
      <c r="J223" s="7"/>
      <c r="K223" s="7"/>
      <c r="L223" s="373"/>
      <c r="M223" s="374"/>
      <c r="N223" s="202"/>
      <c r="O223" s="150"/>
    </row>
    <row r="224" spans="1:15" ht="15.75" x14ac:dyDescent="0.25">
      <c r="A224" s="24"/>
      <c r="B224" s="25"/>
      <c r="C224" s="24"/>
      <c r="D224" s="24"/>
      <c r="E224" s="24"/>
      <c r="F224" s="114"/>
      <c r="G224" s="114"/>
      <c r="H224" s="114"/>
      <c r="J224" s="7"/>
      <c r="K224" s="7"/>
      <c r="L224" s="373"/>
      <c r="M224" s="374"/>
      <c r="N224" s="202"/>
      <c r="O224" s="150"/>
    </row>
    <row r="225" spans="1:15" ht="15.75" x14ac:dyDescent="0.25">
      <c r="A225" s="24"/>
      <c r="B225" s="25"/>
      <c r="C225" s="24"/>
      <c r="D225" s="24"/>
      <c r="E225" s="24"/>
      <c r="F225" s="114"/>
      <c r="G225" s="114"/>
      <c r="H225" s="114"/>
      <c r="J225" s="7"/>
      <c r="K225" s="7"/>
      <c r="L225" s="373"/>
      <c r="M225" s="374"/>
      <c r="N225" s="202"/>
      <c r="O225" s="150"/>
    </row>
    <row r="226" spans="1:15" ht="15.75" x14ac:dyDescent="0.25">
      <c r="A226" s="24"/>
      <c r="B226" s="25"/>
      <c r="C226" s="24"/>
      <c r="D226" s="24"/>
      <c r="E226" s="24"/>
      <c r="F226" s="114"/>
      <c r="G226" s="114"/>
      <c r="H226" s="114"/>
      <c r="J226" s="7"/>
      <c r="K226" s="7"/>
      <c r="L226" s="373"/>
      <c r="M226" s="374"/>
      <c r="N226" s="202"/>
      <c r="O226" s="150"/>
    </row>
    <row r="227" spans="1:15" ht="15.75" x14ac:dyDescent="0.25">
      <c r="A227" s="24"/>
      <c r="B227" s="25"/>
      <c r="C227" s="24"/>
      <c r="D227" s="24"/>
      <c r="E227" s="24"/>
      <c r="F227" s="114"/>
      <c r="G227" s="114"/>
      <c r="H227" s="114"/>
      <c r="J227" s="7"/>
      <c r="K227" s="7"/>
      <c r="L227" s="373"/>
      <c r="M227" s="374"/>
      <c r="N227" s="202"/>
      <c r="O227" s="150"/>
    </row>
    <row r="228" spans="1:15" ht="15.75" x14ac:dyDescent="0.25">
      <c r="A228" s="24"/>
      <c r="B228" s="25"/>
      <c r="C228" s="24"/>
      <c r="D228" s="24"/>
      <c r="E228" s="24"/>
      <c r="F228" s="114"/>
      <c r="G228" s="114"/>
      <c r="H228" s="114"/>
      <c r="J228" s="7"/>
      <c r="K228" s="7"/>
      <c r="L228" s="373"/>
      <c r="M228" s="374"/>
      <c r="N228" s="202"/>
      <c r="O228" s="150"/>
    </row>
    <row r="229" spans="1:15" ht="15.75" x14ac:dyDescent="0.25">
      <c r="A229" s="24"/>
      <c r="B229" s="25"/>
      <c r="C229" s="24"/>
      <c r="D229" s="24"/>
      <c r="E229" s="24"/>
      <c r="F229" s="114"/>
      <c r="G229" s="114"/>
      <c r="H229" s="114"/>
      <c r="J229" s="7"/>
      <c r="K229" s="7"/>
      <c r="L229" s="373"/>
      <c r="M229" s="374"/>
      <c r="N229" s="202"/>
      <c r="O229" s="150"/>
    </row>
    <row r="230" spans="1:15" ht="15.75" x14ac:dyDescent="0.25">
      <c r="A230" s="24"/>
      <c r="B230" s="25"/>
      <c r="C230" s="24"/>
      <c r="D230" s="24"/>
      <c r="E230" s="24"/>
      <c r="F230" s="114"/>
      <c r="G230" s="114"/>
      <c r="H230" s="114"/>
      <c r="J230" s="7"/>
      <c r="K230" s="7"/>
      <c r="L230" s="373"/>
      <c r="M230" s="374"/>
      <c r="N230" s="202"/>
      <c r="O230" s="150"/>
    </row>
    <row r="231" spans="1:15" ht="15.75" x14ac:dyDescent="0.25">
      <c r="A231" s="24"/>
      <c r="B231" s="25"/>
      <c r="C231" s="24"/>
      <c r="D231" s="24"/>
      <c r="E231" s="24"/>
      <c r="F231" s="114"/>
      <c r="G231" s="114"/>
      <c r="H231" s="114"/>
      <c r="J231" s="7"/>
      <c r="K231" s="7"/>
      <c r="L231" s="373"/>
      <c r="M231" s="374"/>
      <c r="N231" s="202"/>
      <c r="O231" s="150"/>
    </row>
    <row r="232" spans="1:15" ht="15.75" x14ac:dyDescent="0.25">
      <c r="A232" s="24"/>
      <c r="B232" s="25"/>
      <c r="C232" s="24"/>
      <c r="D232" s="24"/>
      <c r="E232" s="24"/>
      <c r="F232" s="114"/>
      <c r="G232" s="114"/>
      <c r="H232" s="114"/>
      <c r="J232" s="7"/>
      <c r="K232" s="7"/>
      <c r="L232" s="373"/>
      <c r="M232" s="374"/>
      <c r="N232" s="202"/>
      <c r="O232" s="150"/>
    </row>
    <row r="233" spans="1:15" ht="15.75" x14ac:dyDescent="0.25">
      <c r="A233" s="24"/>
      <c r="B233" s="25"/>
      <c r="C233" s="24"/>
      <c r="D233" s="24"/>
      <c r="E233" s="24"/>
      <c r="F233" s="114"/>
      <c r="G233" s="114"/>
      <c r="H233" s="114"/>
      <c r="J233" s="7"/>
      <c r="K233" s="7"/>
      <c r="L233" s="373"/>
      <c r="M233" s="374"/>
      <c r="N233" s="202"/>
      <c r="O233" s="150"/>
    </row>
    <row r="234" spans="1:15" ht="15.75" x14ac:dyDescent="0.25">
      <c r="A234" s="24"/>
      <c r="B234" s="25"/>
      <c r="C234" s="24"/>
      <c r="D234" s="24"/>
      <c r="E234" s="24"/>
      <c r="F234" s="114"/>
      <c r="G234" s="114"/>
      <c r="H234" s="114"/>
      <c r="J234" s="7"/>
      <c r="K234" s="7"/>
      <c r="L234" s="373"/>
      <c r="M234" s="374"/>
      <c r="N234" s="202"/>
      <c r="O234" s="150"/>
    </row>
    <row r="235" spans="1:15" ht="15.75" x14ac:dyDescent="0.25">
      <c r="A235" s="24"/>
      <c r="B235" s="25"/>
      <c r="C235" s="24"/>
      <c r="D235" s="24"/>
      <c r="E235" s="24"/>
      <c r="F235" s="114"/>
      <c r="G235" s="114"/>
      <c r="H235" s="114"/>
      <c r="J235" s="7"/>
      <c r="K235" s="7"/>
      <c r="L235" s="373"/>
      <c r="M235" s="374"/>
      <c r="N235" s="202"/>
      <c r="O235" s="150"/>
    </row>
    <row r="236" spans="1:15" ht="15.75" x14ac:dyDescent="0.25">
      <c r="A236" s="24"/>
      <c r="B236" s="25"/>
      <c r="C236" s="24"/>
      <c r="D236" s="24"/>
      <c r="E236" s="24"/>
      <c r="F236" s="114"/>
      <c r="G236" s="114"/>
      <c r="H236" s="114"/>
      <c r="J236" s="7"/>
      <c r="K236" s="7"/>
      <c r="L236" s="373"/>
      <c r="M236" s="374"/>
      <c r="N236" s="202"/>
      <c r="O236" s="150"/>
    </row>
    <row r="237" spans="1:15" ht="15.75" x14ac:dyDescent="0.25">
      <c r="A237" s="24"/>
      <c r="B237" s="25"/>
      <c r="C237" s="24"/>
      <c r="D237" s="24"/>
      <c r="E237" s="24"/>
      <c r="F237" s="114"/>
      <c r="G237" s="114"/>
      <c r="H237" s="114"/>
      <c r="J237" s="7"/>
      <c r="K237" s="7"/>
      <c r="L237" s="373"/>
      <c r="M237" s="374"/>
      <c r="N237" s="202"/>
      <c r="O237" s="150"/>
    </row>
    <row r="238" spans="1:15" ht="15.75" x14ac:dyDescent="0.25">
      <c r="A238" s="24"/>
      <c r="B238" s="25"/>
      <c r="C238" s="24"/>
      <c r="D238" s="24"/>
      <c r="E238" s="24"/>
      <c r="F238" s="114"/>
      <c r="G238" s="114"/>
      <c r="H238" s="114"/>
      <c r="J238" s="7"/>
      <c r="K238" s="7"/>
      <c r="L238" s="373"/>
      <c r="M238" s="374"/>
      <c r="N238" s="202"/>
      <c r="O238" s="150"/>
    </row>
    <row r="239" spans="1:15" ht="15.75" x14ac:dyDescent="0.25">
      <c r="A239" s="24"/>
      <c r="B239" s="25"/>
      <c r="C239" s="24"/>
      <c r="D239" s="24"/>
      <c r="E239" s="24"/>
      <c r="F239" s="114"/>
      <c r="G239" s="114"/>
      <c r="H239" s="114"/>
      <c r="J239" s="7"/>
      <c r="K239" s="7"/>
      <c r="L239" s="373"/>
      <c r="M239" s="374"/>
      <c r="N239" s="202"/>
      <c r="O239" s="150"/>
    </row>
    <row r="240" spans="1:15" ht="15.75" x14ac:dyDescent="0.25">
      <c r="A240" s="24"/>
      <c r="B240" s="25"/>
      <c r="C240" s="24"/>
      <c r="D240" s="24"/>
      <c r="E240" s="24"/>
      <c r="F240" s="114"/>
      <c r="G240" s="114"/>
      <c r="H240" s="114"/>
      <c r="J240" s="7"/>
      <c r="K240" s="7"/>
      <c r="L240" s="373"/>
      <c r="M240" s="374"/>
      <c r="N240" s="202"/>
      <c r="O240" s="150"/>
    </row>
    <row r="241" spans="1:15" ht="15.75" x14ac:dyDescent="0.25">
      <c r="A241" s="24"/>
      <c r="B241" s="25"/>
      <c r="C241" s="24"/>
      <c r="D241" s="24"/>
      <c r="E241" s="24"/>
      <c r="F241" s="114"/>
      <c r="G241" s="114"/>
      <c r="H241" s="114"/>
      <c r="J241" s="7"/>
      <c r="K241" s="7"/>
      <c r="L241" s="373"/>
      <c r="M241" s="374"/>
      <c r="N241" s="202"/>
      <c r="O241" s="150"/>
    </row>
    <row r="242" spans="1:15" ht="15.75" x14ac:dyDescent="0.25">
      <c r="A242" s="24"/>
      <c r="B242" s="25"/>
      <c r="C242" s="24"/>
      <c r="D242" s="24"/>
      <c r="E242" s="24"/>
      <c r="F242" s="114"/>
      <c r="G242" s="114"/>
      <c r="H242" s="114"/>
      <c r="J242" s="7"/>
      <c r="K242" s="7"/>
      <c r="L242" s="373"/>
      <c r="M242" s="374"/>
      <c r="N242" s="202"/>
      <c r="O242" s="150"/>
    </row>
    <row r="243" spans="1:15" ht="15.75" x14ac:dyDescent="0.25">
      <c r="A243" s="24"/>
      <c r="B243" s="25"/>
      <c r="C243" s="24"/>
      <c r="D243" s="24"/>
      <c r="E243" s="24"/>
      <c r="F243" s="114"/>
      <c r="G243" s="114"/>
      <c r="H243" s="114"/>
      <c r="J243" s="7"/>
      <c r="K243" s="7"/>
      <c r="L243" s="373"/>
      <c r="M243" s="374"/>
      <c r="N243" s="202"/>
      <c r="O243" s="150"/>
    </row>
    <row r="244" spans="1:15" ht="15.75" x14ac:dyDescent="0.25">
      <c r="A244" s="24"/>
      <c r="B244" s="25"/>
      <c r="C244" s="24"/>
      <c r="D244" s="24"/>
      <c r="E244" s="24"/>
      <c r="F244" s="114"/>
      <c r="G244" s="114"/>
      <c r="H244" s="114"/>
      <c r="J244" s="7"/>
      <c r="K244" s="7"/>
      <c r="L244" s="373"/>
      <c r="M244" s="374"/>
      <c r="N244" s="202"/>
      <c r="O244" s="150"/>
    </row>
    <row r="245" spans="1:15" ht="15.75" x14ac:dyDescent="0.25">
      <c r="A245" s="24"/>
      <c r="B245" s="25"/>
      <c r="C245" s="24"/>
      <c r="D245" s="24"/>
      <c r="E245" s="24"/>
      <c r="F245" s="114"/>
      <c r="G245" s="114"/>
      <c r="H245" s="114"/>
      <c r="J245" s="7"/>
      <c r="K245" s="7"/>
      <c r="L245" s="373"/>
      <c r="M245" s="374"/>
      <c r="N245" s="202"/>
      <c r="O245" s="150"/>
    </row>
    <row r="246" spans="1:15" ht="15.75" x14ac:dyDescent="0.25">
      <c r="A246" s="24"/>
      <c r="B246" s="25"/>
      <c r="C246" s="24"/>
      <c r="D246" s="24"/>
      <c r="E246" s="24"/>
      <c r="F246" s="114"/>
      <c r="G246" s="114"/>
      <c r="H246" s="114"/>
      <c r="J246" s="7"/>
      <c r="K246" s="7"/>
      <c r="L246" s="373"/>
      <c r="M246" s="374"/>
      <c r="N246" s="202"/>
      <c r="O246" s="150"/>
    </row>
    <row r="247" spans="1:15" ht="15.75" x14ac:dyDescent="0.25">
      <c r="A247" s="24"/>
      <c r="B247" s="25"/>
      <c r="C247" s="24"/>
      <c r="D247" s="24"/>
      <c r="E247" s="24"/>
      <c r="F247" s="114"/>
      <c r="G247" s="114"/>
      <c r="H247" s="114"/>
      <c r="J247" s="7"/>
      <c r="K247" s="7"/>
      <c r="L247" s="373"/>
      <c r="M247" s="374"/>
      <c r="N247" s="202"/>
      <c r="O247" s="150"/>
    </row>
    <row r="248" spans="1:15" ht="15.75" x14ac:dyDescent="0.25">
      <c r="A248" s="24"/>
      <c r="B248" s="25"/>
      <c r="C248" s="24"/>
      <c r="D248" s="24"/>
      <c r="E248" s="24"/>
      <c r="F248" s="114"/>
      <c r="G248" s="114"/>
      <c r="H248" s="114"/>
      <c r="J248" s="7"/>
      <c r="K248" s="7"/>
      <c r="L248" s="373"/>
      <c r="M248" s="374"/>
      <c r="N248" s="202"/>
      <c r="O248" s="150"/>
    </row>
    <row r="249" spans="1:15" ht="15.75" x14ac:dyDescent="0.25">
      <c r="A249" s="24"/>
      <c r="B249" s="25"/>
      <c r="C249" s="24"/>
      <c r="D249" s="24"/>
      <c r="E249" s="24"/>
      <c r="F249" s="114"/>
      <c r="G249" s="114"/>
      <c r="H249" s="114"/>
      <c r="J249" s="7"/>
      <c r="K249" s="7"/>
      <c r="L249" s="373"/>
      <c r="M249" s="374"/>
      <c r="N249" s="202"/>
      <c r="O249" s="150"/>
    </row>
    <row r="250" spans="1:15" ht="15.75" x14ac:dyDescent="0.25">
      <c r="A250" s="24"/>
      <c r="B250" s="25"/>
      <c r="C250" s="24"/>
      <c r="D250" s="24"/>
      <c r="E250" s="24"/>
      <c r="F250" s="114"/>
      <c r="G250" s="114"/>
      <c r="H250" s="114"/>
      <c r="J250" s="7"/>
      <c r="K250" s="7"/>
      <c r="L250" s="373"/>
      <c r="M250" s="374"/>
      <c r="N250" s="202"/>
      <c r="O250" s="150"/>
    </row>
    <row r="251" spans="1:15" ht="15.75" x14ac:dyDescent="0.25">
      <c r="A251" s="24"/>
      <c r="B251" s="25"/>
      <c r="C251" s="24"/>
      <c r="D251" s="24"/>
      <c r="E251" s="24"/>
      <c r="F251" s="114"/>
      <c r="G251" s="114"/>
      <c r="H251" s="114"/>
      <c r="J251" s="7"/>
      <c r="K251" s="7"/>
      <c r="L251" s="373"/>
      <c r="M251" s="374"/>
      <c r="N251" s="202"/>
      <c r="O251" s="150"/>
    </row>
    <row r="252" spans="1:15" ht="15.75" x14ac:dyDescent="0.25">
      <c r="A252" s="24"/>
      <c r="B252" s="25"/>
      <c r="C252" s="24"/>
      <c r="D252" s="24"/>
      <c r="E252" s="24"/>
      <c r="F252" s="114"/>
      <c r="G252" s="114"/>
      <c r="H252" s="114"/>
      <c r="J252" s="7"/>
      <c r="K252" s="7"/>
      <c r="L252" s="373"/>
      <c r="M252" s="374"/>
      <c r="N252" s="202"/>
      <c r="O252" s="150"/>
    </row>
    <row r="253" spans="1:15" ht="15.75" x14ac:dyDescent="0.25">
      <c r="A253" s="24"/>
      <c r="B253" s="25"/>
      <c r="C253" s="24"/>
      <c r="D253" s="24"/>
      <c r="E253" s="24"/>
      <c r="F253" s="114"/>
      <c r="G253" s="114"/>
      <c r="H253" s="114"/>
      <c r="J253" s="7"/>
      <c r="K253" s="7"/>
      <c r="L253" s="373"/>
      <c r="M253" s="374"/>
      <c r="N253" s="202"/>
      <c r="O253" s="150"/>
    </row>
    <row r="254" spans="1:15" ht="15.75" x14ac:dyDescent="0.25">
      <c r="A254" s="24"/>
      <c r="B254" s="25"/>
      <c r="C254" s="24"/>
      <c r="D254" s="24"/>
      <c r="E254" s="24"/>
      <c r="F254" s="114"/>
      <c r="G254" s="114"/>
      <c r="H254" s="114"/>
      <c r="J254" s="7"/>
      <c r="K254" s="7"/>
      <c r="L254" s="373"/>
      <c r="M254" s="374"/>
      <c r="N254" s="202"/>
      <c r="O254" s="150"/>
    </row>
    <row r="255" spans="1:15" ht="15.75" x14ac:dyDescent="0.25">
      <c r="A255" s="24"/>
      <c r="B255" s="25"/>
      <c r="C255" s="24"/>
      <c r="D255" s="24"/>
      <c r="E255" s="24"/>
      <c r="F255" s="114"/>
      <c r="G255" s="114"/>
      <c r="H255" s="114"/>
      <c r="J255" s="7"/>
      <c r="K255" s="7"/>
      <c r="L255" s="373"/>
      <c r="M255" s="374"/>
      <c r="N255" s="202"/>
      <c r="O255" s="150"/>
    </row>
    <row r="256" spans="1:15" ht="15.75" x14ac:dyDescent="0.25">
      <c r="A256" s="24"/>
      <c r="B256" s="25"/>
      <c r="C256" s="24"/>
      <c r="D256" s="24"/>
      <c r="E256" s="24"/>
      <c r="F256" s="114"/>
      <c r="G256" s="114"/>
      <c r="H256" s="114"/>
      <c r="J256" s="7"/>
      <c r="K256" s="7"/>
      <c r="L256" s="373"/>
      <c r="M256" s="374"/>
      <c r="N256" s="202"/>
      <c r="O256" s="150"/>
    </row>
    <row r="257" spans="1:15" ht="15.75" x14ac:dyDescent="0.25">
      <c r="A257" s="24"/>
      <c r="B257" s="25"/>
      <c r="C257" s="24"/>
      <c r="D257" s="24"/>
      <c r="E257" s="24"/>
      <c r="F257" s="114"/>
      <c r="G257" s="114"/>
      <c r="H257" s="114"/>
      <c r="J257" s="7"/>
      <c r="K257" s="7"/>
      <c r="L257" s="373"/>
      <c r="M257" s="374"/>
      <c r="N257" s="202"/>
      <c r="O257" s="150"/>
    </row>
    <row r="258" spans="1:15" ht="15.75" x14ac:dyDescent="0.25">
      <c r="A258" s="24"/>
      <c r="B258" s="25"/>
      <c r="C258" s="24"/>
      <c r="D258" s="24"/>
      <c r="E258" s="24"/>
      <c r="F258" s="114"/>
      <c r="G258" s="114"/>
      <c r="H258" s="114"/>
      <c r="J258" s="7"/>
      <c r="K258" s="7"/>
      <c r="L258" s="373"/>
      <c r="M258" s="374"/>
      <c r="N258" s="202"/>
      <c r="O258" s="150"/>
    </row>
    <row r="259" spans="1:15" ht="15.75" x14ac:dyDescent="0.25">
      <c r="A259" s="24"/>
      <c r="B259" s="25"/>
      <c r="C259" s="24"/>
      <c r="D259" s="24"/>
      <c r="E259" s="24"/>
      <c r="F259" s="114"/>
      <c r="G259" s="114"/>
      <c r="H259" s="114"/>
      <c r="J259" s="7"/>
      <c r="K259" s="7"/>
      <c r="L259" s="373"/>
      <c r="M259" s="374"/>
      <c r="N259" s="202"/>
      <c r="O259" s="150"/>
    </row>
    <row r="260" spans="1:15" ht="15.75" x14ac:dyDescent="0.25">
      <c r="A260" s="24"/>
      <c r="B260" s="25"/>
      <c r="C260" s="24"/>
      <c r="D260" s="24"/>
      <c r="E260" s="24"/>
      <c r="F260" s="114"/>
      <c r="G260" s="114"/>
      <c r="H260" s="114"/>
      <c r="J260" s="7"/>
      <c r="K260" s="7"/>
      <c r="L260" s="373"/>
      <c r="M260" s="374"/>
      <c r="N260" s="202"/>
      <c r="O260" s="150"/>
    </row>
    <row r="261" spans="1:15" ht="15.75" x14ac:dyDescent="0.25">
      <c r="A261" s="24"/>
      <c r="B261" s="25"/>
      <c r="C261" s="24"/>
      <c r="D261" s="24"/>
      <c r="E261" s="24"/>
      <c r="F261" s="114"/>
      <c r="G261" s="114"/>
      <c r="H261" s="114"/>
      <c r="J261" s="7"/>
      <c r="K261" s="7"/>
      <c r="L261" s="373"/>
      <c r="M261" s="374"/>
      <c r="N261" s="202"/>
      <c r="O261" s="150"/>
    </row>
    <row r="262" spans="1:15" ht="15.75" x14ac:dyDescent="0.25">
      <c r="A262" s="24"/>
      <c r="B262" s="25"/>
      <c r="C262" s="24"/>
      <c r="D262" s="24"/>
      <c r="E262" s="24"/>
      <c r="F262" s="114"/>
      <c r="G262" s="114"/>
      <c r="H262" s="114"/>
      <c r="J262" s="7"/>
      <c r="K262" s="7"/>
      <c r="L262" s="373"/>
      <c r="M262" s="374"/>
      <c r="N262" s="202"/>
      <c r="O262" s="150"/>
    </row>
    <row r="263" spans="1:15" ht="15.75" x14ac:dyDescent="0.25">
      <c r="A263" s="24"/>
      <c r="B263" s="25"/>
      <c r="C263" s="24"/>
      <c r="D263" s="24"/>
      <c r="E263" s="24"/>
      <c r="F263" s="114"/>
      <c r="G263" s="114"/>
      <c r="H263" s="114"/>
      <c r="J263" s="7"/>
      <c r="K263" s="7"/>
      <c r="L263" s="373"/>
      <c r="M263" s="374"/>
      <c r="N263" s="202"/>
      <c r="O263" s="150"/>
    </row>
    <row r="264" spans="1:15" ht="15.75" x14ac:dyDescent="0.25">
      <c r="A264" s="24"/>
      <c r="B264" s="25"/>
      <c r="C264" s="24"/>
      <c r="D264" s="24"/>
      <c r="E264" s="24"/>
      <c r="F264" s="114"/>
      <c r="G264" s="114"/>
      <c r="H264" s="114"/>
      <c r="J264" s="7"/>
      <c r="K264" s="7"/>
      <c r="L264" s="373"/>
      <c r="M264" s="374"/>
      <c r="N264" s="202"/>
      <c r="O264" s="150"/>
    </row>
    <row r="265" spans="1:15" ht="15.75" x14ac:dyDescent="0.25">
      <c r="A265" s="24"/>
      <c r="B265" s="25"/>
      <c r="C265" s="24"/>
      <c r="D265" s="24"/>
      <c r="E265" s="24"/>
      <c r="F265" s="114"/>
      <c r="G265" s="114"/>
      <c r="H265" s="114"/>
      <c r="J265" s="7"/>
      <c r="K265" s="7"/>
      <c r="L265" s="373"/>
      <c r="M265" s="374"/>
      <c r="N265" s="202"/>
      <c r="O265" s="150"/>
    </row>
    <row r="266" spans="1:15" ht="15.75" x14ac:dyDescent="0.25">
      <c r="A266" s="24"/>
      <c r="B266" s="25"/>
      <c r="C266" s="24"/>
      <c r="D266" s="24"/>
      <c r="E266" s="24"/>
      <c r="F266" s="114"/>
      <c r="G266" s="114"/>
      <c r="H266" s="114"/>
      <c r="J266" s="7"/>
      <c r="K266" s="7"/>
      <c r="L266" s="373"/>
      <c r="M266" s="374"/>
      <c r="N266" s="202"/>
      <c r="O266" s="150"/>
    </row>
    <row r="267" spans="1:15" ht="15.75" x14ac:dyDescent="0.25">
      <c r="A267" s="24"/>
      <c r="B267" s="25"/>
      <c r="C267" s="24"/>
      <c r="D267" s="24"/>
      <c r="E267" s="24"/>
      <c r="F267" s="114"/>
      <c r="G267" s="114"/>
      <c r="H267" s="114"/>
      <c r="J267" s="7"/>
      <c r="K267" s="7"/>
      <c r="L267" s="373"/>
      <c r="M267" s="374"/>
      <c r="N267" s="202"/>
      <c r="O267" s="150"/>
    </row>
    <row r="268" spans="1:15" ht="15.75" x14ac:dyDescent="0.25">
      <c r="A268" s="24"/>
      <c r="B268" s="25"/>
      <c r="C268" s="24"/>
      <c r="D268" s="24"/>
      <c r="E268" s="24"/>
      <c r="F268" s="114"/>
      <c r="G268" s="114"/>
      <c r="H268" s="114"/>
      <c r="J268" s="7"/>
      <c r="K268" s="7"/>
      <c r="L268" s="373"/>
      <c r="M268" s="374"/>
      <c r="N268" s="202"/>
      <c r="O268" s="150"/>
    </row>
    <row r="269" spans="1:15" ht="15.75" x14ac:dyDescent="0.25">
      <c r="A269" s="24"/>
      <c r="B269" s="25"/>
      <c r="C269" s="24"/>
      <c r="D269" s="24"/>
      <c r="E269" s="24"/>
      <c r="F269" s="114"/>
      <c r="G269" s="114"/>
      <c r="H269" s="114"/>
      <c r="J269" s="7"/>
      <c r="K269" s="7"/>
      <c r="L269" s="373"/>
      <c r="M269" s="374"/>
      <c r="N269" s="202"/>
      <c r="O269" s="150"/>
    </row>
    <row r="270" spans="1:15" ht="15.75" x14ac:dyDescent="0.25">
      <c r="A270" s="24"/>
      <c r="B270" s="25"/>
      <c r="C270" s="24"/>
      <c r="D270" s="24"/>
      <c r="E270" s="24"/>
      <c r="F270" s="114"/>
      <c r="G270" s="114"/>
      <c r="H270" s="114"/>
      <c r="J270" s="7"/>
      <c r="K270" s="7"/>
      <c r="L270" s="373"/>
      <c r="M270" s="374"/>
      <c r="N270" s="202"/>
      <c r="O270" s="150"/>
    </row>
    <row r="271" spans="1:15" ht="15.75" x14ac:dyDescent="0.25">
      <c r="A271" s="24"/>
      <c r="B271" s="25"/>
      <c r="C271" s="24"/>
      <c r="D271" s="24"/>
      <c r="E271" s="24"/>
      <c r="F271" s="114"/>
      <c r="G271" s="114"/>
      <c r="H271" s="114"/>
      <c r="J271" s="7"/>
      <c r="K271" s="7"/>
      <c r="L271" s="373"/>
      <c r="M271" s="374"/>
      <c r="N271" s="202"/>
      <c r="O271" s="150"/>
    </row>
    <row r="272" spans="1:15" ht="15.75" x14ac:dyDescent="0.25">
      <c r="A272" s="24"/>
      <c r="B272" s="25"/>
      <c r="C272" s="24"/>
      <c r="D272" s="24"/>
      <c r="E272" s="24"/>
      <c r="F272" s="114"/>
      <c r="G272" s="114"/>
      <c r="H272" s="114"/>
      <c r="J272" s="7"/>
      <c r="K272" s="7"/>
      <c r="L272" s="373"/>
      <c r="M272" s="374"/>
      <c r="N272" s="202"/>
      <c r="O272" s="150"/>
    </row>
    <row r="273" spans="1:15" ht="15.75" x14ac:dyDescent="0.25">
      <c r="A273" s="24"/>
      <c r="B273" s="25"/>
      <c r="C273" s="24"/>
      <c r="D273" s="24"/>
      <c r="E273" s="24"/>
      <c r="F273" s="114"/>
      <c r="G273" s="114"/>
      <c r="H273" s="114"/>
      <c r="J273" s="7"/>
      <c r="K273" s="7"/>
      <c r="L273" s="373"/>
      <c r="M273" s="374"/>
      <c r="N273" s="202"/>
      <c r="O273" s="150"/>
    </row>
    <row r="274" spans="1:15" ht="15.75" x14ac:dyDescent="0.25">
      <c r="A274" s="24"/>
      <c r="B274" s="25"/>
      <c r="C274" s="24"/>
      <c r="D274" s="24"/>
      <c r="E274" s="24"/>
      <c r="F274" s="114"/>
      <c r="G274" s="114"/>
      <c r="H274" s="114"/>
      <c r="J274" s="7"/>
      <c r="K274" s="7"/>
      <c r="L274" s="373"/>
      <c r="M274" s="374"/>
      <c r="N274" s="202"/>
      <c r="O274" s="150"/>
    </row>
    <row r="275" spans="1:15" ht="15.75" x14ac:dyDescent="0.25">
      <c r="A275" s="24"/>
      <c r="B275" s="25"/>
      <c r="C275" s="24"/>
      <c r="D275" s="24"/>
      <c r="E275" s="24"/>
      <c r="F275" s="114"/>
      <c r="G275" s="114"/>
      <c r="H275" s="114"/>
      <c r="J275" s="7"/>
      <c r="K275" s="7"/>
      <c r="L275" s="373"/>
      <c r="M275" s="374"/>
      <c r="N275" s="202"/>
      <c r="O275" s="150"/>
    </row>
    <row r="276" spans="1:15" ht="15.75" x14ac:dyDescent="0.25">
      <c r="A276" s="24"/>
      <c r="B276" s="25"/>
      <c r="C276" s="24"/>
      <c r="D276" s="24"/>
      <c r="E276" s="24"/>
      <c r="F276" s="114"/>
      <c r="G276" s="114"/>
      <c r="H276" s="114"/>
      <c r="J276" s="7"/>
      <c r="K276" s="7"/>
      <c r="L276" s="373"/>
      <c r="M276" s="374"/>
      <c r="N276" s="202"/>
      <c r="O276" s="150"/>
    </row>
    <row r="277" spans="1:15" ht="15.75" x14ac:dyDescent="0.25">
      <c r="A277" s="24"/>
      <c r="B277" s="25"/>
      <c r="C277" s="24"/>
      <c r="D277" s="24"/>
      <c r="E277" s="24"/>
      <c r="F277" s="114"/>
      <c r="G277" s="114"/>
      <c r="H277" s="114"/>
      <c r="J277" s="7"/>
      <c r="K277" s="7"/>
      <c r="L277" s="373"/>
      <c r="M277" s="374"/>
      <c r="N277" s="202"/>
      <c r="O277" s="150"/>
    </row>
    <row r="278" spans="1:15" ht="15.75" x14ac:dyDescent="0.25">
      <c r="A278" s="24"/>
      <c r="B278" s="25"/>
      <c r="C278" s="24"/>
      <c r="D278" s="24"/>
      <c r="E278" s="24"/>
      <c r="F278" s="114"/>
      <c r="G278" s="114"/>
      <c r="H278" s="114"/>
      <c r="J278" s="7"/>
      <c r="K278" s="7"/>
      <c r="L278" s="373"/>
      <c r="M278" s="374"/>
      <c r="N278" s="202"/>
      <c r="O278" s="150"/>
    </row>
    <row r="279" spans="1:15" ht="15.75" x14ac:dyDescent="0.25">
      <c r="A279" s="24"/>
      <c r="B279" s="25"/>
      <c r="C279" s="24"/>
      <c r="D279" s="24"/>
      <c r="E279" s="24"/>
      <c r="F279" s="114"/>
      <c r="G279" s="114"/>
      <c r="H279" s="114"/>
      <c r="J279" s="7"/>
      <c r="K279" s="7"/>
      <c r="L279" s="373"/>
      <c r="M279" s="374"/>
      <c r="N279" s="202"/>
      <c r="O279" s="150"/>
    </row>
    <row r="280" spans="1:15" ht="15.75" x14ac:dyDescent="0.25">
      <c r="A280" s="24"/>
      <c r="B280" s="25"/>
      <c r="C280" s="24"/>
      <c r="D280" s="24"/>
      <c r="E280" s="24"/>
      <c r="F280" s="114"/>
      <c r="G280" s="114"/>
      <c r="H280" s="114"/>
      <c r="J280" s="7"/>
      <c r="K280" s="7"/>
      <c r="L280" s="373"/>
      <c r="M280" s="374"/>
      <c r="N280" s="202"/>
      <c r="O280" s="150"/>
    </row>
    <row r="281" spans="1:15" ht="15.75" x14ac:dyDescent="0.25">
      <c r="A281" s="24"/>
      <c r="B281" s="25"/>
      <c r="C281" s="24"/>
      <c r="D281" s="24"/>
      <c r="E281" s="24"/>
      <c r="F281" s="114"/>
      <c r="G281" s="114"/>
      <c r="H281" s="114"/>
      <c r="J281" s="7"/>
      <c r="K281" s="7"/>
      <c r="L281" s="373"/>
      <c r="M281" s="374"/>
      <c r="N281" s="202"/>
      <c r="O281" s="150"/>
    </row>
    <row r="282" spans="1:15" ht="15.75" x14ac:dyDescent="0.25">
      <c r="A282" s="24"/>
      <c r="B282" s="25"/>
      <c r="C282" s="24"/>
      <c r="D282" s="24"/>
      <c r="E282" s="24"/>
      <c r="F282" s="114"/>
      <c r="G282" s="114"/>
      <c r="H282" s="114"/>
      <c r="J282" s="7"/>
      <c r="K282" s="7"/>
      <c r="L282" s="373"/>
      <c r="M282" s="374"/>
      <c r="N282" s="202"/>
      <c r="O282" s="150"/>
    </row>
    <row r="283" spans="1:15" ht="15.75" x14ac:dyDescent="0.25">
      <c r="A283" s="24"/>
      <c r="B283" s="25"/>
      <c r="C283" s="24"/>
      <c r="D283" s="24"/>
      <c r="E283" s="24"/>
      <c r="F283" s="114"/>
      <c r="G283" s="114"/>
      <c r="H283" s="114"/>
      <c r="J283" s="7"/>
      <c r="K283" s="7"/>
      <c r="L283" s="373"/>
      <c r="M283" s="374"/>
      <c r="N283" s="202"/>
      <c r="O283" s="150"/>
    </row>
    <row r="284" spans="1:15" ht="15.75" x14ac:dyDescent="0.25">
      <c r="A284" s="24"/>
      <c r="B284" s="25"/>
      <c r="C284" s="24"/>
      <c r="D284" s="24"/>
      <c r="E284" s="24"/>
      <c r="F284" s="114"/>
      <c r="G284" s="114"/>
      <c r="H284" s="114"/>
      <c r="J284" s="7"/>
      <c r="K284" s="7"/>
      <c r="L284" s="373"/>
      <c r="M284" s="374"/>
      <c r="N284" s="202"/>
      <c r="O284" s="150"/>
    </row>
    <row r="285" spans="1:15" ht="15.75" x14ac:dyDescent="0.25">
      <c r="A285" s="24"/>
      <c r="B285" s="25"/>
      <c r="C285" s="24"/>
      <c r="D285" s="24"/>
      <c r="E285" s="24"/>
      <c r="F285" s="114"/>
      <c r="G285" s="114"/>
      <c r="H285" s="114"/>
      <c r="J285" s="7"/>
      <c r="K285" s="7"/>
      <c r="L285" s="373"/>
      <c r="M285" s="374"/>
      <c r="N285" s="202"/>
      <c r="O285" s="150"/>
    </row>
    <row r="286" spans="1:15" ht="15.75" x14ac:dyDescent="0.25">
      <c r="A286" s="24"/>
      <c r="B286" s="25"/>
      <c r="C286" s="24"/>
      <c r="D286" s="24"/>
      <c r="E286" s="24"/>
      <c r="F286" s="114"/>
      <c r="G286" s="114"/>
      <c r="H286" s="114"/>
      <c r="J286" s="7"/>
      <c r="K286" s="7"/>
      <c r="L286" s="373"/>
      <c r="M286" s="374"/>
      <c r="N286" s="202"/>
      <c r="O286" s="150"/>
    </row>
    <row r="287" spans="1:15" ht="15.75" x14ac:dyDescent="0.25">
      <c r="A287" s="24"/>
      <c r="B287" s="25"/>
      <c r="C287" s="24"/>
      <c r="D287" s="24"/>
      <c r="E287" s="24"/>
      <c r="F287" s="114"/>
      <c r="G287" s="114"/>
      <c r="H287" s="114"/>
      <c r="J287" s="7"/>
      <c r="K287" s="7"/>
      <c r="L287" s="373"/>
      <c r="M287" s="374"/>
      <c r="N287" s="202"/>
      <c r="O287" s="150"/>
    </row>
    <row r="288" spans="1:15" ht="15.75" x14ac:dyDescent="0.25">
      <c r="A288" s="24"/>
      <c r="B288" s="25"/>
      <c r="C288" s="24"/>
      <c r="D288" s="24"/>
      <c r="E288" s="24"/>
      <c r="F288" s="114"/>
      <c r="G288" s="114"/>
      <c r="H288" s="114"/>
      <c r="J288" s="7"/>
      <c r="K288" s="7"/>
      <c r="L288" s="373"/>
      <c r="M288" s="374"/>
      <c r="N288" s="202"/>
      <c r="O288" s="150"/>
    </row>
    <row r="289" spans="1:15" ht="15.75" x14ac:dyDescent="0.25">
      <c r="A289" s="24"/>
      <c r="B289" s="25"/>
      <c r="C289" s="24"/>
      <c r="D289" s="24"/>
      <c r="E289" s="24"/>
      <c r="F289" s="114"/>
      <c r="G289" s="114"/>
      <c r="H289" s="114"/>
      <c r="J289" s="7"/>
      <c r="K289" s="7"/>
      <c r="L289" s="373"/>
      <c r="M289" s="374"/>
      <c r="N289" s="202"/>
      <c r="O289" s="150"/>
    </row>
    <row r="290" spans="1:15" ht="15.75" x14ac:dyDescent="0.25">
      <c r="A290" s="24"/>
      <c r="B290" s="25"/>
      <c r="C290" s="24"/>
      <c r="D290" s="24"/>
      <c r="E290" s="24"/>
      <c r="F290" s="114"/>
      <c r="G290" s="114"/>
      <c r="H290" s="114"/>
      <c r="J290" s="7"/>
      <c r="K290" s="7"/>
      <c r="L290" s="373"/>
      <c r="M290" s="374"/>
      <c r="N290" s="202"/>
      <c r="O290" s="150"/>
    </row>
    <row r="291" spans="1:15" ht="15.75" x14ac:dyDescent="0.25">
      <c r="A291" s="24"/>
      <c r="B291" s="25"/>
      <c r="C291" s="24"/>
      <c r="D291" s="24"/>
      <c r="E291" s="24"/>
      <c r="F291" s="114"/>
      <c r="G291" s="114"/>
      <c r="H291" s="114"/>
      <c r="J291" s="7"/>
      <c r="K291" s="7"/>
      <c r="L291" s="373"/>
      <c r="M291" s="374"/>
      <c r="N291" s="202"/>
      <c r="O291" s="150"/>
    </row>
    <row r="292" spans="1:15" ht="15.75" x14ac:dyDescent="0.25">
      <c r="A292" s="24"/>
      <c r="B292" s="25"/>
      <c r="C292" s="24"/>
      <c r="D292" s="24"/>
      <c r="E292" s="24"/>
      <c r="F292" s="114"/>
      <c r="G292" s="114"/>
      <c r="H292" s="114"/>
      <c r="J292" s="7"/>
      <c r="K292" s="7"/>
      <c r="L292" s="373"/>
      <c r="M292" s="374"/>
      <c r="N292" s="202"/>
      <c r="O292" s="150"/>
    </row>
    <row r="293" spans="1:15" ht="15.75" x14ac:dyDescent="0.25">
      <c r="A293" s="24"/>
      <c r="B293" s="25"/>
      <c r="C293" s="24"/>
      <c r="D293" s="24"/>
      <c r="E293" s="24"/>
      <c r="F293" s="114"/>
      <c r="G293" s="114"/>
      <c r="H293" s="114"/>
      <c r="J293" s="7"/>
      <c r="K293" s="7"/>
      <c r="L293" s="373"/>
      <c r="M293" s="374"/>
      <c r="N293" s="202"/>
      <c r="O293" s="150"/>
    </row>
    <row r="294" spans="1:15" ht="15.75" x14ac:dyDescent="0.25">
      <c r="A294" s="24"/>
      <c r="B294" s="25"/>
      <c r="C294" s="24"/>
      <c r="D294" s="24"/>
      <c r="E294" s="24"/>
      <c r="F294" s="114"/>
      <c r="G294" s="114"/>
      <c r="H294" s="114"/>
      <c r="J294" s="7"/>
      <c r="K294" s="7"/>
      <c r="L294" s="373"/>
      <c r="M294" s="374"/>
      <c r="N294" s="202"/>
      <c r="O294" s="150"/>
    </row>
    <row r="295" spans="1:15" ht="15.75" x14ac:dyDescent="0.25">
      <c r="A295" s="24"/>
      <c r="B295" s="25"/>
      <c r="C295" s="24"/>
      <c r="D295" s="24"/>
      <c r="E295" s="24"/>
      <c r="F295" s="114"/>
      <c r="G295" s="114"/>
      <c r="H295" s="114"/>
      <c r="J295" s="7"/>
      <c r="K295" s="7"/>
      <c r="L295" s="373"/>
      <c r="M295" s="374"/>
      <c r="N295" s="202"/>
      <c r="O295" s="150"/>
    </row>
    <row r="296" spans="1:15" ht="15.75" x14ac:dyDescent="0.25">
      <c r="A296" s="24"/>
      <c r="B296" s="25"/>
      <c r="C296" s="24"/>
      <c r="D296" s="24"/>
      <c r="E296" s="24"/>
      <c r="F296" s="114"/>
      <c r="G296" s="114"/>
      <c r="H296" s="114"/>
      <c r="J296" s="7"/>
      <c r="K296" s="7"/>
      <c r="L296" s="373"/>
      <c r="M296" s="374"/>
      <c r="N296" s="202"/>
      <c r="O296" s="150"/>
    </row>
    <row r="297" spans="1:15" ht="15.75" x14ac:dyDescent="0.25">
      <c r="A297" s="24"/>
      <c r="B297" s="25"/>
      <c r="C297" s="24"/>
      <c r="D297" s="24"/>
      <c r="E297" s="24"/>
      <c r="F297" s="114"/>
      <c r="G297" s="114"/>
      <c r="H297" s="114"/>
      <c r="J297" s="7"/>
      <c r="K297" s="7"/>
      <c r="L297" s="373"/>
      <c r="M297" s="374"/>
      <c r="N297" s="202"/>
      <c r="O297" s="150"/>
    </row>
    <row r="298" spans="1:15" ht="15.75" x14ac:dyDescent="0.25">
      <c r="A298" s="24"/>
      <c r="B298" s="25"/>
      <c r="C298" s="24"/>
      <c r="D298" s="24"/>
      <c r="E298" s="24"/>
      <c r="F298" s="114"/>
      <c r="G298" s="114"/>
      <c r="H298" s="114"/>
      <c r="J298" s="7"/>
      <c r="K298" s="7"/>
      <c r="L298" s="373"/>
      <c r="M298" s="374"/>
      <c r="N298" s="202"/>
      <c r="O298" s="150"/>
    </row>
    <row r="299" spans="1:15" ht="15.75" x14ac:dyDescent="0.25">
      <c r="A299" s="24"/>
      <c r="B299" s="25"/>
      <c r="C299" s="24"/>
      <c r="D299" s="24"/>
      <c r="E299" s="24"/>
      <c r="F299" s="114"/>
      <c r="G299" s="114"/>
      <c r="H299" s="114"/>
      <c r="J299" s="7"/>
      <c r="K299" s="7"/>
      <c r="L299" s="373"/>
      <c r="M299" s="374"/>
      <c r="N299" s="202"/>
      <c r="O299" s="150"/>
    </row>
    <row r="300" spans="1:15" ht="15.75" x14ac:dyDescent="0.25">
      <c r="A300" s="24"/>
      <c r="B300" s="25"/>
      <c r="C300" s="24"/>
      <c r="D300" s="24"/>
      <c r="E300" s="24"/>
      <c r="F300" s="114"/>
      <c r="G300" s="114"/>
      <c r="H300" s="114"/>
      <c r="J300" s="7"/>
      <c r="K300" s="7"/>
      <c r="L300" s="373"/>
      <c r="M300" s="374"/>
      <c r="N300" s="202"/>
      <c r="O300" s="150"/>
    </row>
    <row r="301" spans="1:15" ht="15.75" x14ac:dyDescent="0.25">
      <c r="A301" s="24"/>
      <c r="B301" s="25"/>
      <c r="C301" s="24"/>
      <c r="D301" s="24"/>
      <c r="E301" s="24"/>
      <c r="F301" s="114"/>
      <c r="G301" s="114"/>
      <c r="H301" s="114"/>
      <c r="J301" s="7"/>
      <c r="K301" s="7"/>
      <c r="L301" s="373"/>
      <c r="M301" s="374"/>
      <c r="N301" s="202"/>
      <c r="O301" s="150"/>
    </row>
    <row r="302" spans="1:15" ht="15.75" x14ac:dyDescent="0.25">
      <c r="A302" s="24"/>
      <c r="B302" s="25"/>
      <c r="C302" s="24"/>
      <c r="D302" s="24"/>
      <c r="E302" s="24"/>
      <c r="F302" s="114"/>
      <c r="G302" s="114"/>
      <c r="H302" s="114"/>
      <c r="J302" s="7"/>
      <c r="K302" s="7"/>
      <c r="L302" s="373"/>
      <c r="M302" s="374"/>
      <c r="N302" s="202"/>
      <c r="O302" s="150"/>
    </row>
    <row r="303" spans="1:15" ht="15.75" x14ac:dyDescent="0.25">
      <c r="A303" s="24"/>
      <c r="B303" s="25"/>
      <c r="C303" s="24"/>
      <c r="D303" s="24"/>
      <c r="E303" s="24"/>
      <c r="F303" s="114"/>
      <c r="G303" s="114"/>
      <c r="H303" s="114"/>
      <c r="J303" s="7"/>
      <c r="K303" s="7"/>
      <c r="L303" s="373"/>
      <c r="M303" s="374"/>
      <c r="N303" s="202"/>
      <c r="O303" s="150"/>
    </row>
    <row r="304" spans="1:15" ht="15.75" x14ac:dyDescent="0.25">
      <c r="A304" s="24"/>
      <c r="B304" s="25"/>
      <c r="C304" s="24"/>
      <c r="D304" s="24"/>
      <c r="E304" s="24"/>
      <c r="F304" s="114"/>
      <c r="G304" s="114"/>
      <c r="H304" s="114"/>
      <c r="J304" s="7"/>
      <c r="K304" s="7"/>
      <c r="L304" s="373"/>
      <c r="M304" s="374"/>
      <c r="N304" s="202"/>
      <c r="O304" s="150"/>
    </row>
    <row r="305" spans="1:15" ht="15.75" x14ac:dyDescent="0.25">
      <c r="A305" s="24"/>
      <c r="B305" s="25"/>
      <c r="C305" s="24"/>
      <c r="D305" s="24"/>
      <c r="E305" s="24"/>
      <c r="F305" s="114"/>
      <c r="G305" s="114"/>
      <c r="H305" s="114"/>
      <c r="J305" s="7"/>
      <c r="K305" s="7"/>
      <c r="L305" s="373"/>
      <c r="M305" s="374"/>
      <c r="N305" s="202"/>
      <c r="O305" s="150"/>
    </row>
    <row r="306" spans="1:15" ht="15.75" x14ac:dyDescent="0.25">
      <c r="A306" s="24"/>
      <c r="B306" s="25"/>
      <c r="C306" s="24"/>
      <c r="D306" s="24"/>
      <c r="E306" s="24"/>
      <c r="F306" s="114"/>
      <c r="G306" s="114"/>
      <c r="H306" s="114"/>
      <c r="J306" s="7"/>
      <c r="K306" s="7"/>
      <c r="L306" s="373"/>
      <c r="M306" s="374"/>
      <c r="N306" s="202"/>
      <c r="O306" s="150"/>
    </row>
    <row r="307" spans="1:15" ht="15.75" x14ac:dyDescent="0.25">
      <c r="A307" s="24"/>
      <c r="B307" s="25"/>
      <c r="C307" s="24"/>
      <c r="D307" s="24"/>
      <c r="E307" s="24"/>
      <c r="F307" s="114"/>
      <c r="G307" s="114"/>
      <c r="H307" s="114"/>
      <c r="J307" s="7"/>
      <c r="K307" s="7"/>
      <c r="L307" s="373"/>
      <c r="M307" s="374"/>
      <c r="N307" s="202"/>
      <c r="O307" s="150"/>
    </row>
    <row r="308" spans="1:15" ht="15.75" x14ac:dyDescent="0.25">
      <c r="A308" s="24"/>
      <c r="B308" s="25"/>
      <c r="C308" s="24"/>
      <c r="D308" s="24"/>
      <c r="E308" s="24"/>
      <c r="F308" s="114"/>
      <c r="G308" s="114"/>
      <c r="H308" s="114"/>
      <c r="J308" s="7"/>
      <c r="K308" s="7"/>
      <c r="L308" s="373"/>
      <c r="M308" s="374"/>
      <c r="N308" s="202"/>
      <c r="O308" s="150"/>
    </row>
    <row r="309" spans="1:15" ht="15.75" x14ac:dyDescent="0.25">
      <c r="A309" s="24"/>
      <c r="B309" s="25"/>
      <c r="C309" s="24"/>
      <c r="D309" s="24"/>
      <c r="E309" s="24"/>
      <c r="F309" s="114"/>
      <c r="G309" s="114"/>
      <c r="H309" s="114"/>
      <c r="J309" s="7"/>
      <c r="K309" s="7"/>
      <c r="L309" s="373"/>
      <c r="M309" s="374"/>
      <c r="N309" s="202"/>
      <c r="O309" s="150"/>
    </row>
    <row r="310" spans="1:15" ht="15.75" x14ac:dyDescent="0.25">
      <c r="A310" s="24"/>
      <c r="B310" s="25"/>
      <c r="C310" s="24"/>
      <c r="D310" s="24"/>
      <c r="E310" s="24"/>
      <c r="F310" s="114"/>
      <c r="G310" s="114"/>
      <c r="H310" s="114"/>
      <c r="J310" s="7"/>
      <c r="K310" s="7"/>
      <c r="L310" s="373"/>
      <c r="M310" s="374"/>
      <c r="N310" s="202"/>
      <c r="O310" s="150"/>
    </row>
    <row r="311" spans="1:15" ht="15.75" x14ac:dyDescent="0.25">
      <c r="A311" s="24"/>
      <c r="B311" s="25"/>
      <c r="C311" s="24"/>
      <c r="D311" s="24"/>
      <c r="E311" s="24"/>
      <c r="F311" s="114"/>
      <c r="G311" s="114"/>
      <c r="H311" s="114"/>
      <c r="J311" s="7"/>
      <c r="K311" s="7"/>
      <c r="L311" s="373"/>
      <c r="M311" s="374"/>
      <c r="N311" s="202"/>
      <c r="O311" s="150"/>
    </row>
    <row r="312" spans="1:15" ht="15.75" x14ac:dyDescent="0.25">
      <c r="A312" s="24"/>
      <c r="B312" s="25"/>
      <c r="C312" s="24"/>
      <c r="D312" s="24"/>
      <c r="E312" s="24"/>
      <c r="F312" s="114"/>
      <c r="G312" s="114"/>
      <c r="H312" s="114"/>
      <c r="J312" s="7"/>
      <c r="K312" s="7"/>
      <c r="L312" s="373"/>
      <c r="M312" s="374"/>
      <c r="N312" s="202"/>
      <c r="O312" s="150"/>
    </row>
    <row r="313" spans="1:15" ht="15.75" x14ac:dyDescent="0.25">
      <c r="A313" s="24"/>
      <c r="B313" s="25"/>
      <c r="C313" s="24"/>
      <c r="D313" s="24"/>
      <c r="E313" s="24"/>
      <c r="F313" s="114"/>
      <c r="G313" s="114"/>
      <c r="H313" s="114"/>
      <c r="J313" s="7"/>
      <c r="K313" s="7"/>
      <c r="L313" s="373"/>
      <c r="M313" s="374"/>
      <c r="N313" s="202"/>
      <c r="O313" s="150"/>
    </row>
    <row r="314" spans="1:15" ht="15.75" x14ac:dyDescent="0.25">
      <c r="A314" s="24"/>
      <c r="B314" s="25"/>
      <c r="C314" s="24"/>
      <c r="D314" s="24"/>
      <c r="E314" s="24"/>
      <c r="F314" s="114"/>
      <c r="G314" s="114"/>
      <c r="H314" s="114"/>
      <c r="J314" s="7"/>
      <c r="K314" s="7"/>
      <c r="L314" s="373"/>
      <c r="M314" s="374"/>
      <c r="N314" s="202"/>
      <c r="O314" s="150"/>
    </row>
    <row r="315" spans="1:15" ht="15.75" x14ac:dyDescent="0.25">
      <c r="A315" s="24"/>
      <c r="B315" s="25"/>
      <c r="C315" s="24"/>
      <c r="D315" s="24"/>
      <c r="E315" s="24"/>
      <c r="F315" s="114"/>
      <c r="G315" s="114"/>
      <c r="H315" s="114"/>
      <c r="J315" s="7"/>
      <c r="K315" s="7"/>
      <c r="L315" s="373"/>
      <c r="M315" s="374"/>
      <c r="N315" s="202"/>
      <c r="O315" s="150"/>
    </row>
    <row r="316" spans="1:15" ht="15.75" x14ac:dyDescent="0.25">
      <c r="A316" s="24"/>
      <c r="B316" s="25"/>
      <c r="C316" s="24"/>
      <c r="D316" s="24"/>
      <c r="E316" s="24"/>
      <c r="F316" s="114"/>
      <c r="G316" s="114"/>
      <c r="H316" s="114"/>
      <c r="J316" s="7"/>
      <c r="K316" s="7"/>
      <c r="L316" s="373"/>
      <c r="M316" s="374"/>
      <c r="N316" s="202"/>
      <c r="O316" s="150"/>
    </row>
    <row r="317" spans="1:15" ht="15.75" x14ac:dyDescent="0.25">
      <c r="A317" s="24"/>
      <c r="B317" s="25"/>
      <c r="C317" s="24"/>
      <c r="D317" s="24"/>
      <c r="E317" s="24"/>
      <c r="F317" s="114"/>
      <c r="G317" s="114"/>
      <c r="H317" s="114"/>
      <c r="J317" s="7"/>
      <c r="K317" s="7"/>
      <c r="L317" s="373"/>
      <c r="M317" s="374"/>
      <c r="N317" s="202"/>
      <c r="O317" s="150"/>
    </row>
    <row r="318" spans="1:15" ht="15.75" x14ac:dyDescent="0.25">
      <c r="A318" s="24"/>
      <c r="B318" s="25"/>
      <c r="C318" s="24"/>
      <c r="D318" s="24"/>
      <c r="E318" s="24"/>
      <c r="F318" s="114"/>
      <c r="G318" s="114"/>
      <c r="H318" s="114"/>
      <c r="J318" s="7"/>
      <c r="K318" s="7"/>
      <c r="L318" s="373"/>
      <c r="M318" s="374"/>
      <c r="N318" s="202"/>
      <c r="O318" s="150"/>
    </row>
    <row r="319" spans="1:15" ht="15.75" x14ac:dyDescent="0.25">
      <c r="A319" s="24"/>
      <c r="B319" s="25"/>
      <c r="C319" s="24"/>
      <c r="D319" s="24"/>
      <c r="E319" s="24"/>
      <c r="F319" s="114"/>
      <c r="G319" s="114"/>
      <c r="H319" s="114"/>
      <c r="J319" s="7"/>
      <c r="K319" s="7"/>
      <c r="L319" s="373"/>
      <c r="M319" s="374"/>
      <c r="N319" s="202"/>
      <c r="O319" s="150"/>
    </row>
    <row r="320" spans="1:15" ht="15.75" x14ac:dyDescent="0.25">
      <c r="A320" s="24"/>
      <c r="B320" s="25"/>
      <c r="C320" s="24"/>
      <c r="D320" s="24"/>
      <c r="E320" s="24"/>
      <c r="F320" s="114"/>
      <c r="G320" s="114"/>
      <c r="H320" s="114"/>
      <c r="J320" s="7"/>
      <c r="K320" s="7"/>
      <c r="L320" s="373"/>
      <c r="M320" s="374"/>
      <c r="N320" s="202"/>
      <c r="O320" s="150"/>
    </row>
    <row r="321" spans="1:15" ht="15.75" x14ac:dyDescent="0.25">
      <c r="A321" s="24"/>
      <c r="B321" s="25"/>
      <c r="C321" s="24"/>
      <c r="D321" s="24"/>
      <c r="E321" s="24"/>
      <c r="F321" s="114"/>
      <c r="G321" s="114"/>
      <c r="H321" s="114"/>
      <c r="J321" s="7"/>
      <c r="K321" s="7"/>
      <c r="L321" s="373"/>
      <c r="M321" s="374"/>
      <c r="N321" s="202"/>
      <c r="O321" s="150"/>
    </row>
    <row r="322" spans="1:15" ht="15.75" x14ac:dyDescent="0.25">
      <c r="A322" s="24"/>
      <c r="B322" s="25"/>
      <c r="C322" s="24"/>
      <c r="D322" s="24"/>
      <c r="E322" s="24"/>
      <c r="F322" s="114"/>
      <c r="G322" s="114"/>
      <c r="H322" s="114"/>
      <c r="J322" s="7"/>
      <c r="K322" s="7"/>
      <c r="L322" s="373"/>
      <c r="M322" s="374"/>
      <c r="N322" s="202"/>
      <c r="O322" s="150"/>
    </row>
    <row r="323" spans="1:15" ht="15.75" x14ac:dyDescent="0.25">
      <c r="A323" s="24"/>
      <c r="B323" s="25"/>
      <c r="C323" s="24"/>
      <c r="D323" s="24"/>
      <c r="E323" s="24"/>
      <c r="F323" s="114"/>
      <c r="G323" s="114"/>
      <c r="H323" s="114"/>
      <c r="J323" s="7"/>
      <c r="K323" s="7"/>
      <c r="L323" s="373"/>
      <c r="M323" s="374"/>
      <c r="N323" s="202"/>
      <c r="O323" s="150"/>
    </row>
    <row r="324" spans="1:15" ht="15.75" x14ac:dyDescent="0.25">
      <c r="A324" s="24"/>
      <c r="B324" s="25"/>
      <c r="C324" s="24"/>
      <c r="D324" s="24"/>
      <c r="E324" s="24"/>
      <c r="F324" s="114"/>
      <c r="G324" s="114"/>
      <c r="H324" s="114"/>
      <c r="J324" s="7"/>
      <c r="K324" s="7"/>
      <c r="L324" s="373"/>
      <c r="M324" s="374"/>
      <c r="N324" s="202"/>
      <c r="O324" s="150"/>
    </row>
    <row r="325" spans="1:15" ht="15.75" x14ac:dyDescent="0.25">
      <c r="A325" s="24"/>
      <c r="B325" s="25"/>
      <c r="C325" s="24"/>
      <c r="D325" s="24"/>
      <c r="E325" s="24"/>
      <c r="F325" s="114"/>
      <c r="G325" s="114"/>
      <c r="H325" s="114"/>
      <c r="J325" s="7"/>
      <c r="K325" s="7"/>
      <c r="L325" s="373"/>
      <c r="M325" s="374"/>
      <c r="N325" s="202"/>
      <c r="O325" s="150"/>
    </row>
    <row r="326" spans="1:15" ht="15.75" x14ac:dyDescent="0.25">
      <c r="A326" s="24"/>
      <c r="B326" s="25"/>
      <c r="C326" s="24"/>
      <c r="D326" s="24"/>
      <c r="E326" s="24"/>
      <c r="F326" s="114"/>
      <c r="G326" s="114"/>
      <c r="H326" s="114"/>
      <c r="J326" s="7"/>
      <c r="K326" s="7"/>
      <c r="L326" s="373"/>
      <c r="M326" s="374"/>
      <c r="N326" s="202"/>
      <c r="O326" s="150"/>
    </row>
    <row r="327" spans="1:15" ht="15.75" x14ac:dyDescent="0.25">
      <c r="A327" s="24"/>
      <c r="B327" s="25"/>
      <c r="C327" s="24"/>
      <c r="D327" s="24"/>
      <c r="E327" s="24"/>
      <c r="F327" s="114"/>
      <c r="G327" s="114"/>
      <c r="H327" s="114"/>
      <c r="J327" s="7"/>
      <c r="K327" s="7"/>
      <c r="L327" s="373"/>
      <c r="M327" s="374"/>
      <c r="N327" s="202"/>
      <c r="O327" s="150"/>
    </row>
    <row r="328" spans="1:15" ht="15.75" x14ac:dyDescent="0.25">
      <c r="A328" s="24"/>
      <c r="B328" s="25"/>
      <c r="C328" s="24"/>
      <c r="D328" s="24"/>
      <c r="E328" s="24"/>
      <c r="F328" s="114"/>
      <c r="G328" s="114"/>
      <c r="H328" s="114"/>
      <c r="J328" s="7"/>
      <c r="K328" s="7"/>
      <c r="L328" s="373"/>
      <c r="M328" s="374"/>
      <c r="N328" s="202"/>
      <c r="O328" s="150"/>
    </row>
    <row r="329" spans="1:15" ht="15.75" x14ac:dyDescent="0.25">
      <c r="A329" s="24"/>
      <c r="B329" s="25"/>
      <c r="C329" s="24"/>
      <c r="D329" s="24"/>
      <c r="E329" s="24"/>
      <c r="F329" s="114"/>
      <c r="G329" s="114"/>
      <c r="H329" s="114"/>
      <c r="J329" s="7"/>
      <c r="K329" s="7"/>
      <c r="L329" s="373"/>
      <c r="M329" s="374"/>
      <c r="N329" s="202"/>
      <c r="O329" s="150"/>
    </row>
    <row r="330" spans="1:15" ht="15.75" x14ac:dyDescent="0.25">
      <c r="A330" s="24"/>
      <c r="B330" s="25"/>
      <c r="C330" s="24"/>
      <c r="D330" s="24"/>
      <c r="E330" s="24"/>
      <c r="F330" s="114"/>
      <c r="G330" s="114"/>
      <c r="H330" s="114"/>
      <c r="J330" s="7"/>
      <c r="K330" s="7"/>
      <c r="L330" s="373"/>
      <c r="M330" s="374"/>
      <c r="N330" s="202"/>
      <c r="O330" s="150"/>
    </row>
    <row r="331" spans="1:15" ht="15.75" x14ac:dyDescent="0.25">
      <c r="A331" s="24"/>
      <c r="B331" s="25"/>
      <c r="C331" s="24"/>
      <c r="D331" s="24"/>
      <c r="E331" s="24"/>
      <c r="F331" s="114"/>
      <c r="G331" s="114"/>
      <c r="H331" s="114"/>
      <c r="J331" s="7"/>
      <c r="K331" s="7"/>
      <c r="L331" s="373"/>
      <c r="M331" s="374"/>
      <c r="N331" s="202"/>
      <c r="O331" s="150"/>
    </row>
    <row r="332" spans="1:15" ht="15.75" x14ac:dyDescent="0.25">
      <c r="A332" s="24"/>
      <c r="B332" s="25"/>
      <c r="C332" s="24"/>
      <c r="D332" s="24"/>
      <c r="E332" s="24"/>
      <c r="F332" s="114"/>
      <c r="G332" s="114"/>
      <c r="H332" s="114"/>
      <c r="J332" s="7"/>
      <c r="K332" s="7"/>
      <c r="L332" s="373"/>
      <c r="M332" s="374"/>
      <c r="N332" s="202"/>
      <c r="O332" s="150"/>
    </row>
    <row r="333" spans="1:15" ht="15.75" x14ac:dyDescent="0.25">
      <c r="A333" s="24"/>
      <c r="B333" s="25"/>
      <c r="C333" s="24"/>
      <c r="D333" s="24"/>
      <c r="E333" s="24"/>
      <c r="F333" s="114"/>
      <c r="G333" s="114"/>
      <c r="H333" s="114"/>
      <c r="J333" s="7"/>
      <c r="K333" s="7"/>
      <c r="L333" s="373"/>
      <c r="M333" s="374"/>
      <c r="N333" s="202"/>
      <c r="O333" s="150"/>
    </row>
    <row r="334" spans="1:15" ht="15.75" x14ac:dyDescent="0.25">
      <c r="A334" s="24"/>
      <c r="B334" s="25"/>
      <c r="C334" s="24"/>
      <c r="D334" s="24"/>
      <c r="E334" s="24"/>
      <c r="F334" s="114"/>
      <c r="G334" s="114"/>
      <c r="H334" s="114"/>
      <c r="J334" s="7"/>
      <c r="K334" s="7"/>
      <c r="L334" s="373"/>
      <c r="M334" s="374"/>
      <c r="N334" s="202"/>
      <c r="O334" s="150"/>
    </row>
    <row r="335" spans="1:15" ht="15.75" x14ac:dyDescent="0.25">
      <c r="A335" s="24"/>
      <c r="B335" s="25"/>
      <c r="C335" s="24"/>
      <c r="D335" s="24"/>
      <c r="E335" s="24"/>
      <c r="F335" s="114"/>
      <c r="G335" s="114"/>
      <c r="H335" s="114"/>
      <c r="J335" s="7"/>
      <c r="K335" s="7"/>
      <c r="L335" s="373"/>
      <c r="M335" s="374"/>
      <c r="N335" s="202"/>
      <c r="O335" s="150"/>
    </row>
    <row r="336" spans="1:15" ht="15.75" x14ac:dyDescent="0.25">
      <c r="A336" s="24"/>
      <c r="B336" s="25"/>
      <c r="C336" s="24"/>
      <c r="D336" s="24"/>
      <c r="E336" s="24"/>
      <c r="F336" s="114"/>
      <c r="G336" s="114"/>
      <c r="H336" s="114"/>
      <c r="J336" s="7"/>
      <c r="K336" s="7"/>
      <c r="L336" s="373"/>
      <c r="M336" s="374"/>
      <c r="N336" s="202"/>
      <c r="O336" s="150"/>
    </row>
    <row r="337" spans="1:15" ht="15.75" x14ac:dyDescent="0.25">
      <c r="A337" s="24"/>
      <c r="B337" s="25"/>
      <c r="C337" s="24"/>
      <c r="D337" s="24"/>
      <c r="E337" s="24"/>
      <c r="F337" s="114"/>
      <c r="G337" s="114"/>
      <c r="H337" s="114"/>
      <c r="J337" s="7"/>
      <c r="K337" s="7"/>
      <c r="L337" s="373"/>
      <c r="M337" s="374"/>
      <c r="N337" s="202"/>
      <c r="O337" s="150"/>
    </row>
    <row r="338" spans="1:15" ht="15.75" x14ac:dyDescent="0.25">
      <c r="A338" s="24"/>
      <c r="B338" s="25"/>
      <c r="C338" s="24"/>
      <c r="D338" s="24"/>
      <c r="E338" s="24"/>
      <c r="F338" s="114"/>
      <c r="G338" s="114"/>
      <c r="H338" s="114"/>
      <c r="J338" s="7"/>
      <c r="K338" s="7"/>
      <c r="L338" s="373"/>
      <c r="M338" s="374"/>
      <c r="N338" s="202"/>
      <c r="O338" s="150"/>
    </row>
    <row r="339" spans="1:15" ht="15.75" x14ac:dyDescent="0.25">
      <c r="A339" s="24"/>
      <c r="B339" s="25"/>
      <c r="C339" s="24"/>
      <c r="D339" s="24"/>
      <c r="E339" s="24"/>
      <c r="F339" s="114"/>
      <c r="G339" s="114"/>
      <c r="H339" s="114"/>
      <c r="J339" s="7"/>
      <c r="K339" s="7"/>
      <c r="L339" s="373"/>
      <c r="M339" s="374"/>
      <c r="N339" s="202"/>
      <c r="O339" s="150"/>
    </row>
    <row r="340" spans="1:15" ht="15.75" x14ac:dyDescent="0.25">
      <c r="A340" s="24"/>
      <c r="B340" s="25"/>
      <c r="C340" s="24"/>
      <c r="D340" s="24"/>
      <c r="E340" s="24"/>
      <c r="F340" s="114"/>
      <c r="G340" s="114"/>
      <c r="H340" s="114"/>
      <c r="J340" s="7"/>
      <c r="K340" s="7"/>
      <c r="L340" s="373"/>
      <c r="M340" s="374"/>
      <c r="N340" s="202"/>
      <c r="O340" s="150"/>
    </row>
    <row r="341" spans="1:15" ht="15.75" x14ac:dyDescent="0.25">
      <c r="A341" s="24"/>
      <c r="B341" s="25"/>
      <c r="C341" s="24"/>
      <c r="D341" s="24"/>
      <c r="E341" s="24"/>
      <c r="F341" s="114"/>
      <c r="G341" s="114"/>
      <c r="H341" s="114"/>
      <c r="J341" s="7"/>
      <c r="K341" s="7"/>
      <c r="L341" s="373"/>
      <c r="M341" s="374"/>
      <c r="N341" s="202"/>
      <c r="O341" s="150"/>
    </row>
    <row r="342" spans="1:15" ht="15.75" x14ac:dyDescent="0.25">
      <c r="A342" s="24"/>
      <c r="B342" s="25"/>
      <c r="C342" s="24"/>
      <c r="D342" s="24"/>
      <c r="E342" s="24"/>
      <c r="F342" s="114"/>
      <c r="G342" s="114"/>
      <c r="H342" s="114"/>
      <c r="J342" s="7"/>
      <c r="K342" s="7"/>
      <c r="L342" s="373"/>
      <c r="M342" s="374"/>
      <c r="N342" s="202"/>
      <c r="O342" s="150"/>
    </row>
    <row r="343" spans="1:15" ht="15.75" x14ac:dyDescent="0.25">
      <c r="A343" s="24"/>
      <c r="B343" s="25"/>
      <c r="C343" s="24"/>
      <c r="D343" s="24"/>
      <c r="E343" s="24"/>
      <c r="F343" s="114"/>
      <c r="G343" s="114"/>
      <c r="H343" s="114"/>
      <c r="J343" s="7"/>
      <c r="K343" s="7"/>
      <c r="L343" s="373"/>
      <c r="M343" s="374"/>
      <c r="N343" s="202"/>
      <c r="O343" s="150"/>
    </row>
    <row r="344" spans="1:15" ht="15.75" x14ac:dyDescent="0.25">
      <c r="A344" s="24"/>
      <c r="B344" s="25"/>
      <c r="C344" s="24"/>
      <c r="D344" s="24"/>
      <c r="E344" s="24"/>
      <c r="F344" s="114"/>
      <c r="G344" s="114"/>
      <c r="H344" s="114"/>
      <c r="J344" s="7"/>
      <c r="K344" s="7"/>
      <c r="L344" s="373"/>
      <c r="M344" s="374"/>
      <c r="N344" s="202"/>
      <c r="O344" s="150"/>
    </row>
    <row r="345" spans="1:15" ht="15.75" x14ac:dyDescent="0.25">
      <c r="A345" s="24"/>
      <c r="B345" s="25"/>
      <c r="C345" s="24"/>
      <c r="D345" s="24"/>
      <c r="E345" s="24"/>
      <c r="F345" s="114"/>
      <c r="G345" s="114"/>
      <c r="H345" s="114"/>
      <c r="J345" s="7"/>
      <c r="K345" s="7"/>
      <c r="L345" s="373"/>
      <c r="M345" s="374"/>
      <c r="N345" s="202"/>
      <c r="O345" s="150"/>
    </row>
    <row r="346" spans="1:15" ht="15.75" x14ac:dyDescent="0.25">
      <c r="A346" s="24"/>
      <c r="B346" s="25"/>
      <c r="C346" s="24"/>
      <c r="D346" s="24"/>
      <c r="E346" s="24"/>
      <c r="F346" s="114"/>
      <c r="G346" s="114"/>
      <c r="H346" s="114"/>
      <c r="J346" s="7"/>
      <c r="K346" s="7"/>
      <c r="L346" s="373"/>
      <c r="M346" s="374"/>
      <c r="N346" s="202"/>
      <c r="O346" s="150"/>
    </row>
    <row r="347" spans="1:15" ht="15.75" x14ac:dyDescent="0.25">
      <c r="A347" s="24"/>
      <c r="B347" s="25"/>
      <c r="C347" s="24"/>
      <c r="D347" s="24"/>
      <c r="E347" s="24"/>
      <c r="F347" s="114"/>
      <c r="G347" s="114"/>
      <c r="H347" s="114"/>
      <c r="J347" s="7"/>
      <c r="K347" s="7"/>
      <c r="L347" s="373"/>
      <c r="M347" s="374"/>
      <c r="N347" s="202"/>
      <c r="O347" s="150"/>
    </row>
    <row r="348" spans="1:15" ht="15.75" x14ac:dyDescent="0.25">
      <c r="A348" s="24"/>
      <c r="B348" s="25"/>
      <c r="C348" s="24"/>
      <c r="D348" s="24"/>
      <c r="E348" s="24"/>
      <c r="F348" s="114"/>
      <c r="G348" s="114"/>
      <c r="H348" s="114"/>
      <c r="J348" s="7"/>
      <c r="K348" s="7"/>
      <c r="L348" s="373"/>
      <c r="M348" s="374"/>
      <c r="N348" s="202"/>
      <c r="O348" s="150"/>
    </row>
    <row r="349" spans="1:15" ht="15.75" x14ac:dyDescent="0.25">
      <c r="A349" s="24"/>
      <c r="B349" s="25"/>
      <c r="C349" s="24"/>
      <c r="D349" s="24"/>
      <c r="E349" s="24"/>
      <c r="F349" s="114"/>
      <c r="G349" s="114"/>
      <c r="H349" s="114"/>
      <c r="J349" s="7"/>
      <c r="K349" s="7"/>
      <c r="L349" s="373"/>
      <c r="M349" s="374"/>
      <c r="N349" s="202"/>
      <c r="O349" s="150"/>
    </row>
    <row r="350" spans="1:15" ht="15.75" x14ac:dyDescent="0.25">
      <c r="A350" s="24"/>
      <c r="B350" s="25"/>
      <c r="C350" s="24"/>
      <c r="D350" s="24"/>
      <c r="E350" s="24"/>
      <c r="F350" s="114"/>
      <c r="G350" s="114"/>
      <c r="H350" s="114"/>
      <c r="J350" s="7"/>
      <c r="K350" s="7"/>
      <c r="L350" s="373"/>
      <c r="M350" s="374"/>
      <c r="N350" s="202"/>
      <c r="O350" s="150"/>
    </row>
    <row r="351" spans="1:15" ht="15.75" x14ac:dyDescent="0.25">
      <c r="A351" s="24"/>
      <c r="B351" s="25"/>
      <c r="C351" s="24"/>
      <c r="D351" s="24"/>
      <c r="E351" s="24"/>
      <c r="F351" s="114"/>
      <c r="G351" s="114"/>
      <c r="H351" s="114"/>
      <c r="J351" s="7"/>
      <c r="K351" s="7"/>
      <c r="L351" s="373"/>
      <c r="M351" s="374"/>
      <c r="N351" s="202"/>
      <c r="O351" s="150"/>
    </row>
    <row r="352" spans="1:15" ht="15.75" x14ac:dyDescent="0.25">
      <c r="A352" s="24"/>
      <c r="B352" s="25"/>
      <c r="C352" s="24"/>
      <c r="D352" s="24"/>
      <c r="E352" s="24"/>
      <c r="F352" s="114"/>
      <c r="G352" s="114"/>
      <c r="H352" s="114"/>
      <c r="J352" s="7"/>
      <c r="K352" s="7"/>
      <c r="L352" s="373"/>
      <c r="M352" s="374"/>
      <c r="N352" s="202"/>
      <c r="O352" s="150"/>
    </row>
    <row r="353" spans="1:15" ht="15.75" x14ac:dyDescent="0.25">
      <c r="A353" s="24"/>
      <c r="B353" s="25"/>
      <c r="C353" s="24"/>
      <c r="D353" s="24"/>
      <c r="E353" s="24"/>
      <c r="F353" s="114"/>
      <c r="G353" s="114"/>
      <c r="H353" s="114"/>
      <c r="J353" s="7"/>
      <c r="K353" s="7"/>
      <c r="L353" s="373"/>
      <c r="M353" s="374"/>
      <c r="N353" s="202"/>
      <c r="O353" s="150"/>
    </row>
    <row r="354" spans="1:15" ht="15.75" x14ac:dyDescent="0.25">
      <c r="A354" s="24"/>
      <c r="B354" s="25"/>
      <c r="C354" s="24"/>
      <c r="D354" s="24"/>
      <c r="E354" s="24"/>
      <c r="F354" s="114"/>
      <c r="G354" s="114"/>
      <c r="H354" s="114"/>
      <c r="J354" s="7"/>
      <c r="K354" s="7"/>
      <c r="L354" s="373"/>
      <c r="M354" s="374"/>
      <c r="N354" s="202"/>
      <c r="O354" s="150"/>
    </row>
    <row r="355" spans="1:15" ht="15.75" x14ac:dyDescent="0.25">
      <c r="A355" s="24"/>
      <c r="B355" s="25"/>
      <c r="C355" s="24"/>
      <c r="D355" s="24"/>
      <c r="E355" s="24"/>
      <c r="F355" s="114"/>
      <c r="G355" s="114"/>
      <c r="H355" s="114"/>
      <c r="J355" s="7"/>
      <c r="K355" s="7"/>
      <c r="L355" s="373"/>
      <c r="M355" s="374"/>
      <c r="N355" s="202"/>
      <c r="O355" s="150"/>
    </row>
    <row r="356" spans="1:15" ht="15.75" x14ac:dyDescent="0.25">
      <c r="A356" s="24"/>
      <c r="B356" s="25"/>
      <c r="C356" s="24"/>
      <c r="D356" s="24"/>
      <c r="E356" s="24"/>
      <c r="F356" s="114"/>
      <c r="G356" s="114"/>
      <c r="H356" s="114"/>
      <c r="J356" s="7"/>
      <c r="K356" s="7"/>
      <c r="L356" s="373"/>
      <c r="M356" s="374"/>
      <c r="N356" s="202"/>
      <c r="O356" s="150"/>
    </row>
    <row r="357" spans="1:15" ht="15.75" x14ac:dyDescent="0.25">
      <c r="A357" s="24"/>
      <c r="B357" s="25"/>
      <c r="C357" s="24"/>
      <c r="D357" s="24"/>
      <c r="E357" s="24"/>
      <c r="F357" s="114"/>
      <c r="G357" s="114"/>
      <c r="H357" s="114"/>
      <c r="J357" s="7"/>
      <c r="K357" s="7"/>
      <c r="L357" s="373"/>
      <c r="M357" s="374"/>
      <c r="N357" s="202"/>
      <c r="O357" s="150"/>
    </row>
    <row r="358" spans="1:15" ht="15.75" x14ac:dyDescent="0.25">
      <c r="A358" s="24"/>
      <c r="B358" s="25"/>
      <c r="C358" s="24"/>
      <c r="D358" s="24"/>
      <c r="E358" s="24"/>
      <c r="F358" s="114"/>
      <c r="G358" s="114"/>
      <c r="H358" s="114"/>
      <c r="J358" s="7"/>
      <c r="K358" s="7"/>
      <c r="L358" s="373"/>
      <c r="M358" s="374"/>
      <c r="N358" s="202"/>
      <c r="O358" s="150"/>
    </row>
    <row r="359" spans="1:15" ht="15.75" x14ac:dyDescent="0.25">
      <c r="A359" s="24"/>
      <c r="B359" s="25"/>
      <c r="C359" s="24"/>
      <c r="D359" s="24"/>
      <c r="E359" s="24"/>
      <c r="F359" s="114"/>
      <c r="G359" s="114"/>
      <c r="H359" s="114"/>
      <c r="J359" s="7"/>
      <c r="K359" s="7"/>
      <c r="L359" s="373"/>
      <c r="M359" s="374"/>
      <c r="N359" s="202"/>
      <c r="O359" s="150"/>
    </row>
    <row r="360" spans="1:15" ht="15.75" x14ac:dyDescent="0.25">
      <c r="A360" s="24"/>
      <c r="B360" s="25"/>
      <c r="C360" s="24"/>
      <c r="D360" s="24"/>
      <c r="E360" s="24"/>
      <c r="F360" s="114"/>
      <c r="G360" s="114"/>
      <c r="H360" s="114"/>
      <c r="J360" s="7"/>
      <c r="K360" s="7"/>
      <c r="L360" s="373"/>
      <c r="M360" s="374"/>
      <c r="N360" s="202"/>
      <c r="O360" s="150"/>
    </row>
    <row r="361" spans="1:15" ht="15.75" x14ac:dyDescent="0.25">
      <c r="A361" s="24"/>
      <c r="B361" s="25"/>
      <c r="C361" s="24"/>
      <c r="D361" s="24"/>
      <c r="E361" s="24"/>
      <c r="F361" s="114"/>
      <c r="G361" s="114"/>
      <c r="H361" s="114"/>
      <c r="J361" s="7"/>
      <c r="K361" s="7"/>
      <c r="L361" s="373"/>
      <c r="M361" s="374"/>
      <c r="N361" s="202"/>
      <c r="O361" s="150"/>
    </row>
    <row r="362" spans="1:15" ht="15.75" x14ac:dyDescent="0.25">
      <c r="A362" s="24"/>
      <c r="B362" s="25"/>
      <c r="C362" s="24"/>
      <c r="D362" s="24"/>
      <c r="E362" s="24"/>
      <c r="F362" s="114"/>
      <c r="G362" s="114"/>
      <c r="H362" s="114"/>
      <c r="J362" s="7"/>
      <c r="K362" s="7"/>
      <c r="L362" s="373"/>
      <c r="M362" s="374"/>
      <c r="N362" s="202"/>
      <c r="O362" s="150"/>
    </row>
    <row r="363" spans="1:15" ht="15.75" x14ac:dyDescent="0.25">
      <c r="A363" s="24"/>
      <c r="B363" s="25"/>
      <c r="C363" s="24"/>
      <c r="D363" s="24"/>
      <c r="E363" s="24"/>
      <c r="F363" s="114"/>
      <c r="G363" s="114"/>
      <c r="H363" s="114"/>
      <c r="J363" s="7"/>
      <c r="K363" s="7"/>
      <c r="L363" s="373"/>
      <c r="M363" s="374"/>
      <c r="N363" s="202"/>
      <c r="O363" s="150"/>
    </row>
    <row r="364" spans="1:15" ht="15.75" x14ac:dyDescent="0.25">
      <c r="A364" s="24"/>
      <c r="B364" s="25"/>
      <c r="C364" s="24"/>
      <c r="D364" s="24"/>
      <c r="E364" s="24"/>
      <c r="F364" s="114"/>
      <c r="G364" s="114"/>
      <c r="H364" s="114"/>
      <c r="J364" s="7"/>
      <c r="K364" s="7"/>
      <c r="L364" s="373"/>
      <c r="M364" s="374"/>
      <c r="N364" s="202"/>
      <c r="O364" s="150"/>
    </row>
    <row r="365" spans="1:15" ht="15.75" x14ac:dyDescent="0.25">
      <c r="A365" s="24"/>
      <c r="B365" s="25"/>
      <c r="C365" s="24"/>
      <c r="D365" s="24"/>
      <c r="E365" s="24"/>
      <c r="F365" s="114"/>
      <c r="G365" s="114"/>
      <c r="H365" s="114"/>
      <c r="J365" s="7"/>
      <c r="K365" s="7"/>
      <c r="L365" s="373"/>
      <c r="M365" s="374"/>
      <c r="N365" s="202"/>
      <c r="O365" s="150"/>
    </row>
    <row r="366" spans="1:15" ht="15.75" x14ac:dyDescent="0.25">
      <c r="A366" s="24"/>
      <c r="B366" s="25"/>
      <c r="C366" s="24"/>
      <c r="D366" s="24"/>
      <c r="E366" s="24"/>
      <c r="F366" s="114"/>
      <c r="G366" s="114"/>
      <c r="H366" s="114"/>
      <c r="J366" s="7"/>
      <c r="K366" s="7"/>
      <c r="L366" s="373"/>
      <c r="M366" s="374"/>
      <c r="N366" s="202"/>
      <c r="O366" s="150"/>
    </row>
    <row r="367" spans="1:15" ht="15.75" x14ac:dyDescent="0.25">
      <c r="A367" s="24"/>
      <c r="B367" s="25"/>
      <c r="C367" s="24"/>
      <c r="D367" s="24"/>
      <c r="E367" s="24"/>
      <c r="F367" s="114"/>
      <c r="G367" s="114"/>
      <c r="H367" s="114"/>
      <c r="J367" s="7"/>
      <c r="K367" s="7"/>
      <c r="L367" s="373"/>
      <c r="M367" s="374"/>
      <c r="N367" s="202"/>
      <c r="O367" s="150"/>
    </row>
    <row r="368" spans="1:15" ht="15.75" x14ac:dyDescent="0.25">
      <c r="A368" s="24"/>
      <c r="B368" s="25"/>
      <c r="C368" s="24"/>
      <c r="D368" s="24"/>
      <c r="E368" s="24"/>
      <c r="F368" s="114"/>
      <c r="G368" s="114"/>
      <c r="H368" s="114"/>
      <c r="J368" s="7"/>
      <c r="K368" s="7"/>
      <c r="L368" s="373"/>
      <c r="M368" s="374"/>
      <c r="N368" s="202"/>
      <c r="O368" s="150"/>
    </row>
    <row r="369" spans="1:15" ht="15.75" x14ac:dyDescent="0.25">
      <c r="A369" s="24"/>
      <c r="B369" s="25"/>
      <c r="C369" s="24"/>
      <c r="D369" s="24"/>
      <c r="E369" s="24"/>
      <c r="F369" s="114"/>
      <c r="G369" s="114"/>
      <c r="H369" s="114"/>
      <c r="J369" s="7"/>
      <c r="K369" s="7"/>
      <c r="L369" s="373"/>
      <c r="M369" s="374"/>
      <c r="N369" s="202"/>
      <c r="O369" s="150"/>
    </row>
    <row r="370" spans="1:15" ht="15.75" x14ac:dyDescent="0.25">
      <c r="A370" s="24"/>
      <c r="B370" s="25"/>
      <c r="C370" s="24"/>
      <c r="D370" s="24"/>
      <c r="E370" s="24"/>
      <c r="F370" s="114"/>
      <c r="G370" s="114"/>
      <c r="H370" s="114"/>
      <c r="J370" s="7"/>
      <c r="K370" s="7"/>
      <c r="L370" s="373"/>
      <c r="M370" s="374"/>
      <c r="N370" s="202"/>
      <c r="O370" s="150"/>
    </row>
    <row r="371" spans="1:15" ht="15.75" x14ac:dyDescent="0.25">
      <c r="A371" s="24"/>
      <c r="B371" s="25"/>
      <c r="C371" s="24"/>
      <c r="D371" s="24"/>
      <c r="E371" s="24"/>
      <c r="F371" s="114"/>
      <c r="G371" s="114"/>
      <c r="H371" s="114"/>
      <c r="J371" s="7"/>
      <c r="K371" s="7"/>
      <c r="L371" s="373"/>
      <c r="M371" s="374"/>
      <c r="N371" s="202"/>
      <c r="O371" s="150"/>
    </row>
    <row r="372" spans="1:15" ht="15.75" x14ac:dyDescent="0.25">
      <c r="A372" s="24"/>
      <c r="B372" s="25"/>
      <c r="C372" s="24"/>
      <c r="D372" s="24"/>
      <c r="E372" s="24"/>
      <c r="F372" s="114"/>
      <c r="G372" s="114"/>
      <c r="H372" s="114"/>
      <c r="J372" s="7"/>
      <c r="K372" s="7"/>
      <c r="L372" s="373"/>
      <c r="M372" s="374"/>
      <c r="N372" s="202"/>
      <c r="O372" s="150"/>
    </row>
    <row r="373" spans="1:15" ht="15.75" x14ac:dyDescent="0.25">
      <c r="A373" s="24"/>
      <c r="B373" s="25"/>
      <c r="C373" s="24"/>
      <c r="D373" s="24"/>
      <c r="E373" s="24"/>
      <c r="F373" s="114"/>
      <c r="G373" s="114"/>
      <c r="H373" s="114"/>
      <c r="J373" s="7"/>
      <c r="K373" s="7"/>
      <c r="L373" s="373"/>
      <c r="M373" s="374"/>
      <c r="N373" s="202"/>
      <c r="O373" s="150"/>
    </row>
    <row r="374" spans="1:15" ht="15.75" x14ac:dyDescent="0.25">
      <c r="A374" s="24"/>
      <c r="B374" s="25"/>
      <c r="C374" s="24"/>
      <c r="D374" s="24"/>
      <c r="E374" s="24"/>
      <c r="F374" s="114"/>
      <c r="G374" s="114"/>
      <c r="H374" s="114"/>
      <c r="J374" s="7"/>
      <c r="K374" s="7"/>
      <c r="L374" s="373"/>
      <c r="M374" s="374"/>
      <c r="N374" s="202"/>
      <c r="O374" s="150"/>
    </row>
    <row r="375" spans="1:15" ht="15.75" x14ac:dyDescent="0.25">
      <c r="A375" s="24"/>
      <c r="B375" s="25"/>
      <c r="C375" s="24"/>
      <c r="D375" s="24"/>
      <c r="E375" s="24"/>
      <c r="F375" s="114"/>
      <c r="G375" s="114"/>
      <c r="H375" s="114"/>
      <c r="J375" s="7"/>
      <c r="K375" s="7"/>
      <c r="L375" s="373"/>
      <c r="M375" s="374"/>
      <c r="N375" s="202"/>
      <c r="O375" s="150"/>
    </row>
    <row r="376" spans="1:15" ht="15.75" x14ac:dyDescent="0.25">
      <c r="A376" s="24"/>
      <c r="B376" s="25"/>
      <c r="C376" s="24"/>
      <c r="D376" s="24"/>
      <c r="E376" s="24"/>
      <c r="F376" s="114"/>
      <c r="G376" s="114"/>
      <c r="H376" s="114"/>
      <c r="J376" s="7"/>
      <c r="K376" s="7"/>
      <c r="L376" s="373"/>
      <c r="M376" s="374"/>
      <c r="N376" s="202"/>
      <c r="O376" s="150"/>
    </row>
    <row r="377" spans="1:15" ht="15.75" x14ac:dyDescent="0.25">
      <c r="A377" s="24"/>
      <c r="B377" s="25"/>
      <c r="C377" s="24"/>
      <c r="D377" s="24"/>
      <c r="E377" s="24"/>
      <c r="F377" s="114"/>
      <c r="G377" s="114"/>
      <c r="H377" s="114"/>
      <c r="J377" s="7"/>
      <c r="K377" s="7"/>
      <c r="L377" s="373"/>
      <c r="M377" s="374"/>
      <c r="N377" s="202"/>
      <c r="O377" s="150"/>
    </row>
    <row r="378" spans="1:15" ht="15.75" x14ac:dyDescent="0.25">
      <c r="A378" s="24"/>
      <c r="B378" s="25"/>
      <c r="C378" s="24"/>
      <c r="D378" s="24"/>
      <c r="E378" s="24"/>
      <c r="F378" s="114"/>
      <c r="G378" s="114"/>
      <c r="H378" s="114"/>
      <c r="J378" s="7"/>
      <c r="K378" s="7"/>
      <c r="L378" s="373"/>
      <c r="M378" s="374"/>
      <c r="N378" s="202"/>
      <c r="O378" s="150"/>
    </row>
    <row r="379" spans="1:15" ht="15.75" x14ac:dyDescent="0.25">
      <c r="A379" s="24"/>
      <c r="B379" s="25"/>
      <c r="C379" s="24"/>
      <c r="D379" s="24"/>
      <c r="E379" s="24"/>
      <c r="F379" s="114"/>
      <c r="G379" s="114"/>
      <c r="H379" s="114"/>
      <c r="J379" s="7"/>
      <c r="K379" s="7"/>
      <c r="L379" s="373"/>
      <c r="M379" s="374"/>
      <c r="N379" s="202"/>
      <c r="O379" s="150"/>
    </row>
    <row r="380" spans="1:15" ht="15.75" x14ac:dyDescent="0.25">
      <c r="A380" s="24"/>
      <c r="B380" s="25"/>
      <c r="C380" s="24"/>
      <c r="D380" s="24"/>
      <c r="E380" s="24"/>
      <c r="F380" s="114"/>
      <c r="G380" s="114"/>
      <c r="H380" s="114"/>
      <c r="J380" s="7"/>
      <c r="K380" s="7"/>
      <c r="L380" s="373"/>
      <c r="M380" s="374"/>
      <c r="N380" s="202"/>
      <c r="O380" s="150"/>
    </row>
    <row r="381" spans="1:15" ht="15.75" x14ac:dyDescent="0.25">
      <c r="A381" s="24"/>
      <c r="B381" s="25"/>
      <c r="C381" s="24"/>
      <c r="D381" s="24"/>
      <c r="E381" s="24"/>
      <c r="F381" s="114"/>
      <c r="G381" s="114"/>
      <c r="H381" s="114"/>
      <c r="J381" s="7"/>
      <c r="K381" s="7"/>
      <c r="L381" s="373"/>
      <c r="M381" s="374"/>
      <c r="N381" s="202"/>
      <c r="O381" s="150"/>
    </row>
    <row r="382" spans="1:15" ht="15.75" x14ac:dyDescent="0.25">
      <c r="A382" s="24"/>
      <c r="B382" s="25"/>
      <c r="C382" s="24"/>
      <c r="D382" s="24"/>
      <c r="E382" s="24"/>
      <c r="F382" s="114"/>
      <c r="G382" s="114"/>
      <c r="H382" s="114"/>
      <c r="J382" s="7"/>
      <c r="K382" s="7"/>
      <c r="L382" s="373"/>
      <c r="M382" s="374"/>
      <c r="N382" s="202"/>
      <c r="O382" s="150"/>
    </row>
    <row r="383" spans="1:15" ht="15.75" x14ac:dyDescent="0.25">
      <c r="A383" s="24"/>
      <c r="B383" s="25"/>
      <c r="C383" s="24"/>
      <c r="D383" s="24"/>
      <c r="E383" s="24"/>
      <c r="F383" s="114"/>
      <c r="G383" s="114"/>
      <c r="H383" s="114"/>
      <c r="J383" s="7"/>
      <c r="K383" s="7"/>
      <c r="L383" s="373"/>
      <c r="M383" s="374"/>
      <c r="N383" s="202"/>
      <c r="O383" s="150"/>
    </row>
    <row r="384" spans="1:15" ht="15.75" x14ac:dyDescent="0.25">
      <c r="A384" s="24"/>
      <c r="B384" s="25"/>
      <c r="C384" s="24"/>
      <c r="D384" s="24"/>
      <c r="E384" s="24"/>
      <c r="F384" s="114"/>
      <c r="G384" s="114"/>
      <c r="H384" s="114"/>
      <c r="J384" s="7"/>
      <c r="K384" s="7"/>
      <c r="L384" s="373"/>
      <c r="M384" s="374"/>
      <c r="N384" s="202"/>
      <c r="O384" s="150"/>
    </row>
    <row r="385" spans="1:15" ht="15.75" x14ac:dyDescent="0.25">
      <c r="A385" s="24"/>
      <c r="B385" s="25"/>
      <c r="C385" s="24"/>
      <c r="D385" s="24"/>
      <c r="E385" s="24"/>
      <c r="F385" s="114"/>
      <c r="G385" s="114"/>
      <c r="H385" s="114"/>
      <c r="J385" s="7"/>
      <c r="K385" s="7"/>
      <c r="L385" s="373"/>
      <c r="M385" s="374"/>
      <c r="N385" s="202"/>
      <c r="O385" s="150"/>
    </row>
    <row r="386" spans="1:15" ht="15.75" x14ac:dyDescent="0.25">
      <c r="A386" s="24"/>
      <c r="B386" s="25"/>
      <c r="C386" s="24"/>
      <c r="D386" s="24"/>
      <c r="E386" s="24"/>
      <c r="F386" s="114"/>
      <c r="G386" s="114"/>
      <c r="H386" s="114"/>
      <c r="J386" s="7"/>
      <c r="K386" s="7"/>
      <c r="L386" s="373"/>
      <c r="M386" s="374"/>
      <c r="N386" s="202"/>
      <c r="O386" s="150"/>
    </row>
    <row r="387" spans="1:15" ht="15.75" x14ac:dyDescent="0.25">
      <c r="A387" s="24"/>
      <c r="B387" s="25"/>
      <c r="C387" s="24"/>
      <c r="D387" s="24"/>
      <c r="E387" s="24"/>
      <c r="F387" s="114"/>
      <c r="G387" s="114"/>
      <c r="H387" s="114"/>
      <c r="J387" s="7"/>
      <c r="K387" s="7"/>
      <c r="L387" s="373"/>
      <c r="M387" s="374"/>
      <c r="N387" s="202"/>
      <c r="O387" s="150"/>
    </row>
    <row r="388" spans="1:15" ht="15.75" x14ac:dyDescent="0.25">
      <c r="A388" s="24"/>
      <c r="B388" s="25"/>
      <c r="C388" s="24"/>
      <c r="D388" s="24"/>
      <c r="E388" s="24"/>
      <c r="F388" s="114"/>
      <c r="G388" s="114"/>
      <c r="H388" s="114"/>
      <c r="J388" s="7"/>
      <c r="K388" s="7"/>
      <c r="L388" s="373"/>
      <c r="M388" s="374"/>
      <c r="N388" s="202"/>
      <c r="O388" s="15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fitToHeight="0" orientation="portrait" r:id="rId1"/>
  <rowBreaks count="1" manualBreakCount="1">
    <brk id="179" max="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60"/>
  <sheetViews>
    <sheetView view="pageBreakPreview" zoomScale="130" zoomScaleNormal="100" zoomScaleSheetLayoutView="130" workbookViewId="0">
      <selection activeCell="B6" sqref="B6"/>
    </sheetView>
  </sheetViews>
  <sheetFormatPr defaultColWidth="14.42578125" defaultRowHeight="15" customHeight="1" x14ac:dyDescent="0.25"/>
  <cols>
    <col min="1" max="1" width="73.42578125" customWidth="1"/>
    <col min="2" max="2" width="15.42578125" customWidth="1"/>
    <col min="3" max="6" width="16.85546875" hidden="1" customWidth="1"/>
    <col min="7" max="7" width="16.85546875" customWidth="1"/>
    <col min="8" max="8" width="10.28515625" customWidth="1"/>
    <col min="9" max="10" width="13.28515625" customWidth="1"/>
    <col min="11" max="11" width="10.28515625" customWidth="1"/>
    <col min="12" max="12" width="12.28515625" customWidth="1"/>
    <col min="13" max="13" width="15.140625" customWidth="1"/>
    <col min="14" max="14" width="16.28515625" customWidth="1"/>
    <col min="15" max="26" width="10.28515625" customWidth="1"/>
  </cols>
  <sheetData>
    <row r="1" spans="1:26" ht="15.75" customHeight="1" x14ac:dyDescent="0.25">
      <c r="A1" s="18"/>
      <c r="B1" s="18"/>
      <c r="C1" s="18"/>
      <c r="D1" s="18"/>
      <c r="E1" s="18"/>
      <c r="F1" s="18"/>
      <c r="G1" s="18"/>
      <c r="L1" s="7"/>
    </row>
    <row r="2" spans="1:26" ht="15.75" customHeight="1" x14ac:dyDescent="0.25">
      <c r="A2" s="9"/>
      <c r="B2" s="104"/>
      <c r="C2" s="105"/>
      <c r="D2" s="105"/>
      <c r="E2" s="105"/>
      <c r="F2" s="10"/>
      <c r="G2" s="180"/>
      <c r="H2" s="15"/>
      <c r="I2" s="15"/>
      <c r="J2" s="15"/>
      <c r="K2" s="15"/>
      <c r="L2" s="15"/>
      <c r="M2" s="15"/>
      <c r="N2" s="15"/>
      <c r="O2" s="15"/>
      <c r="P2" s="15"/>
      <c r="Q2" s="15"/>
      <c r="R2" s="15"/>
      <c r="S2" s="15"/>
      <c r="T2" s="15"/>
      <c r="U2" s="15"/>
      <c r="V2" s="15"/>
      <c r="W2" s="15"/>
      <c r="X2" s="15"/>
      <c r="Y2" s="15"/>
      <c r="Z2" s="15"/>
    </row>
    <row r="3" spans="1:26" ht="15.75" customHeight="1" x14ac:dyDescent="0.25">
      <c r="A3" s="17" t="s">
        <v>489</v>
      </c>
      <c r="B3" s="25"/>
      <c r="C3" s="24"/>
      <c r="D3" s="24"/>
      <c r="E3" s="24"/>
      <c r="F3" s="15"/>
      <c r="G3" s="181"/>
      <c r="H3" s="15"/>
      <c r="I3" s="15"/>
      <c r="J3" s="15"/>
      <c r="K3" s="15"/>
      <c r="L3" s="15"/>
      <c r="M3" s="15"/>
      <c r="N3" s="15"/>
      <c r="O3" s="15"/>
      <c r="P3" s="15"/>
      <c r="Q3" s="15"/>
      <c r="R3" s="15"/>
      <c r="S3" s="15"/>
      <c r="T3" s="15"/>
      <c r="U3" s="15"/>
      <c r="V3" s="15"/>
      <c r="W3" s="15"/>
      <c r="X3" s="15"/>
      <c r="Y3" s="15"/>
      <c r="Z3" s="15"/>
    </row>
    <row r="4" spans="1:26" ht="15.75" customHeight="1" x14ac:dyDescent="0.25">
      <c r="A4" s="17"/>
      <c r="B4" s="25"/>
      <c r="C4" s="24"/>
      <c r="D4" s="24"/>
      <c r="E4" s="24"/>
      <c r="F4" s="15"/>
      <c r="G4" s="181"/>
      <c r="H4" s="15"/>
      <c r="I4" s="15"/>
      <c r="J4" s="15"/>
      <c r="K4" s="15"/>
      <c r="L4" s="15"/>
      <c r="M4" s="15"/>
      <c r="N4" s="15"/>
      <c r="O4" s="15"/>
      <c r="P4" s="15"/>
      <c r="Q4" s="15"/>
      <c r="R4" s="15"/>
      <c r="S4" s="15"/>
      <c r="T4" s="15"/>
      <c r="U4" s="15"/>
      <c r="V4" s="15"/>
      <c r="W4" s="15"/>
      <c r="X4" s="15"/>
      <c r="Y4" s="15"/>
      <c r="Z4" s="15"/>
    </row>
    <row r="5" spans="1:26" ht="15.75" customHeight="1" x14ac:dyDescent="0.25">
      <c r="A5" s="108" t="s">
        <v>2248</v>
      </c>
      <c r="B5" s="25"/>
      <c r="C5" s="26"/>
      <c r="D5" s="26"/>
      <c r="E5" s="26"/>
      <c r="F5" s="14"/>
      <c r="G5" s="181"/>
      <c r="H5" s="15"/>
      <c r="I5" s="15"/>
      <c r="J5" s="15"/>
      <c r="K5" s="15"/>
      <c r="L5" s="15"/>
      <c r="M5" s="15"/>
      <c r="N5" s="15"/>
      <c r="O5" s="15"/>
      <c r="P5" s="15"/>
      <c r="Q5" s="15"/>
      <c r="R5" s="15"/>
      <c r="S5" s="15"/>
      <c r="T5" s="15"/>
      <c r="U5" s="15"/>
      <c r="V5" s="15"/>
      <c r="W5" s="15"/>
      <c r="X5" s="15"/>
      <c r="Y5" s="15"/>
      <c r="Z5" s="15"/>
    </row>
    <row r="6" spans="1:26" ht="15.75" customHeight="1" x14ac:dyDescent="0.25">
      <c r="A6" s="108"/>
      <c r="B6" s="25"/>
      <c r="C6" s="26"/>
      <c r="D6" s="26"/>
      <c r="E6" s="26"/>
      <c r="F6" s="14"/>
      <c r="G6" s="181"/>
      <c r="H6" s="15"/>
      <c r="I6" s="15"/>
      <c r="J6" s="15"/>
      <c r="K6" s="15"/>
      <c r="L6" s="15"/>
      <c r="M6" s="15"/>
      <c r="N6" s="15"/>
      <c r="O6" s="15"/>
      <c r="P6" s="15"/>
      <c r="Q6" s="15"/>
      <c r="R6" s="15"/>
      <c r="S6" s="15"/>
      <c r="T6" s="15"/>
      <c r="U6" s="15"/>
      <c r="V6" s="15"/>
      <c r="W6" s="15"/>
      <c r="X6" s="15"/>
      <c r="Y6" s="15"/>
      <c r="Z6" s="15"/>
    </row>
    <row r="7" spans="1:26" ht="15.75" customHeight="1" x14ac:dyDescent="0.25">
      <c r="A7" s="865" t="s">
        <v>352</v>
      </c>
      <c r="B7" s="866"/>
      <c r="C7" s="866"/>
      <c r="D7" s="866"/>
      <c r="E7" s="866"/>
      <c r="F7" s="866"/>
      <c r="G7" s="867"/>
      <c r="H7" s="15"/>
      <c r="I7" s="15"/>
      <c r="J7" s="15"/>
      <c r="K7" s="15"/>
      <c r="L7" s="15"/>
      <c r="M7" s="15"/>
      <c r="N7" s="15"/>
      <c r="O7" s="15"/>
      <c r="P7" s="15"/>
      <c r="Q7" s="15"/>
      <c r="R7" s="15"/>
      <c r="S7" s="15"/>
      <c r="T7" s="15"/>
      <c r="U7" s="15"/>
      <c r="V7" s="15"/>
      <c r="W7" s="15"/>
      <c r="X7" s="15"/>
      <c r="Y7" s="15"/>
      <c r="Z7" s="15"/>
    </row>
    <row r="8" spans="1:26" ht="15.75" customHeight="1" x14ac:dyDescent="0.25">
      <c r="A8" s="868" t="s">
        <v>1194</v>
      </c>
      <c r="B8" s="857" t="s">
        <v>354</v>
      </c>
      <c r="C8" s="857" t="s">
        <v>355</v>
      </c>
      <c r="D8" s="884" t="s">
        <v>356</v>
      </c>
      <c r="E8" s="885"/>
      <c r="F8" s="886"/>
      <c r="G8" s="857" t="s">
        <v>357</v>
      </c>
      <c r="H8" s="15"/>
      <c r="I8" s="15"/>
      <c r="J8" s="15"/>
      <c r="K8" s="15"/>
      <c r="L8" s="15"/>
      <c r="M8" s="15"/>
      <c r="N8" s="15"/>
      <c r="O8" s="15"/>
      <c r="P8" s="15"/>
      <c r="Q8" s="15"/>
      <c r="R8" s="15"/>
      <c r="S8" s="15"/>
      <c r="T8" s="15"/>
      <c r="U8" s="15"/>
      <c r="V8" s="15"/>
      <c r="W8" s="15"/>
      <c r="X8" s="15"/>
      <c r="Y8" s="15"/>
      <c r="Z8" s="15"/>
    </row>
    <row r="9" spans="1:26" ht="15.75" customHeight="1" x14ac:dyDescent="0.25">
      <c r="A9" s="858"/>
      <c r="B9" s="858"/>
      <c r="C9" s="858"/>
      <c r="D9" s="28" t="s">
        <v>358</v>
      </c>
      <c r="E9" s="29" t="s">
        <v>359</v>
      </c>
      <c r="F9" s="857" t="s">
        <v>360</v>
      </c>
      <c r="G9" s="858"/>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58"/>
      <c r="G10" s="442" t="s">
        <v>2669</v>
      </c>
      <c r="H10" s="15"/>
      <c r="I10" s="15"/>
      <c r="J10" s="15"/>
      <c r="K10" s="15"/>
      <c r="L10" s="15"/>
      <c r="M10" s="15"/>
      <c r="N10" s="15"/>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17" t="s">
        <v>364</v>
      </c>
      <c r="B12" s="172"/>
      <c r="C12" s="42"/>
      <c r="D12" s="42"/>
      <c r="E12" s="42"/>
      <c r="F12" s="42"/>
      <c r="G12" s="42"/>
      <c r="L12" s="7"/>
    </row>
    <row r="13" spans="1:26" ht="15.75" customHeight="1" x14ac:dyDescent="0.25">
      <c r="A13" s="42" t="s">
        <v>1463</v>
      </c>
      <c r="B13" s="172"/>
      <c r="C13" s="42"/>
      <c r="D13" s="42"/>
      <c r="E13" s="42"/>
      <c r="F13" s="42"/>
      <c r="G13" s="42"/>
      <c r="L13" s="7"/>
    </row>
    <row r="14" spans="1:26" ht="15.75" customHeight="1" x14ac:dyDescent="0.25">
      <c r="A14" s="227" t="s">
        <v>424</v>
      </c>
      <c r="B14" s="41"/>
      <c r="C14" s="41"/>
      <c r="D14" s="41"/>
      <c r="E14" s="20"/>
      <c r="F14" s="41"/>
      <c r="G14" s="49"/>
      <c r="L14" s="7"/>
    </row>
    <row r="15" spans="1:26" ht="15.75" x14ac:dyDescent="0.25">
      <c r="A15" s="44" t="s">
        <v>2249</v>
      </c>
      <c r="B15" s="41" t="s">
        <v>335</v>
      </c>
      <c r="C15" s="43">
        <v>687340</v>
      </c>
      <c r="D15" s="43">
        <v>665921</v>
      </c>
      <c r="E15" s="43">
        <f>F15-D15</f>
        <v>134079</v>
      </c>
      <c r="F15" s="43">
        <v>800000</v>
      </c>
      <c r="G15" s="43">
        <v>800000</v>
      </c>
      <c r="L15" s="7"/>
    </row>
    <row r="16" spans="1:26" ht="15.75" customHeight="1" x14ac:dyDescent="0.25">
      <c r="A16" s="42" t="s">
        <v>672</v>
      </c>
      <c r="B16" s="41"/>
      <c r="C16" s="54">
        <f t="shared" ref="C16:F16" si="0">SUM(C15)</f>
        <v>687340</v>
      </c>
      <c r="D16" s="54">
        <f t="shared" si="0"/>
        <v>665921</v>
      </c>
      <c r="E16" s="54">
        <f t="shared" si="0"/>
        <v>134079</v>
      </c>
      <c r="F16" s="54">
        <f t="shared" si="0"/>
        <v>800000</v>
      </c>
      <c r="G16" s="54">
        <f>+F16</f>
        <v>800000</v>
      </c>
      <c r="L16" s="7"/>
    </row>
    <row r="17" spans="1:26" ht="15.75" customHeight="1" x14ac:dyDescent="0.25">
      <c r="A17" s="42"/>
      <c r="B17" s="41"/>
      <c r="C17" s="43"/>
      <c r="D17" s="43"/>
      <c r="E17" s="43"/>
      <c r="F17" s="43"/>
      <c r="G17" s="43"/>
      <c r="L17" s="7"/>
    </row>
    <row r="18" spans="1:26" ht="15.75" customHeight="1" x14ac:dyDescent="0.25">
      <c r="A18" s="17" t="s">
        <v>467</v>
      </c>
      <c r="B18" s="41"/>
      <c r="C18" s="43">
        <f t="shared" ref="C18:G18" si="1">C16</f>
        <v>687340</v>
      </c>
      <c r="D18" s="43">
        <f t="shared" si="1"/>
        <v>665921</v>
      </c>
      <c r="E18" s="43">
        <f t="shared" si="1"/>
        <v>134079</v>
      </c>
      <c r="F18" s="43">
        <f t="shared" si="1"/>
        <v>800000</v>
      </c>
      <c r="G18" s="43">
        <f t="shared" si="1"/>
        <v>800000</v>
      </c>
      <c r="L18" s="7"/>
    </row>
    <row r="19" spans="1:26" ht="15.75" customHeight="1" x14ac:dyDescent="0.25">
      <c r="A19" s="96"/>
      <c r="B19" s="41"/>
      <c r="C19" s="43"/>
      <c r="D19" s="43"/>
      <c r="E19" s="43"/>
      <c r="F19" s="43"/>
      <c r="G19" s="43"/>
      <c r="L19" s="7"/>
    </row>
    <row r="20" spans="1:26" ht="15.75" customHeight="1" x14ac:dyDescent="0.25">
      <c r="A20" s="160" t="s">
        <v>487</v>
      </c>
      <c r="B20" s="51" t="s">
        <v>488</v>
      </c>
      <c r="C20" s="54">
        <f t="shared" ref="C20:G20" si="2">C18</f>
        <v>687340</v>
      </c>
      <c r="D20" s="54">
        <f t="shared" si="2"/>
        <v>665921</v>
      </c>
      <c r="E20" s="54">
        <f t="shared" si="2"/>
        <v>134079</v>
      </c>
      <c r="F20" s="54">
        <f t="shared" si="2"/>
        <v>800000</v>
      </c>
      <c r="G20" s="54">
        <f t="shared" si="2"/>
        <v>800000</v>
      </c>
      <c r="L20" s="7"/>
    </row>
    <row r="21" spans="1:26" ht="15.75" customHeight="1" x14ac:dyDescent="0.25">
      <c r="A21" s="24"/>
      <c r="B21" s="25"/>
      <c r="C21" s="24"/>
      <c r="D21" s="24"/>
      <c r="E21" s="24"/>
      <c r="F21" s="114"/>
      <c r="G21" s="114"/>
      <c r="L21" s="7"/>
    </row>
    <row r="22" spans="1:26" ht="15.75" customHeight="1" x14ac:dyDescent="0.25">
      <c r="A22" s="24"/>
      <c r="B22" s="25"/>
      <c r="C22" s="24"/>
      <c r="D22" s="24"/>
      <c r="E22" s="24"/>
      <c r="F22" s="15"/>
      <c r="G22" s="15"/>
      <c r="H22" s="15"/>
      <c r="I22" s="15"/>
      <c r="J22" s="15"/>
      <c r="K22" s="15"/>
      <c r="L22" s="15"/>
      <c r="M22" s="15"/>
      <c r="N22" s="15"/>
      <c r="O22" s="15"/>
      <c r="P22" s="15"/>
      <c r="Q22" s="15"/>
      <c r="R22" s="15"/>
      <c r="S22" s="15"/>
      <c r="T22" s="15"/>
      <c r="U22" s="15"/>
      <c r="V22" s="15"/>
      <c r="W22" s="15"/>
      <c r="X22" s="15"/>
      <c r="Y22" s="15"/>
      <c r="Z22" s="15"/>
    </row>
    <row r="23" spans="1:26" ht="15.75" customHeight="1" x14ac:dyDescent="0.25">
      <c r="A23" s="9"/>
      <c r="B23" s="104"/>
      <c r="C23" s="105"/>
      <c r="D23" s="105"/>
      <c r="E23" s="105"/>
      <c r="F23" s="10"/>
      <c r="G23" s="180"/>
      <c r="H23" s="15"/>
      <c r="I23" s="15"/>
      <c r="J23" s="15"/>
      <c r="K23" s="15"/>
      <c r="L23" s="15"/>
      <c r="M23" s="15"/>
      <c r="N23" s="15"/>
      <c r="O23" s="15"/>
      <c r="P23" s="15"/>
      <c r="Q23" s="15"/>
      <c r="R23" s="15"/>
      <c r="S23" s="15"/>
      <c r="T23" s="15"/>
      <c r="U23" s="15"/>
      <c r="V23" s="15"/>
      <c r="W23" s="15"/>
      <c r="X23" s="15"/>
      <c r="Y23" s="15"/>
      <c r="Z23" s="15"/>
    </row>
    <row r="24" spans="1:26" ht="15.75" customHeight="1" x14ac:dyDescent="0.25">
      <c r="A24" s="108" t="s">
        <v>2250</v>
      </c>
      <c r="B24" s="25"/>
      <c r="C24" s="26"/>
      <c r="D24" s="26"/>
      <c r="E24" s="26"/>
      <c r="F24" s="14"/>
      <c r="G24" s="181"/>
      <c r="H24" s="15"/>
      <c r="I24" s="15"/>
      <c r="J24" s="15"/>
      <c r="K24" s="15"/>
      <c r="L24" s="15"/>
      <c r="M24" s="15"/>
      <c r="N24" s="15"/>
      <c r="O24" s="15"/>
      <c r="P24" s="15"/>
      <c r="Q24" s="15"/>
      <c r="R24" s="15"/>
      <c r="S24" s="15"/>
      <c r="T24" s="15"/>
      <c r="U24" s="15"/>
      <c r="V24" s="15"/>
      <c r="W24" s="15"/>
      <c r="X24" s="15"/>
      <c r="Y24" s="15"/>
      <c r="Z24" s="15"/>
    </row>
    <row r="25" spans="1:26" ht="15.75" customHeight="1" x14ac:dyDescent="0.25">
      <c r="A25" s="108"/>
      <c r="B25" s="25"/>
      <c r="C25" s="26"/>
      <c r="D25" s="26"/>
      <c r="E25" s="26"/>
      <c r="F25" s="14"/>
      <c r="G25" s="181"/>
      <c r="H25" s="15"/>
      <c r="I25" s="15"/>
      <c r="J25" s="15"/>
      <c r="K25" s="15"/>
      <c r="L25" s="15"/>
      <c r="M25" s="15"/>
      <c r="N25" s="15"/>
      <c r="O25" s="15"/>
      <c r="P25" s="15"/>
      <c r="Q25" s="15"/>
      <c r="R25" s="15"/>
      <c r="S25" s="15"/>
      <c r="T25" s="15"/>
      <c r="U25" s="15"/>
      <c r="V25" s="15"/>
      <c r="W25" s="15"/>
      <c r="X25" s="15"/>
      <c r="Y25" s="15"/>
      <c r="Z25" s="15"/>
    </row>
    <row r="26" spans="1:26" ht="15.75" customHeight="1" x14ac:dyDescent="0.25">
      <c r="A26" s="865" t="s">
        <v>352</v>
      </c>
      <c r="B26" s="866"/>
      <c r="C26" s="866"/>
      <c r="D26" s="866"/>
      <c r="E26" s="866"/>
      <c r="F26" s="866"/>
      <c r="G26" s="867"/>
      <c r="H26" s="15"/>
      <c r="I26" s="15"/>
      <c r="J26" s="15"/>
      <c r="K26" s="15"/>
      <c r="L26" s="15"/>
      <c r="M26" s="15"/>
      <c r="N26" s="15"/>
      <c r="O26" s="15"/>
      <c r="P26" s="15"/>
      <c r="Q26" s="15"/>
      <c r="R26" s="15"/>
      <c r="S26" s="15"/>
      <c r="T26" s="15"/>
      <c r="U26" s="15"/>
      <c r="V26" s="15"/>
      <c r="W26" s="15"/>
      <c r="X26" s="15"/>
      <c r="Y26" s="15"/>
      <c r="Z26" s="15"/>
    </row>
    <row r="27" spans="1:26" ht="15.75" customHeight="1" x14ac:dyDescent="0.25">
      <c r="A27" s="868" t="s">
        <v>1194</v>
      </c>
      <c r="B27" s="857" t="s">
        <v>354</v>
      </c>
      <c r="C27" s="857" t="s">
        <v>355</v>
      </c>
      <c r="D27" s="884" t="s">
        <v>356</v>
      </c>
      <c r="E27" s="885"/>
      <c r="F27" s="886"/>
      <c r="G27" s="857" t="s">
        <v>357</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858"/>
      <c r="B28" s="858"/>
      <c r="C28" s="858"/>
      <c r="D28" s="28" t="s">
        <v>358</v>
      </c>
      <c r="E28" s="29" t="s">
        <v>359</v>
      </c>
      <c r="F28" s="857" t="s">
        <v>360</v>
      </c>
      <c r="G28" s="858"/>
      <c r="H28" s="15"/>
      <c r="I28" s="15"/>
      <c r="J28" s="15"/>
      <c r="K28" s="15"/>
      <c r="L28" s="15"/>
      <c r="M28" s="15"/>
      <c r="N28" s="15"/>
      <c r="O28" s="15"/>
      <c r="P28" s="15"/>
      <c r="Q28" s="15"/>
      <c r="R28" s="15"/>
      <c r="S28" s="15"/>
      <c r="T28" s="15"/>
      <c r="U28" s="15"/>
      <c r="V28" s="15"/>
      <c r="W28" s="15"/>
      <c r="X28" s="15"/>
      <c r="Y28" s="15"/>
      <c r="Z28" s="15"/>
    </row>
    <row r="29" spans="1:26" ht="15.75" customHeight="1" x14ac:dyDescent="0.25">
      <c r="A29" s="858"/>
      <c r="B29" s="858"/>
      <c r="C29" s="30" t="s">
        <v>361</v>
      </c>
      <c r="D29" s="31" t="s">
        <v>361</v>
      </c>
      <c r="E29" s="32" t="s">
        <v>362</v>
      </c>
      <c r="F29" s="858"/>
      <c r="G29" s="442" t="s">
        <v>2669</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869"/>
      <c r="B30" s="869"/>
      <c r="C30" s="33">
        <v>2024</v>
      </c>
      <c r="D30" s="34">
        <v>2025</v>
      </c>
      <c r="E30" s="35">
        <v>2025</v>
      </c>
      <c r="F30" s="34">
        <v>2025</v>
      </c>
      <c r="G30" s="36" t="s">
        <v>2668</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17" t="s">
        <v>364</v>
      </c>
      <c r="B31" s="172"/>
      <c r="C31" s="42"/>
      <c r="D31" s="42"/>
      <c r="E31" s="42"/>
      <c r="F31" s="42"/>
      <c r="G31" s="42"/>
      <c r="L31" s="7"/>
    </row>
    <row r="32" spans="1:26" ht="15.75" customHeight="1" x14ac:dyDescent="0.25">
      <c r="A32" s="42" t="s">
        <v>1463</v>
      </c>
      <c r="B32" s="172"/>
      <c r="C32" s="42"/>
      <c r="D32" s="42"/>
      <c r="E32" s="42"/>
      <c r="F32" s="42"/>
      <c r="G32" s="42"/>
      <c r="L32" s="7"/>
    </row>
    <row r="33" spans="1:26" ht="15.75" customHeight="1" x14ac:dyDescent="0.25">
      <c r="A33" s="227" t="s">
        <v>424</v>
      </c>
      <c r="B33" s="41"/>
      <c r="C33" s="91"/>
      <c r="D33" s="91"/>
      <c r="E33" s="86"/>
      <c r="F33" s="91"/>
      <c r="G33" s="61"/>
      <c r="L33" s="7"/>
    </row>
    <row r="34" spans="1:26" ht="15.75" customHeight="1" x14ac:dyDescent="0.25">
      <c r="A34" s="44" t="s">
        <v>424</v>
      </c>
      <c r="B34" s="41" t="s">
        <v>335</v>
      </c>
      <c r="C34" s="43">
        <v>1128961</v>
      </c>
      <c r="D34" s="43">
        <v>607035.02</v>
      </c>
      <c r="E34" s="43">
        <f>F34-D34</f>
        <v>692964.98</v>
      </c>
      <c r="F34" s="43">
        <v>1300000</v>
      </c>
      <c r="G34" s="43">
        <v>1300000</v>
      </c>
      <c r="L34" s="7"/>
    </row>
    <row r="35" spans="1:26" ht="15.75" customHeight="1" x14ac:dyDescent="0.25">
      <c r="A35" s="42" t="s">
        <v>466</v>
      </c>
      <c r="B35" s="41"/>
      <c r="C35" s="54">
        <f>SUM(C34)</f>
        <v>1128961</v>
      </c>
      <c r="D35" s="54">
        <f t="shared" ref="D35:G35" si="3">D34</f>
        <v>607035.02</v>
      </c>
      <c r="E35" s="54">
        <f t="shared" si="3"/>
        <v>692964.98</v>
      </c>
      <c r="F35" s="54">
        <f t="shared" si="3"/>
        <v>1300000</v>
      </c>
      <c r="G35" s="54">
        <f t="shared" si="3"/>
        <v>1300000</v>
      </c>
      <c r="L35" s="7"/>
    </row>
    <row r="36" spans="1:26" ht="15.75" customHeight="1" x14ac:dyDescent="0.25">
      <c r="A36" s="42"/>
      <c r="B36" s="41"/>
      <c r="C36" s="43"/>
      <c r="D36" s="43"/>
      <c r="E36" s="43"/>
      <c r="F36" s="43"/>
      <c r="G36" s="43"/>
      <c r="L36" s="7"/>
    </row>
    <row r="37" spans="1:26" ht="15.75" customHeight="1" x14ac:dyDescent="0.25">
      <c r="A37" s="17" t="s">
        <v>467</v>
      </c>
      <c r="B37" s="41"/>
      <c r="C37" s="43">
        <f t="shared" ref="C37:G37" si="4">C35</f>
        <v>1128961</v>
      </c>
      <c r="D37" s="43">
        <f t="shared" si="4"/>
        <v>607035.02</v>
      </c>
      <c r="E37" s="43">
        <f t="shared" si="4"/>
        <v>692964.98</v>
      </c>
      <c r="F37" s="43">
        <f t="shared" si="4"/>
        <v>1300000</v>
      </c>
      <c r="G37" s="43">
        <f t="shared" si="4"/>
        <v>1300000</v>
      </c>
      <c r="L37" s="7"/>
    </row>
    <row r="38" spans="1:26" ht="15.75" customHeight="1" x14ac:dyDescent="0.25">
      <c r="A38" s="96"/>
      <c r="B38" s="41"/>
      <c r="C38" s="43"/>
      <c r="D38" s="43"/>
      <c r="E38" s="43"/>
      <c r="F38" s="43"/>
      <c r="G38" s="43"/>
      <c r="L38" s="7"/>
    </row>
    <row r="39" spans="1:26" ht="15.75" customHeight="1" x14ac:dyDescent="0.25">
      <c r="A39" s="160" t="s">
        <v>487</v>
      </c>
      <c r="B39" s="51" t="s">
        <v>488</v>
      </c>
      <c r="C39" s="54">
        <f t="shared" ref="C39:G39" si="5">C37</f>
        <v>1128961</v>
      </c>
      <c r="D39" s="54">
        <f t="shared" si="5"/>
        <v>607035.02</v>
      </c>
      <c r="E39" s="54">
        <f t="shared" si="5"/>
        <v>692964.98</v>
      </c>
      <c r="F39" s="54">
        <f t="shared" si="5"/>
        <v>1300000</v>
      </c>
      <c r="G39" s="54">
        <f t="shared" si="5"/>
        <v>1300000</v>
      </c>
      <c r="L39" s="7"/>
    </row>
    <row r="40" spans="1:26" ht="15.75" customHeight="1" x14ac:dyDescent="0.25">
      <c r="A40" s="24"/>
      <c r="B40" s="25"/>
      <c r="C40" s="24"/>
      <c r="D40" s="24"/>
      <c r="E40" s="24"/>
      <c r="F40" s="114"/>
      <c r="G40" s="114"/>
      <c r="L40" s="7"/>
    </row>
    <row r="41" spans="1:26" ht="15.75" customHeight="1" x14ac:dyDescent="0.25">
      <c r="A41" s="18"/>
      <c r="B41" s="18"/>
      <c r="C41" s="18"/>
      <c r="D41" s="18"/>
      <c r="E41" s="18"/>
      <c r="F41" s="18"/>
      <c r="G41" s="18"/>
      <c r="L41" s="7"/>
    </row>
    <row r="42" spans="1:26" ht="15.75" customHeight="1" x14ac:dyDescent="0.25">
      <c r="A42" s="9"/>
      <c r="B42" s="104"/>
      <c r="C42" s="105"/>
      <c r="D42" s="105"/>
      <c r="E42" s="105"/>
      <c r="F42" s="10"/>
      <c r="G42" s="180"/>
      <c r="H42" s="15"/>
      <c r="I42" s="15"/>
      <c r="J42" s="15"/>
      <c r="K42" s="15"/>
      <c r="L42" s="15"/>
      <c r="M42" s="15"/>
      <c r="N42" s="15"/>
      <c r="O42" s="15"/>
      <c r="P42" s="15"/>
      <c r="Q42" s="15"/>
      <c r="R42" s="15"/>
      <c r="S42" s="15"/>
      <c r="T42" s="15"/>
      <c r="U42" s="15"/>
      <c r="V42" s="15"/>
      <c r="W42" s="15"/>
      <c r="X42" s="15"/>
      <c r="Y42" s="15"/>
      <c r="Z42" s="15"/>
    </row>
    <row r="43" spans="1:26" ht="15.75" customHeight="1" x14ac:dyDescent="0.25">
      <c r="A43" s="17" t="s">
        <v>489</v>
      </c>
      <c r="B43" s="25"/>
      <c r="C43" s="24"/>
      <c r="D43" s="24"/>
      <c r="E43" s="24"/>
      <c r="F43" s="15"/>
      <c r="G43" s="181"/>
      <c r="H43" s="15"/>
      <c r="I43" s="15"/>
      <c r="J43" s="15"/>
      <c r="K43" s="15"/>
      <c r="L43" s="15"/>
      <c r="M43" s="15"/>
      <c r="N43" s="15"/>
      <c r="O43" s="15"/>
      <c r="P43" s="15"/>
      <c r="Q43" s="15"/>
      <c r="R43" s="15"/>
      <c r="S43" s="15"/>
      <c r="T43" s="15"/>
      <c r="U43" s="15"/>
      <c r="V43" s="15"/>
      <c r="W43" s="15"/>
      <c r="X43" s="15"/>
      <c r="Y43" s="15"/>
      <c r="Z43" s="15"/>
    </row>
    <row r="44" spans="1:26" ht="15.75" customHeight="1" x14ac:dyDescent="0.25">
      <c r="A44" s="17"/>
      <c r="B44" s="25"/>
      <c r="C44" s="24"/>
      <c r="D44" s="24"/>
      <c r="E44" s="24"/>
      <c r="F44" s="15"/>
      <c r="G44" s="181"/>
      <c r="H44" s="15"/>
      <c r="I44" s="15"/>
      <c r="J44" s="15"/>
      <c r="K44" s="15"/>
      <c r="L44" s="15"/>
      <c r="M44" s="15"/>
      <c r="N44" s="15"/>
      <c r="O44" s="15"/>
      <c r="P44" s="15"/>
      <c r="Q44" s="15"/>
      <c r="R44" s="15"/>
      <c r="S44" s="15"/>
      <c r="T44" s="15"/>
      <c r="U44" s="15"/>
      <c r="V44" s="15"/>
      <c r="W44" s="15"/>
      <c r="X44" s="15"/>
      <c r="Y44" s="15"/>
      <c r="Z44" s="15"/>
    </row>
    <row r="45" spans="1:26" ht="15.75" customHeight="1" x14ac:dyDescent="0.25">
      <c r="A45" s="108" t="s">
        <v>2251</v>
      </c>
      <c r="B45" s="25"/>
      <c r="C45" s="26"/>
      <c r="D45" s="26"/>
      <c r="E45" s="26"/>
      <c r="F45" s="14"/>
      <c r="G45" s="181"/>
      <c r="H45" s="15"/>
      <c r="I45" s="15"/>
      <c r="J45" s="15"/>
      <c r="K45" s="15"/>
      <c r="L45" s="15"/>
      <c r="M45" s="15"/>
      <c r="N45" s="15"/>
      <c r="O45" s="15"/>
      <c r="P45" s="15"/>
      <c r="Q45" s="15"/>
      <c r="R45" s="15"/>
      <c r="S45" s="15"/>
      <c r="T45" s="15"/>
      <c r="U45" s="15"/>
      <c r="V45" s="15"/>
      <c r="W45" s="15"/>
      <c r="X45" s="15"/>
      <c r="Y45" s="15"/>
      <c r="Z45" s="15"/>
    </row>
    <row r="46" spans="1:26" ht="15.75" customHeight="1" x14ac:dyDescent="0.25">
      <c r="A46" s="108"/>
      <c r="B46" s="25"/>
      <c r="C46" s="26"/>
      <c r="D46" s="26"/>
      <c r="E46" s="26"/>
      <c r="F46" s="14"/>
      <c r="G46" s="181"/>
      <c r="H46" s="15"/>
      <c r="I46" s="15"/>
      <c r="J46" s="15"/>
      <c r="K46" s="15"/>
      <c r="L46" s="15"/>
      <c r="M46" s="15"/>
      <c r="N46" s="15"/>
      <c r="O46" s="15"/>
      <c r="P46" s="15"/>
      <c r="Q46" s="15"/>
      <c r="R46" s="15"/>
      <c r="S46" s="15"/>
      <c r="T46" s="15"/>
      <c r="U46" s="15"/>
      <c r="V46" s="15"/>
      <c r="W46" s="15"/>
      <c r="X46" s="15"/>
      <c r="Y46" s="15"/>
      <c r="Z46" s="15"/>
    </row>
    <row r="47" spans="1:26" ht="15.75" customHeight="1" x14ac:dyDescent="0.25">
      <c r="A47" s="865" t="s">
        <v>352</v>
      </c>
      <c r="B47" s="866"/>
      <c r="C47" s="866"/>
      <c r="D47" s="866"/>
      <c r="E47" s="866"/>
      <c r="F47" s="866"/>
      <c r="G47" s="867"/>
      <c r="H47" s="15"/>
      <c r="I47" s="15"/>
      <c r="J47" s="15"/>
      <c r="K47" s="15"/>
      <c r="L47" s="15"/>
      <c r="M47" s="15"/>
      <c r="N47" s="15"/>
      <c r="O47" s="15"/>
      <c r="P47" s="15"/>
      <c r="Q47" s="15"/>
      <c r="R47" s="15"/>
      <c r="S47" s="15"/>
      <c r="T47" s="15"/>
      <c r="U47" s="15"/>
      <c r="V47" s="15"/>
      <c r="W47" s="15"/>
      <c r="X47" s="15"/>
      <c r="Y47" s="15"/>
      <c r="Z47" s="15"/>
    </row>
    <row r="48" spans="1:26" ht="15.75" customHeight="1" x14ac:dyDescent="0.25">
      <c r="A48" s="868" t="s">
        <v>1194</v>
      </c>
      <c r="B48" s="857" t="s">
        <v>354</v>
      </c>
      <c r="C48" s="857" t="s">
        <v>355</v>
      </c>
      <c r="D48" s="884" t="s">
        <v>356</v>
      </c>
      <c r="E48" s="885"/>
      <c r="F48" s="886"/>
      <c r="G48" s="857" t="s">
        <v>357</v>
      </c>
      <c r="H48" s="15"/>
      <c r="I48" s="15"/>
      <c r="J48" s="15"/>
      <c r="K48" s="15"/>
      <c r="L48" s="15"/>
      <c r="M48" s="15"/>
      <c r="N48" s="15"/>
      <c r="O48" s="15"/>
      <c r="P48" s="15"/>
      <c r="Q48" s="15"/>
      <c r="R48" s="15"/>
      <c r="S48" s="15"/>
      <c r="T48" s="15"/>
      <c r="U48" s="15"/>
      <c r="V48" s="15"/>
      <c r="W48" s="15"/>
      <c r="X48" s="15"/>
      <c r="Y48" s="15"/>
      <c r="Z48" s="15"/>
    </row>
    <row r="49" spans="1:26" ht="15.75" customHeight="1" x14ac:dyDescent="0.25">
      <c r="A49" s="858"/>
      <c r="B49" s="858"/>
      <c r="C49" s="858"/>
      <c r="D49" s="28" t="s">
        <v>358</v>
      </c>
      <c r="E49" s="29" t="s">
        <v>359</v>
      </c>
      <c r="F49" s="857" t="s">
        <v>360</v>
      </c>
      <c r="G49" s="858"/>
      <c r="H49" s="15"/>
      <c r="I49" s="15"/>
      <c r="J49" s="15"/>
      <c r="K49" s="15"/>
      <c r="L49" s="15"/>
      <c r="M49" s="15"/>
      <c r="N49" s="15"/>
      <c r="O49" s="15"/>
      <c r="P49" s="15"/>
      <c r="Q49" s="15"/>
      <c r="R49" s="15"/>
      <c r="S49" s="15"/>
      <c r="T49" s="15"/>
      <c r="U49" s="15"/>
      <c r="V49" s="15"/>
      <c r="W49" s="15"/>
      <c r="X49" s="15"/>
      <c r="Y49" s="15"/>
      <c r="Z49" s="15"/>
    </row>
    <row r="50" spans="1:26" ht="15.75" customHeight="1" x14ac:dyDescent="0.25">
      <c r="A50" s="858"/>
      <c r="B50" s="858"/>
      <c r="C50" s="30" t="s">
        <v>361</v>
      </c>
      <c r="D50" s="31" t="s">
        <v>361</v>
      </c>
      <c r="E50" s="32" t="s">
        <v>362</v>
      </c>
      <c r="F50" s="858"/>
      <c r="G50" s="442" t="s">
        <v>2669</v>
      </c>
      <c r="H50" s="15"/>
      <c r="I50" s="15"/>
      <c r="J50" s="15"/>
      <c r="K50" s="15"/>
      <c r="L50" s="15"/>
      <c r="M50" s="15"/>
      <c r="N50" s="15"/>
      <c r="O50" s="15"/>
      <c r="P50" s="15"/>
      <c r="Q50" s="15"/>
      <c r="R50" s="15"/>
      <c r="S50" s="15"/>
      <c r="T50" s="15"/>
      <c r="U50" s="15"/>
      <c r="V50" s="15"/>
      <c r="W50" s="15"/>
      <c r="X50" s="15"/>
      <c r="Y50" s="15"/>
      <c r="Z50" s="15"/>
    </row>
    <row r="51" spans="1:26" ht="15.75" customHeight="1" x14ac:dyDescent="0.25">
      <c r="A51" s="869"/>
      <c r="B51" s="869"/>
      <c r="C51" s="33">
        <v>2024</v>
      </c>
      <c r="D51" s="34">
        <v>2025</v>
      </c>
      <c r="E51" s="35">
        <v>2025</v>
      </c>
      <c r="F51" s="34">
        <v>2025</v>
      </c>
      <c r="G51" s="36" t="s">
        <v>2668</v>
      </c>
      <c r="H51" s="15"/>
      <c r="I51" s="15"/>
      <c r="J51" s="15"/>
      <c r="K51" s="15"/>
      <c r="L51" s="15"/>
      <c r="M51" s="15"/>
      <c r="N51" s="15"/>
      <c r="O51" s="15"/>
      <c r="P51" s="15"/>
      <c r="Q51" s="15"/>
      <c r="R51" s="15"/>
      <c r="S51" s="15"/>
      <c r="T51" s="15"/>
      <c r="U51" s="15"/>
      <c r="V51" s="15"/>
      <c r="W51" s="15"/>
      <c r="X51" s="15"/>
      <c r="Y51" s="15"/>
      <c r="Z51" s="15"/>
    </row>
    <row r="52" spans="1:26" ht="15.75" customHeight="1" x14ac:dyDescent="0.25">
      <c r="A52" s="17" t="s">
        <v>364</v>
      </c>
      <c r="B52" s="41"/>
      <c r="C52" s="42"/>
      <c r="D52" s="42"/>
      <c r="E52" s="42"/>
      <c r="F52" s="42"/>
      <c r="G52" s="42"/>
      <c r="L52" s="7"/>
    </row>
    <row r="53" spans="1:26" ht="15.75" customHeight="1" x14ac:dyDescent="0.25">
      <c r="A53" s="42" t="s">
        <v>491</v>
      </c>
      <c r="B53" s="49"/>
      <c r="C53" s="43"/>
      <c r="D53" s="43"/>
      <c r="E53" s="43"/>
      <c r="F53" s="43"/>
      <c r="G53" s="43"/>
      <c r="L53" s="7"/>
    </row>
    <row r="54" spans="1:26" ht="15.75" customHeight="1" x14ac:dyDescent="0.25">
      <c r="A54" s="17" t="s">
        <v>499</v>
      </c>
      <c r="B54" s="41"/>
      <c r="C54" s="43"/>
      <c r="D54" s="43"/>
      <c r="E54" s="43"/>
      <c r="F54" s="43"/>
      <c r="G54" s="43"/>
      <c r="L54" s="7"/>
    </row>
    <row r="55" spans="1:26" ht="15.75" customHeight="1" x14ac:dyDescent="0.25">
      <c r="A55" s="44" t="s">
        <v>398</v>
      </c>
      <c r="B55" s="41" t="s">
        <v>195</v>
      </c>
      <c r="C55" s="43">
        <v>0</v>
      </c>
      <c r="D55" s="43">
        <v>0</v>
      </c>
      <c r="E55" s="43">
        <f t="shared" ref="E55:E56" si="6">F55-D55</f>
        <v>12177</v>
      </c>
      <c r="F55" s="43">
        <v>12177</v>
      </c>
      <c r="G55" s="43">
        <v>10000</v>
      </c>
      <c r="L55" s="7"/>
    </row>
    <row r="56" spans="1:26" ht="15.75" customHeight="1" x14ac:dyDescent="0.25">
      <c r="A56" s="44" t="s">
        <v>399</v>
      </c>
      <c r="B56" s="41" t="s">
        <v>211</v>
      </c>
      <c r="C56" s="43">
        <v>40979306.399999999</v>
      </c>
      <c r="D56" s="43">
        <v>20351686.600000001</v>
      </c>
      <c r="E56" s="43">
        <f t="shared" si="6"/>
        <v>20648313.399999999</v>
      </c>
      <c r="F56" s="43">
        <v>41000000</v>
      </c>
      <c r="G56" s="43">
        <v>50000000</v>
      </c>
      <c r="L56" s="7"/>
    </row>
    <row r="57" spans="1:26" ht="15.75" customHeight="1" x14ac:dyDescent="0.25">
      <c r="A57" s="370" t="s">
        <v>400</v>
      </c>
      <c r="B57" s="41" t="s">
        <v>221</v>
      </c>
      <c r="C57" s="43">
        <v>0</v>
      </c>
      <c r="D57" s="43">
        <v>0</v>
      </c>
      <c r="E57" s="43">
        <v>0</v>
      </c>
      <c r="F57" s="43">
        <v>0</v>
      </c>
      <c r="G57" s="43">
        <v>667000</v>
      </c>
      <c r="L57" s="7"/>
    </row>
    <row r="58" spans="1:26" ht="15.75" customHeight="1" x14ac:dyDescent="0.25">
      <c r="A58" s="370" t="s">
        <v>538</v>
      </c>
      <c r="B58" s="41" t="s">
        <v>223</v>
      </c>
      <c r="C58" s="43">
        <v>0</v>
      </c>
      <c r="D58" s="43">
        <v>0</v>
      </c>
      <c r="E58" s="43">
        <v>0</v>
      </c>
      <c r="F58" s="43">
        <v>0</v>
      </c>
      <c r="G58" s="43">
        <v>9940000</v>
      </c>
      <c r="L58" s="7"/>
    </row>
    <row r="59" spans="1:26" ht="15.75" customHeight="1" x14ac:dyDescent="0.25">
      <c r="A59" s="44" t="s">
        <v>402</v>
      </c>
      <c r="B59" s="41" t="s">
        <v>225</v>
      </c>
      <c r="C59" s="43">
        <v>498940</v>
      </c>
      <c r="D59" s="43">
        <v>496807</v>
      </c>
      <c r="E59" s="43">
        <f>F59-D59</f>
        <v>503193</v>
      </c>
      <c r="F59" s="43">
        <v>1000000</v>
      </c>
      <c r="G59" s="43">
        <v>1000000</v>
      </c>
      <c r="L59" s="7"/>
    </row>
    <row r="60" spans="1:26" ht="15.75" customHeight="1" x14ac:dyDescent="0.25">
      <c r="A60" s="17" t="s">
        <v>506</v>
      </c>
      <c r="B60" s="41"/>
      <c r="C60" s="43"/>
      <c r="D60" s="43"/>
      <c r="E60" s="43"/>
      <c r="F60" s="43"/>
      <c r="G60" s="43"/>
      <c r="L60" s="7"/>
    </row>
    <row r="61" spans="1:26" ht="15.75" customHeight="1" x14ac:dyDescent="0.25">
      <c r="A61" s="44" t="s">
        <v>817</v>
      </c>
      <c r="B61" s="41" t="s">
        <v>287</v>
      </c>
      <c r="C61" s="43">
        <v>3987170</v>
      </c>
      <c r="D61" s="43">
        <v>986000</v>
      </c>
      <c r="E61" s="43">
        <f>F61-D61</f>
        <v>3014000</v>
      </c>
      <c r="F61" s="43">
        <v>4000000</v>
      </c>
      <c r="G61" s="43">
        <v>4000000</v>
      </c>
      <c r="L61" s="7"/>
    </row>
    <row r="62" spans="1:26" ht="15.75" customHeight="1" x14ac:dyDescent="0.25">
      <c r="A62" s="17" t="s">
        <v>511</v>
      </c>
      <c r="B62" s="41"/>
      <c r="C62" s="42"/>
      <c r="D62" s="42"/>
      <c r="E62" s="42"/>
      <c r="F62" s="43"/>
      <c r="G62" s="43"/>
      <c r="L62" s="7"/>
    </row>
    <row r="63" spans="1:26" ht="15.75" customHeight="1" x14ac:dyDescent="0.25">
      <c r="A63" s="44" t="s">
        <v>424</v>
      </c>
      <c r="B63" s="41" t="s">
        <v>335</v>
      </c>
      <c r="C63" s="43">
        <v>27112080</v>
      </c>
      <c r="D63" s="43">
        <v>11343407</v>
      </c>
      <c r="E63" s="43">
        <f>F63-D63</f>
        <v>16354633</v>
      </c>
      <c r="F63" s="43">
        <v>27698040</v>
      </c>
      <c r="G63" s="43">
        <v>46813728</v>
      </c>
      <c r="L63" s="7"/>
    </row>
    <row r="64" spans="1:26" ht="15.75" customHeight="1" x14ac:dyDescent="0.25">
      <c r="A64" s="44" t="s">
        <v>864</v>
      </c>
      <c r="B64" s="41"/>
      <c r="C64" s="43"/>
      <c r="D64" s="43"/>
      <c r="E64" s="43"/>
      <c r="F64" s="43"/>
      <c r="G64" s="43"/>
      <c r="I64" s="210" t="s">
        <v>877</v>
      </c>
      <c r="J64" s="211" t="s">
        <v>878</v>
      </c>
      <c r="K64" s="210" t="s">
        <v>879</v>
      </c>
      <c r="L64" s="8" t="s">
        <v>880</v>
      </c>
      <c r="M64" s="210" t="s">
        <v>881</v>
      </c>
    </row>
    <row r="65" spans="1:14" ht="39.75" customHeight="1" x14ac:dyDescent="0.25">
      <c r="A65" s="118" t="s">
        <v>2252</v>
      </c>
      <c r="B65" s="41"/>
      <c r="C65" s="43"/>
      <c r="D65" s="43"/>
      <c r="E65" s="43"/>
      <c r="F65" s="43"/>
      <c r="G65" s="43"/>
      <c r="I65" s="60">
        <v>914</v>
      </c>
      <c r="J65" s="211">
        <v>1</v>
      </c>
      <c r="K65" s="8">
        <v>26</v>
      </c>
      <c r="L65" s="8">
        <v>12</v>
      </c>
      <c r="M65" s="60">
        <f t="shared" ref="M65:M74" si="7">I65*J65*K65*L65</f>
        <v>285168</v>
      </c>
    </row>
    <row r="66" spans="1:14" ht="15.75" customHeight="1" x14ac:dyDescent="0.25">
      <c r="A66" s="44" t="s">
        <v>2253</v>
      </c>
      <c r="B66" s="41"/>
      <c r="C66" s="43"/>
      <c r="D66" s="43"/>
      <c r="E66" s="43"/>
      <c r="F66" s="43"/>
      <c r="G66" s="43"/>
      <c r="I66" s="60">
        <v>678</v>
      </c>
      <c r="J66" s="211">
        <v>8</v>
      </c>
      <c r="K66" s="8">
        <v>26</v>
      </c>
      <c r="L66" s="8">
        <v>12</v>
      </c>
      <c r="M66" s="60">
        <f t="shared" si="7"/>
        <v>1692288</v>
      </c>
    </row>
    <row r="67" spans="1:14" ht="31.5" x14ac:dyDescent="0.25">
      <c r="A67" s="118" t="s">
        <v>2254</v>
      </c>
      <c r="B67" s="41"/>
      <c r="C67" s="43"/>
      <c r="D67" s="43"/>
      <c r="E67" s="43"/>
      <c r="F67" s="43"/>
      <c r="G67" s="43"/>
      <c r="I67" s="60">
        <v>720</v>
      </c>
      <c r="J67" s="211">
        <v>1</v>
      </c>
      <c r="K67" s="8">
        <v>26</v>
      </c>
      <c r="L67" s="8">
        <v>12</v>
      </c>
      <c r="M67" s="60">
        <f t="shared" si="7"/>
        <v>224640</v>
      </c>
    </row>
    <row r="68" spans="1:14" ht="15.75" x14ac:dyDescent="0.25">
      <c r="A68" s="44" t="s">
        <v>2255</v>
      </c>
      <c r="B68" s="41"/>
      <c r="C68" s="43"/>
      <c r="D68" s="43"/>
      <c r="E68" s="43"/>
      <c r="F68" s="43"/>
      <c r="G68" s="43"/>
      <c r="I68" s="60">
        <v>765</v>
      </c>
      <c r="J68" s="211">
        <v>2</v>
      </c>
      <c r="K68" s="8">
        <v>26</v>
      </c>
      <c r="L68" s="8">
        <v>12</v>
      </c>
      <c r="M68" s="60">
        <f t="shared" si="7"/>
        <v>477360</v>
      </c>
    </row>
    <row r="69" spans="1:14" ht="31.5" x14ac:dyDescent="0.25">
      <c r="A69" s="118" t="s">
        <v>2256</v>
      </c>
      <c r="B69" s="41"/>
      <c r="C69" s="43"/>
      <c r="D69" s="43"/>
      <c r="E69" s="43"/>
      <c r="F69" s="43"/>
      <c r="G69" s="43"/>
      <c r="I69" s="60">
        <v>639</v>
      </c>
      <c r="J69" s="211">
        <v>1</v>
      </c>
      <c r="K69" s="8">
        <v>26</v>
      </c>
      <c r="L69" s="8">
        <v>12</v>
      </c>
      <c r="M69" s="60">
        <f t="shared" si="7"/>
        <v>199368</v>
      </c>
    </row>
    <row r="70" spans="1:14" ht="15.75" x14ac:dyDescent="0.25">
      <c r="A70" s="44" t="s">
        <v>2257</v>
      </c>
      <c r="B70" s="41"/>
      <c r="C70" s="43"/>
      <c r="D70" s="43"/>
      <c r="E70" s="43"/>
      <c r="F70" s="43"/>
      <c r="G70" s="43"/>
      <c r="I70" s="60">
        <v>765</v>
      </c>
      <c r="J70" s="211">
        <v>3</v>
      </c>
      <c r="K70" s="8">
        <v>26</v>
      </c>
      <c r="L70" s="8">
        <v>12</v>
      </c>
      <c r="M70" s="60">
        <f t="shared" si="7"/>
        <v>716040</v>
      </c>
    </row>
    <row r="71" spans="1:14" ht="15.75" x14ac:dyDescent="0.25">
      <c r="A71" s="44" t="s">
        <v>2258</v>
      </c>
      <c r="B71" s="41"/>
      <c r="C71" s="43"/>
      <c r="D71" s="43"/>
      <c r="E71" s="43"/>
      <c r="F71" s="43"/>
      <c r="G71" s="43"/>
      <c r="I71" s="60">
        <v>765</v>
      </c>
      <c r="J71" s="211">
        <v>1</v>
      </c>
      <c r="K71" s="8">
        <v>26</v>
      </c>
      <c r="L71" s="8">
        <v>12</v>
      </c>
      <c r="M71" s="60">
        <f t="shared" si="7"/>
        <v>238680</v>
      </c>
    </row>
    <row r="72" spans="1:14" ht="31.5" x14ac:dyDescent="0.25">
      <c r="A72" s="118" t="s">
        <v>2259</v>
      </c>
      <c r="B72" s="41"/>
      <c r="C72" s="43"/>
      <c r="D72" s="43"/>
      <c r="E72" s="43"/>
      <c r="F72" s="43"/>
      <c r="G72" s="43"/>
      <c r="I72" s="60">
        <v>678</v>
      </c>
      <c r="J72" s="211">
        <v>49</v>
      </c>
      <c r="K72" s="8">
        <v>26</v>
      </c>
      <c r="L72" s="8">
        <v>12</v>
      </c>
      <c r="M72" s="60">
        <f t="shared" si="7"/>
        <v>10365264</v>
      </c>
    </row>
    <row r="73" spans="1:14" ht="31.5" x14ac:dyDescent="0.25">
      <c r="A73" s="479" t="s">
        <v>2260</v>
      </c>
      <c r="B73" s="454"/>
      <c r="C73" s="443"/>
      <c r="D73" s="443"/>
      <c r="E73" s="443"/>
      <c r="F73" s="443"/>
      <c r="G73" s="462"/>
      <c r="I73" s="60">
        <v>765</v>
      </c>
      <c r="J73" s="211">
        <v>3</v>
      </c>
      <c r="K73" s="8">
        <v>26</v>
      </c>
      <c r="L73" s="8">
        <v>12</v>
      </c>
      <c r="M73" s="60">
        <f t="shared" si="7"/>
        <v>716040</v>
      </c>
    </row>
    <row r="74" spans="1:14" ht="35.25" customHeight="1" x14ac:dyDescent="0.25">
      <c r="A74" s="118" t="s">
        <v>2261</v>
      </c>
      <c r="B74" s="41"/>
      <c r="C74" s="43"/>
      <c r="D74" s="43"/>
      <c r="E74" s="43"/>
      <c r="F74" s="43"/>
      <c r="G74" s="43"/>
      <c r="I74" s="60">
        <v>639</v>
      </c>
      <c r="J74" s="211">
        <v>160</v>
      </c>
      <c r="K74" s="8">
        <v>26</v>
      </c>
      <c r="L74" s="8">
        <v>12</v>
      </c>
      <c r="M74" s="60">
        <f t="shared" si="7"/>
        <v>31898880</v>
      </c>
      <c r="N74" s="40">
        <f>SUM(M65:M74)</f>
        <v>46813728</v>
      </c>
    </row>
    <row r="75" spans="1:14" ht="15.75" customHeight="1" x14ac:dyDescent="0.25">
      <c r="A75" s="42" t="s">
        <v>466</v>
      </c>
      <c r="B75" s="41"/>
      <c r="C75" s="54">
        <f t="shared" ref="C75:G75" si="8">SUM(C55:C63)</f>
        <v>72577496.400000006</v>
      </c>
      <c r="D75" s="54">
        <f t="shared" si="8"/>
        <v>33177900.600000001</v>
      </c>
      <c r="E75" s="54">
        <f t="shared" si="8"/>
        <v>40532316.399999999</v>
      </c>
      <c r="F75" s="54">
        <f t="shared" si="8"/>
        <v>73710217</v>
      </c>
      <c r="G75" s="54">
        <f t="shared" si="8"/>
        <v>112430728</v>
      </c>
      <c r="L75" s="7"/>
    </row>
    <row r="76" spans="1:14" ht="15.75" customHeight="1" x14ac:dyDescent="0.25">
      <c r="A76" s="17"/>
      <c r="B76" s="41"/>
      <c r="C76" s="55"/>
      <c r="D76" s="55"/>
      <c r="E76" s="55"/>
      <c r="F76" s="55"/>
      <c r="G76" s="55"/>
      <c r="L76" s="7"/>
    </row>
    <row r="77" spans="1:14" ht="15.75" customHeight="1" x14ac:dyDescent="0.25">
      <c r="A77" s="17" t="s">
        <v>467</v>
      </c>
      <c r="B77" s="41"/>
      <c r="C77" s="43">
        <f t="shared" ref="C77:G77" si="9">C75</f>
        <v>72577496.400000006</v>
      </c>
      <c r="D77" s="43">
        <f t="shared" si="9"/>
        <v>33177900.600000001</v>
      </c>
      <c r="E77" s="43">
        <f t="shared" si="9"/>
        <v>40532316.399999999</v>
      </c>
      <c r="F77" s="43">
        <f t="shared" si="9"/>
        <v>73710217</v>
      </c>
      <c r="G77" s="43">
        <f t="shared" si="9"/>
        <v>112430728</v>
      </c>
      <c r="L77" s="7"/>
    </row>
    <row r="78" spans="1:14" ht="15.75" customHeight="1" x14ac:dyDescent="0.25">
      <c r="A78" s="42"/>
      <c r="B78" s="42"/>
      <c r="C78" s="42"/>
      <c r="D78" s="26"/>
      <c r="E78" s="43"/>
      <c r="F78" s="42"/>
      <c r="G78" s="42"/>
      <c r="L78" s="7"/>
    </row>
    <row r="79" spans="1:14" ht="15.75" customHeight="1" x14ac:dyDescent="0.25">
      <c r="A79" s="50" t="s">
        <v>487</v>
      </c>
      <c r="B79" s="51" t="s">
        <v>488</v>
      </c>
      <c r="C79" s="54" t="e">
        <f>#REF!+C77</f>
        <v>#REF!</v>
      </c>
      <c r="D79" s="54" t="e">
        <f>#REF!+D77</f>
        <v>#REF!</v>
      </c>
      <c r="E79" s="54" t="e">
        <f>#REF!+E77</f>
        <v>#REF!</v>
      </c>
      <c r="F79" s="54" t="e">
        <f>#REF!+F77</f>
        <v>#REF!</v>
      </c>
      <c r="G79" s="54">
        <f>+G77</f>
        <v>112430728</v>
      </c>
      <c r="L79" s="7"/>
    </row>
    <row r="80" spans="1:14" ht="15.75" customHeight="1" x14ac:dyDescent="0.25">
      <c r="A80" s="24"/>
      <c r="B80" s="25"/>
      <c r="C80" s="26"/>
      <c r="D80" s="26"/>
      <c r="E80" s="26"/>
      <c r="F80" s="26"/>
      <c r="G80" s="26"/>
      <c r="L80" s="7"/>
    </row>
    <row r="81" spans="1:12" ht="15.75" customHeight="1" x14ac:dyDescent="0.25">
      <c r="A81" s="17"/>
      <c r="B81" s="25"/>
      <c r="C81" s="24"/>
      <c r="D81" s="24"/>
      <c r="E81" s="24"/>
      <c r="F81" s="114"/>
      <c r="G81" s="114"/>
      <c r="L81" s="7"/>
    </row>
    <row r="82" spans="1:12" ht="15.75" customHeight="1" x14ac:dyDescent="0.25">
      <c r="A82" s="17"/>
      <c r="B82" s="25"/>
      <c r="C82" s="24"/>
      <c r="D82" s="24"/>
      <c r="E82" s="24"/>
      <c r="F82" s="114"/>
      <c r="G82" s="114"/>
      <c r="L82" s="7"/>
    </row>
    <row r="83" spans="1:12" ht="15.75" customHeight="1" x14ac:dyDescent="0.25">
      <c r="A83" s="17"/>
      <c r="B83" s="25"/>
      <c r="C83" s="24"/>
      <c r="D83" s="24"/>
      <c r="E83" s="24"/>
      <c r="F83" s="114"/>
      <c r="G83" s="114"/>
      <c r="L83" s="7"/>
    </row>
    <row r="84" spans="1:12" ht="15.75" customHeight="1" x14ac:dyDescent="0.25">
      <c r="A84" s="17"/>
      <c r="B84" s="25"/>
      <c r="C84" s="24"/>
      <c r="D84" s="24"/>
      <c r="E84" s="24"/>
      <c r="F84" s="114"/>
      <c r="G84" s="114"/>
      <c r="L84" s="7"/>
    </row>
    <row r="85" spans="1:12" ht="15.75" customHeight="1" x14ac:dyDescent="0.25">
      <c r="A85" s="17"/>
      <c r="B85" s="25"/>
      <c r="C85" s="24"/>
      <c r="D85" s="24"/>
      <c r="E85" s="24"/>
      <c r="F85" s="114"/>
      <c r="G85" s="114"/>
      <c r="L85" s="7"/>
    </row>
    <row r="86" spans="1:12" ht="15.75" customHeight="1" x14ac:dyDescent="0.25">
      <c r="A86" s="17"/>
      <c r="B86" s="25"/>
      <c r="C86" s="24"/>
      <c r="D86" s="24"/>
      <c r="E86" s="24"/>
      <c r="F86" s="114"/>
      <c r="G86" s="114"/>
      <c r="L86" s="7"/>
    </row>
    <row r="87" spans="1:12" ht="15.75" customHeight="1" x14ac:dyDescent="0.25">
      <c r="A87" s="17"/>
      <c r="B87" s="25"/>
      <c r="C87" s="24"/>
      <c r="D87" s="24"/>
      <c r="E87" s="24"/>
      <c r="F87" s="114"/>
      <c r="G87" s="114"/>
      <c r="L87" s="7"/>
    </row>
    <row r="88" spans="1:12" ht="15.75" customHeight="1" x14ac:dyDescent="0.25">
      <c r="A88" s="17"/>
      <c r="B88" s="25"/>
      <c r="C88" s="24"/>
      <c r="D88" s="24"/>
      <c r="E88" s="24"/>
      <c r="F88" s="114"/>
      <c r="G88" s="114"/>
      <c r="L88" s="7"/>
    </row>
    <row r="89" spans="1:12" ht="15.75" customHeight="1" x14ac:dyDescent="0.25">
      <c r="A89" s="17"/>
      <c r="B89" s="25"/>
      <c r="C89" s="24"/>
      <c r="D89" s="24"/>
      <c r="E89" s="24"/>
      <c r="F89" s="114"/>
      <c r="G89" s="114"/>
      <c r="L89" s="7"/>
    </row>
    <row r="90" spans="1:12" ht="15.75" customHeight="1" x14ac:dyDescent="0.25">
      <c r="A90" s="17"/>
      <c r="B90" s="25"/>
      <c r="C90" s="24"/>
      <c r="D90" s="24"/>
      <c r="E90" s="24"/>
      <c r="F90" s="114"/>
      <c r="G90" s="114"/>
      <c r="L90" s="7"/>
    </row>
    <row r="91" spans="1:12" ht="15.75" customHeight="1" x14ac:dyDescent="0.25">
      <c r="A91" s="17"/>
      <c r="B91" s="25"/>
      <c r="C91" s="24"/>
      <c r="D91" s="24"/>
      <c r="E91" s="24"/>
      <c r="F91" s="114"/>
      <c r="G91" s="114"/>
      <c r="L91" s="7"/>
    </row>
    <row r="92" spans="1:12" ht="15.75" customHeight="1" x14ac:dyDescent="0.25">
      <c r="A92" s="17"/>
      <c r="B92" s="25"/>
      <c r="C92" s="24"/>
      <c r="D92" s="24"/>
      <c r="E92" s="24"/>
      <c r="F92" s="114"/>
      <c r="G92" s="114"/>
      <c r="L92" s="7"/>
    </row>
    <row r="93" spans="1:12" ht="15.75" customHeight="1" x14ac:dyDescent="0.25">
      <c r="A93" s="17"/>
      <c r="B93" s="25"/>
      <c r="C93" s="24"/>
      <c r="D93" s="24"/>
      <c r="E93" s="24"/>
      <c r="F93" s="114"/>
      <c r="G93" s="114"/>
      <c r="L93" s="7"/>
    </row>
    <row r="94" spans="1:12" ht="15.75" customHeight="1" x14ac:dyDescent="0.25">
      <c r="A94" s="17"/>
      <c r="B94" s="25"/>
      <c r="C94" s="24"/>
      <c r="D94" s="24"/>
      <c r="E94" s="24"/>
      <c r="F94" s="114"/>
      <c r="G94" s="114"/>
      <c r="L94" s="7"/>
    </row>
    <row r="95" spans="1:12" ht="15.75" customHeight="1" x14ac:dyDescent="0.25">
      <c r="A95" s="17"/>
      <c r="B95" s="25"/>
      <c r="C95" s="24"/>
      <c r="D95" s="24"/>
      <c r="E95" s="24"/>
      <c r="F95" s="114"/>
      <c r="G95" s="114"/>
      <c r="L95" s="7"/>
    </row>
    <row r="96" spans="1:12" ht="15.75" customHeight="1" x14ac:dyDescent="0.25">
      <c r="A96" s="17"/>
      <c r="B96" s="25"/>
      <c r="C96" s="24"/>
      <c r="D96" s="24"/>
      <c r="E96" s="24"/>
      <c r="F96" s="114"/>
      <c r="G96" s="114"/>
      <c r="L96" s="7"/>
    </row>
    <row r="97" spans="1:12" ht="15.75" customHeight="1" x14ac:dyDescent="0.25">
      <c r="A97" s="17"/>
      <c r="B97" s="25"/>
      <c r="C97" s="24"/>
      <c r="D97" s="24"/>
      <c r="E97" s="24"/>
      <c r="F97" s="114"/>
      <c r="G97" s="114"/>
      <c r="L97" s="7"/>
    </row>
    <row r="98" spans="1:12" ht="15.75" customHeight="1" x14ac:dyDescent="0.25">
      <c r="A98" s="17"/>
      <c r="B98" s="25"/>
      <c r="C98" s="24"/>
      <c r="D98" s="24"/>
      <c r="E98" s="24"/>
      <c r="F98" s="114"/>
      <c r="G98" s="114"/>
      <c r="L98" s="7"/>
    </row>
    <row r="99" spans="1:12" ht="15.75" customHeight="1" x14ac:dyDescent="0.25">
      <c r="A99" s="17"/>
      <c r="B99" s="25"/>
      <c r="C99" s="24"/>
      <c r="D99" s="24"/>
      <c r="E99" s="24"/>
      <c r="F99" s="114"/>
      <c r="G99" s="114"/>
      <c r="L99" s="7"/>
    </row>
    <row r="100" spans="1:12" ht="15.75" customHeight="1" x14ac:dyDescent="0.25">
      <c r="A100" s="17"/>
      <c r="B100" s="25"/>
      <c r="C100" s="24"/>
      <c r="D100" s="24"/>
      <c r="E100" s="24"/>
      <c r="F100" s="114"/>
      <c r="G100" s="114"/>
      <c r="L100" s="7"/>
    </row>
    <row r="101" spans="1:12" ht="15.75" customHeight="1" x14ac:dyDescent="0.25">
      <c r="A101" s="17"/>
      <c r="B101" s="25"/>
      <c r="C101" s="24"/>
      <c r="D101" s="24"/>
      <c r="E101" s="24"/>
      <c r="F101" s="114"/>
      <c r="G101" s="114"/>
      <c r="L101" s="7"/>
    </row>
    <row r="102" spans="1:12" ht="15.75" customHeight="1" x14ac:dyDescent="0.25">
      <c r="A102" s="17"/>
      <c r="B102" s="25"/>
      <c r="C102" s="24"/>
      <c r="D102" s="24"/>
      <c r="E102" s="24"/>
      <c r="F102" s="114"/>
      <c r="G102" s="114"/>
      <c r="L102" s="7"/>
    </row>
    <row r="103" spans="1:12" ht="15.75" customHeight="1" x14ac:dyDescent="0.25">
      <c r="A103" s="17"/>
      <c r="B103" s="25"/>
      <c r="C103" s="24"/>
      <c r="D103" s="24"/>
      <c r="E103" s="24"/>
      <c r="F103" s="114"/>
      <c r="G103" s="114"/>
      <c r="L103" s="7"/>
    </row>
    <row r="104" spans="1:12" ht="15.75" customHeight="1" x14ac:dyDescent="0.25">
      <c r="A104" s="17"/>
      <c r="B104" s="25"/>
      <c r="C104" s="24"/>
      <c r="D104" s="24"/>
      <c r="E104" s="24"/>
      <c r="F104" s="114"/>
      <c r="G104" s="114"/>
      <c r="L104" s="7"/>
    </row>
    <row r="105" spans="1:12" ht="15.75" customHeight="1" x14ac:dyDescent="0.25">
      <c r="A105" s="17"/>
      <c r="B105" s="25"/>
      <c r="C105" s="24"/>
      <c r="D105" s="24"/>
      <c r="E105" s="24"/>
      <c r="F105" s="114"/>
      <c r="G105" s="114"/>
      <c r="L105" s="7"/>
    </row>
    <row r="106" spans="1:12" ht="15.75" customHeight="1" x14ac:dyDescent="0.25">
      <c r="A106" s="17"/>
      <c r="B106" s="25"/>
      <c r="C106" s="24"/>
      <c r="D106" s="24"/>
      <c r="E106" s="24"/>
      <c r="F106" s="114"/>
      <c r="G106" s="114"/>
      <c r="L106" s="7"/>
    </row>
    <row r="107" spans="1:12" ht="15.75" customHeight="1" x14ac:dyDescent="0.25">
      <c r="A107" s="17"/>
      <c r="B107" s="25"/>
      <c r="C107" s="24"/>
      <c r="D107" s="24"/>
      <c r="E107" s="24"/>
      <c r="F107" s="114"/>
      <c r="G107" s="114"/>
      <c r="L107" s="7"/>
    </row>
    <row r="108" spans="1:12" ht="15.75" customHeight="1" x14ac:dyDescent="0.25">
      <c r="A108" s="17"/>
      <c r="B108" s="25"/>
      <c r="C108" s="24"/>
      <c r="D108" s="24"/>
      <c r="E108" s="24"/>
      <c r="F108" s="114"/>
      <c r="G108" s="114"/>
      <c r="L108" s="7"/>
    </row>
    <row r="109" spans="1:12" ht="15.75" customHeight="1" x14ac:dyDescent="0.25">
      <c r="A109" s="17"/>
      <c r="B109" s="25"/>
      <c r="C109" s="24"/>
      <c r="D109" s="24"/>
      <c r="E109" s="24"/>
      <c r="F109" s="114"/>
      <c r="G109" s="114"/>
      <c r="L109" s="7"/>
    </row>
    <row r="110" spans="1:12" ht="15.75" customHeight="1" x14ac:dyDescent="0.25">
      <c r="A110" s="17"/>
      <c r="B110" s="25"/>
      <c r="C110" s="24"/>
      <c r="D110" s="24"/>
      <c r="E110" s="24"/>
      <c r="F110" s="114"/>
      <c r="G110" s="114"/>
      <c r="L110" s="7"/>
    </row>
    <row r="111" spans="1:12" ht="15.75" customHeight="1" x14ac:dyDescent="0.25">
      <c r="A111" s="17"/>
      <c r="B111" s="25"/>
      <c r="C111" s="24"/>
      <c r="D111" s="24"/>
      <c r="E111" s="24"/>
      <c r="F111" s="114"/>
      <c r="G111" s="114"/>
      <c r="L111" s="7"/>
    </row>
    <row r="112" spans="1:12" ht="15.75" customHeight="1" x14ac:dyDescent="0.25">
      <c r="A112" s="17"/>
      <c r="B112" s="25"/>
      <c r="C112" s="24"/>
      <c r="D112" s="24"/>
      <c r="E112" s="24"/>
      <c r="F112" s="114"/>
      <c r="G112" s="114"/>
      <c r="L112" s="7"/>
    </row>
    <row r="113" spans="1:12" ht="15.75" customHeight="1" x14ac:dyDescent="0.25">
      <c r="A113" s="17"/>
      <c r="B113" s="25"/>
      <c r="C113" s="24"/>
      <c r="D113" s="24"/>
      <c r="E113" s="24"/>
      <c r="F113" s="114"/>
      <c r="G113" s="114"/>
      <c r="L113" s="7"/>
    </row>
    <row r="114" spans="1:12" ht="15.75" customHeight="1" x14ac:dyDescent="0.25">
      <c r="A114" s="17"/>
      <c r="B114" s="25"/>
      <c r="C114" s="24"/>
      <c r="D114" s="24"/>
      <c r="E114" s="24"/>
      <c r="F114" s="114"/>
      <c r="G114" s="114"/>
      <c r="L114" s="7"/>
    </row>
    <row r="115" spans="1:12" ht="15.75" customHeight="1" x14ac:dyDescent="0.25">
      <c r="A115" s="17"/>
      <c r="B115" s="25"/>
      <c r="C115" s="24"/>
      <c r="D115" s="24"/>
      <c r="E115" s="24"/>
      <c r="F115" s="114"/>
      <c r="G115" s="114"/>
      <c r="L115" s="7"/>
    </row>
    <row r="116" spans="1:12" ht="15.75" customHeight="1" x14ac:dyDescent="0.25">
      <c r="A116" s="17"/>
      <c r="B116" s="25"/>
      <c r="C116" s="24"/>
      <c r="D116" s="24"/>
      <c r="E116" s="24"/>
      <c r="F116" s="114"/>
      <c r="G116" s="114"/>
      <c r="L116" s="7"/>
    </row>
    <row r="117" spans="1:12" ht="15.75" customHeight="1" x14ac:dyDescent="0.25">
      <c r="A117" s="17"/>
      <c r="B117" s="25"/>
      <c r="C117" s="24"/>
      <c r="D117" s="24"/>
      <c r="E117" s="24"/>
      <c r="F117" s="114"/>
      <c r="G117" s="114"/>
      <c r="L117" s="7"/>
    </row>
    <row r="118" spans="1:12" ht="15.75" customHeight="1" x14ac:dyDescent="0.25">
      <c r="A118" s="17"/>
      <c r="B118" s="25"/>
      <c r="C118" s="24"/>
      <c r="D118" s="24"/>
      <c r="E118" s="24"/>
      <c r="F118" s="114"/>
      <c r="G118" s="114"/>
      <c r="L118" s="7"/>
    </row>
    <row r="119" spans="1:12" ht="15.75" customHeight="1" x14ac:dyDescent="0.25">
      <c r="A119" s="17"/>
      <c r="B119" s="25"/>
      <c r="C119" s="24"/>
      <c r="D119" s="24"/>
      <c r="E119" s="24"/>
      <c r="F119" s="114"/>
      <c r="G119" s="114"/>
      <c r="L119" s="7"/>
    </row>
    <row r="120" spans="1:12" ht="15.75" customHeight="1" x14ac:dyDescent="0.25">
      <c r="A120" s="17"/>
      <c r="B120" s="25"/>
      <c r="C120" s="24"/>
      <c r="D120" s="24"/>
      <c r="E120" s="24"/>
      <c r="F120" s="114"/>
      <c r="G120" s="114"/>
      <c r="L120" s="7"/>
    </row>
    <row r="121" spans="1:12" ht="15.75" customHeight="1" x14ac:dyDescent="0.25">
      <c r="A121" s="17"/>
      <c r="B121" s="25"/>
      <c r="C121" s="24"/>
      <c r="D121" s="24"/>
      <c r="E121" s="24"/>
      <c r="F121" s="114"/>
      <c r="G121" s="114"/>
      <c r="L121" s="7"/>
    </row>
    <row r="122" spans="1:12" ht="15.75" customHeight="1" x14ac:dyDescent="0.25">
      <c r="A122" s="17"/>
      <c r="B122" s="25"/>
      <c r="C122" s="24"/>
      <c r="D122" s="24"/>
      <c r="E122" s="24"/>
      <c r="F122" s="114"/>
      <c r="G122" s="114"/>
      <c r="L122" s="7"/>
    </row>
    <row r="123" spans="1:12" ht="15.75" customHeight="1" x14ac:dyDescent="0.25">
      <c r="A123" s="17"/>
      <c r="B123" s="25"/>
      <c r="C123" s="24"/>
      <c r="D123" s="24"/>
      <c r="E123" s="24"/>
      <c r="F123" s="114"/>
      <c r="G123" s="114"/>
      <c r="L123" s="7"/>
    </row>
    <row r="124" spans="1:12" ht="15.75" customHeight="1" x14ac:dyDescent="0.25">
      <c r="A124" s="17"/>
      <c r="B124" s="25"/>
      <c r="C124" s="24"/>
      <c r="D124" s="24"/>
      <c r="E124" s="24"/>
      <c r="F124" s="114"/>
      <c r="G124" s="114"/>
      <c r="L124" s="7"/>
    </row>
    <row r="125" spans="1:12" ht="15.75" customHeight="1" x14ac:dyDescent="0.25">
      <c r="A125" s="17"/>
      <c r="B125" s="25"/>
      <c r="C125" s="24"/>
      <c r="D125" s="24"/>
      <c r="E125" s="24"/>
      <c r="F125" s="114"/>
      <c r="G125" s="114"/>
      <c r="L125" s="7"/>
    </row>
    <row r="126" spans="1:12" ht="15.75" customHeight="1" x14ac:dyDescent="0.25">
      <c r="A126" s="17"/>
      <c r="B126" s="25"/>
      <c r="C126" s="24"/>
      <c r="D126" s="24"/>
      <c r="E126" s="24"/>
      <c r="F126" s="114"/>
      <c r="G126" s="114"/>
      <c r="L126" s="7"/>
    </row>
    <row r="127" spans="1:12" ht="15.75" customHeight="1" x14ac:dyDescent="0.25">
      <c r="A127" s="17"/>
      <c r="B127" s="25"/>
      <c r="C127" s="24"/>
      <c r="D127" s="24"/>
      <c r="E127" s="24"/>
      <c r="F127" s="114"/>
      <c r="G127" s="114"/>
      <c r="L127" s="7"/>
    </row>
    <row r="128" spans="1:12" ht="15.75" customHeight="1" x14ac:dyDescent="0.25">
      <c r="A128" s="17"/>
      <c r="B128" s="25"/>
      <c r="C128" s="24"/>
      <c r="D128" s="24"/>
      <c r="E128" s="24"/>
      <c r="F128" s="114"/>
      <c r="G128" s="114"/>
      <c r="L128" s="7"/>
    </row>
    <row r="129" spans="1:12" ht="15.75" customHeight="1" x14ac:dyDescent="0.25">
      <c r="A129" s="17"/>
      <c r="B129" s="25"/>
      <c r="C129" s="24"/>
      <c r="D129" s="24"/>
      <c r="E129" s="24"/>
      <c r="F129" s="114"/>
      <c r="G129" s="114"/>
      <c r="L129" s="7"/>
    </row>
    <row r="130" spans="1:12" ht="15.75" customHeight="1" x14ac:dyDescent="0.25">
      <c r="A130" s="17"/>
      <c r="B130" s="25"/>
      <c r="C130" s="24"/>
      <c r="D130" s="24"/>
      <c r="E130" s="24"/>
      <c r="F130" s="114"/>
      <c r="G130" s="114"/>
      <c r="L130" s="7"/>
    </row>
    <row r="131" spans="1:12" ht="15.75" customHeight="1" x14ac:dyDescent="0.25">
      <c r="A131" s="17"/>
      <c r="B131" s="25"/>
      <c r="C131" s="24"/>
      <c r="D131" s="24"/>
      <c r="E131" s="24"/>
      <c r="F131" s="114"/>
      <c r="G131" s="114"/>
      <c r="L131" s="7"/>
    </row>
    <row r="132" spans="1:12" ht="15.75" customHeight="1" x14ac:dyDescent="0.25">
      <c r="A132" s="17"/>
      <c r="B132" s="25"/>
      <c r="C132" s="24"/>
      <c r="D132" s="24"/>
      <c r="E132" s="24"/>
      <c r="F132" s="114"/>
      <c r="G132" s="114"/>
      <c r="L132" s="7"/>
    </row>
    <row r="133" spans="1:12" ht="15.75" customHeight="1" x14ac:dyDescent="0.25">
      <c r="A133" s="17"/>
      <c r="B133" s="25"/>
      <c r="C133" s="24"/>
      <c r="D133" s="24"/>
      <c r="E133" s="24"/>
      <c r="F133" s="114"/>
      <c r="G133" s="114"/>
      <c r="L133" s="7"/>
    </row>
    <row r="134" spans="1:12" ht="15.75" customHeight="1" x14ac:dyDescent="0.25">
      <c r="A134" s="17"/>
      <c r="B134" s="25"/>
      <c r="C134" s="24"/>
      <c r="D134" s="24"/>
      <c r="E134" s="24"/>
      <c r="F134" s="114"/>
      <c r="G134" s="114"/>
      <c r="L134" s="7"/>
    </row>
    <row r="135" spans="1:12" ht="15.75" customHeight="1" x14ac:dyDescent="0.25">
      <c r="A135" s="17"/>
      <c r="B135" s="25"/>
      <c r="C135" s="24"/>
      <c r="D135" s="24"/>
      <c r="E135" s="24"/>
      <c r="F135" s="114"/>
      <c r="G135" s="114"/>
      <c r="L135" s="7"/>
    </row>
    <row r="136" spans="1:12" ht="15.75" customHeight="1" x14ac:dyDescent="0.25">
      <c r="A136" s="17"/>
      <c r="B136" s="25"/>
      <c r="C136" s="24"/>
      <c r="D136" s="24"/>
      <c r="E136" s="24"/>
      <c r="F136" s="114"/>
      <c r="G136" s="114"/>
      <c r="L136" s="7"/>
    </row>
    <row r="137" spans="1:12" ht="15.75" customHeight="1" x14ac:dyDescent="0.25">
      <c r="A137" s="17"/>
      <c r="B137" s="25"/>
      <c r="C137" s="24"/>
      <c r="D137" s="24"/>
      <c r="E137" s="24"/>
      <c r="F137" s="114"/>
      <c r="G137" s="114"/>
      <c r="L137" s="7"/>
    </row>
    <row r="138" spans="1:12" ht="15.75" customHeight="1" x14ac:dyDescent="0.25">
      <c r="A138" s="17"/>
      <c r="B138" s="25"/>
      <c r="C138" s="24"/>
      <c r="D138" s="24"/>
      <c r="E138" s="24"/>
      <c r="F138" s="114"/>
      <c r="G138" s="114"/>
      <c r="L138" s="7"/>
    </row>
    <row r="139" spans="1:12" ht="15.75" customHeight="1" x14ac:dyDescent="0.25">
      <c r="A139" s="17"/>
      <c r="B139" s="25"/>
      <c r="C139" s="24"/>
      <c r="D139" s="24"/>
      <c r="E139" s="24"/>
      <c r="F139" s="114"/>
      <c r="G139" s="114"/>
      <c r="L139" s="7"/>
    </row>
    <row r="140" spans="1:12" ht="15.75" customHeight="1" x14ac:dyDescent="0.25">
      <c r="A140" s="17"/>
      <c r="B140" s="25"/>
      <c r="C140" s="24"/>
      <c r="D140" s="24"/>
      <c r="E140" s="24"/>
      <c r="F140" s="114"/>
      <c r="G140" s="114"/>
      <c r="L140" s="7"/>
    </row>
    <row r="141" spans="1:12" ht="15.75" customHeight="1" x14ac:dyDescent="0.25">
      <c r="A141" s="17"/>
      <c r="B141" s="25"/>
      <c r="C141" s="24"/>
      <c r="D141" s="24"/>
      <c r="E141" s="24"/>
      <c r="F141" s="114"/>
      <c r="G141" s="114"/>
      <c r="L141" s="7"/>
    </row>
    <row r="142" spans="1:12" ht="15.75" customHeight="1" x14ac:dyDescent="0.25">
      <c r="A142" s="17"/>
      <c r="B142" s="25"/>
      <c r="C142" s="24"/>
      <c r="D142" s="24"/>
      <c r="E142" s="24"/>
      <c r="F142" s="114"/>
      <c r="G142" s="114"/>
      <c r="L142" s="7"/>
    </row>
    <row r="143" spans="1:12" ht="15.75" customHeight="1" x14ac:dyDescent="0.25">
      <c r="A143" s="17"/>
      <c r="B143" s="25"/>
      <c r="C143" s="24"/>
      <c r="D143" s="24"/>
      <c r="E143" s="24"/>
      <c r="F143" s="114"/>
      <c r="G143" s="114"/>
      <c r="L143" s="7"/>
    </row>
    <row r="144" spans="1:12" ht="15.75" customHeight="1" x14ac:dyDescent="0.25">
      <c r="A144" s="17"/>
      <c r="B144" s="25"/>
      <c r="C144" s="24"/>
      <c r="D144" s="24"/>
      <c r="E144" s="24"/>
      <c r="F144" s="114"/>
      <c r="G144" s="114"/>
      <c r="L144" s="7"/>
    </row>
    <row r="145" spans="1:12" ht="15.75" customHeight="1" x14ac:dyDescent="0.25">
      <c r="A145" s="17"/>
      <c r="B145" s="25"/>
      <c r="C145" s="24"/>
      <c r="D145" s="24"/>
      <c r="E145" s="24"/>
      <c r="F145" s="114"/>
      <c r="G145" s="114"/>
      <c r="L145" s="7"/>
    </row>
    <row r="146" spans="1:12" ht="15.75" customHeight="1" x14ac:dyDescent="0.25">
      <c r="A146" s="17"/>
      <c r="B146" s="25"/>
      <c r="C146" s="24"/>
      <c r="D146" s="24"/>
      <c r="E146" s="24"/>
      <c r="F146" s="114"/>
      <c r="G146" s="114"/>
      <c r="L146" s="7"/>
    </row>
    <row r="147" spans="1:12" ht="15.75" customHeight="1" x14ac:dyDescent="0.25">
      <c r="A147" s="17"/>
      <c r="B147" s="25"/>
      <c r="C147" s="24"/>
      <c r="D147" s="24"/>
      <c r="E147" s="24"/>
      <c r="F147" s="114"/>
      <c r="G147" s="114"/>
      <c r="L147" s="7"/>
    </row>
    <row r="148" spans="1:12" ht="15.75" customHeight="1" x14ac:dyDescent="0.25">
      <c r="A148" s="17"/>
      <c r="B148" s="25"/>
      <c r="C148" s="24"/>
      <c r="D148" s="24"/>
      <c r="E148" s="24"/>
      <c r="F148" s="114"/>
      <c r="G148" s="114"/>
      <c r="L148" s="7"/>
    </row>
    <row r="149" spans="1:12" ht="15.75" customHeight="1" x14ac:dyDescent="0.25">
      <c r="A149" s="17"/>
      <c r="B149" s="25"/>
      <c r="C149" s="24"/>
      <c r="D149" s="24"/>
      <c r="E149" s="24"/>
      <c r="F149" s="114"/>
      <c r="G149" s="114"/>
      <c r="L149" s="7"/>
    </row>
    <row r="150" spans="1:12" ht="15.75" customHeight="1" x14ac:dyDescent="0.25">
      <c r="A150" s="17"/>
      <c r="B150" s="25"/>
      <c r="C150" s="24"/>
      <c r="D150" s="24"/>
      <c r="E150" s="24"/>
      <c r="F150" s="114"/>
      <c r="G150" s="114"/>
      <c r="L150" s="7"/>
    </row>
    <row r="151" spans="1:12" ht="15.75" customHeight="1" x14ac:dyDescent="0.25">
      <c r="A151" s="17"/>
      <c r="B151" s="25"/>
      <c r="C151" s="24"/>
      <c r="D151" s="24"/>
      <c r="E151" s="24"/>
      <c r="F151" s="114"/>
      <c r="G151" s="114"/>
      <c r="L151" s="7"/>
    </row>
    <row r="152" spans="1:12" ht="15.75" customHeight="1" x14ac:dyDescent="0.25">
      <c r="A152" s="17"/>
      <c r="B152" s="25"/>
      <c r="C152" s="24"/>
      <c r="D152" s="24"/>
      <c r="E152" s="24"/>
      <c r="F152" s="114"/>
      <c r="G152" s="114"/>
      <c r="L152" s="7"/>
    </row>
    <row r="153" spans="1:12" ht="15.75" customHeight="1" x14ac:dyDescent="0.25">
      <c r="A153" s="17"/>
      <c r="B153" s="25"/>
      <c r="C153" s="24"/>
      <c r="D153" s="24"/>
      <c r="E153" s="24"/>
      <c r="F153" s="114"/>
      <c r="G153" s="114"/>
      <c r="L153" s="7"/>
    </row>
    <row r="154" spans="1:12" ht="15.75" customHeight="1" x14ac:dyDescent="0.25">
      <c r="A154" s="17"/>
      <c r="B154" s="25"/>
      <c r="C154" s="24"/>
      <c r="D154" s="24"/>
      <c r="E154" s="24"/>
      <c r="F154" s="114"/>
      <c r="G154" s="114"/>
      <c r="L154" s="7"/>
    </row>
    <row r="155" spans="1:12" ht="15.75" customHeight="1" x14ac:dyDescent="0.25">
      <c r="A155" s="17"/>
      <c r="B155" s="25"/>
      <c r="C155" s="24"/>
      <c r="D155" s="24"/>
      <c r="E155" s="24"/>
      <c r="F155" s="114"/>
      <c r="G155" s="114"/>
      <c r="L155" s="7"/>
    </row>
    <row r="156" spans="1:12" ht="15.75" customHeight="1" x14ac:dyDescent="0.25">
      <c r="A156" s="17"/>
      <c r="B156" s="25"/>
      <c r="C156" s="24"/>
      <c r="D156" s="24"/>
      <c r="E156" s="24"/>
      <c r="F156" s="114"/>
      <c r="G156" s="114"/>
      <c r="L156" s="7"/>
    </row>
    <row r="157" spans="1:12" ht="15.75" customHeight="1" x14ac:dyDescent="0.25">
      <c r="A157" s="17"/>
      <c r="B157" s="25"/>
      <c r="C157" s="24"/>
      <c r="D157" s="24"/>
      <c r="E157" s="24"/>
      <c r="F157" s="114"/>
      <c r="G157" s="114"/>
      <c r="L157" s="7"/>
    </row>
    <row r="158" spans="1:12" ht="15.75" customHeight="1" x14ac:dyDescent="0.25">
      <c r="A158" s="17"/>
      <c r="B158" s="25"/>
      <c r="C158" s="24"/>
      <c r="D158" s="24"/>
      <c r="E158" s="24"/>
      <c r="F158" s="114"/>
      <c r="G158" s="114"/>
      <c r="L158" s="7"/>
    </row>
    <row r="159" spans="1:12" ht="15.75" customHeight="1" x14ac:dyDescent="0.25">
      <c r="A159" s="17"/>
      <c r="B159" s="25"/>
      <c r="C159" s="24"/>
      <c r="D159" s="24"/>
      <c r="E159" s="24"/>
      <c r="F159" s="114"/>
      <c r="G159" s="114"/>
      <c r="L159" s="7"/>
    </row>
    <row r="160" spans="1:12" ht="15.75" customHeight="1" x14ac:dyDescent="0.25">
      <c r="A160" s="17"/>
      <c r="B160" s="25"/>
      <c r="C160" s="24"/>
      <c r="D160" s="24"/>
      <c r="E160" s="24"/>
      <c r="F160" s="114"/>
      <c r="G160" s="114"/>
      <c r="L160" s="7"/>
    </row>
    <row r="161" spans="1:12" ht="15.75" customHeight="1" x14ac:dyDescent="0.25">
      <c r="A161" s="17"/>
      <c r="B161" s="25"/>
      <c r="C161" s="24"/>
      <c r="D161" s="24"/>
      <c r="E161" s="24"/>
      <c r="F161" s="114"/>
      <c r="G161" s="114"/>
      <c r="L161" s="7"/>
    </row>
    <row r="162" spans="1:12" ht="15.75" customHeight="1" x14ac:dyDescent="0.25">
      <c r="A162" s="17"/>
      <c r="B162" s="25"/>
      <c r="C162" s="24"/>
      <c r="D162" s="24"/>
      <c r="E162" s="24"/>
      <c r="F162" s="114"/>
      <c r="G162" s="114"/>
      <c r="L162" s="7"/>
    </row>
    <row r="163" spans="1:12" ht="15.75" customHeight="1" x14ac:dyDescent="0.25">
      <c r="A163" s="17"/>
      <c r="B163" s="25"/>
      <c r="C163" s="24"/>
      <c r="D163" s="24"/>
      <c r="E163" s="24"/>
      <c r="F163" s="114"/>
      <c r="G163" s="114"/>
      <c r="L163" s="7"/>
    </row>
    <row r="164" spans="1:12" ht="15.75" customHeight="1" x14ac:dyDescent="0.25">
      <c r="A164" s="17"/>
      <c r="B164" s="25"/>
      <c r="C164" s="24"/>
      <c r="D164" s="24"/>
      <c r="E164" s="24"/>
      <c r="F164" s="114"/>
      <c r="G164" s="114"/>
      <c r="L164" s="7"/>
    </row>
    <row r="165" spans="1:12" ht="15.75" customHeight="1" x14ac:dyDescent="0.25">
      <c r="A165" s="17"/>
      <c r="B165" s="25"/>
      <c r="C165" s="24"/>
      <c r="D165" s="24"/>
      <c r="E165" s="24"/>
      <c r="F165" s="114"/>
      <c r="G165" s="114"/>
      <c r="L165" s="7"/>
    </row>
    <row r="166" spans="1:12" ht="15.75" customHeight="1" x14ac:dyDescent="0.25">
      <c r="A166" s="17"/>
      <c r="B166" s="25"/>
      <c r="C166" s="24"/>
      <c r="D166" s="24"/>
      <c r="E166" s="24"/>
      <c r="F166" s="114"/>
      <c r="G166" s="114"/>
      <c r="L166" s="7"/>
    </row>
    <row r="167" spans="1:12" ht="15.75" customHeight="1" x14ac:dyDescent="0.25">
      <c r="A167" s="17"/>
      <c r="B167" s="25"/>
      <c r="C167" s="24"/>
      <c r="D167" s="24"/>
      <c r="E167" s="24"/>
      <c r="F167" s="114"/>
      <c r="G167" s="114"/>
      <c r="L167" s="7"/>
    </row>
    <row r="168" spans="1:12" ht="15.75" customHeight="1" x14ac:dyDescent="0.25">
      <c r="A168" s="17"/>
      <c r="B168" s="25"/>
      <c r="C168" s="24"/>
      <c r="D168" s="24"/>
      <c r="E168" s="24"/>
      <c r="F168" s="114"/>
      <c r="G168" s="114"/>
      <c r="L168" s="7"/>
    </row>
    <row r="169" spans="1:12" ht="15.75" customHeight="1" x14ac:dyDescent="0.25">
      <c r="A169" s="17"/>
      <c r="B169" s="25"/>
      <c r="C169" s="24"/>
      <c r="D169" s="24"/>
      <c r="E169" s="24"/>
      <c r="F169" s="114"/>
      <c r="G169" s="114"/>
      <c r="L169" s="7"/>
    </row>
    <row r="170" spans="1:12" ht="15.75" customHeight="1" x14ac:dyDescent="0.25">
      <c r="A170" s="17"/>
      <c r="B170" s="25"/>
      <c r="C170" s="24"/>
      <c r="D170" s="24"/>
      <c r="E170" s="24"/>
      <c r="F170" s="114"/>
      <c r="G170" s="114"/>
      <c r="L170" s="7"/>
    </row>
    <row r="171" spans="1:12" ht="15.75" customHeight="1" x14ac:dyDescent="0.25">
      <c r="A171" s="17"/>
      <c r="B171" s="25"/>
      <c r="C171" s="24"/>
      <c r="D171" s="24"/>
      <c r="E171" s="24"/>
      <c r="F171" s="114"/>
      <c r="G171" s="114"/>
      <c r="L171" s="7"/>
    </row>
    <row r="172" spans="1:12" ht="15.75" customHeight="1" x14ac:dyDescent="0.25">
      <c r="A172" s="17"/>
      <c r="B172" s="25"/>
      <c r="C172" s="24"/>
      <c r="D172" s="24"/>
      <c r="E172" s="24"/>
      <c r="F172" s="114"/>
      <c r="G172" s="114"/>
      <c r="L172" s="7"/>
    </row>
    <row r="173" spans="1:12" ht="15.75" customHeight="1" x14ac:dyDescent="0.25">
      <c r="A173" s="17"/>
      <c r="B173" s="25"/>
      <c r="C173" s="24"/>
      <c r="D173" s="24"/>
      <c r="E173" s="24"/>
      <c r="F173" s="114"/>
      <c r="G173" s="114"/>
      <c r="L173" s="7"/>
    </row>
    <row r="174" spans="1:12" ht="15.75" customHeight="1" x14ac:dyDescent="0.25">
      <c r="A174" s="17"/>
      <c r="B174" s="25"/>
      <c r="C174" s="24"/>
      <c r="D174" s="24"/>
      <c r="E174" s="24"/>
      <c r="F174" s="114"/>
      <c r="G174" s="114"/>
      <c r="L174" s="7"/>
    </row>
    <row r="175" spans="1:12" ht="15.75" customHeight="1" x14ac:dyDescent="0.25">
      <c r="A175" s="17"/>
      <c r="B175" s="25"/>
      <c r="C175" s="24"/>
      <c r="D175" s="24"/>
      <c r="E175" s="24"/>
      <c r="F175" s="114"/>
      <c r="G175" s="114"/>
      <c r="L175" s="7"/>
    </row>
    <row r="176" spans="1:12" ht="15.75" customHeight="1" x14ac:dyDescent="0.25">
      <c r="A176" s="17"/>
      <c r="B176" s="25"/>
      <c r="C176" s="24"/>
      <c r="D176" s="24"/>
      <c r="E176" s="24"/>
      <c r="F176" s="114"/>
      <c r="G176" s="114"/>
      <c r="L176" s="7"/>
    </row>
    <row r="177" spans="1:12" ht="15.75" customHeight="1" x14ac:dyDescent="0.25">
      <c r="A177" s="17"/>
      <c r="B177" s="25"/>
      <c r="C177" s="24"/>
      <c r="D177" s="24"/>
      <c r="E177" s="24"/>
      <c r="F177" s="114"/>
      <c r="G177" s="114"/>
      <c r="L177" s="7"/>
    </row>
    <row r="178" spans="1:12" ht="15.75" customHeight="1" x14ac:dyDescent="0.25">
      <c r="A178" s="17"/>
      <c r="B178" s="25"/>
      <c r="C178" s="24"/>
      <c r="D178" s="24"/>
      <c r="E178" s="24"/>
      <c r="F178" s="114"/>
      <c r="G178" s="114"/>
      <c r="L178" s="7"/>
    </row>
    <row r="179" spans="1:12" ht="15.75" customHeight="1" x14ac:dyDescent="0.25">
      <c r="A179" s="17"/>
      <c r="B179" s="25"/>
      <c r="C179" s="24"/>
      <c r="D179" s="24"/>
      <c r="E179" s="24"/>
      <c r="F179" s="114"/>
      <c r="G179" s="114"/>
      <c r="L179" s="7"/>
    </row>
    <row r="180" spans="1:12" ht="15.75" customHeight="1" x14ac:dyDescent="0.25">
      <c r="A180" s="17"/>
      <c r="B180" s="25"/>
      <c r="C180" s="24"/>
      <c r="D180" s="24"/>
      <c r="E180" s="24"/>
      <c r="F180" s="114"/>
      <c r="G180" s="114"/>
      <c r="L180" s="7"/>
    </row>
    <row r="181" spans="1:12" ht="15.75" customHeight="1" x14ac:dyDescent="0.25">
      <c r="A181" s="17"/>
      <c r="B181" s="25"/>
      <c r="C181" s="24"/>
      <c r="D181" s="24"/>
      <c r="E181" s="24"/>
      <c r="F181" s="114"/>
      <c r="G181" s="114"/>
      <c r="L181" s="7"/>
    </row>
    <row r="182" spans="1:12" ht="15.75" customHeight="1" x14ac:dyDescent="0.25">
      <c r="A182" s="17"/>
      <c r="B182" s="25"/>
      <c r="C182" s="24"/>
      <c r="D182" s="24"/>
      <c r="E182" s="24"/>
      <c r="F182" s="114"/>
      <c r="G182" s="114"/>
      <c r="L182" s="7"/>
    </row>
    <row r="183" spans="1:12" ht="15.75" customHeight="1" x14ac:dyDescent="0.25">
      <c r="A183" s="17"/>
      <c r="B183" s="25"/>
      <c r="C183" s="24"/>
      <c r="D183" s="24"/>
      <c r="E183" s="24"/>
      <c r="F183" s="114"/>
      <c r="G183" s="114"/>
      <c r="L183" s="7"/>
    </row>
    <row r="184" spans="1:12" ht="15.75" customHeight="1" x14ac:dyDescent="0.25">
      <c r="A184" s="17"/>
      <c r="B184" s="25"/>
      <c r="C184" s="24"/>
      <c r="D184" s="24"/>
      <c r="E184" s="24"/>
      <c r="F184" s="114"/>
      <c r="G184" s="114"/>
      <c r="L184" s="7"/>
    </row>
    <row r="185" spans="1:12" ht="15.75" customHeight="1" x14ac:dyDescent="0.25">
      <c r="A185" s="17"/>
      <c r="B185" s="25"/>
      <c r="C185" s="24"/>
      <c r="D185" s="24"/>
      <c r="E185" s="24"/>
      <c r="F185" s="114"/>
      <c r="G185" s="114"/>
      <c r="L185" s="7"/>
    </row>
    <row r="186" spans="1:12" ht="15.75" customHeight="1" x14ac:dyDescent="0.25">
      <c r="A186" s="17"/>
      <c r="B186" s="25"/>
      <c r="C186" s="24"/>
      <c r="D186" s="24"/>
      <c r="E186" s="24"/>
      <c r="F186" s="114"/>
      <c r="G186" s="114"/>
      <c r="L186" s="7"/>
    </row>
    <row r="187" spans="1:12" ht="15.75" customHeight="1" x14ac:dyDescent="0.25">
      <c r="A187" s="17"/>
      <c r="B187" s="25"/>
      <c r="C187" s="24"/>
      <c r="D187" s="24"/>
      <c r="E187" s="24"/>
      <c r="F187" s="114"/>
      <c r="G187" s="114"/>
      <c r="L187" s="7"/>
    </row>
    <row r="188" spans="1:12" ht="15.75" customHeight="1" x14ac:dyDescent="0.25">
      <c r="A188" s="17"/>
      <c r="B188" s="25"/>
      <c r="C188" s="24"/>
      <c r="D188" s="24"/>
      <c r="E188" s="24"/>
      <c r="F188" s="114"/>
      <c r="G188" s="114"/>
      <c r="L188" s="7"/>
    </row>
    <row r="189" spans="1:12" ht="15.75" customHeight="1" x14ac:dyDescent="0.25">
      <c r="A189" s="17"/>
      <c r="B189" s="25"/>
      <c r="C189" s="24"/>
      <c r="D189" s="24"/>
      <c r="E189" s="24"/>
      <c r="F189" s="114"/>
      <c r="G189" s="114"/>
      <c r="L189" s="7"/>
    </row>
    <row r="190" spans="1:12" ht="15.75" customHeight="1" x14ac:dyDescent="0.25">
      <c r="A190" s="17"/>
      <c r="B190" s="25"/>
      <c r="C190" s="24"/>
      <c r="D190" s="24"/>
      <c r="E190" s="24"/>
      <c r="F190" s="114"/>
      <c r="G190" s="114"/>
      <c r="L190" s="7"/>
    </row>
    <row r="191" spans="1:12" ht="15.75" customHeight="1" x14ac:dyDescent="0.25">
      <c r="A191" s="17"/>
      <c r="B191" s="25"/>
      <c r="C191" s="24"/>
      <c r="D191" s="24"/>
      <c r="E191" s="24"/>
      <c r="F191" s="114"/>
      <c r="G191" s="114"/>
      <c r="L191" s="7"/>
    </row>
    <row r="192" spans="1:12" ht="15.75" customHeight="1" x14ac:dyDescent="0.25">
      <c r="A192" s="17"/>
      <c r="B192" s="25"/>
      <c r="C192" s="24"/>
      <c r="D192" s="24"/>
      <c r="E192" s="24"/>
      <c r="F192" s="114"/>
      <c r="G192" s="114"/>
      <c r="L192" s="7"/>
    </row>
    <row r="193" spans="1:12" ht="15.75" customHeight="1" x14ac:dyDescent="0.25">
      <c r="A193" s="17"/>
      <c r="B193" s="25"/>
      <c r="C193" s="24"/>
      <c r="D193" s="24"/>
      <c r="E193" s="24"/>
      <c r="F193" s="114"/>
      <c r="G193" s="114"/>
      <c r="L193" s="7"/>
    </row>
    <row r="194" spans="1:12" ht="15.75" customHeight="1" x14ac:dyDescent="0.25">
      <c r="A194" s="17"/>
      <c r="B194" s="25"/>
      <c r="C194" s="24"/>
      <c r="D194" s="24"/>
      <c r="E194" s="24"/>
      <c r="F194" s="114"/>
      <c r="G194" s="114"/>
      <c r="L194" s="7"/>
    </row>
    <row r="195" spans="1:12" ht="15.75" customHeight="1" x14ac:dyDescent="0.25">
      <c r="A195" s="17"/>
      <c r="B195" s="25"/>
      <c r="C195" s="24"/>
      <c r="D195" s="24"/>
      <c r="E195" s="24"/>
      <c r="F195" s="114"/>
      <c r="G195" s="114"/>
      <c r="L195" s="7"/>
    </row>
    <row r="196" spans="1:12" ht="15.75" customHeight="1" x14ac:dyDescent="0.25">
      <c r="A196" s="17"/>
      <c r="B196" s="25"/>
      <c r="C196" s="24"/>
      <c r="D196" s="24"/>
      <c r="E196" s="24"/>
      <c r="F196" s="114"/>
      <c r="G196" s="114"/>
      <c r="L196" s="7"/>
    </row>
    <row r="197" spans="1:12" ht="15.75" customHeight="1" x14ac:dyDescent="0.25">
      <c r="A197" s="17"/>
      <c r="B197" s="25"/>
      <c r="C197" s="24"/>
      <c r="D197" s="24"/>
      <c r="E197" s="24"/>
      <c r="F197" s="114"/>
      <c r="G197" s="114"/>
      <c r="L197" s="7"/>
    </row>
    <row r="198" spans="1:12" ht="15.75" customHeight="1" x14ac:dyDescent="0.25">
      <c r="A198" s="17"/>
      <c r="B198" s="25"/>
      <c r="C198" s="24"/>
      <c r="D198" s="24"/>
      <c r="E198" s="24"/>
      <c r="F198" s="114"/>
      <c r="G198" s="114"/>
      <c r="L198" s="7"/>
    </row>
    <row r="199" spans="1:12" ht="15.75" customHeight="1" x14ac:dyDescent="0.25">
      <c r="A199" s="17"/>
      <c r="B199" s="25"/>
      <c r="C199" s="24"/>
      <c r="D199" s="24"/>
      <c r="E199" s="24"/>
      <c r="F199" s="114"/>
      <c r="G199" s="114"/>
      <c r="L199" s="7"/>
    </row>
    <row r="200" spans="1:12" ht="15.75" customHeight="1" x14ac:dyDescent="0.25">
      <c r="A200" s="17"/>
      <c r="B200" s="25"/>
      <c r="C200" s="24"/>
      <c r="D200" s="24"/>
      <c r="E200" s="24"/>
      <c r="F200" s="114"/>
      <c r="G200" s="114"/>
      <c r="L200" s="7"/>
    </row>
    <row r="201" spans="1:12" ht="15.75" customHeight="1" x14ac:dyDescent="0.25">
      <c r="A201" s="17"/>
      <c r="B201" s="25"/>
      <c r="C201" s="24"/>
      <c r="D201" s="24"/>
      <c r="E201" s="24"/>
      <c r="F201" s="114"/>
      <c r="G201" s="114"/>
      <c r="L201" s="7"/>
    </row>
    <row r="202" spans="1:12" ht="15.75" customHeight="1" x14ac:dyDescent="0.25">
      <c r="A202" s="17"/>
      <c r="B202" s="25"/>
      <c r="C202" s="24"/>
      <c r="D202" s="24"/>
      <c r="E202" s="24"/>
      <c r="F202" s="114"/>
      <c r="G202" s="114"/>
      <c r="L202" s="7"/>
    </row>
    <row r="203" spans="1:12" ht="15.75" customHeight="1" x14ac:dyDescent="0.25">
      <c r="A203" s="17"/>
      <c r="B203" s="25"/>
      <c r="C203" s="24"/>
      <c r="D203" s="24"/>
      <c r="E203" s="24"/>
      <c r="F203" s="114"/>
      <c r="G203" s="114"/>
      <c r="L203" s="7"/>
    </row>
    <row r="204" spans="1:12" ht="15.75" customHeight="1" x14ac:dyDescent="0.25">
      <c r="A204" s="17"/>
      <c r="B204" s="25"/>
      <c r="C204" s="24"/>
      <c r="D204" s="24"/>
      <c r="E204" s="24"/>
      <c r="F204" s="114"/>
      <c r="G204" s="114"/>
      <c r="L204" s="7"/>
    </row>
    <row r="205" spans="1:12" ht="15.75" customHeight="1" x14ac:dyDescent="0.25">
      <c r="A205" s="17"/>
      <c r="B205" s="25"/>
      <c r="C205" s="24"/>
      <c r="D205" s="24"/>
      <c r="E205" s="24"/>
      <c r="F205" s="114"/>
      <c r="G205" s="114"/>
      <c r="L205" s="7"/>
    </row>
    <row r="206" spans="1:12" ht="15.75" customHeight="1" x14ac:dyDescent="0.25">
      <c r="A206" s="17"/>
      <c r="B206" s="25"/>
      <c r="C206" s="24"/>
      <c r="D206" s="24"/>
      <c r="E206" s="24"/>
      <c r="F206" s="114"/>
      <c r="G206" s="114"/>
      <c r="L206" s="7"/>
    </row>
    <row r="207" spans="1:12" ht="15.75" customHeight="1" x14ac:dyDescent="0.25">
      <c r="A207" s="17"/>
      <c r="B207" s="25"/>
      <c r="C207" s="24"/>
      <c r="D207" s="24"/>
      <c r="E207" s="24"/>
      <c r="F207" s="114"/>
      <c r="G207" s="114"/>
      <c r="L207" s="7"/>
    </row>
    <row r="208" spans="1:12" ht="15.75" customHeight="1" x14ac:dyDescent="0.25">
      <c r="A208" s="17"/>
      <c r="B208" s="25"/>
      <c r="C208" s="24"/>
      <c r="D208" s="24"/>
      <c r="E208" s="24"/>
      <c r="F208" s="114"/>
      <c r="G208" s="114"/>
      <c r="L208" s="7"/>
    </row>
    <row r="209" spans="1:12" ht="15.75" customHeight="1" x14ac:dyDescent="0.25">
      <c r="A209" s="17"/>
      <c r="B209" s="25"/>
      <c r="C209" s="24"/>
      <c r="D209" s="24"/>
      <c r="E209" s="24"/>
      <c r="F209" s="114"/>
      <c r="G209" s="114"/>
      <c r="L209" s="7"/>
    </row>
    <row r="210" spans="1:12" ht="15.75" customHeight="1" x14ac:dyDescent="0.25">
      <c r="A210" s="17"/>
      <c r="B210" s="25"/>
      <c r="C210" s="24"/>
      <c r="D210" s="24"/>
      <c r="E210" s="24"/>
      <c r="F210" s="114"/>
      <c r="G210" s="114"/>
      <c r="L210" s="7"/>
    </row>
    <row r="211" spans="1:12" ht="15.75" customHeight="1" x14ac:dyDescent="0.25">
      <c r="A211" s="17"/>
      <c r="B211" s="25"/>
      <c r="C211" s="24"/>
      <c r="D211" s="24"/>
      <c r="E211" s="24"/>
      <c r="F211" s="114"/>
      <c r="G211" s="114"/>
      <c r="L211" s="7"/>
    </row>
    <row r="212" spans="1:12" ht="15.75" customHeight="1" x14ac:dyDescent="0.25">
      <c r="A212" s="17"/>
      <c r="B212" s="25"/>
      <c r="C212" s="24"/>
      <c r="D212" s="24"/>
      <c r="E212" s="24"/>
      <c r="F212" s="114"/>
      <c r="G212" s="114"/>
      <c r="L212" s="7"/>
    </row>
    <row r="213" spans="1:12" ht="15.75" customHeight="1" x14ac:dyDescent="0.25">
      <c r="A213" s="17"/>
      <c r="B213" s="25"/>
      <c r="C213" s="24"/>
      <c r="D213" s="24"/>
      <c r="E213" s="24"/>
      <c r="F213" s="114"/>
      <c r="G213" s="114"/>
      <c r="L213" s="7"/>
    </row>
    <row r="214" spans="1:12" ht="15.75" customHeight="1" x14ac:dyDescent="0.25">
      <c r="A214" s="17"/>
      <c r="B214" s="25"/>
      <c r="C214" s="24"/>
      <c r="D214" s="24"/>
      <c r="E214" s="24"/>
      <c r="F214" s="114"/>
      <c r="G214" s="114"/>
      <c r="L214" s="7"/>
    </row>
    <row r="215" spans="1:12" ht="15.75" customHeight="1" x14ac:dyDescent="0.25">
      <c r="A215" s="17"/>
      <c r="B215" s="25"/>
      <c r="C215" s="24"/>
      <c r="D215" s="24"/>
      <c r="E215" s="24"/>
      <c r="F215" s="114"/>
      <c r="G215" s="114"/>
      <c r="L215" s="7"/>
    </row>
    <row r="216" spans="1:12" ht="15.75" customHeight="1" x14ac:dyDescent="0.25">
      <c r="A216" s="17"/>
      <c r="B216" s="25"/>
      <c r="C216" s="24"/>
      <c r="D216" s="24"/>
      <c r="E216" s="24"/>
      <c r="F216" s="114"/>
      <c r="G216" s="114"/>
      <c r="L216" s="7"/>
    </row>
    <row r="217" spans="1:12" ht="15.75" customHeight="1" x14ac:dyDescent="0.25">
      <c r="A217" s="17"/>
      <c r="B217" s="25"/>
      <c r="C217" s="24"/>
      <c r="D217" s="24"/>
      <c r="E217" s="24"/>
      <c r="F217" s="114"/>
      <c r="G217" s="114"/>
      <c r="L217" s="7"/>
    </row>
    <row r="218" spans="1:12" ht="15.75" customHeight="1" x14ac:dyDescent="0.25">
      <c r="A218" s="17"/>
      <c r="B218" s="25"/>
      <c r="C218" s="24"/>
      <c r="D218" s="24"/>
      <c r="E218" s="24"/>
      <c r="F218" s="114"/>
      <c r="G218" s="114"/>
      <c r="L218" s="7"/>
    </row>
    <row r="219" spans="1:12" ht="15.75" customHeight="1" x14ac:dyDescent="0.25">
      <c r="A219" s="17"/>
      <c r="B219" s="25"/>
      <c r="C219" s="24"/>
      <c r="D219" s="24"/>
      <c r="E219" s="24"/>
      <c r="F219" s="114"/>
      <c r="G219" s="114"/>
      <c r="L219" s="7"/>
    </row>
    <row r="220" spans="1:12" ht="15.75" customHeight="1" x14ac:dyDescent="0.25">
      <c r="A220" s="17"/>
      <c r="B220" s="25"/>
      <c r="C220" s="24"/>
      <c r="D220" s="24"/>
      <c r="E220" s="24"/>
      <c r="F220" s="114"/>
      <c r="G220" s="114"/>
      <c r="L220" s="7"/>
    </row>
    <row r="221" spans="1:12" ht="15.75" customHeight="1" x14ac:dyDescent="0.25">
      <c r="A221" s="17"/>
      <c r="B221" s="25"/>
      <c r="C221" s="24"/>
      <c r="D221" s="24"/>
      <c r="E221" s="24"/>
      <c r="F221" s="114"/>
      <c r="G221" s="114"/>
      <c r="L221" s="7"/>
    </row>
    <row r="222" spans="1:12" ht="15.75" customHeight="1" x14ac:dyDescent="0.25">
      <c r="A222" s="17"/>
      <c r="B222" s="25"/>
      <c r="C222" s="24"/>
      <c r="D222" s="24"/>
      <c r="E222" s="24"/>
      <c r="F222" s="114"/>
      <c r="G222" s="114"/>
      <c r="L222" s="7"/>
    </row>
    <row r="223" spans="1:12" ht="15.75" customHeight="1" x14ac:dyDescent="0.25">
      <c r="A223" s="17"/>
      <c r="B223" s="25"/>
      <c r="C223" s="24"/>
      <c r="D223" s="24"/>
      <c r="E223" s="24"/>
      <c r="F223" s="114"/>
      <c r="G223" s="114"/>
      <c r="L223" s="7"/>
    </row>
    <row r="224" spans="1:12" ht="15.75" customHeight="1" x14ac:dyDescent="0.25">
      <c r="A224" s="17"/>
      <c r="B224" s="25"/>
      <c r="C224" s="24"/>
      <c r="D224" s="24"/>
      <c r="E224" s="24"/>
      <c r="F224" s="114"/>
      <c r="G224" s="114"/>
      <c r="L224" s="7"/>
    </row>
    <row r="225" spans="1:12" ht="15.75" customHeight="1" x14ac:dyDescent="0.25">
      <c r="A225" s="17"/>
      <c r="B225" s="25"/>
      <c r="C225" s="24"/>
      <c r="D225" s="24"/>
      <c r="E225" s="24"/>
      <c r="F225" s="114"/>
      <c r="G225" s="114"/>
      <c r="L225" s="7"/>
    </row>
    <row r="226" spans="1:12" ht="15.75" customHeight="1" x14ac:dyDescent="0.25">
      <c r="A226" s="17"/>
      <c r="B226" s="25"/>
      <c r="C226" s="24"/>
      <c r="D226" s="24"/>
      <c r="E226" s="24"/>
      <c r="F226" s="114"/>
      <c r="G226" s="114"/>
      <c r="L226" s="7"/>
    </row>
    <row r="227" spans="1:12" ht="15.75" customHeight="1" x14ac:dyDescent="0.25">
      <c r="A227" s="17"/>
      <c r="B227" s="25"/>
      <c r="C227" s="24"/>
      <c r="D227" s="24"/>
      <c r="E227" s="24"/>
      <c r="F227" s="114"/>
      <c r="G227" s="114"/>
      <c r="L227" s="7"/>
    </row>
    <row r="228" spans="1:12" ht="15.75" customHeight="1" x14ac:dyDescent="0.25">
      <c r="A228" s="17"/>
      <c r="B228" s="25"/>
      <c r="C228" s="24"/>
      <c r="D228" s="24"/>
      <c r="E228" s="24"/>
      <c r="F228" s="114"/>
      <c r="G228" s="114"/>
      <c r="L228" s="7"/>
    </row>
    <row r="229" spans="1:12" ht="15.75" customHeight="1" x14ac:dyDescent="0.25">
      <c r="A229" s="17"/>
      <c r="B229" s="25"/>
      <c r="C229" s="24"/>
      <c r="D229" s="24"/>
      <c r="E229" s="24"/>
      <c r="F229" s="114"/>
      <c r="G229" s="114"/>
      <c r="L229" s="7"/>
    </row>
    <row r="230" spans="1:12" ht="15.75" customHeight="1" x14ac:dyDescent="0.25">
      <c r="A230" s="17"/>
      <c r="B230" s="25"/>
      <c r="C230" s="24"/>
      <c r="D230" s="24"/>
      <c r="E230" s="24"/>
      <c r="F230" s="114"/>
      <c r="G230" s="114"/>
      <c r="L230" s="7"/>
    </row>
    <row r="231" spans="1:12" ht="15.75" customHeight="1" x14ac:dyDescent="0.25">
      <c r="A231" s="17"/>
      <c r="B231" s="25"/>
      <c r="C231" s="24"/>
      <c r="D231" s="24"/>
      <c r="E231" s="24"/>
      <c r="F231" s="114"/>
      <c r="G231" s="114"/>
      <c r="L231" s="7"/>
    </row>
    <row r="232" spans="1:12" ht="15.75" customHeight="1" x14ac:dyDescent="0.25">
      <c r="A232" s="17"/>
      <c r="B232" s="25"/>
      <c r="C232" s="24"/>
      <c r="D232" s="24"/>
      <c r="E232" s="24"/>
      <c r="F232" s="114"/>
      <c r="G232" s="114"/>
      <c r="L232" s="7"/>
    </row>
    <row r="233" spans="1:12" ht="15.75" customHeight="1" x14ac:dyDescent="0.25">
      <c r="A233" s="17"/>
      <c r="B233" s="25"/>
      <c r="C233" s="24"/>
      <c r="D233" s="24"/>
      <c r="E233" s="24"/>
      <c r="F233" s="114"/>
      <c r="G233" s="114"/>
      <c r="L233" s="7"/>
    </row>
    <row r="234" spans="1:12" ht="15.75" customHeight="1" x14ac:dyDescent="0.25">
      <c r="A234" s="17"/>
      <c r="B234" s="25"/>
      <c r="C234" s="24"/>
      <c r="D234" s="24"/>
      <c r="E234" s="24"/>
      <c r="F234" s="114"/>
      <c r="G234" s="114"/>
      <c r="L234" s="7"/>
    </row>
    <row r="235" spans="1:12" ht="15.75" customHeight="1" x14ac:dyDescent="0.25">
      <c r="A235" s="17"/>
      <c r="B235" s="25"/>
      <c r="C235" s="24"/>
      <c r="D235" s="24"/>
      <c r="E235" s="24"/>
      <c r="F235" s="114"/>
      <c r="G235" s="114"/>
      <c r="L235" s="7"/>
    </row>
    <row r="236" spans="1:12" ht="15.75" customHeight="1" x14ac:dyDescent="0.25">
      <c r="A236" s="17"/>
      <c r="B236" s="25"/>
      <c r="C236" s="24"/>
      <c r="D236" s="24"/>
      <c r="E236" s="24"/>
      <c r="F236" s="114"/>
      <c r="G236" s="114"/>
      <c r="L236" s="7"/>
    </row>
    <row r="237" spans="1:12" ht="15.75" customHeight="1" x14ac:dyDescent="0.25">
      <c r="A237" s="17"/>
      <c r="B237" s="25"/>
      <c r="C237" s="24"/>
      <c r="D237" s="24"/>
      <c r="E237" s="24"/>
      <c r="F237" s="114"/>
      <c r="G237" s="114"/>
      <c r="L237" s="7"/>
    </row>
    <row r="238" spans="1:12" ht="15.75" customHeight="1" x14ac:dyDescent="0.25">
      <c r="A238" s="17"/>
      <c r="B238" s="25"/>
      <c r="C238" s="24"/>
      <c r="D238" s="24"/>
      <c r="E238" s="24"/>
      <c r="F238" s="114"/>
      <c r="G238" s="114"/>
      <c r="L238" s="7"/>
    </row>
    <row r="239" spans="1:12" ht="15.75" customHeight="1" x14ac:dyDescent="0.25">
      <c r="A239" s="17"/>
      <c r="B239" s="25"/>
      <c r="C239" s="24"/>
      <c r="D239" s="24"/>
      <c r="E239" s="24"/>
      <c r="F239" s="114"/>
      <c r="G239" s="114"/>
      <c r="L239" s="7"/>
    </row>
    <row r="240" spans="1:12" ht="15.75" customHeight="1" x14ac:dyDescent="0.25">
      <c r="A240" s="17"/>
      <c r="B240" s="25"/>
      <c r="C240" s="24"/>
      <c r="D240" s="24"/>
      <c r="E240" s="24"/>
      <c r="F240" s="114"/>
      <c r="G240" s="114"/>
      <c r="L240" s="7"/>
    </row>
    <row r="241" spans="1:12" ht="15.75" customHeight="1" x14ac:dyDescent="0.25">
      <c r="A241" s="17"/>
      <c r="B241" s="25"/>
      <c r="C241" s="24"/>
      <c r="D241" s="24"/>
      <c r="E241" s="24"/>
      <c r="F241" s="114"/>
      <c r="G241" s="114"/>
      <c r="L241" s="7"/>
    </row>
    <row r="242" spans="1:12" ht="15.75" customHeight="1" x14ac:dyDescent="0.25">
      <c r="A242" s="17"/>
      <c r="B242" s="25"/>
      <c r="C242" s="24"/>
      <c r="D242" s="24"/>
      <c r="E242" s="24"/>
      <c r="F242" s="114"/>
      <c r="G242" s="114"/>
      <c r="L242" s="7"/>
    </row>
    <row r="243" spans="1:12" ht="15.75" customHeight="1" x14ac:dyDescent="0.25">
      <c r="A243" s="17"/>
      <c r="B243" s="25"/>
      <c r="C243" s="24"/>
      <c r="D243" s="24"/>
      <c r="E243" s="24"/>
      <c r="F243" s="114"/>
      <c r="G243" s="114"/>
      <c r="L243" s="7"/>
    </row>
    <row r="244" spans="1:12" ht="15.75" customHeight="1" x14ac:dyDescent="0.25">
      <c r="A244" s="17"/>
      <c r="B244" s="25"/>
      <c r="C244" s="24"/>
      <c r="D244" s="24"/>
      <c r="E244" s="24"/>
      <c r="F244" s="114"/>
      <c r="G244" s="114"/>
      <c r="L244" s="7"/>
    </row>
    <row r="245" spans="1:12" ht="15.75" customHeight="1" x14ac:dyDescent="0.25">
      <c r="A245" s="17"/>
      <c r="B245" s="25"/>
      <c r="C245" s="24"/>
      <c r="D245" s="24"/>
      <c r="E245" s="24"/>
      <c r="F245" s="114"/>
      <c r="G245" s="114"/>
      <c r="L245" s="7"/>
    </row>
    <row r="246" spans="1:12" ht="15.75" customHeight="1" x14ac:dyDescent="0.25">
      <c r="A246" s="17"/>
      <c r="B246" s="25"/>
      <c r="C246" s="24"/>
      <c r="D246" s="24"/>
      <c r="E246" s="24"/>
      <c r="F246" s="114"/>
      <c r="G246" s="114"/>
      <c r="L246" s="7"/>
    </row>
    <row r="247" spans="1:12" ht="15.75" customHeight="1" x14ac:dyDescent="0.25">
      <c r="A247" s="17"/>
      <c r="B247" s="25"/>
      <c r="C247" s="24"/>
      <c r="D247" s="24"/>
      <c r="E247" s="24"/>
      <c r="F247" s="114"/>
      <c r="G247" s="114"/>
      <c r="L247" s="7"/>
    </row>
    <row r="248" spans="1:12" ht="15.75" customHeight="1" x14ac:dyDescent="0.25">
      <c r="A248" s="17"/>
      <c r="B248" s="25"/>
      <c r="C248" s="24"/>
      <c r="D248" s="24"/>
      <c r="E248" s="24"/>
      <c r="F248" s="114"/>
      <c r="G248" s="114"/>
      <c r="L248" s="7"/>
    </row>
    <row r="249" spans="1:12" ht="15.75" customHeight="1" x14ac:dyDescent="0.25">
      <c r="A249" s="17"/>
      <c r="B249" s="25"/>
      <c r="C249" s="24"/>
      <c r="D249" s="24"/>
      <c r="E249" s="24"/>
      <c r="F249" s="114"/>
      <c r="G249" s="114"/>
      <c r="L249" s="7"/>
    </row>
    <row r="250" spans="1:12" ht="15.75" customHeight="1" x14ac:dyDescent="0.25">
      <c r="A250" s="17"/>
      <c r="B250" s="25"/>
      <c r="C250" s="24"/>
      <c r="D250" s="24"/>
      <c r="E250" s="24"/>
      <c r="F250" s="114"/>
      <c r="G250" s="114"/>
      <c r="L250" s="7"/>
    </row>
    <row r="251" spans="1:12" ht="15.75" customHeight="1" x14ac:dyDescent="0.25">
      <c r="A251" s="17"/>
      <c r="B251" s="25"/>
      <c r="C251" s="24"/>
      <c r="D251" s="24"/>
      <c r="E251" s="24"/>
      <c r="F251" s="114"/>
      <c r="G251" s="114"/>
      <c r="L251" s="7"/>
    </row>
    <row r="252" spans="1:12" ht="15.75" customHeight="1" x14ac:dyDescent="0.25">
      <c r="A252" s="17"/>
      <c r="B252" s="25"/>
      <c r="C252" s="24"/>
      <c r="D252" s="24"/>
      <c r="E252" s="24"/>
      <c r="F252" s="114"/>
      <c r="G252" s="114"/>
      <c r="L252" s="7"/>
    </row>
    <row r="253" spans="1:12" ht="15.75" customHeight="1" x14ac:dyDescent="0.25">
      <c r="A253" s="17"/>
      <c r="B253" s="25"/>
      <c r="C253" s="24"/>
      <c r="D253" s="24"/>
      <c r="E253" s="24"/>
      <c r="F253" s="114"/>
      <c r="G253" s="114"/>
      <c r="L253" s="7"/>
    </row>
    <row r="254" spans="1:12" ht="15.75" customHeight="1" x14ac:dyDescent="0.25">
      <c r="A254" s="17"/>
      <c r="B254" s="25"/>
      <c r="C254" s="24"/>
      <c r="D254" s="24"/>
      <c r="E254" s="24"/>
      <c r="F254" s="114"/>
      <c r="G254" s="114"/>
      <c r="L254" s="7"/>
    </row>
    <row r="255" spans="1:12" ht="15.75" customHeight="1" x14ac:dyDescent="0.25">
      <c r="A255" s="17"/>
      <c r="B255" s="25"/>
      <c r="C255" s="24"/>
      <c r="D255" s="24"/>
      <c r="E255" s="24"/>
      <c r="F255" s="114"/>
      <c r="G255" s="114"/>
      <c r="L255" s="7"/>
    </row>
    <row r="256" spans="1:12" ht="15.75" customHeight="1" x14ac:dyDescent="0.25">
      <c r="A256" s="17"/>
      <c r="B256" s="25"/>
      <c r="C256" s="24"/>
      <c r="D256" s="24"/>
      <c r="E256" s="24"/>
      <c r="F256" s="114"/>
      <c r="G256" s="114"/>
      <c r="L256" s="7"/>
    </row>
    <row r="257" spans="1:12" ht="15.75" customHeight="1" x14ac:dyDescent="0.25">
      <c r="A257" s="17"/>
      <c r="B257" s="25"/>
      <c r="C257" s="24"/>
      <c r="D257" s="24"/>
      <c r="E257" s="24"/>
      <c r="F257" s="114"/>
      <c r="G257" s="114"/>
      <c r="L257" s="7"/>
    </row>
    <row r="258" spans="1:12" ht="15.75" customHeight="1" x14ac:dyDescent="0.25">
      <c r="A258" s="17"/>
      <c r="B258" s="25"/>
      <c r="C258" s="24"/>
      <c r="D258" s="24"/>
      <c r="E258" s="24"/>
      <c r="F258" s="114"/>
      <c r="G258" s="114"/>
      <c r="L258" s="7"/>
    </row>
    <row r="259" spans="1:12" ht="15.75" customHeight="1" x14ac:dyDescent="0.25">
      <c r="A259" s="17"/>
      <c r="B259" s="25"/>
      <c r="C259" s="24"/>
      <c r="D259" s="24"/>
      <c r="E259" s="24"/>
      <c r="F259" s="114"/>
      <c r="G259" s="114"/>
      <c r="L259" s="7"/>
    </row>
    <row r="260" spans="1:12" ht="15.75" customHeight="1" x14ac:dyDescent="0.25">
      <c r="A260" s="17"/>
      <c r="B260" s="25"/>
      <c r="C260" s="24"/>
      <c r="D260" s="24"/>
      <c r="E260" s="24"/>
      <c r="F260" s="114"/>
      <c r="G260" s="114"/>
      <c r="L260" s="7"/>
    </row>
    <row r="261" spans="1:12" ht="15.75" customHeight="1" x14ac:dyDescent="0.25">
      <c r="A261" s="17"/>
      <c r="B261" s="25"/>
      <c r="C261" s="24"/>
      <c r="D261" s="24"/>
      <c r="E261" s="24"/>
      <c r="F261" s="114"/>
      <c r="G261" s="114"/>
      <c r="L261" s="7"/>
    </row>
    <row r="262" spans="1:12" ht="15.75" customHeight="1" x14ac:dyDescent="0.25">
      <c r="A262" s="17"/>
      <c r="B262" s="25"/>
      <c r="C262" s="24"/>
      <c r="D262" s="24"/>
      <c r="E262" s="24"/>
      <c r="F262" s="114"/>
      <c r="G262" s="114"/>
      <c r="L262" s="7"/>
    </row>
    <row r="263" spans="1:12" ht="15.75" customHeight="1" x14ac:dyDescent="0.25">
      <c r="A263" s="17"/>
      <c r="B263" s="25"/>
      <c r="C263" s="24"/>
      <c r="D263" s="24"/>
      <c r="E263" s="24"/>
      <c r="F263" s="114"/>
      <c r="G263" s="114"/>
      <c r="L263" s="7"/>
    </row>
    <row r="264" spans="1:12" ht="15.75" customHeight="1" x14ac:dyDescent="0.25">
      <c r="A264" s="17"/>
      <c r="B264" s="25"/>
      <c r="C264" s="24"/>
      <c r="D264" s="24"/>
      <c r="E264" s="24"/>
      <c r="F264" s="114"/>
      <c r="G264" s="114"/>
      <c r="L264" s="7"/>
    </row>
    <row r="265" spans="1:12" ht="15.75" customHeight="1" x14ac:dyDescent="0.25">
      <c r="A265" s="17"/>
      <c r="B265" s="25"/>
      <c r="C265" s="24"/>
      <c r="D265" s="24"/>
      <c r="E265" s="24"/>
      <c r="F265" s="114"/>
      <c r="G265" s="114"/>
      <c r="L265" s="7"/>
    </row>
    <row r="266" spans="1:12" ht="15.75" customHeight="1" x14ac:dyDescent="0.25">
      <c r="A266" s="17"/>
      <c r="B266" s="25"/>
      <c r="C266" s="24"/>
      <c r="D266" s="24"/>
      <c r="E266" s="24"/>
      <c r="F266" s="114"/>
      <c r="G266" s="114"/>
      <c r="L266" s="7"/>
    </row>
    <row r="267" spans="1:12" ht="15.75" customHeight="1" x14ac:dyDescent="0.25">
      <c r="A267" s="17"/>
      <c r="B267" s="25"/>
      <c r="C267" s="24"/>
      <c r="D267" s="24"/>
      <c r="E267" s="24"/>
      <c r="F267" s="114"/>
      <c r="G267" s="114"/>
      <c r="L267" s="7"/>
    </row>
    <row r="268" spans="1:12" ht="15.75" customHeight="1" x14ac:dyDescent="0.25">
      <c r="A268" s="17"/>
      <c r="B268" s="25"/>
      <c r="C268" s="24"/>
      <c r="D268" s="24"/>
      <c r="E268" s="24"/>
      <c r="F268" s="114"/>
      <c r="G268" s="114"/>
      <c r="L268" s="7"/>
    </row>
    <row r="269" spans="1:12" ht="15.75" customHeight="1" x14ac:dyDescent="0.25">
      <c r="A269" s="17"/>
      <c r="B269" s="25"/>
      <c r="C269" s="24"/>
      <c r="D269" s="24"/>
      <c r="E269" s="24"/>
      <c r="F269" s="114"/>
      <c r="G269" s="114"/>
      <c r="L269" s="7"/>
    </row>
    <row r="270" spans="1:12" ht="15.75" customHeight="1" x14ac:dyDescent="0.25">
      <c r="A270" s="17"/>
      <c r="B270" s="25"/>
      <c r="C270" s="24"/>
      <c r="D270" s="24"/>
      <c r="E270" s="24"/>
      <c r="F270" s="114"/>
      <c r="G270" s="114"/>
      <c r="L270" s="7"/>
    </row>
    <row r="271" spans="1:12" ht="15.75" customHeight="1" x14ac:dyDescent="0.25">
      <c r="A271" s="17"/>
      <c r="B271" s="25"/>
      <c r="C271" s="24"/>
      <c r="D271" s="24"/>
      <c r="E271" s="24"/>
      <c r="F271" s="114"/>
      <c r="G271" s="114"/>
      <c r="L271" s="7"/>
    </row>
    <row r="272" spans="1:12" ht="15.75" customHeight="1" x14ac:dyDescent="0.25">
      <c r="A272" s="17"/>
      <c r="B272" s="25"/>
      <c r="C272" s="24"/>
      <c r="D272" s="24"/>
      <c r="E272" s="24"/>
      <c r="F272" s="114"/>
      <c r="G272" s="114"/>
      <c r="L272" s="7"/>
    </row>
    <row r="273" spans="1:12" ht="15.75" customHeight="1" x14ac:dyDescent="0.25">
      <c r="A273" s="17"/>
      <c r="B273" s="25"/>
      <c r="C273" s="24"/>
      <c r="D273" s="24"/>
      <c r="E273" s="24"/>
      <c r="F273" s="114"/>
      <c r="G273" s="114"/>
      <c r="L273" s="7"/>
    </row>
    <row r="274" spans="1:12" ht="15.75" customHeight="1" x14ac:dyDescent="0.25">
      <c r="A274" s="17"/>
      <c r="B274" s="25"/>
      <c r="C274" s="24"/>
      <c r="D274" s="24"/>
      <c r="E274" s="24"/>
      <c r="F274" s="114"/>
      <c r="G274" s="114"/>
      <c r="L274" s="7"/>
    </row>
    <row r="275" spans="1:12" ht="15.75" customHeight="1" x14ac:dyDescent="0.25">
      <c r="A275" s="17"/>
      <c r="B275" s="25"/>
      <c r="C275" s="24"/>
      <c r="D275" s="24"/>
      <c r="E275" s="24"/>
      <c r="F275" s="114"/>
      <c r="G275" s="114"/>
      <c r="L275" s="7"/>
    </row>
    <row r="276" spans="1:12" ht="15.75" customHeight="1" x14ac:dyDescent="0.25">
      <c r="A276" s="17"/>
      <c r="B276" s="25"/>
      <c r="C276" s="24"/>
      <c r="D276" s="24"/>
      <c r="E276" s="24"/>
      <c r="F276" s="114"/>
      <c r="G276" s="114"/>
      <c r="L276" s="7"/>
    </row>
    <row r="277" spans="1:12" ht="15.75" customHeight="1" x14ac:dyDescent="0.25">
      <c r="A277" s="17"/>
      <c r="B277" s="25"/>
      <c r="C277" s="24"/>
      <c r="D277" s="24"/>
      <c r="E277" s="24"/>
      <c r="F277" s="114"/>
      <c r="G277" s="114"/>
      <c r="L277" s="7"/>
    </row>
    <row r="278" spans="1:12" ht="15.75" customHeight="1" x14ac:dyDescent="0.25"/>
    <row r="279" spans="1:12" ht="15.75" customHeight="1" x14ac:dyDescent="0.25"/>
    <row r="280" spans="1:12" ht="15.75" customHeight="1" x14ac:dyDescent="0.25"/>
    <row r="281" spans="1:12" ht="15.75" customHeight="1" x14ac:dyDescent="0.25"/>
    <row r="282" spans="1:12" ht="15.75" customHeight="1" x14ac:dyDescent="0.25"/>
    <row r="283" spans="1:12" ht="15.75" customHeight="1" x14ac:dyDescent="0.25"/>
    <row r="284" spans="1:12" ht="15.75" customHeight="1" x14ac:dyDescent="0.25"/>
    <row r="285" spans="1:12" ht="15.75" customHeight="1" x14ac:dyDescent="0.25"/>
    <row r="286" spans="1:12" ht="15.75" customHeight="1" x14ac:dyDescent="0.25"/>
    <row r="287" spans="1:12" ht="15.75" customHeight="1" x14ac:dyDescent="0.25"/>
    <row r="288" spans="1:12"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sheetData>
  <mergeCells count="21">
    <mergeCell ref="G27:G28"/>
    <mergeCell ref="F28:F29"/>
    <mergeCell ref="B27:B30"/>
    <mergeCell ref="B48:B51"/>
    <mergeCell ref="C48:C49"/>
    <mergeCell ref="D48:F48"/>
    <mergeCell ref="G48:G49"/>
    <mergeCell ref="F49:F50"/>
    <mergeCell ref="C27:C28"/>
    <mergeCell ref="D27:F27"/>
    <mergeCell ref="A47:G47"/>
    <mergeCell ref="A27:A30"/>
    <mergeCell ref="A48:A51"/>
    <mergeCell ref="A26:G26"/>
    <mergeCell ref="C8:C9"/>
    <mergeCell ref="A7:G7"/>
    <mergeCell ref="D8:F8"/>
    <mergeCell ref="G8:G9"/>
    <mergeCell ref="F9:F10"/>
    <mergeCell ref="A8:A11"/>
    <mergeCell ref="B8:B11"/>
  </mergeCells>
  <pageMargins left="0.39370078740157483" right="0.39370078740157483" top="0.39370078740157483" bottom="0.39370078740157483" header="0" footer="0"/>
  <pageSetup paperSize="9" scale="90" fitToHeight="0" orientation="portrait" r:id="rId1"/>
  <rowBreaks count="1" manualBreakCount="1">
    <brk id="40" max="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14"/>
  <sheetViews>
    <sheetView view="pageBreakPreview" zoomScale="115" zoomScaleNormal="100" zoomScaleSheetLayoutView="115" workbookViewId="0">
      <selection activeCell="A6" sqref="A6"/>
    </sheetView>
  </sheetViews>
  <sheetFormatPr defaultColWidth="14.42578125" defaultRowHeight="15" customHeight="1" x14ac:dyDescent="0.25"/>
  <cols>
    <col min="1" max="1" width="76.85546875" customWidth="1"/>
    <col min="2" max="2" width="15" customWidth="1"/>
    <col min="3" max="6" width="17.7109375" hidden="1" customWidth="1"/>
    <col min="7" max="7" width="17.7109375" customWidth="1"/>
    <col min="8" max="8" width="14" customWidth="1"/>
    <col min="9" max="9" width="12.28515625" customWidth="1"/>
    <col min="10" max="10" width="10.28515625" customWidth="1"/>
    <col min="11" max="11" width="12.28515625" customWidth="1"/>
    <col min="12" max="26" width="10.28515625" customWidth="1"/>
  </cols>
  <sheetData>
    <row r="1" spans="1:26" ht="15.75" customHeight="1" x14ac:dyDescent="0.25">
      <c r="A1" s="9"/>
      <c r="B1" s="10"/>
      <c r="C1" s="11"/>
      <c r="D1" s="11"/>
      <c r="E1" s="11"/>
      <c r="F1" s="10"/>
      <c r="G1" s="13"/>
      <c r="H1" s="167"/>
      <c r="I1" s="167"/>
      <c r="J1" s="15"/>
      <c r="K1" s="16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67"/>
      <c r="I2" s="167"/>
      <c r="J2" s="15"/>
      <c r="K2" s="16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67"/>
      <c r="I3" s="167"/>
      <c r="J3" s="15"/>
      <c r="K3" s="16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67"/>
      <c r="I4" s="167"/>
      <c r="J4" s="15"/>
      <c r="K4" s="167"/>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67"/>
      <c r="I5" s="167"/>
      <c r="J5" s="15"/>
      <c r="K5" s="167"/>
      <c r="L5" s="15"/>
      <c r="M5" s="15"/>
      <c r="N5" s="15"/>
      <c r="O5" s="15"/>
      <c r="P5" s="15"/>
      <c r="Q5" s="15"/>
      <c r="R5" s="15"/>
      <c r="S5" s="15"/>
      <c r="T5" s="15"/>
      <c r="U5" s="15"/>
      <c r="V5" s="15"/>
      <c r="W5" s="15"/>
      <c r="X5" s="15"/>
      <c r="Y5" s="15"/>
      <c r="Z5" s="15"/>
    </row>
    <row r="6" spans="1:26" ht="15.75" customHeight="1" x14ac:dyDescent="0.25">
      <c r="A6" s="17" t="s">
        <v>2262</v>
      </c>
      <c r="B6" s="24"/>
      <c r="C6" s="25"/>
      <c r="D6" s="25"/>
      <c r="E6" s="25"/>
      <c r="F6" s="24"/>
      <c r="G6" s="19"/>
      <c r="H6" s="167"/>
      <c r="I6" s="167"/>
      <c r="J6" s="15"/>
      <c r="K6" s="16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67"/>
      <c r="I7" s="167"/>
      <c r="J7" s="15"/>
      <c r="K7" s="16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67"/>
      <c r="I8" s="167"/>
      <c r="J8" s="15"/>
      <c r="K8" s="16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67"/>
      <c r="I9" s="167"/>
      <c r="J9" s="15"/>
      <c r="K9" s="16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67"/>
      <c r="I10" s="167"/>
      <c r="J10" s="15"/>
      <c r="K10" s="16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67"/>
      <c r="I11" s="167"/>
      <c r="J11" s="15"/>
      <c r="K11" s="16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67"/>
      <c r="I12" s="167"/>
      <c r="J12" s="15"/>
      <c r="K12" s="167"/>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212"/>
      <c r="I13" s="168"/>
      <c r="K13" s="168"/>
    </row>
    <row r="14" spans="1:26" ht="15.75" customHeight="1" x14ac:dyDescent="0.25">
      <c r="A14" s="17" t="s">
        <v>365</v>
      </c>
      <c r="B14" s="172"/>
      <c r="C14" s="42"/>
      <c r="D14" s="42"/>
      <c r="E14" s="42"/>
      <c r="F14" s="42"/>
      <c r="G14" s="42"/>
      <c r="H14" s="212"/>
      <c r="I14" s="168"/>
      <c r="K14" s="168"/>
    </row>
    <row r="15" spans="1:26" ht="15.75" customHeight="1" x14ac:dyDescent="0.25">
      <c r="A15" s="17" t="s">
        <v>366</v>
      </c>
      <c r="B15" s="172"/>
      <c r="C15" s="42"/>
      <c r="D15" s="42"/>
      <c r="E15" s="42"/>
      <c r="F15" s="42"/>
      <c r="G15" s="42"/>
      <c r="H15" s="212"/>
      <c r="I15" s="168"/>
      <c r="K15" s="168"/>
    </row>
    <row r="16" spans="1:26" ht="15.75" customHeight="1" x14ac:dyDescent="0.25">
      <c r="A16" s="48" t="s">
        <v>367</v>
      </c>
      <c r="B16" s="41" t="s">
        <v>121</v>
      </c>
      <c r="C16" s="43">
        <v>13052356.16</v>
      </c>
      <c r="D16" s="43">
        <v>6761229.6399999997</v>
      </c>
      <c r="E16" s="43">
        <f>F16-D16</f>
        <v>8735846.3599999994</v>
      </c>
      <c r="F16" s="43">
        <v>15497076</v>
      </c>
      <c r="G16" s="43">
        <v>16263900</v>
      </c>
      <c r="H16" s="212"/>
      <c r="I16" s="168"/>
      <c r="K16" s="168"/>
    </row>
    <row r="17" spans="1:11" ht="15.75" customHeight="1" x14ac:dyDescent="0.25">
      <c r="A17" s="17" t="s">
        <v>368</v>
      </c>
      <c r="B17" s="41"/>
      <c r="C17" s="43"/>
      <c r="D17" s="43"/>
      <c r="E17" s="43"/>
      <c r="F17" s="43"/>
      <c r="G17" s="43"/>
      <c r="H17" s="212"/>
      <c r="I17" s="168"/>
      <c r="K17" s="168"/>
    </row>
    <row r="18" spans="1:11" ht="15.75" customHeight="1" x14ac:dyDescent="0.25">
      <c r="A18" s="48" t="s">
        <v>369</v>
      </c>
      <c r="B18" s="41" t="s">
        <v>125</v>
      </c>
      <c r="C18" s="43">
        <v>618019.78</v>
      </c>
      <c r="D18" s="43">
        <v>310867.5</v>
      </c>
      <c r="E18" s="43">
        <f t="shared" ref="E18:E23" si="0">F18-D18</f>
        <v>385132.5</v>
      </c>
      <c r="F18" s="43">
        <v>696000</v>
      </c>
      <c r="G18" s="43">
        <v>696000</v>
      </c>
      <c r="H18" s="212"/>
      <c r="I18" s="168"/>
      <c r="K18" s="168"/>
    </row>
    <row r="19" spans="1:11" ht="15.75" customHeight="1" x14ac:dyDescent="0.25">
      <c r="A19" s="48" t="s">
        <v>370</v>
      </c>
      <c r="B19" s="41" t="s">
        <v>127</v>
      </c>
      <c r="C19" s="43">
        <v>213875</v>
      </c>
      <c r="D19" s="43">
        <v>108000</v>
      </c>
      <c r="E19" s="43">
        <f t="shared" si="0"/>
        <v>108000</v>
      </c>
      <c r="F19" s="43">
        <v>216000</v>
      </c>
      <c r="G19" s="43">
        <v>216000</v>
      </c>
      <c r="H19" s="212"/>
      <c r="I19" s="168"/>
      <c r="K19" s="168"/>
    </row>
    <row r="20" spans="1:11" ht="15.75" customHeight="1" x14ac:dyDescent="0.25">
      <c r="A20" s="48" t="s">
        <v>371</v>
      </c>
      <c r="B20" s="41" t="s">
        <v>372</v>
      </c>
      <c r="C20" s="43">
        <v>213875</v>
      </c>
      <c r="D20" s="43">
        <v>108000</v>
      </c>
      <c r="E20" s="43">
        <f t="shared" si="0"/>
        <v>108000</v>
      </c>
      <c r="F20" s="43">
        <v>216000</v>
      </c>
      <c r="G20" s="43">
        <v>216000</v>
      </c>
      <c r="H20" s="212"/>
      <c r="I20" s="168"/>
      <c r="K20" s="168"/>
    </row>
    <row r="21" spans="1:11" ht="15.75" customHeight="1" x14ac:dyDescent="0.25">
      <c r="A21" s="48" t="s">
        <v>373</v>
      </c>
      <c r="B21" s="41" t="s">
        <v>131</v>
      </c>
      <c r="C21" s="43">
        <v>182000</v>
      </c>
      <c r="D21" s="43">
        <v>182000</v>
      </c>
      <c r="E21" s="43">
        <f t="shared" si="0"/>
        <v>21000</v>
      </c>
      <c r="F21" s="43">
        <v>203000</v>
      </c>
      <c r="G21" s="43">
        <v>203000</v>
      </c>
      <c r="H21" s="212"/>
      <c r="I21" s="168"/>
      <c r="K21" s="168"/>
    </row>
    <row r="22" spans="1:11" ht="15.75" customHeight="1" x14ac:dyDescent="0.25">
      <c r="A22" s="48" t="s">
        <v>374</v>
      </c>
      <c r="B22" s="41" t="s">
        <v>151</v>
      </c>
      <c r="C22" s="43">
        <v>1127727</v>
      </c>
      <c r="D22" s="43">
        <v>13877.57</v>
      </c>
      <c r="E22" s="43">
        <f t="shared" si="0"/>
        <v>1277545.43</v>
      </c>
      <c r="F22" s="43">
        <v>1291423</v>
      </c>
      <c r="G22" s="43">
        <v>1355325</v>
      </c>
      <c r="H22" s="212"/>
      <c r="I22" s="168"/>
      <c r="K22" s="168"/>
    </row>
    <row r="23" spans="1:11" ht="15.75" customHeight="1" x14ac:dyDescent="0.25">
      <c r="A23" s="48" t="s">
        <v>375</v>
      </c>
      <c r="B23" s="41" t="s">
        <v>153</v>
      </c>
      <c r="C23" s="43">
        <v>130000</v>
      </c>
      <c r="D23" s="43">
        <v>0</v>
      </c>
      <c r="E23" s="43">
        <f t="shared" si="0"/>
        <v>145000</v>
      </c>
      <c r="F23" s="43">
        <v>145000</v>
      </c>
      <c r="G23" s="43">
        <v>145000</v>
      </c>
      <c r="H23" s="212"/>
      <c r="I23" s="168"/>
      <c r="K23" s="168"/>
    </row>
    <row r="24" spans="1:11" ht="15.75" customHeight="1" x14ac:dyDescent="0.25">
      <c r="A24" s="48" t="s">
        <v>376</v>
      </c>
      <c r="B24" s="41" t="s">
        <v>155</v>
      </c>
      <c r="C24" s="43"/>
      <c r="D24" s="43"/>
      <c r="E24" s="43"/>
      <c r="F24" s="43"/>
      <c r="G24" s="43"/>
      <c r="H24" s="212"/>
      <c r="I24" s="168"/>
      <c r="K24" s="168"/>
    </row>
    <row r="25" spans="1:11" ht="15.75" customHeight="1" x14ac:dyDescent="0.25">
      <c r="A25" s="48" t="s">
        <v>377</v>
      </c>
      <c r="B25" s="41" t="s">
        <v>157</v>
      </c>
      <c r="C25" s="43">
        <v>10000</v>
      </c>
      <c r="D25" s="43">
        <v>0</v>
      </c>
      <c r="E25" s="43">
        <f t="shared" ref="E25:E27" si="1">F25-D25</f>
        <v>0</v>
      </c>
      <c r="F25" s="43"/>
      <c r="G25" s="43">
        <v>5000</v>
      </c>
      <c r="H25" s="212"/>
      <c r="I25" s="168"/>
      <c r="K25" s="168"/>
    </row>
    <row r="26" spans="1:11" ht="15.75" customHeight="1" x14ac:dyDescent="0.25">
      <c r="A26" s="48" t="s">
        <v>1227</v>
      </c>
      <c r="B26" s="41" t="s">
        <v>159</v>
      </c>
      <c r="C26" s="43"/>
      <c r="D26" s="43">
        <v>78000</v>
      </c>
      <c r="E26" s="43">
        <f t="shared" si="1"/>
        <v>9000</v>
      </c>
      <c r="F26" s="43">
        <v>87000</v>
      </c>
      <c r="G26" s="43">
        <v>0</v>
      </c>
      <c r="H26" s="212"/>
      <c r="I26" s="168"/>
      <c r="K26" s="168"/>
    </row>
    <row r="27" spans="1:11" ht="15.75" customHeight="1" x14ac:dyDescent="0.25">
      <c r="A27" s="48" t="s">
        <v>379</v>
      </c>
      <c r="B27" s="41" t="s">
        <v>161</v>
      </c>
      <c r="C27" s="43">
        <v>1075908</v>
      </c>
      <c r="D27" s="43">
        <v>1130073</v>
      </c>
      <c r="E27" s="43">
        <f t="shared" si="1"/>
        <v>161350</v>
      </c>
      <c r="F27" s="43">
        <v>1291423</v>
      </c>
      <c r="G27" s="43">
        <v>1355325</v>
      </c>
      <c r="H27" s="212"/>
      <c r="I27" s="168"/>
      <c r="K27" s="168"/>
    </row>
    <row r="28" spans="1:11" ht="15.75" customHeight="1" x14ac:dyDescent="0.25">
      <c r="A28" s="17" t="s">
        <v>380</v>
      </c>
      <c r="B28" s="41"/>
      <c r="C28" s="43"/>
      <c r="D28" s="43"/>
      <c r="E28" s="43"/>
      <c r="F28" s="43"/>
      <c r="G28" s="43"/>
      <c r="H28" s="212"/>
      <c r="I28" s="168"/>
      <c r="K28" s="168"/>
    </row>
    <row r="29" spans="1:11" ht="15.75" customHeight="1" x14ac:dyDescent="0.25">
      <c r="A29" s="48" t="s">
        <v>381</v>
      </c>
      <c r="B29" s="41" t="s">
        <v>165</v>
      </c>
      <c r="C29" s="43">
        <v>1580020.21</v>
      </c>
      <c r="D29" s="43">
        <v>819978.62</v>
      </c>
      <c r="E29" s="43">
        <f t="shared" ref="E29:E32" si="2">F29-D29</f>
        <v>1039671.38</v>
      </c>
      <c r="F29" s="43">
        <v>1859650</v>
      </c>
      <c r="G29" s="43">
        <v>1951668</v>
      </c>
      <c r="H29" s="212"/>
      <c r="I29" s="168"/>
      <c r="K29" s="168"/>
    </row>
    <row r="30" spans="1:11" ht="15.75" customHeight="1" x14ac:dyDescent="0.25">
      <c r="A30" s="48" t="s">
        <v>382</v>
      </c>
      <c r="B30" s="41" t="s">
        <v>167</v>
      </c>
      <c r="C30" s="43">
        <v>263336.68</v>
      </c>
      <c r="D30" s="43">
        <v>136663.1</v>
      </c>
      <c r="E30" s="43">
        <f t="shared" si="2"/>
        <v>173278.9</v>
      </c>
      <c r="F30" s="43">
        <v>309942</v>
      </c>
      <c r="G30" s="43">
        <v>325278</v>
      </c>
      <c r="H30" s="212"/>
      <c r="I30" s="168"/>
      <c r="K30" s="168"/>
    </row>
    <row r="31" spans="1:11" ht="15.75" customHeight="1" x14ac:dyDescent="0.25">
      <c r="A31" s="48" t="s">
        <v>383</v>
      </c>
      <c r="B31" s="41" t="s">
        <v>169</v>
      </c>
      <c r="C31" s="43">
        <v>323194.45</v>
      </c>
      <c r="D31" s="43">
        <v>167360.74</v>
      </c>
      <c r="E31" s="43">
        <f t="shared" si="2"/>
        <v>213142.26</v>
      </c>
      <c r="F31" s="43">
        <v>380503</v>
      </c>
      <c r="G31" s="43">
        <v>398144</v>
      </c>
      <c r="H31" s="212"/>
      <c r="I31" s="168"/>
      <c r="K31" s="168"/>
    </row>
    <row r="32" spans="1:11" ht="15.75" customHeight="1" x14ac:dyDescent="0.25">
      <c r="A32" s="48" t="s">
        <v>384</v>
      </c>
      <c r="B32" s="41" t="s">
        <v>171</v>
      </c>
      <c r="C32" s="43">
        <v>31200</v>
      </c>
      <c r="D32" s="43">
        <v>15700</v>
      </c>
      <c r="E32" s="43">
        <f t="shared" si="2"/>
        <v>19100</v>
      </c>
      <c r="F32" s="43">
        <v>34800</v>
      </c>
      <c r="G32" s="43">
        <v>34800</v>
      </c>
      <c r="H32" s="212"/>
      <c r="I32" s="168"/>
      <c r="K32" s="168"/>
    </row>
    <row r="33" spans="1:26" ht="15.75" customHeight="1" x14ac:dyDescent="0.25">
      <c r="A33" s="17" t="s">
        <v>624</v>
      </c>
      <c r="B33" s="41"/>
      <c r="C33" s="43"/>
      <c r="D33" s="43"/>
      <c r="E33" s="43"/>
      <c r="F33" s="43"/>
      <c r="G33" s="43"/>
      <c r="H33" s="212"/>
      <c r="I33" s="168"/>
      <c r="K33" s="168"/>
    </row>
    <row r="34" spans="1:26" ht="15.75" customHeight="1" x14ac:dyDescent="0.25">
      <c r="A34" s="48" t="s">
        <v>387</v>
      </c>
      <c r="B34" s="41" t="s">
        <v>181</v>
      </c>
      <c r="C34" s="43">
        <v>153271.57999999999</v>
      </c>
      <c r="D34" s="43">
        <v>356206.9</v>
      </c>
      <c r="E34" s="43">
        <f t="shared" ref="E34:E35" si="3">F34-D34</f>
        <v>266165.09999999998</v>
      </c>
      <c r="F34" s="43">
        <v>622372</v>
      </c>
      <c r="G34" s="43">
        <v>653168</v>
      </c>
      <c r="H34" s="212"/>
      <c r="I34" s="168"/>
      <c r="K34" s="168"/>
    </row>
    <row r="35" spans="1:26" ht="15.75" customHeight="1" x14ac:dyDescent="0.25">
      <c r="A35" s="48" t="s">
        <v>388</v>
      </c>
      <c r="B35" s="41" t="s">
        <v>183</v>
      </c>
      <c r="C35" s="43">
        <v>130000</v>
      </c>
      <c r="D35" s="43">
        <v>0</v>
      </c>
      <c r="E35" s="43">
        <f t="shared" si="3"/>
        <v>145000</v>
      </c>
      <c r="F35" s="43">
        <v>145000</v>
      </c>
      <c r="G35" s="43">
        <v>145000</v>
      </c>
      <c r="H35" s="212"/>
      <c r="I35" s="168"/>
      <c r="K35" s="168"/>
    </row>
    <row r="36" spans="1:26" ht="31.5" x14ac:dyDescent="0.25">
      <c r="A36" s="117" t="s">
        <v>1465</v>
      </c>
      <c r="B36" s="41"/>
      <c r="C36" s="43">
        <v>0</v>
      </c>
      <c r="D36" s="43">
        <v>0</v>
      </c>
      <c r="E36" s="43">
        <v>0</v>
      </c>
      <c r="F36" s="43">
        <v>0</v>
      </c>
      <c r="G36" s="43">
        <v>463833</v>
      </c>
      <c r="H36" s="212"/>
      <c r="I36" s="212"/>
      <c r="J36" s="114"/>
      <c r="K36" s="212"/>
      <c r="L36" s="114"/>
      <c r="M36" s="114"/>
      <c r="N36" s="114"/>
      <c r="O36" s="114"/>
      <c r="P36" s="114"/>
      <c r="Q36" s="114"/>
      <c r="R36" s="114"/>
      <c r="S36" s="114"/>
      <c r="T36" s="114"/>
      <c r="U36" s="114"/>
      <c r="V36" s="114"/>
      <c r="W36" s="114"/>
      <c r="X36" s="114"/>
      <c r="Y36" s="114"/>
      <c r="Z36" s="114"/>
    </row>
    <row r="37" spans="1:26" ht="15.75" customHeight="1" x14ac:dyDescent="0.25">
      <c r="A37" s="474" t="s">
        <v>632</v>
      </c>
      <c r="B37" s="437"/>
      <c r="C37" s="54">
        <f t="shared" ref="C37:G37" si="4">SUM(C16:C36)</f>
        <v>19104783.859999996</v>
      </c>
      <c r="D37" s="54">
        <f t="shared" si="4"/>
        <v>10187957.07</v>
      </c>
      <c r="E37" s="54">
        <f t="shared" si="4"/>
        <v>12807231.93</v>
      </c>
      <c r="F37" s="54">
        <f t="shared" si="4"/>
        <v>22995189</v>
      </c>
      <c r="G37" s="54">
        <f t="shared" si="4"/>
        <v>24427441</v>
      </c>
      <c r="H37" s="280"/>
      <c r="I37" s="280"/>
      <c r="J37" s="176"/>
      <c r="K37" s="280"/>
      <c r="L37" s="176"/>
      <c r="M37" s="176"/>
      <c r="N37" s="176"/>
      <c r="O37" s="176"/>
      <c r="P37" s="176"/>
      <c r="Q37" s="176"/>
      <c r="R37" s="176"/>
      <c r="S37" s="176"/>
      <c r="T37" s="176"/>
      <c r="U37" s="176"/>
      <c r="V37" s="176"/>
      <c r="W37" s="176"/>
      <c r="X37" s="176"/>
      <c r="Y37" s="176"/>
      <c r="Z37" s="176"/>
    </row>
    <row r="38" spans="1:26" ht="15.75" customHeight="1" x14ac:dyDescent="0.25">
      <c r="A38" s="474"/>
      <c r="B38" s="475"/>
      <c r="C38" s="449"/>
      <c r="D38" s="497"/>
      <c r="E38" s="448"/>
      <c r="F38" s="448"/>
      <c r="G38" s="448"/>
      <c r="H38" s="451"/>
      <c r="I38" s="451"/>
      <c r="J38" s="450"/>
      <c r="K38" s="451"/>
      <c r="L38" s="450"/>
      <c r="M38" s="450"/>
      <c r="N38" s="450"/>
      <c r="O38" s="450"/>
      <c r="P38" s="450"/>
      <c r="Q38" s="450"/>
      <c r="R38" s="450"/>
      <c r="S38" s="450"/>
      <c r="T38" s="450"/>
      <c r="U38" s="450"/>
      <c r="V38" s="450"/>
      <c r="W38" s="450"/>
      <c r="X38" s="450"/>
      <c r="Y38" s="450"/>
      <c r="Z38" s="450"/>
    </row>
    <row r="39" spans="1:26" ht="15.75" customHeight="1" x14ac:dyDescent="0.25">
      <c r="A39" s="474" t="s">
        <v>391</v>
      </c>
      <c r="B39" s="475"/>
      <c r="C39" s="367"/>
      <c r="D39" s="81"/>
      <c r="E39" s="55"/>
      <c r="F39" s="586"/>
      <c r="G39" s="520"/>
      <c r="H39" s="292"/>
      <c r="I39" s="292"/>
      <c r="J39" s="178"/>
      <c r="K39" s="292"/>
      <c r="L39" s="178"/>
      <c r="M39" s="178"/>
      <c r="N39" s="178"/>
      <c r="O39" s="178"/>
      <c r="P39" s="178"/>
      <c r="Q39" s="178"/>
      <c r="R39" s="178"/>
      <c r="S39" s="178"/>
      <c r="T39" s="178"/>
      <c r="U39" s="178"/>
      <c r="V39" s="178"/>
      <c r="W39" s="178"/>
      <c r="X39" s="178"/>
      <c r="Y39" s="178"/>
      <c r="Z39" s="178"/>
    </row>
    <row r="40" spans="1:26" ht="15.75" customHeight="1" x14ac:dyDescent="0.25">
      <c r="A40" s="474" t="s">
        <v>642</v>
      </c>
      <c r="B40" s="478"/>
      <c r="C40" s="43"/>
      <c r="D40" s="43"/>
      <c r="E40" s="43"/>
      <c r="F40" s="43"/>
      <c r="G40" s="43"/>
      <c r="H40" s="212"/>
      <c r="I40" s="168"/>
      <c r="K40" s="168"/>
    </row>
    <row r="41" spans="1:26" ht="15.75" customHeight="1" x14ac:dyDescent="0.25">
      <c r="A41" s="701" t="s">
        <v>393</v>
      </c>
      <c r="B41" s="49" t="s">
        <v>187</v>
      </c>
      <c r="C41" s="45">
        <v>242324.24</v>
      </c>
      <c r="D41" s="45">
        <v>79826</v>
      </c>
      <c r="E41" s="43">
        <f>F41-D41</f>
        <v>120174</v>
      </c>
      <c r="F41" s="45">
        <v>200000</v>
      </c>
      <c r="G41" s="45">
        <v>300000</v>
      </c>
      <c r="H41" s="212"/>
      <c r="I41" s="168"/>
      <c r="K41" s="168"/>
    </row>
    <row r="42" spans="1:26" ht="15.75" customHeight="1" x14ac:dyDescent="0.25">
      <c r="A42" s="42" t="s">
        <v>493</v>
      </c>
      <c r="B42" s="41"/>
      <c r="C42" s="43"/>
      <c r="D42" s="43"/>
      <c r="E42" s="43"/>
      <c r="F42" s="43"/>
      <c r="G42" s="43"/>
      <c r="H42" s="212"/>
      <c r="I42" s="168"/>
      <c r="K42" s="168"/>
    </row>
    <row r="43" spans="1:26" ht="15.75" customHeight="1" x14ac:dyDescent="0.25">
      <c r="A43" s="48" t="s">
        <v>396</v>
      </c>
      <c r="B43" s="41" t="s">
        <v>191</v>
      </c>
      <c r="C43" s="43">
        <v>158895.66</v>
      </c>
      <c r="D43" s="43">
        <v>143511.60999999999</v>
      </c>
      <c r="E43" s="43">
        <f>F43-D43</f>
        <v>156488.39000000001</v>
      </c>
      <c r="F43" s="43">
        <v>300000</v>
      </c>
      <c r="G43" s="43">
        <v>400000</v>
      </c>
      <c r="H43" s="212"/>
      <c r="I43" s="168"/>
      <c r="K43" s="168"/>
    </row>
    <row r="44" spans="1:26" ht="15.75" customHeight="1" x14ac:dyDescent="0.25">
      <c r="A44" s="17" t="s">
        <v>499</v>
      </c>
      <c r="B44" s="20"/>
      <c r="C44" s="56"/>
      <c r="D44" s="56"/>
      <c r="E44" s="56"/>
      <c r="F44" s="56"/>
      <c r="G44" s="43"/>
      <c r="H44" s="212"/>
      <c r="I44" s="168"/>
      <c r="K44" s="168"/>
    </row>
    <row r="45" spans="1:26" ht="15.75" customHeight="1" x14ac:dyDescent="0.25">
      <c r="A45" s="48" t="s">
        <v>398</v>
      </c>
      <c r="B45" s="41" t="s">
        <v>195</v>
      </c>
      <c r="C45" s="43">
        <v>1453433.12</v>
      </c>
      <c r="D45" s="43">
        <v>449121.41</v>
      </c>
      <c r="E45" s="43">
        <f t="shared" ref="E45:E48" si="5">F45-D45</f>
        <v>925181.59000000008</v>
      </c>
      <c r="F45" s="43">
        <v>1374303</v>
      </c>
      <c r="G45" s="43">
        <v>1324142</v>
      </c>
      <c r="H45" s="212"/>
      <c r="I45" s="168"/>
      <c r="K45" s="168"/>
    </row>
    <row r="46" spans="1:26" ht="15.75" customHeight="1" x14ac:dyDescent="0.25">
      <c r="A46" s="370" t="s">
        <v>400</v>
      </c>
      <c r="B46" s="41" t="s">
        <v>221</v>
      </c>
      <c r="C46" s="43"/>
      <c r="D46" s="43">
        <v>25600</v>
      </c>
      <c r="E46" s="43">
        <f t="shared" si="5"/>
        <v>47828</v>
      </c>
      <c r="F46" s="43">
        <v>73428</v>
      </c>
      <c r="G46" s="43">
        <v>449517</v>
      </c>
      <c r="H46" s="212"/>
      <c r="I46" s="168"/>
      <c r="K46" s="168"/>
    </row>
    <row r="47" spans="1:26" ht="15.75" customHeight="1" x14ac:dyDescent="0.25">
      <c r="A47" s="370" t="s">
        <v>538</v>
      </c>
      <c r="B47" s="41" t="s">
        <v>223</v>
      </c>
      <c r="C47" s="43"/>
      <c r="D47" s="43">
        <v>56900</v>
      </c>
      <c r="E47" s="43">
        <f t="shared" si="5"/>
        <v>60550</v>
      </c>
      <c r="F47" s="43">
        <v>117450</v>
      </c>
      <c r="G47" s="43">
        <v>46886</v>
      </c>
      <c r="H47" s="212"/>
      <c r="I47" s="168"/>
      <c r="K47" s="168"/>
    </row>
    <row r="48" spans="1:26" ht="15.75" customHeight="1" x14ac:dyDescent="0.25">
      <c r="A48" s="48" t="s">
        <v>402</v>
      </c>
      <c r="B48" s="41" t="s">
        <v>225</v>
      </c>
      <c r="C48" s="43">
        <v>724620</v>
      </c>
      <c r="D48" s="43">
        <v>295824.3</v>
      </c>
      <c r="E48" s="43">
        <f t="shared" si="5"/>
        <v>299988.7</v>
      </c>
      <c r="F48" s="43">
        <v>595813</v>
      </c>
      <c r="G48" s="43">
        <v>308715</v>
      </c>
      <c r="H48" s="212"/>
      <c r="I48" s="168"/>
      <c r="K48" s="168"/>
    </row>
    <row r="49" spans="1:11" ht="15.75" customHeight="1" x14ac:dyDescent="0.25">
      <c r="A49" s="17" t="s">
        <v>503</v>
      </c>
      <c r="B49" s="41"/>
      <c r="C49" s="43"/>
      <c r="D49" s="43"/>
      <c r="E49" s="43"/>
      <c r="F49" s="43"/>
      <c r="G49" s="43"/>
      <c r="H49" s="212"/>
      <c r="I49" s="168"/>
      <c r="K49" s="168"/>
    </row>
    <row r="50" spans="1:11" ht="15.75" customHeight="1" x14ac:dyDescent="0.25">
      <c r="A50" s="48" t="s">
        <v>405</v>
      </c>
      <c r="B50" s="41" t="s">
        <v>235</v>
      </c>
      <c r="C50" s="43">
        <v>42000</v>
      </c>
      <c r="D50" s="43">
        <v>26900</v>
      </c>
      <c r="E50" s="43">
        <f t="shared" ref="E50:E51" si="6">F50-D50</f>
        <v>27100</v>
      </c>
      <c r="F50" s="43">
        <v>54000</v>
      </c>
      <c r="G50" s="43">
        <f>(2000+2500)*12</f>
        <v>54000</v>
      </c>
      <c r="H50" s="212"/>
      <c r="I50" s="168"/>
      <c r="K50" s="168"/>
    </row>
    <row r="51" spans="1:11" ht="15.75" customHeight="1" x14ac:dyDescent="0.25">
      <c r="A51" s="48" t="s">
        <v>643</v>
      </c>
      <c r="B51" s="41" t="s">
        <v>233</v>
      </c>
      <c r="C51" s="43">
        <v>0</v>
      </c>
      <c r="D51" s="43">
        <v>0</v>
      </c>
      <c r="E51" s="43">
        <f t="shared" si="6"/>
        <v>0</v>
      </c>
      <c r="F51" s="43">
        <v>0</v>
      </c>
      <c r="G51" s="43">
        <v>65000</v>
      </c>
      <c r="H51" s="212"/>
      <c r="I51" s="168"/>
      <c r="K51" s="168"/>
    </row>
    <row r="52" spans="1:11" ht="15.75" customHeight="1" x14ac:dyDescent="0.25">
      <c r="A52" s="17" t="s">
        <v>2263</v>
      </c>
      <c r="B52" s="41"/>
      <c r="C52" s="43"/>
      <c r="D52" s="43"/>
      <c r="E52" s="43"/>
      <c r="F52" s="43"/>
      <c r="G52" s="43"/>
      <c r="H52" s="212"/>
      <c r="I52" s="168"/>
      <c r="K52" s="168"/>
    </row>
    <row r="53" spans="1:11" ht="15.75" customHeight="1" x14ac:dyDescent="0.25">
      <c r="A53" s="482" t="s">
        <v>2264</v>
      </c>
      <c r="B53" s="483"/>
      <c r="C53" s="457"/>
      <c r="D53" s="457"/>
      <c r="E53" s="457"/>
      <c r="F53" s="457"/>
      <c r="G53" s="457"/>
      <c r="H53" s="212"/>
      <c r="I53" s="168"/>
      <c r="K53" s="168"/>
    </row>
    <row r="54" spans="1:11" ht="15.75" customHeight="1" x14ac:dyDescent="0.25">
      <c r="A54" s="599" t="s">
        <v>424</v>
      </c>
      <c r="B54" s="601"/>
      <c r="C54" s="448"/>
      <c r="D54" s="448"/>
      <c r="E54" s="448"/>
      <c r="F54" s="448"/>
      <c r="G54" s="448"/>
      <c r="H54" s="212"/>
      <c r="I54" s="168"/>
      <c r="K54" s="168"/>
    </row>
    <row r="55" spans="1:11" ht="15.75" customHeight="1" x14ac:dyDescent="0.25">
      <c r="A55" s="48" t="s">
        <v>424</v>
      </c>
      <c r="B55" s="41" t="s">
        <v>335</v>
      </c>
      <c r="C55" s="43">
        <v>2816226.35</v>
      </c>
      <c r="D55" s="43">
        <v>2751489.68</v>
      </c>
      <c r="E55" s="43">
        <f>F55-D55</f>
        <v>6258454.3200000003</v>
      </c>
      <c r="F55" s="43">
        <v>9009944</v>
      </c>
      <c r="G55" s="440">
        <v>12916906</v>
      </c>
      <c r="H55" s="212">
        <f>SUM(K56:K69)</f>
        <v>12916906</v>
      </c>
      <c r="I55" s="168"/>
      <c r="K55" s="168"/>
    </row>
    <row r="56" spans="1:11" ht="15.75" customHeight="1" x14ac:dyDescent="0.25">
      <c r="A56" s="48" t="s">
        <v>2265</v>
      </c>
      <c r="B56" s="41"/>
      <c r="C56" s="43"/>
      <c r="D56" s="43"/>
      <c r="E56" s="43"/>
      <c r="F56" s="43"/>
      <c r="G56" s="43"/>
      <c r="H56" s="212"/>
      <c r="K56" s="168">
        <v>39000</v>
      </c>
    </row>
    <row r="57" spans="1:11" ht="15.75" customHeight="1" x14ac:dyDescent="0.25">
      <c r="A57" s="48" t="s">
        <v>2266</v>
      </c>
      <c r="B57" s="41"/>
      <c r="C57" s="43"/>
      <c r="D57" s="43"/>
      <c r="E57" s="43"/>
      <c r="F57" s="43"/>
      <c r="G57" s="43"/>
      <c r="H57" s="212"/>
      <c r="K57" s="168">
        <v>18750</v>
      </c>
    </row>
    <row r="58" spans="1:11" ht="15.75" customHeight="1" x14ac:dyDescent="0.25">
      <c r="A58" s="48" t="s">
        <v>2267</v>
      </c>
      <c r="B58" s="41"/>
      <c r="C58" s="43"/>
      <c r="D58" s="43"/>
      <c r="E58" s="43"/>
      <c r="F58" s="43"/>
      <c r="G58" s="43"/>
      <c r="H58" s="212"/>
      <c r="K58" s="168">
        <v>3750000</v>
      </c>
    </row>
    <row r="59" spans="1:11" ht="15.75" customHeight="1" x14ac:dyDescent="0.25">
      <c r="A59" s="48" t="s">
        <v>2268</v>
      </c>
      <c r="B59" s="41"/>
      <c r="C59" s="43"/>
      <c r="D59" s="43"/>
      <c r="E59" s="43"/>
      <c r="F59" s="43"/>
      <c r="G59" s="43"/>
      <c r="H59" s="212"/>
      <c r="K59" s="168">
        <v>1000000</v>
      </c>
    </row>
    <row r="60" spans="1:11" ht="15.75" customHeight="1" x14ac:dyDescent="0.25">
      <c r="A60" s="48" t="s">
        <v>2269</v>
      </c>
      <c r="B60" s="41"/>
      <c r="C60" s="43"/>
      <c r="D60" s="43"/>
      <c r="E60" s="43"/>
      <c r="F60" s="43"/>
      <c r="G60" s="43"/>
      <c r="H60" s="212"/>
      <c r="I60" s="168"/>
      <c r="K60" s="168"/>
    </row>
    <row r="61" spans="1:11" ht="15.75" customHeight="1" x14ac:dyDescent="0.25">
      <c r="A61" s="48" t="s">
        <v>2270</v>
      </c>
      <c r="B61" s="41"/>
      <c r="C61" s="43"/>
      <c r="D61" s="43"/>
      <c r="E61" s="43"/>
      <c r="F61" s="43"/>
      <c r="G61" s="43"/>
      <c r="H61" s="212">
        <v>264</v>
      </c>
      <c r="I61" s="168">
        <v>1466</v>
      </c>
      <c r="J61" s="57">
        <v>1</v>
      </c>
      <c r="K61" s="168">
        <f t="shared" ref="K61:K69" si="7">J61*I61*H61</f>
        <v>387024</v>
      </c>
    </row>
    <row r="62" spans="1:11" ht="15.75" customHeight="1" x14ac:dyDescent="0.25">
      <c r="A62" s="48" t="s">
        <v>2271</v>
      </c>
      <c r="B62" s="41"/>
      <c r="C62" s="43"/>
      <c r="D62" s="43"/>
      <c r="E62" s="43"/>
      <c r="F62" s="43"/>
      <c r="G62" s="43"/>
      <c r="H62" s="212">
        <v>264</v>
      </c>
      <c r="I62" s="168">
        <v>1466</v>
      </c>
      <c r="J62" s="57">
        <v>5</v>
      </c>
      <c r="K62" s="168">
        <f t="shared" si="7"/>
        <v>1935120</v>
      </c>
    </row>
    <row r="63" spans="1:11" ht="15.75" customHeight="1" x14ac:dyDescent="0.25">
      <c r="A63" s="48" t="s">
        <v>2272</v>
      </c>
      <c r="B63" s="41"/>
      <c r="C63" s="43"/>
      <c r="D63" s="43"/>
      <c r="E63" s="43"/>
      <c r="F63" s="43"/>
      <c r="G63" s="43"/>
      <c r="H63" s="212">
        <v>264</v>
      </c>
      <c r="I63" s="168">
        <v>1466</v>
      </c>
      <c r="J63" s="57">
        <v>2</v>
      </c>
      <c r="K63" s="168">
        <f t="shared" si="7"/>
        <v>774048</v>
      </c>
    </row>
    <row r="64" spans="1:11" ht="15.75" customHeight="1" x14ac:dyDescent="0.25">
      <c r="A64" s="48" t="s">
        <v>2273</v>
      </c>
      <c r="B64" s="41"/>
      <c r="C64" s="43"/>
      <c r="D64" s="43"/>
      <c r="E64" s="43"/>
      <c r="F64" s="43"/>
      <c r="G64" s="43"/>
      <c r="H64" s="212">
        <v>264</v>
      </c>
      <c r="I64" s="168">
        <v>1466</v>
      </c>
      <c r="J64" s="57">
        <v>1</v>
      </c>
      <c r="K64" s="168">
        <f t="shared" si="7"/>
        <v>387024</v>
      </c>
    </row>
    <row r="65" spans="1:11" ht="15.75" customHeight="1" x14ac:dyDescent="0.25">
      <c r="A65" s="48" t="s">
        <v>2274</v>
      </c>
      <c r="B65" s="41"/>
      <c r="C65" s="43"/>
      <c r="D65" s="43"/>
      <c r="E65" s="43"/>
      <c r="F65" s="43"/>
      <c r="G65" s="43"/>
      <c r="H65" s="212">
        <v>264</v>
      </c>
      <c r="I65" s="168">
        <v>1466</v>
      </c>
      <c r="J65" s="57">
        <v>2</v>
      </c>
      <c r="K65" s="168">
        <f t="shared" si="7"/>
        <v>774048</v>
      </c>
    </row>
    <row r="66" spans="1:11" ht="15.75" customHeight="1" x14ac:dyDescent="0.25">
      <c r="A66" s="48" t="s">
        <v>2275</v>
      </c>
      <c r="B66" s="41"/>
      <c r="C66" s="43"/>
      <c r="D66" s="43"/>
      <c r="E66" s="43"/>
      <c r="F66" s="43"/>
      <c r="G66" s="43"/>
      <c r="H66" s="212">
        <v>264</v>
      </c>
      <c r="I66" s="168">
        <v>861</v>
      </c>
      <c r="J66" s="57">
        <v>15</v>
      </c>
      <c r="K66" s="168">
        <f t="shared" si="7"/>
        <v>3409560</v>
      </c>
    </row>
    <row r="67" spans="1:11" ht="15.75" customHeight="1" x14ac:dyDescent="0.25">
      <c r="A67" s="48" t="s">
        <v>2276</v>
      </c>
      <c r="B67" s="41"/>
      <c r="C67" s="43"/>
      <c r="D67" s="43"/>
      <c r="E67" s="43"/>
      <c r="F67" s="43"/>
      <c r="G67" s="43"/>
      <c r="H67" s="212">
        <v>264</v>
      </c>
      <c r="I67" s="168">
        <v>678</v>
      </c>
      <c r="J67" s="57">
        <v>1</v>
      </c>
      <c r="K67" s="168">
        <f t="shared" si="7"/>
        <v>178992</v>
      </c>
    </row>
    <row r="68" spans="1:11" ht="15.75" customHeight="1" x14ac:dyDescent="0.25">
      <c r="A68" s="48" t="s">
        <v>2277</v>
      </c>
      <c r="B68" s="41"/>
      <c r="C68" s="43"/>
      <c r="D68" s="43"/>
      <c r="E68" s="43"/>
      <c r="F68" s="43"/>
      <c r="G68" s="43"/>
      <c r="H68" s="212">
        <v>264</v>
      </c>
      <c r="I68" s="168">
        <v>678</v>
      </c>
      <c r="J68" s="57">
        <v>1</v>
      </c>
      <c r="K68" s="168">
        <f t="shared" si="7"/>
        <v>178992</v>
      </c>
    </row>
    <row r="69" spans="1:11" ht="15.75" customHeight="1" x14ac:dyDescent="0.25">
      <c r="A69" s="48" t="s">
        <v>2278</v>
      </c>
      <c r="B69" s="41"/>
      <c r="C69" s="43"/>
      <c r="D69" s="43"/>
      <c r="E69" s="43"/>
      <c r="F69" s="43"/>
      <c r="G69" s="43"/>
      <c r="H69" s="212">
        <v>132</v>
      </c>
      <c r="I69" s="168">
        <v>639</v>
      </c>
      <c r="J69" s="57">
        <v>1</v>
      </c>
      <c r="K69" s="168">
        <f t="shared" si="7"/>
        <v>84348</v>
      </c>
    </row>
    <row r="70" spans="1:11" ht="15.75" customHeight="1" x14ac:dyDescent="0.25">
      <c r="A70" s="42" t="s">
        <v>672</v>
      </c>
      <c r="B70" s="41"/>
      <c r="C70" s="54">
        <f t="shared" ref="C70:G70" si="8">SUM(C41:C55)</f>
        <v>5437499.3700000001</v>
      </c>
      <c r="D70" s="54">
        <f t="shared" si="8"/>
        <v>3829173</v>
      </c>
      <c r="E70" s="54">
        <f t="shared" si="8"/>
        <v>7895765</v>
      </c>
      <c r="F70" s="54">
        <f t="shared" si="8"/>
        <v>11724938</v>
      </c>
      <c r="G70" s="54">
        <f t="shared" si="8"/>
        <v>15865166</v>
      </c>
      <c r="H70" s="212"/>
      <c r="I70" s="168"/>
      <c r="K70" s="168"/>
    </row>
    <row r="71" spans="1:11" ht="15.75" customHeight="1" x14ac:dyDescent="0.25">
      <c r="A71" s="446"/>
      <c r="B71" s="437"/>
      <c r="C71" s="448"/>
      <c r="D71" s="448"/>
      <c r="E71" s="448"/>
      <c r="F71" s="448"/>
      <c r="G71" s="448"/>
      <c r="H71" s="212"/>
      <c r="I71" s="168"/>
      <c r="K71" s="168"/>
    </row>
    <row r="72" spans="1:11" ht="15.75" customHeight="1" x14ac:dyDescent="0.25">
      <c r="A72" s="456" t="s">
        <v>467</v>
      </c>
      <c r="B72" s="454"/>
      <c r="C72" s="443">
        <f t="shared" ref="C72:G72" si="9">C37+C70</f>
        <v>24542283.229999997</v>
      </c>
      <c r="D72" s="443">
        <f t="shared" si="9"/>
        <v>14017130.07</v>
      </c>
      <c r="E72" s="443">
        <f t="shared" si="9"/>
        <v>20702996.93</v>
      </c>
      <c r="F72" s="443">
        <f t="shared" si="9"/>
        <v>34720127</v>
      </c>
      <c r="G72" s="462">
        <f t="shared" si="9"/>
        <v>40292607</v>
      </c>
      <c r="H72" s="212"/>
      <c r="I72" s="168"/>
      <c r="K72" s="168"/>
    </row>
    <row r="73" spans="1:11" ht="15.75" customHeight="1" x14ac:dyDescent="0.25">
      <c r="A73" s="42"/>
      <c r="B73" s="41"/>
      <c r="C73" s="43"/>
      <c r="D73" s="43"/>
      <c r="E73" s="43"/>
      <c r="F73" s="43"/>
      <c r="G73" s="43"/>
      <c r="H73" s="212"/>
      <c r="I73" s="168"/>
      <c r="K73" s="168"/>
    </row>
    <row r="74" spans="1:11" ht="15.75" customHeight="1" x14ac:dyDescent="0.25">
      <c r="A74" s="17" t="s">
        <v>529</v>
      </c>
      <c r="B74" s="41"/>
      <c r="C74" s="43"/>
      <c r="D74" s="43"/>
      <c r="E74" s="43"/>
      <c r="F74" s="43"/>
      <c r="G74" s="440"/>
      <c r="H74" s="212"/>
      <c r="I74" s="168"/>
      <c r="K74" s="168"/>
    </row>
    <row r="75" spans="1:11" ht="15.75" customHeight="1" x14ac:dyDescent="0.25">
      <c r="A75" s="17" t="s">
        <v>476</v>
      </c>
      <c r="B75" s="94"/>
      <c r="C75" s="43"/>
      <c r="D75" s="43"/>
      <c r="E75" s="43"/>
      <c r="F75" s="43"/>
      <c r="G75" s="440"/>
      <c r="H75" s="212"/>
      <c r="I75" s="168"/>
      <c r="K75" s="168"/>
    </row>
    <row r="76" spans="1:11" ht="15.75" customHeight="1" x14ac:dyDescent="0.25">
      <c r="A76" s="48" t="s">
        <v>685</v>
      </c>
      <c r="B76" s="20" t="s">
        <v>45</v>
      </c>
      <c r="C76" s="43">
        <v>0</v>
      </c>
      <c r="D76" s="43">
        <v>0</v>
      </c>
      <c r="E76" s="43">
        <f>F76-D76</f>
        <v>0</v>
      </c>
      <c r="F76" s="43">
        <v>0</v>
      </c>
      <c r="G76" s="440">
        <v>65000</v>
      </c>
      <c r="H76" s="212"/>
      <c r="I76" s="168"/>
      <c r="K76" s="168"/>
    </row>
    <row r="77" spans="1:11" ht="15.75" customHeight="1" x14ac:dyDescent="0.25">
      <c r="A77" s="48" t="s">
        <v>2279</v>
      </c>
      <c r="B77" s="49"/>
      <c r="C77" s="45"/>
      <c r="D77" s="45"/>
      <c r="E77" s="45"/>
      <c r="F77" s="45"/>
      <c r="G77" s="494"/>
      <c r="H77" s="212"/>
      <c r="I77" s="168"/>
      <c r="K77" s="168"/>
    </row>
    <row r="78" spans="1:11" ht="15.75" customHeight="1" x14ac:dyDescent="0.25">
      <c r="A78" s="48" t="s">
        <v>639</v>
      </c>
      <c r="B78" s="49" t="s">
        <v>47</v>
      </c>
      <c r="C78" s="45">
        <v>266800</v>
      </c>
      <c r="D78" s="45">
        <v>0</v>
      </c>
      <c r="E78" s="45">
        <f>F78-D78</f>
        <v>135000</v>
      </c>
      <c r="F78" s="45">
        <v>135000</v>
      </c>
      <c r="G78" s="494">
        <v>1434157</v>
      </c>
      <c r="H78" s="212">
        <f>SUM(K79:K86)</f>
        <v>1434157</v>
      </c>
      <c r="I78" s="168"/>
      <c r="K78" s="168"/>
    </row>
    <row r="79" spans="1:11" ht="15.75" customHeight="1" x14ac:dyDescent="0.25">
      <c r="A79" s="48" t="s">
        <v>2280</v>
      </c>
      <c r="B79" s="49"/>
      <c r="C79" s="43"/>
      <c r="D79" s="43"/>
      <c r="E79" s="43"/>
      <c r="F79" s="43"/>
      <c r="G79" s="440"/>
      <c r="H79" s="212"/>
      <c r="I79" s="168"/>
      <c r="K79" s="168">
        <v>299247</v>
      </c>
    </row>
    <row r="80" spans="1:11" ht="15.75" customHeight="1" x14ac:dyDescent="0.25">
      <c r="A80" s="48" t="s">
        <v>2281</v>
      </c>
      <c r="B80" s="23"/>
      <c r="C80" s="43"/>
      <c r="D80" s="43"/>
      <c r="E80" s="43"/>
      <c r="F80" s="43"/>
      <c r="G80" s="440"/>
      <c r="H80" s="212"/>
      <c r="I80" s="168"/>
      <c r="K80" s="168">
        <v>834000</v>
      </c>
    </row>
    <row r="81" spans="1:11" ht="15.75" customHeight="1" x14ac:dyDescent="0.25">
      <c r="A81" s="44" t="s">
        <v>2282</v>
      </c>
      <c r="B81" s="41"/>
      <c r="C81" s="43"/>
      <c r="D81" s="43"/>
      <c r="E81" s="43"/>
      <c r="F81" s="43"/>
      <c r="G81" s="440"/>
      <c r="H81" s="212"/>
      <c r="I81" s="168"/>
      <c r="K81" s="168">
        <v>113791</v>
      </c>
    </row>
    <row r="82" spans="1:11" ht="15.75" customHeight="1" x14ac:dyDescent="0.25">
      <c r="A82" s="44" t="s">
        <v>2283</v>
      </c>
      <c r="B82" s="41"/>
      <c r="C82" s="43"/>
      <c r="D82" s="43"/>
      <c r="E82" s="43"/>
      <c r="F82" s="43"/>
      <c r="G82" s="43"/>
      <c r="H82" s="212"/>
      <c r="I82" s="168"/>
      <c r="K82" s="168">
        <v>187119</v>
      </c>
    </row>
    <row r="83" spans="1:11" ht="15.75" customHeight="1" x14ac:dyDescent="0.25">
      <c r="A83" s="17" t="s">
        <v>486</v>
      </c>
      <c r="B83" s="41"/>
      <c r="C83" s="54">
        <f t="shared" ref="C83:G83" si="10">SUM(C75:C78)</f>
        <v>266800</v>
      </c>
      <c r="D83" s="54">
        <f t="shared" si="10"/>
        <v>0</v>
      </c>
      <c r="E83" s="54">
        <f t="shared" si="10"/>
        <v>135000</v>
      </c>
      <c r="F83" s="54">
        <f t="shared" si="10"/>
        <v>135000</v>
      </c>
      <c r="G83" s="54">
        <f t="shared" si="10"/>
        <v>1499157</v>
      </c>
      <c r="H83" s="212"/>
      <c r="I83" s="168"/>
      <c r="K83" s="168"/>
    </row>
    <row r="84" spans="1:11" ht="15.75" customHeight="1" x14ac:dyDescent="0.25">
      <c r="A84" s="42"/>
      <c r="B84" s="49"/>
      <c r="C84" s="45"/>
      <c r="D84" s="45"/>
      <c r="E84" s="45"/>
      <c r="F84" s="45"/>
      <c r="G84" s="45"/>
      <c r="H84" s="212"/>
      <c r="I84" s="168"/>
      <c r="K84" s="168"/>
    </row>
    <row r="85" spans="1:11" ht="15.75" customHeight="1" x14ac:dyDescent="0.25">
      <c r="A85" s="160" t="s">
        <v>487</v>
      </c>
      <c r="B85" s="173" t="s">
        <v>488</v>
      </c>
      <c r="C85" s="54">
        <f t="shared" ref="C85:G85" si="11">C72+C83</f>
        <v>24809083.229999997</v>
      </c>
      <c r="D85" s="79">
        <f t="shared" si="11"/>
        <v>14017130.07</v>
      </c>
      <c r="E85" s="79">
        <f t="shared" si="11"/>
        <v>20837996.93</v>
      </c>
      <c r="F85" s="79">
        <f t="shared" si="11"/>
        <v>34855127</v>
      </c>
      <c r="G85" s="79">
        <f t="shared" si="11"/>
        <v>41791764</v>
      </c>
      <c r="H85" s="212"/>
      <c r="I85" s="168"/>
      <c r="K85" s="168"/>
    </row>
    <row r="86" spans="1:11" ht="15.75" customHeight="1" x14ac:dyDescent="0.25">
      <c r="A86" s="24"/>
      <c r="B86" s="174"/>
      <c r="C86" s="24"/>
      <c r="D86" s="24"/>
      <c r="E86" s="24"/>
      <c r="H86" s="212"/>
      <c r="I86" s="168"/>
      <c r="K86" s="168"/>
    </row>
    <row r="87" spans="1:11" ht="15.75" customHeight="1" x14ac:dyDescent="0.25">
      <c r="A87" s="24"/>
      <c r="B87" s="174"/>
      <c r="C87" s="24"/>
      <c r="D87" s="24"/>
      <c r="E87" s="24"/>
      <c r="H87" s="212"/>
      <c r="I87" s="168"/>
      <c r="K87" s="168"/>
    </row>
    <row r="88" spans="1:11" ht="15.75" customHeight="1" x14ac:dyDescent="0.25">
      <c r="A88" s="24"/>
      <c r="B88" s="174"/>
      <c r="C88" s="24"/>
      <c r="D88" s="24"/>
      <c r="E88" s="24"/>
      <c r="H88" s="212"/>
      <c r="I88" s="168"/>
      <c r="K88" s="168"/>
    </row>
    <row r="89" spans="1:11" ht="15.75" customHeight="1" x14ac:dyDescent="0.25">
      <c r="A89" s="24"/>
      <c r="B89" s="174"/>
      <c r="C89" s="24"/>
      <c r="D89" s="24"/>
      <c r="E89" s="24"/>
      <c r="H89" s="212"/>
      <c r="I89" s="168"/>
      <c r="K89" s="168"/>
    </row>
    <row r="90" spans="1:11" ht="15.75" customHeight="1" x14ac:dyDescent="0.25">
      <c r="A90" s="24"/>
      <c r="B90" s="174"/>
      <c r="C90" s="24"/>
      <c r="D90" s="24"/>
      <c r="E90" s="24"/>
      <c r="H90" s="212"/>
      <c r="I90" s="168"/>
      <c r="K90" s="168"/>
    </row>
    <row r="91" spans="1:11" ht="15.75" customHeight="1" x14ac:dyDescent="0.25">
      <c r="A91" s="24"/>
      <c r="B91" s="174"/>
      <c r="C91" s="24"/>
      <c r="D91" s="24"/>
      <c r="E91" s="24"/>
      <c r="H91" s="212"/>
      <c r="I91" s="168"/>
      <c r="K91" s="168"/>
    </row>
    <row r="92" spans="1:11" ht="15.75" customHeight="1" x14ac:dyDescent="0.25">
      <c r="A92" s="24"/>
      <c r="B92" s="174"/>
      <c r="C92" s="24"/>
      <c r="D92" s="24"/>
      <c r="E92" s="24"/>
      <c r="H92" s="212"/>
      <c r="I92" s="168"/>
      <c r="K92" s="168"/>
    </row>
    <row r="93" spans="1:11" ht="15.75" customHeight="1" x14ac:dyDescent="0.25">
      <c r="A93" s="24"/>
      <c r="B93" s="174"/>
      <c r="C93" s="24"/>
      <c r="D93" s="24"/>
      <c r="E93" s="24"/>
      <c r="H93" s="212"/>
      <c r="I93" s="168"/>
      <c r="K93" s="168"/>
    </row>
    <row r="94" spans="1:11" ht="15.75" customHeight="1" x14ac:dyDescent="0.25">
      <c r="A94" s="24"/>
      <c r="B94" s="174"/>
      <c r="C94" s="24"/>
      <c r="D94" s="24"/>
      <c r="E94" s="24"/>
      <c r="H94" s="212"/>
      <c r="I94" s="168"/>
      <c r="K94" s="168"/>
    </row>
    <row r="95" spans="1:11" ht="15.75" customHeight="1" x14ac:dyDescent="0.25">
      <c r="A95" s="24"/>
      <c r="B95" s="174"/>
      <c r="C95" s="24"/>
      <c r="D95" s="24"/>
      <c r="E95" s="24"/>
      <c r="H95" s="212"/>
      <c r="I95" s="168"/>
      <c r="K95" s="168"/>
    </row>
    <row r="96" spans="1:11" ht="15.75" customHeight="1" x14ac:dyDescent="0.25">
      <c r="A96" s="24"/>
      <c r="B96" s="174"/>
      <c r="C96" s="24"/>
      <c r="D96" s="24"/>
      <c r="E96" s="24"/>
      <c r="H96" s="212"/>
      <c r="I96" s="168"/>
      <c r="K96" s="168"/>
    </row>
    <row r="97" spans="1:11" ht="15.75" customHeight="1" x14ac:dyDescent="0.25">
      <c r="A97" s="24"/>
      <c r="B97" s="174"/>
      <c r="C97" s="24"/>
      <c r="D97" s="24"/>
      <c r="E97" s="24"/>
      <c r="H97" s="212"/>
      <c r="I97" s="168"/>
      <c r="K97" s="168"/>
    </row>
    <row r="98" spans="1:11" ht="15.75" customHeight="1" x14ac:dyDescent="0.25">
      <c r="A98" s="24"/>
      <c r="B98" s="174"/>
      <c r="C98" s="24"/>
      <c r="D98" s="24"/>
      <c r="E98" s="24"/>
      <c r="H98" s="212"/>
      <c r="I98" s="168"/>
      <c r="K98" s="168"/>
    </row>
    <row r="99" spans="1:11" ht="15.75" customHeight="1" x14ac:dyDescent="0.25">
      <c r="A99" s="24"/>
      <c r="B99" s="174"/>
      <c r="C99" s="24"/>
      <c r="D99" s="24"/>
      <c r="E99" s="24"/>
      <c r="H99" s="212"/>
      <c r="I99" s="168"/>
      <c r="K99" s="168"/>
    </row>
    <row r="100" spans="1:11" ht="15.75" customHeight="1" x14ac:dyDescent="0.25">
      <c r="A100" s="24"/>
      <c r="B100" s="174"/>
      <c r="C100" s="24"/>
      <c r="D100" s="24"/>
      <c r="E100" s="24"/>
      <c r="H100" s="212"/>
      <c r="I100" s="168"/>
      <c r="K100" s="168"/>
    </row>
    <row r="101" spans="1:11" ht="15.75" customHeight="1" x14ac:dyDescent="0.25">
      <c r="A101" s="24"/>
      <c r="B101" s="174"/>
      <c r="C101" s="24"/>
      <c r="D101" s="24"/>
      <c r="E101" s="24"/>
      <c r="H101" s="212"/>
      <c r="I101" s="168"/>
      <c r="K101" s="168"/>
    </row>
    <row r="102" spans="1:11" ht="15.75" customHeight="1" x14ac:dyDescent="0.25">
      <c r="A102" s="24"/>
      <c r="B102" s="174"/>
      <c r="C102" s="24"/>
      <c r="D102" s="24"/>
      <c r="E102" s="24"/>
      <c r="H102" s="212"/>
      <c r="I102" s="168"/>
      <c r="K102" s="168"/>
    </row>
    <row r="103" spans="1:11" ht="15.75" customHeight="1" x14ac:dyDescent="0.25">
      <c r="A103" s="24"/>
      <c r="B103" s="174"/>
      <c r="C103" s="24"/>
      <c r="D103" s="24"/>
      <c r="E103" s="24"/>
      <c r="H103" s="212"/>
      <c r="I103" s="168"/>
      <c r="K103" s="168"/>
    </row>
    <row r="104" spans="1:11" ht="15.75" customHeight="1" x14ac:dyDescent="0.25">
      <c r="A104" s="24"/>
      <c r="B104" s="174"/>
      <c r="C104" s="24"/>
      <c r="D104" s="24"/>
      <c r="E104" s="24"/>
      <c r="H104" s="212"/>
      <c r="I104" s="168"/>
      <c r="K104" s="168"/>
    </row>
    <row r="105" spans="1:11" ht="15.75" customHeight="1" x14ac:dyDescent="0.25">
      <c r="A105" s="24"/>
      <c r="B105" s="174"/>
      <c r="C105" s="24"/>
      <c r="D105" s="24"/>
      <c r="E105" s="24"/>
      <c r="H105" s="212"/>
      <c r="I105" s="168"/>
      <c r="K105" s="168"/>
    </row>
    <row r="106" spans="1:11" ht="15.75" customHeight="1" x14ac:dyDescent="0.25">
      <c r="A106" s="24"/>
      <c r="B106" s="174"/>
      <c r="C106" s="24"/>
      <c r="D106" s="24"/>
      <c r="E106" s="24"/>
      <c r="H106" s="212"/>
      <c r="I106" s="168"/>
      <c r="K106" s="168"/>
    </row>
    <row r="107" spans="1:11" ht="15.75" customHeight="1" x14ac:dyDescent="0.25">
      <c r="A107" s="24"/>
      <c r="B107" s="174"/>
      <c r="C107" s="24"/>
      <c r="D107" s="24"/>
      <c r="E107" s="24"/>
      <c r="H107" s="212"/>
      <c r="I107" s="168"/>
      <c r="K107" s="168"/>
    </row>
    <row r="108" spans="1:11" ht="15.75" customHeight="1" x14ac:dyDescent="0.25">
      <c r="A108" s="24"/>
      <c r="B108" s="174"/>
      <c r="C108" s="24"/>
      <c r="D108" s="24"/>
      <c r="E108" s="24"/>
      <c r="H108" s="212"/>
      <c r="I108" s="168"/>
      <c r="K108" s="168"/>
    </row>
    <row r="109" spans="1:11" ht="15.75" customHeight="1" x14ac:dyDescent="0.25">
      <c r="A109" s="24"/>
      <c r="B109" s="174"/>
      <c r="C109" s="24"/>
      <c r="D109" s="24"/>
      <c r="E109" s="24"/>
      <c r="H109" s="212"/>
      <c r="I109" s="168"/>
      <c r="K109" s="168"/>
    </row>
    <row r="110" spans="1:11" ht="15.75" customHeight="1" x14ac:dyDescent="0.25">
      <c r="A110" s="24"/>
      <c r="B110" s="174"/>
      <c r="C110" s="24"/>
      <c r="D110" s="24"/>
      <c r="E110" s="24"/>
      <c r="H110" s="212"/>
      <c r="I110" s="168"/>
      <c r="K110" s="168"/>
    </row>
    <row r="111" spans="1:11" ht="15.75" customHeight="1" x14ac:dyDescent="0.25">
      <c r="A111" s="24"/>
      <c r="B111" s="174"/>
      <c r="C111" s="24"/>
      <c r="D111" s="24"/>
      <c r="E111" s="24"/>
      <c r="H111" s="212"/>
      <c r="I111" s="168"/>
      <c r="K111" s="168"/>
    </row>
    <row r="112" spans="1:11" ht="15.75" customHeight="1" x14ac:dyDescent="0.25">
      <c r="A112" s="24"/>
      <c r="B112" s="174"/>
      <c r="C112" s="24"/>
      <c r="D112" s="24"/>
      <c r="E112" s="24"/>
      <c r="H112" s="212"/>
      <c r="I112" s="168"/>
      <c r="K112" s="168"/>
    </row>
    <row r="113" spans="1:11" ht="15.75" customHeight="1" x14ac:dyDescent="0.25">
      <c r="A113" s="24"/>
      <c r="B113" s="174"/>
      <c r="C113" s="24"/>
      <c r="D113" s="24"/>
      <c r="E113" s="24"/>
      <c r="H113" s="212"/>
      <c r="I113" s="168"/>
      <c r="K113" s="168"/>
    </row>
    <row r="114" spans="1:11" ht="15.75" customHeight="1" x14ac:dyDescent="0.25">
      <c r="A114" s="24"/>
      <c r="B114" s="174"/>
      <c r="C114" s="24"/>
      <c r="D114" s="24"/>
      <c r="E114" s="24"/>
      <c r="H114" s="212"/>
      <c r="I114" s="168"/>
      <c r="K114" s="168"/>
    </row>
    <row r="115" spans="1:11" ht="15.75" customHeight="1" x14ac:dyDescent="0.25">
      <c r="A115" s="24"/>
      <c r="B115" s="174"/>
      <c r="C115" s="24"/>
      <c r="D115" s="24"/>
      <c r="E115" s="24"/>
      <c r="H115" s="212"/>
      <c r="I115" s="168"/>
      <c r="K115" s="168"/>
    </row>
    <row r="116" spans="1:11" ht="15.75" customHeight="1" x14ac:dyDescent="0.25">
      <c r="A116" s="24"/>
      <c r="B116" s="174"/>
      <c r="C116" s="24"/>
      <c r="D116" s="24"/>
      <c r="E116" s="24"/>
      <c r="H116" s="212"/>
      <c r="I116" s="168"/>
      <c r="K116" s="168"/>
    </row>
    <row r="117" spans="1:11" ht="15.75" customHeight="1" x14ac:dyDescent="0.25">
      <c r="A117" s="24"/>
      <c r="B117" s="174"/>
      <c r="C117" s="24"/>
      <c r="D117" s="24"/>
      <c r="E117" s="24"/>
      <c r="H117" s="212"/>
      <c r="I117" s="168"/>
      <c r="K117" s="168"/>
    </row>
    <row r="118" spans="1:11" ht="15.75" customHeight="1" x14ac:dyDescent="0.25">
      <c r="A118" s="24"/>
      <c r="B118" s="174"/>
      <c r="C118" s="24"/>
      <c r="D118" s="24"/>
      <c r="E118" s="24"/>
      <c r="H118" s="212"/>
      <c r="I118" s="168"/>
      <c r="K118" s="168"/>
    </row>
    <row r="119" spans="1:11" ht="15.75" customHeight="1" x14ac:dyDescent="0.25">
      <c r="A119" s="24"/>
      <c r="B119" s="174"/>
      <c r="C119" s="24"/>
      <c r="D119" s="24"/>
      <c r="E119" s="24"/>
      <c r="H119" s="212"/>
      <c r="I119" s="168"/>
      <c r="K119" s="168"/>
    </row>
    <row r="120" spans="1:11" ht="15.75" customHeight="1" x14ac:dyDescent="0.25">
      <c r="A120" s="24"/>
      <c r="B120" s="174"/>
      <c r="C120" s="24"/>
      <c r="D120" s="24"/>
      <c r="E120" s="24"/>
      <c r="H120" s="212"/>
      <c r="I120" s="168"/>
      <c r="K120" s="168"/>
    </row>
    <row r="121" spans="1:11" ht="15.75" customHeight="1" x14ac:dyDescent="0.25">
      <c r="A121" s="24"/>
      <c r="B121" s="174"/>
      <c r="C121" s="24"/>
      <c r="D121" s="24"/>
      <c r="E121" s="24"/>
      <c r="H121" s="212"/>
      <c r="I121" s="168"/>
      <c r="K121" s="168"/>
    </row>
    <row r="122" spans="1:11" ht="15.75" customHeight="1" x14ac:dyDescent="0.25">
      <c r="A122" s="24"/>
      <c r="B122" s="174"/>
      <c r="C122" s="24"/>
      <c r="D122" s="24"/>
      <c r="E122" s="24"/>
      <c r="H122" s="212"/>
      <c r="I122" s="168"/>
      <c r="K122" s="168"/>
    </row>
    <row r="123" spans="1:11" ht="15.75" customHeight="1" x14ac:dyDescent="0.25">
      <c r="A123" s="24"/>
      <c r="B123" s="174"/>
      <c r="C123" s="24"/>
      <c r="D123" s="24"/>
      <c r="E123" s="24"/>
      <c r="H123" s="212"/>
      <c r="I123" s="168"/>
      <c r="K123" s="168"/>
    </row>
    <row r="124" spans="1:11" ht="15.75" customHeight="1" x14ac:dyDescent="0.25">
      <c r="A124" s="24"/>
      <c r="B124" s="174"/>
      <c r="C124" s="24"/>
      <c r="D124" s="24"/>
      <c r="E124" s="24"/>
      <c r="H124" s="212"/>
      <c r="I124" s="168"/>
      <c r="K124" s="168"/>
    </row>
    <row r="125" spans="1:11" ht="15.75" customHeight="1" x14ac:dyDescent="0.25">
      <c r="A125" s="24"/>
      <c r="B125" s="174"/>
      <c r="C125" s="24"/>
      <c r="D125" s="24"/>
      <c r="E125" s="24"/>
      <c r="H125" s="212"/>
      <c r="I125" s="168"/>
      <c r="K125" s="168"/>
    </row>
    <row r="126" spans="1:11" ht="15.75" customHeight="1" x14ac:dyDescent="0.25">
      <c r="A126" s="24"/>
      <c r="B126" s="174"/>
      <c r="C126" s="24"/>
      <c r="D126" s="24"/>
      <c r="E126" s="24"/>
      <c r="H126" s="212"/>
      <c r="I126" s="168"/>
      <c r="K126" s="168"/>
    </row>
    <row r="127" spans="1:11" ht="15.75" customHeight="1" x14ac:dyDescent="0.25">
      <c r="A127" s="24"/>
      <c r="B127" s="174"/>
      <c r="C127" s="24"/>
      <c r="D127" s="24"/>
      <c r="E127" s="24"/>
      <c r="H127" s="212"/>
      <c r="I127" s="168"/>
      <c r="K127" s="168"/>
    </row>
    <row r="128" spans="1:11" ht="15.75" customHeight="1" x14ac:dyDescent="0.25">
      <c r="A128" s="24"/>
      <c r="B128" s="174"/>
      <c r="C128" s="24"/>
      <c r="D128" s="24"/>
      <c r="E128" s="24"/>
      <c r="H128" s="212"/>
      <c r="I128" s="168"/>
      <c r="K128" s="168"/>
    </row>
    <row r="129" spans="1:11" ht="15.75" customHeight="1" x14ac:dyDescent="0.25">
      <c r="A129" s="24"/>
      <c r="B129" s="174"/>
      <c r="C129" s="24"/>
      <c r="D129" s="24"/>
      <c r="E129" s="24"/>
      <c r="H129" s="212"/>
      <c r="I129" s="168"/>
      <c r="K129" s="168"/>
    </row>
    <row r="130" spans="1:11" ht="15.75" customHeight="1" x14ac:dyDescent="0.25">
      <c r="A130" s="24"/>
      <c r="B130" s="174"/>
      <c r="C130" s="24"/>
      <c r="D130" s="24"/>
      <c r="E130" s="24"/>
      <c r="H130" s="212"/>
      <c r="I130" s="168"/>
      <c r="K130" s="168"/>
    </row>
    <row r="131" spans="1:11" ht="15.75" customHeight="1" x14ac:dyDescent="0.25">
      <c r="A131" s="24"/>
      <c r="B131" s="174"/>
      <c r="C131" s="24"/>
      <c r="D131" s="24"/>
      <c r="E131" s="24"/>
      <c r="H131" s="212"/>
      <c r="I131" s="168"/>
      <c r="K131" s="168"/>
    </row>
    <row r="132" spans="1:11" ht="15.75" customHeight="1" x14ac:dyDescent="0.25">
      <c r="A132" s="24"/>
      <c r="B132" s="174"/>
      <c r="C132" s="24"/>
      <c r="D132" s="24"/>
      <c r="E132" s="24"/>
      <c r="H132" s="212"/>
      <c r="I132" s="168"/>
      <c r="K132" s="168"/>
    </row>
    <row r="133" spans="1:11" ht="15.75" customHeight="1" x14ac:dyDescent="0.25">
      <c r="A133" s="24"/>
      <c r="B133" s="174"/>
      <c r="C133" s="24"/>
      <c r="D133" s="24"/>
      <c r="E133" s="24"/>
      <c r="H133" s="212"/>
      <c r="I133" s="168"/>
      <c r="K133" s="168"/>
    </row>
    <row r="134" spans="1:11" ht="15.75" customHeight="1" x14ac:dyDescent="0.25">
      <c r="A134" s="24"/>
      <c r="B134" s="174"/>
      <c r="C134" s="24"/>
      <c r="D134" s="24"/>
      <c r="E134" s="24"/>
      <c r="H134" s="212"/>
      <c r="I134" s="168"/>
      <c r="K134" s="168"/>
    </row>
    <row r="135" spans="1:11" ht="15.75" customHeight="1" x14ac:dyDescent="0.25">
      <c r="A135" s="24"/>
      <c r="B135" s="174"/>
      <c r="C135" s="24"/>
      <c r="D135" s="24"/>
      <c r="E135" s="24"/>
      <c r="H135" s="212"/>
      <c r="I135" s="168"/>
      <c r="K135" s="168"/>
    </row>
    <row r="136" spans="1:11" ht="15.75" customHeight="1" x14ac:dyDescent="0.25">
      <c r="A136" s="24"/>
      <c r="B136" s="174"/>
      <c r="C136" s="24"/>
      <c r="D136" s="24"/>
      <c r="E136" s="24"/>
      <c r="H136" s="212"/>
      <c r="I136" s="168"/>
      <c r="K136" s="168"/>
    </row>
    <row r="137" spans="1:11" ht="15.75" customHeight="1" x14ac:dyDescent="0.25">
      <c r="A137" s="24"/>
      <c r="B137" s="174"/>
      <c r="C137" s="24"/>
      <c r="D137" s="24"/>
      <c r="E137" s="24"/>
      <c r="H137" s="212"/>
      <c r="I137" s="168"/>
      <c r="K137" s="168"/>
    </row>
    <row r="138" spans="1:11" ht="15.75" customHeight="1" x14ac:dyDescent="0.25">
      <c r="A138" s="24"/>
      <c r="B138" s="174"/>
      <c r="C138" s="24"/>
      <c r="D138" s="24"/>
      <c r="E138" s="24"/>
      <c r="H138" s="212"/>
      <c r="I138" s="168"/>
      <c r="K138" s="168"/>
    </row>
    <row r="139" spans="1:11" ht="15.75" customHeight="1" x14ac:dyDescent="0.25">
      <c r="A139" s="24"/>
      <c r="B139" s="174"/>
      <c r="C139" s="24"/>
      <c r="D139" s="24"/>
      <c r="E139" s="24"/>
      <c r="H139" s="212"/>
      <c r="I139" s="168"/>
      <c r="K139" s="168"/>
    </row>
    <row r="140" spans="1:11" ht="15.75" customHeight="1" x14ac:dyDescent="0.25">
      <c r="A140" s="24"/>
      <c r="B140" s="174"/>
      <c r="C140" s="24"/>
      <c r="D140" s="24"/>
      <c r="E140" s="24"/>
      <c r="H140" s="212"/>
      <c r="I140" s="168"/>
      <c r="K140" s="168"/>
    </row>
    <row r="141" spans="1:11" ht="15.75" customHeight="1" x14ac:dyDescent="0.25">
      <c r="A141" s="24"/>
      <c r="B141" s="174"/>
      <c r="C141" s="24"/>
      <c r="D141" s="24"/>
      <c r="E141" s="24"/>
      <c r="H141" s="212"/>
      <c r="I141" s="168"/>
      <c r="K141" s="168"/>
    </row>
    <row r="142" spans="1:11" ht="15.75" customHeight="1" x14ac:dyDescent="0.25">
      <c r="A142" s="24"/>
      <c r="B142" s="174"/>
      <c r="C142" s="24"/>
      <c r="D142" s="24"/>
      <c r="E142" s="24"/>
      <c r="H142" s="212"/>
      <c r="I142" s="168"/>
      <c r="K142" s="168"/>
    </row>
    <row r="143" spans="1:11" ht="15.75" customHeight="1" x14ac:dyDescent="0.25">
      <c r="A143" s="24"/>
      <c r="B143" s="174"/>
      <c r="C143" s="24"/>
      <c r="D143" s="24"/>
      <c r="E143" s="24"/>
      <c r="H143" s="212"/>
      <c r="I143" s="168"/>
      <c r="K143" s="168"/>
    </row>
    <row r="144" spans="1:11" ht="15.75" customHeight="1" x14ac:dyDescent="0.25">
      <c r="A144" s="24"/>
      <c r="B144" s="174"/>
      <c r="C144" s="24"/>
      <c r="D144" s="24"/>
      <c r="E144" s="24"/>
      <c r="H144" s="212"/>
      <c r="I144" s="168"/>
      <c r="K144" s="168"/>
    </row>
    <row r="145" spans="1:11" ht="15.75" customHeight="1" x14ac:dyDescent="0.25">
      <c r="A145" s="24"/>
      <c r="B145" s="174"/>
      <c r="C145" s="24"/>
      <c r="D145" s="24"/>
      <c r="E145" s="24"/>
      <c r="H145" s="212"/>
      <c r="I145" s="168"/>
      <c r="K145" s="168"/>
    </row>
    <row r="146" spans="1:11" ht="15.75" customHeight="1" x14ac:dyDescent="0.25">
      <c r="A146" s="24"/>
      <c r="B146" s="174"/>
      <c r="C146" s="24"/>
      <c r="D146" s="24"/>
      <c r="E146" s="24"/>
      <c r="H146" s="212"/>
      <c r="I146" s="168"/>
      <c r="K146" s="168"/>
    </row>
    <row r="147" spans="1:11" ht="15.75" customHeight="1" x14ac:dyDescent="0.25">
      <c r="A147" s="24"/>
      <c r="B147" s="174"/>
      <c r="C147" s="24"/>
      <c r="D147" s="24"/>
      <c r="E147" s="24"/>
      <c r="H147" s="212"/>
      <c r="I147" s="168"/>
      <c r="K147" s="168"/>
    </row>
    <row r="148" spans="1:11" ht="15.75" customHeight="1" x14ac:dyDescent="0.25">
      <c r="A148" s="24"/>
      <c r="B148" s="174"/>
      <c r="C148" s="24"/>
      <c r="D148" s="24"/>
      <c r="E148" s="24"/>
      <c r="H148" s="212"/>
      <c r="I148" s="168"/>
      <c r="K148" s="168"/>
    </row>
    <row r="149" spans="1:11" ht="15.75" customHeight="1" x14ac:dyDescent="0.25">
      <c r="A149" s="24"/>
      <c r="B149" s="174"/>
      <c r="C149" s="24"/>
      <c r="D149" s="24"/>
      <c r="E149" s="24"/>
      <c r="H149" s="212"/>
      <c r="I149" s="168"/>
      <c r="K149" s="168"/>
    </row>
    <row r="150" spans="1:11" ht="15.75" customHeight="1" x14ac:dyDescent="0.25">
      <c r="A150" s="24"/>
      <c r="B150" s="174"/>
      <c r="C150" s="24"/>
      <c r="D150" s="24"/>
      <c r="E150" s="24"/>
      <c r="H150" s="212"/>
      <c r="I150" s="168"/>
      <c r="K150" s="168"/>
    </row>
    <row r="151" spans="1:11" ht="15.75" customHeight="1" x14ac:dyDescent="0.25">
      <c r="A151" s="24"/>
      <c r="B151" s="174"/>
      <c r="C151" s="24"/>
      <c r="D151" s="24"/>
      <c r="E151" s="24"/>
      <c r="H151" s="212"/>
      <c r="I151" s="168"/>
      <c r="K151" s="168"/>
    </row>
    <row r="152" spans="1:11" ht="15.75" customHeight="1" x14ac:dyDescent="0.25">
      <c r="A152" s="24"/>
      <c r="B152" s="174"/>
      <c r="C152" s="24"/>
      <c r="D152" s="24"/>
      <c r="E152" s="24"/>
      <c r="H152" s="212"/>
      <c r="I152" s="168"/>
      <c r="K152" s="168"/>
    </row>
    <row r="153" spans="1:11" ht="15.75" customHeight="1" x14ac:dyDescent="0.25">
      <c r="A153" s="24"/>
      <c r="B153" s="174"/>
      <c r="C153" s="24"/>
      <c r="D153" s="24"/>
      <c r="E153" s="24"/>
      <c r="H153" s="212"/>
      <c r="I153" s="168"/>
      <c r="K153" s="168"/>
    </row>
    <row r="154" spans="1:11" ht="15.75" customHeight="1" x14ac:dyDescent="0.25">
      <c r="A154" s="24"/>
      <c r="B154" s="174"/>
      <c r="C154" s="24"/>
      <c r="D154" s="24"/>
      <c r="E154" s="24"/>
      <c r="H154" s="212"/>
      <c r="I154" s="168"/>
      <c r="K154" s="168"/>
    </row>
    <row r="155" spans="1:11" ht="15.75" customHeight="1" x14ac:dyDescent="0.25">
      <c r="A155" s="24"/>
      <c r="B155" s="174"/>
      <c r="C155" s="24"/>
      <c r="D155" s="24"/>
      <c r="E155" s="24"/>
      <c r="H155" s="212"/>
      <c r="I155" s="168"/>
      <c r="K155" s="168"/>
    </row>
    <row r="156" spans="1:11" ht="15.75" customHeight="1" x14ac:dyDescent="0.25">
      <c r="A156" s="24"/>
      <c r="B156" s="174"/>
      <c r="C156" s="24"/>
      <c r="D156" s="24"/>
      <c r="E156" s="24"/>
      <c r="H156" s="212"/>
      <c r="I156" s="168"/>
      <c r="K156" s="168"/>
    </row>
    <row r="157" spans="1:11" ht="15.75" customHeight="1" x14ac:dyDescent="0.25">
      <c r="A157" s="24"/>
      <c r="B157" s="174"/>
      <c r="C157" s="24"/>
      <c r="D157" s="24"/>
      <c r="E157" s="24"/>
      <c r="H157" s="212"/>
      <c r="I157" s="168"/>
      <c r="K157" s="168"/>
    </row>
    <row r="158" spans="1:11" ht="15.75" customHeight="1" x14ac:dyDescent="0.25">
      <c r="A158" s="24"/>
      <c r="B158" s="174"/>
      <c r="C158" s="24"/>
      <c r="D158" s="24"/>
      <c r="E158" s="24"/>
      <c r="H158" s="212"/>
      <c r="I158" s="168"/>
      <c r="K158" s="168"/>
    </row>
    <row r="159" spans="1:11" ht="15.75" customHeight="1" x14ac:dyDescent="0.25">
      <c r="A159" s="24"/>
      <c r="B159" s="174"/>
      <c r="C159" s="24"/>
      <c r="D159" s="24"/>
      <c r="E159" s="24"/>
      <c r="H159" s="212"/>
      <c r="I159" s="168"/>
      <c r="K159" s="168"/>
    </row>
    <row r="160" spans="1:11" ht="15.75" customHeight="1" x14ac:dyDescent="0.25">
      <c r="A160" s="24"/>
      <c r="B160" s="174"/>
      <c r="C160" s="24"/>
      <c r="D160" s="24"/>
      <c r="E160" s="24"/>
      <c r="H160" s="212"/>
      <c r="I160" s="168"/>
      <c r="K160" s="168"/>
    </row>
    <row r="161" spans="1:11" ht="15.75" customHeight="1" x14ac:dyDescent="0.25">
      <c r="A161" s="24"/>
      <c r="B161" s="174"/>
      <c r="C161" s="24"/>
      <c r="D161" s="24"/>
      <c r="E161" s="24"/>
      <c r="H161" s="212"/>
      <c r="I161" s="168"/>
      <c r="K161" s="168"/>
    </row>
    <row r="162" spans="1:11" ht="15.75" customHeight="1" x14ac:dyDescent="0.25">
      <c r="A162" s="24"/>
      <c r="B162" s="174"/>
      <c r="C162" s="24"/>
      <c r="D162" s="24"/>
      <c r="E162" s="24"/>
      <c r="H162" s="212"/>
      <c r="I162" s="168"/>
      <c r="K162" s="168"/>
    </row>
    <row r="163" spans="1:11" ht="15.75" customHeight="1" x14ac:dyDescent="0.25">
      <c r="A163" s="24"/>
      <c r="B163" s="174"/>
      <c r="C163" s="24"/>
      <c r="D163" s="24"/>
      <c r="E163" s="24"/>
      <c r="H163" s="212"/>
      <c r="I163" s="168"/>
      <c r="K163" s="168"/>
    </row>
    <row r="164" spans="1:11" ht="15.75" customHeight="1" x14ac:dyDescent="0.25">
      <c r="A164" s="24"/>
      <c r="B164" s="174"/>
      <c r="C164" s="24"/>
      <c r="D164" s="24"/>
      <c r="E164" s="24"/>
      <c r="H164" s="212"/>
      <c r="I164" s="168"/>
      <c r="K164" s="168"/>
    </row>
    <row r="165" spans="1:11" ht="15.75" customHeight="1" x14ac:dyDescent="0.25">
      <c r="A165" s="24"/>
      <c r="B165" s="174"/>
      <c r="C165" s="24"/>
      <c r="D165" s="24"/>
      <c r="E165" s="24"/>
      <c r="H165" s="212"/>
      <c r="I165" s="168"/>
      <c r="K165" s="168"/>
    </row>
    <row r="166" spans="1:11" ht="15.75" customHeight="1" x14ac:dyDescent="0.25">
      <c r="A166" s="24"/>
      <c r="B166" s="174"/>
      <c r="C166" s="24"/>
      <c r="D166" s="24"/>
      <c r="E166" s="24"/>
      <c r="H166" s="212"/>
      <c r="I166" s="168"/>
      <c r="K166" s="168"/>
    </row>
    <row r="167" spans="1:11" ht="15.75" customHeight="1" x14ac:dyDescent="0.25">
      <c r="A167" s="24"/>
      <c r="B167" s="174"/>
      <c r="C167" s="24"/>
      <c r="D167" s="24"/>
      <c r="E167" s="24"/>
      <c r="H167" s="212"/>
      <c r="I167" s="168"/>
      <c r="K167" s="168"/>
    </row>
    <row r="168" spans="1:11" ht="15.75" customHeight="1" x14ac:dyDescent="0.25">
      <c r="A168" s="24"/>
      <c r="B168" s="174"/>
      <c r="C168" s="24"/>
      <c r="D168" s="24"/>
      <c r="E168" s="24"/>
      <c r="H168" s="212"/>
      <c r="I168" s="168"/>
      <c r="K168" s="168"/>
    </row>
    <row r="169" spans="1:11" ht="15.75" customHeight="1" x14ac:dyDescent="0.25">
      <c r="A169" s="24"/>
      <c r="B169" s="174"/>
      <c r="C169" s="24"/>
      <c r="D169" s="24"/>
      <c r="E169" s="24"/>
      <c r="H169" s="212"/>
      <c r="I169" s="168"/>
      <c r="K169" s="168"/>
    </row>
    <row r="170" spans="1:11" ht="15.75" customHeight="1" x14ac:dyDescent="0.25">
      <c r="A170" s="24"/>
      <c r="B170" s="174"/>
      <c r="C170" s="24"/>
      <c r="D170" s="24"/>
      <c r="E170" s="24"/>
      <c r="H170" s="212"/>
      <c r="I170" s="168"/>
      <c r="K170" s="168"/>
    </row>
    <row r="171" spans="1:11" ht="15.75" customHeight="1" x14ac:dyDescent="0.25">
      <c r="A171" s="24"/>
      <c r="B171" s="174"/>
      <c r="C171" s="24"/>
      <c r="D171" s="24"/>
      <c r="E171" s="24"/>
      <c r="H171" s="212"/>
      <c r="I171" s="168"/>
      <c r="K171" s="168"/>
    </row>
    <row r="172" spans="1:11" ht="15.75" customHeight="1" x14ac:dyDescent="0.25">
      <c r="A172" s="24"/>
      <c r="B172" s="174"/>
      <c r="C172" s="24"/>
      <c r="D172" s="24"/>
      <c r="E172" s="24"/>
      <c r="H172" s="212"/>
      <c r="I172" s="168"/>
      <c r="K172" s="168"/>
    </row>
    <row r="173" spans="1:11" ht="15.75" customHeight="1" x14ac:dyDescent="0.25">
      <c r="A173" s="24"/>
      <c r="B173" s="174"/>
      <c r="C173" s="24"/>
      <c r="D173" s="24"/>
      <c r="E173" s="24"/>
      <c r="H173" s="212"/>
      <c r="I173" s="168"/>
      <c r="K173" s="168"/>
    </row>
    <row r="174" spans="1:11" ht="15.75" customHeight="1" x14ac:dyDescent="0.25">
      <c r="A174" s="24"/>
      <c r="B174" s="174"/>
      <c r="C174" s="24"/>
      <c r="D174" s="24"/>
      <c r="E174" s="24"/>
      <c r="H174" s="212"/>
      <c r="I174" s="168"/>
      <c r="K174" s="168"/>
    </row>
    <row r="175" spans="1:11" ht="15.75" customHeight="1" x14ac:dyDescent="0.25">
      <c r="A175" s="24"/>
      <c r="B175" s="174"/>
      <c r="C175" s="24"/>
      <c r="D175" s="24"/>
      <c r="E175" s="24"/>
      <c r="H175" s="212"/>
      <c r="I175" s="168"/>
      <c r="K175" s="168"/>
    </row>
    <row r="176" spans="1:11" ht="15.75" customHeight="1" x14ac:dyDescent="0.25">
      <c r="A176" s="24"/>
      <c r="B176" s="174"/>
      <c r="C176" s="24"/>
      <c r="D176" s="24"/>
      <c r="E176" s="24"/>
      <c r="H176" s="212"/>
      <c r="I176" s="168"/>
      <c r="K176" s="168"/>
    </row>
    <row r="177" spans="1:11" ht="15.75" customHeight="1" x14ac:dyDescent="0.25">
      <c r="A177" s="24"/>
      <c r="B177" s="174"/>
      <c r="C177" s="24"/>
      <c r="D177" s="24"/>
      <c r="E177" s="24"/>
      <c r="H177" s="212"/>
      <c r="I177" s="168"/>
      <c r="K177" s="168"/>
    </row>
    <row r="178" spans="1:11" ht="15.75" customHeight="1" x14ac:dyDescent="0.25">
      <c r="A178" s="24"/>
      <c r="B178" s="174"/>
      <c r="C178" s="24"/>
      <c r="D178" s="24"/>
      <c r="E178" s="24"/>
      <c r="H178" s="212"/>
      <c r="I178" s="168"/>
      <c r="K178" s="168"/>
    </row>
    <row r="179" spans="1:11" ht="15.75" customHeight="1" x14ac:dyDescent="0.25">
      <c r="A179" s="24"/>
      <c r="B179" s="174"/>
      <c r="C179" s="24"/>
      <c r="D179" s="24"/>
      <c r="E179" s="24"/>
      <c r="H179" s="212"/>
      <c r="I179" s="168"/>
      <c r="K179" s="168"/>
    </row>
    <row r="180" spans="1:11" ht="15.75" customHeight="1" x14ac:dyDescent="0.25">
      <c r="A180" s="24"/>
      <c r="B180" s="174"/>
      <c r="C180" s="24"/>
      <c r="D180" s="24"/>
      <c r="E180" s="24"/>
      <c r="H180" s="212"/>
      <c r="I180" s="168"/>
      <c r="K180" s="168"/>
    </row>
    <row r="181" spans="1:11" ht="15.75" customHeight="1" x14ac:dyDescent="0.25">
      <c r="A181" s="24"/>
      <c r="B181" s="174"/>
      <c r="C181" s="24"/>
      <c r="D181" s="24"/>
      <c r="E181" s="24"/>
      <c r="H181" s="212"/>
      <c r="I181" s="168"/>
      <c r="K181" s="168"/>
    </row>
    <row r="182" spans="1:11" ht="15.75" customHeight="1" x14ac:dyDescent="0.25">
      <c r="A182" s="24"/>
      <c r="B182" s="174"/>
      <c r="C182" s="24"/>
      <c r="D182" s="24"/>
      <c r="E182" s="24"/>
      <c r="H182" s="212"/>
      <c r="I182" s="168"/>
      <c r="K182" s="168"/>
    </row>
    <row r="183" spans="1:11" ht="15.75" customHeight="1" x14ac:dyDescent="0.25">
      <c r="A183" s="24"/>
      <c r="B183" s="174"/>
      <c r="C183" s="24"/>
      <c r="D183" s="24"/>
      <c r="E183" s="24"/>
      <c r="H183" s="212"/>
      <c r="I183" s="168"/>
      <c r="K183" s="168"/>
    </row>
    <row r="184" spans="1:11" ht="15.75" customHeight="1" x14ac:dyDescent="0.25">
      <c r="A184" s="24"/>
      <c r="B184" s="174"/>
      <c r="C184" s="24"/>
      <c r="D184" s="24"/>
      <c r="E184" s="24"/>
      <c r="H184" s="212"/>
      <c r="I184" s="168"/>
      <c r="K184" s="168"/>
    </row>
    <row r="185" spans="1:11" ht="15.75" customHeight="1" x14ac:dyDescent="0.25">
      <c r="A185" s="24"/>
      <c r="B185" s="174"/>
      <c r="C185" s="24"/>
      <c r="D185" s="24"/>
      <c r="E185" s="24"/>
      <c r="H185" s="212"/>
      <c r="I185" s="168"/>
      <c r="K185" s="168"/>
    </row>
    <row r="186" spans="1:11" ht="15.75" customHeight="1" x14ac:dyDescent="0.25">
      <c r="A186" s="24"/>
      <c r="B186" s="174"/>
      <c r="C186" s="24"/>
      <c r="D186" s="24"/>
      <c r="E186" s="24"/>
      <c r="H186" s="212"/>
      <c r="I186" s="168"/>
      <c r="K186" s="168"/>
    </row>
    <row r="187" spans="1:11" ht="15.75" customHeight="1" x14ac:dyDescent="0.25">
      <c r="A187" s="24"/>
      <c r="B187" s="174"/>
      <c r="C187" s="24"/>
      <c r="D187" s="24"/>
      <c r="E187" s="24"/>
      <c r="H187" s="212"/>
      <c r="I187" s="168"/>
      <c r="K187" s="168"/>
    </row>
    <row r="188" spans="1:11" ht="15.75" customHeight="1" x14ac:dyDescent="0.25">
      <c r="A188" s="24"/>
      <c r="B188" s="174"/>
      <c r="C188" s="24"/>
      <c r="D188" s="24"/>
      <c r="E188" s="24"/>
      <c r="H188" s="212"/>
      <c r="I188" s="168"/>
      <c r="K188" s="168"/>
    </row>
    <row r="189" spans="1:11" ht="15.75" customHeight="1" x14ac:dyDescent="0.25">
      <c r="A189" s="24"/>
      <c r="B189" s="174"/>
      <c r="C189" s="24"/>
      <c r="D189" s="24"/>
      <c r="E189" s="24"/>
      <c r="H189" s="212"/>
      <c r="I189" s="168"/>
      <c r="K189" s="168"/>
    </row>
    <row r="190" spans="1:11" ht="15.75" customHeight="1" x14ac:dyDescent="0.25">
      <c r="A190" s="24"/>
      <c r="B190" s="174"/>
      <c r="C190" s="24"/>
      <c r="D190" s="24"/>
      <c r="E190" s="24"/>
      <c r="H190" s="212"/>
      <c r="I190" s="168"/>
      <c r="K190" s="168"/>
    </row>
    <row r="191" spans="1:11" ht="15.75" customHeight="1" x14ac:dyDescent="0.25">
      <c r="A191" s="24"/>
      <c r="B191" s="174"/>
      <c r="C191" s="24"/>
      <c r="D191" s="24"/>
      <c r="E191" s="24"/>
      <c r="H191" s="212"/>
      <c r="I191" s="168"/>
      <c r="K191" s="168"/>
    </row>
    <row r="192" spans="1:11" ht="15.75" customHeight="1" x14ac:dyDescent="0.25">
      <c r="A192" s="24"/>
      <c r="B192" s="174"/>
      <c r="C192" s="24"/>
      <c r="D192" s="24"/>
      <c r="E192" s="24"/>
      <c r="H192" s="212"/>
      <c r="I192" s="168"/>
      <c r="K192" s="168"/>
    </row>
    <row r="193" spans="1:11" ht="15.75" customHeight="1" x14ac:dyDescent="0.25">
      <c r="A193" s="24"/>
      <c r="B193" s="174"/>
      <c r="C193" s="24"/>
      <c r="D193" s="24"/>
      <c r="E193" s="24"/>
      <c r="H193" s="212"/>
      <c r="I193" s="168"/>
      <c r="K193" s="168"/>
    </row>
    <row r="194" spans="1:11" ht="15.75" customHeight="1" x14ac:dyDescent="0.25">
      <c r="A194" s="24"/>
      <c r="B194" s="174"/>
      <c r="C194" s="24"/>
      <c r="D194" s="24"/>
      <c r="E194" s="24"/>
      <c r="H194" s="212"/>
      <c r="I194" s="168"/>
      <c r="K194" s="168"/>
    </row>
    <row r="195" spans="1:11" ht="15.75" customHeight="1" x14ac:dyDescent="0.25">
      <c r="A195" s="24"/>
      <c r="B195" s="174"/>
      <c r="C195" s="24"/>
      <c r="D195" s="24"/>
      <c r="E195" s="24"/>
      <c r="H195" s="212"/>
      <c r="I195" s="168"/>
      <c r="K195" s="168"/>
    </row>
    <row r="196" spans="1:11" ht="15.75" customHeight="1" x14ac:dyDescent="0.25">
      <c r="A196" s="24"/>
      <c r="B196" s="174"/>
      <c r="C196" s="24"/>
      <c r="D196" s="24"/>
      <c r="E196" s="24"/>
      <c r="H196" s="212"/>
      <c r="I196" s="168"/>
      <c r="K196" s="168"/>
    </row>
    <row r="197" spans="1:11" ht="15.75" customHeight="1" x14ac:dyDescent="0.25">
      <c r="A197" s="24"/>
      <c r="B197" s="174"/>
      <c r="C197" s="24"/>
      <c r="D197" s="24"/>
      <c r="E197" s="24"/>
      <c r="H197" s="212"/>
      <c r="I197" s="168"/>
      <c r="K197" s="168"/>
    </row>
    <row r="198" spans="1:11" ht="15.75" customHeight="1" x14ac:dyDescent="0.25">
      <c r="A198" s="24"/>
      <c r="B198" s="174"/>
      <c r="C198" s="24"/>
      <c r="D198" s="24"/>
      <c r="E198" s="24"/>
      <c r="H198" s="212"/>
      <c r="I198" s="168"/>
      <c r="K198" s="168"/>
    </row>
    <row r="199" spans="1:11" ht="15.75" customHeight="1" x14ac:dyDescent="0.25">
      <c r="A199" s="24"/>
      <c r="B199" s="174"/>
      <c r="C199" s="24"/>
      <c r="D199" s="24"/>
      <c r="E199" s="24"/>
      <c r="H199" s="212"/>
      <c r="I199" s="168"/>
      <c r="K199" s="168"/>
    </row>
    <row r="200" spans="1:11" ht="15.75" customHeight="1" x14ac:dyDescent="0.25">
      <c r="A200" s="24"/>
      <c r="B200" s="174"/>
      <c r="C200" s="24"/>
      <c r="D200" s="24"/>
      <c r="E200" s="24"/>
      <c r="H200" s="212"/>
      <c r="I200" s="168"/>
      <c r="K200" s="168"/>
    </row>
    <row r="201" spans="1:11" ht="15.75" customHeight="1" x14ac:dyDescent="0.25">
      <c r="A201" s="24"/>
      <c r="B201" s="174"/>
      <c r="C201" s="24"/>
      <c r="D201" s="24"/>
      <c r="E201" s="24"/>
      <c r="H201" s="212"/>
      <c r="I201" s="168"/>
      <c r="K201" s="168"/>
    </row>
    <row r="202" spans="1:11" ht="15.75" customHeight="1" x14ac:dyDescent="0.25">
      <c r="A202" s="24"/>
      <c r="B202" s="174"/>
      <c r="C202" s="24"/>
      <c r="D202" s="24"/>
      <c r="E202" s="24"/>
      <c r="H202" s="212"/>
      <c r="I202" s="168"/>
      <c r="K202" s="168"/>
    </row>
    <row r="203" spans="1:11" ht="15.75" customHeight="1" x14ac:dyDescent="0.25">
      <c r="A203" s="24"/>
      <c r="B203" s="174"/>
      <c r="C203" s="24"/>
      <c r="D203" s="24"/>
      <c r="E203" s="24"/>
      <c r="H203" s="212"/>
      <c r="I203" s="168"/>
      <c r="K203" s="168"/>
    </row>
    <row r="204" spans="1:11" ht="15.75" customHeight="1" x14ac:dyDescent="0.25">
      <c r="A204" s="24"/>
      <c r="B204" s="174"/>
      <c r="C204" s="24"/>
      <c r="D204" s="24"/>
      <c r="E204" s="24"/>
      <c r="H204" s="212"/>
      <c r="I204" s="168"/>
      <c r="K204" s="168"/>
    </row>
    <row r="205" spans="1:11" ht="15.75" customHeight="1" x14ac:dyDescent="0.25">
      <c r="A205" s="24"/>
      <c r="B205" s="174"/>
      <c r="C205" s="24"/>
      <c r="D205" s="24"/>
      <c r="E205" s="24"/>
      <c r="H205" s="212"/>
      <c r="I205" s="168"/>
      <c r="K205" s="168"/>
    </row>
    <row r="206" spans="1:11" ht="15.75" customHeight="1" x14ac:dyDescent="0.25">
      <c r="A206" s="24"/>
      <c r="B206" s="174"/>
      <c r="C206" s="24"/>
      <c r="D206" s="24"/>
      <c r="E206" s="24"/>
      <c r="H206" s="212"/>
      <c r="I206" s="168"/>
      <c r="K206" s="168"/>
    </row>
    <row r="207" spans="1:11" ht="15.75" customHeight="1" x14ac:dyDescent="0.25">
      <c r="A207" s="24"/>
      <c r="B207" s="174"/>
      <c r="C207" s="24"/>
      <c r="D207" s="24"/>
      <c r="E207" s="24"/>
      <c r="H207" s="212"/>
      <c r="I207" s="168"/>
      <c r="K207" s="168"/>
    </row>
    <row r="208" spans="1:11" ht="15.75" customHeight="1" x14ac:dyDescent="0.25">
      <c r="A208" s="24"/>
      <c r="B208" s="174"/>
      <c r="C208" s="24"/>
      <c r="D208" s="24"/>
      <c r="E208" s="24"/>
      <c r="H208" s="212"/>
      <c r="I208" s="168"/>
      <c r="K208" s="168"/>
    </row>
    <row r="209" spans="1:11" ht="15.75" customHeight="1" x14ac:dyDescent="0.25">
      <c r="A209" s="24"/>
      <c r="B209" s="174"/>
      <c r="C209" s="24"/>
      <c r="D209" s="24"/>
      <c r="E209" s="24"/>
      <c r="H209" s="212"/>
      <c r="I209" s="168"/>
      <c r="K209" s="168"/>
    </row>
    <row r="210" spans="1:11" ht="15.75" customHeight="1" x14ac:dyDescent="0.25">
      <c r="A210" s="24"/>
      <c r="B210" s="174"/>
      <c r="C210" s="24"/>
      <c r="D210" s="24"/>
      <c r="E210" s="24"/>
      <c r="H210" s="212"/>
      <c r="I210" s="168"/>
      <c r="K210" s="168"/>
    </row>
    <row r="211" spans="1:11" ht="15.75" customHeight="1" x14ac:dyDescent="0.25">
      <c r="A211" s="24"/>
      <c r="B211" s="174"/>
      <c r="C211" s="24"/>
      <c r="D211" s="24"/>
      <c r="E211" s="24"/>
      <c r="H211" s="212"/>
      <c r="I211" s="168"/>
      <c r="K211" s="168"/>
    </row>
    <row r="212" spans="1:11" ht="15.75" customHeight="1" x14ac:dyDescent="0.25">
      <c r="A212" s="24"/>
      <c r="B212" s="174"/>
      <c r="C212" s="24"/>
      <c r="D212" s="24"/>
      <c r="E212" s="24"/>
      <c r="H212" s="212"/>
      <c r="I212" s="168"/>
      <c r="K212" s="168"/>
    </row>
    <row r="213" spans="1:11" ht="15.75" customHeight="1" x14ac:dyDescent="0.25">
      <c r="A213" s="24"/>
      <c r="B213" s="174"/>
      <c r="C213" s="24"/>
      <c r="D213" s="24"/>
      <c r="E213" s="24"/>
      <c r="H213" s="212"/>
      <c r="I213" s="168"/>
      <c r="K213" s="168"/>
    </row>
    <row r="214" spans="1:11" ht="15.75" customHeight="1" x14ac:dyDescent="0.25">
      <c r="A214" s="24"/>
      <c r="B214" s="174"/>
      <c r="C214" s="24"/>
      <c r="D214" s="24"/>
      <c r="E214" s="24"/>
      <c r="H214" s="212"/>
      <c r="I214" s="168"/>
      <c r="K214" s="168"/>
    </row>
    <row r="215" spans="1:11" ht="15.75" customHeight="1" x14ac:dyDescent="0.25">
      <c r="A215" s="24"/>
      <c r="B215" s="174"/>
      <c r="C215" s="24"/>
      <c r="D215" s="24"/>
      <c r="E215" s="24"/>
      <c r="H215" s="212"/>
      <c r="I215" s="168"/>
      <c r="K215" s="168"/>
    </row>
    <row r="216" spans="1:11" ht="15.75" customHeight="1" x14ac:dyDescent="0.25">
      <c r="A216" s="24"/>
      <c r="B216" s="174"/>
      <c r="C216" s="24"/>
      <c r="D216" s="24"/>
      <c r="E216" s="24"/>
      <c r="H216" s="212"/>
      <c r="I216" s="168"/>
      <c r="K216" s="168"/>
    </row>
    <row r="217" spans="1:11" ht="15.75" customHeight="1" x14ac:dyDescent="0.25">
      <c r="A217" s="24"/>
      <c r="B217" s="174"/>
      <c r="C217" s="24"/>
      <c r="D217" s="24"/>
      <c r="E217" s="24"/>
      <c r="H217" s="212"/>
      <c r="I217" s="168"/>
      <c r="K217" s="168"/>
    </row>
    <row r="218" spans="1:11" ht="15.75" customHeight="1" x14ac:dyDescent="0.25">
      <c r="A218" s="24"/>
      <c r="B218" s="174"/>
      <c r="C218" s="24"/>
      <c r="D218" s="24"/>
      <c r="E218" s="24"/>
      <c r="H218" s="212"/>
      <c r="I218" s="168"/>
      <c r="K218" s="168"/>
    </row>
    <row r="219" spans="1:11" ht="15.75" customHeight="1" x14ac:dyDescent="0.25">
      <c r="A219" s="24"/>
      <c r="B219" s="174"/>
      <c r="C219" s="24"/>
      <c r="D219" s="24"/>
      <c r="E219" s="24"/>
      <c r="H219" s="212"/>
      <c r="I219" s="168"/>
      <c r="K219" s="168"/>
    </row>
    <row r="220" spans="1:11" ht="15.75" customHeight="1" x14ac:dyDescent="0.25">
      <c r="A220" s="24"/>
      <c r="B220" s="174"/>
      <c r="C220" s="24"/>
      <c r="D220" s="24"/>
      <c r="E220" s="24"/>
      <c r="H220" s="212"/>
      <c r="I220" s="168"/>
      <c r="K220" s="168"/>
    </row>
    <row r="221" spans="1:11" ht="15.75" customHeight="1" x14ac:dyDescent="0.25">
      <c r="A221" s="24"/>
      <c r="B221" s="174"/>
      <c r="C221" s="24"/>
      <c r="D221" s="24"/>
      <c r="E221" s="24"/>
      <c r="H221" s="212"/>
      <c r="I221" s="168"/>
      <c r="K221" s="168"/>
    </row>
    <row r="222" spans="1:11" ht="15.75" customHeight="1" x14ac:dyDescent="0.25">
      <c r="A222" s="24"/>
      <c r="B222" s="174"/>
      <c r="C222" s="24"/>
      <c r="D222" s="24"/>
      <c r="E222" s="24"/>
      <c r="H222" s="212"/>
      <c r="I222" s="168"/>
      <c r="K222" s="168"/>
    </row>
    <row r="223" spans="1:11" ht="15.75" customHeight="1" x14ac:dyDescent="0.25">
      <c r="A223" s="24"/>
      <c r="B223" s="174"/>
      <c r="C223" s="24"/>
      <c r="D223" s="24"/>
      <c r="E223" s="24"/>
      <c r="H223" s="212"/>
      <c r="I223" s="168"/>
      <c r="K223" s="168"/>
    </row>
    <row r="224" spans="1:11" ht="15.75" customHeight="1" x14ac:dyDescent="0.25">
      <c r="A224" s="24"/>
      <c r="B224" s="174"/>
      <c r="C224" s="24"/>
      <c r="D224" s="24"/>
      <c r="E224" s="24"/>
      <c r="H224" s="212"/>
      <c r="I224" s="168"/>
      <c r="K224" s="168"/>
    </row>
    <row r="225" spans="1:11" ht="15.75" customHeight="1" x14ac:dyDescent="0.25">
      <c r="A225" s="24"/>
      <c r="B225" s="174"/>
      <c r="C225" s="24"/>
      <c r="D225" s="24"/>
      <c r="E225" s="24"/>
      <c r="H225" s="212"/>
      <c r="I225" s="168"/>
      <c r="K225" s="168"/>
    </row>
    <row r="226" spans="1:11" ht="15.75" customHeight="1" x14ac:dyDescent="0.25">
      <c r="A226" s="24"/>
      <c r="B226" s="174"/>
      <c r="C226" s="24"/>
      <c r="D226" s="24"/>
      <c r="E226" s="24"/>
      <c r="H226" s="212"/>
      <c r="I226" s="168"/>
      <c r="K226" s="168"/>
    </row>
    <row r="227" spans="1:11" ht="15.75" customHeight="1" x14ac:dyDescent="0.25">
      <c r="A227" s="24"/>
      <c r="B227" s="174"/>
      <c r="C227" s="24"/>
      <c r="D227" s="24"/>
      <c r="E227" s="24"/>
      <c r="H227" s="212"/>
      <c r="I227" s="168"/>
      <c r="K227" s="168"/>
    </row>
    <row r="228" spans="1:11" ht="15.75" customHeight="1" x14ac:dyDescent="0.25">
      <c r="A228" s="24"/>
      <c r="B228" s="174"/>
      <c r="C228" s="24"/>
      <c r="D228" s="24"/>
      <c r="E228" s="24"/>
      <c r="H228" s="212"/>
      <c r="I228" s="168"/>
      <c r="K228" s="168"/>
    </row>
    <row r="229" spans="1:11" ht="15.75" customHeight="1" x14ac:dyDescent="0.25">
      <c r="A229" s="24"/>
      <c r="B229" s="174"/>
      <c r="C229" s="24"/>
      <c r="D229" s="24"/>
      <c r="E229" s="24"/>
      <c r="H229" s="212"/>
      <c r="I229" s="168"/>
      <c r="K229" s="168"/>
    </row>
    <row r="230" spans="1:11" ht="15.75" customHeight="1" x14ac:dyDescent="0.25">
      <c r="A230" s="24"/>
      <c r="B230" s="174"/>
      <c r="C230" s="24"/>
      <c r="D230" s="24"/>
      <c r="E230" s="24"/>
      <c r="H230" s="212"/>
      <c r="I230" s="168"/>
      <c r="K230" s="168"/>
    </row>
    <row r="231" spans="1:11" ht="15.75" customHeight="1" x14ac:dyDescent="0.25">
      <c r="A231" s="24"/>
      <c r="B231" s="174"/>
      <c r="C231" s="24"/>
      <c r="D231" s="24"/>
      <c r="E231" s="24"/>
      <c r="H231" s="212"/>
      <c r="I231" s="168"/>
      <c r="K231" s="168"/>
    </row>
    <row r="232" spans="1:11" ht="15.75" customHeight="1" x14ac:dyDescent="0.25">
      <c r="A232" s="24"/>
      <c r="B232" s="174"/>
      <c r="C232" s="24"/>
      <c r="D232" s="24"/>
      <c r="E232" s="24"/>
      <c r="H232" s="212"/>
      <c r="I232" s="168"/>
      <c r="K232" s="168"/>
    </row>
    <row r="233" spans="1:11" ht="15.75" customHeight="1" x14ac:dyDescent="0.25">
      <c r="A233" s="24"/>
      <c r="B233" s="174"/>
      <c r="C233" s="24"/>
      <c r="D233" s="24"/>
      <c r="E233" s="24"/>
      <c r="H233" s="212"/>
      <c r="I233" s="168"/>
      <c r="K233" s="168"/>
    </row>
    <row r="234" spans="1:11" ht="15.75" customHeight="1" x14ac:dyDescent="0.25">
      <c r="A234" s="24"/>
      <c r="B234" s="174"/>
      <c r="C234" s="24"/>
      <c r="D234" s="24"/>
      <c r="E234" s="24"/>
      <c r="H234" s="212"/>
      <c r="I234" s="168"/>
      <c r="K234" s="168"/>
    </row>
    <row r="235" spans="1:11" ht="15.75" customHeight="1" x14ac:dyDescent="0.25">
      <c r="A235" s="24"/>
      <c r="B235" s="174"/>
      <c r="C235" s="24"/>
      <c r="D235" s="24"/>
      <c r="E235" s="24"/>
      <c r="H235" s="212"/>
      <c r="I235" s="168"/>
      <c r="K235" s="168"/>
    </row>
    <row r="236" spans="1:11" ht="15.75" customHeight="1" x14ac:dyDescent="0.25">
      <c r="A236" s="24"/>
      <c r="B236" s="174"/>
      <c r="C236" s="24"/>
      <c r="D236" s="24"/>
      <c r="E236" s="24"/>
      <c r="H236" s="212"/>
      <c r="I236" s="168"/>
      <c r="K236" s="168"/>
    </row>
    <row r="237" spans="1:11" ht="15.75" customHeight="1" x14ac:dyDescent="0.25">
      <c r="A237" s="24"/>
      <c r="B237" s="174"/>
      <c r="C237" s="24"/>
      <c r="D237" s="24"/>
      <c r="E237" s="24"/>
      <c r="H237" s="212"/>
      <c r="I237" s="168"/>
      <c r="K237" s="168"/>
    </row>
    <row r="238" spans="1:11" ht="15.75" customHeight="1" x14ac:dyDescent="0.25">
      <c r="A238" s="24"/>
      <c r="B238" s="174"/>
      <c r="C238" s="24"/>
      <c r="D238" s="24"/>
      <c r="E238" s="24"/>
      <c r="H238" s="212"/>
      <c r="I238" s="168"/>
      <c r="K238" s="168"/>
    </row>
    <row r="239" spans="1:11" ht="15.75" customHeight="1" x14ac:dyDescent="0.25">
      <c r="A239" s="24"/>
      <c r="B239" s="174"/>
      <c r="C239" s="24"/>
      <c r="D239" s="24"/>
      <c r="E239" s="24"/>
      <c r="H239" s="212"/>
      <c r="I239" s="168"/>
      <c r="K239" s="168"/>
    </row>
    <row r="240" spans="1:11" ht="15.75" customHeight="1" x14ac:dyDescent="0.25">
      <c r="A240" s="24"/>
      <c r="B240" s="174"/>
      <c r="C240" s="24"/>
      <c r="D240" s="24"/>
      <c r="E240" s="24"/>
      <c r="H240" s="212"/>
      <c r="I240" s="168"/>
      <c r="K240" s="168"/>
    </row>
    <row r="241" spans="1:11" ht="15.75" customHeight="1" x14ac:dyDescent="0.25">
      <c r="A241" s="24"/>
      <c r="B241" s="174"/>
      <c r="C241" s="24"/>
      <c r="D241" s="24"/>
      <c r="E241" s="24"/>
      <c r="H241" s="212"/>
      <c r="I241" s="168"/>
      <c r="K241" s="168"/>
    </row>
    <row r="242" spans="1:11" ht="15.75" customHeight="1" x14ac:dyDescent="0.25">
      <c r="A242" s="24"/>
      <c r="B242" s="174"/>
      <c r="C242" s="24"/>
      <c r="D242" s="24"/>
      <c r="E242" s="24"/>
      <c r="H242" s="212"/>
      <c r="I242" s="168"/>
      <c r="K242" s="168"/>
    </row>
    <row r="243" spans="1:11" ht="15.75" customHeight="1" x14ac:dyDescent="0.25">
      <c r="A243" s="24"/>
      <c r="B243" s="174"/>
      <c r="C243" s="24"/>
      <c r="D243" s="24"/>
      <c r="E243" s="24"/>
      <c r="H243" s="212"/>
      <c r="I243" s="168"/>
      <c r="K243" s="168"/>
    </row>
    <row r="244" spans="1:11" ht="15.75" customHeight="1" x14ac:dyDescent="0.25">
      <c r="A244" s="24"/>
      <c r="B244" s="174"/>
      <c r="C244" s="24"/>
      <c r="D244" s="24"/>
      <c r="E244" s="24"/>
      <c r="H244" s="212"/>
      <c r="I244" s="168"/>
      <c r="K244" s="168"/>
    </row>
    <row r="245" spans="1:11" ht="15.75" customHeight="1" x14ac:dyDescent="0.25">
      <c r="A245" s="24"/>
      <c r="B245" s="174"/>
      <c r="C245" s="24"/>
      <c r="D245" s="24"/>
      <c r="E245" s="24"/>
      <c r="H245" s="212"/>
      <c r="I245" s="168"/>
      <c r="K245" s="168"/>
    </row>
    <row r="246" spans="1:11" ht="15.75" customHeight="1" x14ac:dyDescent="0.25">
      <c r="A246" s="24"/>
      <c r="B246" s="174"/>
      <c r="C246" s="24"/>
      <c r="D246" s="24"/>
      <c r="E246" s="24"/>
      <c r="H246" s="212"/>
      <c r="I246" s="168"/>
      <c r="K246" s="168"/>
    </row>
    <row r="247" spans="1:11" ht="15.75" customHeight="1" x14ac:dyDescent="0.25">
      <c r="A247" s="24"/>
      <c r="B247" s="174"/>
      <c r="C247" s="24"/>
      <c r="D247" s="24"/>
      <c r="E247" s="24"/>
      <c r="H247" s="212"/>
      <c r="I247" s="168"/>
      <c r="K247" s="168"/>
    </row>
    <row r="248" spans="1:11" ht="15.75" customHeight="1" x14ac:dyDescent="0.25">
      <c r="A248" s="24"/>
      <c r="B248" s="174"/>
      <c r="C248" s="24"/>
      <c r="D248" s="24"/>
      <c r="E248" s="24"/>
      <c r="H248" s="212"/>
      <c r="I248" s="168"/>
      <c r="K248" s="168"/>
    </row>
    <row r="249" spans="1:11" ht="15.75" customHeight="1" x14ac:dyDescent="0.25">
      <c r="A249" s="24"/>
      <c r="B249" s="174"/>
      <c r="C249" s="24"/>
      <c r="D249" s="24"/>
      <c r="E249" s="24"/>
      <c r="H249" s="212"/>
      <c r="I249" s="168"/>
      <c r="K249" s="168"/>
    </row>
    <row r="250" spans="1:11" ht="15.75" customHeight="1" x14ac:dyDescent="0.25">
      <c r="A250" s="24"/>
      <c r="B250" s="174"/>
      <c r="C250" s="24"/>
      <c r="D250" s="24"/>
      <c r="E250" s="24"/>
      <c r="H250" s="212"/>
      <c r="I250" s="168"/>
      <c r="K250" s="168"/>
    </row>
    <row r="251" spans="1:11" ht="15.75" customHeight="1" x14ac:dyDescent="0.25">
      <c r="A251" s="24"/>
      <c r="B251" s="174"/>
      <c r="C251" s="24"/>
      <c r="D251" s="24"/>
      <c r="E251" s="24"/>
      <c r="H251" s="212"/>
      <c r="I251" s="168"/>
      <c r="K251" s="168"/>
    </row>
    <row r="252" spans="1:11" ht="15.75" customHeight="1" x14ac:dyDescent="0.25">
      <c r="A252" s="24"/>
      <c r="B252" s="174"/>
      <c r="C252" s="24"/>
      <c r="D252" s="24"/>
      <c r="E252" s="24"/>
      <c r="H252" s="212"/>
      <c r="I252" s="168"/>
      <c r="K252" s="168"/>
    </row>
    <row r="253" spans="1:11" ht="15.75" customHeight="1" x14ac:dyDescent="0.25">
      <c r="A253" s="24"/>
      <c r="B253" s="174"/>
      <c r="C253" s="24"/>
      <c r="D253" s="24"/>
      <c r="E253" s="24"/>
      <c r="H253" s="212"/>
      <c r="I253" s="168"/>
      <c r="K253" s="168"/>
    </row>
    <row r="254" spans="1:11" ht="15.75" customHeight="1" x14ac:dyDescent="0.25">
      <c r="A254" s="24"/>
      <c r="B254" s="174"/>
      <c r="C254" s="24"/>
      <c r="D254" s="24"/>
      <c r="E254" s="24"/>
      <c r="H254" s="212"/>
      <c r="I254" s="168"/>
      <c r="K254" s="168"/>
    </row>
    <row r="255" spans="1:11" ht="15.75" customHeight="1" x14ac:dyDescent="0.25">
      <c r="A255" s="24"/>
      <c r="B255" s="174"/>
      <c r="C255" s="24"/>
      <c r="D255" s="24"/>
      <c r="E255" s="24"/>
      <c r="H255" s="212"/>
      <c r="I255" s="168"/>
      <c r="K255" s="168"/>
    </row>
    <row r="256" spans="1:11" ht="15.75" customHeight="1" x14ac:dyDescent="0.25">
      <c r="A256" s="24"/>
      <c r="B256" s="174"/>
      <c r="C256" s="24"/>
      <c r="D256" s="24"/>
      <c r="E256" s="24"/>
      <c r="H256" s="212"/>
      <c r="I256" s="168"/>
      <c r="K256" s="168"/>
    </row>
    <row r="257" spans="1:11" ht="15.75" customHeight="1" x14ac:dyDescent="0.25">
      <c r="A257" s="24"/>
      <c r="B257" s="174"/>
      <c r="C257" s="24"/>
      <c r="D257" s="24"/>
      <c r="E257" s="24"/>
      <c r="H257" s="212"/>
      <c r="I257" s="168"/>
      <c r="K257" s="168"/>
    </row>
    <row r="258" spans="1:11" ht="15.75" customHeight="1" x14ac:dyDescent="0.25">
      <c r="A258" s="24"/>
      <c r="B258" s="174"/>
      <c r="C258" s="24"/>
      <c r="D258" s="24"/>
      <c r="E258" s="24"/>
      <c r="H258" s="212"/>
      <c r="I258" s="168"/>
      <c r="K258" s="168"/>
    </row>
    <row r="259" spans="1:11" ht="15.75" customHeight="1" x14ac:dyDescent="0.25">
      <c r="A259" s="24"/>
      <c r="B259" s="174"/>
      <c r="C259" s="24"/>
      <c r="D259" s="24"/>
      <c r="E259" s="24"/>
      <c r="H259" s="212"/>
      <c r="I259" s="168"/>
      <c r="K259" s="168"/>
    </row>
    <row r="260" spans="1:11" ht="15.75" customHeight="1" x14ac:dyDescent="0.25">
      <c r="A260" s="24"/>
      <c r="B260" s="174"/>
      <c r="C260" s="24"/>
      <c r="D260" s="24"/>
      <c r="E260" s="24"/>
      <c r="H260" s="212"/>
      <c r="I260" s="168"/>
      <c r="K260" s="168"/>
    </row>
    <row r="261" spans="1:11" ht="15.75" customHeight="1" x14ac:dyDescent="0.25">
      <c r="A261" s="24"/>
      <c r="B261" s="174"/>
      <c r="C261" s="24"/>
      <c r="D261" s="24"/>
      <c r="E261" s="24"/>
      <c r="H261" s="212"/>
      <c r="I261" s="168"/>
      <c r="K261" s="168"/>
    </row>
    <row r="262" spans="1:11" ht="15.75" customHeight="1" x14ac:dyDescent="0.25">
      <c r="A262" s="24"/>
      <c r="B262" s="174"/>
      <c r="C262" s="24"/>
      <c r="D262" s="24"/>
      <c r="E262" s="24"/>
      <c r="H262" s="212"/>
      <c r="I262" s="168"/>
      <c r="K262" s="168"/>
    </row>
    <row r="263" spans="1:11" ht="15.75" customHeight="1" x14ac:dyDescent="0.25">
      <c r="A263" s="24"/>
      <c r="B263" s="174"/>
      <c r="C263" s="24"/>
      <c r="D263" s="24"/>
      <c r="E263" s="24"/>
      <c r="H263" s="212"/>
      <c r="I263" s="168"/>
      <c r="K263" s="168"/>
    </row>
    <row r="264" spans="1:11" ht="15.75" customHeight="1" x14ac:dyDescent="0.25">
      <c r="A264" s="24"/>
      <c r="B264" s="174"/>
      <c r="C264" s="24"/>
      <c r="D264" s="24"/>
      <c r="E264" s="24"/>
      <c r="H264" s="212"/>
      <c r="I264" s="168"/>
      <c r="K264" s="168"/>
    </row>
    <row r="265" spans="1:11" ht="15.75" customHeight="1" x14ac:dyDescent="0.25">
      <c r="A265" s="24"/>
      <c r="B265" s="174"/>
      <c r="C265" s="24"/>
      <c r="D265" s="24"/>
      <c r="E265" s="24"/>
      <c r="H265" s="212"/>
      <c r="I265" s="168"/>
      <c r="K265" s="168"/>
    </row>
    <row r="266" spans="1:11" ht="15.75" customHeight="1" x14ac:dyDescent="0.25">
      <c r="A266" s="24"/>
      <c r="B266" s="174"/>
      <c r="C266" s="24"/>
      <c r="D266" s="24"/>
      <c r="E266" s="24"/>
      <c r="H266" s="212"/>
      <c r="I266" s="168"/>
      <c r="K266" s="168"/>
    </row>
    <row r="267" spans="1:11" ht="15.75" customHeight="1" x14ac:dyDescent="0.25">
      <c r="A267" s="24"/>
      <c r="B267" s="174"/>
      <c r="C267" s="24"/>
      <c r="D267" s="24"/>
      <c r="E267" s="24"/>
      <c r="H267" s="212"/>
      <c r="I267" s="168"/>
      <c r="K267" s="168"/>
    </row>
    <row r="268" spans="1:11" ht="15.75" customHeight="1" x14ac:dyDescent="0.25">
      <c r="A268" s="24"/>
      <c r="B268" s="174"/>
      <c r="C268" s="24"/>
      <c r="D268" s="24"/>
      <c r="E268" s="24"/>
      <c r="H268" s="212"/>
      <c r="I268" s="168"/>
      <c r="K268" s="168"/>
    </row>
    <row r="269" spans="1:11" ht="15.75" customHeight="1" x14ac:dyDescent="0.25">
      <c r="A269" s="24"/>
      <c r="B269" s="174"/>
      <c r="C269" s="24"/>
      <c r="D269" s="24"/>
      <c r="E269" s="24"/>
      <c r="H269" s="212"/>
      <c r="I269" s="168"/>
      <c r="K269" s="168"/>
    </row>
    <row r="270" spans="1:11" ht="15.75" customHeight="1" x14ac:dyDescent="0.25">
      <c r="A270" s="24"/>
      <c r="B270" s="174"/>
      <c r="C270" s="24"/>
      <c r="D270" s="24"/>
      <c r="E270" s="24"/>
      <c r="H270" s="212"/>
      <c r="I270" s="168"/>
      <c r="K270" s="168"/>
    </row>
    <row r="271" spans="1:11" ht="15.75" customHeight="1" x14ac:dyDescent="0.25">
      <c r="A271" s="24"/>
      <c r="B271" s="174"/>
      <c r="C271" s="24"/>
      <c r="D271" s="24"/>
      <c r="E271" s="24"/>
      <c r="H271" s="212"/>
      <c r="I271" s="168"/>
      <c r="K271" s="168"/>
    </row>
    <row r="272" spans="1:11" ht="15.75" customHeight="1" x14ac:dyDescent="0.25">
      <c r="A272" s="24"/>
      <c r="B272" s="174"/>
      <c r="C272" s="24"/>
      <c r="D272" s="24"/>
      <c r="E272" s="24"/>
      <c r="H272" s="212"/>
      <c r="I272" s="168"/>
      <c r="K272" s="168"/>
    </row>
    <row r="273" spans="1:11" ht="15.75" customHeight="1" x14ac:dyDescent="0.25">
      <c r="A273" s="24"/>
      <c r="B273" s="174"/>
      <c r="C273" s="24"/>
      <c r="D273" s="24"/>
      <c r="E273" s="24"/>
      <c r="H273" s="212"/>
      <c r="I273" s="168"/>
      <c r="K273" s="168"/>
    </row>
    <row r="274" spans="1:11" ht="15.75" customHeight="1" x14ac:dyDescent="0.25">
      <c r="A274" s="24"/>
      <c r="B274" s="174"/>
      <c r="C274" s="24"/>
      <c r="D274" s="24"/>
      <c r="E274" s="24"/>
      <c r="H274" s="212"/>
      <c r="I274" s="168"/>
      <c r="K274" s="168"/>
    </row>
    <row r="275" spans="1:11" ht="15.75" customHeight="1" x14ac:dyDescent="0.25">
      <c r="A275" s="24"/>
      <c r="B275" s="174"/>
      <c r="C275" s="24"/>
      <c r="D275" s="24"/>
      <c r="E275" s="24"/>
      <c r="H275" s="212"/>
      <c r="I275" s="168"/>
      <c r="K275" s="168"/>
    </row>
    <row r="276" spans="1:11" ht="15.75" customHeight="1" x14ac:dyDescent="0.25">
      <c r="A276" s="24"/>
      <c r="B276" s="174"/>
      <c r="C276" s="24"/>
      <c r="D276" s="24"/>
      <c r="E276" s="24"/>
      <c r="H276" s="212"/>
      <c r="I276" s="168"/>
      <c r="K276" s="168"/>
    </row>
    <row r="277" spans="1:11" ht="15.75" customHeight="1" x14ac:dyDescent="0.25">
      <c r="A277" s="24"/>
      <c r="B277" s="174"/>
      <c r="C277" s="24"/>
      <c r="D277" s="24"/>
      <c r="E277" s="24"/>
      <c r="H277" s="212"/>
      <c r="I277" s="168"/>
      <c r="K277" s="168"/>
    </row>
    <row r="278" spans="1:11" ht="15.75" customHeight="1" x14ac:dyDescent="0.25">
      <c r="A278" s="24"/>
      <c r="B278" s="174"/>
      <c r="C278" s="24"/>
      <c r="D278" s="24"/>
      <c r="E278" s="24"/>
      <c r="H278" s="212"/>
      <c r="I278" s="168"/>
      <c r="K278" s="168"/>
    </row>
    <row r="279" spans="1:11" ht="15.75" customHeight="1" x14ac:dyDescent="0.25">
      <c r="A279" s="24"/>
      <c r="B279" s="174"/>
      <c r="C279" s="24"/>
      <c r="D279" s="24"/>
      <c r="E279" s="24"/>
      <c r="H279" s="212"/>
      <c r="I279" s="168"/>
      <c r="K279" s="168"/>
    </row>
    <row r="280" spans="1:11" ht="15.75" customHeight="1" x14ac:dyDescent="0.25">
      <c r="A280" s="24"/>
      <c r="B280" s="174"/>
      <c r="C280" s="24"/>
      <c r="D280" s="24"/>
      <c r="E280" s="24"/>
      <c r="H280" s="212"/>
      <c r="I280" s="168"/>
      <c r="K280" s="168"/>
    </row>
    <row r="281" spans="1:11" ht="15.75" customHeight="1" x14ac:dyDescent="0.25">
      <c r="H281" s="168"/>
      <c r="I281" s="168"/>
      <c r="K281" s="168"/>
    </row>
    <row r="282" spans="1:11" ht="15.75" customHeight="1" x14ac:dyDescent="0.25">
      <c r="H282" s="168"/>
      <c r="I282" s="168"/>
      <c r="K282" s="168"/>
    </row>
    <row r="283" spans="1:11" ht="15.75" customHeight="1" x14ac:dyDescent="0.25">
      <c r="H283" s="168"/>
      <c r="I283" s="168"/>
      <c r="K283" s="168"/>
    </row>
    <row r="284" spans="1:11" ht="15.75" customHeight="1" x14ac:dyDescent="0.25">
      <c r="H284" s="168"/>
      <c r="I284" s="168"/>
      <c r="K284" s="168"/>
    </row>
    <row r="285" spans="1:11" ht="15.75" customHeight="1" x14ac:dyDescent="0.25">
      <c r="H285" s="168"/>
      <c r="I285" s="168"/>
      <c r="K285" s="168"/>
    </row>
    <row r="286" spans="1:11" ht="15.75" customHeight="1" x14ac:dyDescent="0.25">
      <c r="H286" s="168"/>
      <c r="I286" s="168"/>
      <c r="K286" s="168"/>
    </row>
    <row r="287" spans="1:11" ht="15.75" customHeight="1" x14ac:dyDescent="0.25">
      <c r="H287" s="168"/>
      <c r="I287" s="168"/>
      <c r="K287" s="168"/>
    </row>
    <row r="288" spans="1:11" ht="15.75" customHeight="1" x14ac:dyDescent="0.25">
      <c r="H288" s="168"/>
      <c r="I288" s="168"/>
      <c r="K288" s="168"/>
    </row>
    <row r="289" spans="8:11" ht="15.75" customHeight="1" x14ac:dyDescent="0.25">
      <c r="H289" s="168"/>
      <c r="I289" s="168"/>
      <c r="K289" s="168"/>
    </row>
    <row r="290" spans="8:11" ht="15.75" customHeight="1" x14ac:dyDescent="0.25">
      <c r="H290" s="168"/>
      <c r="I290" s="168"/>
      <c r="K290" s="168"/>
    </row>
    <row r="291" spans="8:11" ht="15.75" customHeight="1" x14ac:dyDescent="0.25">
      <c r="H291" s="168"/>
      <c r="I291" s="168"/>
      <c r="K291" s="168"/>
    </row>
    <row r="292" spans="8:11" ht="15.75" customHeight="1" x14ac:dyDescent="0.25">
      <c r="H292" s="168"/>
      <c r="I292" s="168"/>
      <c r="K292" s="168"/>
    </row>
    <row r="293" spans="8:11" ht="15.75" customHeight="1" x14ac:dyDescent="0.25">
      <c r="H293" s="168"/>
      <c r="I293" s="168"/>
      <c r="K293" s="168"/>
    </row>
    <row r="294" spans="8:11" ht="15.75" customHeight="1" x14ac:dyDescent="0.25">
      <c r="H294" s="168"/>
      <c r="I294" s="168"/>
      <c r="K294" s="168"/>
    </row>
    <row r="295" spans="8:11" ht="15.75" customHeight="1" x14ac:dyDescent="0.25">
      <c r="H295" s="168"/>
      <c r="I295" s="168"/>
      <c r="K295" s="168"/>
    </row>
    <row r="296" spans="8:11" ht="15.75" customHeight="1" x14ac:dyDescent="0.25">
      <c r="H296" s="168"/>
      <c r="I296" s="168"/>
      <c r="K296" s="168"/>
    </row>
    <row r="297" spans="8:11" ht="15.75" customHeight="1" x14ac:dyDescent="0.25">
      <c r="H297" s="168"/>
      <c r="I297" s="168"/>
      <c r="K297" s="168"/>
    </row>
    <row r="298" spans="8:11" ht="15.75" customHeight="1" x14ac:dyDescent="0.25">
      <c r="H298" s="168"/>
      <c r="I298" s="168"/>
      <c r="K298" s="168"/>
    </row>
    <row r="299" spans="8:11" ht="15.75" customHeight="1" x14ac:dyDescent="0.25">
      <c r="H299" s="168"/>
      <c r="I299" s="168"/>
      <c r="K299" s="168"/>
    </row>
    <row r="300" spans="8:11" ht="15.75" customHeight="1" x14ac:dyDescent="0.25">
      <c r="H300" s="168"/>
      <c r="I300" s="168"/>
      <c r="K300" s="168"/>
    </row>
    <row r="301" spans="8:11" ht="15.75" customHeight="1" x14ac:dyDescent="0.25">
      <c r="H301" s="168"/>
      <c r="I301" s="168"/>
      <c r="K301" s="168"/>
    </row>
    <row r="302" spans="8:11" ht="15.75" customHeight="1" x14ac:dyDescent="0.25">
      <c r="H302" s="168"/>
      <c r="I302" s="168"/>
      <c r="K302" s="168"/>
    </row>
    <row r="303" spans="8:11" ht="15.75" customHeight="1" x14ac:dyDescent="0.25">
      <c r="H303" s="168"/>
      <c r="I303" s="168"/>
      <c r="K303" s="168"/>
    </row>
    <row r="304" spans="8:11" ht="15.75" customHeight="1" x14ac:dyDescent="0.25">
      <c r="H304" s="168"/>
      <c r="I304" s="168"/>
      <c r="K304" s="168"/>
    </row>
    <row r="305" spans="8:11" ht="15.75" customHeight="1" x14ac:dyDescent="0.25">
      <c r="H305" s="168"/>
      <c r="I305" s="168"/>
      <c r="K305" s="168"/>
    </row>
    <row r="306" spans="8:11" ht="15.75" customHeight="1" x14ac:dyDescent="0.25">
      <c r="H306" s="168"/>
      <c r="I306" s="168"/>
      <c r="K306" s="168"/>
    </row>
    <row r="307" spans="8:11" ht="15.75" customHeight="1" x14ac:dyDescent="0.25">
      <c r="H307" s="168"/>
      <c r="I307" s="168"/>
      <c r="K307" s="168"/>
    </row>
    <row r="308" spans="8:11" ht="15.75" customHeight="1" x14ac:dyDescent="0.25">
      <c r="H308" s="168"/>
      <c r="I308" s="168"/>
      <c r="K308" s="168"/>
    </row>
    <row r="309" spans="8:11" ht="15.75" customHeight="1" x14ac:dyDescent="0.25">
      <c r="H309" s="168"/>
      <c r="I309" s="168"/>
      <c r="K309" s="168"/>
    </row>
    <row r="310" spans="8:11" ht="15.75" customHeight="1" x14ac:dyDescent="0.25">
      <c r="H310" s="168"/>
      <c r="I310" s="168"/>
      <c r="K310" s="168"/>
    </row>
    <row r="311" spans="8:11" ht="15.75" customHeight="1" x14ac:dyDescent="0.25">
      <c r="H311" s="168"/>
      <c r="I311" s="168"/>
      <c r="K311" s="168"/>
    </row>
    <row r="312" spans="8:11" ht="15.75" customHeight="1" x14ac:dyDescent="0.25">
      <c r="H312" s="168"/>
      <c r="I312" s="168"/>
      <c r="K312" s="168"/>
    </row>
    <row r="313" spans="8:11" ht="15.75" customHeight="1" x14ac:dyDescent="0.25">
      <c r="H313" s="168"/>
      <c r="I313" s="168"/>
      <c r="K313" s="168"/>
    </row>
    <row r="314" spans="8:11" ht="15.75" customHeight="1" x14ac:dyDescent="0.25">
      <c r="H314" s="168"/>
      <c r="I314" s="168"/>
      <c r="K314" s="168"/>
    </row>
    <row r="315" spans="8:11" ht="15.75" customHeight="1" x14ac:dyDescent="0.25">
      <c r="H315" s="168"/>
      <c r="I315" s="168"/>
      <c r="K315" s="168"/>
    </row>
    <row r="316" spans="8:11" ht="15.75" customHeight="1" x14ac:dyDescent="0.25">
      <c r="H316" s="168"/>
      <c r="I316" s="168"/>
      <c r="K316" s="168"/>
    </row>
    <row r="317" spans="8:11" ht="15.75" customHeight="1" x14ac:dyDescent="0.25">
      <c r="H317" s="168"/>
      <c r="I317" s="168"/>
      <c r="K317" s="168"/>
    </row>
    <row r="318" spans="8:11" ht="15.75" customHeight="1" x14ac:dyDescent="0.25">
      <c r="H318" s="168"/>
      <c r="I318" s="168"/>
      <c r="K318" s="168"/>
    </row>
    <row r="319" spans="8:11" ht="15.75" customHeight="1" x14ac:dyDescent="0.25">
      <c r="H319" s="168"/>
      <c r="I319" s="168"/>
      <c r="K319" s="168"/>
    </row>
    <row r="320" spans="8:11" ht="15.75" customHeight="1" x14ac:dyDescent="0.25">
      <c r="H320" s="168"/>
      <c r="I320" s="168"/>
      <c r="K320" s="168"/>
    </row>
    <row r="321" spans="8:11" ht="15.75" customHeight="1" x14ac:dyDescent="0.25">
      <c r="H321" s="168"/>
      <c r="I321" s="168"/>
      <c r="K321" s="168"/>
    </row>
    <row r="322" spans="8:11" ht="15.75" customHeight="1" x14ac:dyDescent="0.25">
      <c r="H322" s="168"/>
      <c r="I322" s="168"/>
      <c r="K322" s="168"/>
    </row>
    <row r="323" spans="8:11" ht="15.75" customHeight="1" x14ac:dyDescent="0.25">
      <c r="H323" s="168"/>
      <c r="I323" s="168"/>
      <c r="K323" s="168"/>
    </row>
    <row r="324" spans="8:11" ht="15.75" customHeight="1" x14ac:dyDescent="0.25">
      <c r="H324" s="168"/>
      <c r="I324" s="168"/>
      <c r="K324" s="168"/>
    </row>
    <row r="325" spans="8:11" ht="15.75" customHeight="1" x14ac:dyDescent="0.25">
      <c r="H325" s="168"/>
      <c r="I325" s="168"/>
      <c r="K325" s="168"/>
    </row>
    <row r="326" spans="8:11" ht="15.75" customHeight="1" x14ac:dyDescent="0.25">
      <c r="H326" s="168"/>
      <c r="I326" s="168"/>
      <c r="K326" s="168"/>
    </row>
    <row r="327" spans="8:11" ht="15.75" customHeight="1" x14ac:dyDescent="0.25">
      <c r="H327" s="168"/>
      <c r="I327" s="168"/>
      <c r="K327" s="168"/>
    </row>
    <row r="328" spans="8:11" ht="15.75" customHeight="1" x14ac:dyDescent="0.25">
      <c r="H328" s="168"/>
      <c r="I328" s="168"/>
      <c r="K328" s="168"/>
    </row>
    <row r="329" spans="8:11" ht="15.75" customHeight="1" x14ac:dyDescent="0.25">
      <c r="H329" s="168"/>
      <c r="I329" s="168"/>
      <c r="K329" s="168"/>
    </row>
    <row r="330" spans="8:11" ht="15.75" customHeight="1" x14ac:dyDescent="0.25">
      <c r="H330" s="168"/>
      <c r="I330" s="168"/>
      <c r="K330" s="168"/>
    </row>
    <row r="331" spans="8:11" ht="15.75" customHeight="1" x14ac:dyDescent="0.25">
      <c r="H331" s="168"/>
      <c r="I331" s="168"/>
      <c r="K331" s="168"/>
    </row>
    <row r="332" spans="8:11" ht="15.75" customHeight="1" x14ac:dyDescent="0.25">
      <c r="H332" s="168"/>
      <c r="I332" s="168"/>
      <c r="K332" s="168"/>
    </row>
    <row r="333" spans="8:11" ht="15.75" customHeight="1" x14ac:dyDescent="0.25">
      <c r="H333" s="168"/>
      <c r="I333" s="168"/>
      <c r="K333" s="168"/>
    </row>
    <row r="334" spans="8:11" ht="15.75" customHeight="1" x14ac:dyDescent="0.25">
      <c r="H334" s="168"/>
      <c r="I334" s="168"/>
      <c r="K334" s="168"/>
    </row>
    <row r="335" spans="8:11" ht="15.75" customHeight="1" x14ac:dyDescent="0.25">
      <c r="H335" s="168"/>
      <c r="I335" s="168"/>
      <c r="K335" s="168"/>
    </row>
    <row r="336" spans="8:11" ht="15.75" customHeight="1" x14ac:dyDescent="0.25">
      <c r="H336" s="168"/>
      <c r="I336" s="168"/>
      <c r="K336" s="168"/>
    </row>
    <row r="337" spans="8:11" ht="15.75" customHeight="1" x14ac:dyDescent="0.25">
      <c r="H337" s="168"/>
      <c r="I337" s="168"/>
      <c r="K337" s="168"/>
    </row>
    <row r="338" spans="8:11" ht="15.75" customHeight="1" x14ac:dyDescent="0.25">
      <c r="H338" s="168"/>
      <c r="I338" s="168"/>
      <c r="K338" s="168"/>
    </row>
    <row r="339" spans="8:11" ht="15.75" customHeight="1" x14ac:dyDescent="0.25">
      <c r="H339" s="168"/>
      <c r="I339" s="168"/>
      <c r="K339" s="168"/>
    </row>
    <row r="340" spans="8:11" ht="15.75" customHeight="1" x14ac:dyDescent="0.25">
      <c r="H340" s="168"/>
      <c r="I340" s="168"/>
      <c r="K340" s="168"/>
    </row>
    <row r="341" spans="8:11" ht="15.75" customHeight="1" x14ac:dyDescent="0.25">
      <c r="H341" s="168"/>
      <c r="I341" s="168"/>
      <c r="K341" s="168"/>
    </row>
    <row r="342" spans="8:11" ht="15.75" customHeight="1" x14ac:dyDescent="0.25">
      <c r="H342" s="168"/>
      <c r="I342" s="168"/>
      <c r="K342" s="168"/>
    </row>
    <row r="343" spans="8:11" ht="15.75" customHeight="1" x14ac:dyDescent="0.25">
      <c r="H343" s="168"/>
      <c r="I343" s="168"/>
      <c r="K343" s="168"/>
    </row>
    <row r="344" spans="8:11" ht="15.75" customHeight="1" x14ac:dyDescent="0.25">
      <c r="H344" s="168"/>
      <c r="I344" s="168"/>
      <c r="K344" s="168"/>
    </row>
    <row r="345" spans="8:11" ht="15.75" customHeight="1" x14ac:dyDescent="0.25">
      <c r="H345" s="168"/>
      <c r="I345" s="168"/>
      <c r="K345" s="168"/>
    </row>
    <row r="346" spans="8:11" ht="15.75" customHeight="1" x14ac:dyDescent="0.25">
      <c r="H346" s="168"/>
      <c r="I346" s="168"/>
      <c r="K346" s="168"/>
    </row>
    <row r="347" spans="8:11" ht="15.75" customHeight="1" x14ac:dyDescent="0.25">
      <c r="H347" s="168"/>
      <c r="I347" s="168"/>
      <c r="K347" s="168"/>
    </row>
    <row r="348" spans="8:11" ht="15.75" customHeight="1" x14ac:dyDescent="0.25">
      <c r="H348" s="168"/>
      <c r="I348" s="168"/>
      <c r="K348" s="168"/>
    </row>
    <row r="349" spans="8:11" ht="15.75" customHeight="1" x14ac:dyDescent="0.25">
      <c r="H349" s="168"/>
      <c r="I349" s="168"/>
      <c r="K349" s="168"/>
    </row>
    <row r="350" spans="8:11" ht="15.75" customHeight="1" x14ac:dyDescent="0.25">
      <c r="H350" s="168"/>
      <c r="I350" s="168"/>
      <c r="K350" s="168"/>
    </row>
    <row r="351" spans="8:11" ht="15.75" customHeight="1" x14ac:dyDescent="0.25">
      <c r="H351" s="168"/>
      <c r="I351" s="168"/>
      <c r="K351" s="168"/>
    </row>
    <row r="352" spans="8:11" ht="15.75" customHeight="1" x14ac:dyDescent="0.25">
      <c r="H352" s="168"/>
      <c r="I352" s="168"/>
      <c r="K352" s="168"/>
    </row>
    <row r="353" spans="8:11" ht="15.75" customHeight="1" x14ac:dyDescent="0.25">
      <c r="H353" s="168"/>
      <c r="I353" s="168"/>
      <c r="K353" s="168"/>
    </row>
    <row r="354" spans="8:11" ht="15.75" customHeight="1" x14ac:dyDescent="0.25">
      <c r="H354" s="168"/>
      <c r="I354" s="168"/>
      <c r="K354" s="168"/>
    </row>
    <row r="355" spans="8:11" ht="15.75" customHeight="1" x14ac:dyDescent="0.25">
      <c r="H355" s="168"/>
      <c r="I355" s="168"/>
      <c r="K355" s="168"/>
    </row>
    <row r="356" spans="8:11" ht="15.75" customHeight="1" x14ac:dyDescent="0.25">
      <c r="H356" s="168"/>
      <c r="I356" s="168"/>
      <c r="K356" s="168"/>
    </row>
    <row r="357" spans="8:11" ht="15.75" customHeight="1" x14ac:dyDescent="0.25">
      <c r="H357" s="168"/>
      <c r="I357" s="168"/>
      <c r="K357" s="168"/>
    </row>
    <row r="358" spans="8:11" ht="15.75" customHeight="1" x14ac:dyDescent="0.25">
      <c r="H358" s="168"/>
      <c r="I358" s="168"/>
      <c r="K358" s="168"/>
    </row>
    <row r="359" spans="8:11" ht="15.75" customHeight="1" x14ac:dyDescent="0.25">
      <c r="H359" s="168"/>
      <c r="I359" s="168"/>
      <c r="K359" s="168"/>
    </row>
    <row r="360" spans="8:11" ht="15.75" customHeight="1" x14ac:dyDescent="0.25">
      <c r="H360" s="168"/>
      <c r="I360" s="168"/>
      <c r="K360" s="168"/>
    </row>
    <row r="361" spans="8:11" ht="15.75" customHeight="1" x14ac:dyDescent="0.25">
      <c r="H361" s="168"/>
      <c r="I361" s="168"/>
      <c r="K361" s="168"/>
    </row>
    <row r="362" spans="8:11" ht="15.75" customHeight="1" x14ac:dyDescent="0.25">
      <c r="H362" s="168"/>
      <c r="I362" s="168"/>
      <c r="K362" s="168"/>
    </row>
    <row r="363" spans="8:11" ht="15.75" customHeight="1" x14ac:dyDescent="0.25">
      <c r="H363" s="168"/>
      <c r="I363" s="168"/>
      <c r="K363" s="168"/>
    </row>
    <row r="364" spans="8:11" ht="15.75" customHeight="1" x14ac:dyDescent="0.25">
      <c r="H364" s="168"/>
      <c r="I364" s="168"/>
      <c r="K364" s="168"/>
    </row>
    <row r="365" spans="8:11" ht="15.75" customHeight="1" x14ac:dyDescent="0.25">
      <c r="H365" s="168"/>
      <c r="I365" s="168"/>
      <c r="K365" s="168"/>
    </row>
    <row r="366" spans="8:11" ht="15.75" customHeight="1" x14ac:dyDescent="0.25">
      <c r="H366" s="168"/>
      <c r="I366" s="168"/>
      <c r="K366" s="168"/>
    </row>
    <row r="367" spans="8:11" ht="15.75" customHeight="1" x14ac:dyDescent="0.25">
      <c r="H367" s="168"/>
      <c r="I367" s="168"/>
      <c r="K367" s="168"/>
    </row>
    <row r="368" spans="8:11" ht="15.75" customHeight="1" x14ac:dyDescent="0.25">
      <c r="H368" s="168"/>
      <c r="I368" s="168"/>
      <c r="K368" s="168"/>
    </row>
    <row r="369" spans="8:11" ht="15.75" customHeight="1" x14ac:dyDescent="0.25">
      <c r="H369" s="168"/>
      <c r="I369" s="168"/>
      <c r="K369" s="168"/>
    </row>
    <row r="370" spans="8:11" ht="15.75" customHeight="1" x14ac:dyDescent="0.25">
      <c r="H370" s="168"/>
      <c r="I370" s="168"/>
      <c r="K370" s="168"/>
    </row>
    <row r="371" spans="8:11" ht="15.75" customHeight="1" x14ac:dyDescent="0.25">
      <c r="H371" s="168"/>
      <c r="I371" s="168"/>
      <c r="K371" s="168"/>
    </row>
    <row r="372" spans="8:11" ht="15.75" customHeight="1" x14ac:dyDescent="0.25">
      <c r="H372" s="168"/>
      <c r="I372" s="168"/>
      <c r="K372" s="168"/>
    </row>
    <row r="373" spans="8:11" ht="15.75" customHeight="1" x14ac:dyDescent="0.25">
      <c r="H373" s="168"/>
      <c r="I373" s="168"/>
      <c r="K373" s="168"/>
    </row>
    <row r="374" spans="8:11" ht="15.75" customHeight="1" x14ac:dyDescent="0.25">
      <c r="H374" s="168"/>
      <c r="I374" s="168"/>
      <c r="K374" s="168"/>
    </row>
    <row r="375" spans="8:11" ht="15.75" customHeight="1" x14ac:dyDescent="0.25">
      <c r="H375" s="168"/>
      <c r="I375" s="168"/>
      <c r="K375" s="168"/>
    </row>
    <row r="376" spans="8:11" ht="15.75" customHeight="1" x14ac:dyDescent="0.25">
      <c r="H376" s="168"/>
      <c r="I376" s="168"/>
      <c r="K376" s="168"/>
    </row>
    <row r="377" spans="8:11" ht="15.75" customHeight="1" x14ac:dyDescent="0.25">
      <c r="H377" s="168"/>
      <c r="I377" s="168"/>
      <c r="K377" s="168"/>
    </row>
    <row r="378" spans="8:11" ht="15.75" customHeight="1" x14ac:dyDescent="0.25">
      <c r="H378" s="168"/>
      <c r="I378" s="168"/>
      <c r="K378" s="168"/>
    </row>
    <row r="379" spans="8:11" ht="15.75" customHeight="1" x14ac:dyDescent="0.25">
      <c r="H379" s="168"/>
      <c r="I379" s="168"/>
      <c r="K379" s="168"/>
    </row>
    <row r="380" spans="8:11" ht="15.75" customHeight="1" x14ac:dyDescent="0.25">
      <c r="H380" s="168"/>
      <c r="I380" s="168"/>
      <c r="K380" s="168"/>
    </row>
    <row r="381" spans="8:11" ht="15.75" customHeight="1" x14ac:dyDescent="0.25">
      <c r="H381" s="168"/>
      <c r="I381" s="168"/>
      <c r="K381" s="168"/>
    </row>
    <row r="382" spans="8:11" ht="15.75" customHeight="1" x14ac:dyDescent="0.25">
      <c r="H382" s="168"/>
      <c r="I382" s="168"/>
      <c r="K382" s="168"/>
    </row>
    <row r="383" spans="8:11" ht="15.75" customHeight="1" x14ac:dyDescent="0.25">
      <c r="H383" s="168"/>
      <c r="I383" s="168"/>
      <c r="K383" s="168"/>
    </row>
    <row r="384" spans="8:11" ht="15.75" customHeight="1" x14ac:dyDescent="0.25">
      <c r="H384" s="168"/>
      <c r="I384" s="168"/>
      <c r="K384" s="168"/>
    </row>
    <row r="385" spans="8:11" ht="15.75" customHeight="1" x14ac:dyDescent="0.25">
      <c r="H385" s="168"/>
      <c r="I385" s="168"/>
      <c r="K385" s="168"/>
    </row>
    <row r="386" spans="8:11" ht="15.75" customHeight="1" x14ac:dyDescent="0.25">
      <c r="H386" s="168"/>
      <c r="I386" s="168"/>
      <c r="K386" s="168"/>
    </row>
    <row r="387" spans="8:11" ht="15.75" customHeight="1" x14ac:dyDescent="0.25">
      <c r="H387" s="168"/>
      <c r="I387" s="168"/>
      <c r="K387" s="168"/>
    </row>
    <row r="388" spans="8:11" ht="15.75" customHeight="1" x14ac:dyDescent="0.25">
      <c r="H388" s="168"/>
      <c r="I388" s="168"/>
      <c r="K388" s="168"/>
    </row>
    <row r="389" spans="8:11" ht="15.75" customHeight="1" x14ac:dyDescent="0.25">
      <c r="H389" s="168"/>
      <c r="I389" s="168"/>
      <c r="K389" s="168"/>
    </row>
    <row r="390" spans="8:11" ht="15.75" customHeight="1" x14ac:dyDescent="0.25">
      <c r="H390" s="168"/>
      <c r="I390" s="168"/>
      <c r="K390" s="168"/>
    </row>
    <row r="391" spans="8:11" ht="15.75" customHeight="1" x14ac:dyDescent="0.25">
      <c r="H391" s="168"/>
      <c r="I391" s="168"/>
      <c r="K391" s="168"/>
    </row>
    <row r="392" spans="8:11" ht="15.75" customHeight="1" x14ac:dyDescent="0.25">
      <c r="H392" s="168"/>
      <c r="I392" s="168"/>
      <c r="K392" s="168"/>
    </row>
    <row r="393" spans="8:11" ht="15.75" customHeight="1" x14ac:dyDescent="0.25">
      <c r="H393" s="168"/>
      <c r="I393" s="168"/>
      <c r="K393" s="168"/>
    </row>
    <row r="394" spans="8:11" ht="15.75" customHeight="1" x14ac:dyDescent="0.25">
      <c r="H394" s="168"/>
      <c r="I394" s="168"/>
      <c r="K394" s="168"/>
    </row>
    <row r="395" spans="8:11" ht="15.75" customHeight="1" x14ac:dyDescent="0.25">
      <c r="H395" s="168"/>
      <c r="I395" s="168"/>
      <c r="K395" s="168"/>
    </row>
    <row r="396" spans="8:11" ht="15.75" customHeight="1" x14ac:dyDescent="0.25">
      <c r="H396" s="168"/>
      <c r="I396" s="168"/>
      <c r="K396" s="168"/>
    </row>
    <row r="397" spans="8:11" ht="15.75" customHeight="1" x14ac:dyDescent="0.25">
      <c r="H397" s="168"/>
      <c r="I397" s="168"/>
      <c r="K397" s="168"/>
    </row>
    <row r="398" spans="8:11" ht="15.75" customHeight="1" x14ac:dyDescent="0.25">
      <c r="H398" s="168"/>
      <c r="I398" s="168"/>
      <c r="K398" s="168"/>
    </row>
    <row r="399" spans="8:11" ht="15.75" customHeight="1" x14ac:dyDescent="0.25">
      <c r="H399" s="168"/>
      <c r="I399" s="168"/>
      <c r="K399" s="168"/>
    </row>
    <row r="400" spans="8:11" ht="15.75" customHeight="1" x14ac:dyDescent="0.25">
      <c r="H400" s="168"/>
      <c r="I400" s="168"/>
      <c r="K400" s="168"/>
    </row>
    <row r="401" spans="8:11" ht="15.75" customHeight="1" x14ac:dyDescent="0.25">
      <c r="H401" s="168"/>
      <c r="I401" s="168"/>
      <c r="K401" s="168"/>
    </row>
    <row r="402" spans="8:11" ht="15.75" customHeight="1" x14ac:dyDescent="0.25">
      <c r="H402" s="168"/>
      <c r="I402" s="168"/>
      <c r="K402" s="168"/>
    </row>
    <row r="403" spans="8:11" ht="15.75" customHeight="1" x14ac:dyDescent="0.25">
      <c r="H403" s="168"/>
      <c r="I403" s="168"/>
      <c r="K403" s="168"/>
    </row>
    <row r="404" spans="8:11" ht="15.75" customHeight="1" x14ac:dyDescent="0.25">
      <c r="H404" s="168"/>
      <c r="I404" s="168"/>
      <c r="K404" s="168"/>
    </row>
    <row r="405" spans="8:11" ht="15.75" customHeight="1" x14ac:dyDescent="0.25">
      <c r="H405" s="168"/>
      <c r="I405" s="168"/>
      <c r="K405" s="168"/>
    </row>
    <row r="406" spans="8:11" ht="15.75" customHeight="1" x14ac:dyDescent="0.25">
      <c r="H406" s="168"/>
      <c r="I406" s="168"/>
      <c r="K406" s="168"/>
    </row>
    <row r="407" spans="8:11" ht="15.75" customHeight="1" x14ac:dyDescent="0.25">
      <c r="H407" s="168"/>
      <c r="I407" s="168"/>
      <c r="K407" s="168"/>
    </row>
    <row r="408" spans="8:11" ht="15.75" customHeight="1" x14ac:dyDescent="0.25">
      <c r="H408" s="168"/>
      <c r="I408" s="168"/>
      <c r="K408" s="168"/>
    </row>
    <row r="409" spans="8:11" ht="15.75" customHeight="1" x14ac:dyDescent="0.25">
      <c r="H409" s="168"/>
      <c r="I409" s="168"/>
      <c r="K409" s="168"/>
    </row>
    <row r="410" spans="8:11" ht="15.75" customHeight="1" x14ac:dyDescent="0.25">
      <c r="H410" s="168"/>
      <c r="I410" s="168"/>
      <c r="K410" s="168"/>
    </row>
    <row r="411" spans="8:11" ht="15.75" customHeight="1" x14ac:dyDescent="0.25">
      <c r="H411" s="168"/>
      <c r="I411" s="168"/>
      <c r="K411" s="168"/>
    </row>
    <row r="412" spans="8:11" ht="15.75" customHeight="1" x14ac:dyDescent="0.25">
      <c r="H412" s="168"/>
      <c r="I412" s="168"/>
      <c r="K412" s="168"/>
    </row>
    <row r="413" spans="8:11" ht="15.75" customHeight="1" x14ac:dyDescent="0.25">
      <c r="H413" s="168"/>
      <c r="I413" s="168"/>
      <c r="K413" s="168"/>
    </row>
    <row r="414" spans="8:11" ht="15.75" customHeight="1" x14ac:dyDescent="0.25">
      <c r="H414" s="168"/>
      <c r="I414" s="168"/>
      <c r="K414" s="168"/>
    </row>
    <row r="415" spans="8:11" ht="15.75" customHeight="1" x14ac:dyDescent="0.25">
      <c r="H415" s="168"/>
      <c r="I415" s="168"/>
      <c r="K415" s="168"/>
    </row>
    <row r="416" spans="8:11" ht="15.75" customHeight="1" x14ac:dyDescent="0.25">
      <c r="H416" s="168"/>
      <c r="I416" s="168"/>
      <c r="K416" s="168"/>
    </row>
    <row r="417" spans="8:11" ht="15.75" customHeight="1" x14ac:dyDescent="0.25">
      <c r="H417" s="168"/>
      <c r="I417" s="168"/>
      <c r="K417" s="168"/>
    </row>
    <row r="418" spans="8:11" ht="15.75" customHeight="1" x14ac:dyDescent="0.25">
      <c r="H418" s="168"/>
      <c r="I418" s="168"/>
      <c r="K418" s="168"/>
    </row>
    <row r="419" spans="8:11" ht="15.75" customHeight="1" x14ac:dyDescent="0.25">
      <c r="H419" s="168"/>
      <c r="I419" s="168"/>
      <c r="K419" s="168"/>
    </row>
    <row r="420" spans="8:11" ht="15.75" customHeight="1" x14ac:dyDescent="0.25">
      <c r="H420" s="168"/>
      <c r="I420" s="168"/>
      <c r="K420" s="168"/>
    </row>
    <row r="421" spans="8:11" ht="15.75" customHeight="1" x14ac:dyDescent="0.25">
      <c r="H421" s="168"/>
      <c r="I421" s="168"/>
      <c r="K421" s="168"/>
    </row>
    <row r="422" spans="8:11" ht="15.75" customHeight="1" x14ac:dyDescent="0.25">
      <c r="H422" s="168"/>
      <c r="I422" s="168"/>
      <c r="K422" s="168"/>
    </row>
    <row r="423" spans="8:11" ht="15.75" customHeight="1" x14ac:dyDescent="0.25">
      <c r="H423" s="168"/>
      <c r="I423" s="168"/>
      <c r="K423" s="168"/>
    </row>
    <row r="424" spans="8:11" ht="15.75" customHeight="1" x14ac:dyDescent="0.25">
      <c r="H424" s="168"/>
      <c r="I424" s="168"/>
      <c r="K424" s="168"/>
    </row>
    <row r="425" spans="8:11" ht="15.75" customHeight="1" x14ac:dyDescent="0.25">
      <c r="H425" s="168"/>
      <c r="I425" s="168"/>
      <c r="K425" s="168"/>
    </row>
    <row r="426" spans="8:11" ht="15.75" customHeight="1" x14ac:dyDescent="0.25">
      <c r="H426" s="168"/>
      <c r="I426" s="168"/>
      <c r="K426" s="168"/>
    </row>
    <row r="427" spans="8:11" ht="15.75" customHeight="1" x14ac:dyDescent="0.25">
      <c r="H427" s="168"/>
      <c r="I427" s="168"/>
      <c r="K427" s="168"/>
    </row>
    <row r="428" spans="8:11" ht="15.75" customHeight="1" x14ac:dyDescent="0.25">
      <c r="H428" s="168"/>
      <c r="I428" s="168"/>
      <c r="K428" s="168"/>
    </row>
    <row r="429" spans="8:11" ht="15.75" customHeight="1" x14ac:dyDescent="0.25">
      <c r="H429" s="168"/>
      <c r="I429" s="168"/>
      <c r="K429" s="168"/>
    </row>
    <row r="430" spans="8:11" ht="15.75" customHeight="1" x14ac:dyDescent="0.25">
      <c r="H430" s="168"/>
      <c r="I430" s="168"/>
      <c r="K430" s="168"/>
    </row>
    <row r="431" spans="8:11" ht="15.75" customHeight="1" x14ac:dyDescent="0.25">
      <c r="H431" s="168"/>
      <c r="I431" s="168"/>
      <c r="K431" s="168"/>
    </row>
    <row r="432" spans="8:11" ht="15.75" customHeight="1" x14ac:dyDescent="0.25">
      <c r="H432" s="168"/>
      <c r="I432" s="168"/>
      <c r="K432" s="168"/>
    </row>
    <row r="433" spans="8:11" ht="15.75" customHeight="1" x14ac:dyDescent="0.25">
      <c r="H433" s="168"/>
      <c r="I433" s="168"/>
      <c r="K433" s="168"/>
    </row>
    <row r="434" spans="8:11" ht="15.75" customHeight="1" x14ac:dyDescent="0.25">
      <c r="H434" s="168"/>
      <c r="I434" s="168"/>
      <c r="K434" s="168"/>
    </row>
    <row r="435" spans="8:11" ht="15.75" customHeight="1" x14ac:dyDescent="0.25">
      <c r="H435" s="168"/>
      <c r="I435" s="168"/>
      <c r="K435" s="168"/>
    </row>
    <row r="436" spans="8:11" ht="15.75" customHeight="1" x14ac:dyDescent="0.25">
      <c r="H436" s="168"/>
      <c r="I436" s="168"/>
      <c r="K436" s="168"/>
    </row>
    <row r="437" spans="8:11" ht="15.75" customHeight="1" x14ac:dyDescent="0.25">
      <c r="H437" s="168"/>
      <c r="I437" s="168"/>
      <c r="K437" s="168"/>
    </row>
    <row r="438" spans="8:11" ht="15.75" customHeight="1" x14ac:dyDescent="0.25">
      <c r="H438" s="168"/>
      <c r="I438" s="168"/>
      <c r="K438" s="168"/>
    </row>
    <row r="439" spans="8:11" ht="15.75" customHeight="1" x14ac:dyDescent="0.25">
      <c r="H439" s="168"/>
      <c r="I439" s="168"/>
      <c r="K439" s="168"/>
    </row>
    <row r="440" spans="8:11" ht="15.75" customHeight="1" x14ac:dyDescent="0.25">
      <c r="H440" s="168"/>
      <c r="I440" s="168"/>
      <c r="K440" s="168"/>
    </row>
    <row r="441" spans="8:11" ht="15.75" customHeight="1" x14ac:dyDescent="0.25">
      <c r="H441" s="168"/>
      <c r="I441" s="168"/>
      <c r="K441" s="168"/>
    </row>
    <row r="442" spans="8:11" ht="15.75" customHeight="1" x14ac:dyDescent="0.25">
      <c r="H442" s="168"/>
      <c r="I442" s="168"/>
      <c r="K442" s="168"/>
    </row>
    <row r="443" spans="8:11" ht="15.75" customHeight="1" x14ac:dyDescent="0.25">
      <c r="H443" s="168"/>
      <c r="I443" s="168"/>
      <c r="K443" s="168"/>
    </row>
    <row r="444" spans="8:11" ht="15.75" customHeight="1" x14ac:dyDescent="0.25">
      <c r="H444" s="168"/>
      <c r="I444" s="168"/>
      <c r="K444" s="168"/>
    </row>
    <row r="445" spans="8:11" ht="15.75" customHeight="1" x14ac:dyDescent="0.25">
      <c r="H445" s="168"/>
      <c r="I445" s="168"/>
      <c r="K445" s="168"/>
    </row>
    <row r="446" spans="8:11" ht="15.75" customHeight="1" x14ac:dyDescent="0.25">
      <c r="H446" s="168"/>
      <c r="I446" s="168"/>
      <c r="K446" s="168"/>
    </row>
    <row r="447" spans="8:11" ht="15.75" customHeight="1" x14ac:dyDescent="0.25">
      <c r="H447" s="168"/>
      <c r="I447" s="168"/>
      <c r="K447" s="168"/>
    </row>
    <row r="448" spans="8:11" ht="15.75" customHeight="1" x14ac:dyDescent="0.25">
      <c r="H448" s="168"/>
      <c r="I448" s="168"/>
      <c r="K448" s="168"/>
    </row>
    <row r="449" spans="8:11" ht="15.75" customHeight="1" x14ac:dyDescent="0.25">
      <c r="H449" s="168"/>
      <c r="I449" s="168"/>
      <c r="K449" s="168"/>
    </row>
    <row r="450" spans="8:11" ht="15.75" customHeight="1" x14ac:dyDescent="0.25">
      <c r="H450" s="168"/>
      <c r="I450" s="168"/>
      <c r="K450" s="168"/>
    </row>
    <row r="451" spans="8:11" ht="15.75" customHeight="1" x14ac:dyDescent="0.25">
      <c r="H451" s="168"/>
      <c r="I451" s="168"/>
      <c r="K451" s="168"/>
    </row>
    <row r="452" spans="8:11" ht="15.75" customHeight="1" x14ac:dyDescent="0.25">
      <c r="H452" s="168"/>
      <c r="I452" s="168"/>
      <c r="K452" s="168"/>
    </row>
    <row r="453" spans="8:11" ht="15.75" customHeight="1" x14ac:dyDescent="0.25">
      <c r="H453" s="168"/>
      <c r="I453" s="168"/>
      <c r="K453" s="168"/>
    </row>
    <row r="454" spans="8:11" ht="15.75" customHeight="1" x14ac:dyDescent="0.25">
      <c r="H454" s="168"/>
      <c r="I454" s="168"/>
      <c r="K454" s="168"/>
    </row>
    <row r="455" spans="8:11" ht="15.75" customHeight="1" x14ac:dyDescent="0.25">
      <c r="H455" s="168"/>
      <c r="I455" s="168"/>
      <c r="K455" s="168"/>
    </row>
    <row r="456" spans="8:11" ht="15.75" customHeight="1" x14ac:dyDescent="0.25">
      <c r="H456" s="168"/>
      <c r="I456" s="168"/>
      <c r="K456" s="168"/>
    </row>
    <row r="457" spans="8:11" ht="15.75" customHeight="1" x14ac:dyDescent="0.25">
      <c r="H457" s="168"/>
      <c r="I457" s="168"/>
      <c r="K457" s="168"/>
    </row>
    <row r="458" spans="8:11" ht="15.75" customHeight="1" x14ac:dyDescent="0.25">
      <c r="H458" s="168"/>
      <c r="I458" s="168"/>
      <c r="K458" s="168"/>
    </row>
    <row r="459" spans="8:11" ht="15.75" customHeight="1" x14ac:dyDescent="0.25">
      <c r="H459" s="168"/>
      <c r="I459" s="168"/>
      <c r="K459" s="168"/>
    </row>
    <row r="460" spans="8:11" ht="15.75" customHeight="1" x14ac:dyDescent="0.25">
      <c r="H460" s="168"/>
      <c r="I460" s="168"/>
      <c r="K460" s="168"/>
    </row>
    <row r="461" spans="8:11" ht="15.75" customHeight="1" x14ac:dyDescent="0.25">
      <c r="H461" s="168"/>
      <c r="I461" s="168"/>
      <c r="K461" s="168"/>
    </row>
    <row r="462" spans="8:11" ht="15.75" customHeight="1" x14ac:dyDescent="0.25">
      <c r="H462" s="168"/>
      <c r="I462" s="168"/>
      <c r="K462" s="168"/>
    </row>
    <row r="463" spans="8:11" ht="15.75" customHeight="1" x14ac:dyDescent="0.25">
      <c r="H463" s="168"/>
      <c r="I463" s="168"/>
      <c r="K463" s="168"/>
    </row>
    <row r="464" spans="8:11" ht="15.75" customHeight="1" x14ac:dyDescent="0.25">
      <c r="H464" s="168"/>
      <c r="I464" s="168"/>
      <c r="K464" s="168"/>
    </row>
    <row r="465" spans="8:11" ht="15.75" customHeight="1" x14ac:dyDescent="0.25">
      <c r="H465" s="168"/>
      <c r="I465" s="168"/>
      <c r="K465" s="168"/>
    </row>
    <row r="466" spans="8:11" ht="15.75" customHeight="1" x14ac:dyDescent="0.25">
      <c r="H466" s="168"/>
      <c r="I466" s="168"/>
      <c r="K466" s="168"/>
    </row>
    <row r="467" spans="8:11" ht="15.75" customHeight="1" x14ac:dyDescent="0.25">
      <c r="H467" s="168"/>
      <c r="I467" s="168"/>
      <c r="K467" s="168"/>
    </row>
    <row r="468" spans="8:11" ht="15.75" customHeight="1" x14ac:dyDescent="0.25">
      <c r="H468" s="168"/>
      <c r="I468" s="168"/>
      <c r="K468" s="168"/>
    </row>
    <row r="469" spans="8:11" ht="15.75" customHeight="1" x14ac:dyDescent="0.25">
      <c r="H469" s="168"/>
      <c r="I469" s="168"/>
      <c r="K469" s="168"/>
    </row>
    <row r="470" spans="8:11" ht="15.75" customHeight="1" x14ac:dyDescent="0.25">
      <c r="H470" s="168"/>
      <c r="I470" s="168"/>
      <c r="K470" s="168"/>
    </row>
    <row r="471" spans="8:11" ht="15.75" customHeight="1" x14ac:dyDescent="0.25">
      <c r="H471" s="168"/>
      <c r="I471" s="168"/>
      <c r="K471" s="168"/>
    </row>
    <row r="472" spans="8:11" ht="15.75" customHeight="1" x14ac:dyDescent="0.25">
      <c r="H472" s="168"/>
      <c r="I472" s="168"/>
      <c r="K472" s="168"/>
    </row>
    <row r="473" spans="8:11" ht="15.75" customHeight="1" x14ac:dyDescent="0.25">
      <c r="H473" s="168"/>
      <c r="I473" s="168"/>
      <c r="K473" s="168"/>
    </row>
    <row r="474" spans="8:11" ht="15.75" customHeight="1" x14ac:dyDescent="0.25">
      <c r="H474" s="168"/>
      <c r="I474" s="168"/>
      <c r="K474" s="168"/>
    </row>
    <row r="475" spans="8:11" ht="15.75" customHeight="1" x14ac:dyDescent="0.25">
      <c r="H475" s="168"/>
      <c r="I475" s="168"/>
      <c r="K475" s="168"/>
    </row>
    <row r="476" spans="8:11" ht="15.75" customHeight="1" x14ac:dyDescent="0.25">
      <c r="H476" s="168"/>
      <c r="I476" s="168"/>
      <c r="K476" s="168"/>
    </row>
    <row r="477" spans="8:11" ht="15.75" customHeight="1" x14ac:dyDescent="0.25">
      <c r="H477" s="168"/>
      <c r="I477" s="168"/>
      <c r="K477" s="168"/>
    </row>
    <row r="478" spans="8:11" ht="15.75" customHeight="1" x14ac:dyDescent="0.25">
      <c r="H478" s="168"/>
      <c r="I478" s="168"/>
      <c r="K478" s="168"/>
    </row>
    <row r="479" spans="8:11" ht="15.75" customHeight="1" x14ac:dyDescent="0.25">
      <c r="H479" s="168"/>
      <c r="I479" s="168"/>
      <c r="K479" s="168"/>
    </row>
    <row r="480" spans="8:11" ht="15.75" customHeight="1" x14ac:dyDescent="0.25">
      <c r="H480" s="168"/>
      <c r="I480" s="168"/>
      <c r="K480" s="168"/>
    </row>
    <row r="481" spans="8:11" ht="15.75" customHeight="1" x14ac:dyDescent="0.25">
      <c r="H481" s="168"/>
      <c r="I481" s="168"/>
      <c r="K481" s="168"/>
    </row>
    <row r="482" spans="8:11" ht="15.75" customHeight="1" x14ac:dyDescent="0.25">
      <c r="H482" s="168"/>
      <c r="I482" s="168"/>
      <c r="K482" s="168"/>
    </row>
    <row r="483" spans="8:11" ht="15.75" customHeight="1" x14ac:dyDescent="0.25">
      <c r="H483" s="168"/>
      <c r="I483" s="168"/>
      <c r="K483" s="168"/>
    </row>
    <row r="484" spans="8:11" ht="15.75" customHeight="1" x14ac:dyDescent="0.25">
      <c r="H484" s="168"/>
      <c r="I484" s="168"/>
      <c r="K484" s="168"/>
    </row>
    <row r="485" spans="8:11" ht="15.75" customHeight="1" x14ac:dyDescent="0.25">
      <c r="H485" s="168"/>
      <c r="I485" s="168"/>
      <c r="K485" s="168"/>
    </row>
    <row r="486" spans="8:11" ht="15.75" customHeight="1" x14ac:dyDescent="0.25">
      <c r="H486" s="168"/>
      <c r="I486" s="168"/>
      <c r="K486" s="168"/>
    </row>
    <row r="487" spans="8:11" ht="15.75" customHeight="1" x14ac:dyDescent="0.25">
      <c r="H487" s="168"/>
      <c r="I487" s="168"/>
      <c r="K487" s="168"/>
    </row>
    <row r="488" spans="8:11" ht="15.75" customHeight="1" x14ac:dyDescent="0.25">
      <c r="H488" s="168"/>
      <c r="I488" s="168"/>
      <c r="K488" s="168"/>
    </row>
    <row r="489" spans="8:11" ht="15.75" customHeight="1" x14ac:dyDescent="0.25">
      <c r="H489" s="168"/>
      <c r="I489" s="168"/>
      <c r="K489" s="168"/>
    </row>
    <row r="490" spans="8:11" ht="15.75" customHeight="1" x14ac:dyDescent="0.25">
      <c r="H490" s="168"/>
      <c r="I490" s="168"/>
      <c r="K490" s="168"/>
    </row>
    <row r="491" spans="8:11" ht="15.75" customHeight="1" x14ac:dyDescent="0.25">
      <c r="H491" s="168"/>
      <c r="I491" s="168"/>
      <c r="K491" s="168"/>
    </row>
    <row r="492" spans="8:11" ht="15.75" customHeight="1" x14ac:dyDescent="0.25">
      <c r="H492" s="168"/>
      <c r="I492" s="168"/>
      <c r="K492" s="168"/>
    </row>
    <row r="493" spans="8:11" ht="15.75" customHeight="1" x14ac:dyDescent="0.25">
      <c r="H493" s="168"/>
      <c r="I493" s="168"/>
      <c r="K493" s="168"/>
    </row>
    <row r="494" spans="8:11" ht="15.75" customHeight="1" x14ac:dyDescent="0.25">
      <c r="H494" s="168"/>
      <c r="I494" s="168"/>
      <c r="K494" s="168"/>
    </row>
    <row r="495" spans="8:11" ht="15.75" customHeight="1" x14ac:dyDescent="0.25">
      <c r="H495" s="168"/>
      <c r="I495" s="168"/>
      <c r="K495" s="168"/>
    </row>
    <row r="496" spans="8:11" ht="15.75" customHeight="1" x14ac:dyDescent="0.25">
      <c r="H496" s="168"/>
      <c r="I496" s="168"/>
      <c r="K496" s="168"/>
    </row>
    <row r="497" spans="8:11" ht="15.75" customHeight="1" x14ac:dyDescent="0.25">
      <c r="H497" s="168"/>
      <c r="I497" s="168"/>
      <c r="K497" s="168"/>
    </row>
    <row r="498" spans="8:11" ht="15.75" customHeight="1" x14ac:dyDescent="0.25">
      <c r="H498" s="168"/>
      <c r="I498" s="168"/>
      <c r="K498" s="168"/>
    </row>
    <row r="499" spans="8:11" ht="15.75" customHeight="1" x14ac:dyDescent="0.25">
      <c r="H499" s="168"/>
      <c r="I499" s="168"/>
      <c r="K499" s="168"/>
    </row>
    <row r="500" spans="8:11" ht="15.75" customHeight="1" x14ac:dyDescent="0.25">
      <c r="H500" s="168"/>
      <c r="I500" s="168"/>
      <c r="K500" s="168"/>
    </row>
    <row r="501" spans="8:11" ht="15.75" customHeight="1" x14ac:dyDescent="0.25">
      <c r="H501" s="168"/>
      <c r="I501" s="168"/>
      <c r="K501" s="168"/>
    </row>
    <row r="502" spans="8:11" ht="15.75" customHeight="1" x14ac:dyDescent="0.25">
      <c r="H502" s="168"/>
      <c r="I502" s="168"/>
      <c r="K502" s="168"/>
    </row>
    <row r="503" spans="8:11" ht="15.75" customHeight="1" x14ac:dyDescent="0.25">
      <c r="H503" s="168"/>
      <c r="I503" s="168"/>
      <c r="K503" s="168"/>
    </row>
    <row r="504" spans="8:11" ht="15.75" customHeight="1" x14ac:dyDescent="0.25">
      <c r="H504" s="168"/>
      <c r="I504" s="168"/>
      <c r="K504" s="168"/>
    </row>
    <row r="505" spans="8:11" ht="15.75" customHeight="1" x14ac:dyDescent="0.25">
      <c r="H505" s="168"/>
      <c r="I505" s="168"/>
      <c r="K505" s="168"/>
    </row>
    <row r="506" spans="8:11" ht="15.75" customHeight="1" x14ac:dyDescent="0.25">
      <c r="H506" s="168"/>
      <c r="I506" s="168"/>
      <c r="K506" s="168"/>
    </row>
    <row r="507" spans="8:11" ht="15.75" customHeight="1" x14ac:dyDescent="0.25">
      <c r="H507" s="168"/>
      <c r="I507" s="168"/>
      <c r="K507" s="168"/>
    </row>
    <row r="508" spans="8:11" ht="15.75" customHeight="1" x14ac:dyDescent="0.25">
      <c r="H508" s="168"/>
      <c r="I508" s="168"/>
      <c r="K508" s="168"/>
    </row>
    <row r="509" spans="8:11" ht="15.75" customHeight="1" x14ac:dyDescent="0.25">
      <c r="H509" s="168"/>
      <c r="I509" s="168"/>
      <c r="K509" s="168"/>
    </row>
    <row r="510" spans="8:11" ht="15.75" customHeight="1" x14ac:dyDescent="0.25">
      <c r="H510" s="168"/>
      <c r="I510" s="168"/>
      <c r="K510" s="168"/>
    </row>
    <row r="511" spans="8:11" ht="15.75" customHeight="1" x14ac:dyDescent="0.25">
      <c r="H511" s="168"/>
      <c r="I511" s="168"/>
      <c r="K511" s="168"/>
    </row>
    <row r="512" spans="8:11" ht="15.75" customHeight="1" x14ac:dyDescent="0.25">
      <c r="H512" s="168"/>
      <c r="I512" s="168"/>
      <c r="K512" s="168"/>
    </row>
    <row r="513" spans="8:11" ht="15.75" customHeight="1" x14ac:dyDescent="0.25">
      <c r="H513" s="168"/>
      <c r="I513" s="168"/>
      <c r="K513" s="168"/>
    </row>
    <row r="514" spans="8:11" ht="15.75" customHeight="1" x14ac:dyDescent="0.25">
      <c r="H514" s="168"/>
      <c r="I514" s="168"/>
      <c r="K514" s="168"/>
    </row>
    <row r="515" spans="8:11" ht="15.75" customHeight="1" x14ac:dyDescent="0.25">
      <c r="H515" s="168"/>
      <c r="I515" s="168"/>
      <c r="K515" s="168"/>
    </row>
    <row r="516" spans="8:11" ht="15.75" customHeight="1" x14ac:dyDescent="0.25">
      <c r="H516" s="168"/>
      <c r="I516" s="168"/>
      <c r="K516" s="168"/>
    </row>
    <row r="517" spans="8:11" ht="15.75" customHeight="1" x14ac:dyDescent="0.25">
      <c r="H517" s="168"/>
      <c r="I517" s="168"/>
      <c r="K517" s="168"/>
    </row>
    <row r="518" spans="8:11" ht="15.75" customHeight="1" x14ac:dyDescent="0.25">
      <c r="H518" s="168"/>
      <c r="I518" s="168"/>
      <c r="K518" s="168"/>
    </row>
    <row r="519" spans="8:11" ht="15.75" customHeight="1" x14ac:dyDescent="0.25">
      <c r="H519" s="168"/>
      <c r="I519" s="168"/>
      <c r="K519" s="168"/>
    </row>
    <row r="520" spans="8:11" ht="15.75" customHeight="1" x14ac:dyDescent="0.25">
      <c r="H520" s="168"/>
      <c r="I520" s="168"/>
      <c r="K520" s="168"/>
    </row>
    <row r="521" spans="8:11" ht="15.75" customHeight="1" x14ac:dyDescent="0.25">
      <c r="H521" s="168"/>
      <c r="I521" s="168"/>
      <c r="K521" s="168"/>
    </row>
    <row r="522" spans="8:11" ht="15.75" customHeight="1" x14ac:dyDescent="0.25">
      <c r="H522" s="168"/>
      <c r="I522" s="168"/>
      <c r="K522" s="168"/>
    </row>
    <row r="523" spans="8:11" ht="15.75" customHeight="1" x14ac:dyDescent="0.25">
      <c r="H523" s="168"/>
      <c r="I523" s="168"/>
      <c r="K523" s="168"/>
    </row>
    <row r="524" spans="8:11" ht="15.75" customHeight="1" x14ac:dyDescent="0.25">
      <c r="H524" s="168"/>
      <c r="I524" s="168"/>
      <c r="K524" s="168"/>
    </row>
    <row r="525" spans="8:11" ht="15.75" customHeight="1" x14ac:dyDescent="0.25">
      <c r="H525" s="168"/>
      <c r="I525" s="168"/>
      <c r="K525" s="168"/>
    </row>
    <row r="526" spans="8:11" ht="15.75" customHeight="1" x14ac:dyDescent="0.25">
      <c r="H526" s="168"/>
      <c r="I526" s="168"/>
      <c r="K526" s="168"/>
    </row>
    <row r="527" spans="8:11" ht="15.75" customHeight="1" x14ac:dyDescent="0.25">
      <c r="H527" s="168"/>
      <c r="I527" s="168"/>
      <c r="K527" s="168"/>
    </row>
    <row r="528" spans="8:11" ht="15.75" customHeight="1" x14ac:dyDescent="0.25">
      <c r="H528" s="168"/>
      <c r="I528" s="168"/>
      <c r="K528" s="168"/>
    </row>
    <row r="529" spans="8:11" ht="15.75" customHeight="1" x14ac:dyDescent="0.25">
      <c r="H529" s="168"/>
      <c r="I529" s="168"/>
      <c r="K529" s="168"/>
    </row>
    <row r="530" spans="8:11" ht="15.75" customHeight="1" x14ac:dyDescent="0.25">
      <c r="H530" s="168"/>
      <c r="I530" s="168"/>
      <c r="K530" s="168"/>
    </row>
    <row r="531" spans="8:11" ht="15.75" customHeight="1" x14ac:dyDescent="0.25">
      <c r="H531" s="168"/>
      <c r="I531" s="168"/>
      <c r="K531" s="168"/>
    </row>
    <row r="532" spans="8:11" ht="15.75" customHeight="1" x14ac:dyDescent="0.25">
      <c r="H532" s="168"/>
      <c r="I532" s="168"/>
      <c r="K532" s="168"/>
    </row>
    <row r="533" spans="8:11" ht="15.75" customHeight="1" x14ac:dyDescent="0.25">
      <c r="H533" s="168"/>
      <c r="I533" s="168"/>
      <c r="K533" s="168"/>
    </row>
    <row r="534" spans="8:11" ht="15.75" customHeight="1" x14ac:dyDescent="0.25">
      <c r="H534" s="168"/>
      <c r="I534" s="168"/>
      <c r="K534" s="168"/>
    </row>
    <row r="535" spans="8:11" ht="15.75" customHeight="1" x14ac:dyDescent="0.25">
      <c r="H535" s="168"/>
      <c r="I535" s="168"/>
      <c r="K535" s="168"/>
    </row>
    <row r="536" spans="8:11" ht="15.75" customHeight="1" x14ac:dyDescent="0.25">
      <c r="H536" s="168"/>
      <c r="I536" s="168"/>
      <c r="K536" s="168"/>
    </row>
    <row r="537" spans="8:11" ht="15.75" customHeight="1" x14ac:dyDescent="0.25">
      <c r="H537" s="168"/>
      <c r="I537" s="168"/>
      <c r="K537" s="168"/>
    </row>
    <row r="538" spans="8:11" ht="15.75" customHeight="1" x14ac:dyDescent="0.25">
      <c r="H538" s="168"/>
      <c r="I538" s="168"/>
      <c r="K538" s="168"/>
    </row>
    <row r="539" spans="8:11" ht="15.75" customHeight="1" x14ac:dyDescent="0.25">
      <c r="H539" s="168"/>
      <c r="I539" s="168"/>
      <c r="K539" s="168"/>
    </row>
    <row r="540" spans="8:11" ht="15.75" customHeight="1" x14ac:dyDescent="0.25">
      <c r="H540" s="168"/>
      <c r="I540" s="168"/>
      <c r="K540" s="168"/>
    </row>
    <row r="541" spans="8:11" ht="15.75" customHeight="1" x14ac:dyDescent="0.25">
      <c r="H541" s="168"/>
      <c r="I541" s="168"/>
      <c r="K541" s="168"/>
    </row>
    <row r="542" spans="8:11" ht="15.75" customHeight="1" x14ac:dyDescent="0.25">
      <c r="H542" s="168"/>
      <c r="I542" s="168"/>
      <c r="K542" s="168"/>
    </row>
    <row r="543" spans="8:11" ht="15.75" customHeight="1" x14ac:dyDescent="0.25">
      <c r="H543" s="168"/>
      <c r="I543" s="168"/>
      <c r="K543" s="168"/>
    </row>
    <row r="544" spans="8:11" ht="15.75" customHeight="1" x14ac:dyDescent="0.25">
      <c r="H544" s="168"/>
      <c r="I544" s="168"/>
      <c r="K544" s="168"/>
    </row>
    <row r="545" spans="8:11" ht="15.75" customHeight="1" x14ac:dyDescent="0.25">
      <c r="H545" s="168"/>
      <c r="I545" s="168"/>
      <c r="K545" s="168"/>
    </row>
    <row r="546" spans="8:11" ht="15.75" customHeight="1" x14ac:dyDescent="0.25">
      <c r="H546" s="168"/>
      <c r="I546" s="168"/>
      <c r="K546" s="168"/>
    </row>
    <row r="547" spans="8:11" ht="15.75" customHeight="1" x14ac:dyDescent="0.25">
      <c r="H547" s="168"/>
      <c r="I547" s="168"/>
      <c r="K547" s="168"/>
    </row>
    <row r="548" spans="8:11" ht="15.75" customHeight="1" x14ac:dyDescent="0.25">
      <c r="H548" s="168"/>
      <c r="I548" s="168"/>
      <c r="K548" s="168"/>
    </row>
    <row r="549" spans="8:11" ht="15.75" customHeight="1" x14ac:dyDescent="0.25">
      <c r="H549" s="168"/>
      <c r="I549" s="168"/>
      <c r="K549" s="168"/>
    </row>
    <row r="550" spans="8:11" ht="15.75" customHeight="1" x14ac:dyDescent="0.25">
      <c r="H550" s="168"/>
      <c r="I550" s="168"/>
      <c r="K550" s="168"/>
    </row>
    <row r="551" spans="8:11" ht="15.75" customHeight="1" x14ac:dyDescent="0.25">
      <c r="H551" s="168"/>
      <c r="I551" s="168"/>
      <c r="K551" s="168"/>
    </row>
    <row r="552" spans="8:11" ht="15.75" customHeight="1" x14ac:dyDescent="0.25">
      <c r="H552" s="168"/>
      <c r="I552" s="168"/>
      <c r="K552" s="168"/>
    </row>
    <row r="553" spans="8:11" ht="15.75" customHeight="1" x14ac:dyDescent="0.25">
      <c r="H553" s="168"/>
      <c r="I553" s="168"/>
      <c r="K553" s="168"/>
    </row>
    <row r="554" spans="8:11" ht="15.75" customHeight="1" x14ac:dyDescent="0.25">
      <c r="H554" s="168"/>
      <c r="I554" s="168"/>
      <c r="K554" s="168"/>
    </row>
    <row r="555" spans="8:11" ht="15.75" customHeight="1" x14ac:dyDescent="0.25">
      <c r="H555" s="168"/>
      <c r="I555" s="168"/>
      <c r="K555" s="168"/>
    </row>
    <row r="556" spans="8:11" ht="15.75" customHeight="1" x14ac:dyDescent="0.25">
      <c r="H556" s="168"/>
      <c r="I556" s="168"/>
      <c r="K556" s="168"/>
    </row>
    <row r="557" spans="8:11" ht="15.75" customHeight="1" x14ac:dyDescent="0.25">
      <c r="H557" s="168"/>
      <c r="I557" s="168"/>
      <c r="K557" s="168"/>
    </row>
    <row r="558" spans="8:11" ht="15.75" customHeight="1" x14ac:dyDescent="0.25">
      <c r="H558" s="168"/>
      <c r="I558" s="168"/>
      <c r="K558" s="168"/>
    </row>
    <row r="559" spans="8:11" ht="15.75" customHeight="1" x14ac:dyDescent="0.25">
      <c r="H559" s="168"/>
      <c r="I559" s="168"/>
      <c r="K559" s="168"/>
    </row>
    <row r="560" spans="8:11" ht="15.75" customHeight="1" x14ac:dyDescent="0.25">
      <c r="H560" s="168"/>
      <c r="I560" s="168"/>
      <c r="K560" s="168"/>
    </row>
    <row r="561" spans="8:11" ht="15.75" customHeight="1" x14ac:dyDescent="0.25">
      <c r="H561" s="168"/>
      <c r="I561" s="168"/>
      <c r="K561" s="168"/>
    </row>
    <row r="562" spans="8:11" ht="15.75" customHeight="1" x14ac:dyDescent="0.25">
      <c r="H562" s="168"/>
      <c r="I562" s="168"/>
      <c r="K562" s="168"/>
    </row>
    <row r="563" spans="8:11" ht="15.75" customHeight="1" x14ac:dyDescent="0.25">
      <c r="H563" s="168"/>
      <c r="I563" s="168"/>
      <c r="K563" s="168"/>
    </row>
    <row r="564" spans="8:11" ht="15.75" customHeight="1" x14ac:dyDescent="0.25">
      <c r="H564" s="168"/>
      <c r="I564" s="168"/>
      <c r="K564" s="168"/>
    </row>
    <row r="565" spans="8:11" ht="15.75" customHeight="1" x14ac:dyDescent="0.25">
      <c r="H565" s="168"/>
      <c r="I565" s="168"/>
      <c r="K565" s="168"/>
    </row>
    <row r="566" spans="8:11" ht="15.75" customHeight="1" x14ac:dyDescent="0.25">
      <c r="H566" s="168"/>
      <c r="I566" s="168"/>
      <c r="K566" s="168"/>
    </row>
    <row r="567" spans="8:11" ht="15.75" customHeight="1" x14ac:dyDescent="0.25">
      <c r="H567" s="168"/>
      <c r="I567" s="168"/>
      <c r="K567" s="168"/>
    </row>
    <row r="568" spans="8:11" ht="15.75" customHeight="1" x14ac:dyDescent="0.25">
      <c r="H568" s="168"/>
      <c r="I568" s="168"/>
      <c r="K568" s="168"/>
    </row>
    <row r="569" spans="8:11" ht="15.75" customHeight="1" x14ac:dyDescent="0.25">
      <c r="H569" s="168"/>
      <c r="I569" s="168"/>
      <c r="K569" s="168"/>
    </row>
    <row r="570" spans="8:11" ht="15.75" customHeight="1" x14ac:dyDescent="0.25">
      <c r="H570" s="168"/>
      <c r="I570" s="168"/>
      <c r="K570" s="168"/>
    </row>
    <row r="571" spans="8:11" ht="15.75" customHeight="1" x14ac:dyDescent="0.25">
      <c r="H571" s="168"/>
      <c r="I571" s="168"/>
      <c r="K571" s="168"/>
    </row>
    <row r="572" spans="8:11" ht="15.75" customHeight="1" x14ac:dyDescent="0.25">
      <c r="H572" s="168"/>
      <c r="I572" s="168"/>
      <c r="K572" s="168"/>
    </row>
    <row r="573" spans="8:11" ht="15.75" customHeight="1" x14ac:dyDescent="0.25">
      <c r="H573" s="168"/>
      <c r="I573" s="168"/>
      <c r="K573" s="168"/>
    </row>
    <row r="574" spans="8:11" ht="15.75" customHeight="1" x14ac:dyDescent="0.25">
      <c r="H574" s="168"/>
      <c r="I574" s="168"/>
      <c r="K574" s="168"/>
    </row>
    <row r="575" spans="8:11" ht="15.75" customHeight="1" x14ac:dyDescent="0.25">
      <c r="H575" s="168"/>
      <c r="I575" s="168"/>
      <c r="K575" s="168"/>
    </row>
    <row r="576" spans="8:11" ht="15.75" customHeight="1" x14ac:dyDescent="0.25">
      <c r="H576" s="168"/>
      <c r="I576" s="168"/>
      <c r="K576" s="168"/>
    </row>
    <row r="577" spans="8:11" ht="15.75" customHeight="1" x14ac:dyDescent="0.25">
      <c r="H577" s="168"/>
      <c r="I577" s="168"/>
      <c r="K577" s="168"/>
    </row>
    <row r="578" spans="8:11" ht="15.75" customHeight="1" x14ac:dyDescent="0.25">
      <c r="H578" s="168"/>
      <c r="I578" s="168"/>
      <c r="K578" s="168"/>
    </row>
    <row r="579" spans="8:11" ht="15.75" customHeight="1" x14ac:dyDescent="0.25">
      <c r="H579" s="168"/>
      <c r="I579" s="168"/>
      <c r="K579" s="168"/>
    </row>
    <row r="580" spans="8:11" ht="15.75" customHeight="1" x14ac:dyDescent="0.25">
      <c r="H580" s="168"/>
      <c r="I580" s="168"/>
      <c r="K580" s="168"/>
    </row>
    <row r="581" spans="8:11" ht="15.75" customHeight="1" x14ac:dyDescent="0.25">
      <c r="H581" s="168"/>
      <c r="I581" s="168"/>
      <c r="K581" s="168"/>
    </row>
    <row r="582" spans="8:11" ht="15.75" customHeight="1" x14ac:dyDescent="0.25">
      <c r="H582" s="168"/>
      <c r="I582" s="168"/>
      <c r="K582" s="168"/>
    </row>
    <row r="583" spans="8:11" ht="15.75" customHeight="1" x14ac:dyDescent="0.25">
      <c r="H583" s="168"/>
      <c r="I583" s="168"/>
      <c r="K583" s="168"/>
    </row>
    <row r="584" spans="8:11" ht="15.75" customHeight="1" x14ac:dyDescent="0.25">
      <c r="H584" s="168"/>
      <c r="I584" s="168"/>
      <c r="K584" s="168"/>
    </row>
    <row r="585" spans="8:11" ht="15.75" customHeight="1" x14ac:dyDescent="0.25">
      <c r="H585" s="168"/>
      <c r="I585" s="168"/>
      <c r="K585" s="168"/>
    </row>
    <row r="586" spans="8:11" ht="15.75" customHeight="1" x14ac:dyDescent="0.25">
      <c r="H586" s="168"/>
      <c r="I586" s="168"/>
      <c r="K586" s="168"/>
    </row>
    <row r="587" spans="8:11" ht="15.75" customHeight="1" x14ac:dyDescent="0.25">
      <c r="H587" s="168"/>
      <c r="I587" s="168"/>
      <c r="K587" s="168"/>
    </row>
    <row r="588" spans="8:11" ht="15.75" customHeight="1" x14ac:dyDescent="0.25">
      <c r="H588" s="168"/>
      <c r="I588" s="168"/>
      <c r="K588" s="168"/>
    </row>
    <row r="589" spans="8:11" ht="15.75" customHeight="1" x14ac:dyDescent="0.25">
      <c r="H589" s="168"/>
      <c r="I589" s="168"/>
      <c r="K589" s="168"/>
    </row>
    <row r="590" spans="8:11" ht="15.75" customHeight="1" x14ac:dyDescent="0.25">
      <c r="H590" s="168"/>
      <c r="I590" s="168"/>
      <c r="K590" s="168"/>
    </row>
    <row r="591" spans="8:11" ht="15.75" customHeight="1" x14ac:dyDescent="0.25">
      <c r="H591" s="168"/>
      <c r="I591" s="168"/>
      <c r="K591" s="168"/>
    </row>
    <row r="592" spans="8:11" ht="15.75" customHeight="1" x14ac:dyDescent="0.25">
      <c r="H592" s="168"/>
      <c r="I592" s="168"/>
      <c r="K592" s="168"/>
    </row>
    <row r="593" spans="8:11" ht="15.75" customHeight="1" x14ac:dyDescent="0.25">
      <c r="H593" s="168"/>
      <c r="I593" s="168"/>
      <c r="K593" s="168"/>
    </row>
    <row r="594" spans="8:11" ht="15.75" customHeight="1" x14ac:dyDescent="0.25">
      <c r="H594" s="168"/>
      <c r="I594" s="168"/>
      <c r="K594" s="168"/>
    </row>
    <row r="595" spans="8:11" ht="15.75" customHeight="1" x14ac:dyDescent="0.25">
      <c r="H595" s="168"/>
      <c r="I595" s="168"/>
      <c r="K595" s="168"/>
    </row>
    <row r="596" spans="8:11" ht="15.75" customHeight="1" x14ac:dyDescent="0.25">
      <c r="H596" s="168"/>
      <c r="I596" s="168"/>
      <c r="K596" s="168"/>
    </row>
    <row r="597" spans="8:11" ht="15.75" customHeight="1" x14ac:dyDescent="0.25">
      <c r="H597" s="168"/>
      <c r="I597" s="168"/>
      <c r="K597" s="168"/>
    </row>
    <row r="598" spans="8:11" ht="15.75" customHeight="1" x14ac:dyDescent="0.25">
      <c r="H598" s="168"/>
      <c r="I598" s="168"/>
      <c r="K598" s="168"/>
    </row>
    <row r="599" spans="8:11" ht="15.75" customHeight="1" x14ac:dyDescent="0.25">
      <c r="H599" s="168"/>
      <c r="I599" s="168"/>
      <c r="K599" s="168"/>
    </row>
    <row r="600" spans="8:11" ht="15.75" customHeight="1" x14ac:dyDescent="0.25">
      <c r="H600" s="168"/>
      <c r="I600" s="168"/>
      <c r="K600" s="168"/>
    </row>
    <row r="601" spans="8:11" ht="15.75" customHeight="1" x14ac:dyDescent="0.25">
      <c r="H601" s="168"/>
      <c r="I601" s="168"/>
      <c r="K601" s="168"/>
    </row>
    <row r="602" spans="8:11" ht="15.75" customHeight="1" x14ac:dyDescent="0.25">
      <c r="H602" s="168"/>
      <c r="I602" s="168"/>
      <c r="K602" s="168"/>
    </row>
    <row r="603" spans="8:11" ht="15.75" customHeight="1" x14ac:dyDescent="0.25">
      <c r="H603" s="168"/>
      <c r="I603" s="168"/>
      <c r="K603" s="168"/>
    </row>
    <row r="604" spans="8:11" ht="15.75" customHeight="1" x14ac:dyDescent="0.25">
      <c r="H604" s="168"/>
      <c r="I604" s="168"/>
      <c r="K604" s="168"/>
    </row>
    <row r="605" spans="8:11" ht="15.75" customHeight="1" x14ac:dyDescent="0.25">
      <c r="H605" s="168"/>
      <c r="I605" s="168"/>
      <c r="K605" s="168"/>
    </row>
    <row r="606" spans="8:11" ht="15.75" customHeight="1" x14ac:dyDescent="0.25">
      <c r="H606" s="168"/>
      <c r="I606" s="168"/>
      <c r="K606" s="168"/>
    </row>
    <row r="607" spans="8:11" ht="15.75" customHeight="1" x14ac:dyDescent="0.25">
      <c r="H607" s="168"/>
      <c r="I607" s="168"/>
      <c r="K607" s="168"/>
    </row>
    <row r="608" spans="8:11" ht="15.75" customHeight="1" x14ac:dyDescent="0.25">
      <c r="H608" s="168"/>
      <c r="I608" s="168"/>
      <c r="K608" s="168"/>
    </row>
    <row r="609" spans="8:11" ht="15.75" customHeight="1" x14ac:dyDescent="0.25">
      <c r="H609" s="168"/>
      <c r="I609" s="168"/>
      <c r="K609" s="168"/>
    </row>
    <row r="610" spans="8:11" ht="15.75" customHeight="1" x14ac:dyDescent="0.25">
      <c r="H610" s="168"/>
      <c r="I610" s="168"/>
      <c r="K610" s="168"/>
    </row>
    <row r="611" spans="8:11" ht="15.75" customHeight="1" x14ac:dyDescent="0.25">
      <c r="H611" s="168"/>
      <c r="I611" s="168"/>
      <c r="K611" s="168"/>
    </row>
    <row r="612" spans="8:11" ht="15.75" customHeight="1" x14ac:dyDescent="0.25">
      <c r="H612" s="168"/>
      <c r="I612" s="168"/>
      <c r="K612" s="168"/>
    </row>
    <row r="613" spans="8:11" ht="15.75" customHeight="1" x14ac:dyDescent="0.25">
      <c r="H613" s="168"/>
      <c r="I613" s="168"/>
      <c r="K613" s="168"/>
    </row>
    <row r="614" spans="8:11" ht="15.75" customHeight="1" x14ac:dyDescent="0.25">
      <c r="H614" s="168"/>
      <c r="I614" s="168"/>
      <c r="K614" s="168"/>
    </row>
    <row r="615" spans="8:11" ht="15.75" customHeight="1" x14ac:dyDescent="0.25">
      <c r="H615" s="168"/>
      <c r="I615" s="168"/>
      <c r="K615" s="168"/>
    </row>
    <row r="616" spans="8:11" ht="15.75" customHeight="1" x14ac:dyDescent="0.25">
      <c r="H616" s="168"/>
      <c r="I616" s="168"/>
      <c r="K616" s="168"/>
    </row>
    <row r="617" spans="8:11" ht="15.75" customHeight="1" x14ac:dyDescent="0.25">
      <c r="H617" s="168"/>
      <c r="I617" s="168"/>
      <c r="K617" s="168"/>
    </row>
    <row r="618" spans="8:11" ht="15.75" customHeight="1" x14ac:dyDescent="0.25">
      <c r="H618" s="168"/>
      <c r="I618" s="168"/>
      <c r="K618" s="168"/>
    </row>
    <row r="619" spans="8:11" ht="15.75" customHeight="1" x14ac:dyDescent="0.25">
      <c r="H619" s="168"/>
      <c r="I619" s="168"/>
      <c r="K619" s="168"/>
    </row>
    <row r="620" spans="8:11" ht="15.75" customHeight="1" x14ac:dyDescent="0.25">
      <c r="H620" s="168"/>
      <c r="I620" s="168"/>
      <c r="K620" s="168"/>
    </row>
    <row r="621" spans="8:11" ht="15.75" customHeight="1" x14ac:dyDescent="0.25">
      <c r="H621" s="168"/>
      <c r="I621" s="168"/>
      <c r="K621" s="168"/>
    </row>
    <row r="622" spans="8:11" ht="15.75" customHeight="1" x14ac:dyDescent="0.25">
      <c r="H622" s="168"/>
      <c r="I622" s="168"/>
      <c r="K622" s="168"/>
    </row>
    <row r="623" spans="8:11" ht="15.75" customHeight="1" x14ac:dyDescent="0.25">
      <c r="H623" s="168"/>
      <c r="I623" s="168"/>
      <c r="K623" s="168"/>
    </row>
    <row r="624" spans="8:11" ht="15.75" customHeight="1" x14ac:dyDescent="0.25">
      <c r="H624" s="168"/>
      <c r="I624" s="168"/>
      <c r="K624" s="168"/>
    </row>
    <row r="625" spans="8:11" ht="15.75" customHeight="1" x14ac:dyDescent="0.25">
      <c r="H625" s="168"/>
      <c r="I625" s="168"/>
      <c r="K625" s="168"/>
    </row>
    <row r="626" spans="8:11" ht="15.75" customHeight="1" x14ac:dyDescent="0.25">
      <c r="H626" s="168"/>
      <c r="I626" s="168"/>
      <c r="K626" s="168"/>
    </row>
    <row r="627" spans="8:11" ht="15.75" customHeight="1" x14ac:dyDescent="0.25">
      <c r="H627" s="168"/>
      <c r="I627" s="168"/>
      <c r="K627" s="168"/>
    </row>
    <row r="628" spans="8:11" ht="15.75" customHeight="1" x14ac:dyDescent="0.25">
      <c r="H628" s="168"/>
      <c r="I628" s="168"/>
      <c r="K628" s="168"/>
    </row>
    <row r="629" spans="8:11" ht="15.75" customHeight="1" x14ac:dyDescent="0.25">
      <c r="H629" s="168"/>
      <c r="I629" s="168"/>
      <c r="K629" s="168"/>
    </row>
    <row r="630" spans="8:11" ht="15.75" customHeight="1" x14ac:dyDescent="0.25">
      <c r="H630" s="168"/>
      <c r="I630" s="168"/>
      <c r="K630" s="168"/>
    </row>
    <row r="631" spans="8:11" ht="15.75" customHeight="1" x14ac:dyDescent="0.25">
      <c r="H631" s="168"/>
      <c r="I631" s="168"/>
      <c r="K631" s="168"/>
    </row>
    <row r="632" spans="8:11" ht="15.75" customHeight="1" x14ac:dyDescent="0.25">
      <c r="H632" s="168"/>
      <c r="I632" s="168"/>
      <c r="K632" s="168"/>
    </row>
    <row r="633" spans="8:11" ht="15.75" customHeight="1" x14ac:dyDescent="0.25">
      <c r="H633" s="168"/>
      <c r="I633" s="168"/>
      <c r="K633" s="168"/>
    </row>
    <row r="634" spans="8:11" ht="15.75" customHeight="1" x14ac:dyDescent="0.25">
      <c r="H634" s="168"/>
      <c r="I634" s="168"/>
      <c r="K634" s="168"/>
    </row>
    <row r="635" spans="8:11" ht="15.75" customHeight="1" x14ac:dyDescent="0.25">
      <c r="H635" s="168"/>
      <c r="I635" s="168"/>
      <c r="K635" s="168"/>
    </row>
    <row r="636" spans="8:11" ht="15.75" customHeight="1" x14ac:dyDescent="0.25">
      <c r="H636" s="168"/>
      <c r="I636" s="168"/>
      <c r="K636" s="168"/>
    </row>
    <row r="637" spans="8:11" ht="15.75" customHeight="1" x14ac:dyDescent="0.25">
      <c r="H637" s="168"/>
      <c r="I637" s="168"/>
      <c r="K637" s="168"/>
    </row>
    <row r="638" spans="8:11" ht="15.75" customHeight="1" x14ac:dyDescent="0.25">
      <c r="H638" s="168"/>
      <c r="I638" s="168"/>
      <c r="K638" s="168"/>
    </row>
    <row r="639" spans="8:11" ht="15.75" customHeight="1" x14ac:dyDescent="0.25">
      <c r="H639" s="168"/>
      <c r="I639" s="168"/>
      <c r="K639" s="168"/>
    </row>
    <row r="640" spans="8:11" ht="15.75" customHeight="1" x14ac:dyDescent="0.25">
      <c r="H640" s="168"/>
      <c r="I640" s="168"/>
      <c r="K640" s="168"/>
    </row>
    <row r="641" spans="8:11" ht="15.75" customHeight="1" x14ac:dyDescent="0.25">
      <c r="H641" s="168"/>
      <c r="I641" s="168"/>
      <c r="K641" s="168"/>
    </row>
    <row r="642" spans="8:11" ht="15.75" customHeight="1" x14ac:dyDescent="0.25">
      <c r="H642" s="168"/>
      <c r="I642" s="168"/>
      <c r="K642" s="168"/>
    </row>
    <row r="643" spans="8:11" ht="15.75" customHeight="1" x14ac:dyDescent="0.25">
      <c r="H643" s="168"/>
      <c r="I643" s="168"/>
      <c r="K643" s="168"/>
    </row>
    <row r="644" spans="8:11" ht="15.75" customHeight="1" x14ac:dyDescent="0.25">
      <c r="H644" s="168"/>
      <c r="I644" s="168"/>
      <c r="K644" s="168"/>
    </row>
    <row r="645" spans="8:11" ht="15.75" customHeight="1" x14ac:dyDescent="0.25">
      <c r="H645" s="168"/>
      <c r="I645" s="168"/>
      <c r="K645" s="168"/>
    </row>
    <row r="646" spans="8:11" ht="15.75" customHeight="1" x14ac:dyDescent="0.25">
      <c r="H646" s="168"/>
      <c r="I646" s="168"/>
      <c r="K646" s="168"/>
    </row>
    <row r="647" spans="8:11" ht="15.75" customHeight="1" x14ac:dyDescent="0.25">
      <c r="H647" s="168"/>
      <c r="I647" s="168"/>
      <c r="K647" s="168"/>
    </row>
    <row r="648" spans="8:11" ht="15.75" customHeight="1" x14ac:dyDescent="0.25">
      <c r="H648" s="168"/>
      <c r="I648" s="168"/>
      <c r="K648" s="168"/>
    </row>
    <row r="649" spans="8:11" ht="15.75" customHeight="1" x14ac:dyDescent="0.25">
      <c r="H649" s="168"/>
      <c r="I649" s="168"/>
      <c r="K649" s="168"/>
    </row>
    <row r="650" spans="8:11" ht="15.75" customHeight="1" x14ac:dyDescent="0.25">
      <c r="H650" s="168"/>
      <c r="I650" s="168"/>
      <c r="K650" s="168"/>
    </row>
    <row r="651" spans="8:11" ht="15.75" customHeight="1" x14ac:dyDescent="0.25">
      <c r="H651" s="168"/>
      <c r="I651" s="168"/>
      <c r="K651" s="168"/>
    </row>
    <row r="652" spans="8:11" ht="15.75" customHeight="1" x14ac:dyDescent="0.25">
      <c r="H652" s="168"/>
      <c r="I652" s="168"/>
      <c r="K652" s="168"/>
    </row>
    <row r="653" spans="8:11" ht="15.75" customHeight="1" x14ac:dyDescent="0.25">
      <c r="H653" s="168"/>
      <c r="I653" s="168"/>
      <c r="K653" s="168"/>
    </row>
    <row r="654" spans="8:11" ht="15.75" customHeight="1" x14ac:dyDescent="0.25">
      <c r="H654" s="168"/>
      <c r="I654" s="168"/>
      <c r="K654" s="168"/>
    </row>
    <row r="655" spans="8:11" ht="15.75" customHeight="1" x14ac:dyDescent="0.25">
      <c r="H655" s="168"/>
      <c r="I655" s="168"/>
      <c r="K655" s="168"/>
    </row>
    <row r="656" spans="8:11" ht="15.75" customHeight="1" x14ac:dyDescent="0.25">
      <c r="H656" s="168"/>
      <c r="I656" s="168"/>
      <c r="K656" s="168"/>
    </row>
    <row r="657" spans="8:11" ht="15.75" customHeight="1" x14ac:dyDescent="0.25">
      <c r="H657" s="168"/>
      <c r="I657" s="168"/>
      <c r="K657" s="168"/>
    </row>
    <row r="658" spans="8:11" ht="15.75" customHeight="1" x14ac:dyDescent="0.25">
      <c r="H658" s="168"/>
      <c r="I658" s="168"/>
      <c r="K658" s="168"/>
    </row>
    <row r="659" spans="8:11" ht="15.75" customHeight="1" x14ac:dyDescent="0.25">
      <c r="H659" s="168"/>
      <c r="I659" s="168"/>
      <c r="K659" s="168"/>
    </row>
    <row r="660" spans="8:11" ht="15.75" customHeight="1" x14ac:dyDescent="0.25">
      <c r="H660" s="168"/>
      <c r="I660" s="168"/>
      <c r="K660" s="168"/>
    </row>
    <row r="661" spans="8:11" ht="15.75" customHeight="1" x14ac:dyDescent="0.25">
      <c r="H661" s="168"/>
      <c r="I661" s="168"/>
      <c r="K661" s="168"/>
    </row>
    <row r="662" spans="8:11" ht="15.75" customHeight="1" x14ac:dyDescent="0.25">
      <c r="H662" s="168"/>
      <c r="I662" s="168"/>
      <c r="K662" s="168"/>
    </row>
    <row r="663" spans="8:11" ht="15.75" customHeight="1" x14ac:dyDescent="0.25">
      <c r="H663" s="168"/>
      <c r="I663" s="168"/>
      <c r="K663" s="168"/>
    </row>
    <row r="664" spans="8:11" ht="15.75" customHeight="1" x14ac:dyDescent="0.25">
      <c r="H664" s="168"/>
      <c r="I664" s="168"/>
      <c r="K664" s="168"/>
    </row>
    <row r="665" spans="8:11" ht="15.75" customHeight="1" x14ac:dyDescent="0.25">
      <c r="H665" s="168"/>
      <c r="I665" s="168"/>
      <c r="K665" s="168"/>
    </row>
    <row r="666" spans="8:11" ht="15.75" customHeight="1" x14ac:dyDescent="0.25">
      <c r="H666" s="168"/>
      <c r="I666" s="168"/>
      <c r="K666" s="168"/>
    </row>
    <row r="667" spans="8:11" ht="15.75" customHeight="1" x14ac:dyDescent="0.25">
      <c r="H667" s="168"/>
      <c r="I667" s="168"/>
      <c r="K667" s="168"/>
    </row>
    <row r="668" spans="8:11" ht="15.75" customHeight="1" x14ac:dyDescent="0.25">
      <c r="H668" s="168"/>
      <c r="I668" s="168"/>
      <c r="K668" s="168"/>
    </row>
    <row r="669" spans="8:11" ht="15.75" customHeight="1" x14ac:dyDescent="0.25">
      <c r="H669" s="168"/>
      <c r="I669" s="168"/>
      <c r="K669" s="168"/>
    </row>
    <row r="670" spans="8:11" ht="15.75" customHeight="1" x14ac:dyDescent="0.25">
      <c r="H670" s="168"/>
      <c r="I670" s="168"/>
      <c r="K670" s="168"/>
    </row>
    <row r="671" spans="8:11" ht="15.75" customHeight="1" x14ac:dyDescent="0.25">
      <c r="H671" s="168"/>
      <c r="I671" s="168"/>
      <c r="K671" s="168"/>
    </row>
    <row r="672" spans="8:11" ht="15.75" customHeight="1" x14ac:dyDescent="0.25">
      <c r="H672" s="168"/>
      <c r="I672" s="168"/>
      <c r="K672" s="168"/>
    </row>
    <row r="673" spans="8:11" ht="15.75" customHeight="1" x14ac:dyDescent="0.25">
      <c r="H673" s="168"/>
      <c r="I673" s="168"/>
      <c r="K673" s="168"/>
    </row>
    <row r="674" spans="8:11" ht="15.75" customHeight="1" x14ac:dyDescent="0.25">
      <c r="H674" s="168"/>
      <c r="I674" s="168"/>
      <c r="K674" s="168"/>
    </row>
    <row r="675" spans="8:11" ht="15.75" customHeight="1" x14ac:dyDescent="0.25">
      <c r="H675" s="168"/>
      <c r="I675" s="168"/>
      <c r="K675" s="168"/>
    </row>
    <row r="676" spans="8:11" ht="15.75" customHeight="1" x14ac:dyDescent="0.25">
      <c r="H676" s="168"/>
      <c r="I676" s="168"/>
      <c r="K676" s="168"/>
    </row>
    <row r="677" spans="8:11" ht="15.75" customHeight="1" x14ac:dyDescent="0.25">
      <c r="H677" s="168"/>
      <c r="I677" s="168"/>
      <c r="K677" s="168"/>
    </row>
    <row r="678" spans="8:11" ht="15.75" customHeight="1" x14ac:dyDescent="0.25">
      <c r="H678" s="168"/>
      <c r="I678" s="168"/>
      <c r="K678" s="168"/>
    </row>
    <row r="679" spans="8:11" ht="15.75" customHeight="1" x14ac:dyDescent="0.25">
      <c r="H679" s="168"/>
      <c r="I679" s="168"/>
      <c r="K679" s="168"/>
    </row>
    <row r="680" spans="8:11" ht="15.75" customHeight="1" x14ac:dyDescent="0.25">
      <c r="H680" s="168"/>
      <c r="I680" s="168"/>
      <c r="K680" s="168"/>
    </row>
    <row r="681" spans="8:11" ht="15.75" customHeight="1" x14ac:dyDescent="0.25">
      <c r="H681" s="168"/>
      <c r="I681" s="168"/>
      <c r="K681" s="168"/>
    </row>
    <row r="682" spans="8:11" ht="15.75" customHeight="1" x14ac:dyDescent="0.25">
      <c r="H682" s="168"/>
      <c r="I682" s="168"/>
      <c r="K682" s="168"/>
    </row>
    <row r="683" spans="8:11" ht="15.75" customHeight="1" x14ac:dyDescent="0.25">
      <c r="H683" s="168"/>
      <c r="I683" s="168"/>
      <c r="K683" s="168"/>
    </row>
    <row r="684" spans="8:11" ht="15.75" customHeight="1" x14ac:dyDescent="0.25">
      <c r="H684" s="168"/>
      <c r="I684" s="168"/>
      <c r="K684" s="168"/>
    </row>
    <row r="685" spans="8:11" ht="15.75" customHeight="1" x14ac:dyDescent="0.25">
      <c r="H685" s="168"/>
      <c r="I685" s="168"/>
      <c r="K685" s="168"/>
    </row>
    <row r="686" spans="8:11" ht="15.75" customHeight="1" x14ac:dyDescent="0.25">
      <c r="H686" s="168"/>
      <c r="I686" s="168"/>
      <c r="K686" s="168"/>
    </row>
    <row r="687" spans="8:11" ht="15.75" customHeight="1" x14ac:dyDescent="0.25">
      <c r="H687" s="168"/>
      <c r="I687" s="168"/>
      <c r="K687" s="168"/>
    </row>
    <row r="688" spans="8:11" ht="15.75" customHeight="1" x14ac:dyDescent="0.25">
      <c r="H688" s="168"/>
      <c r="I688" s="168"/>
      <c r="K688" s="168"/>
    </row>
    <row r="689" spans="8:11" ht="15.75" customHeight="1" x14ac:dyDescent="0.25">
      <c r="H689" s="168"/>
      <c r="I689" s="168"/>
      <c r="K689" s="168"/>
    </row>
    <row r="690" spans="8:11" ht="15.75" customHeight="1" x14ac:dyDescent="0.25">
      <c r="H690" s="168"/>
      <c r="I690" s="168"/>
      <c r="K690" s="168"/>
    </row>
    <row r="691" spans="8:11" ht="15.75" customHeight="1" x14ac:dyDescent="0.25">
      <c r="H691" s="168"/>
      <c r="I691" s="168"/>
      <c r="K691" s="168"/>
    </row>
    <row r="692" spans="8:11" ht="15.75" customHeight="1" x14ac:dyDescent="0.25">
      <c r="H692" s="168"/>
      <c r="I692" s="168"/>
      <c r="K692" s="168"/>
    </row>
    <row r="693" spans="8:11" ht="15.75" customHeight="1" x14ac:dyDescent="0.25">
      <c r="H693" s="168"/>
      <c r="I693" s="168"/>
      <c r="K693" s="168"/>
    </row>
    <row r="694" spans="8:11" ht="15.75" customHeight="1" x14ac:dyDescent="0.25">
      <c r="H694" s="168"/>
      <c r="I694" s="168"/>
      <c r="K694" s="168"/>
    </row>
    <row r="695" spans="8:11" ht="15.75" customHeight="1" x14ac:dyDescent="0.25">
      <c r="H695" s="168"/>
      <c r="I695" s="168"/>
      <c r="K695" s="168"/>
    </row>
    <row r="696" spans="8:11" ht="15.75" customHeight="1" x14ac:dyDescent="0.25">
      <c r="H696" s="168"/>
      <c r="I696" s="168"/>
      <c r="K696" s="168"/>
    </row>
    <row r="697" spans="8:11" ht="15.75" customHeight="1" x14ac:dyDescent="0.25">
      <c r="H697" s="168"/>
      <c r="I697" s="168"/>
      <c r="K697" s="168"/>
    </row>
    <row r="698" spans="8:11" ht="15.75" customHeight="1" x14ac:dyDescent="0.25">
      <c r="H698" s="168"/>
      <c r="I698" s="168"/>
      <c r="K698" s="168"/>
    </row>
    <row r="699" spans="8:11" ht="15.75" customHeight="1" x14ac:dyDescent="0.25">
      <c r="H699" s="168"/>
      <c r="I699" s="168"/>
      <c r="K699" s="168"/>
    </row>
    <row r="700" spans="8:11" ht="15.75" customHeight="1" x14ac:dyDescent="0.25">
      <c r="H700" s="168"/>
      <c r="I700" s="168"/>
      <c r="K700" s="168"/>
    </row>
    <row r="701" spans="8:11" ht="15.75" customHeight="1" x14ac:dyDescent="0.25">
      <c r="H701" s="168"/>
      <c r="I701" s="168"/>
      <c r="K701" s="168"/>
    </row>
    <row r="702" spans="8:11" ht="15.75" customHeight="1" x14ac:dyDescent="0.25">
      <c r="H702" s="168"/>
      <c r="I702" s="168"/>
      <c r="K702" s="168"/>
    </row>
    <row r="703" spans="8:11" ht="15.75" customHeight="1" x14ac:dyDescent="0.25">
      <c r="H703" s="168"/>
      <c r="I703" s="168"/>
      <c r="K703" s="168"/>
    </row>
    <row r="704" spans="8:11" ht="15.75" customHeight="1" x14ac:dyDescent="0.25">
      <c r="H704" s="168"/>
      <c r="I704" s="168"/>
      <c r="K704" s="168"/>
    </row>
    <row r="705" spans="8:11" ht="15.75" customHeight="1" x14ac:dyDescent="0.25">
      <c r="H705" s="168"/>
      <c r="I705" s="168"/>
      <c r="K705" s="168"/>
    </row>
    <row r="706" spans="8:11" ht="15.75" customHeight="1" x14ac:dyDescent="0.25">
      <c r="H706" s="168"/>
      <c r="I706" s="168"/>
      <c r="K706" s="168"/>
    </row>
    <row r="707" spans="8:11" ht="15.75" customHeight="1" x14ac:dyDescent="0.25">
      <c r="H707" s="168"/>
      <c r="I707" s="168"/>
      <c r="K707" s="168"/>
    </row>
    <row r="708" spans="8:11" ht="15.75" customHeight="1" x14ac:dyDescent="0.25">
      <c r="H708" s="168"/>
      <c r="I708" s="168"/>
      <c r="K708" s="168"/>
    </row>
    <row r="709" spans="8:11" ht="15.75" customHeight="1" x14ac:dyDescent="0.25">
      <c r="H709" s="168"/>
      <c r="I709" s="168"/>
      <c r="K709" s="168"/>
    </row>
    <row r="710" spans="8:11" ht="15.75" customHeight="1" x14ac:dyDescent="0.25">
      <c r="H710" s="168"/>
      <c r="I710" s="168"/>
      <c r="K710" s="168"/>
    </row>
    <row r="711" spans="8:11" ht="15.75" customHeight="1" x14ac:dyDescent="0.25">
      <c r="H711" s="168"/>
      <c r="I711" s="168"/>
      <c r="K711" s="168"/>
    </row>
    <row r="712" spans="8:11" ht="15.75" customHeight="1" x14ac:dyDescent="0.25">
      <c r="H712" s="168"/>
      <c r="I712" s="168"/>
      <c r="K712" s="168"/>
    </row>
    <row r="713" spans="8:11" ht="15.75" customHeight="1" x14ac:dyDescent="0.25">
      <c r="H713" s="168"/>
      <c r="I713" s="168"/>
      <c r="K713" s="168"/>
    </row>
    <row r="714" spans="8:11" ht="15.75" customHeight="1" x14ac:dyDescent="0.25">
      <c r="H714" s="168"/>
      <c r="I714" s="168"/>
      <c r="K714" s="168"/>
    </row>
    <row r="715" spans="8:11" ht="15.75" customHeight="1" x14ac:dyDescent="0.25">
      <c r="H715" s="168"/>
      <c r="I715" s="168"/>
      <c r="K715" s="168"/>
    </row>
    <row r="716" spans="8:11" ht="15.75" customHeight="1" x14ac:dyDescent="0.25">
      <c r="H716" s="168"/>
      <c r="I716" s="168"/>
      <c r="K716" s="168"/>
    </row>
    <row r="717" spans="8:11" ht="15.75" customHeight="1" x14ac:dyDescent="0.25">
      <c r="H717" s="168"/>
      <c r="I717" s="168"/>
      <c r="K717" s="168"/>
    </row>
    <row r="718" spans="8:11" ht="15.75" customHeight="1" x14ac:dyDescent="0.25">
      <c r="H718" s="168"/>
      <c r="I718" s="168"/>
      <c r="K718" s="168"/>
    </row>
    <row r="719" spans="8:11" ht="15.75" customHeight="1" x14ac:dyDescent="0.25">
      <c r="H719" s="168"/>
      <c r="I719" s="168"/>
      <c r="K719" s="168"/>
    </row>
    <row r="720" spans="8:11" ht="15.75" customHeight="1" x14ac:dyDescent="0.25">
      <c r="H720" s="168"/>
      <c r="I720" s="168"/>
      <c r="K720" s="168"/>
    </row>
    <row r="721" spans="8:11" ht="15.75" customHeight="1" x14ac:dyDescent="0.25">
      <c r="H721" s="168"/>
      <c r="I721" s="168"/>
      <c r="K721" s="168"/>
    </row>
    <row r="722" spans="8:11" ht="15.75" customHeight="1" x14ac:dyDescent="0.25">
      <c r="H722" s="168"/>
      <c r="I722" s="168"/>
      <c r="K722" s="168"/>
    </row>
    <row r="723" spans="8:11" ht="15.75" customHeight="1" x14ac:dyDescent="0.25">
      <c r="H723" s="168"/>
      <c r="I723" s="168"/>
      <c r="K723" s="168"/>
    </row>
    <row r="724" spans="8:11" ht="15.75" customHeight="1" x14ac:dyDescent="0.25">
      <c r="H724" s="168"/>
      <c r="I724" s="168"/>
      <c r="K724" s="168"/>
    </row>
    <row r="725" spans="8:11" ht="15.75" customHeight="1" x14ac:dyDescent="0.25">
      <c r="H725" s="168"/>
      <c r="I725" s="168"/>
      <c r="K725" s="168"/>
    </row>
    <row r="726" spans="8:11" ht="15.75" customHeight="1" x14ac:dyDescent="0.25">
      <c r="H726" s="168"/>
      <c r="I726" s="168"/>
      <c r="K726" s="168"/>
    </row>
    <row r="727" spans="8:11" ht="15.75" customHeight="1" x14ac:dyDescent="0.25">
      <c r="H727" s="168"/>
      <c r="I727" s="168"/>
      <c r="K727" s="168"/>
    </row>
    <row r="728" spans="8:11" ht="15.75" customHeight="1" x14ac:dyDescent="0.25">
      <c r="H728" s="168"/>
      <c r="I728" s="168"/>
      <c r="K728" s="168"/>
    </row>
    <row r="729" spans="8:11" ht="15.75" customHeight="1" x14ac:dyDescent="0.25">
      <c r="H729" s="168"/>
      <c r="I729" s="168"/>
      <c r="K729" s="168"/>
    </row>
    <row r="730" spans="8:11" ht="15.75" customHeight="1" x14ac:dyDescent="0.25">
      <c r="H730" s="168"/>
      <c r="I730" s="168"/>
      <c r="K730" s="168"/>
    </row>
    <row r="731" spans="8:11" ht="15.75" customHeight="1" x14ac:dyDescent="0.25">
      <c r="H731" s="168"/>
      <c r="I731" s="168"/>
      <c r="K731" s="168"/>
    </row>
    <row r="732" spans="8:11" ht="15.75" customHeight="1" x14ac:dyDescent="0.25">
      <c r="H732" s="168"/>
      <c r="I732" s="168"/>
      <c r="K732" s="168"/>
    </row>
    <row r="733" spans="8:11" ht="15.75" customHeight="1" x14ac:dyDescent="0.25">
      <c r="H733" s="168"/>
      <c r="I733" s="168"/>
      <c r="K733" s="168"/>
    </row>
    <row r="734" spans="8:11" ht="15.75" customHeight="1" x14ac:dyDescent="0.25">
      <c r="H734" s="168"/>
      <c r="I734" s="168"/>
      <c r="K734" s="168"/>
    </row>
    <row r="735" spans="8:11" ht="15.75" customHeight="1" x14ac:dyDescent="0.25">
      <c r="H735" s="168"/>
      <c r="I735" s="168"/>
      <c r="K735" s="168"/>
    </row>
    <row r="736" spans="8:11" ht="15.75" customHeight="1" x14ac:dyDescent="0.25">
      <c r="H736" s="168"/>
      <c r="I736" s="168"/>
      <c r="K736" s="168"/>
    </row>
    <row r="737" spans="8:11" ht="15.75" customHeight="1" x14ac:dyDescent="0.25">
      <c r="H737" s="168"/>
      <c r="I737" s="168"/>
      <c r="K737" s="168"/>
    </row>
    <row r="738" spans="8:11" ht="15.75" customHeight="1" x14ac:dyDescent="0.25">
      <c r="H738" s="168"/>
      <c r="I738" s="168"/>
      <c r="K738" s="168"/>
    </row>
    <row r="739" spans="8:11" ht="15.75" customHeight="1" x14ac:dyDescent="0.25">
      <c r="H739" s="168"/>
      <c r="I739" s="168"/>
      <c r="K739" s="168"/>
    </row>
    <row r="740" spans="8:11" ht="15.75" customHeight="1" x14ac:dyDescent="0.25">
      <c r="H740" s="168"/>
      <c r="I740" s="168"/>
      <c r="K740" s="168"/>
    </row>
    <row r="741" spans="8:11" ht="15.75" customHeight="1" x14ac:dyDescent="0.25">
      <c r="H741" s="168"/>
      <c r="I741" s="168"/>
      <c r="K741" s="168"/>
    </row>
    <row r="742" spans="8:11" ht="15.75" customHeight="1" x14ac:dyDescent="0.25">
      <c r="H742" s="168"/>
      <c r="I742" s="168"/>
      <c r="K742" s="168"/>
    </row>
    <row r="743" spans="8:11" ht="15.75" customHeight="1" x14ac:dyDescent="0.25">
      <c r="H743" s="168"/>
      <c r="I743" s="168"/>
      <c r="K743" s="168"/>
    </row>
    <row r="744" spans="8:11" ht="15.75" customHeight="1" x14ac:dyDescent="0.25">
      <c r="H744" s="168"/>
      <c r="I744" s="168"/>
      <c r="K744" s="168"/>
    </row>
    <row r="745" spans="8:11" ht="15.75" customHeight="1" x14ac:dyDescent="0.25">
      <c r="H745" s="168"/>
      <c r="I745" s="168"/>
      <c r="K745" s="168"/>
    </row>
    <row r="746" spans="8:11" ht="15.75" customHeight="1" x14ac:dyDescent="0.25">
      <c r="H746" s="168"/>
      <c r="I746" s="168"/>
      <c r="K746" s="168"/>
    </row>
    <row r="747" spans="8:11" ht="15.75" customHeight="1" x14ac:dyDescent="0.25">
      <c r="H747" s="168"/>
      <c r="I747" s="168"/>
      <c r="K747" s="168"/>
    </row>
    <row r="748" spans="8:11" ht="15.75" customHeight="1" x14ac:dyDescent="0.25">
      <c r="H748" s="168"/>
      <c r="I748" s="168"/>
      <c r="K748" s="168"/>
    </row>
    <row r="749" spans="8:11" ht="15.75" customHeight="1" x14ac:dyDescent="0.25">
      <c r="H749" s="168"/>
      <c r="I749" s="168"/>
      <c r="K749" s="168"/>
    </row>
    <row r="750" spans="8:11" ht="15.75" customHeight="1" x14ac:dyDescent="0.25">
      <c r="H750" s="168"/>
      <c r="I750" s="168"/>
      <c r="K750" s="168"/>
    </row>
    <row r="751" spans="8:11" ht="15.75" customHeight="1" x14ac:dyDescent="0.25">
      <c r="H751" s="168"/>
      <c r="I751" s="168"/>
      <c r="K751" s="168"/>
    </row>
    <row r="752" spans="8:11" ht="15.75" customHeight="1" x14ac:dyDescent="0.25">
      <c r="H752" s="168"/>
      <c r="I752" s="168"/>
      <c r="K752" s="168"/>
    </row>
    <row r="753" spans="8:11" ht="15.75" customHeight="1" x14ac:dyDescent="0.25">
      <c r="H753" s="168"/>
      <c r="I753" s="168"/>
      <c r="K753" s="168"/>
    </row>
    <row r="754" spans="8:11" ht="15.75" customHeight="1" x14ac:dyDescent="0.25">
      <c r="H754" s="168"/>
      <c r="I754" s="168"/>
      <c r="K754" s="168"/>
    </row>
    <row r="755" spans="8:11" ht="15.75" customHeight="1" x14ac:dyDescent="0.25">
      <c r="H755" s="168"/>
      <c r="I755" s="168"/>
      <c r="K755" s="168"/>
    </row>
    <row r="756" spans="8:11" ht="15.75" customHeight="1" x14ac:dyDescent="0.25">
      <c r="H756" s="168"/>
      <c r="I756" s="168"/>
      <c r="K756" s="168"/>
    </row>
    <row r="757" spans="8:11" ht="15.75" customHeight="1" x14ac:dyDescent="0.25">
      <c r="H757" s="168"/>
      <c r="I757" s="168"/>
      <c r="K757" s="168"/>
    </row>
    <row r="758" spans="8:11" ht="15.75" customHeight="1" x14ac:dyDescent="0.25">
      <c r="H758" s="168"/>
      <c r="I758" s="168"/>
      <c r="K758" s="168"/>
    </row>
    <row r="759" spans="8:11" ht="15.75" customHeight="1" x14ac:dyDescent="0.25">
      <c r="H759" s="168"/>
      <c r="I759" s="168"/>
      <c r="K759" s="168"/>
    </row>
    <row r="760" spans="8:11" ht="15.75" customHeight="1" x14ac:dyDescent="0.25">
      <c r="H760" s="168"/>
      <c r="I760" s="168"/>
      <c r="K760" s="168"/>
    </row>
    <row r="761" spans="8:11" ht="15.75" customHeight="1" x14ac:dyDescent="0.25">
      <c r="H761" s="168"/>
      <c r="I761" s="168"/>
      <c r="K761" s="168"/>
    </row>
    <row r="762" spans="8:11" ht="15.75" customHeight="1" x14ac:dyDescent="0.25">
      <c r="H762" s="168"/>
      <c r="I762" s="168"/>
      <c r="K762" s="168"/>
    </row>
    <row r="763" spans="8:11" ht="15.75" customHeight="1" x14ac:dyDescent="0.25">
      <c r="H763" s="168"/>
      <c r="I763" s="168"/>
      <c r="K763" s="168"/>
    </row>
    <row r="764" spans="8:11" ht="15.75" customHeight="1" x14ac:dyDescent="0.25">
      <c r="H764" s="168"/>
      <c r="I764" s="168"/>
      <c r="K764" s="168"/>
    </row>
    <row r="765" spans="8:11" ht="15.75" customHeight="1" x14ac:dyDescent="0.25">
      <c r="H765" s="168"/>
      <c r="I765" s="168"/>
      <c r="K765" s="168"/>
    </row>
    <row r="766" spans="8:11" ht="15.75" customHeight="1" x14ac:dyDescent="0.25">
      <c r="H766" s="168"/>
      <c r="I766" s="168"/>
      <c r="K766" s="168"/>
    </row>
    <row r="767" spans="8:11" ht="15.75" customHeight="1" x14ac:dyDescent="0.25">
      <c r="H767" s="168"/>
      <c r="I767" s="168"/>
      <c r="K767" s="168"/>
    </row>
    <row r="768" spans="8:11" ht="15.75" customHeight="1" x14ac:dyDescent="0.25">
      <c r="H768" s="168"/>
      <c r="I768" s="168"/>
      <c r="K768" s="168"/>
    </row>
    <row r="769" spans="8:11" ht="15.75" customHeight="1" x14ac:dyDescent="0.25">
      <c r="H769" s="168"/>
      <c r="I769" s="168"/>
      <c r="K769" s="168"/>
    </row>
    <row r="770" spans="8:11" ht="15.75" customHeight="1" x14ac:dyDescent="0.25">
      <c r="H770" s="168"/>
      <c r="I770" s="168"/>
      <c r="K770" s="168"/>
    </row>
    <row r="771" spans="8:11" ht="15.75" customHeight="1" x14ac:dyDescent="0.25">
      <c r="H771" s="168"/>
      <c r="I771" s="168"/>
      <c r="K771" s="168"/>
    </row>
    <row r="772" spans="8:11" ht="15.75" customHeight="1" x14ac:dyDescent="0.25">
      <c r="H772" s="168"/>
      <c r="I772" s="168"/>
      <c r="K772" s="168"/>
    </row>
    <row r="773" spans="8:11" ht="15.75" customHeight="1" x14ac:dyDescent="0.25">
      <c r="H773" s="168"/>
      <c r="I773" s="168"/>
      <c r="K773" s="168"/>
    </row>
    <row r="774" spans="8:11" ht="15.75" customHeight="1" x14ac:dyDescent="0.25">
      <c r="H774" s="168"/>
      <c r="I774" s="168"/>
      <c r="K774" s="168"/>
    </row>
    <row r="775" spans="8:11" ht="15.75" customHeight="1" x14ac:dyDescent="0.25">
      <c r="H775" s="168"/>
      <c r="I775" s="168"/>
      <c r="K775" s="168"/>
    </row>
    <row r="776" spans="8:11" ht="15.75" customHeight="1" x14ac:dyDescent="0.25">
      <c r="H776" s="168"/>
      <c r="I776" s="168"/>
      <c r="K776" s="168"/>
    </row>
    <row r="777" spans="8:11" ht="15.75" customHeight="1" x14ac:dyDescent="0.25">
      <c r="H777" s="168"/>
      <c r="I777" s="168"/>
      <c r="K777" s="168"/>
    </row>
    <row r="778" spans="8:11" ht="15.75" customHeight="1" x14ac:dyDescent="0.25">
      <c r="H778" s="168"/>
      <c r="I778" s="168"/>
      <c r="K778" s="168"/>
    </row>
    <row r="779" spans="8:11" ht="15.75" customHeight="1" x14ac:dyDescent="0.25">
      <c r="H779" s="168"/>
      <c r="I779" s="168"/>
      <c r="K779" s="168"/>
    </row>
    <row r="780" spans="8:11" ht="15.75" customHeight="1" x14ac:dyDescent="0.25">
      <c r="H780" s="168"/>
      <c r="I780" s="168"/>
      <c r="K780" s="168"/>
    </row>
    <row r="781" spans="8:11" ht="15.75" customHeight="1" x14ac:dyDescent="0.25">
      <c r="H781" s="168"/>
      <c r="I781" s="168"/>
      <c r="K781" s="168"/>
    </row>
    <row r="782" spans="8:11" ht="15.75" customHeight="1" x14ac:dyDescent="0.25">
      <c r="H782" s="168"/>
      <c r="I782" s="168"/>
      <c r="K782" s="168"/>
    </row>
    <row r="783" spans="8:11" ht="15.75" customHeight="1" x14ac:dyDescent="0.25">
      <c r="H783" s="168"/>
      <c r="I783" s="168"/>
      <c r="K783" s="168"/>
    </row>
    <row r="784" spans="8:11" ht="15.75" customHeight="1" x14ac:dyDescent="0.25">
      <c r="H784" s="168"/>
      <c r="I784" s="168"/>
      <c r="K784" s="168"/>
    </row>
    <row r="785" spans="8:11" ht="15.75" customHeight="1" x14ac:dyDescent="0.25">
      <c r="H785" s="168"/>
      <c r="I785" s="168"/>
      <c r="K785" s="168"/>
    </row>
    <row r="786" spans="8:11" ht="15.75" customHeight="1" x14ac:dyDescent="0.25">
      <c r="H786" s="168"/>
      <c r="I786" s="168"/>
      <c r="K786" s="168"/>
    </row>
    <row r="787" spans="8:11" ht="15.75" customHeight="1" x14ac:dyDescent="0.25">
      <c r="H787" s="168"/>
      <c r="I787" s="168"/>
      <c r="K787" s="168"/>
    </row>
    <row r="788" spans="8:11" ht="15.75" customHeight="1" x14ac:dyDescent="0.25">
      <c r="H788" s="168"/>
      <c r="I788" s="168"/>
      <c r="K788" s="168"/>
    </row>
    <row r="789" spans="8:11" ht="15.75" customHeight="1" x14ac:dyDescent="0.25">
      <c r="H789" s="168"/>
      <c r="I789" s="168"/>
      <c r="K789" s="168"/>
    </row>
    <row r="790" spans="8:11" ht="15.75" customHeight="1" x14ac:dyDescent="0.25">
      <c r="H790" s="168"/>
      <c r="I790" s="168"/>
      <c r="K790" s="168"/>
    </row>
    <row r="791" spans="8:11" ht="15.75" customHeight="1" x14ac:dyDescent="0.25">
      <c r="H791" s="168"/>
      <c r="I791" s="168"/>
      <c r="K791" s="168"/>
    </row>
    <row r="792" spans="8:11" ht="15.75" customHeight="1" x14ac:dyDescent="0.25">
      <c r="H792" s="168"/>
      <c r="I792" s="168"/>
      <c r="K792" s="168"/>
    </row>
    <row r="793" spans="8:11" ht="15.75" customHeight="1" x14ac:dyDescent="0.25">
      <c r="H793" s="168"/>
      <c r="I793" s="168"/>
      <c r="K793" s="168"/>
    </row>
    <row r="794" spans="8:11" ht="15.75" customHeight="1" x14ac:dyDescent="0.25">
      <c r="H794" s="168"/>
      <c r="I794" s="168"/>
      <c r="K794" s="168"/>
    </row>
    <row r="795" spans="8:11" ht="15.75" customHeight="1" x14ac:dyDescent="0.25">
      <c r="H795" s="168"/>
      <c r="I795" s="168"/>
      <c r="K795" s="168"/>
    </row>
    <row r="796" spans="8:11" ht="15.75" customHeight="1" x14ac:dyDescent="0.25">
      <c r="H796" s="168"/>
      <c r="I796" s="168"/>
      <c r="K796" s="168"/>
    </row>
    <row r="797" spans="8:11" ht="15.75" customHeight="1" x14ac:dyDescent="0.25">
      <c r="H797" s="168"/>
      <c r="I797" s="168"/>
      <c r="K797" s="168"/>
    </row>
    <row r="798" spans="8:11" ht="15.75" customHeight="1" x14ac:dyDescent="0.25">
      <c r="H798" s="168"/>
      <c r="I798" s="168"/>
      <c r="K798" s="168"/>
    </row>
    <row r="799" spans="8:11" ht="15.75" customHeight="1" x14ac:dyDescent="0.25">
      <c r="H799" s="168"/>
      <c r="I799" s="168"/>
      <c r="K799" s="168"/>
    </row>
    <row r="800" spans="8:11" ht="15.75" customHeight="1" x14ac:dyDescent="0.25">
      <c r="H800" s="168"/>
      <c r="I800" s="168"/>
      <c r="K800" s="168"/>
    </row>
    <row r="801" spans="8:11" ht="15.75" customHeight="1" x14ac:dyDescent="0.25">
      <c r="H801" s="168"/>
      <c r="I801" s="168"/>
      <c r="K801" s="168"/>
    </row>
    <row r="802" spans="8:11" ht="15.75" customHeight="1" x14ac:dyDescent="0.25">
      <c r="H802" s="168"/>
      <c r="I802" s="168"/>
      <c r="K802" s="168"/>
    </row>
    <row r="803" spans="8:11" ht="15.75" customHeight="1" x14ac:dyDescent="0.25">
      <c r="H803" s="168"/>
      <c r="I803" s="168"/>
      <c r="K803" s="168"/>
    </row>
    <row r="804" spans="8:11" ht="15.75" customHeight="1" x14ac:dyDescent="0.25">
      <c r="H804" s="168"/>
      <c r="I804" s="168"/>
      <c r="K804" s="168"/>
    </row>
    <row r="805" spans="8:11" ht="15.75" customHeight="1" x14ac:dyDescent="0.25">
      <c r="H805" s="168"/>
      <c r="I805" s="168"/>
      <c r="K805" s="168"/>
    </row>
    <row r="806" spans="8:11" ht="15.75" customHeight="1" x14ac:dyDescent="0.25">
      <c r="H806" s="168"/>
      <c r="I806" s="168"/>
      <c r="K806" s="168"/>
    </row>
    <row r="807" spans="8:11" ht="15.75" customHeight="1" x14ac:dyDescent="0.25">
      <c r="H807" s="168"/>
      <c r="I807" s="168"/>
      <c r="K807" s="168"/>
    </row>
    <row r="808" spans="8:11" ht="15.75" customHeight="1" x14ac:dyDescent="0.25">
      <c r="H808" s="168"/>
      <c r="I808" s="168"/>
      <c r="K808" s="168"/>
    </row>
    <row r="809" spans="8:11" ht="15.75" customHeight="1" x14ac:dyDescent="0.25">
      <c r="H809" s="168"/>
      <c r="I809" s="168"/>
      <c r="K809" s="168"/>
    </row>
    <row r="810" spans="8:11" ht="15.75" customHeight="1" x14ac:dyDescent="0.25">
      <c r="H810" s="168"/>
      <c r="I810" s="168"/>
      <c r="K810" s="168"/>
    </row>
    <row r="811" spans="8:11" ht="15.75" customHeight="1" x14ac:dyDescent="0.25">
      <c r="H811" s="168"/>
      <c r="I811" s="168"/>
      <c r="K811" s="168"/>
    </row>
    <row r="812" spans="8:11" ht="15.75" customHeight="1" x14ac:dyDescent="0.25">
      <c r="H812" s="168"/>
      <c r="I812" s="168"/>
      <c r="K812" s="168"/>
    </row>
    <row r="813" spans="8:11" ht="15.75" customHeight="1" x14ac:dyDescent="0.25">
      <c r="H813" s="168"/>
      <c r="I813" s="168"/>
      <c r="K813" s="168"/>
    </row>
    <row r="814" spans="8:11" ht="15.75" customHeight="1" x14ac:dyDescent="0.25">
      <c r="H814" s="168"/>
      <c r="I814" s="168"/>
      <c r="K814" s="168"/>
    </row>
    <row r="815" spans="8:11" ht="15.75" customHeight="1" x14ac:dyDescent="0.25">
      <c r="H815" s="168"/>
      <c r="I815" s="168"/>
      <c r="K815" s="168"/>
    </row>
    <row r="816" spans="8:11" ht="15.75" customHeight="1" x14ac:dyDescent="0.25">
      <c r="H816" s="168"/>
      <c r="I816" s="168"/>
      <c r="K816" s="168"/>
    </row>
    <row r="817" spans="8:11" ht="15.75" customHeight="1" x14ac:dyDescent="0.25">
      <c r="H817" s="168"/>
      <c r="I817" s="168"/>
      <c r="K817" s="168"/>
    </row>
    <row r="818" spans="8:11" ht="15.75" customHeight="1" x14ac:dyDescent="0.25">
      <c r="H818" s="168"/>
      <c r="I818" s="168"/>
      <c r="K818" s="168"/>
    </row>
    <row r="819" spans="8:11" ht="15.75" customHeight="1" x14ac:dyDescent="0.25">
      <c r="H819" s="168"/>
      <c r="I819" s="168"/>
      <c r="K819" s="168"/>
    </row>
    <row r="820" spans="8:11" ht="15.75" customHeight="1" x14ac:dyDescent="0.25">
      <c r="H820" s="168"/>
      <c r="I820" s="168"/>
      <c r="K820" s="168"/>
    </row>
    <row r="821" spans="8:11" ht="15.75" customHeight="1" x14ac:dyDescent="0.25">
      <c r="H821" s="168"/>
      <c r="I821" s="168"/>
      <c r="K821" s="168"/>
    </row>
    <row r="822" spans="8:11" ht="15.75" customHeight="1" x14ac:dyDescent="0.25">
      <c r="H822" s="168"/>
      <c r="I822" s="168"/>
      <c r="K822" s="168"/>
    </row>
    <row r="823" spans="8:11" ht="15.75" customHeight="1" x14ac:dyDescent="0.25">
      <c r="H823" s="168"/>
      <c r="I823" s="168"/>
      <c r="K823" s="168"/>
    </row>
    <row r="824" spans="8:11" ht="15.75" customHeight="1" x14ac:dyDescent="0.25">
      <c r="H824" s="168"/>
      <c r="I824" s="168"/>
      <c r="K824" s="168"/>
    </row>
    <row r="825" spans="8:11" ht="15.75" customHeight="1" x14ac:dyDescent="0.25">
      <c r="H825" s="168"/>
      <c r="I825" s="168"/>
      <c r="K825" s="168"/>
    </row>
    <row r="826" spans="8:11" ht="15.75" customHeight="1" x14ac:dyDescent="0.25">
      <c r="H826" s="168"/>
      <c r="I826" s="168"/>
      <c r="K826" s="168"/>
    </row>
    <row r="827" spans="8:11" ht="15.75" customHeight="1" x14ac:dyDescent="0.25">
      <c r="H827" s="168"/>
      <c r="I827" s="168"/>
      <c r="K827" s="168"/>
    </row>
    <row r="828" spans="8:11" ht="15.75" customHeight="1" x14ac:dyDescent="0.25">
      <c r="H828" s="168"/>
      <c r="I828" s="168"/>
      <c r="K828" s="168"/>
    </row>
    <row r="829" spans="8:11" ht="15.75" customHeight="1" x14ac:dyDescent="0.25">
      <c r="H829" s="168"/>
      <c r="I829" s="168"/>
      <c r="K829" s="168"/>
    </row>
    <row r="830" spans="8:11" ht="15.75" customHeight="1" x14ac:dyDescent="0.25">
      <c r="H830" s="168"/>
      <c r="I830" s="168"/>
      <c r="K830" s="168"/>
    </row>
    <row r="831" spans="8:11" ht="15.75" customHeight="1" x14ac:dyDescent="0.25">
      <c r="H831" s="168"/>
      <c r="I831" s="168"/>
      <c r="K831" s="168"/>
    </row>
    <row r="832" spans="8:11" ht="15.75" customHeight="1" x14ac:dyDescent="0.25">
      <c r="H832" s="168"/>
      <c r="I832" s="168"/>
      <c r="K832" s="168"/>
    </row>
    <row r="833" spans="8:11" ht="15.75" customHeight="1" x14ac:dyDescent="0.25">
      <c r="H833" s="168"/>
      <c r="I833" s="168"/>
      <c r="K833" s="168"/>
    </row>
    <row r="834" spans="8:11" ht="15.75" customHeight="1" x14ac:dyDescent="0.25">
      <c r="H834" s="168"/>
      <c r="I834" s="168"/>
      <c r="K834" s="168"/>
    </row>
    <row r="835" spans="8:11" ht="15.75" customHeight="1" x14ac:dyDescent="0.25">
      <c r="H835" s="168"/>
      <c r="I835" s="168"/>
      <c r="K835" s="168"/>
    </row>
    <row r="836" spans="8:11" ht="15.75" customHeight="1" x14ac:dyDescent="0.25">
      <c r="H836" s="168"/>
      <c r="I836" s="168"/>
      <c r="K836" s="168"/>
    </row>
    <row r="837" spans="8:11" ht="15.75" customHeight="1" x14ac:dyDescent="0.25">
      <c r="H837" s="168"/>
      <c r="I837" s="168"/>
      <c r="K837" s="168"/>
    </row>
    <row r="838" spans="8:11" ht="15.75" customHeight="1" x14ac:dyDescent="0.25">
      <c r="H838" s="168"/>
      <c r="I838" s="168"/>
      <c r="K838" s="168"/>
    </row>
    <row r="839" spans="8:11" ht="15.75" customHeight="1" x14ac:dyDescent="0.25">
      <c r="H839" s="168"/>
      <c r="I839" s="168"/>
      <c r="K839" s="168"/>
    </row>
    <row r="840" spans="8:11" ht="15.75" customHeight="1" x14ac:dyDescent="0.25">
      <c r="H840" s="168"/>
      <c r="I840" s="168"/>
      <c r="K840" s="168"/>
    </row>
    <row r="841" spans="8:11" ht="15.75" customHeight="1" x14ac:dyDescent="0.25">
      <c r="H841" s="168"/>
      <c r="I841" s="168"/>
      <c r="K841" s="168"/>
    </row>
    <row r="842" spans="8:11" ht="15.75" customHeight="1" x14ac:dyDescent="0.25">
      <c r="H842" s="168"/>
      <c r="I842" s="168"/>
      <c r="K842" s="168"/>
    </row>
    <row r="843" spans="8:11" ht="15.75" customHeight="1" x14ac:dyDescent="0.25">
      <c r="H843" s="168"/>
      <c r="I843" s="168"/>
      <c r="K843" s="168"/>
    </row>
    <row r="844" spans="8:11" ht="15.75" customHeight="1" x14ac:dyDescent="0.25">
      <c r="H844" s="168"/>
      <c r="I844" s="168"/>
      <c r="K844" s="168"/>
    </row>
    <row r="845" spans="8:11" ht="15.75" customHeight="1" x14ac:dyDescent="0.25">
      <c r="H845" s="168"/>
      <c r="I845" s="168"/>
      <c r="K845" s="168"/>
    </row>
    <row r="846" spans="8:11" ht="15.75" customHeight="1" x14ac:dyDescent="0.25">
      <c r="H846" s="168"/>
      <c r="I846" s="168"/>
      <c r="K846" s="168"/>
    </row>
    <row r="847" spans="8:11" ht="15.75" customHeight="1" x14ac:dyDescent="0.25">
      <c r="H847" s="168"/>
      <c r="I847" s="168"/>
      <c r="K847" s="168"/>
    </row>
    <row r="848" spans="8:11" ht="15.75" customHeight="1" x14ac:dyDescent="0.25">
      <c r="H848" s="168"/>
      <c r="I848" s="168"/>
      <c r="K848" s="168"/>
    </row>
    <row r="849" spans="8:11" ht="15.75" customHeight="1" x14ac:dyDescent="0.25">
      <c r="H849" s="168"/>
      <c r="I849" s="168"/>
      <c r="K849" s="168"/>
    </row>
    <row r="850" spans="8:11" ht="15.75" customHeight="1" x14ac:dyDescent="0.25">
      <c r="H850" s="168"/>
      <c r="I850" s="168"/>
      <c r="K850" s="168"/>
    </row>
    <row r="851" spans="8:11" ht="15.75" customHeight="1" x14ac:dyDescent="0.25">
      <c r="H851" s="168"/>
      <c r="I851" s="168"/>
      <c r="K851" s="168"/>
    </row>
    <row r="852" spans="8:11" ht="15.75" customHeight="1" x14ac:dyDescent="0.25">
      <c r="H852" s="168"/>
      <c r="I852" s="168"/>
      <c r="K852" s="168"/>
    </row>
    <row r="853" spans="8:11" ht="15.75" customHeight="1" x14ac:dyDescent="0.25">
      <c r="H853" s="168"/>
      <c r="I853" s="168"/>
      <c r="K853" s="168"/>
    </row>
    <row r="854" spans="8:11" ht="15.75" customHeight="1" x14ac:dyDescent="0.25">
      <c r="H854" s="168"/>
      <c r="I854" s="168"/>
      <c r="K854" s="168"/>
    </row>
    <row r="855" spans="8:11" ht="15.75" customHeight="1" x14ac:dyDescent="0.25">
      <c r="H855" s="168"/>
      <c r="I855" s="168"/>
      <c r="K855" s="168"/>
    </row>
    <row r="856" spans="8:11" ht="15.75" customHeight="1" x14ac:dyDescent="0.25">
      <c r="H856" s="168"/>
      <c r="I856" s="168"/>
      <c r="K856" s="168"/>
    </row>
    <row r="857" spans="8:11" ht="15.75" customHeight="1" x14ac:dyDescent="0.25">
      <c r="H857" s="168"/>
      <c r="I857" s="168"/>
      <c r="K857" s="168"/>
    </row>
    <row r="858" spans="8:11" ht="15.75" customHeight="1" x14ac:dyDescent="0.25">
      <c r="H858" s="168"/>
      <c r="I858" s="168"/>
      <c r="K858" s="168"/>
    </row>
    <row r="859" spans="8:11" ht="15.75" customHeight="1" x14ac:dyDescent="0.25">
      <c r="H859" s="168"/>
      <c r="I859" s="168"/>
      <c r="K859" s="168"/>
    </row>
    <row r="860" spans="8:11" ht="15.75" customHeight="1" x14ac:dyDescent="0.25">
      <c r="H860" s="168"/>
      <c r="I860" s="168"/>
      <c r="K860" s="168"/>
    </row>
    <row r="861" spans="8:11" ht="15.75" customHeight="1" x14ac:dyDescent="0.25">
      <c r="H861" s="168"/>
      <c r="I861" s="168"/>
      <c r="K861" s="168"/>
    </row>
    <row r="862" spans="8:11" ht="15.75" customHeight="1" x14ac:dyDescent="0.25">
      <c r="H862" s="168"/>
      <c r="I862" s="168"/>
      <c r="K862" s="168"/>
    </row>
    <row r="863" spans="8:11" ht="15.75" customHeight="1" x14ac:dyDescent="0.25">
      <c r="H863" s="168"/>
      <c r="I863" s="168"/>
      <c r="K863" s="168"/>
    </row>
    <row r="864" spans="8:11" ht="15.75" customHeight="1" x14ac:dyDescent="0.25">
      <c r="H864" s="168"/>
      <c r="I864" s="168"/>
      <c r="K864" s="168"/>
    </row>
    <row r="865" spans="8:11" ht="15.75" customHeight="1" x14ac:dyDescent="0.25">
      <c r="H865" s="168"/>
      <c r="I865" s="168"/>
      <c r="K865" s="168"/>
    </row>
    <row r="866" spans="8:11" ht="15.75" customHeight="1" x14ac:dyDescent="0.25">
      <c r="H866" s="168"/>
      <c r="I866" s="168"/>
      <c r="K866" s="168"/>
    </row>
    <row r="867" spans="8:11" ht="15.75" customHeight="1" x14ac:dyDescent="0.25">
      <c r="H867" s="168"/>
      <c r="I867" s="168"/>
      <c r="K867" s="168"/>
    </row>
    <row r="868" spans="8:11" ht="15.75" customHeight="1" x14ac:dyDescent="0.25">
      <c r="H868" s="168"/>
      <c r="I868" s="168"/>
      <c r="K868" s="168"/>
    </row>
    <row r="869" spans="8:11" ht="15.75" customHeight="1" x14ac:dyDescent="0.25">
      <c r="H869" s="168"/>
      <c r="I869" s="168"/>
      <c r="K869" s="168"/>
    </row>
    <row r="870" spans="8:11" ht="15.75" customHeight="1" x14ac:dyDescent="0.25">
      <c r="H870" s="168"/>
      <c r="I870" s="168"/>
      <c r="K870" s="168"/>
    </row>
    <row r="871" spans="8:11" ht="15.75" customHeight="1" x14ac:dyDescent="0.25">
      <c r="H871" s="168"/>
      <c r="I871" s="168"/>
      <c r="K871" s="168"/>
    </row>
    <row r="872" spans="8:11" ht="15.75" customHeight="1" x14ac:dyDescent="0.25">
      <c r="H872" s="168"/>
      <c r="I872" s="168"/>
      <c r="K872" s="168"/>
    </row>
    <row r="873" spans="8:11" ht="15.75" customHeight="1" x14ac:dyDescent="0.25">
      <c r="H873" s="168"/>
      <c r="I873" s="168"/>
      <c r="K873" s="168"/>
    </row>
    <row r="874" spans="8:11" ht="15.75" customHeight="1" x14ac:dyDescent="0.25">
      <c r="H874" s="168"/>
      <c r="I874" s="168"/>
      <c r="K874" s="168"/>
    </row>
    <row r="875" spans="8:11" ht="15.75" customHeight="1" x14ac:dyDescent="0.25">
      <c r="H875" s="168"/>
      <c r="I875" s="168"/>
      <c r="K875" s="168"/>
    </row>
    <row r="876" spans="8:11" ht="15.75" customHeight="1" x14ac:dyDescent="0.25">
      <c r="H876" s="168"/>
      <c r="I876" s="168"/>
      <c r="K876" s="168"/>
    </row>
    <row r="877" spans="8:11" ht="15.75" customHeight="1" x14ac:dyDescent="0.25">
      <c r="H877" s="168"/>
      <c r="I877" s="168"/>
      <c r="K877" s="168"/>
    </row>
    <row r="878" spans="8:11" ht="15.75" customHeight="1" x14ac:dyDescent="0.25">
      <c r="H878" s="168"/>
      <c r="I878" s="168"/>
      <c r="K878" s="168"/>
    </row>
    <row r="879" spans="8:11" ht="15.75" customHeight="1" x14ac:dyDescent="0.25">
      <c r="H879" s="168"/>
      <c r="I879" s="168"/>
      <c r="K879" s="168"/>
    </row>
    <row r="880" spans="8:11" ht="15.75" customHeight="1" x14ac:dyDescent="0.25">
      <c r="H880" s="168"/>
      <c r="I880" s="168"/>
      <c r="K880" s="168"/>
    </row>
    <row r="881" spans="8:11" ht="15.75" customHeight="1" x14ac:dyDescent="0.25">
      <c r="H881" s="168"/>
      <c r="I881" s="168"/>
      <c r="K881" s="168"/>
    </row>
    <row r="882" spans="8:11" ht="15.75" customHeight="1" x14ac:dyDescent="0.25">
      <c r="H882" s="168"/>
      <c r="I882" s="168"/>
      <c r="K882" s="168"/>
    </row>
    <row r="883" spans="8:11" ht="15.75" customHeight="1" x14ac:dyDescent="0.25">
      <c r="H883" s="168"/>
      <c r="I883" s="168"/>
      <c r="K883" s="168"/>
    </row>
    <row r="884" spans="8:11" ht="15.75" customHeight="1" x14ac:dyDescent="0.25">
      <c r="H884" s="168"/>
      <c r="I884" s="168"/>
      <c r="K884" s="168"/>
    </row>
    <row r="885" spans="8:11" ht="15.75" customHeight="1" x14ac:dyDescent="0.25">
      <c r="H885" s="168"/>
      <c r="I885" s="168"/>
      <c r="K885" s="168"/>
    </row>
    <row r="886" spans="8:11" ht="15.75" customHeight="1" x14ac:dyDescent="0.25">
      <c r="H886" s="168"/>
      <c r="I886" s="168"/>
      <c r="K886" s="168"/>
    </row>
    <row r="887" spans="8:11" ht="15.75" customHeight="1" x14ac:dyDescent="0.25">
      <c r="H887" s="168"/>
      <c r="I887" s="168"/>
      <c r="K887" s="168"/>
    </row>
    <row r="888" spans="8:11" ht="15.75" customHeight="1" x14ac:dyDescent="0.25">
      <c r="H888" s="168"/>
      <c r="I888" s="168"/>
      <c r="K888" s="168"/>
    </row>
    <row r="889" spans="8:11" ht="15.75" customHeight="1" x14ac:dyDescent="0.25">
      <c r="H889" s="168"/>
      <c r="I889" s="168"/>
      <c r="K889" s="168"/>
    </row>
    <row r="890" spans="8:11" ht="15.75" customHeight="1" x14ac:dyDescent="0.25">
      <c r="H890" s="168"/>
      <c r="I890" s="168"/>
      <c r="K890" s="168"/>
    </row>
    <row r="891" spans="8:11" ht="15.75" customHeight="1" x14ac:dyDescent="0.25">
      <c r="H891" s="168"/>
      <c r="I891" s="168"/>
      <c r="K891" s="168"/>
    </row>
    <row r="892" spans="8:11" ht="15.75" customHeight="1" x14ac:dyDescent="0.25">
      <c r="H892" s="168"/>
      <c r="I892" s="168"/>
      <c r="K892" s="168"/>
    </row>
    <row r="893" spans="8:11" ht="15.75" customHeight="1" x14ac:dyDescent="0.25">
      <c r="H893" s="168"/>
      <c r="I893" s="168"/>
      <c r="K893" s="168"/>
    </row>
    <row r="894" spans="8:11" ht="15.75" customHeight="1" x14ac:dyDescent="0.25">
      <c r="H894" s="168"/>
      <c r="I894" s="168"/>
      <c r="K894" s="168"/>
    </row>
    <row r="895" spans="8:11" ht="15.75" customHeight="1" x14ac:dyDescent="0.25">
      <c r="H895" s="168"/>
      <c r="I895" s="168"/>
      <c r="K895" s="168"/>
    </row>
    <row r="896" spans="8:11" ht="15.75" customHeight="1" x14ac:dyDescent="0.25">
      <c r="H896" s="168"/>
      <c r="I896" s="168"/>
      <c r="K896" s="168"/>
    </row>
    <row r="897" spans="8:11" ht="15.75" customHeight="1" x14ac:dyDescent="0.25">
      <c r="H897" s="168"/>
      <c r="I897" s="168"/>
      <c r="K897" s="168"/>
    </row>
    <row r="898" spans="8:11" ht="15.75" customHeight="1" x14ac:dyDescent="0.25">
      <c r="H898" s="168"/>
      <c r="I898" s="168"/>
      <c r="K898" s="168"/>
    </row>
    <row r="899" spans="8:11" ht="15.75" customHeight="1" x14ac:dyDescent="0.25">
      <c r="H899" s="168"/>
      <c r="I899" s="168"/>
      <c r="K899" s="168"/>
    </row>
    <row r="900" spans="8:11" ht="15.75" customHeight="1" x14ac:dyDescent="0.25">
      <c r="H900" s="168"/>
      <c r="I900" s="168"/>
      <c r="K900" s="168"/>
    </row>
    <row r="901" spans="8:11" ht="15.75" customHeight="1" x14ac:dyDescent="0.25">
      <c r="H901" s="168"/>
      <c r="I901" s="168"/>
      <c r="K901" s="168"/>
    </row>
    <row r="902" spans="8:11" ht="15.75" customHeight="1" x14ac:dyDescent="0.25">
      <c r="H902" s="168"/>
      <c r="I902" s="168"/>
      <c r="K902" s="168"/>
    </row>
    <row r="903" spans="8:11" ht="15.75" customHeight="1" x14ac:dyDescent="0.25">
      <c r="H903" s="168"/>
      <c r="I903" s="168"/>
      <c r="K903" s="168"/>
    </row>
    <row r="904" spans="8:11" ht="15.75" customHeight="1" x14ac:dyDescent="0.25">
      <c r="H904" s="168"/>
      <c r="I904" s="168"/>
      <c r="K904" s="168"/>
    </row>
    <row r="905" spans="8:11" ht="15.75" customHeight="1" x14ac:dyDescent="0.25">
      <c r="H905" s="168"/>
      <c r="I905" s="168"/>
      <c r="K905" s="168"/>
    </row>
    <row r="906" spans="8:11" ht="15.75" customHeight="1" x14ac:dyDescent="0.25">
      <c r="H906" s="168"/>
      <c r="I906" s="168"/>
      <c r="K906" s="168"/>
    </row>
    <row r="907" spans="8:11" ht="15.75" customHeight="1" x14ac:dyDescent="0.25">
      <c r="H907" s="168"/>
      <c r="I907" s="168"/>
      <c r="K907" s="168"/>
    </row>
    <row r="908" spans="8:11" ht="15.75" customHeight="1" x14ac:dyDescent="0.25">
      <c r="H908" s="168"/>
      <c r="I908" s="168"/>
      <c r="K908" s="168"/>
    </row>
    <row r="909" spans="8:11" ht="15.75" customHeight="1" x14ac:dyDescent="0.25">
      <c r="H909" s="168"/>
      <c r="I909" s="168"/>
      <c r="K909" s="168"/>
    </row>
    <row r="910" spans="8:11" ht="15.75" customHeight="1" x14ac:dyDescent="0.25">
      <c r="H910" s="168"/>
      <c r="I910" s="168"/>
      <c r="K910" s="168"/>
    </row>
    <row r="911" spans="8:11" ht="15.75" customHeight="1" x14ac:dyDescent="0.25">
      <c r="H911" s="168"/>
      <c r="I911" s="168"/>
      <c r="K911" s="168"/>
    </row>
    <row r="912" spans="8:11" ht="15.75" customHeight="1" x14ac:dyDescent="0.25">
      <c r="H912" s="168"/>
      <c r="I912" s="168"/>
      <c r="K912" s="168"/>
    </row>
    <row r="913" spans="8:11" ht="15.75" customHeight="1" x14ac:dyDescent="0.25">
      <c r="H913" s="168"/>
      <c r="I913" s="168"/>
      <c r="K913" s="168"/>
    </row>
    <row r="914" spans="8:11" ht="15.75" customHeight="1" x14ac:dyDescent="0.25">
      <c r="H914" s="168"/>
      <c r="I914" s="168"/>
      <c r="K914" s="168"/>
    </row>
    <row r="915" spans="8:11" ht="15.75" customHeight="1" x14ac:dyDescent="0.25">
      <c r="H915" s="168"/>
      <c r="I915" s="168"/>
      <c r="K915" s="168"/>
    </row>
    <row r="916" spans="8:11" ht="15.75" customHeight="1" x14ac:dyDescent="0.25">
      <c r="H916" s="168"/>
      <c r="I916" s="168"/>
      <c r="K916" s="168"/>
    </row>
    <row r="917" spans="8:11" ht="15.75" customHeight="1" x14ac:dyDescent="0.25">
      <c r="H917" s="168"/>
      <c r="I917" s="168"/>
      <c r="K917" s="168"/>
    </row>
    <row r="918" spans="8:11" ht="15.75" customHeight="1" x14ac:dyDescent="0.25">
      <c r="H918" s="168"/>
      <c r="I918" s="168"/>
      <c r="K918" s="168"/>
    </row>
    <row r="919" spans="8:11" ht="15.75" customHeight="1" x14ac:dyDescent="0.25">
      <c r="H919" s="168"/>
      <c r="I919" s="168"/>
      <c r="K919" s="168"/>
    </row>
    <row r="920" spans="8:11" ht="15.75" customHeight="1" x14ac:dyDescent="0.25">
      <c r="H920" s="168"/>
      <c r="I920" s="168"/>
      <c r="K920" s="168"/>
    </row>
    <row r="921" spans="8:11" ht="15.75" customHeight="1" x14ac:dyDescent="0.25">
      <c r="H921" s="168"/>
      <c r="I921" s="168"/>
      <c r="K921" s="168"/>
    </row>
    <row r="922" spans="8:11" ht="15.75" customHeight="1" x14ac:dyDescent="0.25">
      <c r="H922" s="168"/>
      <c r="I922" s="168"/>
      <c r="K922" s="168"/>
    </row>
    <row r="923" spans="8:11" ht="15.75" customHeight="1" x14ac:dyDescent="0.25">
      <c r="H923" s="168"/>
      <c r="I923" s="168"/>
      <c r="K923" s="168"/>
    </row>
    <row r="924" spans="8:11" ht="15.75" customHeight="1" x14ac:dyDescent="0.25">
      <c r="H924" s="168"/>
      <c r="I924" s="168"/>
      <c r="K924" s="168"/>
    </row>
    <row r="925" spans="8:11" ht="15.75" customHeight="1" x14ac:dyDescent="0.25">
      <c r="H925" s="168"/>
      <c r="I925" s="168"/>
      <c r="K925" s="168"/>
    </row>
    <row r="926" spans="8:11" ht="15.75" customHeight="1" x14ac:dyDescent="0.25">
      <c r="H926" s="168"/>
      <c r="I926" s="168"/>
      <c r="K926" s="168"/>
    </row>
    <row r="927" spans="8:11" ht="15.75" customHeight="1" x14ac:dyDescent="0.25">
      <c r="H927" s="168"/>
      <c r="I927" s="168"/>
      <c r="K927" s="168"/>
    </row>
    <row r="928" spans="8:11" ht="15.75" customHeight="1" x14ac:dyDescent="0.25">
      <c r="H928" s="168"/>
      <c r="I928" s="168"/>
      <c r="K928" s="168"/>
    </row>
    <row r="929" spans="8:11" ht="15.75" customHeight="1" x14ac:dyDescent="0.25">
      <c r="H929" s="168"/>
      <c r="I929" s="168"/>
      <c r="K929" s="168"/>
    </row>
    <row r="930" spans="8:11" ht="15.75" customHeight="1" x14ac:dyDescent="0.25">
      <c r="H930" s="168"/>
      <c r="I930" s="168"/>
      <c r="K930" s="168"/>
    </row>
    <row r="931" spans="8:11" ht="15.75" customHeight="1" x14ac:dyDescent="0.25">
      <c r="H931" s="168"/>
      <c r="I931" s="168"/>
      <c r="K931" s="168"/>
    </row>
    <row r="932" spans="8:11" ht="15.75" customHeight="1" x14ac:dyDescent="0.25">
      <c r="H932" s="168"/>
      <c r="I932" s="168"/>
      <c r="K932" s="168"/>
    </row>
    <row r="933" spans="8:11" ht="15.75" customHeight="1" x14ac:dyDescent="0.25">
      <c r="H933" s="168"/>
      <c r="I933" s="168"/>
      <c r="K933" s="168"/>
    </row>
    <row r="934" spans="8:11" ht="15.75" customHeight="1" x14ac:dyDescent="0.25">
      <c r="H934" s="168"/>
      <c r="I934" s="168"/>
      <c r="K934" s="168"/>
    </row>
    <row r="935" spans="8:11" ht="15.75" customHeight="1" x14ac:dyDescent="0.25">
      <c r="H935" s="168"/>
      <c r="I935" s="168"/>
      <c r="K935" s="168"/>
    </row>
    <row r="936" spans="8:11" ht="15.75" customHeight="1" x14ac:dyDescent="0.25">
      <c r="H936" s="168"/>
      <c r="I936" s="168"/>
      <c r="K936" s="168"/>
    </row>
    <row r="937" spans="8:11" ht="15.75" customHeight="1" x14ac:dyDescent="0.25">
      <c r="H937" s="168"/>
      <c r="I937" s="168"/>
      <c r="K937" s="168"/>
    </row>
    <row r="938" spans="8:11" ht="15.75" customHeight="1" x14ac:dyDescent="0.25">
      <c r="H938" s="168"/>
      <c r="I938" s="168"/>
      <c r="K938" s="168"/>
    </row>
    <row r="939" spans="8:11" ht="15.75" customHeight="1" x14ac:dyDescent="0.25">
      <c r="H939" s="168"/>
      <c r="I939" s="168"/>
      <c r="K939" s="168"/>
    </row>
    <row r="940" spans="8:11" ht="15.75" customHeight="1" x14ac:dyDescent="0.25">
      <c r="H940" s="168"/>
      <c r="I940" s="168"/>
      <c r="K940" s="168"/>
    </row>
    <row r="941" spans="8:11" ht="15.75" customHeight="1" x14ac:dyDescent="0.25">
      <c r="H941" s="168"/>
      <c r="I941" s="168"/>
      <c r="K941" s="168"/>
    </row>
    <row r="942" spans="8:11" ht="15.75" customHeight="1" x14ac:dyDescent="0.25">
      <c r="H942" s="168"/>
      <c r="I942" s="168"/>
      <c r="K942" s="168"/>
    </row>
    <row r="943" spans="8:11" ht="15.75" customHeight="1" x14ac:dyDescent="0.25">
      <c r="H943" s="168"/>
      <c r="I943" s="168"/>
      <c r="K943" s="168"/>
    </row>
    <row r="944" spans="8:11" ht="15.75" customHeight="1" x14ac:dyDescent="0.25">
      <c r="H944" s="168"/>
      <c r="I944" s="168"/>
      <c r="K944" s="168"/>
    </row>
    <row r="945" spans="8:11" ht="15.75" customHeight="1" x14ac:dyDescent="0.25">
      <c r="H945" s="168"/>
      <c r="I945" s="168"/>
      <c r="K945" s="168"/>
    </row>
    <row r="946" spans="8:11" ht="15.75" customHeight="1" x14ac:dyDescent="0.25">
      <c r="H946" s="168"/>
      <c r="I946" s="168"/>
      <c r="K946" s="168"/>
    </row>
    <row r="947" spans="8:11" ht="15.75" customHeight="1" x14ac:dyDescent="0.25">
      <c r="H947" s="168"/>
      <c r="I947" s="168"/>
      <c r="K947" s="168"/>
    </row>
    <row r="948" spans="8:11" ht="15.75" customHeight="1" x14ac:dyDescent="0.25">
      <c r="H948" s="168"/>
      <c r="I948" s="168"/>
      <c r="K948" s="168"/>
    </row>
    <row r="949" spans="8:11" ht="15.75" customHeight="1" x14ac:dyDescent="0.25">
      <c r="H949" s="168"/>
      <c r="I949" s="168"/>
      <c r="K949" s="168"/>
    </row>
    <row r="950" spans="8:11" ht="15.75" customHeight="1" x14ac:dyDescent="0.25">
      <c r="H950" s="168"/>
      <c r="I950" s="168"/>
      <c r="K950" s="168"/>
    </row>
    <row r="951" spans="8:11" ht="15.75" customHeight="1" x14ac:dyDescent="0.25">
      <c r="H951" s="168"/>
      <c r="I951" s="168"/>
      <c r="K951" s="168"/>
    </row>
    <row r="952" spans="8:11" ht="15.75" customHeight="1" x14ac:dyDescent="0.25">
      <c r="H952" s="168"/>
      <c r="I952" s="168"/>
      <c r="K952" s="168"/>
    </row>
    <row r="953" spans="8:11" ht="15.75" customHeight="1" x14ac:dyDescent="0.25">
      <c r="H953" s="168"/>
      <c r="I953" s="168"/>
      <c r="K953" s="168"/>
    </row>
    <row r="954" spans="8:11" ht="15.75" customHeight="1" x14ac:dyDescent="0.25">
      <c r="H954" s="168"/>
      <c r="I954" s="168"/>
      <c r="K954" s="168"/>
    </row>
    <row r="955" spans="8:11" ht="15.75" customHeight="1" x14ac:dyDescent="0.25">
      <c r="H955" s="168"/>
      <c r="I955" s="168"/>
      <c r="K955" s="168"/>
    </row>
    <row r="956" spans="8:11" ht="15.75" customHeight="1" x14ac:dyDescent="0.25">
      <c r="H956" s="168"/>
      <c r="I956" s="168"/>
      <c r="K956" s="168"/>
    </row>
    <row r="957" spans="8:11" ht="15.75" customHeight="1" x14ac:dyDescent="0.25">
      <c r="H957" s="168"/>
      <c r="I957" s="168"/>
      <c r="K957" s="168"/>
    </row>
    <row r="958" spans="8:11" ht="15.75" customHeight="1" x14ac:dyDescent="0.25">
      <c r="H958" s="168"/>
      <c r="I958" s="168"/>
      <c r="K958" s="168"/>
    </row>
    <row r="959" spans="8:11" ht="15.75" customHeight="1" x14ac:dyDescent="0.25">
      <c r="H959" s="168"/>
      <c r="I959" s="168"/>
      <c r="K959" s="168"/>
    </row>
    <row r="960" spans="8:11" ht="15.75" customHeight="1" x14ac:dyDescent="0.25">
      <c r="H960" s="168"/>
      <c r="I960" s="168"/>
      <c r="K960" s="168"/>
    </row>
    <row r="961" spans="8:11" ht="15.75" customHeight="1" x14ac:dyDescent="0.25">
      <c r="H961" s="168"/>
      <c r="I961" s="168"/>
      <c r="K961" s="168"/>
    </row>
    <row r="962" spans="8:11" ht="15.75" customHeight="1" x14ac:dyDescent="0.25">
      <c r="H962" s="168"/>
      <c r="I962" s="168"/>
      <c r="K962" s="168"/>
    </row>
    <row r="963" spans="8:11" ht="15.75" customHeight="1" x14ac:dyDescent="0.25">
      <c r="H963" s="168"/>
      <c r="I963" s="168"/>
      <c r="K963" s="168"/>
    </row>
    <row r="964" spans="8:11" ht="15.75" customHeight="1" x14ac:dyDescent="0.25">
      <c r="H964" s="168"/>
      <c r="I964" s="168"/>
      <c r="K964" s="168"/>
    </row>
    <row r="965" spans="8:11" ht="15.75" customHeight="1" x14ac:dyDescent="0.25">
      <c r="H965" s="168"/>
      <c r="I965" s="168"/>
      <c r="K965" s="168"/>
    </row>
    <row r="966" spans="8:11" ht="15.75" customHeight="1" x14ac:dyDescent="0.25">
      <c r="H966" s="168"/>
      <c r="I966" s="168"/>
      <c r="K966" s="168"/>
    </row>
    <row r="967" spans="8:11" ht="15.75" customHeight="1" x14ac:dyDescent="0.25">
      <c r="H967" s="168"/>
      <c r="I967" s="168"/>
      <c r="K967" s="168"/>
    </row>
    <row r="968" spans="8:11" ht="15.75" customHeight="1" x14ac:dyDescent="0.25">
      <c r="H968" s="168"/>
      <c r="I968" s="168"/>
      <c r="K968" s="168"/>
    </row>
    <row r="969" spans="8:11" ht="15.75" customHeight="1" x14ac:dyDescent="0.25">
      <c r="H969" s="168"/>
      <c r="I969" s="168"/>
      <c r="K969" s="168"/>
    </row>
    <row r="970" spans="8:11" ht="15.75" customHeight="1" x14ac:dyDescent="0.25">
      <c r="H970" s="168"/>
      <c r="I970" s="168"/>
      <c r="K970" s="168"/>
    </row>
    <row r="971" spans="8:11" ht="15.75" customHeight="1" x14ac:dyDescent="0.25">
      <c r="H971" s="168"/>
      <c r="I971" s="168"/>
      <c r="K971" s="168"/>
    </row>
    <row r="972" spans="8:11" ht="15.75" customHeight="1" x14ac:dyDescent="0.25">
      <c r="H972" s="168"/>
      <c r="I972" s="168"/>
      <c r="K972" s="168"/>
    </row>
    <row r="973" spans="8:11" ht="15.75" customHeight="1" x14ac:dyDescent="0.25">
      <c r="H973" s="168"/>
      <c r="I973" s="168"/>
      <c r="K973" s="168"/>
    </row>
    <row r="974" spans="8:11" ht="15.75" customHeight="1" x14ac:dyDescent="0.25">
      <c r="H974" s="168"/>
      <c r="I974" s="168"/>
      <c r="K974" s="168"/>
    </row>
    <row r="975" spans="8:11" ht="15.75" customHeight="1" x14ac:dyDescent="0.25">
      <c r="H975" s="168"/>
      <c r="I975" s="168"/>
      <c r="K975" s="168"/>
    </row>
    <row r="976" spans="8:11" ht="15.75" customHeight="1" x14ac:dyDescent="0.25">
      <c r="H976" s="168"/>
      <c r="I976" s="168"/>
      <c r="K976" s="168"/>
    </row>
    <row r="977" spans="8:11" ht="15.75" customHeight="1" x14ac:dyDescent="0.25">
      <c r="H977" s="168"/>
      <c r="I977" s="168"/>
      <c r="K977" s="168"/>
    </row>
    <row r="978" spans="8:11" ht="15.75" customHeight="1" x14ac:dyDescent="0.25">
      <c r="H978" s="168"/>
      <c r="I978" s="168"/>
      <c r="K978" s="168"/>
    </row>
    <row r="979" spans="8:11" ht="15.75" customHeight="1" x14ac:dyDescent="0.25">
      <c r="H979" s="168"/>
      <c r="I979" s="168"/>
      <c r="K979" s="168"/>
    </row>
    <row r="980" spans="8:11" ht="15.75" customHeight="1" x14ac:dyDescent="0.25">
      <c r="H980" s="168"/>
      <c r="I980" s="168"/>
      <c r="K980" s="168"/>
    </row>
    <row r="981" spans="8:11" ht="15.75" customHeight="1" x14ac:dyDescent="0.25">
      <c r="H981" s="168"/>
      <c r="I981" s="168"/>
      <c r="K981" s="168"/>
    </row>
    <row r="982" spans="8:11" ht="15.75" customHeight="1" x14ac:dyDescent="0.25">
      <c r="H982" s="168"/>
      <c r="I982" s="168"/>
      <c r="K982" s="168"/>
    </row>
    <row r="983" spans="8:11" ht="15.75" customHeight="1" x14ac:dyDescent="0.25">
      <c r="H983" s="168"/>
      <c r="I983" s="168"/>
      <c r="K983" s="168"/>
    </row>
    <row r="984" spans="8:11" ht="15.75" customHeight="1" x14ac:dyDescent="0.25">
      <c r="H984" s="168"/>
      <c r="I984" s="168"/>
      <c r="K984" s="168"/>
    </row>
    <row r="985" spans="8:11" ht="15.75" customHeight="1" x14ac:dyDescent="0.25">
      <c r="H985" s="168"/>
      <c r="I985" s="168"/>
      <c r="K985" s="168"/>
    </row>
    <row r="986" spans="8:11" ht="15.75" customHeight="1" x14ac:dyDescent="0.25">
      <c r="H986" s="168"/>
      <c r="I986" s="168"/>
      <c r="K986" s="168"/>
    </row>
    <row r="987" spans="8:11" ht="15.75" customHeight="1" x14ac:dyDescent="0.25">
      <c r="H987" s="168"/>
      <c r="I987" s="168"/>
      <c r="K987" s="168"/>
    </row>
    <row r="988" spans="8:11" ht="15.75" customHeight="1" x14ac:dyDescent="0.25">
      <c r="H988" s="168"/>
      <c r="I988" s="168"/>
      <c r="K988" s="168"/>
    </row>
    <row r="989" spans="8:11" ht="15.75" customHeight="1" x14ac:dyDescent="0.25">
      <c r="H989" s="168"/>
      <c r="I989" s="168"/>
      <c r="K989" s="168"/>
    </row>
    <row r="990" spans="8:11" ht="15.75" customHeight="1" x14ac:dyDescent="0.25">
      <c r="H990" s="168"/>
      <c r="I990" s="168"/>
      <c r="K990" s="168"/>
    </row>
    <row r="991" spans="8:11" ht="15.75" customHeight="1" x14ac:dyDescent="0.25">
      <c r="H991" s="168"/>
      <c r="I991" s="168"/>
      <c r="K991" s="168"/>
    </row>
    <row r="992" spans="8:11" ht="15.75" customHeight="1" x14ac:dyDescent="0.25">
      <c r="H992" s="168"/>
      <c r="I992" s="168"/>
      <c r="K992" s="168"/>
    </row>
    <row r="993" spans="8:11" ht="15.75" customHeight="1" x14ac:dyDescent="0.25">
      <c r="H993" s="168"/>
      <c r="I993" s="168"/>
      <c r="K993" s="168"/>
    </row>
    <row r="994" spans="8:11" ht="15.75" customHeight="1" x14ac:dyDescent="0.25">
      <c r="H994" s="168"/>
      <c r="I994" s="168"/>
      <c r="K994" s="168"/>
    </row>
    <row r="995" spans="8:11" ht="15.75" customHeight="1" x14ac:dyDescent="0.25">
      <c r="H995" s="168"/>
      <c r="I995" s="168"/>
      <c r="K995" s="168"/>
    </row>
    <row r="996" spans="8:11" ht="15.75" customHeight="1" x14ac:dyDescent="0.25">
      <c r="H996" s="168"/>
      <c r="I996" s="168"/>
      <c r="K996" s="168"/>
    </row>
    <row r="997" spans="8:11" ht="15.75" customHeight="1" x14ac:dyDescent="0.25">
      <c r="H997" s="168"/>
      <c r="I997" s="168"/>
      <c r="K997" s="168"/>
    </row>
    <row r="998" spans="8:11" ht="15.75" customHeight="1" x14ac:dyDescent="0.25">
      <c r="H998" s="168"/>
      <c r="I998" s="168"/>
      <c r="K998" s="168"/>
    </row>
    <row r="999" spans="8:11" ht="15.75" customHeight="1" x14ac:dyDescent="0.25">
      <c r="H999" s="168"/>
      <c r="I999" s="168"/>
      <c r="K999" s="168"/>
    </row>
    <row r="1000" spans="8:11" ht="15.75" customHeight="1" x14ac:dyDescent="0.25">
      <c r="H1000" s="168"/>
      <c r="I1000" s="168"/>
      <c r="K1000" s="168"/>
    </row>
    <row r="1001" spans="8:11" ht="15.75" customHeight="1" x14ac:dyDescent="0.25">
      <c r="H1001" s="168"/>
      <c r="I1001" s="168"/>
      <c r="K1001" s="168"/>
    </row>
    <row r="1002" spans="8:11" ht="15.75" customHeight="1" x14ac:dyDescent="0.25">
      <c r="H1002" s="168"/>
      <c r="I1002" s="168"/>
      <c r="K1002" s="168"/>
    </row>
    <row r="1003" spans="8:11" ht="15.75" customHeight="1" x14ac:dyDescent="0.25">
      <c r="H1003" s="168"/>
      <c r="I1003" s="168"/>
      <c r="K1003" s="168"/>
    </row>
    <row r="1004" spans="8:11" ht="15.75" customHeight="1" x14ac:dyDescent="0.25">
      <c r="H1004" s="168"/>
      <c r="I1004" s="168"/>
      <c r="K1004" s="168"/>
    </row>
    <row r="1005" spans="8:11" ht="15.75" customHeight="1" x14ac:dyDescent="0.25">
      <c r="H1005" s="168"/>
      <c r="I1005" s="168"/>
      <c r="K1005" s="168"/>
    </row>
    <row r="1006" spans="8:11" ht="15.75" customHeight="1" x14ac:dyDescent="0.25">
      <c r="H1006" s="168"/>
      <c r="I1006" s="168"/>
      <c r="K1006" s="168"/>
    </row>
    <row r="1007" spans="8:11" ht="15.75" customHeight="1" x14ac:dyDescent="0.25">
      <c r="H1007" s="168"/>
      <c r="I1007" s="168"/>
      <c r="K1007" s="168"/>
    </row>
    <row r="1008" spans="8:11" ht="15.75" customHeight="1" x14ac:dyDescent="0.25">
      <c r="H1008" s="168"/>
      <c r="I1008" s="168"/>
      <c r="K1008" s="168"/>
    </row>
    <row r="1009" spans="8:11" ht="15.75" customHeight="1" x14ac:dyDescent="0.25">
      <c r="H1009" s="168"/>
      <c r="I1009" s="168"/>
      <c r="K1009" s="168"/>
    </row>
    <row r="1010" spans="8:11" ht="15.75" customHeight="1" x14ac:dyDescent="0.25">
      <c r="H1010" s="168"/>
      <c r="I1010" s="168"/>
      <c r="K1010" s="168"/>
    </row>
    <row r="1011" spans="8:11" ht="15.75" customHeight="1" x14ac:dyDescent="0.25">
      <c r="H1011" s="168"/>
      <c r="I1011" s="168"/>
      <c r="K1011" s="168"/>
    </row>
    <row r="1012" spans="8:11" ht="15.75" customHeight="1" x14ac:dyDescent="0.25">
      <c r="H1012" s="168"/>
      <c r="I1012" s="168"/>
      <c r="K1012" s="168"/>
    </row>
    <row r="1013" spans="8:11" ht="15.75" customHeight="1" x14ac:dyDescent="0.25">
      <c r="H1013" s="168"/>
      <c r="I1013" s="168"/>
      <c r="K1013" s="168"/>
    </row>
    <row r="1014" spans="8:11" ht="15.75" customHeight="1" x14ac:dyDescent="0.25">
      <c r="H1014" s="168"/>
      <c r="I1014" s="168"/>
      <c r="K1014" s="16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53"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86"/>
  <sheetViews>
    <sheetView view="pageBreakPreview" zoomScale="130" zoomScaleNormal="100" zoomScaleSheetLayoutView="130" workbookViewId="0">
      <selection activeCell="A6" sqref="A6"/>
    </sheetView>
  </sheetViews>
  <sheetFormatPr defaultColWidth="14.42578125" defaultRowHeight="15" customHeight="1" x14ac:dyDescent="0.25"/>
  <cols>
    <col min="1" max="1" width="79.85546875" customWidth="1"/>
    <col min="2" max="2" width="16.7109375" customWidth="1"/>
    <col min="3" max="6" width="18.85546875" hidden="1" customWidth="1"/>
    <col min="7" max="7" width="18.85546875" customWidth="1"/>
    <col min="8" max="8" width="13.42578125" customWidth="1"/>
    <col min="9" max="9" width="13.7109375" customWidth="1"/>
    <col min="10" max="10" width="16.85546875" customWidth="1"/>
    <col min="11" max="11" width="13" customWidth="1"/>
    <col min="12" max="26" width="10.28515625" customWidth="1"/>
  </cols>
  <sheetData>
    <row r="1" spans="1:26" ht="15.75" customHeight="1" x14ac:dyDescent="0.25">
      <c r="A1" s="9"/>
      <c r="B1" s="10"/>
      <c r="C1" s="11"/>
      <c r="D1" s="11"/>
      <c r="E1" s="11"/>
      <c r="F1" s="10"/>
      <c r="G1" s="13"/>
      <c r="H1" s="14"/>
      <c r="I1" s="387"/>
      <c r="J1" s="387"/>
      <c r="K1" s="387"/>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387"/>
      <c r="J2" s="387"/>
      <c r="K2" s="387"/>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387"/>
      <c r="J3" s="387"/>
      <c r="K3" s="387"/>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387"/>
      <c r="J4" s="387"/>
      <c r="K4" s="387"/>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387"/>
      <c r="J5" s="387"/>
      <c r="K5" s="387"/>
      <c r="L5" s="15"/>
      <c r="M5" s="15"/>
      <c r="N5" s="15"/>
      <c r="O5" s="15"/>
      <c r="P5" s="15"/>
      <c r="Q5" s="15"/>
      <c r="R5" s="15"/>
      <c r="S5" s="15"/>
      <c r="T5" s="15"/>
      <c r="U5" s="15"/>
      <c r="V5" s="15"/>
      <c r="W5" s="15"/>
      <c r="X5" s="15"/>
      <c r="Y5" s="15"/>
      <c r="Z5" s="15"/>
    </row>
    <row r="6" spans="1:26" ht="15.75" customHeight="1" x14ac:dyDescent="0.25">
      <c r="A6" s="17" t="s">
        <v>2284</v>
      </c>
      <c r="B6" s="24"/>
      <c r="C6" s="25"/>
      <c r="D6" s="25"/>
      <c r="E6" s="25"/>
      <c r="F6" s="24"/>
      <c r="G6" s="19"/>
      <c r="H6" s="14"/>
      <c r="I6" s="387"/>
      <c r="J6" s="387"/>
      <c r="K6" s="387"/>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387"/>
      <c r="J7" s="387"/>
      <c r="K7" s="387"/>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387"/>
      <c r="J8" s="387"/>
      <c r="K8" s="387"/>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387"/>
      <c r="J9" s="387"/>
      <c r="K9" s="387"/>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387"/>
      <c r="J10" s="387"/>
      <c r="K10" s="387"/>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387"/>
      <c r="J11" s="387"/>
      <c r="K11" s="387"/>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387"/>
      <c r="J12" s="387"/>
      <c r="K12" s="387"/>
      <c r="L12" s="15"/>
      <c r="M12" s="15"/>
      <c r="N12" s="15"/>
      <c r="O12" s="15"/>
      <c r="P12" s="15"/>
      <c r="Q12" s="15"/>
      <c r="R12" s="15"/>
      <c r="S12" s="15"/>
      <c r="T12" s="15"/>
      <c r="U12" s="15"/>
      <c r="V12" s="15"/>
      <c r="W12" s="15"/>
      <c r="X12" s="15"/>
      <c r="Y12" s="15"/>
      <c r="Z12" s="15"/>
    </row>
    <row r="13" spans="1:26" ht="15.75" customHeight="1" x14ac:dyDescent="0.25">
      <c r="A13" s="17" t="s">
        <v>364</v>
      </c>
      <c r="B13" s="172"/>
      <c r="C13" s="17"/>
      <c r="D13" s="42"/>
      <c r="E13" s="19"/>
      <c r="F13" s="42"/>
      <c r="G13" s="19"/>
      <c r="I13" s="388"/>
      <c r="J13" s="389"/>
      <c r="K13" s="388"/>
    </row>
    <row r="14" spans="1:26" ht="15.75" customHeight="1" x14ac:dyDescent="0.25">
      <c r="A14" s="17" t="s">
        <v>365</v>
      </c>
      <c r="B14" s="172"/>
      <c r="C14" s="42"/>
      <c r="D14" s="42"/>
      <c r="E14" s="42"/>
      <c r="F14" s="42"/>
      <c r="G14" s="42"/>
      <c r="I14" s="388"/>
      <c r="J14" s="389"/>
      <c r="K14" s="388"/>
    </row>
    <row r="15" spans="1:26" ht="15.75" customHeight="1" x14ac:dyDescent="0.25">
      <c r="A15" s="17" t="s">
        <v>366</v>
      </c>
      <c r="B15" s="172"/>
      <c r="C15" s="42"/>
      <c r="D15" s="42"/>
      <c r="E15" s="42"/>
      <c r="F15" s="42"/>
      <c r="G15" s="42"/>
      <c r="I15" s="388"/>
      <c r="J15" s="389"/>
      <c r="K15" s="388"/>
    </row>
    <row r="16" spans="1:26" ht="15.75" customHeight="1" x14ac:dyDescent="0.25">
      <c r="A16" s="44" t="s">
        <v>367</v>
      </c>
      <c r="B16" s="41" t="s">
        <v>121</v>
      </c>
      <c r="C16" s="43">
        <v>43147186.979999997</v>
      </c>
      <c r="D16" s="43">
        <v>21678663.609999999</v>
      </c>
      <c r="E16" s="43">
        <f>F16-D16</f>
        <v>30902684.390000001</v>
      </c>
      <c r="F16" s="43">
        <v>52581348</v>
      </c>
      <c r="G16" s="43">
        <v>54916872</v>
      </c>
      <c r="I16" s="388"/>
      <c r="J16" s="389"/>
      <c r="K16" s="388"/>
    </row>
    <row r="17" spans="1:26" ht="15.75" customHeight="1" x14ac:dyDescent="0.25">
      <c r="A17" s="17" t="s">
        <v>368</v>
      </c>
      <c r="B17" s="41"/>
      <c r="C17" s="43"/>
      <c r="D17" s="43"/>
      <c r="E17" s="43"/>
      <c r="F17" s="43"/>
      <c r="G17" s="43"/>
      <c r="I17" s="388"/>
      <c r="J17" s="389"/>
      <c r="K17" s="388"/>
    </row>
    <row r="18" spans="1:26" ht="15.75" customHeight="1" x14ac:dyDescent="0.25">
      <c r="A18" s="44" t="s">
        <v>369</v>
      </c>
      <c r="B18" s="41" t="s">
        <v>125</v>
      </c>
      <c r="C18" s="43">
        <v>2804731.51</v>
      </c>
      <c r="D18" s="43">
        <v>1378801.72</v>
      </c>
      <c r="E18" s="43">
        <f t="shared" ref="E18:E23" si="0">F18-D18</f>
        <v>1981198.28</v>
      </c>
      <c r="F18" s="43">
        <v>3360000</v>
      </c>
      <c r="G18" s="43">
        <v>3360000</v>
      </c>
      <c r="H18" s="15"/>
      <c r="I18" s="387"/>
      <c r="J18" s="387"/>
      <c r="K18" s="387"/>
      <c r="L18" s="15"/>
      <c r="M18" s="15"/>
      <c r="N18" s="15"/>
      <c r="O18" s="15"/>
      <c r="P18" s="15"/>
      <c r="Q18" s="15"/>
      <c r="R18" s="15"/>
      <c r="S18" s="15"/>
      <c r="T18" s="15"/>
      <c r="U18" s="15"/>
      <c r="V18" s="15"/>
      <c r="W18" s="15"/>
      <c r="X18" s="15"/>
      <c r="Y18" s="15"/>
      <c r="Z18" s="15"/>
    </row>
    <row r="19" spans="1:26" ht="15.75" customHeight="1" x14ac:dyDescent="0.25">
      <c r="A19" s="44" t="s">
        <v>370</v>
      </c>
      <c r="B19" s="41" t="s">
        <v>127</v>
      </c>
      <c r="C19" s="43">
        <v>216000</v>
      </c>
      <c r="D19" s="43">
        <v>96375</v>
      </c>
      <c r="E19" s="43">
        <f t="shared" si="0"/>
        <v>119625</v>
      </c>
      <c r="F19" s="43">
        <v>216000</v>
      </c>
      <c r="G19" s="43">
        <v>216000</v>
      </c>
      <c r="H19" s="15"/>
      <c r="I19" s="387"/>
      <c r="J19" s="387"/>
      <c r="K19" s="387"/>
      <c r="L19" s="15"/>
      <c r="M19" s="15"/>
      <c r="N19" s="15"/>
      <c r="O19" s="15"/>
      <c r="P19" s="15"/>
      <c r="Q19" s="15"/>
      <c r="R19" s="15"/>
      <c r="S19" s="15"/>
      <c r="T19" s="15"/>
      <c r="U19" s="15"/>
      <c r="V19" s="15"/>
      <c r="W19" s="15"/>
      <c r="X19" s="15"/>
      <c r="Y19" s="15"/>
      <c r="Z19" s="15"/>
    </row>
    <row r="20" spans="1:26" ht="15.75" customHeight="1" x14ac:dyDescent="0.25">
      <c r="A20" s="44" t="s">
        <v>371</v>
      </c>
      <c r="B20" s="41" t="s">
        <v>372</v>
      </c>
      <c r="C20" s="43">
        <v>216000</v>
      </c>
      <c r="D20" s="43">
        <v>47500</v>
      </c>
      <c r="E20" s="43">
        <f t="shared" si="0"/>
        <v>168500</v>
      </c>
      <c r="F20" s="43">
        <v>216000</v>
      </c>
      <c r="G20" s="43">
        <v>216000</v>
      </c>
      <c r="H20" s="15"/>
      <c r="I20" s="387"/>
      <c r="J20" s="387"/>
      <c r="K20" s="387"/>
      <c r="L20" s="15"/>
      <c r="M20" s="15"/>
      <c r="N20" s="15"/>
      <c r="O20" s="15"/>
      <c r="P20" s="15"/>
      <c r="Q20" s="15"/>
      <c r="R20" s="15"/>
      <c r="S20" s="15"/>
      <c r="T20" s="15"/>
      <c r="U20" s="15"/>
      <c r="V20" s="15"/>
      <c r="W20" s="15"/>
      <c r="X20" s="15"/>
      <c r="Y20" s="15"/>
      <c r="Z20" s="15"/>
    </row>
    <row r="21" spans="1:26" ht="15.75" customHeight="1" x14ac:dyDescent="0.25">
      <c r="A21" s="44" t="s">
        <v>373</v>
      </c>
      <c r="B21" s="41" t="s">
        <v>131</v>
      </c>
      <c r="C21" s="43">
        <v>826000</v>
      </c>
      <c r="D21" s="43">
        <v>805000</v>
      </c>
      <c r="E21" s="43">
        <f t="shared" si="0"/>
        <v>175000</v>
      </c>
      <c r="F21" s="43">
        <v>980000</v>
      </c>
      <c r="G21" s="43">
        <v>980000</v>
      </c>
      <c r="H21" s="15"/>
      <c r="I21" s="387"/>
      <c r="J21" s="387"/>
      <c r="K21" s="387"/>
      <c r="L21" s="15"/>
      <c r="M21" s="15"/>
      <c r="N21" s="15"/>
      <c r="O21" s="15"/>
      <c r="P21" s="15"/>
      <c r="Q21" s="15"/>
      <c r="R21" s="15"/>
      <c r="S21" s="15"/>
      <c r="T21" s="15"/>
      <c r="U21" s="15"/>
      <c r="V21" s="15"/>
      <c r="W21" s="15"/>
      <c r="X21" s="15"/>
      <c r="Y21" s="15"/>
      <c r="Z21" s="15"/>
    </row>
    <row r="22" spans="1:26" ht="15.75" customHeight="1" x14ac:dyDescent="0.25">
      <c r="A22" s="44" t="s">
        <v>374</v>
      </c>
      <c r="B22" s="41" t="s">
        <v>151</v>
      </c>
      <c r="C22" s="43">
        <v>3787612.95</v>
      </c>
      <c r="D22" s="43">
        <v>17180</v>
      </c>
      <c r="E22" s="43">
        <f t="shared" si="0"/>
        <v>4364599</v>
      </c>
      <c r="F22" s="43">
        <v>4381779</v>
      </c>
      <c r="G22" s="43">
        <v>4576406</v>
      </c>
      <c r="H22" s="15"/>
      <c r="I22" s="387"/>
      <c r="J22" s="387"/>
      <c r="K22" s="387"/>
      <c r="L22" s="15"/>
      <c r="M22" s="15"/>
      <c r="N22" s="15"/>
      <c r="O22" s="15"/>
      <c r="P22" s="15"/>
      <c r="Q22" s="15"/>
      <c r="R22" s="15"/>
      <c r="S22" s="15"/>
      <c r="T22" s="15"/>
      <c r="U22" s="15"/>
      <c r="V22" s="15"/>
      <c r="W22" s="15"/>
      <c r="X22" s="15"/>
      <c r="Y22" s="15"/>
      <c r="Z22" s="15"/>
    </row>
    <row r="23" spans="1:26" ht="15.75" customHeight="1" x14ac:dyDescent="0.25">
      <c r="A23" s="44" t="s">
        <v>375</v>
      </c>
      <c r="B23" s="41" t="s">
        <v>153</v>
      </c>
      <c r="C23" s="43">
        <v>591250</v>
      </c>
      <c r="D23" s="43">
        <v>5000</v>
      </c>
      <c r="E23" s="43">
        <f t="shared" si="0"/>
        <v>695000</v>
      </c>
      <c r="F23" s="43">
        <v>700000</v>
      </c>
      <c r="G23" s="43">
        <v>700000</v>
      </c>
      <c r="H23" s="15"/>
      <c r="I23" s="387"/>
      <c r="J23" s="387"/>
      <c r="K23" s="387"/>
      <c r="L23" s="15"/>
      <c r="M23" s="15"/>
      <c r="N23" s="15"/>
      <c r="O23" s="15"/>
      <c r="P23" s="15"/>
      <c r="Q23" s="15"/>
      <c r="R23" s="15"/>
      <c r="S23" s="15"/>
      <c r="T23" s="15"/>
      <c r="U23" s="15"/>
      <c r="V23" s="15"/>
      <c r="W23" s="15"/>
      <c r="X23" s="15"/>
      <c r="Y23" s="15"/>
      <c r="Z23" s="15"/>
    </row>
    <row r="24" spans="1:26" ht="15.75" customHeight="1" x14ac:dyDescent="0.25">
      <c r="A24" s="44" t="s">
        <v>376</v>
      </c>
      <c r="B24" s="41" t="s">
        <v>155</v>
      </c>
      <c r="C24" s="43"/>
      <c r="D24" s="43"/>
      <c r="E24" s="43"/>
      <c r="F24" s="43"/>
      <c r="G24" s="43"/>
      <c r="H24" s="15"/>
      <c r="I24" s="387"/>
      <c r="J24" s="387"/>
      <c r="K24" s="387"/>
      <c r="L24" s="15"/>
      <c r="M24" s="15"/>
      <c r="N24" s="15"/>
      <c r="O24" s="15"/>
      <c r="P24" s="15"/>
      <c r="Q24" s="15"/>
      <c r="R24" s="15"/>
      <c r="S24" s="15"/>
      <c r="T24" s="15"/>
      <c r="U24" s="15"/>
      <c r="V24" s="15"/>
      <c r="W24" s="15"/>
      <c r="X24" s="15"/>
      <c r="Y24" s="15"/>
      <c r="Z24" s="15"/>
    </row>
    <row r="25" spans="1:26" ht="15.75" customHeight="1" x14ac:dyDescent="0.25">
      <c r="A25" s="44" t="s">
        <v>377</v>
      </c>
      <c r="B25" s="41" t="s">
        <v>157</v>
      </c>
      <c r="C25" s="43">
        <v>25000</v>
      </c>
      <c r="D25" s="43">
        <v>25000</v>
      </c>
      <c r="E25" s="43">
        <f t="shared" ref="E25:E27" si="1">F25-D25</f>
        <v>60000</v>
      </c>
      <c r="F25" s="43">
        <v>85000</v>
      </c>
      <c r="G25" s="43">
        <v>135000</v>
      </c>
      <c r="H25" s="15"/>
      <c r="I25" s="387"/>
      <c r="J25" s="387"/>
      <c r="K25" s="387"/>
      <c r="L25" s="15"/>
      <c r="M25" s="15"/>
      <c r="N25" s="15"/>
      <c r="O25" s="15"/>
      <c r="P25" s="15"/>
      <c r="Q25" s="15"/>
      <c r="R25" s="15"/>
      <c r="S25" s="15"/>
      <c r="T25" s="15"/>
      <c r="U25" s="15"/>
      <c r="V25" s="15"/>
      <c r="W25" s="15"/>
      <c r="X25" s="15"/>
      <c r="Y25" s="15"/>
      <c r="Z25" s="15"/>
    </row>
    <row r="26" spans="1:26" ht="15.75" customHeight="1" x14ac:dyDescent="0.25">
      <c r="A26" s="44" t="s">
        <v>1227</v>
      </c>
      <c r="B26" s="41" t="s">
        <v>159</v>
      </c>
      <c r="C26" s="43">
        <v>0</v>
      </c>
      <c r="D26" s="43">
        <v>327000</v>
      </c>
      <c r="E26" s="43">
        <f t="shared" si="1"/>
        <v>93000</v>
      </c>
      <c r="F26" s="43">
        <v>420000</v>
      </c>
      <c r="G26" s="43">
        <v>0</v>
      </c>
      <c r="H26" s="15"/>
      <c r="I26" s="387"/>
      <c r="J26" s="387"/>
      <c r="K26" s="387"/>
      <c r="L26" s="15"/>
      <c r="M26" s="15"/>
      <c r="N26" s="15"/>
      <c r="O26" s="15"/>
      <c r="P26" s="15"/>
      <c r="Q26" s="15"/>
      <c r="R26" s="15"/>
      <c r="S26" s="15"/>
      <c r="T26" s="15"/>
      <c r="U26" s="15"/>
      <c r="V26" s="15"/>
      <c r="W26" s="15"/>
      <c r="X26" s="15"/>
      <c r="Y26" s="15"/>
      <c r="Z26" s="15"/>
    </row>
    <row r="27" spans="1:26" ht="15.75" customHeight="1" x14ac:dyDescent="0.25">
      <c r="A27" s="44" t="s">
        <v>379</v>
      </c>
      <c r="B27" s="41" t="s">
        <v>161</v>
      </c>
      <c r="C27" s="43">
        <v>3424704</v>
      </c>
      <c r="D27" s="43">
        <v>3576879</v>
      </c>
      <c r="E27" s="43">
        <f t="shared" si="1"/>
        <v>804900</v>
      </c>
      <c r="F27" s="43">
        <v>4381779</v>
      </c>
      <c r="G27" s="43">
        <v>4576406</v>
      </c>
      <c r="H27" s="15"/>
      <c r="I27" s="387"/>
      <c r="J27" s="387"/>
      <c r="K27" s="387"/>
      <c r="L27" s="15"/>
      <c r="M27" s="15"/>
      <c r="N27" s="15"/>
      <c r="O27" s="15"/>
      <c r="P27" s="15"/>
      <c r="Q27" s="15"/>
      <c r="R27" s="15"/>
      <c r="S27" s="15"/>
      <c r="T27" s="15"/>
      <c r="U27" s="15"/>
      <c r="V27" s="15"/>
      <c r="W27" s="15"/>
      <c r="X27" s="15"/>
      <c r="Y27" s="15"/>
      <c r="Z27" s="15"/>
    </row>
    <row r="28" spans="1:26" ht="15.75" customHeight="1" x14ac:dyDescent="0.25">
      <c r="A28" s="17" t="s">
        <v>380</v>
      </c>
      <c r="B28" s="41"/>
      <c r="C28" s="43"/>
      <c r="D28" s="43"/>
      <c r="E28" s="43"/>
      <c r="F28" s="43"/>
      <c r="G28" s="43"/>
      <c r="H28" s="15"/>
      <c r="I28" s="387"/>
      <c r="J28" s="387"/>
      <c r="K28" s="387"/>
      <c r="L28" s="15"/>
      <c r="M28" s="15"/>
      <c r="N28" s="15"/>
      <c r="O28" s="15"/>
      <c r="P28" s="15"/>
      <c r="Q28" s="15"/>
      <c r="R28" s="15"/>
      <c r="S28" s="15"/>
      <c r="T28" s="15"/>
      <c r="U28" s="15"/>
      <c r="V28" s="15"/>
      <c r="W28" s="15"/>
      <c r="X28" s="15"/>
      <c r="Y28" s="15"/>
      <c r="Z28" s="15"/>
    </row>
    <row r="29" spans="1:26" ht="15.75" customHeight="1" x14ac:dyDescent="0.25">
      <c r="A29" s="44" t="s">
        <v>381</v>
      </c>
      <c r="B29" s="41" t="s">
        <v>165</v>
      </c>
      <c r="C29" s="43">
        <v>5184113.54</v>
      </c>
      <c r="D29" s="43">
        <v>2606242.36</v>
      </c>
      <c r="E29" s="43">
        <f t="shared" ref="E29:E32" si="2">F29-D29</f>
        <v>3703519.64</v>
      </c>
      <c r="F29" s="43">
        <v>6309762</v>
      </c>
      <c r="G29" s="43">
        <v>6590025</v>
      </c>
      <c r="H29" s="15"/>
      <c r="I29" s="387"/>
      <c r="J29" s="387"/>
      <c r="K29" s="387"/>
      <c r="L29" s="15"/>
      <c r="M29" s="15"/>
      <c r="N29" s="15"/>
      <c r="O29" s="15"/>
      <c r="P29" s="15"/>
      <c r="Q29" s="15"/>
      <c r="R29" s="15"/>
      <c r="S29" s="15"/>
      <c r="T29" s="15"/>
      <c r="U29" s="15"/>
      <c r="V29" s="15"/>
      <c r="W29" s="15"/>
      <c r="X29" s="15"/>
      <c r="Y29" s="15"/>
      <c r="Z29" s="15"/>
    </row>
    <row r="30" spans="1:26" ht="15.75" customHeight="1" x14ac:dyDescent="0.25">
      <c r="A30" s="44" t="s">
        <v>382</v>
      </c>
      <c r="B30" s="41" t="s">
        <v>167</v>
      </c>
      <c r="C30" s="43">
        <v>864018.89</v>
      </c>
      <c r="D30" s="43">
        <v>434702.22</v>
      </c>
      <c r="E30" s="43">
        <f t="shared" si="2"/>
        <v>616924.78</v>
      </c>
      <c r="F30" s="43">
        <v>1051627</v>
      </c>
      <c r="G30" s="43">
        <v>1098338</v>
      </c>
      <c r="H30" s="15"/>
      <c r="I30" s="387"/>
      <c r="J30" s="387"/>
      <c r="K30" s="387"/>
      <c r="L30" s="15"/>
      <c r="M30" s="15"/>
      <c r="N30" s="15"/>
      <c r="O30" s="15"/>
      <c r="P30" s="15"/>
      <c r="Q30" s="15"/>
      <c r="R30" s="15"/>
      <c r="S30" s="15"/>
      <c r="T30" s="15"/>
      <c r="U30" s="15"/>
      <c r="V30" s="15"/>
      <c r="W30" s="15"/>
      <c r="X30" s="15"/>
      <c r="Y30" s="15"/>
      <c r="Z30" s="15"/>
    </row>
    <row r="31" spans="1:26" ht="15.75" customHeight="1" x14ac:dyDescent="0.25">
      <c r="A31" s="44" t="s">
        <v>383</v>
      </c>
      <c r="B31" s="41" t="s">
        <v>169</v>
      </c>
      <c r="C31" s="43">
        <v>1073414.95</v>
      </c>
      <c r="D31" s="43">
        <v>542895.29</v>
      </c>
      <c r="E31" s="43">
        <f t="shared" si="2"/>
        <v>764163.71</v>
      </c>
      <c r="F31" s="43">
        <v>1307059</v>
      </c>
      <c r="G31" s="43">
        <v>1364725</v>
      </c>
      <c r="H31" s="15"/>
      <c r="I31" s="387"/>
      <c r="J31" s="387"/>
      <c r="K31" s="387"/>
      <c r="L31" s="15"/>
      <c r="M31" s="15"/>
      <c r="N31" s="15"/>
      <c r="O31" s="15"/>
      <c r="P31" s="15"/>
      <c r="Q31" s="15"/>
      <c r="R31" s="15"/>
      <c r="S31" s="15"/>
      <c r="T31" s="15"/>
      <c r="U31" s="15"/>
      <c r="V31" s="15"/>
      <c r="W31" s="15"/>
      <c r="X31" s="15"/>
      <c r="Y31" s="15"/>
      <c r="Z31" s="15"/>
    </row>
    <row r="32" spans="1:26" ht="15.75" customHeight="1" x14ac:dyDescent="0.25">
      <c r="A32" s="44" t="s">
        <v>384</v>
      </c>
      <c r="B32" s="41" t="s">
        <v>171</v>
      </c>
      <c r="C32" s="43">
        <v>140800</v>
      </c>
      <c r="D32" s="43">
        <v>69300</v>
      </c>
      <c r="E32" s="43">
        <f t="shared" si="2"/>
        <v>98700</v>
      </c>
      <c r="F32" s="45">
        <v>168000</v>
      </c>
      <c r="G32" s="45">
        <v>168000</v>
      </c>
      <c r="H32" s="15"/>
      <c r="I32" s="387"/>
      <c r="J32" s="387"/>
      <c r="K32" s="387"/>
      <c r="L32" s="15"/>
      <c r="M32" s="15"/>
      <c r="N32" s="15"/>
      <c r="O32" s="15"/>
      <c r="P32" s="15"/>
      <c r="Q32" s="15"/>
      <c r="R32" s="15"/>
      <c r="S32" s="15"/>
      <c r="T32" s="15"/>
      <c r="U32" s="15"/>
      <c r="V32" s="15"/>
      <c r="W32" s="15"/>
      <c r="X32" s="15"/>
      <c r="Y32" s="15"/>
      <c r="Z32" s="15"/>
    </row>
    <row r="33" spans="1:26" ht="15.75" customHeight="1" x14ac:dyDescent="0.25">
      <c r="A33" s="17" t="s">
        <v>624</v>
      </c>
      <c r="B33" s="41"/>
      <c r="C33" s="43"/>
      <c r="D33" s="43"/>
      <c r="E33" s="43"/>
      <c r="F33" s="43"/>
      <c r="G33" s="43"/>
      <c r="H33" s="15"/>
      <c r="I33" s="387"/>
      <c r="J33" s="387"/>
      <c r="K33" s="387"/>
      <c r="L33" s="15"/>
      <c r="M33" s="15"/>
      <c r="N33" s="15"/>
      <c r="O33" s="15"/>
      <c r="P33" s="15"/>
      <c r="Q33" s="15"/>
      <c r="R33" s="15"/>
      <c r="S33" s="15"/>
      <c r="T33" s="15"/>
      <c r="U33" s="15"/>
      <c r="V33" s="15"/>
      <c r="W33" s="15"/>
      <c r="X33" s="15"/>
      <c r="Y33" s="15"/>
      <c r="Z33" s="15"/>
    </row>
    <row r="34" spans="1:26" ht="15.75" customHeight="1" x14ac:dyDescent="0.25">
      <c r="A34" s="44" t="s">
        <v>386</v>
      </c>
      <c r="B34" s="41" t="s">
        <v>179</v>
      </c>
      <c r="C34" s="43">
        <v>178503.67</v>
      </c>
      <c r="D34" s="43">
        <v>1952339.05</v>
      </c>
      <c r="E34" s="43">
        <f t="shared" ref="E34:E36" si="3">F34-D34</f>
        <v>231372.94999999995</v>
      </c>
      <c r="F34" s="43">
        <v>2183712</v>
      </c>
      <c r="G34" s="43">
        <v>2985371</v>
      </c>
      <c r="H34" s="15"/>
      <c r="I34" s="387"/>
      <c r="J34" s="387"/>
      <c r="K34" s="387"/>
      <c r="L34" s="15"/>
      <c r="M34" s="15"/>
      <c r="N34" s="15"/>
      <c r="O34" s="15"/>
      <c r="P34" s="15"/>
      <c r="Q34" s="15"/>
      <c r="R34" s="15"/>
      <c r="S34" s="15"/>
      <c r="T34" s="15"/>
      <c r="U34" s="15"/>
      <c r="V34" s="15"/>
      <c r="W34" s="15"/>
      <c r="X34" s="15"/>
      <c r="Y34" s="15"/>
      <c r="Z34" s="15"/>
    </row>
    <row r="35" spans="1:26" ht="15.75" customHeight="1" x14ac:dyDescent="0.25">
      <c r="A35" s="44" t="s">
        <v>387</v>
      </c>
      <c r="B35" s="41" t="s">
        <v>181</v>
      </c>
      <c r="C35" s="43">
        <v>970848.58</v>
      </c>
      <c r="D35" s="43">
        <v>1062572.53</v>
      </c>
      <c r="E35" s="43">
        <f t="shared" si="3"/>
        <v>1049125.47</v>
      </c>
      <c r="F35" s="43">
        <v>2111698</v>
      </c>
      <c r="G35" s="43">
        <v>2205494</v>
      </c>
      <c r="H35" s="15"/>
      <c r="I35" s="387"/>
      <c r="J35" s="387"/>
      <c r="K35" s="387"/>
      <c r="L35" s="15"/>
      <c r="M35" s="15"/>
      <c r="N35" s="15"/>
      <c r="O35" s="15"/>
      <c r="P35" s="15"/>
      <c r="Q35" s="15"/>
      <c r="R35" s="15"/>
      <c r="S35" s="15"/>
      <c r="T35" s="15"/>
      <c r="U35" s="15"/>
      <c r="V35" s="15"/>
      <c r="W35" s="15"/>
      <c r="X35" s="15"/>
      <c r="Y35" s="15"/>
      <c r="Z35" s="15"/>
    </row>
    <row r="36" spans="1:26" ht="15.75" customHeight="1" x14ac:dyDescent="0.25">
      <c r="A36" s="44" t="s">
        <v>388</v>
      </c>
      <c r="B36" s="41" t="s">
        <v>183</v>
      </c>
      <c r="C36" s="43">
        <v>589500</v>
      </c>
      <c r="D36" s="43">
        <v>0</v>
      </c>
      <c r="E36" s="43">
        <f t="shared" si="3"/>
        <v>700000</v>
      </c>
      <c r="F36" s="43">
        <v>700000</v>
      </c>
      <c r="G36" s="43">
        <v>700000</v>
      </c>
      <c r="H36" s="15"/>
      <c r="I36" s="387"/>
      <c r="J36" s="387"/>
      <c r="K36" s="387"/>
      <c r="L36" s="15"/>
      <c r="M36" s="15"/>
      <c r="N36" s="15"/>
      <c r="O36" s="15"/>
      <c r="P36" s="15"/>
      <c r="Q36" s="15"/>
      <c r="R36" s="15"/>
      <c r="S36" s="15"/>
      <c r="T36" s="15"/>
      <c r="U36" s="15"/>
      <c r="V36" s="15"/>
      <c r="W36" s="15"/>
      <c r="X36" s="15"/>
      <c r="Y36" s="15"/>
      <c r="Z36" s="15"/>
    </row>
    <row r="37" spans="1:26" ht="31.5" x14ac:dyDescent="0.25">
      <c r="A37" s="117" t="s">
        <v>625</v>
      </c>
      <c r="B37" s="41"/>
      <c r="C37" s="43">
        <v>0</v>
      </c>
      <c r="D37" s="43">
        <v>0</v>
      </c>
      <c r="E37" s="43">
        <v>0</v>
      </c>
      <c r="F37" s="43">
        <v>0</v>
      </c>
      <c r="G37" s="43">
        <v>1530881</v>
      </c>
      <c r="H37" s="15"/>
      <c r="I37" s="387"/>
      <c r="J37" s="387"/>
      <c r="K37" s="387"/>
      <c r="L37" s="15"/>
      <c r="M37" s="15"/>
      <c r="N37" s="15"/>
      <c r="O37" s="15"/>
      <c r="P37" s="15"/>
      <c r="Q37" s="15"/>
      <c r="R37" s="15"/>
      <c r="S37" s="15"/>
      <c r="T37" s="15"/>
      <c r="U37" s="15"/>
      <c r="V37" s="15"/>
      <c r="W37" s="15"/>
      <c r="X37" s="15"/>
      <c r="Y37" s="15"/>
      <c r="Z37" s="15"/>
    </row>
    <row r="38" spans="1:26" ht="15.75" customHeight="1" x14ac:dyDescent="0.25">
      <c r="A38" s="42" t="s">
        <v>632</v>
      </c>
      <c r="B38" s="49"/>
      <c r="C38" s="79">
        <f t="shared" ref="C38:G38" si="4">SUM(C16:C37)</f>
        <v>64039685.07</v>
      </c>
      <c r="D38" s="54">
        <f t="shared" si="4"/>
        <v>34625450.779999994</v>
      </c>
      <c r="E38" s="54">
        <f t="shared" si="4"/>
        <v>46528313.220000006</v>
      </c>
      <c r="F38" s="54">
        <f t="shared" si="4"/>
        <v>81153764</v>
      </c>
      <c r="G38" s="54">
        <f t="shared" si="4"/>
        <v>86319518</v>
      </c>
      <c r="H38" s="232"/>
      <c r="I38" s="390"/>
      <c r="J38" s="390"/>
      <c r="K38" s="390"/>
      <c r="L38" s="232"/>
      <c r="M38" s="232"/>
      <c r="N38" s="232"/>
      <c r="O38" s="232"/>
      <c r="P38" s="232"/>
      <c r="Q38" s="232"/>
      <c r="R38" s="232"/>
      <c r="S38" s="232"/>
      <c r="T38" s="232"/>
      <c r="U38" s="232"/>
      <c r="V38" s="232"/>
      <c r="W38" s="232"/>
      <c r="X38" s="232"/>
      <c r="Y38" s="232"/>
      <c r="Z38" s="232"/>
    </row>
    <row r="39" spans="1:26" ht="15.75" customHeight="1" x14ac:dyDescent="0.25">
      <c r="A39" s="486"/>
      <c r="B39" s="487"/>
      <c r="C39" s="449"/>
      <c r="D39" s="448"/>
      <c r="E39" s="448"/>
      <c r="F39" s="448"/>
      <c r="G39" s="448"/>
      <c r="H39" s="515"/>
      <c r="I39" s="587"/>
      <c r="J39" s="587"/>
      <c r="K39" s="587"/>
      <c r="L39" s="515"/>
      <c r="M39" s="515"/>
      <c r="N39" s="515"/>
      <c r="O39" s="515"/>
      <c r="P39" s="515"/>
      <c r="Q39" s="515"/>
      <c r="R39" s="515"/>
      <c r="S39" s="515"/>
      <c r="T39" s="515"/>
      <c r="U39" s="515"/>
      <c r="V39" s="515"/>
      <c r="W39" s="515"/>
      <c r="X39" s="515"/>
      <c r="Y39" s="515"/>
      <c r="Z39" s="515"/>
    </row>
    <row r="40" spans="1:26" ht="15.75" customHeight="1" x14ac:dyDescent="0.25">
      <c r="A40" s="456" t="s">
        <v>391</v>
      </c>
      <c r="B40" s="454"/>
      <c r="C40" s="454"/>
      <c r="D40" s="443"/>
      <c r="E40" s="443"/>
      <c r="F40" s="454"/>
      <c r="G40" s="461"/>
      <c r="H40" s="15"/>
      <c r="I40" s="387"/>
      <c r="J40" s="387"/>
      <c r="K40" s="387"/>
      <c r="L40" s="15"/>
      <c r="M40" s="15"/>
      <c r="N40" s="15"/>
      <c r="O40" s="15"/>
      <c r="P40" s="15"/>
      <c r="Q40" s="15"/>
      <c r="R40" s="15"/>
      <c r="S40" s="15"/>
      <c r="T40" s="15"/>
      <c r="U40" s="15"/>
      <c r="V40" s="15"/>
      <c r="W40" s="15"/>
      <c r="X40" s="15"/>
      <c r="Y40" s="15"/>
      <c r="Z40" s="15"/>
    </row>
    <row r="41" spans="1:26" ht="15.75" customHeight="1" x14ac:dyDescent="0.25">
      <c r="A41" s="17" t="s">
        <v>642</v>
      </c>
      <c r="B41" s="41"/>
      <c r="C41" s="43"/>
      <c r="D41" s="43"/>
      <c r="E41" s="43"/>
      <c r="F41" s="43"/>
      <c r="G41" s="43"/>
      <c r="H41" s="15"/>
      <c r="I41" s="387"/>
      <c r="J41" s="387"/>
      <c r="K41" s="387"/>
      <c r="L41" s="15"/>
      <c r="M41" s="15"/>
      <c r="N41" s="15"/>
      <c r="O41" s="15"/>
      <c r="P41" s="15"/>
      <c r="Q41" s="15"/>
      <c r="R41" s="15"/>
      <c r="S41" s="15"/>
      <c r="T41" s="15"/>
      <c r="U41" s="15"/>
      <c r="V41" s="15"/>
      <c r="W41" s="15"/>
      <c r="X41" s="15"/>
      <c r="Y41" s="15"/>
      <c r="Z41" s="15"/>
    </row>
    <row r="42" spans="1:26" ht="15.75" customHeight="1" x14ac:dyDescent="0.25">
      <c r="A42" s="48" t="s">
        <v>393</v>
      </c>
      <c r="B42" s="49" t="s">
        <v>187</v>
      </c>
      <c r="C42" s="45">
        <v>435992.69</v>
      </c>
      <c r="D42" s="45">
        <v>42789</v>
      </c>
      <c r="E42" s="45">
        <f>F42-D42</f>
        <v>657211</v>
      </c>
      <c r="F42" s="45">
        <v>700000</v>
      </c>
      <c r="G42" s="45">
        <v>700000</v>
      </c>
      <c r="H42" s="15"/>
      <c r="I42" s="387"/>
      <c r="J42" s="387"/>
      <c r="K42" s="387"/>
      <c r="L42" s="15"/>
      <c r="M42" s="15"/>
      <c r="N42" s="15"/>
      <c r="O42" s="15"/>
      <c r="P42" s="15"/>
      <c r="Q42" s="15"/>
      <c r="R42" s="15"/>
      <c r="S42" s="15"/>
      <c r="T42" s="15"/>
      <c r="U42" s="15"/>
      <c r="V42" s="15"/>
      <c r="W42" s="15"/>
      <c r="X42" s="15"/>
      <c r="Y42" s="15"/>
      <c r="Z42" s="15"/>
    </row>
    <row r="43" spans="1:26" ht="15.75" customHeight="1" x14ac:dyDescent="0.25">
      <c r="A43" s="42" t="s">
        <v>493</v>
      </c>
      <c r="B43" s="49"/>
      <c r="C43" s="45"/>
      <c r="D43" s="45"/>
      <c r="E43" s="45"/>
      <c r="F43" s="45"/>
      <c r="G43" s="45"/>
      <c r="H43" s="15"/>
      <c r="I43" s="387"/>
      <c r="J43" s="387"/>
      <c r="K43" s="387"/>
      <c r="L43" s="15"/>
      <c r="M43" s="15"/>
      <c r="N43" s="15"/>
      <c r="O43" s="15"/>
      <c r="P43" s="15"/>
      <c r="Q43" s="15"/>
      <c r="R43" s="15"/>
      <c r="S43" s="15"/>
      <c r="T43" s="15"/>
      <c r="U43" s="15"/>
      <c r="V43" s="15"/>
      <c r="W43" s="15"/>
      <c r="X43" s="15"/>
      <c r="Y43" s="15"/>
      <c r="Z43" s="15"/>
    </row>
    <row r="44" spans="1:26" ht="15.75" customHeight="1" x14ac:dyDescent="0.25">
      <c r="A44" s="44" t="s">
        <v>396</v>
      </c>
      <c r="B44" s="41" t="s">
        <v>191</v>
      </c>
      <c r="C44" s="43">
        <v>951940.97</v>
      </c>
      <c r="D44" s="43">
        <v>783973.96</v>
      </c>
      <c r="E44" s="43">
        <f>F44-D44</f>
        <v>806026.04</v>
      </c>
      <c r="F44" s="43">
        <v>1590000</v>
      </c>
      <c r="G44" s="43">
        <v>2194000</v>
      </c>
      <c r="H44" s="15"/>
      <c r="I44" s="387"/>
      <c r="J44" s="387"/>
      <c r="K44" s="387"/>
      <c r="L44" s="15"/>
      <c r="M44" s="15"/>
      <c r="N44" s="15"/>
      <c r="O44" s="15"/>
      <c r="P44" s="15"/>
      <c r="Q44" s="15"/>
      <c r="R44" s="15"/>
      <c r="S44" s="15"/>
      <c r="T44" s="15"/>
      <c r="U44" s="15"/>
      <c r="V44" s="15"/>
      <c r="W44" s="15"/>
      <c r="X44" s="15"/>
      <c r="Y44" s="15"/>
      <c r="Z44" s="15"/>
    </row>
    <row r="45" spans="1:26" ht="15.75" customHeight="1" x14ac:dyDescent="0.25">
      <c r="A45" s="17" t="s">
        <v>499</v>
      </c>
      <c r="B45" s="41"/>
      <c r="C45" s="43"/>
      <c r="D45" s="43"/>
      <c r="E45" s="43"/>
      <c r="F45" s="43"/>
      <c r="G45" s="43"/>
      <c r="H45" s="15"/>
      <c r="I45" s="387"/>
      <c r="J45" s="387"/>
      <c r="K45" s="387"/>
      <c r="L45" s="15"/>
      <c r="M45" s="15"/>
      <c r="N45" s="15"/>
      <c r="O45" s="15"/>
      <c r="P45" s="15"/>
      <c r="Q45" s="15"/>
      <c r="R45" s="15"/>
      <c r="S45" s="15"/>
      <c r="T45" s="15"/>
      <c r="U45" s="15"/>
      <c r="V45" s="15"/>
      <c r="W45" s="15"/>
      <c r="X45" s="15"/>
      <c r="Y45" s="15"/>
      <c r="Z45" s="15"/>
    </row>
    <row r="46" spans="1:26" ht="15.75" customHeight="1" x14ac:dyDescent="0.25">
      <c r="A46" s="44" t="s">
        <v>398</v>
      </c>
      <c r="B46" s="41" t="s">
        <v>195</v>
      </c>
      <c r="C46" s="43">
        <v>646391.71</v>
      </c>
      <c r="D46" s="43">
        <v>437367.74</v>
      </c>
      <c r="E46" s="43">
        <f t="shared" ref="E46:E47" si="5">F46-D46</f>
        <v>439018.26</v>
      </c>
      <c r="F46" s="43">
        <v>876386</v>
      </c>
      <c r="G46" s="43">
        <v>674705</v>
      </c>
      <c r="H46" s="15"/>
      <c r="I46" s="387"/>
      <c r="J46" s="387"/>
      <c r="K46" s="387"/>
      <c r="L46" s="15"/>
      <c r="M46" s="15"/>
      <c r="N46" s="15"/>
      <c r="O46" s="15"/>
      <c r="P46" s="15"/>
      <c r="Q46" s="15"/>
      <c r="R46" s="15"/>
      <c r="S46" s="15"/>
      <c r="T46" s="15"/>
      <c r="U46" s="15"/>
      <c r="V46" s="15"/>
      <c r="W46" s="15"/>
      <c r="X46" s="15"/>
      <c r="Y46" s="15"/>
      <c r="Z46" s="15"/>
    </row>
    <row r="47" spans="1:26" ht="15.75" customHeight="1" x14ac:dyDescent="0.25">
      <c r="A47" s="44" t="s">
        <v>399</v>
      </c>
      <c r="B47" s="41" t="s">
        <v>211</v>
      </c>
      <c r="C47" s="43">
        <v>71528</v>
      </c>
      <c r="D47" s="43">
        <v>0</v>
      </c>
      <c r="E47" s="43">
        <f t="shared" si="5"/>
        <v>0</v>
      </c>
      <c r="F47" s="43">
        <v>0</v>
      </c>
      <c r="G47" s="43">
        <v>5107467</v>
      </c>
      <c r="H47" s="15"/>
      <c r="I47" s="387"/>
      <c r="J47" s="387"/>
      <c r="K47" s="387"/>
      <c r="L47" s="15"/>
      <c r="M47" s="15"/>
      <c r="N47" s="15"/>
      <c r="O47" s="15"/>
      <c r="P47" s="15"/>
      <c r="Q47" s="15"/>
      <c r="R47" s="15"/>
      <c r="S47" s="15"/>
      <c r="T47" s="15"/>
      <c r="U47" s="15"/>
      <c r="V47" s="15"/>
      <c r="W47" s="15"/>
      <c r="X47" s="15"/>
      <c r="Y47" s="15"/>
      <c r="Z47" s="15"/>
    </row>
    <row r="48" spans="1:26" ht="15.75" customHeight="1" x14ac:dyDescent="0.25">
      <c r="A48" s="391" t="s">
        <v>2285</v>
      </c>
      <c r="B48" s="41"/>
      <c r="C48" s="43"/>
      <c r="D48" s="43"/>
      <c r="E48" s="43"/>
      <c r="F48" s="43"/>
      <c r="G48" s="43"/>
      <c r="H48" s="15"/>
      <c r="I48" s="387"/>
      <c r="J48" s="387"/>
      <c r="K48" s="387"/>
      <c r="L48" s="15"/>
      <c r="M48" s="15"/>
      <c r="N48" s="15"/>
      <c r="O48" s="15"/>
      <c r="P48" s="15"/>
      <c r="Q48" s="15"/>
      <c r="R48" s="15"/>
      <c r="S48" s="15"/>
      <c r="T48" s="15"/>
      <c r="U48" s="15"/>
      <c r="V48" s="15"/>
      <c r="W48" s="15"/>
      <c r="X48" s="15"/>
      <c r="Y48" s="15"/>
      <c r="Z48" s="15"/>
    </row>
    <row r="49" spans="1:26" ht="15.75" customHeight="1" x14ac:dyDescent="0.25">
      <c r="A49" s="391" t="s">
        <v>2286</v>
      </c>
      <c r="B49" s="41"/>
      <c r="C49" s="43"/>
      <c r="D49" s="43"/>
      <c r="E49" s="43"/>
      <c r="F49" s="43"/>
      <c r="G49" s="43"/>
      <c r="H49" s="15"/>
      <c r="I49" s="387"/>
      <c r="J49" s="387"/>
      <c r="K49" s="387"/>
      <c r="L49" s="15"/>
      <c r="M49" s="15"/>
      <c r="N49" s="15"/>
      <c r="O49" s="15"/>
      <c r="P49" s="15"/>
      <c r="Q49" s="15"/>
      <c r="R49" s="15"/>
      <c r="S49" s="15"/>
      <c r="T49" s="15"/>
      <c r="U49" s="15"/>
      <c r="V49" s="15"/>
      <c r="W49" s="15"/>
      <c r="X49" s="15"/>
      <c r="Y49" s="15"/>
      <c r="Z49" s="15"/>
    </row>
    <row r="50" spans="1:26" ht="15.75" customHeight="1" x14ac:dyDescent="0.25">
      <c r="A50" s="391" t="s">
        <v>400</v>
      </c>
      <c r="B50" s="41" t="s">
        <v>221</v>
      </c>
      <c r="C50" s="43">
        <v>0</v>
      </c>
      <c r="D50" s="43">
        <v>818322</v>
      </c>
      <c r="E50" s="43">
        <f t="shared" ref="E50:E52" si="6">F50-D50</f>
        <v>1074285</v>
      </c>
      <c r="F50" s="43">
        <v>1892607</v>
      </c>
      <c r="G50" s="43">
        <v>3613805</v>
      </c>
      <c r="H50" s="15"/>
      <c r="I50" s="387"/>
      <c r="J50" s="387"/>
      <c r="K50" s="387"/>
      <c r="L50" s="15"/>
      <c r="M50" s="15"/>
      <c r="N50" s="15"/>
      <c r="O50" s="15"/>
      <c r="P50" s="15"/>
      <c r="Q50" s="15"/>
      <c r="R50" s="15"/>
      <c r="S50" s="15"/>
      <c r="T50" s="15"/>
      <c r="U50" s="15"/>
      <c r="V50" s="15"/>
      <c r="W50" s="15"/>
      <c r="X50" s="15"/>
      <c r="Y50" s="15"/>
      <c r="Z50" s="15"/>
    </row>
    <row r="51" spans="1:26" ht="15.75" customHeight="1" x14ac:dyDescent="0.25">
      <c r="A51" s="391" t="s">
        <v>538</v>
      </c>
      <c r="B51" s="41" t="s">
        <v>223</v>
      </c>
      <c r="C51" s="43">
        <v>0</v>
      </c>
      <c r="D51" s="43">
        <v>0</v>
      </c>
      <c r="E51" s="43">
        <f t="shared" si="6"/>
        <v>64680</v>
      </c>
      <c r="F51" s="43">
        <v>64680</v>
      </c>
      <c r="G51" s="43">
        <v>168490</v>
      </c>
      <c r="H51" s="15"/>
      <c r="I51" s="387"/>
      <c r="J51" s="387"/>
      <c r="K51" s="387"/>
      <c r="L51" s="15"/>
      <c r="M51" s="15"/>
      <c r="N51" s="15"/>
      <c r="O51" s="15"/>
      <c r="P51" s="15"/>
      <c r="Q51" s="15"/>
      <c r="R51" s="15"/>
      <c r="S51" s="15"/>
      <c r="T51" s="15"/>
      <c r="U51" s="15"/>
      <c r="V51" s="15"/>
      <c r="W51" s="15"/>
      <c r="X51" s="15"/>
      <c r="Y51" s="15"/>
      <c r="Z51" s="15"/>
    </row>
    <row r="52" spans="1:26" ht="15.75" customHeight="1" x14ac:dyDescent="0.25">
      <c r="A52" s="44" t="s">
        <v>402</v>
      </c>
      <c r="B52" s="41" t="s">
        <v>225</v>
      </c>
      <c r="C52" s="43">
        <v>10452253.77</v>
      </c>
      <c r="D52" s="43">
        <v>6371275.75</v>
      </c>
      <c r="E52" s="43">
        <f t="shared" si="6"/>
        <v>3537790.25</v>
      </c>
      <c r="F52" s="43">
        <v>9909066</v>
      </c>
      <c r="G52" s="43">
        <v>23762618</v>
      </c>
      <c r="H52" s="44"/>
      <c r="I52" s="387"/>
      <c r="J52" s="387"/>
      <c r="K52" s="387"/>
      <c r="L52" s="15"/>
      <c r="M52" s="15"/>
      <c r="N52" s="15"/>
      <c r="O52" s="15"/>
      <c r="P52" s="15"/>
      <c r="Q52" s="15"/>
      <c r="R52" s="15"/>
      <c r="S52" s="15"/>
      <c r="T52" s="15"/>
      <c r="U52" s="15"/>
      <c r="V52" s="15"/>
      <c r="W52" s="15"/>
      <c r="X52" s="15"/>
      <c r="Y52" s="15"/>
      <c r="Z52" s="15"/>
    </row>
    <row r="53" spans="1:26" ht="15.75" customHeight="1" x14ac:dyDescent="0.25">
      <c r="A53" s="391" t="s">
        <v>2790</v>
      </c>
      <c r="B53" s="437"/>
      <c r="C53" s="438"/>
      <c r="D53" s="438"/>
      <c r="E53" s="438"/>
      <c r="F53" s="438"/>
      <c r="G53" s="438"/>
      <c r="H53" s="485">
        <v>190479</v>
      </c>
      <c r="I53" s="387">
        <f>+SUM(H53:H65)</f>
        <v>23762618</v>
      </c>
      <c r="J53" s="387"/>
      <c r="K53" s="387"/>
      <c r="L53" s="15"/>
      <c r="M53" s="15"/>
      <c r="N53" s="15"/>
      <c r="O53" s="15"/>
      <c r="P53" s="15"/>
      <c r="Q53" s="15"/>
      <c r="R53" s="15"/>
      <c r="S53" s="15"/>
      <c r="T53" s="15"/>
      <c r="U53" s="15"/>
      <c r="V53" s="15"/>
      <c r="W53" s="15"/>
      <c r="X53" s="15"/>
      <c r="Y53" s="15"/>
      <c r="Z53" s="15"/>
    </row>
    <row r="54" spans="1:26" ht="15.75" customHeight="1" x14ac:dyDescent="0.25">
      <c r="A54" s="391" t="s">
        <v>2791</v>
      </c>
      <c r="B54" s="437"/>
      <c r="C54" s="438"/>
      <c r="D54" s="438"/>
      <c r="E54" s="438"/>
      <c r="F54" s="438"/>
      <c r="G54" s="438"/>
      <c r="H54" s="485">
        <v>53580</v>
      </c>
      <c r="I54" s="387"/>
      <c r="J54" s="387"/>
      <c r="K54" s="387"/>
      <c r="L54" s="15"/>
      <c r="M54" s="15"/>
      <c r="N54" s="15"/>
      <c r="O54" s="15"/>
      <c r="P54" s="15"/>
      <c r="Q54" s="15"/>
      <c r="R54" s="15"/>
      <c r="S54" s="15"/>
      <c r="T54" s="15"/>
      <c r="U54" s="15"/>
      <c r="V54" s="15"/>
      <c r="W54" s="15"/>
      <c r="X54" s="15"/>
      <c r="Y54" s="15"/>
      <c r="Z54" s="15"/>
    </row>
    <row r="55" spans="1:26" ht="15.75" customHeight="1" x14ac:dyDescent="0.25">
      <c r="A55" s="391" t="s">
        <v>2792</v>
      </c>
      <c r="B55" s="437"/>
      <c r="C55" s="438"/>
      <c r="D55" s="438"/>
      <c r="E55" s="438"/>
      <c r="F55" s="438"/>
      <c r="G55" s="438"/>
      <c r="H55" s="485">
        <v>77537</v>
      </c>
      <c r="I55" s="387"/>
      <c r="J55" s="387"/>
      <c r="K55" s="387"/>
      <c r="L55" s="15"/>
      <c r="M55" s="15"/>
      <c r="N55" s="15"/>
      <c r="O55" s="15"/>
      <c r="P55" s="15"/>
      <c r="Q55" s="15"/>
      <c r="R55" s="15"/>
      <c r="S55" s="15"/>
      <c r="T55" s="15"/>
      <c r="U55" s="15"/>
      <c r="V55" s="15"/>
      <c r="W55" s="15"/>
      <c r="X55" s="15"/>
      <c r="Y55" s="15"/>
      <c r="Z55" s="15"/>
    </row>
    <row r="56" spans="1:26" ht="15.75" customHeight="1" x14ac:dyDescent="0.25">
      <c r="A56" s="391" t="s">
        <v>2793</v>
      </c>
      <c r="B56" s="437"/>
      <c r="C56" s="438"/>
      <c r="D56" s="438"/>
      <c r="E56" s="438"/>
      <c r="F56" s="438"/>
      <c r="G56" s="438"/>
      <c r="H56" s="485">
        <v>410786</v>
      </c>
      <c r="I56" s="387"/>
      <c r="J56" s="387"/>
      <c r="K56" s="387"/>
      <c r="L56" s="15"/>
      <c r="M56" s="15"/>
      <c r="N56" s="15"/>
      <c r="O56" s="15"/>
      <c r="P56" s="15"/>
      <c r="Q56" s="15"/>
      <c r="R56" s="15"/>
      <c r="S56" s="15"/>
      <c r="T56" s="15"/>
      <c r="U56" s="15"/>
      <c r="V56" s="15"/>
      <c r="W56" s="15"/>
      <c r="X56" s="15"/>
      <c r="Y56" s="15"/>
      <c r="Z56" s="15"/>
    </row>
    <row r="57" spans="1:26" ht="15.75" customHeight="1" x14ac:dyDescent="0.25">
      <c r="A57" s="391" t="s">
        <v>2794</v>
      </c>
      <c r="B57" s="437"/>
      <c r="C57" s="438"/>
      <c r="D57" s="438"/>
      <c r="E57" s="438"/>
      <c r="F57" s="438"/>
      <c r="G57" s="438"/>
      <c r="H57" s="485">
        <v>960466</v>
      </c>
      <c r="I57" s="387"/>
      <c r="J57" s="387"/>
      <c r="K57" s="387"/>
      <c r="L57" s="15"/>
      <c r="M57" s="15"/>
      <c r="N57" s="15"/>
      <c r="O57" s="15"/>
      <c r="P57" s="15"/>
      <c r="Q57" s="15"/>
      <c r="R57" s="15"/>
      <c r="S57" s="15"/>
      <c r="T57" s="15"/>
      <c r="U57" s="15"/>
      <c r="V57" s="15"/>
      <c r="W57" s="15"/>
      <c r="X57" s="15"/>
      <c r="Y57" s="15"/>
      <c r="Z57" s="15"/>
    </row>
    <row r="58" spans="1:26" ht="15.75" customHeight="1" x14ac:dyDescent="0.25">
      <c r="A58" s="391" t="s">
        <v>2795</v>
      </c>
      <c r="B58" s="437"/>
      <c r="C58" s="438"/>
      <c r="D58" s="438"/>
      <c r="E58" s="438"/>
      <c r="F58" s="438"/>
      <c r="G58" s="438"/>
      <c r="H58" s="485">
        <v>1158445</v>
      </c>
      <c r="I58" s="387"/>
      <c r="J58" s="387"/>
      <c r="K58" s="387"/>
      <c r="L58" s="15"/>
      <c r="M58" s="15"/>
      <c r="N58" s="15"/>
      <c r="O58" s="15"/>
      <c r="P58" s="15"/>
      <c r="Q58" s="15"/>
      <c r="R58" s="15"/>
      <c r="S58" s="15"/>
      <c r="T58" s="15"/>
      <c r="U58" s="15"/>
      <c r="V58" s="15"/>
      <c r="W58" s="15"/>
      <c r="X58" s="15"/>
      <c r="Y58" s="15"/>
      <c r="Z58" s="15"/>
    </row>
    <row r="59" spans="1:26" ht="15.75" customHeight="1" x14ac:dyDescent="0.25">
      <c r="A59" s="702" t="s">
        <v>2796</v>
      </c>
      <c r="B59" s="483"/>
      <c r="C59" s="457"/>
      <c r="D59" s="457"/>
      <c r="E59" s="457"/>
      <c r="F59" s="457"/>
      <c r="G59" s="457"/>
      <c r="H59" s="485">
        <v>7500000</v>
      </c>
      <c r="I59" s="387"/>
      <c r="J59" s="387"/>
      <c r="K59" s="387"/>
      <c r="L59" s="15"/>
      <c r="M59" s="15"/>
      <c r="N59" s="15"/>
      <c r="O59" s="15"/>
      <c r="P59" s="15"/>
      <c r="Q59" s="15"/>
      <c r="R59" s="15"/>
      <c r="S59" s="15"/>
      <c r="T59" s="15"/>
      <c r="U59" s="15"/>
      <c r="V59" s="15"/>
      <c r="W59" s="15"/>
      <c r="X59" s="15"/>
      <c r="Y59" s="15"/>
      <c r="Z59" s="15"/>
    </row>
    <row r="60" spans="1:26" ht="31.5" x14ac:dyDescent="0.25">
      <c r="A60" s="703" t="s">
        <v>2797</v>
      </c>
      <c r="B60" s="601"/>
      <c r="C60" s="448"/>
      <c r="D60" s="448"/>
      <c r="E60" s="448"/>
      <c r="F60" s="448"/>
      <c r="G60" s="448"/>
      <c r="H60" s="485">
        <v>2000000</v>
      </c>
      <c r="I60" s="387"/>
      <c r="J60" s="387"/>
      <c r="K60" s="387"/>
      <c r="L60" s="15"/>
      <c r="M60" s="15"/>
      <c r="N60" s="15"/>
      <c r="O60" s="15"/>
      <c r="P60" s="15"/>
      <c r="Q60" s="15"/>
      <c r="R60" s="15"/>
      <c r="S60" s="15"/>
      <c r="T60" s="15"/>
      <c r="U60" s="15"/>
      <c r="V60" s="15"/>
      <c r="W60" s="15"/>
      <c r="X60" s="15"/>
      <c r="Y60" s="15"/>
      <c r="Z60" s="15"/>
    </row>
    <row r="61" spans="1:26" ht="31.5" x14ac:dyDescent="0.25">
      <c r="A61" s="589" t="s">
        <v>2798</v>
      </c>
      <c r="B61" s="437"/>
      <c r="C61" s="438"/>
      <c r="D61" s="438"/>
      <c r="E61" s="438"/>
      <c r="F61" s="438"/>
      <c r="G61" s="438"/>
      <c r="H61" s="485">
        <v>3000000</v>
      </c>
      <c r="I61" s="387"/>
      <c r="J61" s="387"/>
      <c r="K61" s="387"/>
      <c r="L61" s="15"/>
      <c r="M61" s="15"/>
      <c r="N61" s="15"/>
      <c r="O61" s="15"/>
      <c r="P61" s="15"/>
      <c r="Q61" s="15"/>
      <c r="R61" s="15"/>
      <c r="S61" s="15"/>
      <c r="T61" s="15"/>
      <c r="U61" s="15"/>
      <c r="V61" s="15"/>
      <c r="W61" s="15"/>
      <c r="X61" s="15"/>
      <c r="Y61" s="15"/>
      <c r="Z61" s="15"/>
    </row>
    <row r="62" spans="1:26" ht="15.75" customHeight="1" x14ac:dyDescent="0.25">
      <c r="A62" s="589" t="s">
        <v>2799</v>
      </c>
      <c r="B62" s="437"/>
      <c r="C62" s="438"/>
      <c r="D62" s="438"/>
      <c r="E62" s="438"/>
      <c r="F62" s="438"/>
      <c r="G62" s="438"/>
      <c r="H62" s="485">
        <v>4715127</v>
      </c>
      <c r="I62" s="387"/>
      <c r="J62" s="387"/>
      <c r="K62" s="387"/>
      <c r="L62" s="15"/>
      <c r="M62" s="15"/>
      <c r="N62" s="15"/>
      <c r="O62" s="15"/>
      <c r="P62" s="15"/>
      <c r="Q62" s="15"/>
      <c r="R62" s="15"/>
      <c r="S62" s="15"/>
      <c r="T62" s="15"/>
      <c r="U62" s="15"/>
      <c r="V62" s="15"/>
      <c r="W62" s="15"/>
      <c r="X62" s="15"/>
      <c r="Y62" s="15"/>
      <c r="Z62" s="15"/>
    </row>
    <row r="63" spans="1:26" ht="15.75" customHeight="1" x14ac:dyDescent="0.25">
      <c r="A63" s="589" t="s">
        <v>2800</v>
      </c>
      <c r="B63" s="437"/>
      <c r="C63" s="438"/>
      <c r="D63" s="438"/>
      <c r="E63" s="438"/>
      <c r="F63" s="438"/>
      <c r="G63" s="438"/>
      <c r="H63" s="485">
        <v>67090</v>
      </c>
      <c r="I63" s="387"/>
      <c r="J63" s="387"/>
      <c r="K63" s="387"/>
      <c r="L63" s="15"/>
      <c r="M63" s="15"/>
      <c r="N63" s="15"/>
      <c r="O63" s="15"/>
      <c r="P63" s="15"/>
      <c r="Q63" s="15"/>
      <c r="R63" s="15"/>
      <c r="S63" s="15"/>
      <c r="T63" s="15"/>
      <c r="U63" s="15"/>
      <c r="V63" s="15"/>
      <c r="W63" s="15"/>
      <c r="X63" s="15"/>
      <c r="Y63" s="15"/>
      <c r="Z63" s="15"/>
    </row>
    <row r="64" spans="1:26" ht="15.75" customHeight="1" x14ac:dyDescent="0.25">
      <c r="A64" s="589" t="s">
        <v>2801</v>
      </c>
      <c r="B64" s="437"/>
      <c r="C64" s="438"/>
      <c r="D64" s="438"/>
      <c r="E64" s="438"/>
      <c r="F64" s="438"/>
      <c r="G64" s="438"/>
      <c r="H64" s="485">
        <v>84667</v>
      </c>
      <c r="I64" s="387"/>
      <c r="J64" s="387"/>
      <c r="K64" s="387"/>
      <c r="L64" s="15"/>
      <c r="M64" s="15"/>
      <c r="N64" s="15"/>
      <c r="O64" s="15"/>
      <c r="P64" s="15"/>
      <c r="Q64" s="15"/>
      <c r="R64" s="15"/>
      <c r="S64" s="15"/>
      <c r="T64" s="15"/>
      <c r="U64" s="15"/>
      <c r="V64" s="15"/>
      <c r="W64" s="15"/>
      <c r="X64" s="15"/>
      <c r="Y64" s="15"/>
      <c r="Z64" s="15"/>
    </row>
    <row r="65" spans="1:26" ht="15.75" customHeight="1" x14ac:dyDescent="0.25">
      <c r="A65" s="589" t="s">
        <v>2802</v>
      </c>
      <c r="B65" s="437"/>
      <c r="C65" s="438"/>
      <c r="D65" s="438"/>
      <c r="E65" s="438"/>
      <c r="F65" s="438"/>
      <c r="G65" s="438"/>
      <c r="H65" s="485">
        <v>3544441</v>
      </c>
      <c r="I65" s="387"/>
      <c r="J65" s="387"/>
      <c r="K65" s="387"/>
      <c r="L65" s="15"/>
      <c r="M65" s="15"/>
      <c r="N65" s="15"/>
      <c r="O65" s="15"/>
      <c r="P65" s="15"/>
      <c r="Q65" s="15"/>
      <c r="R65" s="15"/>
      <c r="S65" s="15"/>
      <c r="T65" s="15"/>
      <c r="U65" s="15"/>
      <c r="V65" s="15"/>
      <c r="W65" s="15"/>
      <c r="X65" s="15"/>
      <c r="Y65" s="15"/>
      <c r="Z65" s="15"/>
    </row>
    <row r="66" spans="1:26" ht="15.75" customHeight="1" x14ac:dyDescent="0.25">
      <c r="A66" s="17" t="s">
        <v>503</v>
      </c>
      <c r="B66" s="41"/>
      <c r="C66" s="43"/>
      <c r="D66" s="43"/>
      <c r="E66" s="43"/>
      <c r="F66" s="43"/>
      <c r="G66" s="43"/>
      <c r="H66" s="44"/>
      <c r="I66" s="387"/>
      <c r="J66" s="387"/>
      <c r="K66" s="387"/>
      <c r="L66" s="15"/>
      <c r="M66" s="15"/>
      <c r="N66" s="15"/>
      <c r="O66" s="15"/>
      <c r="P66" s="15"/>
      <c r="Q66" s="15"/>
      <c r="R66" s="15"/>
      <c r="S66" s="15"/>
      <c r="T66" s="15"/>
      <c r="U66" s="15"/>
      <c r="V66" s="15"/>
      <c r="W66" s="15"/>
      <c r="X66" s="15"/>
      <c r="Y66" s="15"/>
      <c r="Z66" s="15"/>
    </row>
    <row r="67" spans="1:26" ht="15.75" customHeight="1" x14ac:dyDescent="0.25">
      <c r="A67" s="118" t="s">
        <v>405</v>
      </c>
      <c r="B67" s="41" t="s">
        <v>235</v>
      </c>
      <c r="C67" s="43">
        <v>42000</v>
      </c>
      <c r="D67" s="43">
        <v>21900</v>
      </c>
      <c r="E67" s="43">
        <f t="shared" ref="E67:E68" si="7">F67-D67</f>
        <v>32100</v>
      </c>
      <c r="F67" s="43">
        <v>54000</v>
      </c>
      <c r="G67" s="43">
        <f>(2500+2000)*12</f>
        <v>54000</v>
      </c>
      <c r="H67" s="44"/>
      <c r="I67" s="387"/>
      <c r="J67" s="387"/>
      <c r="K67" s="387"/>
      <c r="L67" s="15"/>
      <c r="M67" s="15"/>
      <c r="N67" s="15"/>
      <c r="O67" s="15"/>
      <c r="P67" s="15"/>
      <c r="Q67" s="15"/>
      <c r="R67" s="15"/>
      <c r="S67" s="15"/>
      <c r="T67" s="15"/>
      <c r="U67" s="15"/>
      <c r="V67" s="15"/>
      <c r="W67" s="15"/>
      <c r="X67" s="15"/>
      <c r="Y67" s="15"/>
      <c r="Z67" s="15"/>
    </row>
    <row r="68" spans="1:26" ht="15.75" customHeight="1" x14ac:dyDescent="0.25">
      <c r="A68" s="391" t="s">
        <v>504</v>
      </c>
      <c r="B68" s="41" t="s">
        <v>237</v>
      </c>
      <c r="C68" s="43"/>
      <c r="D68" s="43">
        <v>16200</v>
      </c>
      <c r="E68" s="43">
        <f t="shared" si="7"/>
        <v>15800</v>
      </c>
      <c r="F68" s="45">
        <v>32000</v>
      </c>
      <c r="G68" s="43">
        <v>91200</v>
      </c>
      <c r="H68" s="44"/>
      <c r="I68" s="387"/>
      <c r="J68" s="387"/>
      <c r="K68" s="387"/>
      <c r="L68" s="15"/>
      <c r="M68" s="15"/>
      <c r="N68" s="15"/>
      <c r="O68" s="15"/>
      <c r="P68" s="15"/>
      <c r="Q68" s="15"/>
      <c r="R68" s="15"/>
      <c r="S68" s="15"/>
      <c r="T68" s="15"/>
      <c r="U68" s="15"/>
      <c r="V68" s="15"/>
      <c r="W68" s="15"/>
      <c r="X68" s="15"/>
      <c r="Y68" s="15"/>
      <c r="Z68" s="15"/>
    </row>
    <row r="69" spans="1:26" ht="15.75" customHeight="1" x14ac:dyDescent="0.25">
      <c r="A69" s="17" t="s">
        <v>2287</v>
      </c>
      <c r="B69" s="41"/>
      <c r="C69" s="45"/>
      <c r="D69" s="43"/>
      <c r="E69" s="43"/>
      <c r="F69" s="45"/>
      <c r="G69" s="45"/>
      <c r="H69" s="44"/>
      <c r="I69" s="387"/>
      <c r="J69" s="387"/>
      <c r="K69" s="387"/>
      <c r="L69" s="15"/>
      <c r="M69" s="15"/>
      <c r="N69" s="15"/>
      <c r="O69" s="15"/>
      <c r="P69" s="15"/>
      <c r="Q69" s="15"/>
      <c r="R69" s="15"/>
      <c r="S69" s="15"/>
      <c r="T69" s="15"/>
      <c r="U69" s="15"/>
      <c r="V69" s="15"/>
      <c r="W69" s="15"/>
      <c r="X69" s="15"/>
      <c r="Y69" s="15"/>
      <c r="Z69" s="15"/>
    </row>
    <row r="70" spans="1:26" ht="15.75" customHeight="1" x14ac:dyDescent="0.25">
      <c r="A70" s="17" t="s">
        <v>424</v>
      </c>
      <c r="B70" s="41"/>
      <c r="C70" s="45"/>
      <c r="D70" s="43"/>
      <c r="E70" s="43"/>
      <c r="F70" s="43"/>
      <c r="G70" s="45"/>
      <c r="H70" s="44"/>
      <c r="I70" s="387"/>
      <c r="J70" s="387"/>
      <c r="K70" s="387"/>
      <c r="L70" s="15"/>
      <c r="M70" s="15"/>
      <c r="N70" s="15"/>
      <c r="O70" s="15"/>
      <c r="P70" s="15"/>
      <c r="Q70" s="15"/>
      <c r="R70" s="15"/>
      <c r="S70" s="15"/>
      <c r="T70" s="15"/>
      <c r="U70" s="15"/>
      <c r="V70" s="15"/>
      <c r="W70" s="15"/>
      <c r="X70" s="15"/>
      <c r="Y70" s="15"/>
      <c r="Z70" s="15"/>
    </row>
    <row r="71" spans="1:26" ht="15.75" customHeight="1" x14ac:dyDescent="0.25">
      <c r="A71" s="48" t="s">
        <v>424</v>
      </c>
      <c r="B71" s="41" t="s">
        <v>335</v>
      </c>
      <c r="C71" s="43">
        <v>10140959.949999999</v>
      </c>
      <c r="D71" s="43">
        <v>15293195.880000001</v>
      </c>
      <c r="E71" s="43">
        <f>F71-D71</f>
        <v>30495129.119999997</v>
      </c>
      <c r="F71" s="43">
        <v>45788325</v>
      </c>
      <c r="G71" s="45">
        <v>49849760</v>
      </c>
      <c r="H71" s="392">
        <f>SUM(K74:K149)</f>
        <v>49849760</v>
      </c>
      <c r="I71" s="393"/>
      <c r="J71" s="387"/>
      <c r="K71" s="387"/>
      <c r="L71" s="15"/>
      <c r="M71" s="15"/>
      <c r="N71" s="15"/>
      <c r="O71" s="15"/>
      <c r="P71" s="15"/>
      <c r="Q71" s="15"/>
      <c r="R71" s="15"/>
      <c r="S71" s="15"/>
      <c r="T71" s="15"/>
      <c r="U71" s="15"/>
      <c r="V71" s="15"/>
      <c r="W71" s="15"/>
      <c r="X71" s="15"/>
      <c r="Y71" s="15"/>
      <c r="Z71" s="15"/>
    </row>
    <row r="72" spans="1:26" ht="15.75" customHeight="1" x14ac:dyDescent="0.25">
      <c r="A72" s="17" t="s">
        <v>2288</v>
      </c>
      <c r="B72" s="41"/>
      <c r="C72" s="43"/>
      <c r="D72" s="43"/>
      <c r="E72" s="43"/>
      <c r="F72" s="43"/>
      <c r="G72" s="45"/>
      <c r="H72" s="44"/>
      <c r="I72" s="387"/>
      <c r="J72" s="387"/>
      <c r="K72" s="387"/>
      <c r="L72" s="15"/>
      <c r="M72" s="15"/>
      <c r="N72" s="15"/>
      <c r="O72" s="15"/>
      <c r="P72" s="15"/>
      <c r="Q72" s="15"/>
      <c r="R72" s="15"/>
      <c r="S72" s="15"/>
      <c r="T72" s="15"/>
      <c r="U72" s="15"/>
      <c r="V72" s="15"/>
      <c r="W72" s="15"/>
      <c r="X72" s="15"/>
      <c r="Y72" s="15"/>
      <c r="Z72" s="15"/>
    </row>
    <row r="73" spans="1:26" ht="15.75" customHeight="1" x14ac:dyDescent="0.25">
      <c r="A73" s="48" t="s">
        <v>2289</v>
      </c>
      <c r="B73" s="41"/>
      <c r="C73" s="43"/>
      <c r="D73" s="43"/>
      <c r="E73" s="43"/>
      <c r="F73" s="43"/>
      <c r="G73" s="45"/>
      <c r="H73" s="44"/>
      <c r="I73" s="387"/>
      <c r="J73" s="387"/>
      <c r="K73" s="387"/>
      <c r="L73" s="15"/>
      <c r="M73" s="15"/>
      <c r="N73" s="15"/>
      <c r="O73" s="15"/>
      <c r="P73" s="15"/>
      <c r="Q73" s="15"/>
      <c r="R73" s="15"/>
      <c r="S73" s="15"/>
      <c r="T73" s="15"/>
      <c r="U73" s="15"/>
      <c r="V73" s="15"/>
      <c r="W73" s="15"/>
      <c r="X73" s="15"/>
      <c r="Y73" s="15"/>
      <c r="Z73" s="15"/>
    </row>
    <row r="74" spans="1:26" ht="15.75" customHeight="1" x14ac:dyDescent="0.25">
      <c r="A74" s="48" t="s">
        <v>2290</v>
      </c>
      <c r="B74" s="41"/>
      <c r="C74" s="43"/>
      <c r="D74" s="43"/>
      <c r="E74" s="43"/>
      <c r="F74" s="43"/>
      <c r="G74" s="45"/>
      <c r="H74" s="44">
        <v>26</v>
      </c>
      <c r="I74" s="387">
        <v>974</v>
      </c>
      <c r="J74" s="387">
        <v>1</v>
      </c>
      <c r="K74" s="387">
        <f>H74*12*I74*J74</f>
        <v>303888</v>
      </c>
      <c r="L74" s="15"/>
      <c r="M74" s="15"/>
      <c r="N74" s="15"/>
      <c r="O74" s="15"/>
      <c r="P74" s="15"/>
      <c r="Q74" s="15"/>
      <c r="R74" s="15"/>
      <c r="S74" s="15"/>
      <c r="T74" s="15"/>
      <c r="U74" s="15"/>
      <c r="V74" s="15"/>
      <c r="W74" s="15"/>
      <c r="X74" s="15"/>
      <c r="Y74" s="15"/>
      <c r="Z74" s="15"/>
    </row>
    <row r="75" spans="1:26" ht="15.75" customHeight="1" x14ac:dyDescent="0.25">
      <c r="A75" s="48" t="s">
        <v>2291</v>
      </c>
      <c r="B75" s="41"/>
      <c r="C75" s="43"/>
      <c r="D75" s="43"/>
      <c r="E75" s="43"/>
      <c r="F75" s="43"/>
      <c r="G75" s="45"/>
      <c r="H75" s="44"/>
      <c r="I75" s="387"/>
      <c r="J75" s="387"/>
      <c r="K75" s="387"/>
      <c r="L75" s="15"/>
      <c r="M75" s="15"/>
      <c r="N75" s="15"/>
      <c r="O75" s="15"/>
      <c r="P75" s="15"/>
      <c r="Q75" s="15"/>
      <c r="R75" s="15"/>
      <c r="S75" s="15"/>
      <c r="T75" s="15"/>
      <c r="U75" s="15"/>
      <c r="V75" s="15"/>
      <c r="W75" s="15"/>
      <c r="X75" s="15"/>
      <c r="Y75" s="15"/>
      <c r="Z75" s="15"/>
    </row>
    <row r="76" spans="1:26" ht="15.75" customHeight="1" x14ac:dyDescent="0.25">
      <c r="A76" s="48" t="s">
        <v>2292</v>
      </c>
      <c r="B76" s="41"/>
      <c r="C76" s="43"/>
      <c r="D76" s="43"/>
      <c r="E76" s="43"/>
      <c r="F76" s="43"/>
      <c r="G76" s="45"/>
      <c r="H76" s="44">
        <v>26</v>
      </c>
      <c r="I76" s="387">
        <v>765</v>
      </c>
      <c r="J76" s="387">
        <v>10</v>
      </c>
      <c r="K76" s="387">
        <f t="shared" ref="K76:K146" si="8">H76*12*I76*J76</f>
        <v>2386800</v>
      </c>
      <c r="L76" s="15"/>
      <c r="M76" s="15"/>
      <c r="N76" s="15"/>
      <c r="O76" s="15"/>
      <c r="P76" s="15"/>
      <c r="Q76" s="15"/>
      <c r="R76" s="15"/>
      <c r="S76" s="15"/>
      <c r="T76" s="15"/>
      <c r="U76" s="15"/>
      <c r="V76" s="15"/>
      <c r="W76" s="15"/>
      <c r="X76" s="15"/>
      <c r="Y76" s="15"/>
      <c r="Z76" s="15"/>
    </row>
    <row r="77" spans="1:26" ht="15.75" customHeight="1" x14ac:dyDescent="0.25">
      <c r="A77" s="48" t="s">
        <v>2293</v>
      </c>
      <c r="B77" s="41"/>
      <c r="C77" s="43"/>
      <c r="D77" s="43"/>
      <c r="E77" s="43"/>
      <c r="F77" s="43"/>
      <c r="G77" s="45"/>
      <c r="H77" s="44"/>
      <c r="I77" s="387"/>
      <c r="J77" s="387"/>
      <c r="K77" s="387">
        <f t="shared" si="8"/>
        <v>0</v>
      </c>
      <c r="L77" s="15"/>
      <c r="M77" s="15"/>
      <c r="N77" s="15"/>
      <c r="O77" s="15"/>
      <c r="P77" s="15"/>
      <c r="Q77" s="15"/>
      <c r="R77" s="15"/>
      <c r="S77" s="15"/>
      <c r="T77" s="15"/>
      <c r="U77" s="15"/>
      <c r="V77" s="15"/>
      <c r="W77" s="15"/>
      <c r="X77" s="15"/>
      <c r="Y77" s="15"/>
      <c r="Z77" s="15"/>
    </row>
    <row r="78" spans="1:26" ht="15.75" customHeight="1" x14ac:dyDescent="0.25">
      <c r="A78" s="293" t="s">
        <v>2294</v>
      </c>
      <c r="B78" s="41"/>
      <c r="C78" s="43"/>
      <c r="D78" s="43"/>
      <c r="E78" s="43"/>
      <c r="F78" s="43"/>
      <c r="G78" s="45"/>
      <c r="H78" s="44">
        <v>26</v>
      </c>
      <c r="I78" s="387">
        <v>678</v>
      </c>
      <c r="J78" s="387">
        <v>1</v>
      </c>
      <c r="K78" s="387">
        <f t="shared" si="8"/>
        <v>211536</v>
      </c>
      <c r="L78" s="15"/>
      <c r="M78" s="15"/>
      <c r="N78" s="15"/>
      <c r="O78" s="15"/>
      <c r="P78" s="15"/>
      <c r="Q78" s="15"/>
      <c r="R78" s="15"/>
      <c r="S78" s="15"/>
      <c r="T78" s="15"/>
      <c r="U78" s="15"/>
      <c r="V78" s="15"/>
      <c r="W78" s="15"/>
      <c r="X78" s="15"/>
      <c r="Y78" s="15"/>
      <c r="Z78" s="15"/>
    </row>
    <row r="79" spans="1:26" ht="15.75" customHeight="1" x14ac:dyDescent="0.25">
      <c r="A79" s="48" t="s">
        <v>2295</v>
      </c>
      <c r="B79" s="41"/>
      <c r="C79" s="43"/>
      <c r="D79" s="43"/>
      <c r="E79" s="43"/>
      <c r="F79" s="43"/>
      <c r="G79" s="45"/>
      <c r="H79" s="44">
        <v>22</v>
      </c>
      <c r="I79" s="387">
        <v>678</v>
      </c>
      <c r="J79" s="387">
        <v>1</v>
      </c>
      <c r="K79" s="387">
        <f t="shared" si="8"/>
        <v>178992</v>
      </c>
      <c r="L79" s="15"/>
      <c r="M79" s="15"/>
      <c r="N79" s="15"/>
      <c r="O79" s="15"/>
      <c r="P79" s="15"/>
      <c r="Q79" s="15"/>
      <c r="R79" s="15"/>
      <c r="S79" s="15"/>
      <c r="T79" s="15"/>
      <c r="U79" s="15"/>
      <c r="V79" s="15"/>
      <c r="W79" s="15"/>
      <c r="X79" s="15"/>
      <c r="Y79" s="15"/>
      <c r="Z79" s="15"/>
    </row>
    <row r="80" spans="1:26" ht="15.75" customHeight="1" x14ac:dyDescent="0.25">
      <c r="A80" s="48" t="s">
        <v>2296</v>
      </c>
      <c r="B80" s="41"/>
      <c r="C80" s="43"/>
      <c r="D80" s="43"/>
      <c r="E80" s="43"/>
      <c r="F80" s="43"/>
      <c r="G80" s="45"/>
      <c r="H80" s="44"/>
      <c r="I80" s="387"/>
      <c r="J80" s="387"/>
      <c r="K80" s="387">
        <f t="shared" si="8"/>
        <v>0</v>
      </c>
      <c r="L80" s="15"/>
      <c r="M80" s="15"/>
      <c r="N80" s="15"/>
      <c r="O80" s="15"/>
      <c r="P80" s="15"/>
      <c r="Q80" s="15"/>
      <c r="R80" s="15"/>
      <c r="S80" s="15"/>
      <c r="T80" s="15"/>
      <c r="U80" s="15"/>
      <c r="V80" s="15"/>
      <c r="W80" s="15"/>
      <c r="X80" s="15"/>
      <c r="Y80" s="15"/>
      <c r="Z80" s="15"/>
    </row>
    <row r="81" spans="1:26" ht="15.75" customHeight="1" x14ac:dyDescent="0.25">
      <c r="A81" s="48" t="s">
        <v>2297</v>
      </c>
      <c r="B81" s="41"/>
      <c r="C81" s="43"/>
      <c r="D81" s="43"/>
      <c r="E81" s="43"/>
      <c r="F81" s="43"/>
      <c r="G81" s="45"/>
      <c r="H81" s="44">
        <v>22</v>
      </c>
      <c r="I81" s="387">
        <v>639</v>
      </c>
      <c r="J81" s="387">
        <v>4</v>
      </c>
      <c r="K81" s="387">
        <f t="shared" si="8"/>
        <v>674784</v>
      </c>
      <c r="L81" s="15"/>
      <c r="M81" s="15"/>
      <c r="N81" s="15"/>
      <c r="O81" s="15"/>
      <c r="P81" s="15"/>
      <c r="Q81" s="15"/>
      <c r="R81" s="15"/>
      <c r="S81" s="15"/>
      <c r="T81" s="15"/>
      <c r="U81" s="15"/>
      <c r="V81" s="15"/>
      <c r="W81" s="15"/>
      <c r="X81" s="15"/>
      <c r="Y81" s="15"/>
      <c r="Z81" s="15"/>
    </row>
    <row r="82" spans="1:26" ht="15.75" customHeight="1" x14ac:dyDescent="0.25">
      <c r="A82" s="48" t="s">
        <v>2298</v>
      </c>
      <c r="B82" s="41"/>
      <c r="C82" s="43"/>
      <c r="D82" s="43"/>
      <c r="E82" s="43"/>
      <c r="F82" s="43"/>
      <c r="G82" s="45"/>
      <c r="H82" s="44"/>
      <c r="I82" s="387"/>
      <c r="J82" s="387"/>
      <c r="K82" s="387">
        <f t="shared" si="8"/>
        <v>0</v>
      </c>
      <c r="L82" s="15"/>
      <c r="M82" s="15"/>
      <c r="N82" s="15"/>
      <c r="O82" s="15"/>
      <c r="P82" s="15"/>
      <c r="Q82" s="15"/>
      <c r="R82" s="15"/>
      <c r="S82" s="15"/>
      <c r="T82" s="15"/>
      <c r="U82" s="15"/>
      <c r="V82" s="15"/>
      <c r="W82" s="15"/>
      <c r="X82" s="15"/>
      <c r="Y82" s="15"/>
      <c r="Z82" s="15"/>
    </row>
    <row r="83" spans="1:26" ht="15.75" customHeight="1" x14ac:dyDescent="0.25">
      <c r="A83" s="293" t="s">
        <v>2299</v>
      </c>
      <c r="B83" s="41"/>
      <c r="C83" s="43"/>
      <c r="D83" s="43"/>
      <c r="E83" s="43"/>
      <c r="F83" s="43"/>
      <c r="G83" s="45"/>
      <c r="H83" s="44">
        <v>22</v>
      </c>
      <c r="I83" s="387">
        <v>678</v>
      </c>
      <c r="J83" s="387">
        <v>1</v>
      </c>
      <c r="K83" s="387">
        <f t="shared" si="8"/>
        <v>178992</v>
      </c>
      <c r="L83" s="15"/>
      <c r="M83" s="15"/>
      <c r="N83" s="15"/>
      <c r="O83" s="15"/>
      <c r="P83" s="15"/>
      <c r="Q83" s="15"/>
      <c r="R83" s="15"/>
      <c r="S83" s="15"/>
      <c r="T83" s="15"/>
      <c r="U83" s="15"/>
      <c r="V83" s="15"/>
      <c r="W83" s="15"/>
      <c r="X83" s="15"/>
      <c r="Y83" s="15"/>
      <c r="Z83" s="15"/>
    </row>
    <row r="84" spans="1:26" ht="15.75" customHeight="1" x14ac:dyDescent="0.25">
      <c r="A84" s="48" t="s">
        <v>2300</v>
      </c>
      <c r="B84" s="41"/>
      <c r="C84" s="43"/>
      <c r="D84" s="43"/>
      <c r="E84" s="43"/>
      <c r="F84" s="43"/>
      <c r="G84" s="45"/>
      <c r="H84" s="44"/>
      <c r="I84" s="387"/>
      <c r="J84" s="387"/>
      <c r="K84" s="387">
        <f t="shared" si="8"/>
        <v>0</v>
      </c>
      <c r="L84" s="15"/>
      <c r="M84" s="15"/>
      <c r="N84" s="15"/>
      <c r="O84" s="15"/>
      <c r="P84" s="15"/>
      <c r="Q84" s="15"/>
      <c r="R84" s="15"/>
      <c r="S84" s="15"/>
      <c r="T84" s="15"/>
      <c r="U84" s="15"/>
      <c r="V84" s="15"/>
      <c r="W84" s="15"/>
      <c r="X84" s="15"/>
      <c r="Y84" s="15"/>
      <c r="Z84" s="15"/>
    </row>
    <row r="85" spans="1:26" ht="15.75" customHeight="1" x14ac:dyDescent="0.25">
      <c r="A85" s="48" t="s">
        <v>2290</v>
      </c>
      <c r="B85" s="41"/>
      <c r="C85" s="43"/>
      <c r="D85" s="43"/>
      <c r="E85" s="43"/>
      <c r="F85" s="43"/>
      <c r="G85" s="45"/>
      <c r="H85" s="44">
        <v>26</v>
      </c>
      <c r="I85" s="387">
        <v>974</v>
      </c>
      <c r="J85" s="387">
        <v>1</v>
      </c>
      <c r="K85" s="387">
        <f t="shared" si="8"/>
        <v>303888</v>
      </c>
      <c r="L85" s="15"/>
      <c r="M85" s="15"/>
      <c r="N85" s="15"/>
      <c r="O85" s="15"/>
      <c r="P85" s="15"/>
      <c r="Q85" s="15"/>
      <c r="R85" s="15"/>
      <c r="S85" s="15"/>
      <c r="T85" s="15"/>
      <c r="U85" s="15"/>
      <c r="V85" s="15"/>
      <c r="W85" s="15"/>
      <c r="X85" s="15"/>
      <c r="Y85" s="15"/>
      <c r="Z85" s="15"/>
    </row>
    <row r="86" spans="1:26" ht="15.75" customHeight="1" x14ac:dyDescent="0.25">
      <c r="A86" s="48" t="s">
        <v>2291</v>
      </c>
      <c r="B86" s="41"/>
      <c r="C86" s="43"/>
      <c r="D86" s="43"/>
      <c r="E86" s="43"/>
      <c r="F86" s="43"/>
      <c r="G86" s="45"/>
      <c r="H86" s="44"/>
      <c r="I86" s="387"/>
      <c r="J86" s="387"/>
      <c r="K86" s="387">
        <f t="shared" si="8"/>
        <v>0</v>
      </c>
      <c r="L86" s="15"/>
      <c r="M86" s="15"/>
      <c r="N86" s="15"/>
      <c r="O86" s="15"/>
      <c r="P86" s="15"/>
      <c r="Q86" s="15"/>
      <c r="R86" s="15"/>
      <c r="S86" s="15"/>
      <c r="T86" s="15"/>
      <c r="U86" s="15"/>
      <c r="V86" s="15"/>
      <c r="W86" s="15"/>
      <c r="X86" s="15"/>
      <c r="Y86" s="15"/>
      <c r="Z86" s="15"/>
    </row>
    <row r="87" spans="1:26" ht="15.75" customHeight="1" x14ac:dyDescent="0.25">
      <c r="A87" s="48" t="s">
        <v>2301</v>
      </c>
      <c r="B87" s="41"/>
      <c r="C87" s="43"/>
      <c r="D87" s="43"/>
      <c r="E87" s="43"/>
      <c r="F87" s="43"/>
      <c r="G87" s="45"/>
      <c r="H87" s="44">
        <v>26</v>
      </c>
      <c r="I87" s="387">
        <v>861</v>
      </c>
      <c r="J87" s="387">
        <v>1</v>
      </c>
      <c r="K87" s="387">
        <f t="shared" si="8"/>
        <v>268632</v>
      </c>
      <c r="L87" s="15"/>
      <c r="M87" s="15"/>
      <c r="N87" s="15"/>
      <c r="O87" s="15"/>
      <c r="P87" s="15"/>
      <c r="Q87" s="15"/>
      <c r="R87" s="15"/>
      <c r="S87" s="15"/>
      <c r="T87" s="15"/>
      <c r="U87" s="15"/>
      <c r="V87" s="15"/>
      <c r="W87" s="15"/>
      <c r="X87" s="15"/>
      <c r="Y87" s="15"/>
      <c r="Z87" s="15"/>
    </row>
    <row r="88" spans="1:26" ht="15.75" customHeight="1" x14ac:dyDescent="0.25">
      <c r="A88" s="48" t="s">
        <v>2302</v>
      </c>
      <c r="B88" s="41"/>
      <c r="C88" s="43"/>
      <c r="D88" s="43"/>
      <c r="E88" s="43"/>
      <c r="F88" s="43"/>
      <c r="G88" s="45"/>
      <c r="H88" s="44">
        <v>26</v>
      </c>
      <c r="I88" s="387">
        <v>765</v>
      </c>
      <c r="J88" s="387">
        <v>2</v>
      </c>
      <c r="K88" s="387">
        <f t="shared" si="8"/>
        <v>477360</v>
      </c>
      <c r="L88" s="15"/>
      <c r="M88" s="15"/>
      <c r="N88" s="15"/>
      <c r="O88" s="15"/>
      <c r="P88" s="15"/>
      <c r="Q88" s="15"/>
      <c r="R88" s="15"/>
      <c r="S88" s="15"/>
      <c r="T88" s="15"/>
      <c r="U88" s="15"/>
      <c r="V88" s="15"/>
      <c r="W88" s="15"/>
      <c r="X88" s="15"/>
      <c r="Y88" s="15"/>
      <c r="Z88" s="15"/>
    </row>
    <row r="89" spans="1:26" ht="15.75" customHeight="1" x14ac:dyDescent="0.25">
      <c r="A89" s="48" t="s">
        <v>2303</v>
      </c>
      <c r="B89" s="41"/>
      <c r="C89" s="43"/>
      <c r="D89" s="43"/>
      <c r="E89" s="43"/>
      <c r="F89" s="43"/>
      <c r="G89" s="45"/>
      <c r="H89" s="44">
        <v>26</v>
      </c>
      <c r="I89" s="387">
        <v>720</v>
      </c>
      <c r="J89" s="387">
        <v>5</v>
      </c>
      <c r="K89" s="387">
        <f t="shared" si="8"/>
        <v>1123200</v>
      </c>
      <c r="L89" s="15"/>
      <c r="M89" s="15"/>
      <c r="N89" s="15"/>
      <c r="O89" s="15"/>
      <c r="P89" s="15"/>
      <c r="Q89" s="15"/>
      <c r="R89" s="15"/>
      <c r="S89" s="15"/>
      <c r="T89" s="15"/>
      <c r="U89" s="15"/>
      <c r="V89" s="15"/>
      <c r="W89" s="15"/>
      <c r="X89" s="15"/>
      <c r="Y89" s="15"/>
      <c r="Z89" s="15"/>
    </row>
    <row r="90" spans="1:26" ht="15.75" customHeight="1" x14ac:dyDescent="0.25">
      <c r="A90" s="546" t="s">
        <v>2304</v>
      </c>
      <c r="B90" s="487"/>
      <c r="C90" s="43"/>
      <c r="D90" s="43"/>
      <c r="E90" s="43"/>
      <c r="F90" s="484"/>
      <c r="G90" s="462"/>
      <c r="H90" s="515"/>
      <c r="I90" s="387"/>
      <c r="J90" s="387"/>
      <c r="K90" s="387">
        <f t="shared" si="8"/>
        <v>0</v>
      </c>
      <c r="L90" s="15"/>
      <c r="M90" s="15"/>
      <c r="N90" s="15"/>
      <c r="O90" s="15"/>
      <c r="P90" s="15"/>
      <c r="Q90" s="15"/>
      <c r="R90" s="15"/>
      <c r="S90" s="15"/>
      <c r="T90" s="15"/>
      <c r="U90" s="15"/>
      <c r="V90" s="15"/>
      <c r="W90" s="15"/>
      <c r="X90" s="15"/>
      <c r="Y90" s="15"/>
      <c r="Z90" s="15"/>
    </row>
    <row r="91" spans="1:26" ht="15.75" customHeight="1" x14ac:dyDescent="0.25">
      <c r="A91" s="460" t="s">
        <v>2305</v>
      </c>
      <c r="B91" s="454"/>
      <c r="C91" s="443"/>
      <c r="D91" s="443"/>
      <c r="E91" s="443"/>
      <c r="F91" s="443"/>
      <c r="G91" s="462"/>
      <c r="H91" s="515">
        <v>26</v>
      </c>
      <c r="I91" s="387">
        <v>678</v>
      </c>
      <c r="J91" s="387">
        <v>2</v>
      </c>
      <c r="K91" s="387">
        <f t="shared" si="8"/>
        <v>423072</v>
      </c>
      <c r="L91" s="15"/>
      <c r="M91" s="15"/>
      <c r="N91" s="15"/>
      <c r="O91" s="15"/>
      <c r="P91" s="15"/>
      <c r="Q91" s="15"/>
      <c r="R91" s="15"/>
      <c r="S91" s="15"/>
      <c r="T91" s="15"/>
      <c r="U91" s="15"/>
      <c r="V91" s="15"/>
      <c r="W91" s="15"/>
      <c r="X91" s="15"/>
      <c r="Y91" s="15"/>
      <c r="Z91" s="15"/>
    </row>
    <row r="92" spans="1:26" ht="15.75" customHeight="1" x14ac:dyDescent="0.25">
      <c r="A92" s="546" t="s">
        <v>2306</v>
      </c>
      <c r="B92" s="454"/>
      <c r="C92" s="443"/>
      <c r="D92" s="443"/>
      <c r="E92" s="443"/>
      <c r="F92" s="443"/>
      <c r="G92" s="462"/>
      <c r="H92" s="515"/>
      <c r="I92" s="387"/>
      <c r="J92" s="387"/>
      <c r="K92" s="387">
        <f t="shared" si="8"/>
        <v>0</v>
      </c>
      <c r="L92" s="15"/>
      <c r="M92" s="15"/>
      <c r="N92" s="15"/>
      <c r="O92" s="15"/>
      <c r="P92" s="15"/>
      <c r="Q92" s="15"/>
      <c r="R92" s="15"/>
      <c r="S92" s="15"/>
      <c r="T92" s="15"/>
      <c r="U92" s="15"/>
      <c r="V92" s="15"/>
      <c r="W92" s="15"/>
      <c r="X92" s="15"/>
      <c r="Y92" s="15"/>
      <c r="Z92" s="15"/>
    </row>
    <row r="93" spans="1:26" ht="15.75" customHeight="1" x14ac:dyDescent="0.25">
      <c r="A93" s="48" t="s">
        <v>2307</v>
      </c>
      <c r="B93" s="49"/>
      <c r="C93" s="43"/>
      <c r="D93" s="43"/>
      <c r="E93" s="43"/>
      <c r="F93" s="43"/>
      <c r="G93" s="45"/>
      <c r="H93" s="44">
        <v>22</v>
      </c>
      <c r="I93" s="387">
        <v>639</v>
      </c>
      <c r="J93" s="387">
        <v>2</v>
      </c>
      <c r="K93" s="387">
        <f t="shared" si="8"/>
        <v>337392</v>
      </c>
      <c r="L93" s="15"/>
      <c r="M93" s="15"/>
      <c r="N93" s="15"/>
      <c r="O93" s="15"/>
      <c r="P93" s="15"/>
      <c r="Q93" s="15"/>
      <c r="R93" s="15"/>
      <c r="S93" s="15"/>
      <c r="T93" s="15"/>
      <c r="U93" s="15"/>
      <c r="V93" s="15"/>
      <c r="W93" s="15"/>
      <c r="X93" s="15"/>
      <c r="Y93" s="15"/>
      <c r="Z93" s="15"/>
    </row>
    <row r="94" spans="1:26" ht="15.75" customHeight="1" x14ac:dyDescent="0.25">
      <c r="A94" s="48" t="s">
        <v>2308</v>
      </c>
      <c r="B94" s="41"/>
      <c r="C94" s="43"/>
      <c r="D94" s="43"/>
      <c r="E94" s="43"/>
      <c r="F94" s="43"/>
      <c r="G94" s="45"/>
      <c r="H94" s="44">
        <v>26</v>
      </c>
      <c r="I94" s="387">
        <v>639</v>
      </c>
      <c r="J94" s="387">
        <v>26</v>
      </c>
      <c r="K94" s="387">
        <f t="shared" si="8"/>
        <v>5183568</v>
      </c>
      <c r="L94" s="15"/>
      <c r="M94" s="15"/>
      <c r="N94" s="15"/>
      <c r="O94" s="15"/>
      <c r="P94" s="15"/>
      <c r="Q94" s="15"/>
      <c r="R94" s="15"/>
      <c r="S94" s="15"/>
      <c r="T94" s="15"/>
      <c r="U94" s="15"/>
      <c r="V94" s="15"/>
      <c r="W94" s="15"/>
      <c r="X94" s="15"/>
      <c r="Y94" s="15"/>
      <c r="Z94" s="15"/>
    </row>
    <row r="95" spans="1:26" ht="15.75" customHeight="1" x14ac:dyDescent="0.25">
      <c r="A95" s="48" t="s">
        <v>2309</v>
      </c>
      <c r="B95" s="41"/>
      <c r="C95" s="43"/>
      <c r="D95" s="43"/>
      <c r="E95" s="43"/>
      <c r="F95" s="43"/>
      <c r="G95" s="45"/>
      <c r="H95" s="44"/>
      <c r="I95" s="387"/>
      <c r="J95" s="387"/>
      <c r="K95" s="387">
        <f t="shared" si="8"/>
        <v>0</v>
      </c>
      <c r="L95" s="15"/>
      <c r="M95" s="15"/>
      <c r="N95" s="15"/>
      <c r="O95" s="15"/>
      <c r="P95" s="15"/>
      <c r="Q95" s="15"/>
      <c r="R95" s="15"/>
      <c r="S95" s="15"/>
      <c r="T95" s="15"/>
      <c r="U95" s="15"/>
      <c r="V95" s="15"/>
      <c r="W95" s="15"/>
      <c r="X95" s="15"/>
      <c r="Y95" s="15"/>
      <c r="Z95" s="15"/>
    </row>
    <row r="96" spans="1:26" ht="15.75" customHeight="1" x14ac:dyDescent="0.25">
      <c r="A96" s="48" t="s">
        <v>2310</v>
      </c>
      <c r="B96" s="41"/>
      <c r="C96" s="43"/>
      <c r="D96" s="43"/>
      <c r="E96" s="43"/>
      <c r="F96" s="43"/>
      <c r="G96" s="45"/>
      <c r="H96" s="44">
        <v>26</v>
      </c>
      <c r="I96" s="387">
        <v>639</v>
      </c>
      <c r="J96" s="387">
        <v>1</v>
      </c>
      <c r="K96" s="387">
        <f t="shared" si="8"/>
        <v>199368</v>
      </c>
      <c r="L96" s="15"/>
      <c r="M96" s="15"/>
      <c r="N96" s="15"/>
      <c r="O96" s="15"/>
      <c r="P96" s="15"/>
      <c r="Q96" s="15"/>
      <c r="R96" s="15"/>
      <c r="S96" s="15"/>
      <c r="T96" s="15"/>
      <c r="U96" s="15"/>
      <c r="V96" s="15"/>
      <c r="W96" s="15"/>
      <c r="X96" s="15"/>
      <c r="Y96" s="15"/>
      <c r="Z96" s="15"/>
    </row>
    <row r="97" spans="1:26" ht="15.75" customHeight="1" x14ac:dyDescent="0.25">
      <c r="A97" s="48" t="s">
        <v>2311</v>
      </c>
      <c r="B97" s="41"/>
      <c r="C97" s="43"/>
      <c r="D97" s="43"/>
      <c r="E97" s="43"/>
      <c r="F97" s="43"/>
      <c r="G97" s="45"/>
      <c r="H97" s="44"/>
      <c r="I97" s="387"/>
      <c r="J97" s="387"/>
      <c r="K97" s="387">
        <f t="shared" si="8"/>
        <v>0</v>
      </c>
      <c r="L97" s="15"/>
      <c r="M97" s="15"/>
      <c r="N97" s="15"/>
      <c r="O97" s="15"/>
      <c r="P97" s="15"/>
      <c r="Q97" s="15"/>
      <c r="R97" s="15"/>
      <c r="S97" s="15"/>
      <c r="T97" s="15"/>
      <c r="U97" s="15"/>
      <c r="V97" s="15"/>
      <c r="W97" s="15"/>
      <c r="X97" s="15"/>
      <c r="Y97" s="15"/>
      <c r="Z97" s="15"/>
    </row>
    <row r="98" spans="1:26" ht="15.75" customHeight="1" x14ac:dyDescent="0.25">
      <c r="A98" s="48" t="s">
        <v>2310</v>
      </c>
      <c r="B98" s="41"/>
      <c r="C98" s="43"/>
      <c r="D98" s="43"/>
      <c r="E98" s="43"/>
      <c r="F98" s="43"/>
      <c r="G98" s="45"/>
      <c r="H98" s="44">
        <v>26</v>
      </c>
      <c r="I98" s="387">
        <v>639</v>
      </c>
      <c r="J98" s="387">
        <v>1</v>
      </c>
      <c r="K98" s="387">
        <f t="shared" si="8"/>
        <v>199368</v>
      </c>
      <c r="L98" s="15"/>
      <c r="M98" s="15"/>
      <c r="N98" s="15"/>
      <c r="O98" s="15"/>
      <c r="P98" s="15"/>
      <c r="Q98" s="15"/>
      <c r="R98" s="15"/>
      <c r="S98" s="15"/>
      <c r="T98" s="15"/>
      <c r="U98" s="15"/>
      <c r="V98" s="15"/>
      <c r="W98" s="15"/>
      <c r="X98" s="15"/>
      <c r="Y98" s="15"/>
      <c r="Z98" s="15"/>
    </row>
    <row r="99" spans="1:26" ht="15.75" customHeight="1" x14ac:dyDescent="0.25">
      <c r="A99" s="48" t="s">
        <v>2312</v>
      </c>
      <c r="B99" s="41"/>
      <c r="C99" s="43"/>
      <c r="D99" s="43"/>
      <c r="E99" s="43"/>
      <c r="F99" s="43"/>
      <c r="G99" s="45"/>
      <c r="H99" s="44">
        <v>26</v>
      </c>
      <c r="I99" s="387">
        <v>720</v>
      </c>
      <c r="J99" s="387">
        <v>2</v>
      </c>
      <c r="K99" s="387">
        <f t="shared" si="8"/>
        <v>449280</v>
      </c>
      <c r="L99" s="15"/>
      <c r="M99" s="15"/>
      <c r="N99" s="15"/>
      <c r="O99" s="15"/>
      <c r="P99" s="15"/>
      <c r="Q99" s="15"/>
      <c r="R99" s="15"/>
      <c r="S99" s="15"/>
      <c r="T99" s="15"/>
      <c r="U99" s="15"/>
      <c r="V99" s="15"/>
      <c r="W99" s="15"/>
      <c r="X99" s="15"/>
      <c r="Y99" s="15"/>
      <c r="Z99" s="15"/>
    </row>
    <row r="100" spans="1:26" ht="15.75" customHeight="1" x14ac:dyDescent="0.25">
      <c r="A100" s="293" t="s">
        <v>2313</v>
      </c>
      <c r="B100" s="41"/>
      <c r="C100" s="43"/>
      <c r="D100" s="43"/>
      <c r="E100" s="43"/>
      <c r="F100" s="43"/>
      <c r="G100" s="45"/>
      <c r="H100" s="44"/>
      <c r="I100" s="387"/>
      <c r="J100" s="387"/>
      <c r="K100" s="387">
        <f t="shared" si="8"/>
        <v>0</v>
      </c>
      <c r="L100" s="15"/>
      <c r="M100" s="15"/>
      <c r="N100" s="15"/>
      <c r="O100" s="15"/>
      <c r="P100" s="15"/>
      <c r="Q100" s="15"/>
      <c r="R100" s="15"/>
      <c r="S100" s="15"/>
      <c r="T100" s="15"/>
      <c r="U100" s="15"/>
      <c r="V100" s="15"/>
      <c r="W100" s="15"/>
      <c r="X100" s="15"/>
      <c r="Y100" s="15"/>
      <c r="Z100" s="15"/>
    </row>
    <row r="101" spans="1:26" ht="15.75" customHeight="1" x14ac:dyDescent="0.25">
      <c r="A101" s="48" t="s">
        <v>2314</v>
      </c>
      <c r="B101" s="41"/>
      <c r="C101" s="43"/>
      <c r="D101" s="43"/>
      <c r="E101" s="43"/>
      <c r="F101" s="43"/>
      <c r="G101" s="45"/>
      <c r="H101" s="44"/>
      <c r="I101" s="387"/>
      <c r="J101" s="387"/>
      <c r="K101" s="387">
        <f t="shared" si="8"/>
        <v>0</v>
      </c>
      <c r="L101" s="15"/>
      <c r="M101" s="15"/>
      <c r="N101" s="15"/>
      <c r="O101" s="15"/>
      <c r="P101" s="15"/>
      <c r="Q101" s="15"/>
      <c r="R101" s="15"/>
      <c r="S101" s="15"/>
      <c r="T101" s="15"/>
      <c r="U101" s="15"/>
      <c r="V101" s="15"/>
      <c r="W101" s="15"/>
      <c r="X101" s="15"/>
      <c r="Y101" s="15"/>
      <c r="Z101" s="15"/>
    </row>
    <row r="102" spans="1:26" ht="15.75" customHeight="1" x14ac:dyDescent="0.25">
      <c r="A102" s="48" t="s">
        <v>2315</v>
      </c>
      <c r="B102" s="41"/>
      <c r="C102" s="43"/>
      <c r="D102" s="43"/>
      <c r="E102" s="43"/>
      <c r="F102" s="43"/>
      <c r="G102" s="45"/>
      <c r="H102" s="44">
        <v>22</v>
      </c>
      <c r="I102" s="387">
        <v>861</v>
      </c>
      <c r="J102" s="387">
        <v>1</v>
      </c>
      <c r="K102" s="387">
        <f t="shared" si="8"/>
        <v>227304</v>
      </c>
      <c r="L102" s="15"/>
      <c r="M102" s="15"/>
      <c r="N102" s="15"/>
      <c r="O102" s="15"/>
      <c r="P102" s="15"/>
      <c r="Q102" s="15"/>
      <c r="R102" s="15"/>
      <c r="S102" s="15"/>
      <c r="T102" s="15"/>
      <c r="U102" s="15"/>
      <c r="V102" s="15"/>
      <c r="W102" s="15"/>
      <c r="X102" s="15"/>
      <c r="Y102" s="15"/>
      <c r="Z102" s="15"/>
    </row>
    <row r="103" spans="1:26" ht="15.75" customHeight="1" x14ac:dyDescent="0.25">
      <c r="A103" s="48" t="s">
        <v>2316</v>
      </c>
      <c r="B103" s="41"/>
      <c r="C103" s="43"/>
      <c r="D103" s="43"/>
      <c r="E103" s="43"/>
      <c r="F103" s="43"/>
      <c r="G103" s="45"/>
      <c r="H103" s="44">
        <v>22</v>
      </c>
      <c r="I103" s="387">
        <v>720</v>
      </c>
      <c r="J103" s="387">
        <v>2</v>
      </c>
      <c r="K103" s="387">
        <f t="shared" si="8"/>
        <v>380160</v>
      </c>
      <c r="L103" s="15"/>
      <c r="M103" s="15"/>
      <c r="N103" s="15"/>
      <c r="O103" s="15"/>
      <c r="P103" s="15"/>
      <c r="Q103" s="15"/>
      <c r="R103" s="15"/>
      <c r="S103" s="15"/>
      <c r="T103" s="15"/>
      <c r="U103" s="15"/>
      <c r="V103" s="15"/>
      <c r="W103" s="15"/>
      <c r="X103" s="15"/>
      <c r="Y103" s="15"/>
      <c r="Z103" s="15"/>
    </row>
    <row r="104" spans="1:26" ht="15.75" customHeight="1" x14ac:dyDescent="0.25">
      <c r="A104" s="48" t="s">
        <v>2317</v>
      </c>
      <c r="B104" s="41"/>
      <c r="C104" s="43"/>
      <c r="D104" s="43"/>
      <c r="E104" s="43"/>
      <c r="F104" s="43"/>
      <c r="G104" s="45"/>
      <c r="H104" s="44">
        <v>22</v>
      </c>
      <c r="I104" s="387">
        <v>639</v>
      </c>
      <c r="J104" s="387">
        <v>7</v>
      </c>
      <c r="K104" s="387">
        <f t="shared" si="8"/>
        <v>1180872</v>
      </c>
      <c r="L104" s="15"/>
      <c r="M104" s="15"/>
      <c r="N104" s="15"/>
      <c r="O104" s="15"/>
      <c r="P104" s="15"/>
      <c r="Q104" s="15"/>
      <c r="R104" s="15"/>
      <c r="S104" s="15"/>
      <c r="T104" s="15"/>
      <c r="U104" s="15"/>
      <c r="V104" s="15"/>
      <c r="W104" s="15"/>
      <c r="X104" s="15"/>
      <c r="Y104" s="15"/>
      <c r="Z104" s="15"/>
    </row>
    <row r="105" spans="1:26" ht="15.75" customHeight="1" x14ac:dyDescent="0.25">
      <c r="A105" s="48" t="s">
        <v>2318</v>
      </c>
      <c r="B105" s="41"/>
      <c r="C105" s="43"/>
      <c r="D105" s="43"/>
      <c r="E105" s="43"/>
      <c r="F105" s="43"/>
      <c r="G105" s="45"/>
      <c r="H105" s="44"/>
      <c r="I105" s="387"/>
      <c r="J105" s="387"/>
      <c r="K105" s="387">
        <f t="shared" si="8"/>
        <v>0</v>
      </c>
      <c r="L105" s="15"/>
      <c r="M105" s="15"/>
      <c r="N105" s="15"/>
      <c r="O105" s="15"/>
      <c r="P105" s="15"/>
      <c r="Q105" s="15"/>
      <c r="R105" s="15"/>
      <c r="S105" s="15"/>
      <c r="T105" s="15"/>
      <c r="U105" s="15"/>
      <c r="V105" s="15"/>
      <c r="W105" s="15"/>
      <c r="X105" s="15"/>
      <c r="Y105" s="15"/>
      <c r="Z105" s="15"/>
    </row>
    <row r="106" spans="1:26" ht="15.75" customHeight="1" x14ac:dyDescent="0.25">
      <c r="A106" s="48" t="s">
        <v>2319</v>
      </c>
      <c r="B106" s="41"/>
      <c r="C106" s="43"/>
      <c r="D106" s="43"/>
      <c r="E106" s="43"/>
      <c r="F106" s="43"/>
      <c r="G106" s="45"/>
      <c r="H106" s="44"/>
      <c r="I106" s="387"/>
      <c r="J106" s="387"/>
      <c r="K106" s="387">
        <f t="shared" si="8"/>
        <v>0</v>
      </c>
      <c r="L106" s="15"/>
      <c r="M106" s="15"/>
      <c r="N106" s="15"/>
      <c r="O106" s="15"/>
      <c r="P106" s="15"/>
      <c r="Q106" s="15"/>
      <c r="R106" s="15"/>
      <c r="S106" s="15"/>
      <c r="T106" s="15"/>
      <c r="U106" s="15"/>
      <c r="V106" s="15"/>
      <c r="W106" s="15"/>
      <c r="X106" s="15"/>
      <c r="Y106" s="15"/>
      <c r="Z106" s="15"/>
    </row>
    <row r="107" spans="1:26" ht="15.75" customHeight="1" x14ac:dyDescent="0.25">
      <c r="A107" s="48" t="s">
        <v>2320</v>
      </c>
      <c r="B107" s="41"/>
      <c r="C107" s="43"/>
      <c r="D107" s="43"/>
      <c r="E107" s="43"/>
      <c r="F107" s="43"/>
      <c r="G107" s="45"/>
      <c r="H107" s="44">
        <v>26</v>
      </c>
      <c r="I107" s="387">
        <v>861</v>
      </c>
      <c r="J107" s="387">
        <v>1</v>
      </c>
      <c r="K107" s="387">
        <f t="shared" si="8"/>
        <v>268632</v>
      </c>
      <c r="L107" s="15"/>
      <c r="M107" s="15"/>
      <c r="N107" s="15"/>
      <c r="O107" s="15"/>
      <c r="P107" s="15"/>
      <c r="Q107" s="15"/>
      <c r="R107" s="15"/>
      <c r="S107" s="15"/>
      <c r="T107" s="15"/>
      <c r="U107" s="15"/>
      <c r="V107" s="15"/>
      <c r="W107" s="15"/>
      <c r="X107" s="15"/>
      <c r="Y107" s="15"/>
      <c r="Z107" s="15"/>
    </row>
    <row r="108" spans="1:26" ht="15.75" customHeight="1" x14ac:dyDescent="0.25">
      <c r="A108" s="293" t="s">
        <v>2321</v>
      </c>
      <c r="B108" s="41"/>
      <c r="C108" s="43"/>
      <c r="D108" s="43"/>
      <c r="E108" s="43"/>
      <c r="F108" s="43"/>
      <c r="G108" s="45"/>
      <c r="H108" s="44"/>
      <c r="I108" s="387"/>
      <c r="J108" s="387"/>
      <c r="K108" s="387">
        <f t="shared" si="8"/>
        <v>0</v>
      </c>
      <c r="L108" s="15"/>
      <c r="M108" s="15"/>
      <c r="N108" s="15"/>
      <c r="O108" s="15"/>
      <c r="P108" s="15"/>
      <c r="Q108" s="15"/>
      <c r="R108" s="15"/>
      <c r="S108" s="15"/>
      <c r="T108" s="15"/>
      <c r="U108" s="15"/>
      <c r="V108" s="15"/>
      <c r="W108" s="15"/>
      <c r="X108" s="15"/>
      <c r="Y108" s="15"/>
      <c r="Z108" s="15"/>
    </row>
    <row r="109" spans="1:26" ht="15.75" customHeight="1" x14ac:dyDescent="0.25">
      <c r="A109" s="48" t="s">
        <v>2322</v>
      </c>
      <c r="B109" s="41"/>
      <c r="C109" s="43"/>
      <c r="D109" s="43"/>
      <c r="E109" s="43"/>
      <c r="F109" s="43"/>
      <c r="G109" s="45"/>
      <c r="H109" s="44">
        <v>26</v>
      </c>
      <c r="I109" s="387">
        <v>639</v>
      </c>
      <c r="J109" s="387">
        <v>12</v>
      </c>
      <c r="K109" s="387">
        <f t="shared" si="8"/>
        <v>2392416</v>
      </c>
      <c r="L109" s="15"/>
      <c r="M109" s="15"/>
      <c r="N109" s="15"/>
      <c r="O109" s="15"/>
      <c r="P109" s="15"/>
      <c r="Q109" s="15"/>
      <c r="R109" s="15"/>
      <c r="S109" s="15"/>
      <c r="T109" s="15"/>
      <c r="U109" s="15"/>
      <c r="V109" s="15"/>
      <c r="W109" s="15"/>
      <c r="X109" s="15"/>
      <c r="Y109" s="15"/>
      <c r="Z109" s="15"/>
    </row>
    <row r="110" spans="1:26" ht="15.75" customHeight="1" x14ac:dyDescent="0.25">
      <c r="A110" s="48" t="s">
        <v>2323</v>
      </c>
      <c r="B110" s="41"/>
      <c r="C110" s="43"/>
      <c r="D110" s="43"/>
      <c r="E110" s="43"/>
      <c r="F110" s="43"/>
      <c r="G110" s="45"/>
      <c r="H110" s="44">
        <v>26</v>
      </c>
      <c r="I110" s="387">
        <v>765</v>
      </c>
      <c r="J110" s="387">
        <v>3</v>
      </c>
      <c r="K110" s="387">
        <f t="shared" si="8"/>
        <v>716040</v>
      </c>
      <c r="L110" s="15"/>
      <c r="M110" s="15"/>
      <c r="N110" s="15"/>
      <c r="O110" s="15"/>
      <c r="P110" s="15"/>
      <c r="Q110" s="15"/>
      <c r="R110" s="15"/>
      <c r="S110" s="15"/>
      <c r="T110" s="15"/>
      <c r="U110" s="15"/>
      <c r="V110" s="15"/>
      <c r="W110" s="15"/>
      <c r="X110" s="15"/>
      <c r="Y110" s="15"/>
      <c r="Z110" s="15"/>
    </row>
    <row r="111" spans="1:26" ht="15.75" customHeight="1" x14ac:dyDescent="0.25">
      <c r="A111" s="293" t="s">
        <v>2324</v>
      </c>
      <c r="B111" s="41"/>
      <c r="C111" s="43"/>
      <c r="D111" s="43"/>
      <c r="E111" s="43"/>
      <c r="F111" s="43"/>
      <c r="G111" s="45"/>
      <c r="H111" s="44"/>
      <c r="I111" s="387"/>
      <c r="J111" s="387"/>
      <c r="K111" s="387">
        <f t="shared" si="8"/>
        <v>0</v>
      </c>
      <c r="L111" s="15"/>
      <c r="M111" s="15"/>
      <c r="N111" s="15"/>
      <c r="O111" s="15"/>
      <c r="P111" s="15"/>
      <c r="Q111" s="15"/>
      <c r="R111" s="15"/>
      <c r="S111" s="15"/>
      <c r="T111" s="15"/>
      <c r="U111" s="15"/>
      <c r="V111" s="15"/>
      <c r="W111" s="15"/>
      <c r="X111" s="15"/>
      <c r="Y111" s="15"/>
      <c r="Z111" s="15"/>
    </row>
    <row r="112" spans="1:26" ht="15.75" customHeight="1" x14ac:dyDescent="0.25">
      <c r="A112" s="48" t="s">
        <v>2325</v>
      </c>
      <c r="B112" s="41"/>
      <c r="C112" s="43"/>
      <c r="D112" s="43"/>
      <c r="E112" s="43"/>
      <c r="F112" s="43"/>
      <c r="G112" s="45"/>
      <c r="H112" s="44"/>
      <c r="I112" s="387"/>
      <c r="J112" s="387"/>
      <c r="K112" s="387">
        <f t="shared" si="8"/>
        <v>0</v>
      </c>
      <c r="L112" s="15"/>
      <c r="M112" s="15"/>
      <c r="N112" s="15"/>
      <c r="O112" s="15"/>
      <c r="P112" s="15"/>
      <c r="Q112" s="15"/>
      <c r="R112" s="15"/>
      <c r="S112" s="15"/>
      <c r="T112" s="15"/>
      <c r="U112" s="15"/>
      <c r="V112" s="15"/>
      <c r="W112" s="15"/>
      <c r="X112" s="15"/>
      <c r="Y112" s="15"/>
      <c r="Z112" s="15"/>
    </row>
    <row r="113" spans="1:26" ht="15.75" customHeight="1" x14ac:dyDescent="0.25">
      <c r="A113" s="48" t="s">
        <v>2326</v>
      </c>
      <c r="B113" s="41"/>
      <c r="C113" s="43"/>
      <c r="D113" s="43"/>
      <c r="E113" s="43"/>
      <c r="F113" s="43"/>
      <c r="G113" s="45"/>
      <c r="H113" s="44"/>
      <c r="I113" s="387"/>
      <c r="J113" s="387"/>
      <c r="K113" s="387">
        <f t="shared" si="8"/>
        <v>0</v>
      </c>
      <c r="L113" s="15"/>
      <c r="M113" s="15"/>
      <c r="N113" s="15"/>
      <c r="O113" s="15"/>
      <c r="P113" s="15"/>
      <c r="Q113" s="15"/>
      <c r="R113" s="15"/>
      <c r="S113" s="15"/>
      <c r="T113" s="15"/>
      <c r="U113" s="15"/>
      <c r="V113" s="15"/>
      <c r="W113" s="15"/>
      <c r="X113" s="15"/>
      <c r="Y113" s="15"/>
      <c r="Z113" s="15"/>
    </row>
    <row r="114" spans="1:26" ht="15.75" customHeight="1" x14ac:dyDescent="0.25">
      <c r="A114" s="48" t="s">
        <v>2305</v>
      </c>
      <c r="B114" s="41"/>
      <c r="C114" s="43"/>
      <c r="D114" s="43"/>
      <c r="E114" s="43"/>
      <c r="F114" s="43"/>
      <c r="G114" s="45"/>
      <c r="H114" s="44">
        <v>26</v>
      </c>
      <c r="I114" s="387">
        <v>678</v>
      </c>
      <c r="J114" s="387">
        <v>2</v>
      </c>
      <c r="K114" s="387">
        <f t="shared" si="8"/>
        <v>423072</v>
      </c>
      <c r="L114" s="15"/>
      <c r="M114" s="15"/>
      <c r="N114" s="15"/>
      <c r="O114" s="15"/>
      <c r="P114" s="15"/>
      <c r="Q114" s="15"/>
      <c r="R114" s="15"/>
      <c r="S114" s="15"/>
      <c r="T114" s="15"/>
      <c r="U114" s="15"/>
      <c r="V114" s="15"/>
      <c r="W114" s="15"/>
      <c r="X114" s="15"/>
      <c r="Y114" s="15"/>
      <c r="Z114" s="15"/>
    </row>
    <row r="115" spans="1:26" ht="15.75" customHeight="1" x14ac:dyDescent="0.25">
      <c r="A115" s="685" t="s">
        <v>2306</v>
      </c>
      <c r="B115" s="483"/>
      <c r="C115" s="457"/>
      <c r="D115" s="457"/>
      <c r="E115" s="457"/>
      <c r="F115" s="457"/>
      <c r="G115" s="452"/>
      <c r="H115" s="44"/>
      <c r="I115" s="387"/>
      <c r="J115" s="387"/>
      <c r="K115" s="387">
        <f t="shared" si="8"/>
        <v>0</v>
      </c>
      <c r="L115" s="15"/>
      <c r="M115" s="15"/>
      <c r="N115" s="15"/>
      <c r="O115" s="15"/>
      <c r="P115" s="15"/>
      <c r="Q115" s="15"/>
      <c r="R115" s="15"/>
      <c r="S115" s="15"/>
      <c r="T115" s="15"/>
      <c r="U115" s="15"/>
      <c r="V115" s="15"/>
      <c r="W115" s="15"/>
      <c r="X115" s="15"/>
      <c r="Y115" s="15"/>
      <c r="Z115" s="15"/>
    </row>
    <row r="116" spans="1:26" ht="15.75" customHeight="1" x14ac:dyDescent="0.25">
      <c r="A116" s="615" t="s">
        <v>2327</v>
      </c>
      <c r="B116" s="601"/>
      <c r="C116" s="448"/>
      <c r="D116" s="448"/>
      <c r="E116" s="448"/>
      <c r="F116" s="448"/>
      <c r="G116" s="449"/>
      <c r="H116" s="44"/>
      <c r="I116" s="387"/>
      <c r="J116" s="387"/>
      <c r="K116" s="387">
        <f t="shared" si="8"/>
        <v>0</v>
      </c>
      <c r="L116" s="15"/>
      <c r="M116" s="15"/>
      <c r="N116" s="15"/>
      <c r="O116" s="15"/>
      <c r="P116" s="15"/>
      <c r="Q116" s="15"/>
      <c r="R116" s="15"/>
      <c r="S116" s="15"/>
      <c r="T116" s="15"/>
      <c r="U116" s="15"/>
      <c r="V116" s="15"/>
      <c r="W116" s="15"/>
      <c r="X116" s="15"/>
      <c r="Y116" s="15"/>
      <c r="Z116" s="15"/>
    </row>
    <row r="117" spans="1:26" ht="15.75" customHeight="1" x14ac:dyDescent="0.25">
      <c r="A117" s="48" t="s">
        <v>2328</v>
      </c>
      <c r="B117" s="41"/>
      <c r="C117" s="43"/>
      <c r="D117" s="43"/>
      <c r="E117" s="43"/>
      <c r="F117" s="43"/>
      <c r="G117" s="45"/>
      <c r="H117" s="44"/>
      <c r="I117" s="387"/>
      <c r="J117" s="387"/>
      <c r="K117" s="387">
        <f t="shared" si="8"/>
        <v>0</v>
      </c>
      <c r="L117" s="15"/>
      <c r="M117" s="15"/>
      <c r="N117" s="15"/>
      <c r="O117" s="15"/>
      <c r="P117" s="15"/>
      <c r="Q117" s="15"/>
      <c r="R117" s="15"/>
      <c r="S117" s="15"/>
      <c r="T117" s="15"/>
      <c r="U117" s="15"/>
      <c r="V117" s="15"/>
      <c r="W117" s="15"/>
      <c r="X117" s="15"/>
      <c r="Y117" s="15"/>
      <c r="Z117" s="15"/>
    </row>
    <row r="118" spans="1:26" ht="15.75" customHeight="1" x14ac:dyDescent="0.25">
      <c r="A118" s="48" t="s">
        <v>2329</v>
      </c>
      <c r="B118" s="41"/>
      <c r="C118" s="43"/>
      <c r="D118" s="43"/>
      <c r="E118" s="43"/>
      <c r="F118" s="43"/>
      <c r="G118" s="45"/>
      <c r="H118" s="44">
        <v>26</v>
      </c>
      <c r="I118" s="387">
        <v>1466</v>
      </c>
      <c r="J118" s="387">
        <v>35</v>
      </c>
      <c r="K118" s="387">
        <f t="shared" si="8"/>
        <v>16008720</v>
      </c>
      <c r="L118" s="15"/>
      <c r="M118" s="15"/>
      <c r="N118" s="15"/>
      <c r="O118" s="15"/>
      <c r="P118" s="15"/>
      <c r="Q118" s="15"/>
      <c r="R118" s="15"/>
      <c r="S118" s="15"/>
      <c r="T118" s="15"/>
      <c r="U118" s="15"/>
      <c r="V118" s="15"/>
      <c r="W118" s="15"/>
      <c r="X118" s="15"/>
      <c r="Y118" s="15"/>
      <c r="Z118" s="15"/>
    </row>
    <row r="119" spans="1:26" ht="15.75" customHeight="1" x14ac:dyDescent="0.25">
      <c r="A119" s="48" t="s">
        <v>2330</v>
      </c>
      <c r="B119" s="41"/>
      <c r="C119" s="43"/>
      <c r="D119" s="43"/>
      <c r="E119" s="43"/>
      <c r="F119" s="43"/>
      <c r="G119" s="45"/>
      <c r="H119" s="44"/>
      <c r="I119" s="387"/>
      <c r="J119" s="387"/>
      <c r="K119" s="387">
        <f t="shared" si="8"/>
        <v>0</v>
      </c>
      <c r="L119" s="15"/>
      <c r="M119" s="15"/>
      <c r="N119" s="15"/>
      <c r="O119" s="15"/>
      <c r="P119" s="15"/>
      <c r="Q119" s="15"/>
      <c r="R119" s="15"/>
      <c r="S119" s="15"/>
      <c r="T119" s="15"/>
      <c r="U119" s="15"/>
      <c r="V119" s="15"/>
      <c r="W119" s="15"/>
      <c r="X119" s="15"/>
      <c r="Y119" s="15"/>
      <c r="Z119" s="15"/>
    </row>
    <row r="120" spans="1:26" ht="15.75" customHeight="1" x14ac:dyDescent="0.25">
      <c r="A120" s="48" t="s">
        <v>2331</v>
      </c>
      <c r="B120" s="41"/>
      <c r="C120" s="43"/>
      <c r="D120" s="43"/>
      <c r="E120" s="43"/>
      <c r="F120" s="43"/>
      <c r="G120" s="45"/>
      <c r="H120" s="44">
        <v>26</v>
      </c>
      <c r="I120" s="387">
        <v>974</v>
      </c>
      <c r="J120" s="387">
        <v>6</v>
      </c>
      <c r="K120" s="387">
        <f t="shared" si="8"/>
        <v>1823328</v>
      </c>
      <c r="L120" s="15"/>
      <c r="M120" s="15"/>
      <c r="N120" s="15"/>
      <c r="O120" s="15"/>
      <c r="P120" s="15"/>
      <c r="Q120" s="15"/>
      <c r="R120" s="15"/>
      <c r="S120" s="15"/>
      <c r="T120" s="15"/>
      <c r="U120" s="15"/>
      <c r="V120" s="15"/>
      <c r="W120" s="15"/>
      <c r="X120" s="15"/>
      <c r="Y120" s="15"/>
      <c r="Z120" s="15"/>
    </row>
    <row r="121" spans="1:26" ht="15.75" customHeight="1" x14ac:dyDescent="0.25">
      <c r="A121" s="48" t="s">
        <v>2332</v>
      </c>
      <c r="B121" s="41"/>
      <c r="C121" s="43"/>
      <c r="D121" s="43"/>
      <c r="E121" s="43"/>
      <c r="F121" s="43"/>
      <c r="G121" s="45"/>
      <c r="H121" s="44"/>
      <c r="I121" s="387"/>
      <c r="J121" s="387"/>
      <c r="K121" s="387">
        <f t="shared" si="8"/>
        <v>0</v>
      </c>
      <c r="L121" s="15"/>
      <c r="M121" s="15"/>
      <c r="N121" s="15"/>
      <c r="O121" s="15"/>
      <c r="P121" s="15"/>
      <c r="Q121" s="15"/>
      <c r="R121" s="15"/>
      <c r="S121" s="15"/>
      <c r="T121" s="15"/>
      <c r="U121" s="15"/>
      <c r="V121" s="15"/>
      <c r="W121" s="15"/>
      <c r="X121" s="15"/>
      <c r="Y121" s="15"/>
      <c r="Z121" s="15"/>
    </row>
    <row r="122" spans="1:26" ht="15.75" customHeight="1" x14ac:dyDescent="0.25">
      <c r="A122" s="48" t="s">
        <v>2333</v>
      </c>
      <c r="B122" s="41"/>
      <c r="C122" s="43"/>
      <c r="D122" s="43"/>
      <c r="E122" s="43"/>
      <c r="F122" s="43"/>
      <c r="G122" s="45"/>
      <c r="H122" s="44">
        <v>22</v>
      </c>
      <c r="I122" s="387">
        <v>678</v>
      </c>
      <c r="J122" s="387">
        <v>3</v>
      </c>
      <c r="K122" s="387">
        <f t="shared" si="8"/>
        <v>536976</v>
      </c>
      <c r="L122" s="15"/>
      <c r="M122" s="15"/>
      <c r="N122" s="15"/>
      <c r="O122" s="15"/>
      <c r="P122" s="15"/>
      <c r="Q122" s="15"/>
      <c r="R122" s="15"/>
      <c r="S122" s="15"/>
      <c r="T122" s="15"/>
      <c r="U122" s="15"/>
      <c r="V122" s="15"/>
      <c r="W122" s="15"/>
      <c r="X122" s="15"/>
      <c r="Y122" s="15"/>
      <c r="Z122" s="15"/>
    </row>
    <row r="123" spans="1:26" ht="15.75" customHeight="1" x14ac:dyDescent="0.25">
      <c r="A123" s="48" t="s">
        <v>2334</v>
      </c>
      <c r="B123" s="41"/>
      <c r="C123" s="43"/>
      <c r="D123" s="43"/>
      <c r="E123" s="43"/>
      <c r="F123" s="43"/>
      <c r="G123" s="45"/>
      <c r="H123" s="44">
        <v>22</v>
      </c>
      <c r="I123" s="387">
        <v>639</v>
      </c>
      <c r="J123" s="387">
        <v>5</v>
      </c>
      <c r="K123" s="387">
        <f t="shared" si="8"/>
        <v>843480</v>
      </c>
      <c r="L123" s="15"/>
      <c r="M123" s="15"/>
      <c r="N123" s="15"/>
      <c r="O123" s="15"/>
      <c r="P123" s="15"/>
      <c r="Q123" s="15"/>
      <c r="R123" s="15"/>
      <c r="S123" s="15"/>
      <c r="T123" s="15"/>
      <c r="U123" s="15"/>
      <c r="V123" s="15"/>
      <c r="W123" s="15"/>
      <c r="X123" s="15"/>
      <c r="Y123" s="15"/>
      <c r="Z123" s="15"/>
    </row>
    <row r="124" spans="1:26" ht="15.75" customHeight="1" x14ac:dyDescent="0.25">
      <c r="A124" s="48" t="s">
        <v>2335</v>
      </c>
      <c r="B124" s="41"/>
      <c r="C124" s="43"/>
      <c r="D124" s="43"/>
      <c r="E124" s="43"/>
      <c r="F124" s="43"/>
      <c r="G124" s="45"/>
      <c r="H124" s="44">
        <v>26</v>
      </c>
      <c r="I124" s="387">
        <v>678</v>
      </c>
      <c r="J124" s="387">
        <v>4</v>
      </c>
      <c r="K124" s="387">
        <f t="shared" si="8"/>
        <v>846144</v>
      </c>
      <c r="L124" s="15"/>
      <c r="M124" s="15"/>
      <c r="N124" s="15"/>
      <c r="O124" s="15"/>
      <c r="P124" s="15"/>
      <c r="Q124" s="15"/>
      <c r="R124" s="15"/>
      <c r="S124" s="15"/>
      <c r="T124" s="15"/>
      <c r="U124" s="15"/>
      <c r="V124" s="15"/>
      <c r="W124" s="15"/>
      <c r="X124" s="15"/>
      <c r="Y124" s="15"/>
      <c r="Z124" s="15"/>
    </row>
    <row r="125" spans="1:26" ht="15.75" customHeight="1" x14ac:dyDescent="0.25">
      <c r="A125" s="293" t="s">
        <v>2336</v>
      </c>
      <c r="B125" s="41"/>
      <c r="C125" s="43"/>
      <c r="D125" s="43"/>
      <c r="E125" s="43"/>
      <c r="F125" s="43"/>
      <c r="G125" s="45"/>
      <c r="H125" s="44"/>
      <c r="I125" s="387"/>
      <c r="J125" s="387"/>
      <c r="K125" s="387">
        <f t="shared" si="8"/>
        <v>0</v>
      </c>
      <c r="L125" s="15"/>
      <c r="M125" s="15"/>
      <c r="N125" s="15"/>
      <c r="O125" s="15"/>
      <c r="P125" s="15"/>
      <c r="Q125" s="15"/>
      <c r="R125" s="15"/>
      <c r="S125" s="15"/>
      <c r="T125" s="15"/>
      <c r="U125" s="15"/>
      <c r="V125" s="15"/>
      <c r="W125" s="15"/>
      <c r="X125" s="15"/>
      <c r="Y125" s="15"/>
      <c r="Z125" s="15"/>
    </row>
    <row r="126" spans="1:26" ht="15.75" customHeight="1" x14ac:dyDescent="0.25">
      <c r="A126" s="48" t="s">
        <v>2337</v>
      </c>
      <c r="B126" s="41"/>
      <c r="C126" s="43"/>
      <c r="D126" s="43"/>
      <c r="E126" s="43"/>
      <c r="F126" s="43"/>
      <c r="G126" s="45"/>
      <c r="H126" s="44"/>
      <c r="I126" s="387"/>
      <c r="J126" s="387"/>
      <c r="K126" s="387">
        <f t="shared" si="8"/>
        <v>0</v>
      </c>
      <c r="L126" s="15"/>
      <c r="M126" s="15"/>
      <c r="N126" s="15"/>
      <c r="O126" s="15"/>
      <c r="P126" s="15"/>
      <c r="Q126" s="15"/>
      <c r="R126" s="15"/>
      <c r="S126" s="15"/>
      <c r="T126" s="15"/>
      <c r="U126" s="15"/>
      <c r="V126" s="15"/>
      <c r="W126" s="15"/>
      <c r="X126" s="15"/>
      <c r="Y126" s="15"/>
      <c r="Z126" s="15"/>
    </row>
    <row r="127" spans="1:26" ht="15.75" customHeight="1" x14ac:dyDescent="0.25">
      <c r="A127" s="48" t="s">
        <v>2338</v>
      </c>
      <c r="B127" s="41"/>
      <c r="C127" s="43"/>
      <c r="D127" s="43"/>
      <c r="E127" s="43"/>
      <c r="F127" s="43"/>
      <c r="G127" s="45"/>
      <c r="H127" s="44">
        <v>26</v>
      </c>
      <c r="I127" s="387">
        <v>1466</v>
      </c>
      <c r="J127" s="387">
        <v>1</v>
      </c>
      <c r="K127" s="387">
        <f t="shared" si="8"/>
        <v>457392</v>
      </c>
      <c r="L127" s="15"/>
      <c r="M127" s="15"/>
      <c r="N127" s="15"/>
      <c r="O127" s="15"/>
      <c r="P127" s="15"/>
      <c r="Q127" s="15"/>
      <c r="R127" s="15"/>
      <c r="S127" s="15"/>
      <c r="T127" s="15"/>
      <c r="U127" s="15"/>
      <c r="V127" s="15"/>
      <c r="W127" s="15"/>
      <c r="X127" s="15"/>
      <c r="Y127" s="15"/>
      <c r="Z127" s="15"/>
    </row>
    <row r="128" spans="1:26" ht="15.75" customHeight="1" x14ac:dyDescent="0.25">
      <c r="A128" s="48" t="s">
        <v>2339</v>
      </c>
      <c r="B128" s="41"/>
      <c r="C128" s="43"/>
      <c r="D128" s="43"/>
      <c r="E128" s="43"/>
      <c r="F128" s="43"/>
      <c r="G128" s="45"/>
      <c r="H128" s="44">
        <v>26</v>
      </c>
      <c r="I128" s="387">
        <v>678</v>
      </c>
      <c r="J128" s="387">
        <v>4</v>
      </c>
      <c r="K128" s="387">
        <f t="shared" si="8"/>
        <v>846144</v>
      </c>
      <c r="L128" s="15"/>
      <c r="M128" s="15"/>
      <c r="N128" s="15"/>
      <c r="O128" s="15"/>
      <c r="P128" s="15"/>
      <c r="Q128" s="15"/>
      <c r="R128" s="15"/>
      <c r="S128" s="15"/>
      <c r="T128" s="15"/>
      <c r="U128" s="15"/>
      <c r="V128" s="15"/>
      <c r="W128" s="15"/>
      <c r="X128" s="15"/>
      <c r="Y128" s="15"/>
      <c r="Z128" s="15"/>
    </row>
    <row r="129" spans="1:26" ht="15.75" customHeight="1" x14ac:dyDescent="0.25">
      <c r="A129" s="48" t="s">
        <v>2340</v>
      </c>
      <c r="B129" s="41"/>
      <c r="C129" s="43"/>
      <c r="D129" s="43"/>
      <c r="E129" s="43"/>
      <c r="F129" s="43"/>
      <c r="G129" s="45"/>
      <c r="H129" s="44">
        <v>22</v>
      </c>
      <c r="I129" s="387">
        <v>639</v>
      </c>
      <c r="J129" s="387">
        <v>1</v>
      </c>
      <c r="K129" s="387">
        <f t="shared" si="8"/>
        <v>168696</v>
      </c>
      <c r="L129" s="15"/>
      <c r="M129" s="15"/>
      <c r="N129" s="15"/>
      <c r="O129" s="15"/>
      <c r="P129" s="15"/>
      <c r="Q129" s="15"/>
      <c r="R129" s="15"/>
      <c r="S129" s="15"/>
      <c r="T129" s="15"/>
      <c r="U129" s="15"/>
      <c r="V129" s="15"/>
      <c r="W129" s="15"/>
      <c r="X129" s="15"/>
      <c r="Y129" s="15"/>
      <c r="Z129" s="15"/>
    </row>
    <row r="130" spans="1:26" ht="15.75" customHeight="1" x14ac:dyDescent="0.25">
      <c r="A130" s="460" t="s">
        <v>2293</v>
      </c>
      <c r="B130" s="454"/>
      <c r="C130" s="443"/>
      <c r="D130" s="443"/>
      <c r="E130" s="443"/>
      <c r="F130" s="443"/>
      <c r="G130" s="462"/>
      <c r="H130" s="515">
        <v>26</v>
      </c>
      <c r="I130" s="387">
        <v>678</v>
      </c>
      <c r="J130" s="387">
        <v>1</v>
      </c>
      <c r="K130" s="387">
        <f t="shared" si="8"/>
        <v>211536</v>
      </c>
      <c r="L130" s="15"/>
      <c r="M130" s="15"/>
      <c r="N130" s="15"/>
      <c r="O130" s="15"/>
      <c r="P130" s="15"/>
      <c r="Q130" s="15"/>
      <c r="R130" s="15"/>
      <c r="S130" s="15"/>
      <c r="T130" s="15"/>
      <c r="U130" s="15"/>
      <c r="V130" s="15"/>
      <c r="W130" s="15"/>
      <c r="X130" s="15"/>
      <c r="Y130" s="15"/>
      <c r="Z130" s="15"/>
    </row>
    <row r="131" spans="1:26" ht="15.75" customHeight="1" x14ac:dyDescent="0.25">
      <c r="A131" s="546" t="s">
        <v>2294</v>
      </c>
      <c r="B131" s="454"/>
      <c r="C131" s="443"/>
      <c r="D131" s="443"/>
      <c r="E131" s="443"/>
      <c r="F131" s="443"/>
      <c r="G131" s="462"/>
      <c r="H131" s="515"/>
      <c r="I131" s="387"/>
      <c r="J131" s="387"/>
      <c r="K131" s="387">
        <f t="shared" si="8"/>
        <v>0</v>
      </c>
      <c r="L131" s="15"/>
      <c r="M131" s="15"/>
      <c r="N131" s="15"/>
      <c r="O131" s="15"/>
      <c r="P131" s="15"/>
      <c r="Q131" s="15"/>
      <c r="R131" s="15"/>
      <c r="S131" s="15"/>
      <c r="T131" s="15"/>
      <c r="U131" s="15"/>
      <c r="V131" s="15"/>
      <c r="W131" s="15"/>
      <c r="X131" s="15"/>
      <c r="Y131" s="15"/>
      <c r="Z131" s="15"/>
    </row>
    <row r="132" spans="1:26" ht="15.75" customHeight="1" x14ac:dyDescent="0.25">
      <c r="A132" s="48" t="s">
        <v>2341</v>
      </c>
      <c r="B132" s="49"/>
      <c r="C132" s="43"/>
      <c r="D132" s="43"/>
      <c r="E132" s="43"/>
      <c r="F132" s="43"/>
      <c r="G132" s="45"/>
      <c r="H132" s="44"/>
      <c r="I132" s="387"/>
      <c r="J132" s="387"/>
      <c r="K132" s="387">
        <f t="shared" si="8"/>
        <v>0</v>
      </c>
      <c r="L132" s="15"/>
      <c r="M132" s="15"/>
      <c r="N132" s="15"/>
      <c r="O132" s="15"/>
      <c r="P132" s="15"/>
      <c r="Q132" s="15"/>
      <c r="R132" s="15"/>
      <c r="S132" s="15"/>
      <c r="T132" s="15"/>
      <c r="U132" s="15"/>
      <c r="V132" s="15"/>
      <c r="W132" s="15"/>
      <c r="X132" s="15"/>
      <c r="Y132" s="15"/>
      <c r="Z132" s="15"/>
    </row>
    <row r="133" spans="1:26" ht="15.75" customHeight="1" x14ac:dyDescent="0.25">
      <c r="A133" s="48" t="s">
        <v>2342</v>
      </c>
      <c r="B133" s="49"/>
      <c r="C133" s="43"/>
      <c r="D133" s="43"/>
      <c r="E133" s="43"/>
      <c r="F133" s="43"/>
      <c r="G133" s="45"/>
      <c r="H133" s="44">
        <v>26</v>
      </c>
      <c r="I133" s="387">
        <v>861</v>
      </c>
      <c r="J133" s="387">
        <v>3</v>
      </c>
      <c r="K133" s="387">
        <f t="shared" si="8"/>
        <v>805896</v>
      </c>
      <c r="L133" s="15"/>
      <c r="M133" s="15"/>
      <c r="N133" s="15"/>
      <c r="O133" s="15"/>
      <c r="P133" s="15"/>
      <c r="Q133" s="15"/>
      <c r="R133" s="15"/>
      <c r="S133" s="15"/>
      <c r="T133" s="15"/>
      <c r="U133" s="15"/>
      <c r="V133" s="15"/>
      <c r="W133" s="15"/>
      <c r="X133" s="15"/>
      <c r="Y133" s="15"/>
      <c r="Z133" s="15"/>
    </row>
    <row r="134" spans="1:26" ht="15.75" customHeight="1" x14ac:dyDescent="0.25">
      <c r="A134" s="48" t="s">
        <v>2343</v>
      </c>
      <c r="B134" s="41"/>
      <c r="C134" s="43"/>
      <c r="D134" s="43"/>
      <c r="E134" s="43"/>
      <c r="F134" s="43"/>
      <c r="G134" s="45"/>
      <c r="H134" s="44"/>
      <c r="I134" s="387"/>
      <c r="J134" s="387"/>
      <c r="K134" s="387">
        <f t="shared" si="8"/>
        <v>0</v>
      </c>
      <c r="L134" s="15"/>
      <c r="M134" s="15"/>
      <c r="N134" s="15"/>
      <c r="O134" s="15"/>
      <c r="P134" s="15"/>
      <c r="Q134" s="15"/>
      <c r="R134" s="15"/>
      <c r="S134" s="15"/>
      <c r="T134" s="15"/>
      <c r="U134" s="15"/>
      <c r="V134" s="15"/>
      <c r="W134" s="15"/>
      <c r="X134" s="15"/>
      <c r="Y134" s="15"/>
      <c r="Z134" s="15"/>
    </row>
    <row r="135" spans="1:26" ht="15.75" customHeight="1" x14ac:dyDescent="0.25">
      <c r="A135" s="48" t="s">
        <v>2344</v>
      </c>
      <c r="B135" s="41"/>
      <c r="C135" s="43"/>
      <c r="D135" s="43"/>
      <c r="E135" s="43"/>
      <c r="F135" s="43"/>
      <c r="G135" s="45"/>
      <c r="H135" s="44">
        <v>26</v>
      </c>
      <c r="I135" s="387">
        <v>974</v>
      </c>
      <c r="J135" s="387">
        <v>3</v>
      </c>
      <c r="K135" s="387">
        <f t="shared" si="8"/>
        <v>911664</v>
      </c>
      <c r="L135" s="15"/>
      <c r="M135" s="15"/>
      <c r="N135" s="15"/>
      <c r="O135" s="15"/>
      <c r="P135" s="15"/>
      <c r="Q135" s="15"/>
      <c r="R135" s="15"/>
      <c r="S135" s="15"/>
      <c r="T135" s="15"/>
      <c r="U135" s="15"/>
      <c r="V135" s="15"/>
      <c r="W135" s="15"/>
      <c r="X135" s="15"/>
      <c r="Y135" s="15"/>
      <c r="Z135" s="15"/>
    </row>
    <row r="136" spans="1:26" ht="15.75" customHeight="1" x14ac:dyDescent="0.25">
      <c r="A136" s="48" t="s">
        <v>2345</v>
      </c>
      <c r="B136" s="41"/>
      <c r="C136" s="43"/>
      <c r="D136" s="43"/>
      <c r="E136" s="43"/>
      <c r="F136" s="43"/>
      <c r="G136" s="45"/>
      <c r="H136" s="44"/>
      <c r="I136" s="387"/>
      <c r="J136" s="387"/>
      <c r="K136" s="387">
        <f t="shared" si="8"/>
        <v>0</v>
      </c>
      <c r="L136" s="15"/>
      <c r="M136" s="15"/>
      <c r="N136" s="15"/>
      <c r="O136" s="15"/>
      <c r="P136" s="15"/>
      <c r="Q136" s="15"/>
      <c r="R136" s="15"/>
      <c r="S136" s="15"/>
      <c r="T136" s="15"/>
      <c r="U136" s="15"/>
      <c r="V136" s="15"/>
      <c r="W136" s="15"/>
      <c r="X136" s="15"/>
      <c r="Y136" s="15"/>
      <c r="Z136" s="15"/>
    </row>
    <row r="137" spans="1:26" ht="15.75" customHeight="1" x14ac:dyDescent="0.25">
      <c r="A137" s="48" t="s">
        <v>2346</v>
      </c>
      <c r="B137" s="41"/>
      <c r="C137" s="43"/>
      <c r="D137" s="43"/>
      <c r="E137" s="43"/>
      <c r="F137" s="43"/>
      <c r="G137" s="45"/>
      <c r="H137" s="44">
        <v>26</v>
      </c>
      <c r="I137" s="387">
        <v>765</v>
      </c>
      <c r="J137" s="387">
        <v>6</v>
      </c>
      <c r="K137" s="387">
        <f t="shared" si="8"/>
        <v>1432080</v>
      </c>
      <c r="L137" s="15"/>
      <c r="M137" s="15"/>
      <c r="N137" s="15"/>
      <c r="O137" s="15"/>
      <c r="P137" s="15"/>
      <c r="Q137" s="15"/>
      <c r="R137" s="15"/>
      <c r="S137" s="15"/>
      <c r="T137" s="15"/>
      <c r="U137" s="15"/>
      <c r="V137" s="15"/>
      <c r="W137" s="15"/>
      <c r="X137" s="15"/>
      <c r="Y137" s="15"/>
      <c r="Z137" s="15"/>
    </row>
    <row r="138" spans="1:26" ht="15.75" customHeight="1" x14ac:dyDescent="0.25">
      <c r="A138" s="293" t="s">
        <v>2347</v>
      </c>
      <c r="B138" s="41"/>
      <c r="C138" s="43"/>
      <c r="D138" s="43"/>
      <c r="E138" s="43"/>
      <c r="F138" s="43"/>
      <c r="G138" s="45"/>
      <c r="H138" s="44"/>
      <c r="I138" s="387"/>
      <c r="J138" s="387"/>
      <c r="K138" s="387">
        <f t="shared" si="8"/>
        <v>0</v>
      </c>
      <c r="L138" s="15"/>
      <c r="M138" s="15"/>
      <c r="N138" s="15"/>
      <c r="O138" s="15"/>
      <c r="P138" s="15"/>
      <c r="Q138" s="15"/>
      <c r="R138" s="15"/>
      <c r="S138" s="15"/>
      <c r="T138" s="15"/>
      <c r="U138" s="15"/>
      <c r="V138" s="15"/>
      <c r="W138" s="15"/>
      <c r="X138" s="15"/>
      <c r="Y138" s="15"/>
      <c r="Z138" s="15"/>
    </row>
    <row r="139" spans="1:26" ht="15.75" customHeight="1" x14ac:dyDescent="0.25">
      <c r="A139" s="48" t="s">
        <v>2348</v>
      </c>
      <c r="B139" s="41"/>
      <c r="C139" s="43"/>
      <c r="D139" s="43"/>
      <c r="E139" s="43"/>
      <c r="F139" s="43"/>
      <c r="G139" s="45"/>
      <c r="H139" s="44">
        <v>26</v>
      </c>
      <c r="I139" s="387">
        <v>765</v>
      </c>
      <c r="J139" s="387">
        <v>6</v>
      </c>
      <c r="K139" s="387">
        <f t="shared" si="8"/>
        <v>1432080</v>
      </c>
      <c r="L139" s="15"/>
      <c r="M139" s="15"/>
      <c r="N139" s="15"/>
      <c r="O139" s="15"/>
      <c r="P139" s="15"/>
      <c r="Q139" s="15"/>
      <c r="R139" s="15"/>
      <c r="S139" s="15"/>
      <c r="T139" s="15"/>
      <c r="U139" s="15"/>
      <c r="V139" s="15"/>
      <c r="W139" s="15"/>
      <c r="X139" s="15"/>
      <c r="Y139" s="15"/>
      <c r="Z139" s="15"/>
    </row>
    <row r="140" spans="1:26" ht="15.75" customHeight="1" x14ac:dyDescent="0.25">
      <c r="A140" s="293" t="s">
        <v>2347</v>
      </c>
      <c r="B140" s="41"/>
      <c r="C140" s="43"/>
      <c r="D140" s="43"/>
      <c r="E140" s="43"/>
      <c r="F140" s="43"/>
      <c r="G140" s="45"/>
      <c r="H140" s="44"/>
      <c r="I140" s="387"/>
      <c r="J140" s="387"/>
      <c r="K140" s="387">
        <f t="shared" si="8"/>
        <v>0</v>
      </c>
      <c r="L140" s="15"/>
      <c r="M140" s="15"/>
      <c r="N140" s="15"/>
      <c r="O140" s="15"/>
      <c r="P140" s="15"/>
      <c r="Q140" s="15"/>
      <c r="R140" s="15"/>
      <c r="S140" s="15"/>
      <c r="T140" s="15"/>
      <c r="U140" s="15"/>
      <c r="V140" s="15"/>
      <c r="W140" s="15"/>
      <c r="X140" s="15"/>
      <c r="Y140" s="15"/>
      <c r="Z140" s="15"/>
    </row>
    <row r="141" spans="1:26" ht="15.75" customHeight="1" x14ac:dyDescent="0.25">
      <c r="A141" s="48" t="s">
        <v>2349</v>
      </c>
      <c r="B141" s="41"/>
      <c r="C141" s="43"/>
      <c r="D141" s="43"/>
      <c r="E141" s="43"/>
      <c r="F141" s="43"/>
      <c r="G141" s="45"/>
      <c r="H141" s="44">
        <v>26</v>
      </c>
      <c r="I141" s="387">
        <v>765</v>
      </c>
      <c r="J141" s="387">
        <v>3</v>
      </c>
      <c r="K141" s="387">
        <f t="shared" si="8"/>
        <v>716040</v>
      </c>
      <c r="L141" s="15"/>
      <c r="M141" s="15"/>
      <c r="N141" s="15"/>
      <c r="O141" s="15"/>
      <c r="P141" s="15"/>
      <c r="Q141" s="15"/>
      <c r="R141" s="15"/>
      <c r="S141" s="15"/>
      <c r="T141" s="15"/>
      <c r="U141" s="15"/>
      <c r="V141" s="15"/>
      <c r="W141" s="15"/>
      <c r="X141" s="15"/>
      <c r="Y141" s="15"/>
      <c r="Z141" s="15"/>
    </row>
    <row r="142" spans="1:26" ht="15.75" customHeight="1" x14ac:dyDescent="0.25">
      <c r="A142" s="48" t="s">
        <v>2350</v>
      </c>
      <c r="B142" s="41"/>
      <c r="C142" s="43"/>
      <c r="D142" s="43"/>
      <c r="E142" s="43"/>
      <c r="F142" s="43"/>
      <c r="G142" s="45"/>
      <c r="H142" s="44"/>
      <c r="I142" s="387"/>
      <c r="J142" s="387"/>
      <c r="K142" s="387">
        <f t="shared" si="8"/>
        <v>0</v>
      </c>
      <c r="L142" s="15"/>
      <c r="M142" s="15"/>
      <c r="N142" s="15"/>
      <c r="O142" s="15"/>
      <c r="P142" s="15"/>
      <c r="Q142" s="15"/>
      <c r="R142" s="15"/>
      <c r="S142" s="15"/>
      <c r="T142" s="15"/>
      <c r="U142" s="15"/>
      <c r="V142" s="15"/>
      <c r="W142" s="15"/>
      <c r="X142" s="15"/>
      <c r="Y142" s="15"/>
      <c r="Z142" s="15"/>
    </row>
    <row r="143" spans="1:26" ht="15.75" customHeight="1" x14ac:dyDescent="0.25">
      <c r="A143" s="48" t="s">
        <v>2351</v>
      </c>
      <c r="B143" s="41"/>
      <c r="C143" s="43"/>
      <c r="D143" s="43"/>
      <c r="E143" s="43"/>
      <c r="F143" s="43"/>
      <c r="G143" s="45"/>
      <c r="H143" s="44">
        <v>26</v>
      </c>
      <c r="I143" s="387">
        <v>720</v>
      </c>
      <c r="J143" s="387">
        <v>1</v>
      </c>
      <c r="K143" s="387">
        <f t="shared" si="8"/>
        <v>224640</v>
      </c>
      <c r="L143" s="15"/>
      <c r="M143" s="15"/>
      <c r="N143" s="15"/>
      <c r="O143" s="15"/>
      <c r="P143" s="15"/>
      <c r="Q143" s="15"/>
      <c r="R143" s="15"/>
      <c r="S143" s="15"/>
      <c r="T143" s="15"/>
      <c r="U143" s="15"/>
      <c r="V143" s="15"/>
      <c r="W143" s="15"/>
      <c r="X143" s="15"/>
      <c r="Y143" s="15"/>
      <c r="Z143" s="15"/>
    </row>
    <row r="144" spans="1:26" ht="15.75" customHeight="1" x14ac:dyDescent="0.25">
      <c r="A144" s="48" t="s">
        <v>2352</v>
      </c>
      <c r="B144" s="41"/>
      <c r="C144" s="43"/>
      <c r="D144" s="43"/>
      <c r="E144" s="43"/>
      <c r="F144" s="43"/>
      <c r="G144" s="45"/>
      <c r="H144" s="44">
        <v>26</v>
      </c>
      <c r="I144" s="387">
        <v>639</v>
      </c>
      <c r="J144" s="387">
        <v>14</v>
      </c>
      <c r="K144" s="387">
        <f t="shared" si="8"/>
        <v>2791152</v>
      </c>
      <c r="L144" s="15"/>
      <c r="M144" s="15"/>
      <c r="N144" s="15"/>
      <c r="O144" s="15"/>
      <c r="P144" s="15"/>
      <c r="Q144" s="15"/>
      <c r="R144" s="15"/>
      <c r="S144" s="15"/>
      <c r="T144" s="15"/>
      <c r="U144" s="15"/>
      <c r="V144" s="15"/>
      <c r="W144" s="15"/>
      <c r="X144" s="15"/>
      <c r="Y144" s="15"/>
      <c r="Z144" s="15"/>
    </row>
    <row r="145" spans="1:26" ht="15.75" customHeight="1" x14ac:dyDescent="0.25">
      <c r="A145" s="48" t="s">
        <v>2353</v>
      </c>
      <c r="B145" s="41"/>
      <c r="C145" s="43"/>
      <c r="D145" s="43"/>
      <c r="E145" s="43"/>
      <c r="F145" s="43"/>
      <c r="G145" s="45"/>
      <c r="H145" s="44"/>
      <c r="I145" s="387"/>
      <c r="J145" s="387"/>
      <c r="K145" s="387">
        <f t="shared" si="8"/>
        <v>0</v>
      </c>
      <c r="L145" s="15"/>
      <c r="M145" s="15"/>
      <c r="N145" s="15"/>
      <c r="O145" s="15"/>
      <c r="P145" s="15"/>
      <c r="Q145" s="15"/>
      <c r="R145" s="15"/>
      <c r="S145" s="15"/>
      <c r="T145" s="15"/>
      <c r="U145" s="15"/>
      <c r="V145" s="15"/>
      <c r="W145" s="15"/>
      <c r="X145" s="15"/>
      <c r="Y145" s="15"/>
      <c r="Z145" s="15"/>
    </row>
    <row r="146" spans="1:26" ht="15.75" customHeight="1" x14ac:dyDescent="0.25">
      <c r="A146" s="48" t="s">
        <v>2354</v>
      </c>
      <c r="B146" s="41"/>
      <c r="C146" s="43"/>
      <c r="D146" s="43"/>
      <c r="E146" s="43"/>
      <c r="F146" s="43"/>
      <c r="G146" s="45"/>
      <c r="H146" s="44">
        <v>22</v>
      </c>
      <c r="I146" s="387">
        <v>639</v>
      </c>
      <c r="J146" s="387">
        <v>6</v>
      </c>
      <c r="K146" s="387">
        <f t="shared" si="8"/>
        <v>1012176</v>
      </c>
      <c r="L146" s="15"/>
      <c r="M146" s="15"/>
      <c r="N146" s="15"/>
      <c r="O146" s="15"/>
      <c r="P146" s="15"/>
      <c r="Q146" s="15"/>
      <c r="R146" s="15"/>
      <c r="S146" s="15"/>
      <c r="T146" s="15"/>
      <c r="U146" s="15"/>
      <c r="V146" s="15"/>
      <c r="W146" s="15"/>
      <c r="X146" s="15"/>
      <c r="Y146" s="15"/>
      <c r="Z146" s="15"/>
    </row>
    <row r="147" spans="1:26" ht="15.75" customHeight="1" x14ac:dyDescent="0.25">
      <c r="A147" s="48" t="s">
        <v>2355</v>
      </c>
      <c r="B147" s="41"/>
      <c r="C147" s="43"/>
      <c r="D147" s="43"/>
      <c r="E147" s="43"/>
      <c r="F147" s="43"/>
      <c r="G147" s="45"/>
      <c r="H147" s="44"/>
      <c r="I147" s="387"/>
      <c r="J147" s="387"/>
      <c r="K147" s="387">
        <v>293000</v>
      </c>
      <c r="L147" s="15"/>
      <c r="M147" s="15"/>
      <c r="N147" s="15"/>
      <c r="O147" s="15"/>
      <c r="P147" s="15"/>
      <c r="Q147" s="15"/>
      <c r="R147" s="15"/>
      <c r="S147" s="15"/>
      <c r="T147" s="15"/>
      <c r="U147" s="15"/>
      <c r="V147" s="15"/>
      <c r="W147" s="15"/>
      <c r="X147" s="15"/>
      <c r="Y147" s="15"/>
      <c r="Z147" s="15"/>
    </row>
    <row r="148" spans="1:26" ht="15.75" customHeight="1" x14ac:dyDescent="0.25">
      <c r="A148" s="42" t="s">
        <v>672</v>
      </c>
      <c r="B148" s="41"/>
      <c r="C148" s="54">
        <f>SUM(C42:C71)</f>
        <v>22741067.09</v>
      </c>
      <c r="D148" s="54">
        <f>SUM(D42:D71)</f>
        <v>23785024.329999998</v>
      </c>
      <c r="E148" s="54">
        <f>SUM(E42:E71)</f>
        <v>37122039.669999994</v>
      </c>
      <c r="F148" s="54">
        <f>SUM(F42:F71)</f>
        <v>60907064</v>
      </c>
      <c r="G148" s="394">
        <f>SUM(G42:G71)</f>
        <v>86216045</v>
      </c>
      <c r="H148" s="44"/>
      <c r="I148" s="387"/>
      <c r="J148" s="387"/>
      <c r="K148" s="387"/>
      <c r="L148" s="15"/>
      <c r="M148" s="15"/>
      <c r="N148" s="15"/>
      <c r="O148" s="15"/>
      <c r="P148" s="15"/>
      <c r="Q148" s="15"/>
      <c r="R148" s="15"/>
      <c r="S148" s="15"/>
      <c r="T148" s="15"/>
      <c r="U148" s="15"/>
      <c r="V148" s="15"/>
      <c r="W148" s="15"/>
      <c r="X148" s="15"/>
      <c r="Y148" s="15"/>
      <c r="Z148" s="15"/>
    </row>
    <row r="149" spans="1:26" ht="15.75" customHeight="1" x14ac:dyDescent="0.25">
      <c r="A149" s="42"/>
      <c r="B149" s="41"/>
      <c r="C149" s="39"/>
      <c r="D149" s="55"/>
      <c r="E149" s="55"/>
      <c r="F149" s="55"/>
      <c r="G149" s="39"/>
      <c r="H149" s="44"/>
      <c r="I149" s="387"/>
      <c r="J149" s="389"/>
      <c r="K149" s="387"/>
      <c r="L149" s="15"/>
      <c r="M149" s="15"/>
      <c r="N149" s="15"/>
      <c r="O149" s="15"/>
      <c r="P149" s="15"/>
      <c r="Q149" s="15"/>
      <c r="R149" s="15"/>
      <c r="S149" s="15"/>
      <c r="T149" s="15"/>
      <c r="U149" s="15"/>
      <c r="V149" s="15"/>
      <c r="W149" s="15"/>
      <c r="X149" s="15"/>
      <c r="Y149" s="15"/>
      <c r="Z149" s="15"/>
    </row>
    <row r="150" spans="1:26" ht="15.75" customHeight="1" x14ac:dyDescent="0.25">
      <c r="A150" s="42" t="s">
        <v>467</v>
      </c>
      <c r="B150" s="41"/>
      <c r="C150" s="45">
        <f>C38+C148</f>
        <v>86780752.159999996</v>
      </c>
      <c r="D150" s="43">
        <f>D38+D148</f>
        <v>58410475.109999992</v>
      </c>
      <c r="E150" s="43">
        <f>E38+E148</f>
        <v>83650352.890000001</v>
      </c>
      <c r="F150" s="43">
        <f>F38+F148</f>
        <v>142060828</v>
      </c>
      <c r="G150" s="45">
        <f>G38+G148</f>
        <v>172535563</v>
      </c>
      <c r="H150" s="44"/>
      <c r="I150" s="387"/>
      <c r="J150" s="389"/>
      <c r="K150" s="387"/>
      <c r="L150" s="15"/>
      <c r="M150" s="15"/>
      <c r="N150" s="15"/>
      <c r="O150" s="15"/>
      <c r="P150" s="15"/>
      <c r="Q150" s="15"/>
      <c r="R150" s="15"/>
      <c r="S150" s="15"/>
      <c r="T150" s="15"/>
      <c r="U150" s="15"/>
      <c r="V150" s="15"/>
      <c r="W150" s="15"/>
      <c r="X150" s="15"/>
      <c r="Y150" s="15"/>
      <c r="Z150" s="15"/>
    </row>
    <row r="151" spans="1:26" ht="15.75" customHeight="1" x14ac:dyDescent="0.25">
      <c r="A151" s="42"/>
      <c r="B151" s="49"/>
      <c r="C151" s="45"/>
      <c r="D151" s="45"/>
      <c r="E151" s="45"/>
      <c r="F151" s="43"/>
      <c r="G151" s="45"/>
      <c r="H151" s="44"/>
      <c r="I151" s="387"/>
      <c r="J151" s="389"/>
      <c r="K151" s="387"/>
      <c r="L151" s="15"/>
      <c r="M151" s="15"/>
      <c r="N151" s="15"/>
      <c r="O151" s="15"/>
      <c r="P151" s="15"/>
      <c r="Q151" s="15"/>
      <c r="R151" s="15"/>
      <c r="S151" s="15"/>
      <c r="T151" s="15"/>
      <c r="U151" s="15"/>
      <c r="V151" s="15"/>
      <c r="W151" s="15"/>
      <c r="X151" s="15"/>
      <c r="Y151" s="15"/>
      <c r="Z151" s="15"/>
    </row>
    <row r="152" spans="1:26" ht="15.75" customHeight="1" x14ac:dyDescent="0.25">
      <c r="A152" s="42" t="s">
        <v>529</v>
      </c>
      <c r="B152" s="49"/>
      <c r="C152" s="45"/>
      <c r="D152" s="45"/>
      <c r="E152" s="45"/>
      <c r="F152" s="43"/>
      <c r="G152" s="45"/>
      <c r="H152" s="142"/>
      <c r="I152" s="388"/>
      <c r="J152" s="389"/>
      <c r="K152" s="388"/>
    </row>
    <row r="153" spans="1:26" ht="15.75" customHeight="1" x14ac:dyDescent="0.25">
      <c r="A153" s="17" t="s">
        <v>476</v>
      </c>
      <c r="B153" s="395"/>
      <c r="C153" s="43"/>
      <c r="D153" s="43"/>
      <c r="E153" s="43"/>
      <c r="F153" s="43"/>
      <c r="G153" s="43"/>
      <c r="H153" s="142"/>
      <c r="I153" s="388"/>
      <c r="J153" s="389"/>
      <c r="K153" s="388"/>
    </row>
    <row r="154" spans="1:26" ht="15.75" customHeight="1" x14ac:dyDescent="0.25">
      <c r="A154" s="48" t="s">
        <v>639</v>
      </c>
      <c r="B154" s="41" t="s">
        <v>47</v>
      </c>
      <c r="C154" s="43">
        <v>0</v>
      </c>
      <c r="D154" s="43">
        <v>0</v>
      </c>
      <c r="E154" s="43">
        <f>F154-D154</f>
        <v>0</v>
      </c>
      <c r="F154" s="43">
        <v>0</v>
      </c>
      <c r="G154" s="43">
        <v>845000</v>
      </c>
      <c r="H154" s="142"/>
      <c r="I154" s="388"/>
      <c r="J154" s="389"/>
      <c r="K154" s="388"/>
    </row>
    <row r="155" spans="1:26" ht="15.75" customHeight="1" x14ac:dyDescent="0.25">
      <c r="A155" s="391" t="s">
        <v>2357</v>
      </c>
      <c r="B155" s="41"/>
      <c r="C155" s="43"/>
      <c r="D155" s="43"/>
      <c r="E155" s="43"/>
      <c r="F155" s="43"/>
      <c r="G155" s="43"/>
      <c r="H155" s="142"/>
      <c r="I155" s="388"/>
      <c r="J155" s="389"/>
      <c r="K155" s="388"/>
    </row>
    <row r="156" spans="1:26" ht="15.75" customHeight="1" x14ac:dyDescent="0.25">
      <c r="A156" s="391" t="s">
        <v>2358</v>
      </c>
      <c r="B156" s="41"/>
      <c r="C156" s="43"/>
      <c r="D156" s="43"/>
      <c r="E156" s="43"/>
      <c r="F156" s="43"/>
      <c r="G156" s="43"/>
      <c r="H156" s="142"/>
      <c r="I156" s="388"/>
      <c r="J156" s="389"/>
      <c r="K156" s="388"/>
    </row>
    <row r="157" spans="1:26" ht="15.75" customHeight="1" x14ac:dyDescent="0.25">
      <c r="A157" s="391" t="s">
        <v>2359</v>
      </c>
      <c r="B157" s="41"/>
      <c r="C157" s="43"/>
      <c r="D157" s="43"/>
      <c r="E157" s="43"/>
      <c r="F157" s="43"/>
      <c r="G157" s="43"/>
      <c r="H157" s="142"/>
      <c r="I157" s="388"/>
      <c r="J157" s="389"/>
      <c r="K157" s="388"/>
    </row>
    <row r="158" spans="1:26" ht="15.75" customHeight="1" x14ac:dyDescent="0.25">
      <c r="A158" s="391" t="s">
        <v>2360</v>
      </c>
      <c r="B158" s="41"/>
      <c r="C158" s="43"/>
      <c r="D158" s="43"/>
      <c r="E158" s="43"/>
      <c r="F158" s="43"/>
      <c r="G158" s="43"/>
      <c r="H158" s="142"/>
      <c r="I158" s="388"/>
      <c r="J158" s="389"/>
      <c r="K158" s="388"/>
    </row>
    <row r="159" spans="1:26" ht="15.75" customHeight="1" x14ac:dyDescent="0.25">
      <c r="A159" s="44" t="s">
        <v>550</v>
      </c>
      <c r="B159" s="41" t="s">
        <v>60</v>
      </c>
      <c r="C159" s="396">
        <v>1095500</v>
      </c>
      <c r="D159" s="43">
        <v>2212500</v>
      </c>
      <c r="E159" s="43">
        <f>F159-D159</f>
        <v>3107500</v>
      </c>
      <c r="F159" s="43">
        <v>5320000</v>
      </c>
      <c r="G159" s="43">
        <v>5500000</v>
      </c>
      <c r="H159" s="142"/>
      <c r="I159" s="388"/>
      <c r="J159" s="389"/>
      <c r="K159" s="388"/>
    </row>
    <row r="160" spans="1:26" ht="15.75" customHeight="1" x14ac:dyDescent="0.25">
      <c r="A160" s="44" t="s">
        <v>2361</v>
      </c>
      <c r="B160" s="41"/>
      <c r="C160" s="43"/>
      <c r="D160" s="43"/>
      <c r="E160" s="43"/>
      <c r="F160" s="43"/>
      <c r="G160" s="43"/>
      <c r="H160" s="142"/>
      <c r="I160" s="388"/>
      <c r="J160" s="389"/>
      <c r="K160" s="388"/>
    </row>
    <row r="161" spans="1:26" ht="15.75" customHeight="1" x14ac:dyDescent="0.25">
      <c r="A161" s="96" t="s">
        <v>564</v>
      </c>
      <c r="B161" s="20" t="s">
        <v>74</v>
      </c>
      <c r="C161" s="56">
        <v>0</v>
      </c>
      <c r="D161" s="56">
        <v>0</v>
      </c>
      <c r="E161" s="56">
        <f t="shared" ref="E161" si="9">F161-D161</f>
        <v>0</v>
      </c>
      <c r="F161" s="56">
        <v>0</v>
      </c>
      <c r="G161" s="43">
        <v>54890</v>
      </c>
      <c r="H161" s="114"/>
      <c r="I161" s="388"/>
      <c r="J161" s="389"/>
      <c r="K161" s="388"/>
    </row>
    <row r="162" spans="1:26" ht="15.75" customHeight="1" x14ac:dyDescent="0.25">
      <c r="A162" s="588" t="s">
        <v>2362</v>
      </c>
      <c r="B162" s="461"/>
      <c r="C162" s="473"/>
      <c r="D162" s="43"/>
      <c r="E162" s="43"/>
      <c r="F162" s="43"/>
      <c r="G162" s="43"/>
      <c r="H162" s="142"/>
      <c r="I162" s="388"/>
      <c r="J162" s="389"/>
      <c r="K162" s="388"/>
    </row>
    <row r="163" spans="1:26" ht="15.75" customHeight="1" x14ac:dyDescent="0.25">
      <c r="A163" s="486" t="s">
        <v>2363</v>
      </c>
      <c r="B163" s="487"/>
      <c r="C163" s="54">
        <f>+SUM(C153:C162)</f>
        <v>1095500</v>
      </c>
      <c r="D163" s="54">
        <f>+SUM(D153:D162)</f>
        <v>2212500</v>
      </c>
      <c r="E163" s="54">
        <f>+SUM(E153:E162)</f>
        <v>3107500</v>
      </c>
      <c r="F163" s="54">
        <f>+SUM(F153:F162)</f>
        <v>5320000</v>
      </c>
      <c r="G163" s="166">
        <f>+SUM(G153:G162)</f>
        <v>6399890</v>
      </c>
      <c r="H163" s="142"/>
      <c r="I163" s="388"/>
      <c r="J163" s="389"/>
      <c r="K163" s="388"/>
    </row>
    <row r="164" spans="1:26" ht="15.75" customHeight="1" x14ac:dyDescent="0.25">
      <c r="A164" s="42"/>
      <c r="B164" s="49"/>
      <c r="C164" s="43"/>
      <c r="D164" s="43"/>
      <c r="E164" s="43"/>
      <c r="F164" s="43"/>
      <c r="G164" s="43"/>
      <c r="H164" s="142"/>
      <c r="I164" s="388"/>
      <c r="J164" s="389"/>
      <c r="K164" s="388"/>
    </row>
    <row r="165" spans="1:26" ht="15.75" customHeight="1" x14ac:dyDescent="0.25">
      <c r="A165" s="50" t="s">
        <v>487</v>
      </c>
      <c r="B165" s="51" t="s">
        <v>488</v>
      </c>
      <c r="C165" s="54">
        <f>C150+C163</f>
        <v>87876252.159999996</v>
      </c>
      <c r="D165" s="54">
        <f>D150+D163</f>
        <v>60622975.109999992</v>
      </c>
      <c r="E165" s="54">
        <f>E150+E163</f>
        <v>86757852.890000001</v>
      </c>
      <c r="F165" s="54">
        <f>F150+F163</f>
        <v>147380828</v>
      </c>
      <c r="G165" s="54">
        <f>G150+G163</f>
        <v>178935453</v>
      </c>
      <c r="H165" s="44"/>
      <c r="I165" s="387"/>
      <c r="J165" s="387"/>
      <c r="K165" s="387"/>
      <c r="L165" s="15"/>
      <c r="M165" s="15"/>
      <c r="N165" s="15"/>
      <c r="O165" s="15"/>
      <c r="P165" s="15"/>
      <c r="Q165" s="15"/>
      <c r="R165" s="15"/>
      <c r="S165" s="15"/>
      <c r="T165" s="15"/>
      <c r="U165" s="15"/>
      <c r="V165" s="15"/>
      <c r="W165" s="15"/>
      <c r="X165" s="15"/>
      <c r="Y165" s="15"/>
      <c r="Z165" s="15"/>
    </row>
    <row r="166" spans="1:26" ht="15" customHeight="1" x14ac:dyDescent="0.25">
      <c r="A166" s="24"/>
      <c r="B166" s="98"/>
      <c r="C166" s="24"/>
      <c r="D166" s="24"/>
      <c r="E166" s="24"/>
      <c r="F166" s="15"/>
      <c r="G166" s="24"/>
      <c r="H166" s="7"/>
      <c r="I166" s="388"/>
      <c r="J166" s="388"/>
      <c r="K166" s="388"/>
    </row>
    <row r="167" spans="1:26" ht="15.75" customHeight="1" x14ac:dyDescent="0.25">
      <c r="A167" s="24"/>
      <c r="B167" s="25"/>
      <c r="C167" s="24"/>
      <c r="D167" s="24"/>
      <c r="E167" s="24"/>
      <c r="F167" s="114"/>
      <c r="G167" s="114"/>
      <c r="I167" s="388"/>
      <c r="J167" s="389"/>
      <c r="K167" s="388"/>
    </row>
    <row r="168" spans="1:26" ht="15.75" customHeight="1" x14ac:dyDescent="0.25">
      <c r="A168" s="24"/>
      <c r="B168" s="25"/>
      <c r="C168" s="24"/>
      <c r="D168" s="24"/>
      <c r="E168" s="24"/>
      <c r="F168" s="114"/>
      <c r="G168" s="114"/>
      <c r="I168" s="388"/>
      <c r="J168" s="389"/>
      <c r="K168" s="388"/>
    </row>
    <row r="169" spans="1:26" ht="15.75" customHeight="1" x14ac:dyDescent="0.25">
      <c r="A169" s="24"/>
      <c r="B169" s="25"/>
      <c r="C169" s="24"/>
      <c r="D169" s="24"/>
      <c r="E169" s="24"/>
      <c r="F169" s="114"/>
      <c r="G169" s="114"/>
      <c r="I169" s="388"/>
      <c r="J169" s="389"/>
      <c r="K169" s="388"/>
    </row>
    <row r="170" spans="1:26" ht="15.75" customHeight="1" x14ac:dyDescent="0.25">
      <c r="A170" s="24"/>
      <c r="B170" s="25"/>
      <c r="C170" s="24"/>
      <c r="D170" s="24"/>
      <c r="E170" s="24"/>
      <c r="F170" s="114"/>
      <c r="G170" s="114"/>
      <c r="I170" s="388"/>
      <c r="J170" s="389"/>
      <c r="K170" s="388"/>
    </row>
    <row r="171" spans="1:26" ht="15.75" customHeight="1" x14ac:dyDescent="0.25">
      <c r="A171" s="24"/>
      <c r="B171" s="25"/>
      <c r="C171" s="24"/>
      <c r="D171" s="24"/>
      <c r="E171" s="24"/>
      <c r="F171" s="114"/>
      <c r="G171" s="114"/>
      <c r="I171" s="388"/>
      <c r="J171" s="389"/>
      <c r="K171" s="388"/>
    </row>
    <row r="172" spans="1:26" ht="15.75" customHeight="1" x14ac:dyDescent="0.25">
      <c r="A172" s="24"/>
      <c r="B172" s="25"/>
      <c r="C172" s="24"/>
      <c r="D172" s="24"/>
      <c r="E172" s="24"/>
      <c r="F172" s="114"/>
      <c r="G172" s="114"/>
      <c r="I172" s="388"/>
      <c r="J172" s="389"/>
      <c r="K172" s="388"/>
    </row>
    <row r="173" spans="1:26" ht="15.75" customHeight="1" x14ac:dyDescent="0.25">
      <c r="A173" s="24"/>
      <c r="B173" s="25"/>
      <c r="C173" s="24"/>
      <c r="D173" s="24"/>
      <c r="E173" s="24"/>
      <c r="F173" s="114"/>
      <c r="G173" s="114"/>
      <c r="I173" s="388"/>
      <c r="J173" s="389"/>
      <c r="K173" s="388"/>
    </row>
    <row r="174" spans="1:26" ht="15.75" customHeight="1" x14ac:dyDescent="0.25">
      <c r="A174" s="24"/>
      <c r="B174" s="25"/>
      <c r="C174" s="24"/>
      <c r="D174" s="24"/>
      <c r="E174" s="24"/>
      <c r="F174" s="114"/>
      <c r="G174" s="114"/>
      <c r="I174" s="388"/>
      <c r="J174" s="389"/>
      <c r="K174" s="388"/>
    </row>
    <row r="175" spans="1:26" ht="15.75" customHeight="1" x14ac:dyDescent="0.25">
      <c r="A175" s="24"/>
      <c r="B175" s="25"/>
      <c r="C175" s="24"/>
      <c r="D175" s="24"/>
      <c r="E175" s="24"/>
      <c r="F175" s="114"/>
      <c r="G175" s="114"/>
      <c r="I175" s="388"/>
      <c r="J175" s="389"/>
      <c r="K175" s="388"/>
    </row>
    <row r="176" spans="1:26" ht="15.75" customHeight="1" x14ac:dyDescent="0.25">
      <c r="A176" s="24"/>
      <c r="B176" s="25"/>
      <c r="C176" s="24"/>
      <c r="D176" s="24"/>
      <c r="E176" s="24"/>
      <c r="F176" s="114"/>
      <c r="G176" s="114"/>
      <c r="I176" s="388"/>
      <c r="J176" s="389"/>
      <c r="K176" s="388"/>
    </row>
    <row r="177" spans="1:11" ht="15.75" customHeight="1" x14ac:dyDescent="0.25">
      <c r="A177" s="24"/>
      <c r="B177" s="25"/>
      <c r="C177" s="24"/>
      <c r="D177" s="24"/>
      <c r="E177" s="24"/>
      <c r="F177" s="114"/>
      <c r="G177" s="114"/>
      <c r="I177" s="388"/>
      <c r="J177" s="389"/>
      <c r="K177" s="388"/>
    </row>
    <row r="178" spans="1:11" ht="15.75" customHeight="1" x14ac:dyDescent="0.25">
      <c r="A178" s="24"/>
      <c r="B178" s="25"/>
      <c r="C178" s="24"/>
      <c r="D178" s="24"/>
      <c r="E178" s="24"/>
      <c r="F178" s="114"/>
      <c r="G178" s="114"/>
      <c r="I178" s="388"/>
      <c r="J178" s="389"/>
      <c r="K178" s="388"/>
    </row>
    <row r="179" spans="1:11" ht="15.75" customHeight="1" x14ac:dyDescent="0.25">
      <c r="A179" s="24"/>
      <c r="B179" s="25"/>
      <c r="C179" s="24"/>
      <c r="D179" s="24"/>
      <c r="E179" s="24"/>
      <c r="F179" s="114"/>
      <c r="G179" s="114"/>
      <c r="I179" s="388"/>
      <c r="J179" s="389"/>
      <c r="K179" s="388"/>
    </row>
    <row r="180" spans="1:11" ht="15.75" customHeight="1" x14ac:dyDescent="0.25">
      <c r="A180" s="24"/>
      <c r="B180" s="25"/>
      <c r="C180" s="24"/>
      <c r="D180" s="24"/>
      <c r="E180" s="24"/>
      <c r="F180" s="114"/>
      <c r="G180" s="114"/>
      <c r="I180" s="388"/>
      <c r="J180" s="389"/>
      <c r="K180" s="388"/>
    </row>
    <row r="181" spans="1:11" ht="15.75" customHeight="1" x14ac:dyDescent="0.25">
      <c r="A181" s="24"/>
      <c r="B181" s="25"/>
      <c r="C181" s="24"/>
      <c r="D181" s="24"/>
      <c r="E181" s="24"/>
      <c r="F181" s="114"/>
      <c r="G181" s="114"/>
      <c r="I181" s="388"/>
      <c r="J181" s="389"/>
      <c r="K181" s="388"/>
    </row>
    <row r="182" spans="1:11" ht="15.75" customHeight="1" x14ac:dyDescent="0.25">
      <c r="A182" s="24"/>
      <c r="B182" s="25"/>
      <c r="C182" s="24"/>
      <c r="D182" s="24"/>
      <c r="E182" s="24"/>
      <c r="F182" s="114"/>
      <c r="G182" s="114"/>
      <c r="I182" s="388"/>
      <c r="J182" s="389"/>
      <c r="K182" s="388"/>
    </row>
    <row r="183" spans="1:11" ht="15.75" customHeight="1" x14ac:dyDescent="0.25">
      <c r="A183" s="24"/>
      <c r="B183" s="25"/>
      <c r="C183" s="24"/>
      <c r="D183" s="24"/>
      <c r="E183" s="24"/>
      <c r="F183" s="114"/>
      <c r="G183" s="114"/>
      <c r="I183" s="388"/>
      <c r="J183" s="389"/>
      <c r="K183" s="388"/>
    </row>
    <row r="184" spans="1:11" ht="15.75" customHeight="1" x14ac:dyDescent="0.25">
      <c r="A184" s="24"/>
      <c r="B184" s="25"/>
      <c r="C184" s="24"/>
      <c r="D184" s="24"/>
      <c r="E184" s="24"/>
      <c r="F184" s="114"/>
      <c r="G184" s="114"/>
      <c r="I184" s="388"/>
      <c r="J184" s="389"/>
      <c r="K184" s="388"/>
    </row>
    <row r="185" spans="1:11" ht="15.75" customHeight="1" x14ac:dyDescent="0.25">
      <c r="A185" s="24"/>
      <c r="B185" s="25"/>
      <c r="C185" s="24"/>
      <c r="D185" s="24"/>
      <c r="E185" s="24"/>
      <c r="F185" s="114"/>
      <c r="G185" s="114"/>
      <c r="I185" s="388"/>
      <c r="J185" s="389"/>
      <c r="K185" s="388"/>
    </row>
    <row r="186" spans="1:11" ht="15.75" customHeight="1" x14ac:dyDescent="0.25">
      <c r="A186" s="24"/>
      <c r="B186" s="25"/>
      <c r="C186" s="24"/>
      <c r="D186" s="24"/>
      <c r="E186" s="24"/>
      <c r="F186" s="114"/>
      <c r="G186" s="114"/>
      <c r="I186" s="388"/>
      <c r="J186" s="389"/>
      <c r="K186" s="388"/>
    </row>
    <row r="187" spans="1:11" ht="15.75" customHeight="1" x14ac:dyDescent="0.25">
      <c r="A187" s="24"/>
      <c r="B187" s="25"/>
      <c r="C187" s="24"/>
      <c r="D187" s="24"/>
      <c r="E187" s="24"/>
      <c r="F187" s="114"/>
      <c r="G187" s="114"/>
      <c r="I187" s="388"/>
      <c r="J187" s="389"/>
      <c r="K187" s="388"/>
    </row>
    <row r="188" spans="1:11" ht="15.75" customHeight="1" x14ac:dyDescent="0.25">
      <c r="A188" s="24"/>
      <c r="B188" s="25"/>
      <c r="C188" s="24"/>
      <c r="D188" s="24"/>
      <c r="E188" s="24"/>
      <c r="F188" s="114"/>
      <c r="G188" s="114"/>
      <c r="I188" s="388"/>
      <c r="J188" s="389"/>
      <c r="K188" s="388"/>
    </row>
    <row r="189" spans="1:11" ht="15.75" customHeight="1" x14ac:dyDescent="0.25">
      <c r="A189" s="24"/>
      <c r="B189" s="25"/>
      <c r="C189" s="24"/>
      <c r="D189" s="24"/>
      <c r="E189" s="24"/>
      <c r="F189" s="114"/>
      <c r="G189" s="114"/>
      <c r="I189" s="388"/>
      <c r="J189" s="389"/>
      <c r="K189" s="388"/>
    </row>
    <row r="190" spans="1:11" ht="15.75" customHeight="1" x14ac:dyDescent="0.25">
      <c r="A190" s="24"/>
      <c r="B190" s="25"/>
      <c r="C190" s="24"/>
      <c r="D190" s="24"/>
      <c r="E190" s="24"/>
      <c r="F190" s="114"/>
      <c r="G190" s="114"/>
      <c r="I190" s="388"/>
      <c r="J190" s="389"/>
      <c r="K190" s="388"/>
    </row>
    <row r="191" spans="1:11" ht="15.75" customHeight="1" x14ac:dyDescent="0.25">
      <c r="A191" s="24"/>
      <c r="B191" s="25"/>
      <c r="C191" s="24"/>
      <c r="D191" s="24"/>
      <c r="E191" s="24"/>
      <c r="F191" s="114"/>
      <c r="G191" s="114"/>
      <c r="I191" s="388"/>
      <c r="J191" s="389"/>
      <c r="K191" s="388"/>
    </row>
    <row r="192" spans="1:11" ht="15.75" customHeight="1" x14ac:dyDescent="0.25">
      <c r="A192" s="24"/>
      <c r="B192" s="25"/>
      <c r="C192" s="24"/>
      <c r="D192" s="24"/>
      <c r="E192" s="24"/>
      <c r="F192" s="114"/>
      <c r="G192" s="114"/>
      <c r="I192" s="388"/>
      <c r="J192" s="389"/>
      <c r="K192" s="388"/>
    </row>
    <row r="193" spans="1:11" ht="15.75" customHeight="1" x14ac:dyDescent="0.25">
      <c r="A193" s="24"/>
      <c r="B193" s="25"/>
      <c r="C193" s="24"/>
      <c r="D193" s="24"/>
      <c r="E193" s="24"/>
      <c r="F193" s="114"/>
      <c r="G193" s="114"/>
      <c r="I193" s="388"/>
      <c r="J193" s="389"/>
      <c r="K193" s="388"/>
    </row>
    <row r="194" spans="1:11" ht="15.75" customHeight="1" x14ac:dyDescent="0.25">
      <c r="A194" s="24"/>
      <c r="B194" s="25"/>
      <c r="C194" s="24"/>
      <c r="D194" s="24"/>
      <c r="E194" s="24"/>
      <c r="F194" s="114"/>
      <c r="G194" s="114"/>
      <c r="I194" s="388"/>
      <c r="J194" s="389"/>
      <c r="K194" s="388"/>
    </row>
    <row r="195" spans="1:11" ht="15.75" customHeight="1" x14ac:dyDescent="0.25">
      <c r="A195" s="24"/>
      <c r="B195" s="25"/>
      <c r="C195" s="24"/>
      <c r="D195" s="24"/>
      <c r="E195" s="24"/>
      <c r="F195" s="114"/>
      <c r="G195" s="114"/>
      <c r="I195" s="388"/>
      <c r="J195" s="389"/>
      <c r="K195" s="388"/>
    </row>
    <row r="196" spans="1:11" ht="15.75" customHeight="1" x14ac:dyDescent="0.25">
      <c r="A196" s="24"/>
      <c r="B196" s="25"/>
      <c r="C196" s="24"/>
      <c r="D196" s="24"/>
      <c r="E196" s="24"/>
      <c r="F196" s="114"/>
      <c r="G196" s="114"/>
      <c r="I196" s="388"/>
      <c r="J196" s="389"/>
      <c r="K196" s="388"/>
    </row>
    <row r="197" spans="1:11" ht="15.75" customHeight="1" x14ac:dyDescent="0.25">
      <c r="A197" s="24"/>
      <c r="B197" s="25"/>
      <c r="C197" s="24"/>
      <c r="D197" s="24"/>
      <c r="E197" s="24"/>
      <c r="F197" s="114"/>
      <c r="G197" s="114"/>
      <c r="I197" s="388"/>
      <c r="J197" s="389"/>
      <c r="K197" s="388"/>
    </row>
    <row r="198" spans="1:11" ht="15.75" customHeight="1" x14ac:dyDescent="0.25">
      <c r="A198" s="24"/>
      <c r="B198" s="25"/>
      <c r="C198" s="24"/>
      <c r="D198" s="24"/>
      <c r="E198" s="24"/>
      <c r="F198" s="114"/>
      <c r="G198" s="114"/>
      <c r="I198" s="388"/>
      <c r="J198" s="389"/>
      <c r="K198" s="388"/>
    </row>
    <row r="199" spans="1:11" ht="15.75" customHeight="1" x14ac:dyDescent="0.25">
      <c r="A199" s="24"/>
      <c r="B199" s="25"/>
      <c r="C199" s="24"/>
      <c r="D199" s="24"/>
      <c r="E199" s="24"/>
      <c r="F199" s="114"/>
      <c r="G199" s="114"/>
      <c r="I199" s="388"/>
      <c r="J199" s="389"/>
      <c r="K199" s="388"/>
    </row>
    <row r="200" spans="1:11" ht="15.75" customHeight="1" x14ac:dyDescent="0.25">
      <c r="A200" s="24"/>
      <c r="B200" s="25"/>
      <c r="C200" s="24"/>
      <c r="D200" s="24"/>
      <c r="E200" s="24"/>
      <c r="F200" s="114"/>
      <c r="G200" s="114"/>
      <c r="I200" s="388"/>
      <c r="J200" s="389"/>
      <c r="K200" s="388"/>
    </row>
    <row r="201" spans="1:11" ht="15.75" customHeight="1" x14ac:dyDescent="0.25">
      <c r="A201" s="24"/>
      <c r="B201" s="25"/>
      <c r="C201" s="24"/>
      <c r="D201" s="24"/>
      <c r="E201" s="24"/>
      <c r="F201" s="114"/>
      <c r="G201" s="114"/>
      <c r="I201" s="388"/>
      <c r="J201" s="389"/>
      <c r="K201" s="388"/>
    </row>
    <row r="202" spans="1:11" ht="15.75" customHeight="1" x14ac:dyDescent="0.25">
      <c r="A202" s="24"/>
      <c r="B202" s="25"/>
      <c r="C202" s="24"/>
      <c r="D202" s="24"/>
      <c r="E202" s="24"/>
      <c r="F202" s="114"/>
      <c r="G202" s="114"/>
      <c r="I202" s="388"/>
      <c r="J202" s="389"/>
      <c r="K202" s="388"/>
    </row>
    <row r="203" spans="1:11" ht="15.75" customHeight="1" x14ac:dyDescent="0.25">
      <c r="A203" s="24"/>
      <c r="B203" s="25"/>
      <c r="C203" s="24"/>
      <c r="D203" s="24"/>
      <c r="E203" s="24"/>
      <c r="F203" s="114"/>
      <c r="G203" s="114"/>
      <c r="I203" s="388"/>
      <c r="J203" s="389"/>
      <c r="K203" s="388"/>
    </row>
    <row r="204" spans="1:11" ht="15.75" customHeight="1" x14ac:dyDescent="0.25">
      <c r="A204" s="24"/>
      <c r="B204" s="25"/>
      <c r="C204" s="24"/>
      <c r="D204" s="24"/>
      <c r="E204" s="24"/>
      <c r="F204" s="114"/>
      <c r="G204" s="114"/>
      <c r="I204" s="388"/>
      <c r="J204" s="389"/>
      <c r="K204" s="388"/>
    </row>
    <row r="205" spans="1:11" ht="15.75" customHeight="1" x14ac:dyDescent="0.25">
      <c r="A205" s="24"/>
      <c r="B205" s="25"/>
      <c r="C205" s="24"/>
      <c r="D205" s="24"/>
      <c r="E205" s="24"/>
      <c r="F205" s="114"/>
      <c r="G205" s="114"/>
      <c r="I205" s="388"/>
      <c r="J205" s="389"/>
      <c r="K205" s="388"/>
    </row>
    <row r="206" spans="1:11" ht="15.75" customHeight="1" x14ac:dyDescent="0.25">
      <c r="A206" s="24"/>
      <c r="B206" s="25"/>
      <c r="C206" s="24"/>
      <c r="D206" s="24"/>
      <c r="E206" s="24"/>
      <c r="F206" s="114"/>
      <c r="G206" s="114"/>
      <c r="I206" s="388"/>
      <c r="J206" s="389"/>
      <c r="K206" s="388"/>
    </row>
    <row r="207" spans="1:11" ht="15.75" customHeight="1" x14ac:dyDescent="0.25">
      <c r="A207" s="24"/>
      <c r="B207" s="25"/>
      <c r="C207" s="24"/>
      <c r="D207" s="24"/>
      <c r="E207" s="24"/>
      <c r="F207" s="114"/>
      <c r="G207" s="114"/>
      <c r="I207" s="388"/>
      <c r="J207" s="389"/>
      <c r="K207" s="388"/>
    </row>
    <row r="208" spans="1:11" ht="15.75" customHeight="1" x14ac:dyDescent="0.25">
      <c r="A208" s="24"/>
      <c r="B208" s="25"/>
      <c r="C208" s="24"/>
      <c r="D208" s="24"/>
      <c r="E208" s="24"/>
      <c r="F208" s="114"/>
      <c r="G208" s="114"/>
      <c r="I208" s="388"/>
      <c r="J208" s="389"/>
      <c r="K208" s="388"/>
    </row>
    <row r="209" spans="1:11" ht="15.75" customHeight="1" x14ac:dyDescent="0.25">
      <c r="A209" s="24"/>
      <c r="B209" s="25"/>
      <c r="C209" s="24"/>
      <c r="D209" s="24"/>
      <c r="E209" s="24"/>
      <c r="F209" s="114"/>
      <c r="G209" s="114"/>
      <c r="I209" s="388"/>
      <c r="J209" s="389"/>
      <c r="K209" s="388"/>
    </row>
    <row r="210" spans="1:11" ht="15.75" customHeight="1" x14ac:dyDescent="0.25">
      <c r="A210" s="24"/>
      <c r="B210" s="25"/>
      <c r="C210" s="24"/>
      <c r="D210" s="24"/>
      <c r="E210" s="24"/>
      <c r="F210" s="114"/>
      <c r="G210" s="114"/>
      <c r="I210" s="388"/>
      <c r="J210" s="389"/>
      <c r="K210" s="388"/>
    </row>
    <row r="211" spans="1:11" ht="15.75" customHeight="1" x14ac:dyDescent="0.25">
      <c r="A211" s="24"/>
      <c r="B211" s="25"/>
      <c r="C211" s="24"/>
      <c r="D211" s="24"/>
      <c r="E211" s="24"/>
      <c r="F211" s="114"/>
      <c r="G211" s="114"/>
      <c r="I211" s="388"/>
      <c r="J211" s="389"/>
      <c r="K211" s="388"/>
    </row>
    <row r="212" spans="1:11" ht="15.75" customHeight="1" x14ac:dyDescent="0.25">
      <c r="A212" s="24"/>
      <c r="B212" s="25"/>
      <c r="C212" s="24"/>
      <c r="D212" s="24"/>
      <c r="E212" s="24"/>
      <c r="F212" s="114"/>
      <c r="G212" s="114"/>
      <c r="I212" s="388"/>
      <c r="J212" s="389"/>
      <c r="K212" s="388"/>
    </row>
    <row r="213" spans="1:11" ht="15.75" customHeight="1" x14ac:dyDescent="0.25">
      <c r="A213" s="24"/>
      <c r="B213" s="25"/>
      <c r="C213" s="24"/>
      <c r="D213" s="24"/>
      <c r="E213" s="24"/>
      <c r="F213" s="114"/>
      <c r="G213" s="114"/>
      <c r="I213" s="388"/>
      <c r="J213" s="389"/>
      <c r="K213" s="388"/>
    </row>
    <row r="214" spans="1:11" ht="15.75" customHeight="1" x14ac:dyDescent="0.25">
      <c r="A214" s="24"/>
      <c r="B214" s="25"/>
      <c r="C214" s="24"/>
      <c r="D214" s="24"/>
      <c r="E214" s="24"/>
      <c r="F214" s="114"/>
      <c r="G214" s="114"/>
      <c r="I214" s="388"/>
      <c r="J214" s="389"/>
      <c r="K214" s="388"/>
    </row>
    <row r="215" spans="1:11" ht="15.75" customHeight="1" x14ac:dyDescent="0.25">
      <c r="A215" s="24"/>
      <c r="B215" s="25"/>
      <c r="C215" s="24"/>
      <c r="D215" s="24"/>
      <c r="E215" s="24"/>
      <c r="F215" s="114"/>
      <c r="G215" s="114"/>
      <c r="I215" s="388"/>
      <c r="J215" s="389"/>
      <c r="K215" s="388"/>
    </row>
    <row r="216" spans="1:11" ht="15.75" customHeight="1" x14ac:dyDescent="0.25">
      <c r="A216" s="24"/>
      <c r="B216" s="25"/>
      <c r="C216" s="24"/>
      <c r="D216" s="24"/>
      <c r="E216" s="24"/>
      <c r="F216" s="114"/>
      <c r="G216" s="114"/>
      <c r="I216" s="388"/>
      <c r="J216" s="389"/>
      <c r="K216" s="388"/>
    </row>
    <row r="217" spans="1:11" ht="15.75" customHeight="1" x14ac:dyDescent="0.25">
      <c r="A217" s="24"/>
      <c r="B217" s="25"/>
      <c r="C217" s="24"/>
      <c r="D217" s="24"/>
      <c r="E217" s="24"/>
      <c r="F217" s="114"/>
      <c r="G217" s="114"/>
      <c r="I217" s="388"/>
      <c r="J217" s="389"/>
      <c r="K217" s="388"/>
    </row>
    <row r="218" spans="1:11" ht="15.75" customHeight="1" x14ac:dyDescent="0.25">
      <c r="A218" s="24"/>
      <c r="B218" s="25"/>
      <c r="C218" s="24"/>
      <c r="D218" s="24"/>
      <c r="E218" s="24"/>
      <c r="F218" s="114"/>
      <c r="G218" s="114"/>
      <c r="I218" s="388"/>
      <c r="J218" s="389"/>
      <c r="K218" s="388"/>
    </row>
    <row r="219" spans="1:11" ht="15.75" customHeight="1" x14ac:dyDescent="0.25">
      <c r="A219" s="24"/>
      <c r="B219" s="25"/>
      <c r="C219" s="24"/>
      <c r="D219" s="24"/>
      <c r="E219" s="24"/>
      <c r="F219" s="114"/>
      <c r="G219" s="114"/>
      <c r="I219" s="388"/>
      <c r="J219" s="389"/>
      <c r="K219" s="388"/>
    </row>
    <row r="220" spans="1:11" ht="15.75" customHeight="1" x14ac:dyDescent="0.25">
      <c r="A220" s="24"/>
      <c r="B220" s="25"/>
      <c r="C220" s="24"/>
      <c r="D220" s="24"/>
      <c r="E220" s="24"/>
      <c r="F220" s="114"/>
      <c r="G220" s="114"/>
      <c r="I220" s="388"/>
      <c r="J220" s="389"/>
      <c r="K220" s="388"/>
    </row>
    <row r="221" spans="1:11" ht="15.75" customHeight="1" x14ac:dyDescent="0.25">
      <c r="A221" s="24"/>
      <c r="B221" s="25"/>
      <c r="C221" s="24"/>
      <c r="D221" s="24"/>
      <c r="E221" s="24"/>
      <c r="F221" s="114"/>
      <c r="G221" s="114"/>
      <c r="I221" s="388"/>
      <c r="J221" s="389"/>
      <c r="K221" s="388"/>
    </row>
    <row r="222" spans="1:11" ht="15.75" customHeight="1" x14ac:dyDescent="0.25">
      <c r="A222" s="24"/>
      <c r="B222" s="25"/>
      <c r="C222" s="24"/>
      <c r="D222" s="24"/>
      <c r="E222" s="24"/>
      <c r="F222" s="114"/>
      <c r="G222" s="114"/>
      <c r="I222" s="388"/>
      <c r="J222" s="389"/>
      <c r="K222" s="388"/>
    </row>
    <row r="223" spans="1:11" ht="15.75" customHeight="1" x14ac:dyDescent="0.25">
      <c r="A223" s="24"/>
      <c r="B223" s="25"/>
      <c r="C223" s="24"/>
      <c r="D223" s="24"/>
      <c r="E223" s="24"/>
      <c r="F223" s="114"/>
      <c r="G223" s="114"/>
      <c r="I223" s="388"/>
      <c r="J223" s="389"/>
      <c r="K223" s="388"/>
    </row>
    <row r="224" spans="1:11" ht="15.75" customHeight="1" x14ac:dyDescent="0.25">
      <c r="A224" s="24"/>
      <c r="B224" s="25"/>
      <c r="C224" s="24"/>
      <c r="D224" s="24"/>
      <c r="E224" s="24"/>
      <c r="F224" s="114"/>
      <c r="G224" s="114"/>
      <c r="I224" s="388"/>
      <c r="J224" s="389"/>
      <c r="K224" s="388"/>
    </row>
    <row r="225" spans="1:11" ht="15.75" customHeight="1" x14ac:dyDescent="0.25">
      <c r="A225" s="24"/>
      <c r="B225" s="25"/>
      <c r="C225" s="24"/>
      <c r="D225" s="24"/>
      <c r="E225" s="24"/>
      <c r="F225" s="114"/>
      <c r="G225" s="114"/>
      <c r="I225" s="388"/>
      <c r="J225" s="389"/>
      <c r="K225" s="388"/>
    </row>
    <row r="226" spans="1:11" ht="15.75" customHeight="1" x14ac:dyDescent="0.25">
      <c r="A226" s="24"/>
      <c r="B226" s="25"/>
      <c r="C226" s="24"/>
      <c r="D226" s="24"/>
      <c r="E226" s="24"/>
      <c r="F226" s="114"/>
      <c r="G226" s="114"/>
      <c r="I226" s="388"/>
      <c r="J226" s="389"/>
      <c r="K226" s="388"/>
    </row>
    <row r="227" spans="1:11" ht="15.75" customHeight="1" x14ac:dyDescent="0.25">
      <c r="A227" s="24"/>
      <c r="B227" s="25"/>
      <c r="C227" s="24"/>
      <c r="D227" s="24"/>
      <c r="E227" s="24"/>
      <c r="F227" s="114"/>
      <c r="G227" s="114"/>
      <c r="I227" s="388"/>
      <c r="J227" s="389"/>
      <c r="K227" s="388"/>
    </row>
    <row r="228" spans="1:11" ht="15.75" customHeight="1" x14ac:dyDescent="0.25">
      <c r="A228" s="24"/>
      <c r="B228" s="25"/>
      <c r="C228" s="24"/>
      <c r="D228" s="24"/>
      <c r="E228" s="24"/>
      <c r="F228" s="114"/>
      <c r="G228" s="114"/>
      <c r="I228" s="388"/>
      <c r="J228" s="389"/>
      <c r="K228" s="388"/>
    </row>
    <row r="229" spans="1:11" ht="15.75" customHeight="1" x14ac:dyDescent="0.25">
      <c r="A229" s="24"/>
      <c r="B229" s="25"/>
      <c r="C229" s="24"/>
      <c r="D229" s="24"/>
      <c r="E229" s="24"/>
      <c r="F229" s="114"/>
      <c r="G229" s="114"/>
      <c r="I229" s="388"/>
      <c r="J229" s="389"/>
      <c r="K229" s="388"/>
    </row>
    <row r="230" spans="1:11" ht="15.75" customHeight="1" x14ac:dyDescent="0.25">
      <c r="A230" s="24"/>
      <c r="B230" s="25"/>
      <c r="C230" s="24"/>
      <c r="D230" s="24"/>
      <c r="E230" s="24"/>
      <c r="F230" s="114"/>
      <c r="G230" s="114"/>
      <c r="I230" s="388"/>
      <c r="J230" s="389"/>
      <c r="K230" s="388"/>
    </row>
    <row r="231" spans="1:11" ht="15.75" customHeight="1" x14ac:dyDescent="0.25">
      <c r="A231" s="24"/>
      <c r="B231" s="25"/>
      <c r="C231" s="24"/>
      <c r="D231" s="24"/>
      <c r="E231" s="24"/>
      <c r="F231" s="114"/>
      <c r="G231" s="114"/>
      <c r="I231" s="388"/>
      <c r="J231" s="389"/>
      <c r="K231" s="388"/>
    </row>
    <row r="232" spans="1:11" ht="15.75" customHeight="1" x14ac:dyDescent="0.25">
      <c r="A232" s="24"/>
      <c r="B232" s="25"/>
      <c r="C232" s="24"/>
      <c r="D232" s="24"/>
      <c r="E232" s="24"/>
      <c r="F232" s="114"/>
      <c r="G232" s="114"/>
      <c r="I232" s="388"/>
      <c r="J232" s="389"/>
      <c r="K232" s="388"/>
    </row>
    <row r="233" spans="1:11" ht="15.75" customHeight="1" x14ac:dyDescent="0.25">
      <c r="A233" s="24"/>
      <c r="B233" s="25"/>
      <c r="C233" s="24"/>
      <c r="D233" s="24"/>
      <c r="E233" s="24"/>
      <c r="F233" s="114"/>
      <c r="G233" s="114"/>
      <c r="I233" s="388"/>
      <c r="J233" s="389"/>
      <c r="K233" s="388"/>
    </row>
    <row r="234" spans="1:11" ht="15.75" customHeight="1" x14ac:dyDescent="0.25">
      <c r="A234" s="24"/>
      <c r="B234" s="25"/>
      <c r="C234" s="24"/>
      <c r="D234" s="24"/>
      <c r="E234" s="24"/>
      <c r="F234" s="114"/>
      <c r="G234" s="114"/>
      <c r="I234" s="388"/>
      <c r="J234" s="389"/>
      <c r="K234" s="388"/>
    </row>
    <row r="235" spans="1:11" ht="15.75" customHeight="1" x14ac:dyDescent="0.25">
      <c r="A235" s="24"/>
      <c r="B235" s="25"/>
      <c r="C235" s="24"/>
      <c r="D235" s="24"/>
      <c r="E235" s="24"/>
      <c r="F235" s="114"/>
      <c r="G235" s="114"/>
      <c r="I235" s="388"/>
      <c r="J235" s="389"/>
      <c r="K235" s="388"/>
    </row>
    <row r="236" spans="1:11" ht="15.75" customHeight="1" x14ac:dyDescent="0.25">
      <c r="A236" s="24"/>
      <c r="B236" s="25"/>
      <c r="C236" s="24"/>
      <c r="D236" s="24"/>
      <c r="E236" s="24"/>
      <c r="F236" s="114"/>
      <c r="G236" s="114"/>
      <c r="I236" s="388"/>
      <c r="J236" s="389"/>
      <c r="K236" s="388"/>
    </row>
    <row r="237" spans="1:11" ht="15.75" customHeight="1" x14ac:dyDescent="0.25">
      <c r="A237" s="24"/>
      <c r="B237" s="25"/>
      <c r="C237" s="24"/>
      <c r="D237" s="24"/>
      <c r="E237" s="24"/>
      <c r="F237" s="114"/>
      <c r="G237" s="114"/>
      <c r="I237" s="388"/>
      <c r="J237" s="389"/>
      <c r="K237" s="388"/>
    </row>
    <row r="238" spans="1:11" ht="15.75" customHeight="1" x14ac:dyDescent="0.25">
      <c r="A238" s="24"/>
      <c r="B238" s="25"/>
      <c r="C238" s="24"/>
      <c r="D238" s="24"/>
      <c r="E238" s="24"/>
      <c r="F238" s="114"/>
      <c r="G238" s="114"/>
      <c r="I238" s="388"/>
      <c r="J238" s="389"/>
      <c r="K238" s="388"/>
    </row>
    <row r="239" spans="1:11" ht="15.75" customHeight="1" x14ac:dyDescent="0.25">
      <c r="A239" s="24"/>
      <c r="B239" s="25"/>
      <c r="C239" s="24"/>
      <c r="D239" s="24"/>
      <c r="E239" s="24"/>
      <c r="F239" s="114"/>
      <c r="G239" s="114"/>
      <c r="I239" s="388"/>
      <c r="J239" s="389"/>
      <c r="K239" s="388"/>
    </row>
    <row r="240" spans="1:11" ht="15.75" customHeight="1" x14ac:dyDescent="0.25">
      <c r="A240" s="24"/>
      <c r="B240" s="25"/>
      <c r="C240" s="24"/>
      <c r="D240" s="24"/>
      <c r="E240" s="24"/>
      <c r="F240" s="114"/>
      <c r="G240" s="114"/>
      <c r="I240" s="388"/>
      <c r="J240" s="389"/>
      <c r="K240" s="388"/>
    </row>
    <row r="241" spans="1:11" ht="15.75" customHeight="1" x14ac:dyDescent="0.25">
      <c r="A241" s="24"/>
      <c r="B241" s="25"/>
      <c r="C241" s="24"/>
      <c r="D241" s="24"/>
      <c r="E241" s="24"/>
      <c r="F241" s="114"/>
      <c r="G241" s="114"/>
      <c r="I241" s="388"/>
      <c r="J241" s="389"/>
      <c r="K241" s="388"/>
    </row>
    <row r="242" spans="1:11" ht="15.75" customHeight="1" x14ac:dyDescent="0.25">
      <c r="A242" s="24"/>
      <c r="B242" s="25"/>
      <c r="C242" s="24"/>
      <c r="D242" s="24"/>
      <c r="E242" s="24"/>
      <c r="F242" s="114"/>
      <c r="G242" s="114"/>
      <c r="I242" s="388"/>
      <c r="J242" s="389"/>
      <c r="K242" s="388"/>
    </row>
    <row r="243" spans="1:11" ht="15.75" customHeight="1" x14ac:dyDescent="0.25">
      <c r="A243" s="24"/>
      <c r="B243" s="25"/>
      <c r="C243" s="24"/>
      <c r="D243" s="24"/>
      <c r="E243" s="24"/>
      <c r="F243" s="114"/>
      <c r="G243" s="114"/>
      <c r="I243" s="388"/>
      <c r="J243" s="389"/>
      <c r="K243" s="388"/>
    </row>
    <row r="244" spans="1:11" ht="15.75" customHeight="1" x14ac:dyDescent="0.25">
      <c r="A244" s="24"/>
      <c r="B244" s="25"/>
      <c r="C244" s="24"/>
      <c r="D244" s="24"/>
      <c r="E244" s="24"/>
      <c r="F244" s="114"/>
      <c r="G244" s="114"/>
      <c r="I244" s="388"/>
      <c r="J244" s="389"/>
      <c r="K244" s="388"/>
    </row>
    <row r="245" spans="1:11" ht="15.75" customHeight="1" x14ac:dyDescent="0.25">
      <c r="A245" s="24"/>
      <c r="B245" s="25"/>
      <c r="C245" s="24"/>
      <c r="D245" s="24"/>
      <c r="E245" s="24"/>
      <c r="F245" s="114"/>
      <c r="G245" s="114"/>
      <c r="I245" s="388"/>
      <c r="J245" s="389"/>
      <c r="K245" s="388"/>
    </row>
    <row r="246" spans="1:11" ht="15.75" customHeight="1" x14ac:dyDescent="0.25">
      <c r="A246" s="24"/>
      <c r="B246" s="25"/>
      <c r="C246" s="24"/>
      <c r="D246" s="24"/>
      <c r="E246" s="24"/>
      <c r="F246" s="114"/>
      <c r="G246" s="114"/>
      <c r="I246" s="388"/>
      <c r="J246" s="389"/>
      <c r="K246" s="388"/>
    </row>
    <row r="247" spans="1:11" ht="15.75" customHeight="1" x14ac:dyDescent="0.25">
      <c r="A247" s="24"/>
      <c r="B247" s="25"/>
      <c r="C247" s="24"/>
      <c r="D247" s="24"/>
      <c r="E247" s="24"/>
      <c r="F247" s="114"/>
      <c r="G247" s="114"/>
      <c r="I247" s="388"/>
      <c r="J247" s="389"/>
      <c r="K247" s="388"/>
    </row>
    <row r="248" spans="1:11" ht="15.75" customHeight="1" x14ac:dyDescent="0.25">
      <c r="A248" s="24"/>
      <c r="B248" s="25"/>
      <c r="C248" s="24"/>
      <c r="D248" s="24"/>
      <c r="E248" s="24"/>
      <c r="F248" s="114"/>
      <c r="G248" s="114"/>
      <c r="I248" s="388"/>
      <c r="J248" s="389"/>
      <c r="K248" s="388"/>
    </row>
    <row r="249" spans="1:11" ht="15.75" customHeight="1" x14ac:dyDescent="0.25">
      <c r="A249" s="24"/>
      <c r="B249" s="25"/>
      <c r="C249" s="24"/>
      <c r="D249" s="24"/>
      <c r="E249" s="24"/>
      <c r="F249" s="114"/>
      <c r="G249" s="114"/>
      <c r="I249" s="388"/>
      <c r="J249" s="389"/>
      <c r="K249" s="388"/>
    </row>
    <row r="250" spans="1:11" ht="15.75" customHeight="1" x14ac:dyDescent="0.25">
      <c r="A250" s="24"/>
      <c r="B250" s="25"/>
      <c r="C250" s="24"/>
      <c r="D250" s="24"/>
      <c r="E250" s="24"/>
      <c r="F250" s="114"/>
      <c r="G250" s="114"/>
      <c r="I250" s="388"/>
      <c r="J250" s="389"/>
      <c r="K250" s="388"/>
    </row>
    <row r="251" spans="1:11" ht="15.75" customHeight="1" x14ac:dyDescent="0.25">
      <c r="A251" s="24"/>
      <c r="B251" s="25"/>
      <c r="C251" s="24"/>
      <c r="D251" s="24"/>
      <c r="E251" s="24"/>
      <c r="F251" s="114"/>
      <c r="G251" s="114"/>
      <c r="I251" s="388"/>
      <c r="J251" s="389"/>
      <c r="K251" s="388"/>
    </row>
    <row r="252" spans="1:11" ht="15.75" customHeight="1" x14ac:dyDescent="0.25">
      <c r="A252" s="24"/>
      <c r="B252" s="25"/>
      <c r="C252" s="24"/>
      <c r="D252" s="24"/>
      <c r="E252" s="24"/>
      <c r="F252" s="114"/>
      <c r="G252" s="114"/>
      <c r="I252" s="388"/>
      <c r="J252" s="389"/>
      <c r="K252" s="388"/>
    </row>
    <row r="253" spans="1:11" ht="15.75" customHeight="1" x14ac:dyDescent="0.25">
      <c r="A253" s="24"/>
      <c r="B253" s="25"/>
      <c r="C253" s="24"/>
      <c r="D253" s="24"/>
      <c r="E253" s="24"/>
      <c r="F253" s="114"/>
      <c r="G253" s="114"/>
      <c r="I253" s="388"/>
      <c r="J253" s="389"/>
      <c r="K253" s="388"/>
    </row>
    <row r="254" spans="1:11" ht="15.75" customHeight="1" x14ac:dyDescent="0.25">
      <c r="A254" s="24"/>
      <c r="B254" s="25"/>
      <c r="C254" s="24"/>
      <c r="D254" s="24"/>
      <c r="E254" s="24"/>
      <c r="F254" s="114"/>
      <c r="G254" s="114"/>
      <c r="I254" s="388"/>
      <c r="J254" s="389"/>
      <c r="K254" s="388"/>
    </row>
    <row r="255" spans="1:11" ht="15.75" customHeight="1" x14ac:dyDescent="0.25">
      <c r="A255" s="24"/>
      <c r="B255" s="25"/>
      <c r="C255" s="24"/>
      <c r="D255" s="24"/>
      <c r="E255" s="24"/>
      <c r="F255" s="114"/>
      <c r="G255" s="114"/>
      <c r="I255" s="388"/>
      <c r="J255" s="389"/>
      <c r="K255" s="388"/>
    </row>
    <row r="256" spans="1:11" ht="15.75" customHeight="1" x14ac:dyDescent="0.25">
      <c r="A256" s="24"/>
      <c r="B256" s="25"/>
      <c r="C256" s="24"/>
      <c r="D256" s="24"/>
      <c r="E256" s="24"/>
      <c r="F256" s="114"/>
      <c r="G256" s="114"/>
      <c r="I256" s="388"/>
      <c r="J256" s="389"/>
      <c r="K256" s="388"/>
    </row>
    <row r="257" spans="1:11" ht="15.75" customHeight="1" x14ac:dyDescent="0.25">
      <c r="A257" s="24"/>
      <c r="B257" s="25"/>
      <c r="C257" s="24"/>
      <c r="D257" s="24"/>
      <c r="E257" s="24"/>
      <c r="F257" s="114"/>
      <c r="G257" s="114"/>
      <c r="I257" s="388"/>
      <c r="J257" s="389"/>
      <c r="K257" s="388"/>
    </row>
    <row r="258" spans="1:11" ht="15.75" customHeight="1" x14ac:dyDescent="0.25">
      <c r="A258" s="24"/>
      <c r="B258" s="25"/>
      <c r="C258" s="24"/>
      <c r="D258" s="24"/>
      <c r="E258" s="24"/>
      <c r="F258" s="114"/>
      <c r="G258" s="114"/>
      <c r="I258" s="388"/>
      <c r="J258" s="389"/>
      <c r="K258" s="388"/>
    </row>
    <row r="259" spans="1:11" ht="15.75" customHeight="1" x14ac:dyDescent="0.25">
      <c r="A259" s="24"/>
      <c r="B259" s="25"/>
      <c r="C259" s="24"/>
      <c r="D259" s="24"/>
      <c r="E259" s="24"/>
      <c r="F259" s="114"/>
      <c r="G259" s="114"/>
      <c r="I259" s="388"/>
      <c r="J259" s="389"/>
      <c r="K259" s="388"/>
    </row>
    <row r="260" spans="1:11" ht="15.75" customHeight="1" x14ac:dyDescent="0.25">
      <c r="A260" s="24"/>
      <c r="B260" s="25"/>
      <c r="C260" s="24"/>
      <c r="D260" s="24"/>
      <c r="E260" s="24"/>
      <c r="F260" s="114"/>
      <c r="G260" s="114"/>
      <c r="I260" s="388"/>
      <c r="J260" s="389"/>
      <c r="K260" s="388"/>
    </row>
    <row r="261" spans="1:11" ht="15.75" customHeight="1" x14ac:dyDescent="0.25">
      <c r="A261" s="24"/>
      <c r="B261" s="25"/>
      <c r="C261" s="24"/>
      <c r="D261" s="24"/>
      <c r="E261" s="24"/>
      <c r="F261" s="114"/>
      <c r="G261" s="114"/>
      <c r="I261" s="388"/>
      <c r="J261" s="389"/>
      <c r="K261" s="388"/>
    </row>
    <row r="262" spans="1:11" ht="15.75" customHeight="1" x14ac:dyDescent="0.25">
      <c r="A262" s="24"/>
      <c r="B262" s="25"/>
      <c r="C262" s="24"/>
      <c r="D262" s="24"/>
      <c r="E262" s="24"/>
      <c r="F262" s="114"/>
      <c r="G262" s="114"/>
      <c r="I262" s="388"/>
      <c r="J262" s="389"/>
      <c r="K262" s="388"/>
    </row>
    <row r="263" spans="1:11" ht="15.75" customHeight="1" x14ac:dyDescent="0.25">
      <c r="A263" s="24"/>
      <c r="B263" s="25"/>
      <c r="C263" s="24"/>
      <c r="D263" s="24"/>
      <c r="E263" s="24"/>
      <c r="F263" s="114"/>
      <c r="G263" s="114"/>
      <c r="I263" s="388"/>
      <c r="J263" s="389"/>
      <c r="K263" s="388"/>
    </row>
    <row r="264" spans="1:11" ht="15.75" customHeight="1" x14ac:dyDescent="0.25">
      <c r="A264" s="24"/>
      <c r="B264" s="25"/>
      <c r="C264" s="24"/>
      <c r="D264" s="24"/>
      <c r="E264" s="24"/>
      <c r="F264" s="114"/>
      <c r="G264" s="114"/>
      <c r="I264" s="388"/>
      <c r="J264" s="389"/>
      <c r="K264" s="388"/>
    </row>
    <row r="265" spans="1:11" ht="15.75" customHeight="1" x14ac:dyDescent="0.25">
      <c r="A265" s="24"/>
      <c r="B265" s="25"/>
      <c r="C265" s="24"/>
      <c r="D265" s="24"/>
      <c r="E265" s="24"/>
      <c r="F265" s="114"/>
      <c r="G265" s="114"/>
      <c r="I265" s="388"/>
      <c r="J265" s="389"/>
      <c r="K265" s="388"/>
    </row>
    <row r="266" spans="1:11" ht="15.75" customHeight="1" x14ac:dyDescent="0.25">
      <c r="A266" s="24"/>
      <c r="B266" s="25"/>
      <c r="C266" s="24"/>
      <c r="D266" s="24"/>
      <c r="E266" s="24"/>
      <c r="F266" s="114"/>
      <c r="G266" s="114"/>
      <c r="I266" s="388"/>
      <c r="J266" s="389"/>
      <c r="K266" s="388"/>
    </row>
    <row r="267" spans="1:11" ht="15.75" customHeight="1" x14ac:dyDescent="0.25">
      <c r="A267" s="24"/>
      <c r="B267" s="25"/>
      <c r="C267" s="24"/>
      <c r="D267" s="24"/>
      <c r="E267" s="24"/>
      <c r="F267" s="114"/>
      <c r="G267" s="114"/>
      <c r="I267" s="388"/>
      <c r="J267" s="389"/>
      <c r="K267" s="388"/>
    </row>
    <row r="268" spans="1:11" ht="15.75" customHeight="1" x14ac:dyDescent="0.25">
      <c r="A268" s="24"/>
      <c r="B268" s="25"/>
      <c r="C268" s="24"/>
      <c r="D268" s="24"/>
      <c r="E268" s="24"/>
      <c r="F268" s="114"/>
      <c r="G268" s="114"/>
      <c r="I268" s="388"/>
      <c r="J268" s="389"/>
      <c r="K268" s="388"/>
    </row>
    <row r="269" spans="1:11" ht="15.75" customHeight="1" x14ac:dyDescent="0.25">
      <c r="A269" s="24"/>
      <c r="B269" s="25"/>
      <c r="C269" s="24"/>
      <c r="D269" s="24"/>
      <c r="E269" s="24"/>
      <c r="F269" s="114"/>
      <c r="G269" s="114"/>
      <c r="I269" s="388"/>
      <c r="J269" s="389"/>
      <c r="K269" s="388"/>
    </row>
    <row r="270" spans="1:11" ht="15.75" customHeight="1" x14ac:dyDescent="0.25">
      <c r="A270" s="24"/>
      <c r="B270" s="25"/>
      <c r="C270" s="24"/>
      <c r="D270" s="24"/>
      <c r="E270" s="24"/>
      <c r="F270" s="114"/>
      <c r="G270" s="114"/>
      <c r="I270" s="388"/>
      <c r="J270" s="389"/>
      <c r="K270" s="388"/>
    </row>
    <row r="271" spans="1:11" ht="15.75" customHeight="1" x14ac:dyDescent="0.25">
      <c r="A271" s="24"/>
      <c r="B271" s="25"/>
      <c r="C271" s="24"/>
      <c r="D271" s="24"/>
      <c r="E271" s="24"/>
      <c r="F271" s="114"/>
      <c r="G271" s="114"/>
      <c r="I271" s="388"/>
      <c r="J271" s="389"/>
      <c r="K271" s="388"/>
    </row>
    <row r="272" spans="1:11" ht="15.75" customHeight="1" x14ac:dyDescent="0.25">
      <c r="A272" s="24"/>
      <c r="B272" s="25"/>
      <c r="C272" s="24"/>
      <c r="D272" s="24"/>
      <c r="E272" s="24"/>
      <c r="F272" s="114"/>
      <c r="G272" s="114"/>
      <c r="I272" s="388"/>
      <c r="J272" s="389"/>
      <c r="K272" s="388"/>
    </row>
    <row r="273" spans="1:11" ht="15.75" customHeight="1" x14ac:dyDescent="0.25">
      <c r="A273" s="24"/>
      <c r="B273" s="25"/>
      <c r="C273" s="24"/>
      <c r="D273" s="24"/>
      <c r="E273" s="24"/>
      <c r="F273" s="114"/>
      <c r="G273" s="114"/>
      <c r="I273" s="388"/>
      <c r="J273" s="389"/>
      <c r="K273" s="388"/>
    </row>
    <row r="274" spans="1:11" ht="15.75" customHeight="1" x14ac:dyDescent="0.25">
      <c r="A274" s="24"/>
      <c r="B274" s="25"/>
      <c r="C274" s="24"/>
      <c r="D274" s="24"/>
      <c r="E274" s="24"/>
      <c r="F274" s="114"/>
      <c r="G274" s="114"/>
      <c r="I274" s="388"/>
      <c r="J274" s="389"/>
      <c r="K274" s="388"/>
    </row>
    <row r="275" spans="1:11" ht="15.75" customHeight="1" x14ac:dyDescent="0.25">
      <c r="A275" s="24"/>
      <c r="B275" s="25"/>
      <c r="C275" s="24"/>
      <c r="D275" s="24"/>
      <c r="E275" s="24"/>
      <c r="F275" s="114"/>
      <c r="G275" s="114"/>
      <c r="I275" s="388"/>
      <c r="J275" s="389"/>
      <c r="K275" s="388"/>
    </row>
    <row r="276" spans="1:11" ht="15.75" customHeight="1" x14ac:dyDescent="0.25">
      <c r="A276" s="24"/>
      <c r="B276" s="25"/>
      <c r="C276" s="24"/>
      <c r="D276" s="24"/>
      <c r="E276" s="24"/>
      <c r="F276" s="114"/>
      <c r="G276" s="114"/>
      <c r="I276" s="388"/>
      <c r="J276" s="389"/>
      <c r="K276" s="388"/>
    </row>
    <row r="277" spans="1:11" ht="15.75" customHeight="1" x14ac:dyDescent="0.25">
      <c r="A277" s="24"/>
      <c r="B277" s="25"/>
      <c r="C277" s="24"/>
      <c r="D277" s="24"/>
      <c r="E277" s="24"/>
      <c r="F277" s="114"/>
      <c r="G277" s="114"/>
      <c r="I277" s="388"/>
      <c r="J277" s="389"/>
      <c r="K277" s="388"/>
    </row>
    <row r="278" spans="1:11" ht="15.75" customHeight="1" x14ac:dyDescent="0.25">
      <c r="A278" s="24"/>
      <c r="B278" s="25"/>
      <c r="C278" s="24"/>
      <c r="D278" s="24"/>
      <c r="E278" s="24"/>
      <c r="F278" s="114"/>
      <c r="G278" s="114"/>
      <c r="I278" s="388"/>
      <c r="J278" s="389"/>
      <c r="K278" s="388"/>
    </row>
    <row r="279" spans="1:11" ht="15.75" customHeight="1" x14ac:dyDescent="0.25">
      <c r="A279" s="24"/>
      <c r="B279" s="25"/>
      <c r="C279" s="24"/>
      <c r="D279" s="24"/>
      <c r="E279" s="24"/>
      <c r="F279" s="114"/>
      <c r="G279" s="114"/>
      <c r="I279" s="388"/>
      <c r="J279" s="389"/>
      <c r="K279" s="388"/>
    </row>
    <row r="280" spans="1:11" ht="15.75" customHeight="1" x14ac:dyDescent="0.25">
      <c r="A280" s="24"/>
      <c r="B280" s="25"/>
      <c r="C280" s="24"/>
      <c r="D280" s="24"/>
      <c r="E280" s="24"/>
      <c r="F280" s="114"/>
      <c r="G280" s="114"/>
      <c r="I280" s="388"/>
      <c r="J280" s="389"/>
      <c r="K280" s="388"/>
    </row>
    <row r="281" spans="1:11" ht="15.75" customHeight="1" x14ac:dyDescent="0.25">
      <c r="A281" s="24"/>
      <c r="B281" s="25"/>
      <c r="C281" s="24"/>
      <c r="D281" s="24"/>
      <c r="E281" s="24"/>
      <c r="F281" s="114"/>
      <c r="G281" s="114"/>
      <c r="I281" s="388"/>
      <c r="J281" s="389"/>
      <c r="K281" s="388"/>
    </row>
    <row r="282" spans="1:11" ht="15.75" customHeight="1" x14ac:dyDescent="0.25">
      <c r="A282" s="24"/>
      <c r="B282" s="25"/>
      <c r="C282" s="24"/>
      <c r="D282" s="24"/>
      <c r="E282" s="24"/>
      <c r="F282" s="114"/>
      <c r="G282" s="114"/>
      <c r="I282" s="388"/>
      <c r="J282" s="389"/>
      <c r="K282" s="388"/>
    </row>
    <row r="283" spans="1:11" ht="15.75" customHeight="1" x14ac:dyDescent="0.25">
      <c r="A283" s="24"/>
      <c r="B283" s="25"/>
      <c r="C283" s="24"/>
      <c r="D283" s="24"/>
      <c r="E283" s="24"/>
      <c r="F283" s="114"/>
      <c r="G283" s="114"/>
      <c r="I283" s="388"/>
      <c r="J283" s="389"/>
      <c r="K283" s="388"/>
    </row>
    <row r="284" spans="1:11" ht="15.75" customHeight="1" x14ac:dyDescent="0.25">
      <c r="A284" s="24"/>
      <c r="B284" s="25"/>
      <c r="C284" s="24"/>
      <c r="D284" s="24"/>
      <c r="E284" s="24"/>
      <c r="F284" s="114"/>
      <c r="G284" s="114"/>
      <c r="I284" s="388"/>
      <c r="J284" s="389"/>
      <c r="K284" s="388"/>
    </row>
    <row r="285" spans="1:11" ht="15.75" customHeight="1" x14ac:dyDescent="0.25">
      <c r="A285" s="24"/>
      <c r="B285" s="25"/>
      <c r="C285" s="24"/>
      <c r="D285" s="24"/>
      <c r="E285" s="24"/>
      <c r="F285" s="114"/>
      <c r="G285" s="114"/>
      <c r="I285" s="388"/>
      <c r="J285" s="389"/>
      <c r="K285" s="388"/>
    </row>
    <row r="286" spans="1:11" ht="15.75" customHeight="1" x14ac:dyDescent="0.25">
      <c r="A286" s="24"/>
      <c r="B286" s="25"/>
      <c r="C286" s="24"/>
      <c r="D286" s="24"/>
      <c r="E286" s="24"/>
      <c r="F286" s="114"/>
      <c r="G286" s="114"/>
      <c r="I286" s="388"/>
      <c r="J286" s="389"/>
      <c r="K286" s="388"/>
    </row>
    <row r="287" spans="1:11" ht="15.75" customHeight="1" x14ac:dyDescent="0.25">
      <c r="A287" s="24"/>
      <c r="B287" s="25"/>
      <c r="C287" s="24"/>
      <c r="D287" s="24"/>
      <c r="E287" s="24"/>
      <c r="F287" s="114"/>
      <c r="G287" s="114"/>
      <c r="I287" s="388"/>
      <c r="J287" s="389"/>
      <c r="K287" s="388"/>
    </row>
    <row r="288" spans="1:11" ht="15.75" customHeight="1" x14ac:dyDescent="0.25">
      <c r="A288" s="24"/>
      <c r="B288" s="25"/>
      <c r="C288" s="24"/>
      <c r="D288" s="24"/>
      <c r="E288" s="24"/>
      <c r="F288" s="114"/>
      <c r="G288" s="114"/>
      <c r="I288" s="388"/>
      <c r="J288" s="389"/>
      <c r="K288" s="388"/>
    </row>
    <row r="289" spans="1:11" ht="15.75" customHeight="1" x14ac:dyDescent="0.25">
      <c r="A289" s="24"/>
      <c r="B289" s="25"/>
      <c r="C289" s="24"/>
      <c r="D289" s="24"/>
      <c r="E289" s="24"/>
      <c r="F289" s="114"/>
      <c r="G289" s="114"/>
      <c r="I289" s="388"/>
      <c r="J289" s="389"/>
      <c r="K289" s="388"/>
    </row>
    <row r="290" spans="1:11" ht="15.75" customHeight="1" x14ac:dyDescent="0.25">
      <c r="A290" s="24"/>
      <c r="B290" s="25"/>
      <c r="C290" s="24"/>
      <c r="D290" s="24"/>
      <c r="E290" s="24"/>
      <c r="F290" s="114"/>
      <c r="G290" s="114"/>
      <c r="I290" s="388"/>
      <c r="J290" s="389"/>
      <c r="K290" s="388"/>
    </row>
    <row r="291" spans="1:11" ht="15.75" customHeight="1" x14ac:dyDescent="0.25">
      <c r="A291" s="24"/>
      <c r="B291" s="25"/>
      <c r="C291" s="24"/>
      <c r="D291" s="24"/>
      <c r="E291" s="24"/>
      <c r="F291" s="114"/>
      <c r="G291" s="114"/>
      <c r="I291" s="388"/>
      <c r="J291" s="389"/>
      <c r="K291" s="388"/>
    </row>
    <row r="292" spans="1:11" ht="15.75" customHeight="1" x14ac:dyDescent="0.25">
      <c r="A292" s="24"/>
      <c r="B292" s="25"/>
      <c r="C292" s="24"/>
      <c r="D292" s="24"/>
      <c r="E292" s="24"/>
      <c r="F292" s="114"/>
      <c r="G292" s="114"/>
      <c r="I292" s="388"/>
      <c r="J292" s="389"/>
      <c r="K292" s="388"/>
    </row>
    <row r="293" spans="1:11" ht="15.75" customHeight="1" x14ac:dyDescent="0.25">
      <c r="A293" s="24"/>
      <c r="B293" s="25"/>
      <c r="C293" s="24"/>
      <c r="D293" s="24"/>
      <c r="E293" s="24"/>
      <c r="F293" s="114"/>
      <c r="G293" s="114"/>
      <c r="I293" s="388"/>
      <c r="J293" s="389"/>
      <c r="K293" s="388"/>
    </row>
    <row r="294" spans="1:11" ht="15.75" customHeight="1" x14ac:dyDescent="0.25">
      <c r="A294" s="24"/>
      <c r="B294" s="25"/>
      <c r="C294" s="24"/>
      <c r="D294" s="24"/>
      <c r="E294" s="24"/>
      <c r="F294" s="114"/>
      <c r="G294" s="114"/>
      <c r="I294" s="388"/>
      <c r="J294" s="389"/>
      <c r="K294" s="388"/>
    </row>
    <row r="295" spans="1:11" ht="15.75" customHeight="1" x14ac:dyDescent="0.25">
      <c r="A295" s="24"/>
      <c r="B295" s="25"/>
      <c r="C295" s="24"/>
      <c r="D295" s="24"/>
      <c r="E295" s="24"/>
      <c r="F295" s="114"/>
      <c r="G295" s="114"/>
      <c r="I295" s="388"/>
      <c r="J295" s="389"/>
      <c r="K295" s="388"/>
    </row>
    <row r="296" spans="1:11" ht="15.75" customHeight="1" x14ac:dyDescent="0.25">
      <c r="A296" s="24"/>
      <c r="B296" s="25"/>
      <c r="C296" s="24"/>
      <c r="D296" s="24"/>
      <c r="E296" s="24"/>
      <c r="F296" s="114"/>
      <c r="G296" s="114"/>
      <c r="I296" s="388"/>
      <c r="J296" s="389"/>
      <c r="K296" s="388"/>
    </row>
    <row r="297" spans="1:11" ht="15.75" customHeight="1" x14ac:dyDescent="0.25">
      <c r="A297" s="24"/>
      <c r="B297" s="25"/>
      <c r="C297" s="24"/>
      <c r="D297" s="24"/>
      <c r="E297" s="24"/>
      <c r="F297" s="114"/>
      <c r="G297" s="114"/>
      <c r="I297" s="388"/>
      <c r="J297" s="389"/>
      <c r="K297" s="388"/>
    </row>
    <row r="298" spans="1:11" ht="15.75" customHeight="1" x14ac:dyDescent="0.25">
      <c r="A298" s="24"/>
      <c r="B298" s="25"/>
      <c r="C298" s="24"/>
      <c r="D298" s="24"/>
      <c r="E298" s="24"/>
      <c r="F298" s="114"/>
      <c r="G298" s="114"/>
      <c r="I298" s="388"/>
      <c r="J298" s="389"/>
      <c r="K298" s="388"/>
    </row>
    <row r="299" spans="1:11" ht="15.75" customHeight="1" x14ac:dyDescent="0.25">
      <c r="A299" s="24"/>
      <c r="B299" s="25"/>
      <c r="C299" s="24"/>
      <c r="D299" s="24"/>
      <c r="E299" s="24"/>
      <c r="F299" s="114"/>
      <c r="G299" s="114"/>
      <c r="I299" s="388"/>
      <c r="J299" s="389"/>
      <c r="K299" s="388"/>
    </row>
    <row r="300" spans="1:11" ht="15.75" customHeight="1" x14ac:dyDescent="0.25">
      <c r="A300" s="24"/>
      <c r="B300" s="25"/>
      <c r="C300" s="24"/>
      <c r="D300" s="24"/>
      <c r="E300" s="24"/>
      <c r="F300" s="114"/>
      <c r="G300" s="114"/>
      <c r="I300" s="388"/>
      <c r="J300" s="389"/>
      <c r="K300" s="388"/>
    </row>
    <row r="301" spans="1:11" ht="15.75" customHeight="1" x14ac:dyDescent="0.25">
      <c r="A301" s="24"/>
      <c r="B301" s="25"/>
      <c r="C301" s="24"/>
      <c r="D301" s="24"/>
      <c r="E301" s="24"/>
      <c r="F301" s="114"/>
      <c r="G301" s="114"/>
      <c r="I301" s="388"/>
      <c r="J301" s="389"/>
      <c r="K301" s="388"/>
    </row>
    <row r="302" spans="1:11" ht="15.75" customHeight="1" x14ac:dyDescent="0.25">
      <c r="A302" s="24"/>
      <c r="B302" s="25"/>
      <c r="C302" s="24"/>
      <c r="D302" s="24"/>
      <c r="E302" s="24"/>
      <c r="F302" s="114"/>
      <c r="G302" s="114"/>
      <c r="I302" s="388"/>
      <c r="J302" s="389"/>
      <c r="K302" s="388"/>
    </row>
    <row r="303" spans="1:11" ht="15.75" customHeight="1" x14ac:dyDescent="0.25">
      <c r="A303" s="24"/>
      <c r="B303" s="25"/>
      <c r="C303" s="24"/>
      <c r="D303" s="24"/>
      <c r="E303" s="24"/>
      <c r="F303" s="114"/>
      <c r="G303" s="114"/>
      <c r="I303" s="388"/>
      <c r="J303" s="389"/>
      <c r="K303" s="388"/>
    </row>
    <row r="304" spans="1:11" ht="15.75" customHeight="1" x14ac:dyDescent="0.25">
      <c r="A304" s="24"/>
      <c r="B304" s="25"/>
      <c r="C304" s="24"/>
      <c r="D304" s="24"/>
      <c r="E304" s="24"/>
      <c r="F304" s="114"/>
      <c r="G304" s="114"/>
      <c r="I304" s="388"/>
      <c r="J304" s="389"/>
      <c r="K304" s="388"/>
    </row>
    <row r="305" spans="1:11" ht="15.75" customHeight="1" x14ac:dyDescent="0.25">
      <c r="A305" s="24"/>
      <c r="B305" s="25"/>
      <c r="C305" s="24"/>
      <c r="D305" s="24"/>
      <c r="E305" s="24"/>
      <c r="F305" s="114"/>
      <c r="G305" s="114"/>
      <c r="I305" s="388"/>
      <c r="J305" s="389"/>
      <c r="K305" s="388"/>
    </row>
    <row r="306" spans="1:11" ht="15.75" customHeight="1" x14ac:dyDescent="0.25">
      <c r="A306" s="24"/>
      <c r="B306" s="25"/>
      <c r="C306" s="24"/>
      <c r="D306" s="24"/>
      <c r="E306" s="24"/>
      <c r="F306" s="114"/>
      <c r="G306" s="114"/>
      <c r="I306" s="388"/>
      <c r="J306" s="389"/>
      <c r="K306" s="388"/>
    </row>
    <row r="307" spans="1:11" ht="15.75" customHeight="1" x14ac:dyDescent="0.25">
      <c r="A307" s="24"/>
      <c r="B307" s="25"/>
      <c r="C307" s="24"/>
      <c r="D307" s="24"/>
      <c r="E307" s="24"/>
      <c r="F307" s="114"/>
      <c r="G307" s="114"/>
      <c r="I307" s="388"/>
      <c r="J307" s="389"/>
      <c r="K307" s="388"/>
    </row>
    <row r="308" spans="1:11" ht="15.75" customHeight="1" x14ac:dyDescent="0.25">
      <c r="A308" s="24"/>
      <c r="B308" s="25"/>
      <c r="C308" s="24"/>
      <c r="D308" s="24"/>
      <c r="E308" s="24"/>
      <c r="F308" s="114"/>
      <c r="G308" s="114"/>
      <c r="I308" s="388"/>
      <c r="J308" s="389"/>
      <c r="K308" s="388"/>
    </row>
    <row r="309" spans="1:11" ht="15.75" customHeight="1" x14ac:dyDescent="0.25">
      <c r="A309" s="24"/>
      <c r="B309" s="25"/>
      <c r="C309" s="24"/>
      <c r="D309" s="24"/>
      <c r="E309" s="24"/>
      <c r="F309" s="114"/>
      <c r="G309" s="114"/>
      <c r="I309" s="388"/>
      <c r="J309" s="389"/>
      <c r="K309" s="388"/>
    </row>
    <row r="310" spans="1:11" ht="15.75" customHeight="1" x14ac:dyDescent="0.25">
      <c r="A310" s="24"/>
      <c r="B310" s="25"/>
      <c r="C310" s="24"/>
      <c r="D310" s="24"/>
      <c r="E310" s="24"/>
      <c r="F310" s="114"/>
      <c r="G310" s="114"/>
      <c r="I310" s="388"/>
      <c r="J310" s="389"/>
      <c r="K310" s="388"/>
    </row>
    <row r="311" spans="1:11" ht="15.75" customHeight="1" x14ac:dyDescent="0.25">
      <c r="A311" s="24"/>
      <c r="B311" s="25"/>
      <c r="C311" s="24"/>
      <c r="D311" s="24"/>
      <c r="E311" s="24"/>
      <c r="F311" s="114"/>
      <c r="G311" s="114"/>
      <c r="I311" s="388"/>
      <c r="J311" s="389"/>
      <c r="K311" s="388"/>
    </row>
    <row r="312" spans="1:11" ht="15.75" customHeight="1" x14ac:dyDescent="0.25">
      <c r="A312" s="24"/>
      <c r="B312" s="25"/>
      <c r="C312" s="24"/>
      <c r="D312" s="24"/>
      <c r="E312" s="24"/>
      <c r="F312" s="114"/>
      <c r="G312" s="114"/>
      <c r="I312" s="388"/>
      <c r="J312" s="389"/>
      <c r="K312" s="388"/>
    </row>
    <row r="313" spans="1:11" ht="15.75" customHeight="1" x14ac:dyDescent="0.25">
      <c r="A313" s="24"/>
      <c r="B313" s="25"/>
      <c r="C313" s="24"/>
      <c r="D313" s="24"/>
      <c r="E313" s="24"/>
      <c r="F313" s="114"/>
      <c r="G313" s="114"/>
      <c r="I313" s="388"/>
      <c r="J313" s="389"/>
      <c r="K313" s="388"/>
    </row>
    <row r="314" spans="1:11" ht="15.75" customHeight="1" x14ac:dyDescent="0.25">
      <c r="A314" s="24"/>
      <c r="B314" s="25"/>
      <c r="C314" s="24"/>
      <c r="D314" s="24"/>
      <c r="E314" s="24"/>
      <c r="F314" s="114"/>
      <c r="G314" s="114"/>
      <c r="I314" s="388"/>
      <c r="J314" s="389"/>
      <c r="K314" s="388"/>
    </row>
    <row r="315" spans="1:11" ht="15.75" customHeight="1" x14ac:dyDescent="0.25">
      <c r="A315" s="24"/>
      <c r="B315" s="25"/>
      <c r="C315" s="24"/>
      <c r="D315" s="24"/>
      <c r="E315" s="24"/>
      <c r="F315" s="114"/>
      <c r="G315" s="114"/>
      <c r="I315" s="388"/>
      <c r="J315" s="389"/>
      <c r="K315" s="388"/>
    </row>
    <row r="316" spans="1:11" ht="15.75" customHeight="1" x14ac:dyDescent="0.25">
      <c r="A316" s="24"/>
      <c r="B316" s="25"/>
      <c r="C316" s="24"/>
      <c r="D316" s="24"/>
      <c r="E316" s="24"/>
      <c r="F316" s="114"/>
      <c r="G316" s="114"/>
      <c r="I316" s="388"/>
      <c r="J316" s="389"/>
      <c r="K316" s="388"/>
    </row>
    <row r="317" spans="1:11" ht="15.75" customHeight="1" x14ac:dyDescent="0.25">
      <c r="A317" s="24"/>
      <c r="B317" s="25"/>
      <c r="C317" s="24"/>
      <c r="D317" s="24"/>
      <c r="E317" s="24"/>
      <c r="F317" s="114"/>
      <c r="G317" s="114"/>
      <c r="I317" s="388"/>
      <c r="J317" s="389"/>
      <c r="K317" s="388"/>
    </row>
    <row r="318" spans="1:11" ht="15.75" customHeight="1" x14ac:dyDescent="0.25">
      <c r="A318" s="24"/>
      <c r="B318" s="25"/>
      <c r="C318" s="24"/>
      <c r="D318" s="24"/>
      <c r="E318" s="24"/>
      <c r="F318" s="114"/>
      <c r="G318" s="114"/>
      <c r="I318" s="388"/>
      <c r="J318" s="389"/>
      <c r="K318" s="388"/>
    </row>
    <row r="319" spans="1:11" ht="15.75" customHeight="1" x14ac:dyDescent="0.25">
      <c r="A319" s="24"/>
      <c r="B319" s="25"/>
      <c r="C319" s="24"/>
      <c r="D319" s="24"/>
      <c r="E319" s="24"/>
      <c r="F319" s="114"/>
      <c r="G319" s="114"/>
      <c r="I319" s="388"/>
      <c r="J319" s="389"/>
      <c r="K319" s="388"/>
    </row>
    <row r="320" spans="1:11" ht="15.75" customHeight="1" x14ac:dyDescent="0.25">
      <c r="A320" s="24"/>
      <c r="B320" s="25"/>
      <c r="C320" s="24"/>
      <c r="D320" s="24"/>
      <c r="E320" s="24"/>
      <c r="F320" s="114"/>
      <c r="G320" s="114"/>
      <c r="I320" s="388"/>
      <c r="J320" s="389"/>
      <c r="K320" s="388"/>
    </row>
    <row r="321" spans="1:11" ht="15.75" customHeight="1" x14ac:dyDescent="0.25">
      <c r="A321" s="24"/>
      <c r="B321" s="25"/>
      <c r="C321" s="24"/>
      <c r="D321" s="24"/>
      <c r="E321" s="24"/>
      <c r="F321" s="114"/>
      <c r="G321" s="114"/>
      <c r="I321" s="388"/>
      <c r="J321" s="389"/>
      <c r="K321" s="388"/>
    </row>
    <row r="322" spans="1:11" ht="15.75" customHeight="1" x14ac:dyDescent="0.25">
      <c r="A322" s="24"/>
      <c r="B322" s="25"/>
      <c r="C322" s="24"/>
      <c r="D322" s="24"/>
      <c r="E322" s="24"/>
      <c r="F322" s="114"/>
      <c r="G322" s="114"/>
      <c r="I322" s="388"/>
      <c r="J322" s="389"/>
      <c r="K322" s="388"/>
    </row>
    <row r="323" spans="1:11" ht="15.75" customHeight="1" x14ac:dyDescent="0.25">
      <c r="A323" s="24"/>
      <c r="B323" s="25"/>
      <c r="C323" s="24"/>
      <c r="D323" s="24"/>
      <c r="E323" s="24"/>
      <c r="F323" s="114"/>
      <c r="G323" s="114"/>
      <c r="I323" s="388"/>
      <c r="J323" s="389"/>
      <c r="K323" s="388"/>
    </row>
    <row r="324" spans="1:11" ht="15.75" customHeight="1" x14ac:dyDescent="0.25">
      <c r="A324" s="24"/>
      <c r="B324" s="25"/>
      <c r="C324" s="24"/>
      <c r="D324" s="24"/>
      <c r="E324" s="24"/>
      <c r="F324" s="114"/>
      <c r="G324" s="114"/>
      <c r="I324" s="388"/>
      <c r="J324" s="389"/>
      <c r="K324" s="388"/>
    </row>
    <row r="325" spans="1:11" ht="15.75" customHeight="1" x14ac:dyDescent="0.25">
      <c r="A325" s="24"/>
      <c r="B325" s="25"/>
      <c r="C325" s="24"/>
      <c r="D325" s="24"/>
      <c r="E325" s="24"/>
      <c r="F325" s="114"/>
      <c r="G325" s="114"/>
      <c r="I325" s="388"/>
      <c r="J325" s="389"/>
      <c r="K325" s="388"/>
    </row>
    <row r="326" spans="1:11" ht="15.75" customHeight="1" x14ac:dyDescent="0.25">
      <c r="A326" s="24"/>
      <c r="B326" s="25"/>
      <c r="C326" s="24"/>
      <c r="D326" s="24"/>
      <c r="E326" s="24"/>
      <c r="F326" s="114"/>
      <c r="G326" s="114"/>
      <c r="I326" s="388"/>
      <c r="J326" s="389"/>
      <c r="K326" s="388"/>
    </row>
    <row r="327" spans="1:11" ht="15.75" customHeight="1" x14ac:dyDescent="0.25">
      <c r="A327" s="24"/>
      <c r="B327" s="25"/>
      <c r="C327" s="24"/>
      <c r="D327" s="24"/>
      <c r="E327" s="24"/>
      <c r="F327" s="114"/>
      <c r="G327" s="114"/>
      <c r="I327" s="388"/>
      <c r="J327" s="389"/>
      <c r="K327" s="388"/>
    </row>
    <row r="328" spans="1:11" ht="15.75" customHeight="1" x14ac:dyDescent="0.25">
      <c r="A328" s="24"/>
      <c r="B328" s="25"/>
      <c r="C328" s="24"/>
      <c r="D328" s="24"/>
      <c r="E328" s="24"/>
      <c r="F328" s="114"/>
      <c r="G328" s="114"/>
      <c r="I328" s="388"/>
      <c r="J328" s="389"/>
      <c r="K328" s="388"/>
    </row>
    <row r="329" spans="1:11" ht="15.75" customHeight="1" x14ac:dyDescent="0.25">
      <c r="A329" s="24"/>
      <c r="B329" s="25"/>
      <c r="C329" s="24"/>
      <c r="D329" s="24"/>
      <c r="E329" s="24"/>
      <c r="F329" s="114"/>
      <c r="G329" s="114"/>
      <c r="I329" s="388"/>
      <c r="J329" s="389"/>
      <c r="K329" s="388"/>
    </row>
    <row r="330" spans="1:11" ht="15.75" customHeight="1" x14ac:dyDescent="0.25">
      <c r="A330" s="24"/>
      <c r="B330" s="25"/>
      <c r="C330" s="24"/>
      <c r="D330" s="24"/>
      <c r="E330" s="24"/>
      <c r="F330" s="114"/>
      <c r="G330" s="114"/>
      <c r="I330" s="388"/>
      <c r="J330" s="389"/>
      <c r="K330" s="388"/>
    </row>
    <row r="331" spans="1:11" ht="15.75" customHeight="1" x14ac:dyDescent="0.25">
      <c r="A331" s="24"/>
      <c r="B331" s="25"/>
      <c r="C331" s="24"/>
      <c r="D331" s="24"/>
      <c r="E331" s="24"/>
      <c r="F331" s="114"/>
      <c r="G331" s="114"/>
      <c r="I331" s="388"/>
      <c r="J331" s="389"/>
      <c r="K331" s="388"/>
    </row>
    <row r="332" spans="1:11" ht="15.75" customHeight="1" x14ac:dyDescent="0.25">
      <c r="A332" s="24"/>
      <c r="B332" s="25"/>
      <c r="C332" s="24"/>
      <c r="D332" s="24"/>
      <c r="E332" s="24"/>
      <c r="F332" s="114"/>
      <c r="G332" s="114"/>
      <c r="I332" s="388"/>
      <c r="J332" s="389"/>
      <c r="K332" s="388"/>
    </row>
    <row r="333" spans="1:11" ht="15.75" customHeight="1" x14ac:dyDescent="0.25">
      <c r="A333" s="24"/>
      <c r="B333" s="25"/>
      <c r="C333" s="24"/>
      <c r="D333" s="24"/>
      <c r="E333" s="24"/>
      <c r="F333" s="114"/>
      <c r="G333" s="114"/>
      <c r="I333" s="388"/>
      <c r="J333" s="389"/>
      <c r="K333" s="388"/>
    </row>
    <row r="334" spans="1:11" ht="15.75" customHeight="1" x14ac:dyDescent="0.25">
      <c r="A334" s="24"/>
      <c r="B334" s="25"/>
      <c r="C334" s="24"/>
      <c r="D334" s="24"/>
      <c r="E334" s="24"/>
      <c r="F334" s="114"/>
      <c r="G334" s="114"/>
      <c r="I334" s="388"/>
      <c r="J334" s="389"/>
      <c r="K334" s="388"/>
    </row>
    <row r="335" spans="1:11" ht="15.75" customHeight="1" x14ac:dyDescent="0.25">
      <c r="A335" s="24"/>
      <c r="B335" s="25"/>
      <c r="C335" s="24"/>
      <c r="D335" s="24"/>
      <c r="E335" s="24"/>
      <c r="F335" s="114"/>
      <c r="G335" s="114"/>
      <c r="I335" s="388"/>
      <c r="J335" s="389"/>
      <c r="K335" s="388"/>
    </row>
    <row r="336" spans="1:11" ht="15.75" customHeight="1" x14ac:dyDescent="0.25">
      <c r="A336" s="24"/>
      <c r="B336" s="25"/>
      <c r="C336" s="24"/>
      <c r="D336" s="24"/>
      <c r="E336" s="24"/>
      <c r="F336" s="114"/>
      <c r="G336" s="114"/>
      <c r="I336" s="388"/>
      <c r="J336" s="389"/>
      <c r="K336" s="388"/>
    </row>
    <row r="337" spans="1:11" ht="15.75" customHeight="1" x14ac:dyDescent="0.25">
      <c r="A337" s="24"/>
      <c r="B337" s="25"/>
      <c r="C337" s="24"/>
      <c r="D337" s="24"/>
      <c r="E337" s="24"/>
      <c r="F337" s="114"/>
      <c r="G337" s="114"/>
      <c r="I337" s="388"/>
      <c r="J337" s="389"/>
      <c r="K337" s="388"/>
    </row>
    <row r="338" spans="1:11" ht="15.75" customHeight="1" x14ac:dyDescent="0.25">
      <c r="A338" s="24"/>
      <c r="B338" s="25"/>
      <c r="C338" s="24"/>
      <c r="D338" s="24"/>
      <c r="E338" s="24"/>
      <c r="F338" s="114"/>
      <c r="G338" s="114"/>
      <c r="I338" s="388"/>
      <c r="J338" s="389"/>
      <c r="K338" s="388"/>
    </row>
    <row r="339" spans="1:11" ht="15.75" customHeight="1" x14ac:dyDescent="0.25">
      <c r="A339" s="24"/>
      <c r="B339" s="25"/>
      <c r="C339" s="24"/>
      <c r="D339" s="24"/>
      <c r="E339" s="24"/>
      <c r="F339" s="114"/>
      <c r="G339" s="114"/>
      <c r="I339" s="388"/>
      <c r="J339" s="389"/>
      <c r="K339" s="388"/>
    </row>
    <row r="340" spans="1:11" ht="15.75" customHeight="1" x14ac:dyDescent="0.25">
      <c r="A340" s="24"/>
      <c r="B340" s="25"/>
      <c r="C340" s="24"/>
      <c r="D340" s="24"/>
      <c r="E340" s="24"/>
      <c r="F340" s="114"/>
      <c r="G340" s="114"/>
      <c r="I340" s="388"/>
      <c r="J340" s="389"/>
      <c r="K340" s="388"/>
    </row>
    <row r="341" spans="1:11" ht="15.75" customHeight="1" x14ac:dyDescent="0.25">
      <c r="A341" s="24"/>
      <c r="B341" s="25"/>
      <c r="C341" s="24"/>
      <c r="D341" s="24"/>
      <c r="E341" s="24"/>
      <c r="F341" s="114"/>
      <c r="G341" s="114"/>
      <c r="I341" s="388"/>
      <c r="J341" s="389"/>
      <c r="K341" s="388"/>
    </row>
    <row r="342" spans="1:11" ht="15.75" customHeight="1" x14ac:dyDescent="0.25">
      <c r="A342" s="24"/>
      <c r="B342" s="25"/>
      <c r="C342" s="24"/>
      <c r="D342" s="24"/>
      <c r="E342" s="24"/>
      <c r="F342" s="114"/>
      <c r="G342" s="114"/>
      <c r="I342" s="388"/>
      <c r="J342" s="389"/>
      <c r="K342" s="388"/>
    </row>
    <row r="343" spans="1:11" ht="15.75" customHeight="1" x14ac:dyDescent="0.25">
      <c r="A343" s="24"/>
      <c r="B343" s="25"/>
      <c r="C343" s="24"/>
      <c r="D343" s="24"/>
      <c r="E343" s="24"/>
      <c r="F343" s="114"/>
      <c r="G343" s="114"/>
      <c r="I343" s="388"/>
      <c r="J343" s="389"/>
      <c r="K343" s="388"/>
    </row>
    <row r="344" spans="1:11" ht="15.75" customHeight="1" x14ac:dyDescent="0.25">
      <c r="A344" s="24"/>
      <c r="B344" s="25"/>
      <c r="C344" s="24"/>
      <c r="D344" s="24"/>
      <c r="E344" s="24"/>
      <c r="F344" s="114"/>
      <c r="G344" s="114"/>
      <c r="I344" s="388"/>
      <c r="J344" s="389"/>
      <c r="K344" s="388"/>
    </row>
    <row r="345" spans="1:11" ht="15.75" customHeight="1" x14ac:dyDescent="0.25">
      <c r="A345" s="24"/>
      <c r="B345" s="25"/>
      <c r="C345" s="24"/>
      <c r="D345" s="24"/>
      <c r="E345" s="24"/>
      <c r="F345" s="114"/>
      <c r="G345" s="114"/>
      <c r="I345" s="388"/>
      <c r="J345" s="389"/>
      <c r="K345" s="388"/>
    </row>
    <row r="346" spans="1:11" ht="15.75" customHeight="1" x14ac:dyDescent="0.25">
      <c r="A346" s="24"/>
      <c r="B346" s="25"/>
      <c r="C346" s="24"/>
      <c r="D346" s="24"/>
      <c r="E346" s="24"/>
      <c r="F346" s="114"/>
      <c r="G346" s="114"/>
      <c r="I346" s="388"/>
      <c r="J346" s="389"/>
      <c r="K346" s="388"/>
    </row>
    <row r="347" spans="1:11" ht="15.75" customHeight="1" x14ac:dyDescent="0.25">
      <c r="A347" s="24"/>
      <c r="B347" s="25"/>
      <c r="C347" s="24"/>
      <c r="D347" s="24"/>
      <c r="E347" s="24"/>
      <c r="F347" s="114"/>
      <c r="G347" s="114"/>
      <c r="I347" s="388"/>
      <c r="J347" s="389"/>
      <c r="K347" s="388"/>
    </row>
    <row r="348" spans="1:11" ht="15.75" customHeight="1" x14ac:dyDescent="0.25">
      <c r="A348" s="24"/>
      <c r="B348" s="25"/>
      <c r="C348" s="24"/>
      <c r="D348" s="24"/>
      <c r="E348" s="24"/>
      <c r="F348" s="114"/>
      <c r="G348" s="114"/>
      <c r="I348" s="388"/>
      <c r="J348" s="389"/>
      <c r="K348" s="388"/>
    </row>
    <row r="349" spans="1:11" ht="15.75" customHeight="1" x14ac:dyDescent="0.25">
      <c r="A349" s="24"/>
      <c r="B349" s="25"/>
      <c r="C349" s="24"/>
      <c r="D349" s="24"/>
      <c r="E349" s="24"/>
      <c r="F349" s="114"/>
      <c r="G349" s="114"/>
      <c r="I349" s="388"/>
      <c r="J349" s="389"/>
      <c r="K349" s="388"/>
    </row>
    <row r="350" spans="1:11" ht="15.75" customHeight="1" x14ac:dyDescent="0.25">
      <c r="A350" s="24"/>
      <c r="B350" s="25"/>
      <c r="C350" s="24"/>
      <c r="D350" s="24"/>
      <c r="E350" s="24"/>
      <c r="F350" s="114"/>
      <c r="G350" s="114"/>
      <c r="I350" s="388"/>
      <c r="J350" s="389"/>
      <c r="K350" s="388"/>
    </row>
    <row r="351" spans="1:11" ht="15.75" customHeight="1" x14ac:dyDescent="0.25">
      <c r="A351" s="24"/>
      <c r="B351" s="25"/>
      <c r="C351" s="24"/>
      <c r="D351" s="24"/>
      <c r="E351" s="24"/>
      <c r="F351" s="114"/>
      <c r="G351" s="114"/>
      <c r="I351" s="388"/>
      <c r="J351" s="389"/>
      <c r="K351" s="388"/>
    </row>
    <row r="352" spans="1:11" ht="15.75" customHeight="1" x14ac:dyDescent="0.25">
      <c r="A352" s="24"/>
      <c r="B352" s="25"/>
      <c r="C352" s="24"/>
      <c r="D352" s="24"/>
      <c r="E352" s="24"/>
      <c r="F352" s="114"/>
      <c r="G352" s="114"/>
      <c r="I352" s="388"/>
      <c r="J352" s="389"/>
      <c r="K352" s="388"/>
    </row>
    <row r="353" spans="1:11" ht="15.75" customHeight="1" x14ac:dyDescent="0.25">
      <c r="A353" s="24"/>
      <c r="B353" s="25"/>
      <c r="C353" s="24"/>
      <c r="D353" s="24"/>
      <c r="E353" s="24"/>
      <c r="F353" s="114"/>
      <c r="G353" s="114"/>
      <c r="I353" s="388"/>
      <c r="J353" s="389"/>
      <c r="K353" s="388"/>
    </row>
    <row r="354" spans="1:11" ht="15.75" customHeight="1" x14ac:dyDescent="0.25">
      <c r="A354" s="24"/>
      <c r="B354" s="25"/>
      <c r="C354" s="24"/>
      <c r="D354" s="24"/>
      <c r="E354" s="24"/>
      <c r="F354" s="114"/>
      <c r="G354" s="114"/>
      <c r="I354" s="388"/>
      <c r="J354" s="389"/>
      <c r="K354" s="388"/>
    </row>
    <row r="355" spans="1:11" ht="15.75" customHeight="1" x14ac:dyDescent="0.25">
      <c r="A355" s="24"/>
      <c r="B355" s="25"/>
      <c r="C355" s="24"/>
      <c r="D355" s="24"/>
      <c r="E355" s="24"/>
      <c r="F355" s="114"/>
      <c r="G355" s="114"/>
      <c r="I355" s="388"/>
      <c r="J355" s="389"/>
      <c r="K355" s="388"/>
    </row>
    <row r="356" spans="1:11" ht="15.75" customHeight="1" x14ac:dyDescent="0.25">
      <c r="A356" s="24"/>
      <c r="B356" s="25"/>
      <c r="C356" s="24"/>
      <c r="D356" s="24"/>
      <c r="E356" s="24"/>
      <c r="F356" s="114"/>
      <c r="G356" s="114"/>
      <c r="I356" s="388"/>
      <c r="J356" s="389"/>
      <c r="K356" s="388"/>
    </row>
    <row r="357" spans="1:11" ht="15.75" customHeight="1" x14ac:dyDescent="0.25">
      <c r="A357" s="24"/>
      <c r="B357" s="25"/>
      <c r="C357" s="24"/>
      <c r="D357" s="24"/>
      <c r="E357" s="24"/>
      <c r="F357" s="114"/>
      <c r="G357" s="114"/>
      <c r="I357" s="388"/>
      <c r="J357" s="389"/>
      <c r="K357" s="388"/>
    </row>
    <row r="358" spans="1:11" ht="15.75" customHeight="1" x14ac:dyDescent="0.25">
      <c r="A358" s="24"/>
      <c r="B358" s="25"/>
      <c r="C358" s="24"/>
      <c r="D358" s="24"/>
      <c r="E358" s="24"/>
      <c r="F358" s="114"/>
      <c r="G358" s="114"/>
      <c r="I358" s="388"/>
      <c r="J358" s="389"/>
      <c r="K358" s="388"/>
    </row>
    <row r="359" spans="1:11" ht="15.75" customHeight="1" x14ac:dyDescent="0.25">
      <c r="A359" s="24"/>
      <c r="B359" s="25"/>
      <c r="C359" s="24"/>
      <c r="D359" s="24"/>
      <c r="E359" s="24"/>
      <c r="F359" s="114"/>
      <c r="G359" s="114"/>
      <c r="I359" s="388"/>
      <c r="J359" s="389"/>
      <c r="K359" s="388"/>
    </row>
    <row r="360" spans="1:11" ht="15.75" customHeight="1" x14ac:dyDescent="0.25">
      <c r="A360" s="24"/>
      <c r="B360" s="25"/>
      <c r="C360" s="24"/>
      <c r="D360" s="24"/>
      <c r="E360" s="24"/>
      <c r="F360" s="114"/>
      <c r="G360" s="114"/>
      <c r="I360" s="388"/>
      <c r="J360" s="389"/>
      <c r="K360" s="388"/>
    </row>
    <row r="361" spans="1:11" ht="15.75" customHeight="1" x14ac:dyDescent="0.25">
      <c r="A361" s="24"/>
      <c r="B361" s="25"/>
      <c r="C361" s="24"/>
      <c r="D361" s="24"/>
      <c r="E361" s="24"/>
      <c r="F361" s="114"/>
      <c r="G361" s="114"/>
      <c r="I361" s="388"/>
      <c r="J361" s="389"/>
      <c r="K361" s="388"/>
    </row>
    <row r="362" spans="1:11" ht="15.75" customHeight="1" x14ac:dyDescent="0.25">
      <c r="A362" s="24"/>
      <c r="B362" s="25"/>
      <c r="C362" s="24"/>
      <c r="D362" s="24"/>
      <c r="E362" s="24"/>
      <c r="F362" s="114"/>
      <c r="G362" s="114"/>
      <c r="I362" s="388"/>
      <c r="J362" s="389"/>
      <c r="K362" s="388"/>
    </row>
    <row r="363" spans="1:11" ht="15.75" customHeight="1" x14ac:dyDescent="0.25">
      <c r="A363" s="24"/>
      <c r="B363" s="25"/>
      <c r="C363" s="24"/>
      <c r="D363" s="24"/>
      <c r="E363" s="24"/>
      <c r="F363" s="114"/>
      <c r="G363" s="114"/>
      <c r="I363" s="388"/>
      <c r="J363" s="389"/>
      <c r="K363" s="388"/>
    </row>
    <row r="364" spans="1:11" ht="15.75" customHeight="1" x14ac:dyDescent="0.25">
      <c r="A364" s="24"/>
      <c r="B364" s="25"/>
      <c r="C364" s="24"/>
      <c r="D364" s="24"/>
      <c r="E364" s="24"/>
      <c r="F364" s="114"/>
      <c r="G364" s="114"/>
      <c r="I364" s="388"/>
      <c r="J364" s="389"/>
      <c r="K364" s="388"/>
    </row>
    <row r="365" spans="1:11" ht="15.75" customHeight="1" x14ac:dyDescent="0.25">
      <c r="I365" s="388"/>
      <c r="J365" s="388"/>
      <c r="K365" s="388"/>
    </row>
    <row r="366" spans="1:11" ht="15.75" customHeight="1" x14ac:dyDescent="0.25">
      <c r="I366" s="388"/>
      <c r="J366" s="388"/>
      <c r="K366" s="388"/>
    </row>
    <row r="367" spans="1:11" ht="15.75" customHeight="1" x14ac:dyDescent="0.25">
      <c r="I367" s="388"/>
      <c r="J367" s="388"/>
      <c r="K367" s="388"/>
    </row>
    <row r="368" spans="1:11" ht="15.75" customHeight="1" x14ac:dyDescent="0.25">
      <c r="I368" s="388"/>
      <c r="J368" s="388"/>
      <c r="K368" s="388"/>
    </row>
    <row r="369" spans="9:11" ht="15.75" customHeight="1" x14ac:dyDescent="0.25">
      <c r="I369" s="388"/>
      <c r="J369" s="388"/>
      <c r="K369" s="388"/>
    </row>
    <row r="370" spans="9:11" ht="15.75" customHeight="1" x14ac:dyDescent="0.25">
      <c r="I370" s="388"/>
      <c r="J370" s="388"/>
      <c r="K370" s="388"/>
    </row>
    <row r="371" spans="9:11" ht="15.75" customHeight="1" x14ac:dyDescent="0.25">
      <c r="I371" s="388"/>
      <c r="J371" s="388"/>
      <c r="K371" s="388"/>
    </row>
    <row r="372" spans="9:11" ht="15.75" customHeight="1" x14ac:dyDescent="0.25">
      <c r="I372" s="388"/>
      <c r="J372" s="388"/>
      <c r="K372" s="388"/>
    </row>
    <row r="373" spans="9:11" ht="15.75" customHeight="1" x14ac:dyDescent="0.25">
      <c r="I373" s="388"/>
      <c r="J373" s="388"/>
      <c r="K373" s="388"/>
    </row>
    <row r="374" spans="9:11" ht="15.75" customHeight="1" x14ac:dyDescent="0.25">
      <c r="I374" s="388"/>
      <c r="J374" s="388"/>
      <c r="K374" s="388"/>
    </row>
    <row r="375" spans="9:11" ht="15.75" customHeight="1" x14ac:dyDescent="0.25">
      <c r="I375" s="388"/>
      <c r="J375" s="388"/>
      <c r="K375" s="388"/>
    </row>
    <row r="376" spans="9:11" ht="15.75" customHeight="1" x14ac:dyDescent="0.25">
      <c r="I376" s="388"/>
      <c r="J376" s="388"/>
      <c r="K376" s="388"/>
    </row>
    <row r="377" spans="9:11" ht="15.75" customHeight="1" x14ac:dyDescent="0.25">
      <c r="I377" s="388"/>
      <c r="J377" s="388"/>
      <c r="K377" s="388"/>
    </row>
    <row r="378" spans="9:11" ht="15.75" customHeight="1" x14ac:dyDescent="0.25">
      <c r="I378" s="388"/>
      <c r="J378" s="388"/>
      <c r="K378" s="388"/>
    </row>
    <row r="379" spans="9:11" ht="15.75" customHeight="1" x14ac:dyDescent="0.25">
      <c r="I379" s="388"/>
      <c r="J379" s="388"/>
      <c r="K379" s="388"/>
    </row>
    <row r="380" spans="9:11" ht="15.75" customHeight="1" x14ac:dyDescent="0.25">
      <c r="I380" s="388"/>
      <c r="J380" s="388"/>
      <c r="K380" s="388"/>
    </row>
    <row r="381" spans="9:11" ht="15.75" customHeight="1" x14ac:dyDescent="0.25">
      <c r="I381" s="388"/>
      <c r="J381" s="388"/>
      <c r="K381" s="388"/>
    </row>
    <row r="382" spans="9:11" ht="15.75" customHeight="1" x14ac:dyDescent="0.25">
      <c r="I382" s="388"/>
      <c r="J382" s="388"/>
      <c r="K382" s="388"/>
    </row>
    <row r="383" spans="9:11" ht="15.75" customHeight="1" x14ac:dyDescent="0.25">
      <c r="I383" s="388"/>
      <c r="J383" s="388"/>
      <c r="K383" s="388"/>
    </row>
    <row r="384" spans="9:11" ht="15.75" customHeight="1" x14ac:dyDescent="0.25">
      <c r="I384" s="388"/>
      <c r="J384" s="388"/>
      <c r="K384" s="388"/>
    </row>
    <row r="385" spans="9:11" ht="15.75" customHeight="1" x14ac:dyDescent="0.25">
      <c r="I385" s="388"/>
      <c r="J385" s="388"/>
      <c r="K385" s="388"/>
    </row>
    <row r="386" spans="9:11" ht="15.75" customHeight="1" x14ac:dyDescent="0.25">
      <c r="I386" s="388"/>
      <c r="J386" s="388"/>
      <c r="K386" s="388"/>
    </row>
    <row r="387" spans="9:11" ht="15.75" customHeight="1" x14ac:dyDescent="0.25">
      <c r="I387" s="388"/>
      <c r="J387" s="388"/>
      <c r="K387" s="388"/>
    </row>
    <row r="388" spans="9:11" ht="15.75" customHeight="1" x14ac:dyDescent="0.25">
      <c r="I388" s="388"/>
      <c r="J388" s="388"/>
      <c r="K388" s="388"/>
    </row>
    <row r="389" spans="9:11" ht="15.75" customHeight="1" x14ac:dyDescent="0.25">
      <c r="I389" s="388"/>
      <c r="J389" s="388"/>
      <c r="K389" s="388"/>
    </row>
    <row r="390" spans="9:11" ht="15.75" customHeight="1" x14ac:dyDescent="0.25">
      <c r="I390" s="388"/>
      <c r="J390" s="388"/>
      <c r="K390" s="388"/>
    </row>
    <row r="391" spans="9:11" ht="15.75" customHeight="1" x14ac:dyDescent="0.25">
      <c r="I391" s="388"/>
      <c r="J391" s="388"/>
      <c r="K391" s="388"/>
    </row>
    <row r="392" spans="9:11" ht="15.75" customHeight="1" x14ac:dyDescent="0.25">
      <c r="I392" s="388"/>
      <c r="J392" s="388"/>
      <c r="K392" s="388"/>
    </row>
    <row r="393" spans="9:11" ht="15.75" customHeight="1" x14ac:dyDescent="0.25">
      <c r="I393" s="388"/>
      <c r="J393" s="388"/>
      <c r="K393" s="388"/>
    </row>
    <row r="394" spans="9:11" ht="15.75" customHeight="1" x14ac:dyDescent="0.25">
      <c r="I394" s="388"/>
      <c r="J394" s="388"/>
      <c r="K394" s="388"/>
    </row>
    <row r="395" spans="9:11" ht="15.75" customHeight="1" x14ac:dyDescent="0.25">
      <c r="I395" s="388"/>
      <c r="J395" s="388"/>
      <c r="K395" s="388"/>
    </row>
    <row r="396" spans="9:11" ht="15.75" customHeight="1" x14ac:dyDescent="0.25">
      <c r="I396" s="388"/>
      <c r="J396" s="388"/>
      <c r="K396" s="388"/>
    </row>
    <row r="397" spans="9:11" ht="15.75" customHeight="1" x14ac:dyDescent="0.25">
      <c r="I397" s="388"/>
      <c r="J397" s="388"/>
      <c r="K397" s="388"/>
    </row>
    <row r="398" spans="9:11" ht="15.75" customHeight="1" x14ac:dyDescent="0.25">
      <c r="I398" s="388"/>
      <c r="J398" s="388"/>
      <c r="K398" s="388"/>
    </row>
    <row r="399" spans="9:11" ht="15.75" customHeight="1" x14ac:dyDescent="0.25">
      <c r="I399" s="388"/>
      <c r="J399" s="388"/>
      <c r="K399" s="388"/>
    </row>
    <row r="400" spans="9:11" ht="15.75" customHeight="1" x14ac:dyDescent="0.25">
      <c r="I400" s="388"/>
      <c r="J400" s="388"/>
      <c r="K400" s="388"/>
    </row>
    <row r="401" spans="9:11" ht="15.75" customHeight="1" x14ac:dyDescent="0.25">
      <c r="I401" s="388"/>
      <c r="J401" s="388"/>
      <c r="K401" s="388"/>
    </row>
    <row r="402" spans="9:11" ht="15.75" customHeight="1" x14ac:dyDescent="0.25">
      <c r="I402" s="388"/>
      <c r="J402" s="388"/>
      <c r="K402" s="388"/>
    </row>
    <row r="403" spans="9:11" ht="15.75" customHeight="1" x14ac:dyDescent="0.25">
      <c r="I403" s="388"/>
      <c r="J403" s="388"/>
      <c r="K403" s="388"/>
    </row>
    <row r="404" spans="9:11" ht="15.75" customHeight="1" x14ac:dyDescent="0.25">
      <c r="I404" s="388"/>
      <c r="J404" s="388"/>
      <c r="K404" s="388"/>
    </row>
    <row r="405" spans="9:11" ht="15.75" customHeight="1" x14ac:dyDescent="0.25">
      <c r="I405" s="388"/>
      <c r="J405" s="388"/>
      <c r="K405" s="388"/>
    </row>
    <row r="406" spans="9:11" ht="15.75" customHeight="1" x14ac:dyDescent="0.25">
      <c r="I406" s="388"/>
      <c r="J406" s="388"/>
      <c r="K406" s="388"/>
    </row>
    <row r="407" spans="9:11" ht="15.75" customHeight="1" x14ac:dyDescent="0.25">
      <c r="I407" s="388"/>
      <c r="J407" s="388"/>
      <c r="K407" s="388"/>
    </row>
    <row r="408" spans="9:11" ht="15.75" customHeight="1" x14ac:dyDescent="0.25">
      <c r="I408" s="388"/>
      <c r="J408" s="388"/>
      <c r="K408" s="388"/>
    </row>
    <row r="409" spans="9:11" ht="15.75" customHeight="1" x14ac:dyDescent="0.25">
      <c r="I409" s="388"/>
      <c r="J409" s="388"/>
      <c r="K409" s="388"/>
    </row>
    <row r="410" spans="9:11" ht="15.75" customHeight="1" x14ac:dyDescent="0.25">
      <c r="I410" s="388"/>
      <c r="J410" s="388"/>
      <c r="K410" s="388"/>
    </row>
    <row r="411" spans="9:11" ht="15.75" customHeight="1" x14ac:dyDescent="0.25">
      <c r="I411" s="388"/>
      <c r="J411" s="388"/>
      <c r="K411" s="388"/>
    </row>
    <row r="412" spans="9:11" ht="15.75" customHeight="1" x14ac:dyDescent="0.25">
      <c r="I412" s="388"/>
      <c r="J412" s="388"/>
      <c r="K412" s="388"/>
    </row>
    <row r="413" spans="9:11" ht="15.75" customHeight="1" x14ac:dyDescent="0.25">
      <c r="I413" s="388"/>
      <c r="J413" s="388"/>
      <c r="K413" s="388"/>
    </row>
    <row r="414" spans="9:11" ht="15.75" customHeight="1" x14ac:dyDescent="0.25">
      <c r="I414" s="388"/>
      <c r="J414" s="388"/>
      <c r="K414" s="388"/>
    </row>
    <row r="415" spans="9:11" ht="15.75" customHeight="1" x14ac:dyDescent="0.25">
      <c r="I415" s="388"/>
      <c r="J415" s="388"/>
      <c r="K415" s="388"/>
    </row>
    <row r="416" spans="9:11" ht="15.75" customHeight="1" x14ac:dyDescent="0.25">
      <c r="I416" s="388"/>
      <c r="J416" s="388"/>
      <c r="K416" s="388"/>
    </row>
    <row r="417" spans="9:11" ht="15.75" customHeight="1" x14ac:dyDescent="0.25">
      <c r="I417" s="388"/>
      <c r="J417" s="388"/>
      <c r="K417" s="388"/>
    </row>
    <row r="418" spans="9:11" ht="15.75" customHeight="1" x14ac:dyDescent="0.25">
      <c r="I418" s="388"/>
      <c r="J418" s="388"/>
      <c r="K418" s="388"/>
    </row>
    <row r="419" spans="9:11" ht="15.75" customHeight="1" x14ac:dyDescent="0.25">
      <c r="I419" s="388"/>
      <c r="J419" s="388"/>
      <c r="K419" s="388"/>
    </row>
    <row r="420" spans="9:11" ht="15.75" customHeight="1" x14ac:dyDescent="0.25">
      <c r="I420" s="388"/>
      <c r="J420" s="388"/>
      <c r="K420" s="388"/>
    </row>
    <row r="421" spans="9:11" ht="15.75" customHeight="1" x14ac:dyDescent="0.25">
      <c r="I421" s="388"/>
      <c r="J421" s="388"/>
      <c r="K421" s="388"/>
    </row>
    <row r="422" spans="9:11" ht="15.75" customHeight="1" x14ac:dyDescent="0.25">
      <c r="I422" s="388"/>
      <c r="J422" s="388"/>
      <c r="K422" s="388"/>
    </row>
    <row r="423" spans="9:11" ht="15.75" customHeight="1" x14ac:dyDescent="0.25">
      <c r="I423" s="388"/>
      <c r="J423" s="388"/>
      <c r="K423" s="388"/>
    </row>
    <row r="424" spans="9:11" ht="15.75" customHeight="1" x14ac:dyDescent="0.25">
      <c r="I424" s="388"/>
      <c r="J424" s="388"/>
      <c r="K424" s="388"/>
    </row>
    <row r="425" spans="9:11" ht="15.75" customHeight="1" x14ac:dyDescent="0.25">
      <c r="I425" s="388"/>
      <c r="J425" s="388"/>
      <c r="K425" s="388"/>
    </row>
    <row r="426" spans="9:11" ht="15.75" customHeight="1" x14ac:dyDescent="0.25">
      <c r="I426" s="388"/>
      <c r="J426" s="388"/>
      <c r="K426" s="388"/>
    </row>
    <row r="427" spans="9:11" ht="15.75" customHeight="1" x14ac:dyDescent="0.25">
      <c r="I427" s="388"/>
      <c r="J427" s="388"/>
      <c r="K427" s="388"/>
    </row>
    <row r="428" spans="9:11" ht="15.75" customHeight="1" x14ac:dyDescent="0.25">
      <c r="I428" s="388"/>
      <c r="J428" s="388"/>
      <c r="K428" s="388"/>
    </row>
    <row r="429" spans="9:11" ht="15.75" customHeight="1" x14ac:dyDescent="0.25">
      <c r="I429" s="388"/>
      <c r="J429" s="388"/>
      <c r="K429" s="388"/>
    </row>
    <row r="430" spans="9:11" ht="15.75" customHeight="1" x14ac:dyDescent="0.25">
      <c r="I430" s="388"/>
      <c r="J430" s="388"/>
      <c r="K430" s="388"/>
    </row>
    <row r="431" spans="9:11" ht="15.75" customHeight="1" x14ac:dyDescent="0.25">
      <c r="I431" s="388"/>
      <c r="J431" s="388"/>
      <c r="K431" s="388"/>
    </row>
    <row r="432" spans="9:11" ht="15.75" customHeight="1" x14ac:dyDescent="0.25">
      <c r="I432" s="388"/>
      <c r="J432" s="388"/>
      <c r="K432" s="388"/>
    </row>
    <row r="433" spans="9:11" ht="15.75" customHeight="1" x14ac:dyDescent="0.25">
      <c r="I433" s="388"/>
      <c r="J433" s="388"/>
      <c r="K433" s="388"/>
    </row>
    <row r="434" spans="9:11" ht="15.75" customHeight="1" x14ac:dyDescent="0.25">
      <c r="I434" s="388"/>
      <c r="J434" s="388"/>
      <c r="K434" s="388"/>
    </row>
    <row r="435" spans="9:11" ht="15.75" customHeight="1" x14ac:dyDescent="0.25">
      <c r="I435" s="388"/>
      <c r="J435" s="388"/>
      <c r="K435" s="388"/>
    </row>
    <row r="436" spans="9:11" ht="15.75" customHeight="1" x14ac:dyDescent="0.25">
      <c r="I436" s="388"/>
      <c r="J436" s="388"/>
      <c r="K436" s="388"/>
    </row>
    <row r="437" spans="9:11" ht="15.75" customHeight="1" x14ac:dyDescent="0.25">
      <c r="I437" s="388"/>
      <c r="J437" s="388"/>
      <c r="K437" s="388"/>
    </row>
    <row r="438" spans="9:11" ht="15.75" customHeight="1" x14ac:dyDescent="0.25">
      <c r="I438" s="388"/>
      <c r="J438" s="388"/>
      <c r="K438" s="388"/>
    </row>
    <row r="439" spans="9:11" ht="15.75" customHeight="1" x14ac:dyDescent="0.25">
      <c r="I439" s="388"/>
      <c r="J439" s="388"/>
      <c r="K439" s="388"/>
    </row>
    <row r="440" spans="9:11" ht="15.75" customHeight="1" x14ac:dyDescent="0.25">
      <c r="I440" s="388"/>
      <c r="J440" s="388"/>
      <c r="K440" s="388"/>
    </row>
    <row r="441" spans="9:11" ht="15.75" customHeight="1" x14ac:dyDescent="0.25">
      <c r="I441" s="388"/>
      <c r="J441" s="388"/>
      <c r="K441" s="388"/>
    </row>
    <row r="442" spans="9:11" ht="15.75" customHeight="1" x14ac:dyDescent="0.25">
      <c r="I442" s="388"/>
      <c r="J442" s="388"/>
      <c r="K442" s="388"/>
    </row>
    <row r="443" spans="9:11" ht="15.75" customHeight="1" x14ac:dyDescent="0.25">
      <c r="I443" s="388"/>
      <c r="J443" s="388"/>
      <c r="K443" s="388"/>
    </row>
    <row r="444" spans="9:11" ht="15.75" customHeight="1" x14ac:dyDescent="0.25">
      <c r="I444" s="388"/>
      <c r="J444" s="388"/>
      <c r="K444" s="388"/>
    </row>
    <row r="445" spans="9:11" ht="15.75" customHeight="1" x14ac:dyDescent="0.25">
      <c r="I445" s="388"/>
      <c r="J445" s="388"/>
      <c r="K445" s="388"/>
    </row>
    <row r="446" spans="9:11" ht="15.75" customHeight="1" x14ac:dyDescent="0.25">
      <c r="I446" s="388"/>
      <c r="J446" s="388"/>
      <c r="K446" s="388"/>
    </row>
    <row r="447" spans="9:11" ht="15.75" customHeight="1" x14ac:dyDescent="0.25">
      <c r="I447" s="388"/>
      <c r="J447" s="388"/>
      <c r="K447" s="388"/>
    </row>
    <row r="448" spans="9:11" ht="15.75" customHeight="1" x14ac:dyDescent="0.25">
      <c r="I448" s="388"/>
      <c r="J448" s="388"/>
      <c r="K448" s="388"/>
    </row>
    <row r="449" spans="9:11" ht="15.75" customHeight="1" x14ac:dyDescent="0.25">
      <c r="I449" s="388"/>
      <c r="J449" s="388"/>
      <c r="K449" s="388"/>
    </row>
    <row r="450" spans="9:11" ht="15.75" customHeight="1" x14ac:dyDescent="0.25">
      <c r="I450" s="388"/>
      <c r="J450" s="388"/>
      <c r="K450" s="388"/>
    </row>
    <row r="451" spans="9:11" ht="15.75" customHeight="1" x14ac:dyDescent="0.25">
      <c r="I451" s="388"/>
      <c r="J451" s="388"/>
      <c r="K451" s="388"/>
    </row>
    <row r="452" spans="9:11" ht="15.75" customHeight="1" x14ac:dyDescent="0.25">
      <c r="I452" s="388"/>
      <c r="J452" s="388"/>
      <c r="K452" s="388"/>
    </row>
    <row r="453" spans="9:11" ht="15.75" customHeight="1" x14ac:dyDescent="0.25">
      <c r="I453" s="388"/>
      <c r="J453" s="388"/>
      <c r="K453" s="388"/>
    </row>
    <row r="454" spans="9:11" ht="15.75" customHeight="1" x14ac:dyDescent="0.25">
      <c r="I454" s="388"/>
      <c r="J454" s="388"/>
      <c r="K454" s="388"/>
    </row>
    <row r="455" spans="9:11" ht="15.75" customHeight="1" x14ac:dyDescent="0.25">
      <c r="I455" s="388"/>
      <c r="J455" s="388"/>
      <c r="K455" s="388"/>
    </row>
    <row r="456" spans="9:11" ht="15.75" customHeight="1" x14ac:dyDescent="0.25">
      <c r="I456" s="388"/>
      <c r="J456" s="388"/>
      <c r="K456" s="388"/>
    </row>
    <row r="457" spans="9:11" ht="15.75" customHeight="1" x14ac:dyDescent="0.25">
      <c r="I457" s="388"/>
      <c r="J457" s="388"/>
      <c r="K457" s="388"/>
    </row>
    <row r="458" spans="9:11" ht="15.75" customHeight="1" x14ac:dyDescent="0.25">
      <c r="I458" s="388"/>
      <c r="J458" s="388"/>
      <c r="K458" s="388"/>
    </row>
    <row r="459" spans="9:11" ht="15.75" customHeight="1" x14ac:dyDescent="0.25">
      <c r="I459" s="388"/>
      <c r="J459" s="388"/>
      <c r="K459" s="388"/>
    </row>
    <row r="460" spans="9:11" ht="15.75" customHeight="1" x14ac:dyDescent="0.25">
      <c r="I460" s="388"/>
      <c r="J460" s="388"/>
      <c r="K460" s="388"/>
    </row>
    <row r="461" spans="9:11" ht="15.75" customHeight="1" x14ac:dyDescent="0.25">
      <c r="I461" s="388"/>
      <c r="J461" s="388"/>
      <c r="K461" s="388"/>
    </row>
    <row r="462" spans="9:11" ht="15.75" customHeight="1" x14ac:dyDescent="0.25">
      <c r="I462" s="388"/>
      <c r="J462" s="388"/>
      <c r="K462" s="388"/>
    </row>
    <row r="463" spans="9:11" ht="15.75" customHeight="1" x14ac:dyDescent="0.25">
      <c r="I463" s="388"/>
      <c r="J463" s="388"/>
      <c r="K463" s="388"/>
    </row>
    <row r="464" spans="9:11" ht="15.75" customHeight="1" x14ac:dyDescent="0.25">
      <c r="I464" s="388"/>
      <c r="J464" s="388"/>
      <c r="K464" s="388"/>
    </row>
    <row r="465" spans="9:11" ht="15.75" customHeight="1" x14ac:dyDescent="0.25">
      <c r="I465" s="388"/>
      <c r="J465" s="388"/>
      <c r="K465" s="388"/>
    </row>
    <row r="466" spans="9:11" ht="15.75" customHeight="1" x14ac:dyDescent="0.25">
      <c r="I466" s="388"/>
      <c r="J466" s="388"/>
      <c r="K466" s="388"/>
    </row>
    <row r="467" spans="9:11" ht="15.75" customHeight="1" x14ac:dyDescent="0.25">
      <c r="I467" s="388"/>
      <c r="J467" s="388"/>
      <c r="K467" s="388"/>
    </row>
    <row r="468" spans="9:11" ht="15.75" customHeight="1" x14ac:dyDescent="0.25">
      <c r="I468" s="388"/>
      <c r="J468" s="388"/>
      <c r="K468" s="388"/>
    </row>
    <row r="469" spans="9:11" ht="15.75" customHeight="1" x14ac:dyDescent="0.25">
      <c r="I469" s="388"/>
      <c r="J469" s="388"/>
      <c r="K469" s="388"/>
    </row>
    <row r="470" spans="9:11" ht="15.75" customHeight="1" x14ac:dyDescent="0.25">
      <c r="I470" s="388"/>
      <c r="J470" s="388"/>
      <c r="K470" s="388"/>
    </row>
    <row r="471" spans="9:11" ht="15.75" customHeight="1" x14ac:dyDescent="0.25">
      <c r="I471" s="388"/>
      <c r="J471" s="388"/>
      <c r="K471" s="388"/>
    </row>
    <row r="472" spans="9:11" ht="15.75" customHeight="1" x14ac:dyDescent="0.25">
      <c r="I472" s="388"/>
      <c r="J472" s="388"/>
      <c r="K472" s="388"/>
    </row>
    <row r="473" spans="9:11" ht="15.75" customHeight="1" x14ac:dyDescent="0.25">
      <c r="I473" s="388"/>
      <c r="J473" s="388"/>
      <c r="K473" s="388"/>
    </row>
    <row r="474" spans="9:11" ht="15.75" customHeight="1" x14ac:dyDescent="0.25">
      <c r="I474" s="388"/>
      <c r="J474" s="388"/>
      <c r="K474" s="388"/>
    </row>
    <row r="475" spans="9:11" ht="15.75" customHeight="1" x14ac:dyDescent="0.25">
      <c r="I475" s="388"/>
      <c r="J475" s="388"/>
      <c r="K475" s="388"/>
    </row>
    <row r="476" spans="9:11" ht="15.75" customHeight="1" x14ac:dyDescent="0.25">
      <c r="I476" s="388"/>
      <c r="J476" s="388"/>
      <c r="K476" s="388"/>
    </row>
    <row r="477" spans="9:11" ht="15.75" customHeight="1" x14ac:dyDescent="0.25">
      <c r="I477" s="388"/>
      <c r="J477" s="388"/>
      <c r="K477" s="388"/>
    </row>
    <row r="478" spans="9:11" ht="15.75" customHeight="1" x14ac:dyDescent="0.25">
      <c r="I478" s="388"/>
      <c r="J478" s="388"/>
      <c r="K478" s="388"/>
    </row>
    <row r="479" spans="9:11" ht="15.75" customHeight="1" x14ac:dyDescent="0.25">
      <c r="I479" s="388"/>
      <c r="J479" s="388"/>
      <c r="K479" s="388"/>
    </row>
    <row r="480" spans="9:11" ht="15.75" customHeight="1" x14ac:dyDescent="0.25">
      <c r="I480" s="388"/>
      <c r="J480" s="388"/>
      <c r="K480" s="388"/>
    </row>
    <row r="481" spans="9:11" ht="15.75" customHeight="1" x14ac:dyDescent="0.25">
      <c r="I481" s="388"/>
      <c r="J481" s="388"/>
      <c r="K481" s="388"/>
    </row>
    <row r="482" spans="9:11" ht="15.75" customHeight="1" x14ac:dyDescent="0.25">
      <c r="I482" s="388"/>
      <c r="J482" s="388"/>
      <c r="K482" s="388"/>
    </row>
    <row r="483" spans="9:11" ht="15.75" customHeight="1" x14ac:dyDescent="0.25">
      <c r="I483" s="388"/>
      <c r="J483" s="388"/>
      <c r="K483" s="388"/>
    </row>
    <row r="484" spans="9:11" ht="15.75" customHeight="1" x14ac:dyDescent="0.25">
      <c r="I484" s="388"/>
      <c r="J484" s="388"/>
      <c r="K484" s="388"/>
    </row>
    <row r="485" spans="9:11" ht="15.75" customHeight="1" x14ac:dyDescent="0.25">
      <c r="I485" s="388"/>
      <c r="J485" s="388"/>
      <c r="K485" s="388"/>
    </row>
    <row r="486" spans="9:11" ht="15.75" customHeight="1" x14ac:dyDescent="0.25">
      <c r="I486" s="388"/>
      <c r="J486" s="388"/>
      <c r="K486" s="388"/>
    </row>
    <row r="487" spans="9:11" ht="15.75" customHeight="1" x14ac:dyDescent="0.25">
      <c r="I487" s="388"/>
      <c r="J487" s="388"/>
      <c r="K487" s="388"/>
    </row>
    <row r="488" spans="9:11" ht="15.75" customHeight="1" x14ac:dyDescent="0.25">
      <c r="I488" s="388"/>
      <c r="J488" s="388"/>
      <c r="K488" s="388"/>
    </row>
    <row r="489" spans="9:11" ht="15.75" customHeight="1" x14ac:dyDescent="0.25">
      <c r="I489" s="388"/>
      <c r="J489" s="388"/>
      <c r="K489" s="388"/>
    </row>
    <row r="490" spans="9:11" ht="15.75" customHeight="1" x14ac:dyDescent="0.25">
      <c r="I490" s="388"/>
      <c r="J490" s="388"/>
      <c r="K490" s="388"/>
    </row>
    <row r="491" spans="9:11" ht="15.75" customHeight="1" x14ac:dyDescent="0.25">
      <c r="I491" s="388"/>
      <c r="J491" s="388"/>
      <c r="K491" s="388"/>
    </row>
    <row r="492" spans="9:11" ht="15.75" customHeight="1" x14ac:dyDescent="0.25">
      <c r="I492" s="388"/>
      <c r="J492" s="388"/>
      <c r="K492" s="388"/>
    </row>
    <row r="493" spans="9:11" ht="15.75" customHeight="1" x14ac:dyDescent="0.25">
      <c r="I493" s="388"/>
      <c r="J493" s="388"/>
      <c r="K493" s="388"/>
    </row>
    <row r="494" spans="9:11" ht="15.75" customHeight="1" x14ac:dyDescent="0.25">
      <c r="I494" s="388"/>
      <c r="J494" s="388"/>
      <c r="K494" s="388"/>
    </row>
    <row r="495" spans="9:11" ht="15.75" customHeight="1" x14ac:dyDescent="0.25">
      <c r="I495" s="388"/>
      <c r="J495" s="388"/>
      <c r="K495" s="388"/>
    </row>
    <row r="496" spans="9:11" ht="15.75" customHeight="1" x14ac:dyDescent="0.25">
      <c r="I496" s="388"/>
      <c r="J496" s="388"/>
      <c r="K496" s="388"/>
    </row>
    <row r="497" spans="9:11" ht="15.75" customHeight="1" x14ac:dyDescent="0.25">
      <c r="I497" s="388"/>
      <c r="J497" s="388"/>
      <c r="K497" s="388"/>
    </row>
    <row r="498" spans="9:11" ht="15.75" customHeight="1" x14ac:dyDescent="0.25">
      <c r="I498" s="388"/>
      <c r="J498" s="388"/>
      <c r="K498" s="388"/>
    </row>
    <row r="499" spans="9:11" ht="15.75" customHeight="1" x14ac:dyDescent="0.25">
      <c r="I499" s="388"/>
      <c r="J499" s="388"/>
      <c r="K499" s="388"/>
    </row>
    <row r="500" spans="9:11" ht="15.75" customHeight="1" x14ac:dyDescent="0.25">
      <c r="I500" s="388"/>
      <c r="J500" s="388"/>
      <c r="K500" s="388"/>
    </row>
    <row r="501" spans="9:11" ht="15.75" customHeight="1" x14ac:dyDescent="0.25">
      <c r="I501" s="388"/>
      <c r="J501" s="388"/>
      <c r="K501" s="388"/>
    </row>
    <row r="502" spans="9:11" ht="15.75" customHeight="1" x14ac:dyDescent="0.25">
      <c r="I502" s="388"/>
      <c r="J502" s="388"/>
      <c r="K502" s="388"/>
    </row>
    <row r="503" spans="9:11" ht="15.75" customHeight="1" x14ac:dyDescent="0.25">
      <c r="I503" s="388"/>
      <c r="J503" s="388"/>
      <c r="K503" s="388"/>
    </row>
    <row r="504" spans="9:11" ht="15.75" customHeight="1" x14ac:dyDescent="0.25">
      <c r="I504" s="388"/>
      <c r="J504" s="388"/>
      <c r="K504" s="388"/>
    </row>
    <row r="505" spans="9:11" ht="15.75" customHeight="1" x14ac:dyDescent="0.25">
      <c r="I505" s="388"/>
      <c r="J505" s="388"/>
      <c r="K505" s="388"/>
    </row>
    <row r="506" spans="9:11" ht="15.75" customHeight="1" x14ac:dyDescent="0.25">
      <c r="I506" s="388"/>
      <c r="J506" s="388"/>
      <c r="K506" s="388"/>
    </row>
    <row r="507" spans="9:11" ht="15.75" customHeight="1" x14ac:dyDescent="0.25">
      <c r="I507" s="388"/>
      <c r="J507" s="388"/>
      <c r="K507" s="388"/>
    </row>
    <row r="508" spans="9:11" ht="15.75" customHeight="1" x14ac:dyDescent="0.25">
      <c r="I508" s="388"/>
      <c r="J508" s="388"/>
      <c r="K508" s="388"/>
    </row>
    <row r="509" spans="9:11" ht="15.75" customHeight="1" x14ac:dyDescent="0.25">
      <c r="I509" s="388"/>
      <c r="J509" s="388"/>
      <c r="K509" s="388"/>
    </row>
    <row r="510" spans="9:11" ht="15.75" customHeight="1" x14ac:dyDescent="0.25">
      <c r="I510" s="388"/>
      <c r="J510" s="388"/>
      <c r="K510" s="388"/>
    </row>
    <row r="511" spans="9:11" ht="15.75" customHeight="1" x14ac:dyDescent="0.25">
      <c r="I511" s="388"/>
      <c r="J511" s="388"/>
      <c r="K511" s="388"/>
    </row>
    <row r="512" spans="9:11" ht="15.75" customHeight="1" x14ac:dyDescent="0.25">
      <c r="I512" s="388"/>
      <c r="J512" s="388"/>
      <c r="K512" s="388"/>
    </row>
    <row r="513" spans="9:11" ht="15.75" customHeight="1" x14ac:dyDescent="0.25">
      <c r="I513" s="388"/>
      <c r="J513" s="388"/>
      <c r="K513" s="388"/>
    </row>
    <row r="514" spans="9:11" ht="15.75" customHeight="1" x14ac:dyDescent="0.25">
      <c r="I514" s="388"/>
      <c r="J514" s="388"/>
      <c r="K514" s="388"/>
    </row>
    <row r="515" spans="9:11" ht="15.75" customHeight="1" x14ac:dyDescent="0.25">
      <c r="I515" s="388"/>
      <c r="J515" s="388"/>
      <c r="K515" s="388"/>
    </row>
    <row r="516" spans="9:11" ht="15.75" customHeight="1" x14ac:dyDescent="0.25">
      <c r="I516" s="388"/>
      <c r="J516" s="388"/>
      <c r="K516" s="388"/>
    </row>
    <row r="517" spans="9:11" ht="15.75" customHeight="1" x14ac:dyDescent="0.25">
      <c r="I517" s="388"/>
      <c r="J517" s="388"/>
      <c r="K517" s="388"/>
    </row>
    <row r="518" spans="9:11" ht="15.75" customHeight="1" x14ac:dyDescent="0.25">
      <c r="I518" s="388"/>
      <c r="J518" s="388"/>
      <c r="K518" s="388"/>
    </row>
    <row r="519" spans="9:11" ht="15.75" customHeight="1" x14ac:dyDescent="0.25">
      <c r="I519" s="388"/>
      <c r="J519" s="388"/>
      <c r="K519" s="388"/>
    </row>
    <row r="520" spans="9:11" ht="15.75" customHeight="1" x14ac:dyDescent="0.25">
      <c r="I520" s="388"/>
      <c r="J520" s="388"/>
      <c r="K520" s="388"/>
    </row>
    <row r="521" spans="9:11" ht="15.75" customHeight="1" x14ac:dyDescent="0.25">
      <c r="I521" s="388"/>
      <c r="J521" s="388"/>
      <c r="K521" s="388"/>
    </row>
    <row r="522" spans="9:11" ht="15.75" customHeight="1" x14ac:dyDescent="0.25">
      <c r="I522" s="388"/>
      <c r="J522" s="388"/>
      <c r="K522" s="388"/>
    </row>
    <row r="523" spans="9:11" ht="15.75" customHeight="1" x14ac:dyDescent="0.25">
      <c r="I523" s="388"/>
      <c r="J523" s="388"/>
      <c r="K523" s="388"/>
    </row>
    <row r="524" spans="9:11" ht="15.75" customHeight="1" x14ac:dyDescent="0.25">
      <c r="I524" s="388"/>
      <c r="J524" s="388"/>
      <c r="K524" s="388"/>
    </row>
    <row r="525" spans="9:11" ht="15.75" customHeight="1" x14ac:dyDescent="0.25">
      <c r="I525" s="388"/>
      <c r="J525" s="388"/>
      <c r="K525" s="388"/>
    </row>
    <row r="526" spans="9:11" ht="15.75" customHeight="1" x14ac:dyDescent="0.25">
      <c r="I526" s="388"/>
      <c r="J526" s="388"/>
      <c r="K526" s="388"/>
    </row>
    <row r="527" spans="9:11" ht="15.75" customHeight="1" x14ac:dyDescent="0.25">
      <c r="I527" s="388"/>
      <c r="J527" s="388"/>
      <c r="K527" s="388"/>
    </row>
    <row r="528" spans="9:11" ht="15.75" customHeight="1" x14ac:dyDescent="0.25">
      <c r="I528" s="388"/>
      <c r="J528" s="388"/>
      <c r="K528" s="388"/>
    </row>
    <row r="529" spans="9:11" ht="15.75" customHeight="1" x14ac:dyDescent="0.25">
      <c r="I529" s="388"/>
      <c r="J529" s="388"/>
      <c r="K529" s="388"/>
    </row>
    <row r="530" spans="9:11" ht="15.75" customHeight="1" x14ac:dyDescent="0.25">
      <c r="I530" s="388"/>
      <c r="J530" s="388"/>
      <c r="K530" s="388"/>
    </row>
    <row r="531" spans="9:11" ht="15.75" customHeight="1" x14ac:dyDescent="0.25">
      <c r="I531" s="388"/>
      <c r="J531" s="388"/>
      <c r="K531" s="388"/>
    </row>
    <row r="532" spans="9:11" ht="15.75" customHeight="1" x14ac:dyDescent="0.25">
      <c r="I532" s="388"/>
      <c r="J532" s="388"/>
      <c r="K532" s="388"/>
    </row>
    <row r="533" spans="9:11" ht="15.75" customHeight="1" x14ac:dyDescent="0.25">
      <c r="I533" s="388"/>
      <c r="J533" s="388"/>
      <c r="K533" s="388"/>
    </row>
    <row r="534" spans="9:11" ht="15.75" customHeight="1" x14ac:dyDescent="0.25">
      <c r="I534" s="388"/>
      <c r="J534" s="388"/>
      <c r="K534" s="388"/>
    </row>
    <row r="535" spans="9:11" ht="15.75" customHeight="1" x14ac:dyDescent="0.25">
      <c r="I535" s="388"/>
      <c r="J535" s="388"/>
      <c r="K535" s="388"/>
    </row>
    <row r="536" spans="9:11" ht="15.75" customHeight="1" x14ac:dyDescent="0.25">
      <c r="I536" s="388"/>
      <c r="J536" s="388"/>
      <c r="K536" s="388"/>
    </row>
    <row r="537" spans="9:11" ht="15.75" customHeight="1" x14ac:dyDescent="0.25">
      <c r="I537" s="388"/>
      <c r="J537" s="388"/>
      <c r="K537" s="388"/>
    </row>
    <row r="538" spans="9:11" ht="15.75" customHeight="1" x14ac:dyDescent="0.25">
      <c r="I538" s="388"/>
      <c r="J538" s="388"/>
      <c r="K538" s="388"/>
    </row>
    <row r="539" spans="9:11" ht="15.75" customHeight="1" x14ac:dyDescent="0.25">
      <c r="I539" s="388"/>
      <c r="J539" s="388"/>
      <c r="K539" s="388"/>
    </row>
    <row r="540" spans="9:11" ht="15.75" customHeight="1" x14ac:dyDescent="0.25">
      <c r="I540" s="388"/>
      <c r="J540" s="388"/>
      <c r="K540" s="388"/>
    </row>
    <row r="541" spans="9:11" ht="15.75" customHeight="1" x14ac:dyDescent="0.25">
      <c r="I541" s="388"/>
      <c r="J541" s="388"/>
      <c r="K541" s="388"/>
    </row>
    <row r="542" spans="9:11" ht="15.75" customHeight="1" x14ac:dyDescent="0.25">
      <c r="I542" s="388"/>
      <c r="J542" s="388"/>
      <c r="K542" s="388"/>
    </row>
    <row r="543" spans="9:11" ht="15.75" customHeight="1" x14ac:dyDescent="0.25">
      <c r="I543" s="388"/>
      <c r="J543" s="388"/>
      <c r="K543" s="388"/>
    </row>
    <row r="544" spans="9:11" ht="15.75" customHeight="1" x14ac:dyDescent="0.25">
      <c r="I544" s="388"/>
      <c r="J544" s="388"/>
      <c r="K544" s="388"/>
    </row>
    <row r="545" spans="9:11" ht="15.75" customHeight="1" x14ac:dyDescent="0.25">
      <c r="I545" s="388"/>
      <c r="J545" s="388"/>
      <c r="K545" s="388"/>
    </row>
    <row r="546" spans="9:11" ht="15.75" customHeight="1" x14ac:dyDescent="0.25">
      <c r="I546" s="388"/>
      <c r="J546" s="388"/>
      <c r="K546" s="388"/>
    </row>
    <row r="547" spans="9:11" ht="15.75" customHeight="1" x14ac:dyDescent="0.25">
      <c r="I547" s="388"/>
      <c r="J547" s="388"/>
      <c r="K547" s="388"/>
    </row>
    <row r="548" spans="9:11" ht="15.75" customHeight="1" x14ac:dyDescent="0.25">
      <c r="I548" s="388"/>
      <c r="J548" s="388"/>
      <c r="K548" s="388"/>
    </row>
    <row r="549" spans="9:11" ht="15.75" customHeight="1" x14ac:dyDescent="0.25">
      <c r="I549" s="388"/>
      <c r="J549" s="388"/>
      <c r="K549" s="388"/>
    </row>
    <row r="550" spans="9:11" ht="15.75" customHeight="1" x14ac:dyDescent="0.25">
      <c r="I550" s="388"/>
      <c r="J550" s="388"/>
      <c r="K550" s="388"/>
    </row>
    <row r="551" spans="9:11" ht="15.75" customHeight="1" x14ac:dyDescent="0.25">
      <c r="I551" s="388"/>
      <c r="J551" s="388"/>
      <c r="K551" s="388"/>
    </row>
    <row r="552" spans="9:11" ht="15.75" customHeight="1" x14ac:dyDescent="0.25">
      <c r="I552" s="388"/>
      <c r="J552" s="388"/>
      <c r="K552" s="388"/>
    </row>
    <row r="553" spans="9:11" ht="15.75" customHeight="1" x14ac:dyDescent="0.25">
      <c r="I553" s="388"/>
      <c r="J553" s="388"/>
      <c r="K553" s="388"/>
    </row>
    <row r="554" spans="9:11" ht="15.75" customHeight="1" x14ac:dyDescent="0.25">
      <c r="I554" s="388"/>
      <c r="J554" s="388"/>
      <c r="K554" s="388"/>
    </row>
    <row r="555" spans="9:11" ht="15.75" customHeight="1" x14ac:dyDescent="0.25">
      <c r="I555" s="388"/>
      <c r="J555" s="388"/>
      <c r="K555" s="388"/>
    </row>
    <row r="556" spans="9:11" ht="15.75" customHeight="1" x14ac:dyDescent="0.25">
      <c r="I556" s="388"/>
      <c r="J556" s="388"/>
      <c r="K556" s="388"/>
    </row>
    <row r="557" spans="9:11" ht="15.75" customHeight="1" x14ac:dyDescent="0.25">
      <c r="I557" s="388"/>
      <c r="J557" s="388"/>
      <c r="K557" s="388"/>
    </row>
    <row r="558" spans="9:11" ht="15.75" customHeight="1" x14ac:dyDescent="0.25">
      <c r="I558" s="388"/>
      <c r="J558" s="388"/>
      <c r="K558" s="388"/>
    </row>
    <row r="559" spans="9:11" ht="15.75" customHeight="1" x14ac:dyDescent="0.25">
      <c r="I559" s="388"/>
      <c r="J559" s="388"/>
      <c r="K559" s="388"/>
    </row>
    <row r="560" spans="9:11" ht="15.75" customHeight="1" x14ac:dyDescent="0.25">
      <c r="I560" s="388"/>
      <c r="J560" s="388"/>
      <c r="K560" s="388"/>
    </row>
    <row r="561" spans="9:11" ht="15.75" customHeight="1" x14ac:dyDescent="0.25">
      <c r="I561" s="388"/>
      <c r="J561" s="388"/>
      <c r="K561" s="388"/>
    </row>
    <row r="562" spans="9:11" ht="15.75" customHeight="1" x14ac:dyDescent="0.25">
      <c r="I562" s="388"/>
      <c r="J562" s="388"/>
      <c r="K562" s="388"/>
    </row>
    <row r="563" spans="9:11" ht="15.75" customHeight="1" x14ac:dyDescent="0.25">
      <c r="I563" s="388"/>
      <c r="J563" s="388"/>
      <c r="K563" s="388"/>
    </row>
    <row r="564" spans="9:11" ht="15.75" customHeight="1" x14ac:dyDescent="0.25">
      <c r="I564" s="388"/>
      <c r="J564" s="388"/>
      <c r="K564" s="388"/>
    </row>
    <row r="565" spans="9:11" ht="15.75" customHeight="1" x14ac:dyDescent="0.25">
      <c r="I565" s="388"/>
      <c r="J565" s="388"/>
      <c r="K565" s="388"/>
    </row>
    <row r="566" spans="9:11" ht="15.75" customHeight="1" x14ac:dyDescent="0.25">
      <c r="I566" s="388"/>
      <c r="J566" s="388"/>
      <c r="K566" s="388"/>
    </row>
    <row r="567" spans="9:11" ht="15.75" customHeight="1" x14ac:dyDescent="0.25">
      <c r="I567" s="388"/>
      <c r="J567" s="388"/>
      <c r="K567" s="388"/>
    </row>
    <row r="568" spans="9:11" ht="15.75" customHeight="1" x14ac:dyDescent="0.25">
      <c r="I568" s="388"/>
      <c r="J568" s="388"/>
      <c r="K568" s="388"/>
    </row>
    <row r="569" spans="9:11" ht="15.75" customHeight="1" x14ac:dyDescent="0.25">
      <c r="I569" s="388"/>
      <c r="J569" s="388"/>
      <c r="K569" s="388"/>
    </row>
    <row r="570" spans="9:11" ht="15.75" customHeight="1" x14ac:dyDescent="0.25">
      <c r="I570" s="388"/>
      <c r="J570" s="388"/>
      <c r="K570" s="388"/>
    </row>
    <row r="571" spans="9:11" ht="15.75" customHeight="1" x14ac:dyDescent="0.25">
      <c r="I571" s="388"/>
      <c r="J571" s="388"/>
      <c r="K571" s="388"/>
    </row>
    <row r="572" spans="9:11" ht="15.75" customHeight="1" x14ac:dyDescent="0.25">
      <c r="I572" s="388"/>
      <c r="J572" s="388"/>
      <c r="K572" s="388"/>
    </row>
    <row r="573" spans="9:11" ht="15.75" customHeight="1" x14ac:dyDescent="0.25">
      <c r="I573" s="388"/>
      <c r="J573" s="388"/>
      <c r="K573" s="388"/>
    </row>
    <row r="574" spans="9:11" ht="15.75" customHeight="1" x14ac:dyDescent="0.25">
      <c r="I574" s="388"/>
      <c r="J574" s="388"/>
      <c r="K574" s="388"/>
    </row>
    <row r="575" spans="9:11" ht="15.75" customHeight="1" x14ac:dyDescent="0.25">
      <c r="I575" s="388"/>
      <c r="J575" s="388"/>
      <c r="K575" s="388"/>
    </row>
    <row r="576" spans="9:11" ht="15.75" customHeight="1" x14ac:dyDescent="0.25">
      <c r="I576" s="388"/>
      <c r="J576" s="388"/>
      <c r="K576" s="388"/>
    </row>
    <row r="577" spans="9:11" ht="15.75" customHeight="1" x14ac:dyDescent="0.25">
      <c r="I577" s="388"/>
      <c r="J577" s="388"/>
      <c r="K577" s="388"/>
    </row>
    <row r="578" spans="9:11" ht="15.75" customHeight="1" x14ac:dyDescent="0.25">
      <c r="I578" s="388"/>
      <c r="J578" s="388"/>
      <c r="K578" s="388"/>
    </row>
    <row r="579" spans="9:11" ht="15.75" customHeight="1" x14ac:dyDescent="0.25">
      <c r="I579" s="388"/>
      <c r="J579" s="388"/>
      <c r="K579" s="388"/>
    </row>
    <row r="580" spans="9:11" ht="15.75" customHeight="1" x14ac:dyDescent="0.25">
      <c r="I580" s="388"/>
      <c r="J580" s="388"/>
      <c r="K580" s="388"/>
    </row>
    <row r="581" spans="9:11" ht="15.75" customHeight="1" x14ac:dyDescent="0.25">
      <c r="I581" s="388"/>
      <c r="J581" s="388"/>
      <c r="K581" s="388"/>
    </row>
    <row r="582" spans="9:11" ht="15.75" customHeight="1" x14ac:dyDescent="0.25">
      <c r="I582" s="388"/>
      <c r="J582" s="388"/>
      <c r="K582" s="388"/>
    </row>
    <row r="583" spans="9:11" ht="15.75" customHeight="1" x14ac:dyDescent="0.25">
      <c r="I583" s="388"/>
      <c r="J583" s="388"/>
      <c r="K583" s="388"/>
    </row>
    <row r="584" spans="9:11" ht="15.75" customHeight="1" x14ac:dyDescent="0.25">
      <c r="I584" s="388"/>
      <c r="J584" s="388"/>
      <c r="K584" s="388"/>
    </row>
    <row r="585" spans="9:11" ht="15.75" customHeight="1" x14ac:dyDescent="0.25">
      <c r="I585" s="388"/>
      <c r="J585" s="388"/>
      <c r="K585" s="388"/>
    </row>
    <row r="586" spans="9:11" ht="15.75" customHeight="1" x14ac:dyDescent="0.25">
      <c r="I586" s="388"/>
      <c r="J586" s="388"/>
      <c r="K586" s="388"/>
    </row>
    <row r="587" spans="9:11" ht="15.75" customHeight="1" x14ac:dyDescent="0.25">
      <c r="I587" s="388"/>
      <c r="J587" s="388"/>
      <c r="K587" s="388"/>
    </row>
    <row r="588" spans="9:11" ht="15.75" customHeight="1" x14ac:dyDescent="0.25">
      <c r="I588" s="388"/>
      <c r="J588" s="388"/>
      <c r="K588" s="388"/>
    </row>
    <row r="589" spans="9:11" ht="15.75" customHeight="1" x14ac:dyDescent="0.25">
      <c r="I589" s="388"/>
      <c r="J589" s="388"/>
      <c r="K589" s="388"/>
    </row>
    <row r="590" spans="9:11" ht="15.75" customHeight="1" x14ac:dyDescent="0.25">
      <c r="I590" s="388"/>
      <c r="J590" s="388"/>
      <c r="K590" s="388"/>
    </row>
    <row r="591" spans="9:11" ht="15.75" customHeight="1" x14ac:dyDescent="0.25">
      <c r="I591" s="388"/>
      <c r="J591" s="388"/>
      <c r="K591" s="388"/>
    </row>
    <row r="592" spans="9:11" ht="15.75" customHeight="1" x14ac:dyDescent="0.25">
      <c r="I592" s="388"/>
      <c r="J592" s="388"/>
      <c r="K592" s="388"/>
    </row>
    <row r="593" spans="9:11" ht="15.75" customHeight="1" x14ac:dyDescent="0.25">
      <c r="I593" s="388"/>
      <c r="J593" s="388"/>
      <c r="K593" s="388"/>
    </row>
    <row r="594" spans="9:11" ht="15.75" customHeight="1" x14ac:dyDescent="0.25">
      <c r="I594" s="388"/>
      <c r="J594" s="388"/>
      <c r="K594" s="388"/>
    </row>
    <row r="595" spans="9:11" ht="15.75" customHeight="1" x14ac:dyDescent="0.25">
      <c r="I595" s="388"/>
      <c r="J595" s="388"/>
      <c r="K595" s="388"/>
    </row>
    <row r="596" spans="9:11" ht="15.75" customHeight="1" x14ac:dyDescent="0.25">
      <c r="I596" s="388"/>
      <c r="J596" s="388"/>
      <c r="K596" s="388"/>
    </row>
    <row r="597" spans="9:11" ht="15.75" customHeight="1" x14ac:dyDescent="0.25">
      <c r="I597" s="388"/>
      <c r="J597" s="388"/>
      <c r="K597" s="388"/>
    </row>
    <row r="598" spans="9:11" ht="15.75" customHeight="1" x14ac:dyDescent="0.25">
      <c r="I598" s="388"/>
      <c r="J598" s="388"/>
      <c r="K598" s="388"/>
    </row>
    <row r="599" spans="9:11" ht="15.75" customHeight="1" x14ac:dyDescent="0.25">
      <c r="I599" s="388"/>
      <c r="J599" s="388"/>
      <c r="K599" s="388"/>
    </row>
    <row r="600" spans="9:11" ht="15.75" customHeight="1" x14ac:dyDescent="0.25">
      <c r="I600" s="388"/>
      <c r="J600" s="388"/>
      <c r="K600" s="388"/>
    </row>
    <row r="601" spans="9:11" ht="15.75" customHeight="1" x14ac:dyDescent="0.25">
      <c r="I601" s="388"/>
      <c r="J601" s="388"/>
      <c r="K601" s="388"/>
    </row>
    <row r="602" spans="9:11" ht="15.75" customHeight="1" x14ac:dyDescent="0.25">
      <c r="I602" s="388"/>
      <c r="J602" s="388"/>
      <c r="K602" s="388"/>
    </row>
    <row r="603" spans="9:11" ht="15.75" customHeight="1" x14ac:dyDescent="0.25">
      <c r="I603" s="388"/>
      <c r="J603" s="388"/>
      <c r="K603" s="388"/>
    </row>
    <row r="604" spans="9:11" ht="15.75" customHeight="1" x14ac:dyDescent="0.25">
      <c r="I604" s="388"/>
      <c r="J604" s="388"/>
      <c r="K604" s="388"/>
    </row>
    <row r="605" spans="9:11" ht="15.75" customHeight="1" x14ac:dyDescent="0.25">
      <c r="I605" s="388"/>
      <c r="J605" s="388"/>
      <c r="K605" s="388"/>
    </row>
    <row r="606" spans="9:11" ht="15.75" customHeight="1" x14ac:dyDescent="0.25">
      <c r="I606" s="388"/>
      <c r="J606" s="388"/>
      <c r="K606" s="388"/>
    </row>
    <row r="607" spans="9:11" ht="15.75" customHeight="1" x14ac:dyDescent="0.25">
      <c r="I607" s="388"/>
      <c r="J607" s="388"/>
      <c r="K607" s="388"/>
    </row>
    <row r="608" spans="9:11" ht="15.75" customHeight="1" x14ac:dyDescent="0.25">
      <c r="I608" s="388"/>
      <c r="J608" s="388"/>
      <c r="K608" s="388"/>
    </row>
    <row r="609" spans="9:11" ht="15.75" customHeight="1" x14ac:dyDescent="0.25">
      <c r="I609" s="388"/>
      <c r="J609" s="388"/>
      <c r="K609" s="388"/>
    </row>
    <row r="610" spans="9:11" ht="15.75" customHeight="1" x14ac:dyDescent="0.25">
      <c r="I610" s="388"/>
      <c r="J610" s="388"/>
      <c r="K610" s="388"/>
    </row>
    <row r="611" spans="9:11" ht="15.75" customHeight="1" x14ac:dyDescent="0.25">
      <c r="I611" s="388"/>
      <c r="J611" s="388"/>
      <c r="K611" s="388"/>
    </row>
    <row r="612" spans="9:11" ht="15.75" customHeight="1" x14ac:dyDescent="0.25">
      <c r="I612" s="388"/>
      <c r="J612" s="388"/>
      <c r="K612" s="388"/>
    </row>
    <row r="613" spans="9:11" ht="15.75" customHeight="1" x14ac:dyDescent="0.25">
      <c r="I613" s="388"/>
      <c r="J613" s="388"/>
      <c r="K613" s="388"/>
    </row>
    <row r="614" spans="9:11" ht="15.75" customHeight="1" x14ac:dyDescent="0.25">
      <c r="I614" s="388"/>
      <c r="J614" s="388"/>
      <c r="K614" s="388"/>
    </row>
    <row r="615" spans="9:11" ht="15.75" customHeight="1" x14ac:dyDescent="0.25">
      <c r="I615" s="388"/>
      <c r="J615" s="388"/>
      <c r="K615" s="388"/>
    </row>
    <row r="616" spans="9:11" ht="15.75" customHeight="1" x14ac:dyDescent="0.25">
      <c r="I616" s="388"/>
      <c r="J616" s="388"/>
      <c r="K616" s="388"/>
    </row>
    <row r="617" spans="9:11" ht="15.75" customHeight="1" x14ac:dyDescent="0.25">
      <c r="I617" s="388"/>
      <c r="J617" s="388"/>
      <c r="K617" s="388"/>
    </row>
    <row r="618" spans="9:11" ht="15.75" customHeight="1" x14ac:dyDescent="0.25">
      <c r="I618" s="388"/>
      <c r="J618" s="388"/>
      <c r="K618" s="388"/>
    </row>
    <row r="619" spans="9:11" ht="15.75" customHeight="1" x14ac:dyDescent="0.25">
      <c r="I619" s="388"/>
      <c r="J619" s="388"/>
      <c r="K619" s="388"/>
    </row>
    <row r="620" spans="9:11" ht="15.75" customHeight="1" x14ac:dyDescent="0.25">
      <c r="I620" s="388"/>
      <c r="J620" s="388"/>
      <c r="K620" s="388"/>
    </row>
    <row r="621" spans="9:11" ht="15.75" customHeight="1" x14ac:dyDescent="0.25">
      <c r="I621" s="388"/>
      <c r="J621" s="388"/>
      <c r="K621" s="388"/>
    </row>
    <row r="622" spans="9:11" ht="15.75" customHeight="1" x14ac:dyDescent="0.25">
      <c r="I622" s="388"/>
      <c r="J622" s="388"/>
      <c r="K622" s="388"/>
    </row>
    <row r="623" spans="9:11" ht="15.75" customHeight="1" x14ac:dyDescent="0.25">
      <c r="I623" s="388"/>
      <c r="J623" s="388"/>
      <c r="K623" s="388"/>
    </row>
    <row r="624" spans="9:11" ht="15.75" customHeight="1" x14ac:dyDescent="0.25">
      <c r="I624" s="388"/>
      <c r="J624" s="388"/>
      <c r="K624" s="388"/>
    </row>
    <row r="625" spans="9:11" ht="15.75" customHeight="1" x14ac:dyDescent="0.25">
      <c r="I625" s="388"/>
      <c r="J625" s="388"/>
      <c r="K625" s="388"/>
    </row>
    <row r="626" spans="9:11" ht="15.75" customHeight="1" x14ac:dyDescent="0.25">
      <c r="I626" s="388"/>
      <c r="J626" s="388"/>
      <c r="K626" s="388"/>
    </row>
    <row r="627" spans="9:11" ht="15.75" customHeight="1" x14ac:dyDescent="0.25">
      <c r="I627" s="388"/>
      <c r="J627" s="388"/>
      <c r="K627" s="388"/>
    </row>
    <row r="628" spans="9:11" ht="15.75" customHeight="1" x14ac:dyDescent="0.25">
      <c r="I628" s="388"/>
      <c r="J628" s="388"/>
      <c r="K628" s="388"/>
    </row>
    <row r="629" spans="9:11" ht="15.75" customHeight="1" x14ac:dyDescent="0.25">
      <c r="I629" s="388"/>
      <c r="J629" s="388"/>
      <c r="K629" s="388"/>
    </row>
    <row r="630" spans="9:11" ht="15.75" customHeight="1" x14ac:dyDescent="0.25">
      <c r="I630" s="388"/>
      <c r="J630" s="388"/>
      <c r="K630" s="388"/>
    </row>
    <row r="631" spans="9:11" ht="15.75" customHeight="1" x14ac:dyDescent="0.25">
      <c r="I631" s="388"/>
      <c r="J631" s="388"/>
      <c r="K631" s="388"/>
    </row>
    <row r="632" spans="9:11" ht="15.75" customHeight="1" x14ac:dyDescent="0.25">
      <c r="I632" s="388"/>
      <c r="J632" s="388"/>
      <c r="K632" s="388"/>
    </row>
    <row r="633" spans="9:11" ht="15.75" customHeight="1" x14ac:dyDescent="0.25">
      <c r="I633" s="388"/>
      <c r="J633" s="388"/>
      <c r="K633" s="388"/>
    </row>
    <row r="634" spans="9:11" ht="15.75" customHeight="1" x14ac:dyDescent="0.25">
      <c r="I634" s="388"/>
      <c r="J634" s="388"/>
      <c r="K634" s="388"/>
    </row>
    <row r="635" spans="9:11" ht="15.75" customHeight="1" x14ac:dyDescent="0.25">
      <c r="I635" s="388"/>
      <c r="J635" s="388"/>
      <c r="K635" s="388"/>
    </row>
    <row r="636" spans="9:11" ht="15.75" customHeight="1" x14ac:dyDescent="0.25">
      <c r="I636" s="388"/>
      <c r="J636" s="388"/>
      <c r="K636" s="388"/>
    </row>
    <row r="637" spans="9:11" ht="15.75" customHeight="1" x14ac:dyDescent="0.25">
      <c r="I637" s="388"/>
      <c r="J637" s="388"/>
      <c r="K637" s="388"/>
    </row>
    <row r="638" spans="9:11" ht="15.75" customHeight="1" x14ac:dyDescent="0.25">
      <c r="I638" s="388"/>
      <c r="J638" s="388"/>
      <c r="K638" s="388"/>
    </row>
    <row r="639" spans="9:11" ht="15.75" customHeight="1" x14ac:dyDescent="0.25">
      <c r="I639" s="388"/>
      <c r="J639" s="388"/>
      <c r="K639" s="388"/>
    </row>
    <row r="640" spans="9:11" ht="15.75" customHeight="1" x14ac:dyDescent="0.25">
      <c r="I640" s="388"/>
      <c r="J640" s="388"/>
      <c r="K640" s="388"/>
    </row>
    <row r="641" spans="9:11" ht="15.75" customHeight="1" x14ac:dyDescent="0.25">
      <c r="I641" s="388"/>
      <c r="J641" s="388"/>
      <c r="K641" s="388"/>
    </row>
    <row r="642" spans="9:11" ht="15.75" customHeight="1" x14ac:dyDescent="0.25">
      <c r="I642" s="388"/>
      <c r="J642" s="388"/>
      <c r="K642" s="388"/>
    </row>
    <row r="643" spans="9:11" ht="15.75" customHeight="1" x14ac:dyDescent="0.25">
      <c r="I643" s="388"/>
      <c r="J643" s="388"/>
      <c r="K643" s="388"/>
    </row>
    <row r="644" spans="9:11" ht="15.75" customHeight="1" x14ac:dyDescent="0.25">
      <c r="I644" s="388"/>
      <c r="J644" s="388"/>
      <c r="K644" s="388"/>
    </row>
    <row r="645" spans="9:11" ht="15.75" customHeight="1" x14ac:dyDescent="0.25">
      <c r="I645" s="388"/>
      <c r="J645" s="388"/>
      <c r="K645" s="388"/>
    </row>
    <row r="646" spans="9:11" ht="15.75" customHeight="1" x14ac:dyDescent="0.25">
      <c r="I646" s="388"/>
      <c r="J646" s="388"/>
      <c r="K646" s="388"/>
    </row>
    <row r="647" spans="9:11" ht="15.75" customHeight="1" x14ac:dyDescent="0.25">
      <c r="I647" s="388"/>
      <c r="J647" s="388"/>
      <c r="K647" s="388"/>
    </row>
    <row r="648" spans="9:11" ht="15.75" customHeight="1" x14ac:dyDescent="0.25">
      <c r="I648" s="388"/>
      <c r="J648" s="388"/>
      <c r="K648" s="388"/>
    </row>
    <row r="649" spans="9:11" ht="15.75" customHeight="1" x14ac:dyDescent="0.25">
      <c r="I649" s="388"/>
      <c r="J649" s="388"/>
      <c r="K649" s="388"/>
    </row>
    <row r="650" spans="9:11" ht="15.75" customHeight="1" x14ac:dyDescent="0.25">
      <c r="I650" s="388"/>
      <c r="J650" s="388"/>
      <c r="K650" s="388"/>
    </row>
    <row r="651" spans="9:11" ht="15.75" customHeight="1" x14ac:dyDescent="0.25">
      <c r="I651" s="388"/>
      <c r="J651" s="388"/>
      <c r="K651" s="388"/>
    </row>
    <row r="652" spans="9:11" ht="15.75" customHeight="1" x14ac:dyDescent="0.25">
      <c r="I652" s="388"/>
      <c r="J652" s="388"/>
      <c r="K652" s="388"/>
    </row>
    <row r="653" spans="9:11" ht="15.75" customHeight="1" x14ac:dyDescent="0.25">
      <c r="I653" s="388"/>
      <c r="J653" s="388"/>
      <c r="K653" s="388"/>
    </row>
    <row r="654" spans="9:11" ht="15.75" customHeight="1" x14ac:dyDescent="0.25">
      <c r="I654" s="388"/>
      <c r="J654" s="388"/>
      <c r="K654" s="388"/>
    </row>
    <row r="655" spans="9:11" ht="15.75" customHeight="1" x14ac:dyDescent="0.25">
      <c r="I655" s="388"/>
      <c r="J655" s="388"/>
      <c r="K655" s="388"/>
    </row>
    <row r="656" spans="9:11" ht="15.75" customHeight="1" x14ac:dyDescent="0.25">
      <c r="I656" s="388"/>
      <c r="J656" s="388"/>
      <c r="K656" s="388"/>
    </row>
    <row r="657" spans="9:11" ht="15.75" customHeight="1" x14ac:dyDescent="0.25">
      <c r="I657" s="388"/>
      <c r="J657" s="388"/>
      <c r="K657" s="388"/>
    </row>
    <row r="658" spans="9:11" ht="15.75" customHeight="1" x14ac:dyDescent="0.25">
      <c r="I658" s="388"/>
      <c r="J658" s="388"/>
      <c r="K658" s="388"/>
    </row>
    <row r="659" spans="9:11" ht="15.75" customHeight="1" x14ac:dyDescent="0.25">
      <c r="I659" s="388"/>
      <c r="J659" s="388"/>
      <c r="K659" s="388"/>
    </row>
    <row r="660" spans="9:11" ht="15.75" customHeight="1" x14ac:dyDescent="0.25">
      <c r="I660" s="388"/>
      <c r="J660" s="388"/>
      <c r="K660" s="388"/>
    </row>
    <row r="661" spans="9:11" ht="15.75" customHeight="1" x14ac:dyDescent="0.25">
      <c r="I661" s="388"/>
      <c r="J661" s="388"/>
      <c r="K661" s="388"/>
    </row>
    <row r="662" spans="9:11" ht="15.75" customHeight="1" x14ac:dyDescent="0.25">
      <c r="I662" s="388"/>
      <c r="J662" s="388"/>
      <c r="K662" s="388"/>
    </row>
    <row r="663" spans="9:11" ht="15.75" customHeight="1" x14ac:dyDescent="0.25">
      <c r="I663" s="388"/>
      <c r="J663" s="388"/>
      <c r="K663" s="388"/>
    </row>
    <row r="664" spans="9:11" ht="15.75" customHeight="1" x14ac:dyDescent="0.25">
      <c r="I664" s="388"/>
      <c r="J664" s="388"/>
      <c r="K664" s="388"/>
    </row>
    <row r="665" spans="9:11" ht="15.75" customHeight="1" x14ac:dyDescent="0.25">
      <c r="I665" s="388"/>
      <c r="J665" s="388"/>
      <c r="K665" s="388"/>
    </row>
    <row r="666" spans="9:11" ht="15.75" customHeight="1" x14ac:dyDescent="0.25">
      <c r="I666" s="388"/>
      <c r="J666" s="388"/>
      <c r="K666" s="388"/>
    </row>
    <row r="667" spans="9:11" ht="15.75" customHeight="1" x14ac:dyDescent="0.25">
      <c r="I667" s="388"/>
      <c r="J667" s="388"/>
      <c r="K667" s="388"/>
    </row>
    <row r="668" spans="9:11" ht="15.75" customHeight="1" x14ac:dyDescent="0.25">
      <c r="I668" s="388"/>
      <c r="J668" s="388"/>
      <c r="K668" s="388"/>
    </row>
    <row r="669" spans="9:11" ht="15.75" customHeight="1" x14ac:dyDescent="0.25">
      <c r="I669" s="388"/>
      <c r="J669" s="388"/>
      <c r="K669" s="388"/>
    </row>
    <row r="670" spans="9:11" ht="15.75" customHeight="1" x14ac:dyDescent="0.25">
      <c r="I670" s="388"/>
      <c r="J670" s="388"/>
      <c r="K670" s="388"/>
    </row>
    <row r="671" spans="9:11" ht="15.75" customHeight="1" x14ac:dyDescent="0.25">
      <c r="I671" s="388"/>
      <c r="J671" s="388"/>
      <c r="K671" s="388"/>
    </row>
    <row r="672" spans="9:11" ht="15.75" customHeight="1" x14ac:dyDescent="0.25">
      <c r="I672" s="388"/>
      <c r="J672" s="388"/>
      <c r="K672" s="388"/>
    </row>
    <row r="673" spans="9:11" ht="15.75" customHeight="1" x14ac:dyDescent="0.25">
      <c r="I673" s="388"/>
      <c r="J673" s="388"/>
      <c r="K673" s="388"/>
    </row>
    <row r="674" spans="9:11" ht="15.75" customHeight="1" x14ac:dyDescent="0.25">
      <c r="I674" s="388"/>
      <c r="J674" s="388"/>
      <c r="K674" s="388"/>
    </row>
    <row r="675" spans="9:11" ht="15.75" customHeight="1" x14ac:dyDescent="0.25">
      <c r="I675" s="388"/>
      <c r="J675" s="388"/>
      <c r="K675" s="388"/>
    </row>
    <row r="676" spans="9:11" ht="15.75" customHeight="1" x14ac:dyDescent="0.25">
      <c r="I676" s="388"/>
      <c r="J676" s="388"/>
      <c r="K676" s="388"/>
    </row>
    <row r="677" spans="9:11" ht="15.75" customHeight="1" x14ac:dyDescent="0.25">
      <c r="I677" s="388"/>
      <c r="J677" s="388"/>
      <c r="K677" s="388"/>
    </row>
    <row r="678" spans="9:11" ht="15.75" customHeight="1" x14ac:dyDescent="0.25">
      <c r="I678" s="388"/>
      <c r="J678" s="388"/>
      <c r="K678" s="388"/>
    </row>
    <row r="679" spans="9:11" ht="15.75" customHeight="1" x14ac:dyDescent="0.25">
      <c r="I679" s="388"/>
      <c r="J679" s="388"/>
      <c r="K679" s="388"/>
    </row>
    <row r="680" spans="9:11" ht="15.75" customHeight="1" x14ac:dyDescent="0.25">
      <c r="I680" s="388"/>
      <c r="J680" s="388"/>
      <c r="K680" s="388"/>
    </row>
    <row r="681" spans="9:11" ht="15.75" customHeight="1" x14ac:dyDescent="0.25">
      <c r="I681" s="388"/>
      <c r="J681" s="388"/>
      <c r="K681" s="388"/>
    </row>
    <row r="682" spans="9:11" ht="15.75" customHeight="1" x14ac:dyDescent="0.25">
      <c r="I682" s="388"/>
      <c r="J682" s="388"/>
      <c r="K682" s="388"/>
    </row>
    <row r="683" spans="9:11" ht="15.75" customHeight="1" x14ac:dyDescent="0.25">
      <c r="I683" s="388"/>
      <c r="J683" s="388"/>
      <c r="K683" s="388"/>
    </row>
    <row r="684" spans="9:11" ht="15.75" customHeight="1" x14ac:dyDescent="0.25">
      <c r="I684" s="388"/>
      <c r="J684" s="388"/>
      <c r="K684" s="388"/>
    </row>
    <row r="685" spans="9:11" ht="15.75" customHeight="1" x14ac:dyDescent="0.25">
      <c r="I685" s="388"/>
      <c r="J685" s="388"/>
      <c r="K685" s="388"/>
    </row>
    <row r="686" spans="9:11" ht="15.75" customHeight="1" x14ac:dyDescent="0.25">
      <c r="I686" s="388"/>
      <c r="J686" s="388"/>
      <c r="K686" s="388"/>
    </row>
    <row r="687" spans="9:11" ht="15.75" customHeight="1" x14ac:dyDescent="0.25">
      <c r="I687" s="388"/>
      <c r="J687" s="388"/>
      <c r="K687" s="388"/>
    </row>
    <row r="688" spans="9:11" ht="15.75" customHeight="1" x14ac:dyDescent="0.25">
      <c r="I688" s="388"/>
      <c r="J688" s="388"/>
      <c r="K688" s="388"/>
    </row>
    <row r="689" spans="9:11" ht="15.75" customHeight="1" x14ac:dyDescent="0.25">
      <c r="I689" s="388"/>
      <c r="J689" s="388"/>
      <c r="K689" s="388"/>
    </row>
    <row r="690" spans="9:11" ht="15.75" customHeight="1" x14ac:dyDescent="0.25">
      <c r="I690" s="388"/>
      <c r="J690" s="388"/>
      <c r="K690" s="388"/>
    </row>
    <row r="691" spans="9:11" ht="15.75" customHeight="1" x14ac:dyDescent="0.25">
      <c r="I691" s="388"/>
      <c r="J691" s="388"/>
      <c r="K691" s="388"/>
    </row>
    <row r="692" spans="9:11" ht="15.75" customHeight="1" x14ac:dyDescent="0.25">
      <c r="I692" s="388"/>
      <c r="J692" s="388"/>
      <c r="K692" s="388"/>
    </row>
    <row r="693" spans="9:11" ht="15.75" customHeight="1" x14ac:dyDescent="0.25">
      <c r="I693" s="388"/>
      <c r="J693" s="388"/>
      <c r="K693" s="388"/>
    </row>
    <row r="694" spans="9:11" ht="15.75" customHeight="1" x14ac:dyDescent="0.25">
      <c r="I694" s="388"/>
      <c r="J694" s="388"/>
      <c r="K694" s="388"/>
    </row>
    <row r="695" spans="9:11" ht="15.75" customHeight="1" x14ac:dyDescent="0.25">
      <c r="I695" s="388"/>
      <c r="J695" s="388"/>
      <c r="K695" s="388"/>
    </row>
    <row r="696" spans="9:11" ht="15.75" customHeight="1" x14ac:dyDescent="0.25">
      <c r="I696" s="388"/>
      <c r="J696" s="388"/>
      <c r="K696" s="388"/>
    </row>
    <row r="697" spans="9:11" ht="15.75" customHeight="1" x14ac:dyDescent="0.25">
      <c r="I697" s="388"/>
      <c r="J697" s="388"/>
      <c r="K697" s="388"/>
    </row>
    <row r="698" spans="9:11" ht="15.75" customHeight="1" x14ac:dyDescent="0.25">
      <c r="I698" s="388"/>
      <c r="J698" s="388"/>
      <c r="K698" s="388"/>
    </row>
    <row r="699" spans="9:11" ht="15.75" customHeight="1" x14ac:dyDescent="0.25">
      <c r="I699" s="388"/>
      <c r="J699" s="388"/>
      <c r="K699" s="388"/>
    </row>
    <row r="700" spans="9:11" ht="15.75" customHeight="1" x14ac:dyDescent="0.25">
      <c r="I700" s="388"/>
      <c r="J700" s="388"/>
      <c r="K700" s="388"/>
    </row>
    <row r="701" spans="9:11" ht="15.75" customHeight="1" x14ac:dyDescent="0.25">
      <c r="I701" s="388"/>
      <c r="J701" s="388"/>
      <c r="K701" s="388"/>
    </row>
    <row r="702" spans="9:11" ht="15.75" customHeight="1" x14ac:dyDescent="0.25">
      <c r="I702" s="388"/>
      <c r="J702" s="388"/>
      <c r="K702" s="388"/>
    </row>
    <row r="703" spans="9:11" ht="15.75" customHeight="1" x14ac:dyDescent="0.25">
      <c r="I703" s="388"/>
      <c r="J703" s="388"/>
      <c r="K703" s="388"/>
    </row>
    <row r="704" spans="9:11" ht="15.75" customHeight="1" x14ac:dyDescent="0.25">
      <c r="I704" s="388"/>
      <c r="J704" s="388"/>
      <c r="K704" s="388"/>
    </row>
    <row r="705" spans="9:11" ht="15.75" customHeight="1" x14ac:dyDescent="0.25">
      <c r="I705" s="388"/>
      <c r="J705" s="388"/>
      <c r="K705" s="388"/>
    </row>
    <row r="706" spans="9:11" ht="15.75" customHeight="1" x14ac:dyDescent="0.25">
      <c r="I706" s="388"/>
      <c r="J706" s="388"/>
      <c r="K706" s="388"/>
    </row>
    <row r="707" spans="9:11" ht="15.75" customHeight="1" x14ac:dyDescent="0.25">
      <c r="I707" s="388"/>
      <c r="J707" s="388"/>
      <c r="K707" s="388"/>
    </row>
    <row r="708" spans="9:11" ht="15.75" customHeight="1" x14ac:dyDescent="0.25">
      <c r="I708" s="388"/>
      <c r="J708" s="388"/>
      <c r="K708" s="388"/>
    </row>
    <row r="709" spans="9:11" ht="15.75" customHeight="1" x14ac:dyDescent="0.25">
      <c r="I709" s="388"/>
      <c r="J709" s="388"/>
      <c r="K709" s="388"/>
    </row>
    <row r="710" spans="9:11" ht="15.75" customHeight="1" x14ac:dyDescent="0.25">
      <c r="I710" s="388"/>
      <c r="J710" s="388"/>
      <c r="K710" s="388"/>
    </row>
    <row r="711" spans="9:11" ht="15.75" customHeight="1" x14ac:dyDescent="0.25">
      <c r="I711" s="388"/>
      <c r="J711" s="388"/>
      <c r="K711" s="388"/>
    </row>
    <row r="712" spans="9:11" ht="15.75" customHeight="1" x14ac:dyDescent="0.25">
      <c r="I712" s="388"/>
      <c r="J712" s="388"/>
      <c r="K712" s="388"/>
    </row>
    <row r="713" spans="9:11" ht="15.75" customHeight="1" x14ac:dyDescent="0.25">
      <c r="I713" s="388"/>
      <c r="J713" s="388"/>
      <c r="K713" s="388"/>
    </row>
    <row r="714" spans="9:11" ht="15.75" customHeight="1" x14ac:dyDescent="0.25">
      <c r="I714" s="388"/>
      <c r="J714" s="388"/>
      <c r="K714" s="388"/>
    </row>
    <row r="715" spans="9:11" ht="15.75" customHeight="1" x14ac:dyDescent="0.25">
      <c r="I715" s="388"/>
      <c r="J715" s="388"/>
      <c r="K715" s="388"/>
    </row>
    <row r="716" spans="9:11" ht="15.75" customHeight="1" x14ac:dyDescent="0.25">
      <c r="I716" s="388"/>
      <c r="J716" s="388"/>
      <c r="K716" s="388"/>
    </row>
    <row r="717" spans="9:11" ht="15.75" customHeight="1" x14ac:dyDescent="0.25">
      <c r="I717" s="388"/>
      <c r="J717" s="388"/>
      <c r="K717" s="388"/>
    </row>
    <row r="718" spans="9:11" ht="15.75" customHeight="1" x14ac:dyDescent="0.25">
      <c r="I718" s="388"/>
      <c r="J718" s="388"/>
      <c r="K718" s="388"/>
    </row>
    <row r="719" spans="9:11" ht="15.75" customHeight="1" x14ac:dyDescent="0.25">
      <c r="I719" s="388"/>
      <c r="J719" s="388"/>
      <c r="K719" s="388"/>
    </row>
    <row r="720" spans="9:11" ht="15.75" customHeight="1" x14ac:dyDescent="0.25">
      <c r="I720" s="388"/>
      <c r="J720" s="388"/>
      <c r="K720" s="388"/>
    </row>
    <row r="721" spans="9:11" ht="15.75" customHeight="1" x14ac:dyDescent="0.25">
      <c r="I721" s="388"/>
      <c r="J721" s="388"/>
      <c r="K721" s="388"/>
    </row>
    <row r="722" spans="9:11" ht="15.75" customHeight="1" x14ac:dyDescent="0.25">
      <c r="I722" s="388"/>
      <c r="J722" s="388"/>
      <c r="K722" s="388"/>
    </row>
    <row r="723" spans="9:11" ht="15.75" customHeight="1" x14ac:dyDescent="0.25">
      <c r="I723" s="388"/>
      <c r="J723" s="388"/>
      <c r="K723" s="388"/>
    </row>
    <row r="724" spans="9:11" ht="15.75" customHeight="1" x14ac:dyDescent="0.25">
      <c r="I724" s="388"/>
      <c r="J724" s="388"/>
      <c r="K724" s="388"/>
    </row>
    <row r="725" spans="9:11" ht="15.75" customHeight="1" x14ac:dyDescent="0.25">
      <c r="I725" s="388"/>
      <c r="J725" s="388"/>
      <c r="K725" s="388"/>
    </row>
    <row r="726" spans="9:11" ht="15.75" customHeight="1" x14ac:dyDescent="0.25">
      <c r="I726" s="388"/>
      <c r="J726" s="388"/>
      <c r="K726" s="388"/>
    </row>
    <row r="727" spans="9:11" ht="15.75" customHeight="1" x14ac:dyDescent="0.25">
      <c r="I727" s="388"/>
      <c r="J727" s="388"/>
      <c r="K727" s="388"/>
    </row>
    <row r="728" spans="9:11" ht="15.75" customHeight="1" x14ac:dyDescent="0.25">
      <c r="I728" s="388"/>
      <c r="J728" s="388"/>
      <c r="K728" s="388"/>
    </row>
    <row r="729" spans="9:11" ht="15.75" customHeight="1" x14ac:dyDescent="0.25">
      <c r="I729" s="388"/>
      <c r="J729" s="388"/>
      <c r="K729" s="388"/>
    </row>
    <row r="730" spans="9:11" ht="15.75" customHeight="1" x14ac:dyDescent="0.25">
      <c r="I730" s="388"/>
      <c r="J730" s="388"/>
      <c r="K730" s="388"/>
    </row>
    <row r="731" spans="9:11" ht="15.75" customHeight="1" x14ac:dyDescent="0.25">
      <c r="I731" s="388"/>
      <c r="J731" s="388"/>
      <c r="K731" s="388"/>
    </row>
    <row r="732" spans="9:11" ht="15.75" customHeight="1" x14ac:dyDescent="0.25">
      <c r="I732" s="388"/>
      <c r="J732" s="388"/>
      <c r="K732" s="388"/>
    </row>
    <row r="733" spans="9:11" ht="15.75" customHeight="1" x14ac:dyDescent="0.25">
      <c r="I733" s="388"/>
      <c r="J733" s="388"/>
      <c r="K733" s="388"/>
    </row>
    <row r="734" spans="9:11" ht="15.75" customHeight="1" x14ac:dyDescent="0.25">
      <c r="I734" s="388"/>
      <c r="J734" s="388"/>
      <c r="K734" s="388"/>
    </row>
    <row r="735" spans="9:11" ht="15.75" customHeight="1" x14ac:dyDescent="0.25">
      <c r="I735" s="388"/>
      <c r="J735" s="388"/>
      <c r="K735" s="388"/>
    </row>
    <row r="736" spans="9:11" ht="15.75" customHeight="1" x14ac:dyDescent="0.25">
      <c r="I736" s="388"/>
      <c r="J736" s="388"/>
      <c r="K736" s="388"/>
    </row>
    <row r="737" spans="9:11" ht="15.75" customHeight="1" x14ac:dyDescent="0.25">
      <c r="I737" s="388"/>
      <c r="J737" s="388"/>
      <c r="K737" s="388"/>
    </row>
    <row r="738" spans="9:11" ht="15.75" customHeight="1" x14ac:dyDescent="0.25">
      <c r="I738" s="388"/>
      <c r="J738" s="388"/>
      <c r="K738" s="388"/>
    </row>
    <row r="739" spans="9:11" ht="15.75" customHeight="1" x14ac:dyDescent="0.25">
      <c r="I739" s="388"/>
      <c r="J739" s="388"/>
      <c r="K739" s="388"/>
    </row>
    <row r="740" spans="9:11" ht="15.75" customHeight="1" x14ac:dyDescent="0.25">
      <c r="I740" s="388"/>
      <c r="J740" s="388"/>
      <c r="K740" s="388"/>
    </row>
    <row r="741" spans="9:11" ht="15.75" customHeight="1" x14ac:dyDescent="0.25">
      <c r="I741" s="388"/>
      <c r="J741" s="388"/>
      <c r="K741" s="388"/>
    </row>
    <row r="742" spans="9:11" ht="15.75" customHeight="1" x14ac:dyDescent="0.25">
      <c r="I742" s="388"/>
      <c r="J742" s="388"/>
      <c r="K742" s="388"/>
    </row>
    <row r="743" spans="9:11" ht="15.75" customHeight="1" x14ac:dyDescent="0.25">
      <c r="I743" s="388"/>
      <c r="J743" s="388"/>
      <c r="K743" s="388"/>
    </row>
    <row r="744" spans="9:11" ht="15.75" customHeight="1" x14ac:dyDescent="0.25">
      <c r="I744" s="388"/>
      <c r="J744" s="388"/>
      <c r="K744" s="388"/>
    </row>
    <row r="745" spans="9:11" ht="15.75" customHeight="1" x14ac:dyDescent="0.25">
      <c r="I745" s="388"/>
      <c r="J745" s="388"/>
      <c r="K745" s="388"/>
    </row>
    <row r="746" spans="9:11" ht="15.75" customHeight="1" x14ac:dyDescent="0.25">
      <c r="I746" s="388"/>
      <c r="J746" s="388"/>
      <c r="K746" s="388"/>
    </row>
    <row r="747" spans="9:11" ht="15.75" customHeight="1" x14ac:dyDescent="0.25">
      <c r="I747" s="388"/>
      <c r="J747" s="388"/>
      <c r="K747" s="388"/>
    </row>
    <row r="748" spans="9:11" ht="15.75" customHeight="1" x14ac:dyDescent="0.25">
      <c r="I748" s="388"/>
      <c r="J748" s="388"/>
      <c r="K748" s="388"/>
    </row>
    <row r="749" spans="9:11" ht="15.75" customHeight="1" x14ac:dyDescent="0.25">
      <c r="I749" s="388"/>
      <c r="J749" s="388"/>
      <c r="K749" s="388"/>
    </row>
    <row r="750" spans="9:11" ht="15.75" customHeight="1" x14ac:dyDescent="0.25">
      <c r="I750" s="388"/>
      <c r="J750" s="388"/>
      <c r="K750" s="388"/>
    </row>
    <row r="751" spans="9:11" ht="15.75" customHeight="1" x14ac:dyDescent="0.25">
      <c r="I751" s="388"/>
      <c r="J751" s="388"/>
      <c r="K751" s="388"/>
    </row>
    <row r="752" spans="9:11" ht="15.75" customHeight="1" x14ac:dyDescent="0.25">
      <c r="I752" s="388"/>
      <c r="J752" s="388"/>
      <c r="K752" s="388"/>
    </row>
    <row r="753" spans="9:11" ht="15.75" customHeight="1" x14ac:dyDescent="0.25">
      <c r="I753" s="388"/>
      <c r="J753" s="388"/>
      <c r="K753" s="388"/>
    </row>
    <row r="754" spans="9:11" ht="15.75" customHeight="1" x14ac:dyDescent="0.25">
      <c r="I754" s="388"/>
      <c r="J754" s="388"/>
      <c r="K754" s="388"/>
    </row>
    <row r="755" spans="9:11" ht="15.75" customHeight="1" x14ac:dyDescent="0.25">
      <c r="I755" s="388"/>
      <c r="J755" s="388"/>
      <c r="K755" s="388"/>
    </row>
    <row r="756" spans="9:11" ht="15.75" customHeight="1" x14ac:dyDescent="0.25">
      <c r="I756" s="388"/>
      <c r="J756" s="388"/>
      <c r="K756" s="388"/>
    </row>
    <row r="757" spans="9:11" ht="15.75" customHeight="1" x14ac:dyDescent="0.25">
      <c r="I757" s="388"/>
      <c r="J757" s="388"/>
      <c r="K757" s="388"/>
    </row>
    <row r="758" spans="9:11" ht="15.75" customHeight="1" x14ac:dyDescent="0.25">
      <c r="I758" s="388"/>
      <c r="J758" s="388"/>
      <c r="K758" s="388"/>
    </row>
    <row r="759" spans="9:11" ht="15.75" customHeight="1" x14ac:dyDescent="0.25">
      <c r="I759" s="388"/>
      <c r="J759" s="388"/>
      <c r="K759" s="388"/>
    </row>
    <row r="760" spans="9:11" ht="15.75" customHeight="1" x14ac:dyDescent="0.25">
      <c r="I760" s="388"/>
      <c r="J760" s="388"/>
      <c r="K760" s="388"/>
    </row>
    <row r="761" spans="9:11" ht="15.75" customHeight="1" x14ac:dyDescent="0.25">
      <c r="I761" s="388"/>
      <c r="J761" s="388"/>
      <c r="K761" s="388"/>
    </row>
    <row r="762" spans="9:11" ht="15.75" customHeight="1" x14ac:dyDescent="0.25">
      <c r="I762" s="388"/>
      <c r="J762" s="388"/>
      <c r="K762" s="388"/>
    </row>
    <row r="763" spans="9:11" ht="15.75" customHeight="1" x14ac:dyDescent="0.25">
      <c r="I763" s="388"/>
      <c r="J763" s="388"/>
      <c r="K763" s="388"/>
    </row>
    <row r="764" spans="9:11" ht="15.75" customHeight="1" x14ac:dyDescent="0.25">
      <c r="I764" s="388"/>
      <c r="J764" s="388"/>
      <c r="K764" s="388"/>
    </row>
    <row r="765" spans="9:11" ht="15.75" customHeight="1" x14ac:dyDescent="0.25">
      <c r="I765" s="388"/>
      <c r="J765" s="388"/>
      <c r="K765" s="388"/>
    </row>
    <row r="766" spans="9:11" ht="15.75" customHeight="1" x14ac:dyDescent="0.25">
      <c r="I766" s="388"/>
      <c r="J766" s="388"/>
      <c r="K766" s="388"/>
    </row>
    <row r="767" spans="9:11" ht="15.75" customHeight="1" x14ac:dyDescent="0.25">
      <c r="I767" s="388"/>
      <c r="J767" s="388"/>
      <c r="K767" s="388"/>
    </row>
    <row r="768" spans="9:11" ht="15.75" customHeight="1" x14ac:dyDescent="0.25">
      <c r="I768" s="388"/>
      <c r="J768" s="388"/>
      <c r="K768" s="388"/>
    </row>
    <row r="769" spans="9:11" ht="15.75" customHeight="1" x14ac:dyDescent="0.25">
      <c r="I769" s="388"/>
      <c r="J769" s="388"/>
      <c r="K769" s="388"/>
    </row>
    <row r="770" spans="9:11" ht="15.75" customHeight="1" x14ac:dyDescent="0.25">
      <c r="I770" s="388"/>
      <c r="J770" s="388"/>
      <c r="K770" s="388"/>
    </row>
    <row r="771" spans="9:11" ht="15.75" customHeight="1" x14ac:dyDescent="0.25">
      <c r="I771" s="388"/>
      <c r="J771" s="388"/>
      <c r="K771" s="388"/>
    </row>
    <row r="772" spans="9:11" ht="15.75" customHeight="1" x14ac:dyDescent="0.25">
      <c r="I772" s="388"/>
      <c r="J772" s="388"/>
      <c r="K772" s="388"/>
    </row>
    <row r="773" spans="9:11" ht="15.75" customHeight="1" x14ac:dyDescent="0.25">
      <c r="I773" s="388"/>
      <c r="J773" s="388"/>
      <c r="K773" s="388"/>
    </row>
    <row r="774" spans="9:11" ht="15.75" customHeight="1" x14ac:dyDescent="0.25">
      <c r="I774" s="388"/>
      <c r="J774" s="388"/>
      <c r="K774" s="388"/>
    </row>
    <row r="775" spans="9:11" ht="15.75" customHeight="1" x14ac:dyDescent="0.25">
      <c r="I775" s="388"/>
      <c r="J775" s="388"/>
      <c r="K775" s="388"/>
    </row>
    <row r="776" spans="9:11" ht="15.75" customHeight="1" x14ac:dyDescent="0.25">
      <c r="I776" s="388"/>
      <c r="J776" s="388"/>
      <c r="K776" s="388"/>
    </row>
    <row r="777" spans="9:11" ht="15.75" customHeight="1" x14ac:dyDescent="0.25">
      <c r="I777" s="388"/>
      <c r="J777" s="388"/>
      <c r="K777" s="388"/>
    </row>
    <row r="778" spans="9:11" ht="15.75" customHeight="1" x14ac:dyDescent="0.25">
      <c r="I778" s="388"/>
      <c r="J778" s="388"/>
      <c r="K778" s="388"/>
    </row>
    <row r="779" spans="9:11" ht="15.75" customHeight="1" x14ac:dyDescent="0.25">
      <c r="I779" s="388"/>
      <c r="J779" s="388"/>
      <c r="K779" s="388"/>
    </row>
    <row r="780" spans="9:11" ht="15.75" customHeight="1" x14ac:dyDescent="0.25">
      <c r="I780" s="388"/>
      <c r="J780" s="388"/>
      <c r="K780" s="388"/>
    </row>
    <row r="781" spans="9:11" ht="15.75" customHeight="1" x14ac:dyDescent="0.25">
      <c r="I781" s="388"/>
      <c r="J781" s="388"/>
      <c r="K781" s="388"/>
    </row>
    <row r="782" spans="9:11" ht="15.75" customHeight="1" x14ac:dyDescent="0.25">
      <c r="I782" s="388"/>
      <c r="J782" s="388"/>
      <c r="K782" s="388"/>
    </row>
    <row r="783" spans="9:11" ht="15.75" customHeight="1" x14ac:dyDescent="0.25">
      <c r="I783" s="388"/>
      <c r="J783" s="388"/>
      <c r="K783" s="388"/>
    </row>
    <row r="784" spans="9:11" ht="15.75" customHeight="1" x14ac:dyDescent="0.25">
      <c r="I784" s="388"/>
      <c r="J784" s="388"/>
      <c r="K784" s="388"/>
    </row>
    <row r="785" spans="9:11" ht="15.75" customHeight="1" x14ac:dyDescent="0.25">
      <c r="I785" s="388"/>
      <c r="J785" s="388"/>
      <c r="K785" s="388"/>
    </row>
    <row r="786" spans="9:11" ht="15.75" customHeight="1" x14ac:dyDescent="0.25">
      <c r="I786" s="388"/>
      <c r="J786" s="388"/>
      <c r="K786" s="388"/>
    </row>
    <row r="787" spans="9:11" ht="15.75" customHeight="1" x14ac:dyDescent="0.25">
      <c r="I787" s="388"/>
      <c r="J787" s="388"/>
      <c r="K787" s="388"/>
    </row>
    <row r="788" spans="9:11" ht="15.75" customHeight="1" x14ac:dyDescent="0.25">
      <c r="I788" s="388"/>
      <c r="J788" s="388"/>
      <c r="K788" s="388"/>
    </row>
    <row r="789" spans="9:11" ht="15.75" customHeight="1" x14ac:dyDescent="0.25">
      <c r="I789" s="388"/>
      <c r="J789" s="388"/>
      <c r="K789" s="388"/>
    </row>
    <row r="790" spans="9:11" ht="15.75" customHeight="1" x14ac:dyDescent="0.25">
      <c r="I790" s="388"/>
      <c r="J790" s="388"/>
      <c r="K790" s="388"/>
    </row>
    <row r="791" spans="9:11" ht="15.75" customHeight="1" x14ac:dyDescent="0.25">
      <c r="I791" s="388"/>
      <c r="J791" s="388"/>
      <c r="K791" s="388"/>
    </row>
    <row r="792" spans="9:11" ht="15.75" customHeight="1" x14ac:dyDescent="0.25">
      <c r="I792" s="388"/>
      <c r="J792" s="388"/>
      <c r="K792" s="388"/>
    </row>
    <row r="793" spans="9:11" ht="15.75" customHeight="1" x14ac:dyDescent="0.25">
      <c r="I793" s="388"/>
      <c r="J793" s="388"/>
      <c r="K793" s="388"/>
    </row>
    <row r="794" spans="9:11" ht="15.75" customHeight="1" x14ac:dyDescent="0.25">
      <c r="I794" s="388"/>
      <c r="J794" s="388"/>
      <c r="K794" s="388"/>
    </row>
    <row r="795" spans="9:11" ht="15.75" customHeight="1" x14ac:dyDescent="0.25">
      <c r="I795" s="388"/>
      <c r="J795" s="388"/>
      <c r="K795" s="388"/>
    </row>
    <row r="796" spans="9:11" ht="15.75" customHeight="1" x14ac:dyDescent="0.25">
      <c r="I796" s="388"/>
      <c r="J796" s="388"/>
      <c r="K796" s="388"/>
    </row>
    <row r="797" spans="9:11" ht="15.75" customHeight="1" x14ac:dyDescent="0.25">
      <c r="I797" s="388"/>
      <c r="J797" s="388"/>
      <c r="K797" s="388"/>
    </row>
    <row r="798" spans="9:11" ht="15.75" customHeight="1" x14ac:dyDescent="0.25">
      <c r="I798" s="388"/>
      <c r="J798" s="388"/>
      <c r="K798" s="388"/>
    </row>
    <row r="799" spans="9:11" ht="15.75" customHeight="1" x14ac:dyDescent="0.25">
      <c r="I799" s="388"/>
      <c r="J799" s="388"/>
      <c r="K799" s="388"/>
    </row>
    <row r="800" spans="9:11" ht="15.75" customHeight="1" x14ac:dyDescent="0.25">
      <c r="I800" s="388"/>
      <c r="J800" s="388"/>
      <c r="K800" s="388"/>
    </row>
    <row r="801" spans="9:11" ht="15.75" customHeight="1" x14ac:dyDescent="0.25">
      <c r="I801" s="388"/>
      <c r="J801" s="388"/>
      <c r="K801" s="388"/>
    </row>
    <row r="802" spans="9:11" ht="15.75" customHeight="1" x14ac:dyDescent="0.25">
      <c r="I802" s="388"/>
      <c r="J802" s="388"/>
      <c r="K802" s="388"/>
    </row>
    <row r="803" spans="9:11" ht="15.75" customHeight="1" x14ac:dyDescent="0.25">
      <c r="I803" s="388"/>
      <c r="J803" s="388"/>
      <c r="K803" s="388"/>
    </row>
    <row r="804" spans="9:11" ht="15.75" customHeight="1" x14ac:dyDescent="0.25">
      <c r="I804" s="388"/>
      <c r="J804" s="388"/>
      <c r="K804" s="388"/>
    </row>
    <row r="805" spans="9:11" ht="15.75" customHeight="1" x14ac:dyDescent="0.25">
      <c r="I805" s="388"/>
      <c r="J805" s="388"/>
      <c r="K805" s="388"/>
    </row>
    <row r="806" spans="9:11" ht="15.75" customHeight="1" x14ac:dyDescent="0.25">
      <c r="I806" s="388"/>
      <c r="J806" s="388"/>
      <c r="K806" s="388"/>
    </row>
    <row r="807" spans="9:11" ht="15.75" customHeight="1" x14ac:dyDescent="0.25">
      <c r="I807" s="388"/>
      <c r="J807" s="388"/>
      <c r="K807" s="388"/>
    </row>
    <row r="808" spans="9:11" ht="15.75" customHeight="1" x14ac:dyDescent="0.25">
      <c r="I808" s="388"/>
      <c r="J808" s="388"/>
      <c r="K808" s="388"/>
    </row>
    <row r="809" spans="9:11" ht="15.75" customHeight="1" x14ac:dyDescent="0.25">
      <c r="I809" s="388"/>
      <c r="J809" s="388"/>
      <c r="K809" s="388"/>
    </row>
    <row r="810" spans="9:11" ht="15.75" customHeight="1" x14ac:dyDescent="0.25">
      <c r="I810" s="388"/>
      <c r="J810" s="388"/>
      <c r="K810" s="388"/>
    </row>
    <row r="811" spans="9:11" ht="15.75" customHeight="1" x14ac:dyDescent="0.25">
      <c r="I811" s="388"/>
      <c r="J811" s="388"/>
      <c r="K811" s="388"/>
    </row>
    <row r="812" spans="9:11" ht="15.75" customHeight="1" x14ac:dyDescent="0.25">
      <c r="I812" s="388"/>
      <c r="J812" s="388"/>
      <c r="K812" s="388"/>
    </row>
    <row r="813" spans="9:11" ht="15.75" customHeight="1" x14ac:dyDescent="0.25">
      <c r="I813" s="388"/>
      <c r="J813" s="388"/>
      <c r="K813" s="388"/>
    </row>
    <row r="814" spans="9:11" ht="15.75" customHeight="1" x14ac:dyDescent="0.25">
      <c r="I814" s="388"/>
      <c r="J814" s="388"/>
      <c r="K814" s="388"/>
    </row>
    <row r="815" spans="9:11" ht="15.75" customHeight="1" x14ac:dyDescent="0.25">
      <c r="I815" s="388"/>
      <c r="J815" s="388"/>
      <c r="K815" s="388"/>
    </row>
    <row r="816" spans="9:11" ht="15.75" customHeight="1" x14ac:dyDescent="0.25">
      <c r="I816" s="388"/>
      <c r="J816" s="388"/>
      <c r="K816" s="388"/>
    </row>
    <row r="817" spans="9:11" ht="15.75" customHeight="1" x14ac:dyDescent="0.25">
      <c r="I817" s="388"/>
      <c r="J817" s="388"/>
      <c r="K817" s="388"/>
    </row>
    <row r="818" spans="9:11" ht="15.75" customHeight="1" x14ac:dyDescent="0.25">
      <c r="I818" s="388"/>
      <c r="J818" s="388"/>
      <c r="K818" s="388"/>
    </row>
    <row r="819" spans="9:11" ht="15.75" customHeight="1" x14ac:dyDescent="0.25">
      <c r="I819" s="388"/>
      <c r="J819" s="388"/>
      <c r="K819" s="388"/>
    </row>
    <row r="820" spans="9:11" ht="15.75" customHeight="1" x14ac:dyDescent="0.25">
      <c r="I820" s="388"/>
      <c r="J820" s="388"/>
      <c r="K820" s="388"/>
    </row>
    <row r="821" spans="9:11" ht="15.75" customHeight="1" x14ac:dyDescent="0.25">
      <c r="I821" s="388"/>
      <c r="J821" s="388"/>
      <c r="K821" s="388"/>
    </row>
    <row r="822" spans="9:11" ht="15.75" customHeight="1" x14ac:dyDescent="0.25">
      <c r="I822" s="388"/>
      <c r="J822" s="388"/>
      <c r="K822" s="388"/>
    </row>
    <row r="823" spans="9:11" ht="15.75" customHeight="1" x14ac:dyDescent="0.25">
      <c r="I823" s="388"/>
      <c r="J823" s="388"/>
      <c r="K823" s="388"/>
    </row>
    <row r="824" spans="9:11" ht="15.75" customHeight="1" x14ac:dyDescent="0.25">
      <c r="I824" s="388"/>
      <c r="J824" s="388"/>
      <c r="K824" s="388"/>
    </row>
    <row r="825" spans="9:11" ht="15.75" customHeight="1" x14ac:dyDescent="0.25">
      <c r="I825" s="388"/>
      <c r="J825" s="388"/>
      <c r="K825" s="388"/>
    </row>
    <row r="826" spans="9:11" ht="15.75" customHeight="1" x14ac:dyDescent="0.25">
      <c r="I826" s="388"/>
      <c r="J826" s="388"/>
      <c r="K826" s="388"/>
    </row>
    <row r="827" spans="9:11" ht="15.75" customHeight="1" x14ac:dyDescent="0.25">
      <c r="I827" s="388"/>
      <c r="J827" s="388"/>
      <c r="K827" s="388"/>
    </row>
    <row r="828" spans="9:11" ht="15.75" customHeight="1" x14ac:dyDescent="0.25">
      <c r="I828" s="388"/>
      <c r="J828" s="388"/>
      <c r="K828" s="388"/>
    </row>
    <row r="829" spans="9:11" ht="15.75" customHeight="1" x14ac:dyDescent="0.25">
      <c r="I829" s="388"/>
      <c r="J829" s="388"/>
      <c r="K829" s="388"/>
    </row>
    <row r="830" spans="9:11" ht="15.75" customHeight="1" x14ac:dyDescent="0.25">
      <c r="I830" s="388"/>
      <c r="J830" s="388"/>
      <c r="K830" s="388"/>
    </row>
    <row r="831" spans="9:11" ht="15.75" customHeight="1" x14ac:dyDescent="0.25">
      <c r="I831" s="388"/>
      <c r="J831" s="388"/>
      <c r="K831" s="388"/>
    </row>
    <row r="832" spans="9:11" ht="15.75" customHeight="1" x14ac:dyDescent="0.25">
      <c r="I832" s="388"/>
      <c r="J832" s="388"/>
      <c r="K832" s="388"/>
    </row>
    <row r="833" spans="9:11" ht="15.75" customHeight="1" x14ac:dyDescent="0.25">
      <c r="I833" s="388"/>
      <c r="J833" s="388"/>
      <c r="K833" s="388"/>
    </row>
    <row r="834" spans="9:11" ht="15.75" customHeight="1" x14ac:dyDescent="0.25">
      <c r="I834" s="388"/>
      <c r="J834" s="388"/>
      <c r="K834" s="388"/>
    </row>
    <row r="835" spans="9:11" ht="15.75" customHeight="1" x14ac:dyDescent="0.25">
      <c r="I835" s="388"/>
      <c r="J835" s="388"/>
      <c r="K835" s="388"/>
    </row>
    <row r="836" spans="9:11" ht="15.75" customHeight="1" x14ac:dyDescent="0.25">
      <c r="I836" s="388"/>
      <c r="J836" s="388"/>
      <c r="K836" s="388"/>
    </row>
    <row r="837" spans="9:11" ht="15.75" customHeight="1" x14ac:dyDescent="0.25">
      <c r="I837" s="388"/>
      <c r="J837" s="388"/>
      <c r="K837" s="388"/>
    </row>
    <row r="838" spans="9:11" ht="15.75" customHeight="1" x14ac:dyDescent="0.25">
      <c r="I838" s="388"/>
      <c r="J838" s="388"/>
      <c r="K838" s="388"/>
    </row>
    <row r="839" spans="9:11" ht="15.75" customHeight="1" x14ac:dyDescent="0.25">
      <c r="I839" s="388"/>
      <c r="J839" s="388"/>
      <c r="K839" s="388"/>
    </row>
    <row r="840" spans="9:11" ht="15.75" customHeight="1" x14ac:dyDescent="0.25">
      <c r="I840" s="388"/>
      <c r="J840" s="388"/>
      <c r="K840" s="388"/>
    </row>
    <row r="841" spans="9:11" ht="15.75" customHeight="1" x14ac:dyDescent="0.25">
      <c r="I841" s="388"/>
      <c r="J841" s="388"/>
      <c r="K841" s="388"/>
    </row>
    <row r="842" spans="9:11" ht="15.75" customHeight="1" x14ac:dyDescent="0.25">
      <c r="I842" s="388"/>
      <c r="J842" s="388"/>
      <c r="K842" s="388"/>
    </row>
    <row r="843" spans="9:11" ht="15.75" customHeight="1" x14ac:dyDescent="0.25">
      <c r="I843" s="388"/>
      <c r="J843" s="388"/>
      <c r="K843" s="388"/>
    </row>
    <row r="844" spans="9:11" ht="15.75" customHeight="1" x14ac:dyDescent="0.25">
      <c r="I844" s="388"/>
      <c r="J844" s="388"/>
      <c r="K844" s="388"/>
    </row>
    <row r="845" spans="9:11" ht="15.75" customHeight="1" x14ac:dyDescent="0.25">
      <c r="I845" s="388"/>
      <c r="J845" s="388"/>
      <c r="K845" s="388"/>
    </row>
    <row r="846" spans="9:11" ht="15.75" customHeight="1" x14ac:dyDescent="0.25">
      <c r="I846" s="388"/>
      <c r="J846" s="388"/>
      <c r="K846" s="388"/>
    </row>
    <row r="847" spans="9:11" ht="15.75" customHeight="1" x14ac:dyDescent="0.25">
      <c r="I847" s="388"/>
      <c r="J847" s="388"/>
      <c r="K847" s="388"/>
    </row>
    <row r="848" spans="9:11" ht="15.75" customHeight="1" x14ac:dyDescent="0.25">
      <c r="I848" s="388"/>
      <c r="J848" s="388"/>
      <c r="K848" s="388"/>
    </row>
    <row r="849" spans="9:11" ht="15.75" customHeight="1" x14ac:dyDescent="0.25">
      <c r="I849" s="388"/>
      <c r="J849" s="388"/>
      <c r="K849" s="388"/>
    </row>
    <row r="850" spans="9:11" ht="15.75" customHeight="1" x14ac:dyDescent="0.25">
      <c r="I850" s="388"/>
      <c r="J850" s="388"/>
      <c r="K850" s="388"/>
    </row>
    <row r="851" spans="9:11" ht="15.75" customHeight="1" x14ac:dyDescent="0.25">
      <c r="I851" s="388"/>
      <c r="J851" s="388"/>
      <c r="K851" s="388"/>
    </row>
    <row r="852" spans="9:11" ht="15.75" customHeight="1" x14ac:dyDescent="0.25">
      <c r="I852" s="388"/>
      <c r="J852" s="388"/>
      <c r="K852" s="388"/>
    </row>
    <row r="853" spans="9:11" ht="15.75" customHeight="1" x14ac:dyDescent="0.25">
      <c r="I853" s="388"/>
      <c r="J853" s="388"/>
      <c r="K853" s="388"/>
    </row>
    <row r="854" spans="9:11" ht="15.75" customHeight="1" x14ac:dyDescent="0.25">
      <c r="I854" s="388"/>
      <c r="J854" s="388"/>
      <c r="K854" s="388"/>
    </row>
    <row r="855" spans="9:11" ht="15.75" customHeight="1" x14ac:dyDescent="0.25">
      <c r="I855" s="388"/>
      <c r="J855" s="388"/>
      <c r="K855" s="388"/>
    </row>
    <row r="856" spans="9:11" ht="15.75" customHeight="1" x14ac:dyDescent="0.25">
      <c r="I856" s="388"/>
      <c r="J856" s="388"/>
      <c r="K856" s="388"/>
    </row>
    <row r="857" spans="9:11" ht="15.75" customHeight="1" x14ac:dyDescent="0.25">
      <c r="I857" s="388"/>
      <c r="J857" s="388"/>
      <c r="K857" s="388"/>
    </row>
    <row r="858" spans="9:11" ht="15.75" customHeight="1" x14ac:dyDescent="0.25">
      <c r="I858" s="388"/>
      <c r="J858" s="388"/>
      <c r="K858" s="388"/>
    </row>
    <row r="859" spans="9:11" ht="15.75" customHeight="1" x14ac:dyDescent="0.25">
      <c r="I859" s="388"/>
      <c r="J859" s="388"/>
      <c r="K859" s="388"/>
    </row>
    <row r="860" spans="9:11" ht="15.75" customHeight="1" x14ac:dyDescent="0.25">
      <c r="I860" s="388"/>
      <c r="J860" s="388"/>
      <c r="K860" s="388"/>
    </row>
    <row r="861" spans="9:11" ht="15.75" customHeight="1" x14ac:dyDescent="0.25">
      <c r="I861" s="388"/>
      <c r="J861" s="388"/>
      <c r="K861" s="388"/>
    </row>
    <row r="862" spans="9:11" ht="15.75" customHeight="1" x14ac:dyDescent="0.25">
      <c r="I862" s="388"/>
      <c r="J862" s="388"/>
      <c r="K862" s="388"/>
    </row>
    <row r="863" spans="9:11" ht="15.75" customHeight="1" x14ac:dyDescent="0.25">
      <c r="I863" s="388"/>
      <c r="J863" s="388"/>
      <c r="K863" s="388"/>
    </row>
    <row r="864" spans="9:11" ht="15.75" customHeight="1" x14ac:dyDescent="0.25">
      <c r="I864" s="388"/>
      <c r="J864" s="388"/>
      <c r="K864" s="388"/>
    </row>
    <row r="865" spans="9:11" ht="15.75" customHeight="1" x14ac:dyDescent="0.25">
      <c r="I865" s="388"/>
      <c r="J865" s="388"/>
      <c r="K865" s="388"/>
    </row>
    <row r="866" spans="9:11" ht="15.75" customHeight="1" x14ac:dyDescent="0.25">
      <c r="I866" s="388"/>
      <c r="J866" s="388"/>
      <c r="K866" s="388"/>
    </row>
    <row r="867" spans="9:11" ht="15.75" customHeight="1" x14ac:dyDescent="0.25">
      <c r="I867" s="388"/>
      <c r="J867" s="388"/>
      <c r="K867" s="388"/>
    </row>
    <row r="868" spans="9:11" ht="15.75" customHeight="1" x14ac:dyDescent="0.25">
      <c r="I868" s="388"/>
      <c r="J868" s="388"/>
      <c r="K868" s="388"/>
    </row>
    <row r="869" spans="9:11" ht="15.75" customHeight="1" x14ac:dyDescent="0.25">
      <c r="I869" s="388"/>
      <c r="J869" s="388"/>
      <c r="K869" s="388"/>
    </row>
    <row r="870" spans="9:11" ht="15.75" customHeight="1" x14ac:dyDescent="0.25">
      <c r="I870" s="388"/>
      <c r="J870" s="388"/>
      <c r="K870" s="388"/>
    </row>
    <row r="871" spans="9:11" ht="15.75" customHeight="1" x14ac:dyDescent="0.25">
      <c r="I871" s="388"/>
      <c r="J871" s="388"/>
      <c r="K871" s="388"/>
    </row>
    <row r="872" spans="9:11" ht="15.75" customHeight="1" x14ac:dyDescent="0.25">
      <c r="I872" s="388"/>
      <c r="J872" s="388"/>
      <c r="K872" s="388"/>
    </row>
    <row r="873" spans="9:11" ht="15.75" customHeight="1" x14ac:dyDescent="0.25">
      <c r="I873" s="388"/>
      <c r="J873" s="388"/>
      <c r="K873" s="388"/>
    </row>
    <row r="874" spans="9:11" ht="15.75" customHeight="1" x14ac:dyDescent="0.25">
      <c r="I874" s="388"/>
      <c r="J874" s="388"/>
      <c r="K874" s="388"/>
    </row>
    <row r="875" spans="9:11" ht="15.75" customHeight="1" x14ac:dyDescent="0.25">
      <c r="I875" s="388"/>
      <c r="J875" s="388"/>
      <c r="K875" s="388"/>
    </row>
    <row r="876" spans="9:11" ht="15.75" customHeight="1" x14ac:dyDescent="0.25">
      <c r="I876" s="388"/>
      <c r="J876" s="388"/>
      <c r="K876" s="388"/>
    </row>
    <row r="877" spans="9:11" ht="15.75" customHeight="1" x14ac:dyDescent="0.25">
      <c r="I877" s="388"/>
      <c r="J877" s="388"/>
      <c r="K877" s="388"/>
    </row>
    <row r="878" spans="9:11" ht="15.75" customHeight="1" x14ac:dyDescent="0.25">
      <c r="I878" s="388"/>
      <c r="J878" s="388"/>
      <c r="K878" s="388"/>
    </row>
    <row r="879" spans="9:11" ht="15.75" customHeight="1" x14ac:dyDescent="0.25">
      <c r="I879" s="388"/>
      <c r="J879" s="388"/>
      <c r="K879" s="388"/>
    </row>
    <row r="880" spans="9:11" ht="15.75" customHeight="1" x14ac:dyDescent="0.25">
      <c r="I880" s="388"/>
      <c r="J880" s="388"/>
      <c r="K880" s="388"/>
    </row>
    <row r="881" spans="9:11" ht="15.75" customHeight="1" x14ac:dyDescent="0.25">
      <c r="I881" s="388"/>
      <c r="J881" s="388"/>
      <c r="K881" s="388"/>
    </row>
    <row r="882" spans="9:11" ht="15.75" customHeight="1" x14ac:dyDescent="0.25">
      <c r="I882" s="388"/>
      <c r="J882" s="388"/>
      <c r="K882" s="388"/>
    </row>
    <row r="883" spans="9:11" ht="15.75" customHeight="1" x14ac:dyDescent="0.25">
      <c r="I883" s="388"/>
      <c r="J883" s="388"/>
      <c r="K883" s="388"/>
    </row>
    <row r="884" spans="9:11" ht="15.75" customHeight="1" x14ac:dyDescent="0.25">
      <c r="I884" s="388"/>
      <c r="J884" s="388"/>
      <c r="K884" s="388"/>
    </row>
    <row r="885" spans="9:11" ht="15.75" customHeight="1" x14ac:dyDescent="0.25">
      <c r="I885" s="388"/>
      <c r="J885" s="388"/>
      <c r="K885" s="388"/>
    </row>
    <row r="886" spans="9:11" ht="15.75" customHeight="1" x14ac:dyDescent="0.25">
      <c r="I886" s="388"/>
      <c r="J886" s="388"/>
      <c r="K886" s="388"/>
    </row>
    <row r="887" spans="9:11" ht="15.75" customHeight="1" x14ac:dyDescent="0.25">
      <c r="I887" s="388"/>
      <c r="J887" s="388"/>
      <c r="K887" s="388"/>
    </row>
    <row r="888" spans="9:11" ht="15.75" customHeight="1" x14ac:dyDescent="0.25">
      <c r="I888" s="388"/>
      <c r="J888" s="388"/>
      <c r="K888" s="388"/>
    </row>
    <row r="889" spans="9:11" ht="15.75" customHeight="1" x14ac:dyDescent="0.25">
      <c r="I889" s="388"/>
      <c r="J889" s="388"/>
      <c r="K889" s="388"/>
    </row>
    <row r="890" spans="9:11" ht="15.75" customHeight="1" x14ac:dyDescent="0.25">
      <c r="I890" s="388"/>
      <c r="J890" s="388"/>
      <c r="K890" s="388"/>
    </row>
    <row r="891" spans="9:11" ht="15.75" customHeight="1" x14ac:dyDescent="0.25">
      <c r="I891" s="388"/>
      <c r="J891" s="388"/>
      <c r="K891" s="388"/>
    </row>
    <row r="892" spans="9:11" ht="15.75" customHeight="1" x14ac:dyDescent="0.25">
      <c r="I892" s="388"/>
      <c r="J892" s="388"/>
      <c r="K892" s="388"/>
    </row>
    <row r="893" spans="9:11" ht="15.75" customHeight="1" x14ac:dyDescent="0.25">
      <c r="I893" s="388"/>
      <c r="J893" s="388"/>
      <c r="K893" s="388"/>
    </row>
    <row r="894" spans="9:11" ht="15.75" customHeight="1" x14ac:dyDescent="0.25">
      <c r="I894" s="388"/>
      <c r="J894" s="388"/>
      <c r="K894" s="388"/>
    </row>
    <row r="895" spans="9:11" ht="15.75" customHeight="1" x14ac:dyDescent="0.25">
      <c r="I895" s="388"/>
      <c r="J895" s="388"/>
      <c r="K895" s="388"/>
    </row>
    <row r="896" spans="9:11" ht="15.75" customHeight="1" x14ac:dyDescent="0.25">
      <c r="I896" s="388"/>
      <c r="J896" s="388"/>
      <c r="K896" s="388"/>
    </row>
    <row r="897" spans="9:11" ht="15.75" customHeight="1" x14ac:dyDescent="0.25">
      <c r="I897" s="388"/>
      <c r="J897" s="388"/>
      <c r="K897" s="388"/>
    </row>
    <row r="898" spans="9:11" ht="15.75" customHeight="1" x14ac:dyDescent="0.25">
      <c r="I898" s="388"/>
      <c r="J898" s="388"/>
      <c r="K898" s="388"/>
    </row>
    <row r="899" spans="9:11" ht="15.75" customHeight="1" x14ac:dyDescent="0.25">
      <c r="I899" s="388"/>
      <c r="J899" s="388"/>
      <c r="K899" s="388"/>
    </row>
    <row r="900" spans="9:11" ht="15.75" customHeight="1" x14ac:dyDescent="0.25">
      <c r="I900" s="388"/>
      <c r="J900" s="388"/>
      <c r="K900" s="388"/>
    </row>
    <row r="901" spans="9:11" ht="15.75" customHeight="1" x14ac:dyDescent="0.25">
      <c r="I901" s="388"/>
      <c r="J901" s="388"/>
      <c r="K901" s="388"/>
    </row>
    <row r="902" spans="9:11" ht="15.75" customHeight="1" x14ac:dyDescent="0.25">
      <c r="I902" s="388"/>
      <c r="J902" s="388"/>
      <c r="K902" s="388"/>
    </row>
    <row r="903" spans="9:11" ht="15.75" customHeight="1" x14ac:dyDescent="0.25">
      <c r="I903" s="388"/>
      <c r="J903" s="388"/>
      <c r="K903" s="388"/>
    </row>
    <row r="904" spans="9:11" ht="15.75" customHeight="1" x14ac:dyDescent="0.25">
      <c r="I904" s="388"/>
      <c r="J904" s="388"/>
      <c r="K904" s="388"/>
    </row>
    <row r="905" spans="9:11" ht="15.75" customHeight="1" x14ac:dyDescent="0.25">
      <c r="I905" s="388"/>
      <c r="J905" s="388"/>
      <c r="K905" s="388"/>
    </row>
    <row r="906" spans="9:11" ht="15.75" customHeight="1" x14ac:dyDescent="0.25">
      <c r="I906" s="388"/>
      <c r="J906" s="388"/>
      <c r="K906" s="388"/>
    </row>
    <row r="907" spans="9:11" ht="15.75" customHeight="1" x14ac:dyDescent="0.25">
      <c r="I907" s="388"/>
      <c r="J907" s="388"/>
      <c r="K907" s="388"/>
    </row>
    <row r="908" spans="9:11" ht="15.75" customHeight="1" x14ac:dyDescent="0.25">
      <c r="I908" s="388"/>
      <c r="J908" s="388"/>
      <c r="K908" s="388"/>
    </row>
    <row r="909" spans="9:11" ht="15.75" customHeight="1" x14ac:dyDescent="0.25">
      <c r="I909" s="388"/>
      <c r="J909" s="388"/>
      <c r="K909" s="388"/>
    </row>
    <row r="910" spans="9:11" ht="15.75" customHeight="1" x14ac:dyDescent="0.25">
      <c r="I910" s="388"/>
      <c r="J910" s="388"/>
      <c r="K910" s="388"/>
    </row>
    <row r="911" spans="9:11" ht="15.75" customHeight="1" x14ac:dyDescent="0.25">
      <c r="I911" s="388"/>
      <c r="J911" s="388"/>
      <c r="K911" s="388"/>
    </row>
    <row r="912" spans="9:11" ht="15.75" customHeight="1" x14ac:dyDescent="0.25">
      <c r="I912" s="388"/>
      <c r="J912" s="388"/>
      <c r="K912" s="388"/>
    </row>
    <row r="913" spans="9:11" ht="15.75" customHeight="1" x14ac:dyDescent="0.25">
      <c r="I913" s="388"/>
      <c r="J913" s="388"/>
      <c r="K913" s="388"/>
    </row>
    <row r="914" spans="9:11" ht="15.75" customHeight="1" x14ac:dyDescent="0.25">
      <c r="I914" s="388"/>
      <c r="J914" s="388"/>
      <c r="K914" s="388"/>
    </row>
    <row r="915" spans="9:11" ht="15.75" customHeight="1" x14ac:dyDescent="0.25">
      <c r="I915" s="388"/>
      <c r="J915" s="388"/>
      <c r="K915" s="388"/>
    </row>
    <row r="916" spans="9:11" ht="15.75" customHeight="1" x14ac:dyDescent="0.25">
      <c r="I916" s="388"/>
      <c r="J916" s="388"/>
      <c r="K916" s="388"/>
    </row>
    <row r="917" spans="9:11" ht="15.75" customHeight="1" x14ac:dyDescent="0.25">
      <c r="I917" s="388"/>
      <c r="J917" s="388"/>
      <c r="K917" s="388"/>
    </row>
    <row r="918" spans="9:11" ht="15.75" customHeight="1" x14ac:dyDescent="0.25">
      <c r="I918" s="388"/>
      <c r="J918" s="388"/>
      <c r="K918" s="388"/>
    </row>
    <row r="919" spans="9:11" ht="15.75" customHeight="1" x14ac:dyDescent="0.25">
      <c r="I919" s="388"/>
      <c r="J919" s="388"/>
      <c r="K919" s="388"/>
    </row>
    <row r="920" spans="9:11" ht="15.75" customHeight="1" x14ac:dyDescent="0.25">
      <c r="I920" s="388"/>
      <c r="J920" s="388"/>
      <c r="K920" s="388"/>
    </row>
    <row r="921" spans="9:11" ht="15.75" customHeight="1" x14ac:dyDescent="0.25">
      <c r="I921" s="388"/>
      <c r="J921" s="388"/>
      <c r="K921" s="388"/>
    </row>
    <row r="922" spans="9:11" ht="15.75" customHeight="1" x14ac:dyDescent="0.25">
      <c r="I922" s="388"/>
      <c r="J922" s="388"/>
      <c r="K922" s="388"/>
    </row>
    <row r="923" spans="9:11" ht="15.75" customHeight="1" x14ac:dyDescent="0.25">
      <c r="I923" s="388"/>
      <c r="J923" s="388"/>
      <c r="K923" s="388"/>
    </row>
    <row r="924" spans="9:11" ht="15.75" customHeight="1" x14ac:dyDescent="0.25">
      <c r="I924" s="388"/>
      <c r="J924" s="388"/>
      <c r="K924" s="388"/>
    </row>
    <row r="925" spans="9:11" ht="15.75" customHeight="1" x14ac:dyDescent="0.25">
      <c r="I925" s="388"/>
      <c r="J925" s="388"/>
      <c r="K925" s="388"/>
    </row>
    <row r="926" spans="9:11" ht="15.75" customHeight="1" x14ac:dyDescent="0.25">
      <c r="I926" s="388"/>
      <c r="J926" s="388"/>
      <c r="K926" s="388"/>
    </row>
    <row r="927" spans="9:11" ht="15.75" customHeight="1" x14ac:dyDescent="0.25">
      <c r="I927" s="388"/>
      <c r="J927" s="388"/>
      <c r="K927" s="388"/>
    </row>
    <row r="928" spans="9:11" ht="15.75" customHeight="1" x14ac:dyDescent="0.25">
      <c r="I928" s="388"/>
      <c r="J928" s="388"/>
      <c r="K928" s="388"/>
    </row>
    <row r="929" spans="9:11" ht="15.75" customHeight="1" x14ac:dyDescent="0.25">
      <c r="I929" s="388"/>
      <c r="J929" s="388"/>
      <c r="K929" s="388"/>
    </row>
    <row r="930" spans="9:11" ht="15.75" customHeight="1" x14ac:dyDescent="0.25">
      <c r="I930" s="388"/>
      <c r="J930" s="388"/>
      <c r="K930" s="388"/>
    </row>
    <row r="931" spans="9:11" ht="15.75" customHeight="1" x14ac:dyDescent="0.25">
      <c r="I931" s="388"/>
      <c r="J931" s="388"/>
      <c r="K931" s="388"/>
    </row>
    <row r="932" spans="9:11" ht="15.75" customHeight="1" x14ac:dyDescent="0.25">
      <c r="I932" s="388"/>
      <c r="J932" s="388"/>
      <c r="K932" s="388"/>
    </row>
    <row r="933" spans="9:11" ht="15.75" customHeight="1" x14ac:dyDescent="0.25">
      <c r="I933" s="388"/>
      <c r="J933" s="388"/>
      <c r="K933" s="388"/>
    </row>
    <row r="934" spans="9:11" ht="15.75" customHeight="1" x14ac:dyDescent="0.25">
      <c r="I934" s="388"/>
      <c r="J934" s="388"/>
      <c r="K934" s="388"/>
    </row>
    <row r="935" spans="9:11" ht="15.75" customHeight="1" x14ac:dyDescent="0.25">
      <c r="I935" s="388"/>
      <c r="J935" s="388"/>
      <c r="K935" s="388"/>
    </row>
    <row r="936" spans="9:11" ht="15.75" customHeight="1" x14ac:dyDescent="0.25">
      <c r="I936" s="388"/>
      <c r="J936" s="388"/>
      <c r="K936" s="388"/>
    </row>
    <row r="937" spans="9:11" ht="15.75" customHeight="1" x14ac:dyDescent="0.25">
      <c r="I937" s="388"/>
      <c r="J937" s="388"/>
      <c r="K937" s="388"/>
    </row>
    <row r="938" spans="9:11" ht="15.75" customHeight="1" x14ac:dyDescent="0.25">
      <c r="I938" s="388"/>
      <c r="J938" s="388"/>
      <c r="K938" s="388"/>
    </row>
    <row r="939" spans="9:11" ht="15.75" customHeight="1" x14ac:dyDescent="0.25">
      <c r="I939" s="388"/>
      <c r="J939" s="388"/>
      <c r="K939" s="388"/>
    </row>
    <row r="940" spans="9:11" ht="15.75" customHeight="1" x14ac:dyDescent="0.25">
      <c r="I940" s="388"/>
      <c r="J940" s="388"/>
      <c r="K940" s="388"/>
    </row>
    <row r="941" spans="9:11" ht="15.75" customHeight="1" x14ac:dyDescent="0.25">
      <c r="I941" s="388"/>
      <c r="J941" s="388"/>
      <c r="K941" s="388"/>
    </row>
    <row r="942" spans="9:11" ht="15.75" customHeight="1" x14ac:dyDescent="0.25">
      <c r="I942" s="388"/>
      <c r="J942" s="388"/>
      <c r="K942" s="388"/>
    </row>
    <row r="943" spans="9:11" ht="15.75" customHeight="1" x14ac:dyDescent="0.25">
      <c r="I943" s="388"/>
      <c r="J943" s="388"/>
      <c r="K943" s="388"/>
    </row>
    <row r="944" spans="9:11" ht="15.75" customHeight="1" x14ac:dyDescent="0.25">
      <c r="I944" s="388"/>
      <c r="J944" s="388"/>
      <c r="K944" s="388"/>
    </row>
    <row r="945" spans="9:11" ht="15.75" customHeight="1" x14ac:dyDescent="0.25">
      <c r="I945" s="388"/>
      <c r="J945" s="388"/>
      <c r="K945" s="388"/>
    </row>
    <row r="946" spans="9:11" ht="15.75" customHeight="1" x14ac:dyDescent="0.25">
      <c r="I946" s="388"/>
      <c r="J946" s="388"/>
      <c r="K946" s="388"/>
    </row>
    <row r="947" spans="9:11" ht="15.75" customHeight="1" x14ac:dyDescent="0.25">
      <c r="I947" s="388"/>
      <c r="J947" s="388"/>
      <c r="K947" s="388"/>
    </row>
    <row r="948" spans="9:11" ht="15.75" customHeight="1" x14ac:dyDescent="0.25">
      <c r="I948" s="388"/>
      <c r="J948" s="388"/>
      <c r="K948" s="388"/>
    </row>
    <row r="949" spans="9:11" ht="15.75" customHeight="1" x14ac:dyDescent="0.25">
      <c r="I949" s="388"/>
      <c r="J949" s="388"/>
      <c r="K949" s="388"/>
    </row>
    <row r="950" spans="9:11" ht="15.75" customHeight="1" x14ac:dyDescent="0.25">
      <c r="I950" s="388"/>
      <c r="J950" s="388"/>
      <c r="K950" s="388"/>
    </row>
    <row r="951" spans="9:11" ht="15.75" customHeight="1" x14ac:dyDescent="0.25">
      <c r="I951" s="388"/>
      <c r="J951" s="388"/>
      <c r="K951" s="388"/>
    </row>
    <row r="952" spans="9:11" ht="15.75" customHeight="1" x14ac:dyDescent="0.25">
      <c r="I952" s="388"/>
      <c r="J952" s="388"/>
      <c r="K952" s="388"/>
    </row>
    <row r="953" spans="9:11" ht="15.75" customHeight="1" x14ac:dyDescent="0.25">
      <c r="I953" s="388"/>
      <c r="J953" s="388"/>
      <c r="K953" s="388"/>
    </row>
    <row r="954" spans="9:11" ht="15.75" customHeight="1" x14ac:dyDescent="0.25">
      <c r="I954" s="388"/>
      <c r="J954" s="388"/>
      <c r="K954" s="388"/>
    </row>
    <row r="955" spans="9:11" ht="15.75" customHeight="1" x14ac:dyDescent="0.25">
      <c r="I955" s="388"/>
      <c r="J955" s="388"/>
      <c r="K955" s="388"/>
    </row>
    <row r="956" spans="9:11" ht="15.75" customHeight="1" x14ac:dyDescent="0.25">
      <c r="I956" s="388"/>
      <c r="J956" s="388"/>
      <c r="K956" s="388"/>
    </row>
    <row r="957" spans="9:11" ht="15.75" customHeight="1" x14ac:dyDescent="0.25">
      <c r="I957" s="388"/>
      <c r="J957" s="388"/>
      <c r="K957" s="388"/>
    </row>
    <row r="958" spans="9:11" ht="15.75" customHeight="1" x14ac:dyDescent="0.25">
      <c r="I958" s="388"/>
      <c r="J958" s="388"/>
      <c r="K958" s="388"/>
    </row>
    <row r="959" spans="9:11" ht="15.75" customHeight="1" x14ac:dyDescent="0.25">
      <c r="I959" s="388"/>
      <c r="J959" s="388"/>
      <c r="K959" s="388"/>
    </row>
    <row r="960" spans="9:11" ht="15.75" customHeight="1" x14ac:dyDescent="0.25">
      <c r="I960" s="388"/>
      <c r="J960" s="388"/>
      <c r="K960" s="388"/>
    </row>
    <row r="961" spans="9:11" ht="15.75" customHeight="1" x14ac:dyDescent="0.25">
      <c r="I961" s="388"/>
      <c r="J961" s="388"/>
      <c r="K961" s="388"/>
    </row>
    <row r="962" spans="9:11" ht="15.75" customHeight="1" x14ac:dyDescent="0.25">
      <c r="I962" s="388"/>
      <c r="J962" s="388"/>
      <c r="K962" s="388"/>
    </row>
    <row r="963" spans="9:11" ht="15.75" customHeight="1" x14ac:dyDescent="0.25">
      <c r="I963" s="388"/>
      <c r="J963" s="388"/>
      <c r="K963" s="388"/>
    </row>
    <row r="964" spans="9:11" ht="15.75" customHeight="1" x14ac:dyDescent="0.25">
      <c r="I964" s="388"/>
      <c r="J964" s="388"/>
      <c r="K964" s="388"/>
    </row>
    <row r="965" spans="9:11" ht="15.75" customHeight="1" x14ac:dyDescent="0.25">
      <c r="I965" s="388"/>
      <c r="J965" s="388"/>
      <c r="K965" s="388"/>
    </row>
    <row r="966" spans="9:11" ht="15.75" customHeight="1" x14ac:dyDescent="0.25">
      <c r="I966" s="388"/>
      <c r="J966" s="388"/>
      <c r="K966" s="388"/>
    </row>
    <row r="967" spans="9:11" ht="15.75" customHeight="1" x14ac:dyDescent="0.25">
      <c r="I967" s="388"/>
      <c r="J967" s="388"/>
      <c r="K967" s="388"/>
    </row>
    <row r="968" spans="9:11" ht="15.75" customHeight="1" x14ac:dyDescent="0.25">
      <c r="I968" s="388"/>
      <c r="J968" s="388"/>
      <c r="K968" s="388"/>
    </row>
    <row r="969" spans="9:11" ht="15.75" customHeight="1" x14ac:dyDescent="0.25">
      <c r="I969" s="388"/>
      <c r="J969" s="388"/>
      <c r="K969" s="388"/>
    </row>
    <row r="970" spans="9:11" ht="15.75" customHeight="1" x14ac:dyDescent="0.25">
      <c r="I970" s="388"/>
      <c r="J970" s="388"/>
      <c r="K970" s="388"/>
    </row>
    <row r="971" spans="9:11" ht="15.75" customHeight="1" x14ac:dyDescent="0.25">
      <c r="I971" s="388"/>
      <c r="J971" s="388"/>
      <c r="K971" s="388"/>
    </row>
    <row r="972" spans="9:11" ht="15.75" customHeight="1" x14ac:dyDescent="0.25">
      <c r="I972" s="388"/>
      <c r="J972" s="388"/>
      <c r="K972" s="388"/>
    </row>
    <row r="973" spans="9:11" ht="15.75" customHeight="1" x14ac:dyDescent="0.25">
      <c r="I973" s="388"/>
      <c r="J973" s="388"/>
      <c r="K973" s="388"/>
    </row>
    <row r="974" spans="9:11" ht="15.75" customHeight="1" x14ac:dyDescent="0.25">
      <c r="I974" s="388"/>
      <c r="J974" s="388"/>
      <c r="K974" s="388"/>
    </row>
    <row r="975" spans="9:11" ht="15.75" customHeight="1" x14ac:dyDescent="0.25">
      <c r="I975" s="388"/>
      <c r="J975" s="388"/>
      <c r="K975" s="388"/>
    </row>
    <row r="976" spans="9:11" ht="15.75" customHeight="1" x14ac:dyDescent="0.25">
      <c r="I976" s="388"/>
      <c r="J976" s="388"/>
      <c r="K976" s="388"/>
    </row>
    <row r="977" spans="9:11" ht="15.75" customHeight="1" x14ac:dyDescent="0.25">
      <c r="I977" s="388"/>
      <c r="J977" s="388"/>
      <c r="K977" s="388"/>
    </row>
    <row r="978" spans="9:11" ht="15.75" customHeight="1" x14ac:dyDescent="0.25">
      <c r="I978" s="388"/>
      <c r="J978" s="388"/>
      <c r="K978" s="388"/>
    </row>
    <row r="979" spans="9:11" ht="15.75" customHeight="1" x14ac:dyDescent="0.25">
      <c r="I979" s="388"/>
      <c r="J979" s="388"/>
      <c r="K979" s="388"/>
    </row>
    <row r="980" spans="9:11" ht="15.75" customHeight="1" x14ac:dyDescent="0.25">
      <c r="I980" s="388"/>
      <c r="J980" s="388"/>
      <c r="K980" s="388"/>
    </row>
    <row r="981" spans="9:11" ht="15.75" customHeight="1" x14ac:dyDescent="0.25">
      <c r="I981" s="388"/>
      <c r="J981" s="388"/>
      <c r="K981" s="388"/>
    </row>
    <row r="982" spans="9:11" ht="15.75" customHeight="1" x14ac:dyDescent="0.25">
      <c r="I982" s="388"/>
      <c r="J982" s="388"/>
      <c r="K982" s="388"/>
    </row>
    <row r="983" spans="9:11" ht="15.75" customHeight="1" x14ac:dyDescent="0.25">
      <c r="I983" s="388"/>
      <c r="J983" s="388"/>
      <c r="K983" s="388"/>
    </row>
    <row r="984" spans="9:11" ht="15.75" customHeight="1" x14ac:dyDescent="0.25">
      <c r="I984" s="388"/>
      <c r="J984" s="388"/>
      <c r="K984" s="388"/>
    </row>
    <row r="985" spans="9:11" ht="15.75" customHeight="1" x14ac:dyDescent="0.25">
      <c r="I985" s="388"/>
      <c r="J985" s="388"/>
      <c r="K985" s="388"/>
    </row>
    <row r="986" spans="9:11" ht="15.75" customHeight="1" x14ac:dyDescent="0.25">
      <c r="I986" s="388"/>
      <c r="J986" s="388"/>
      <c r="K986" s="388"/>
    </row>
    <row r="987" spans="9:11" ht="15.75" customHeight="1" x14ac:dyDescent="0.25">
      <c r="I987" s="388"/>
      <c r="J987" s="388"/>
      <c r="K987" s="388"/>
    </row>
    <row r="988" spans="9:11" ht="15.75" customHeight="1" x14ac:dyDescent="0.25">
      <c r="I988" s="388"/>
      <c r="J988" s="388"/>
      <c r="K988" s="388"/>
    </row>
    <row r="989" spans="9:11" ht="15.75" customHeight="1" x14ac:dyDescent="0.25">
      <c r="I989" s="388"/>
      <c r="J989" s="388"/>
      <c r="K989" s="388"/>
    </row>
    <row r="990" spans="9:11" ht="15.75" customHeight="1" x14ac:dyDescent="0.25">
      <c r="I990" s="388"/>
      <c r="J990" s="388"/>
      <c r="K990" s="388"/>
    </row>
    <row r="991" spans="9:11" ht="15.75" customHeight="1" x14ac:dyDescent="0.25">
      <c r="I991" s="388"/>
      <c r="J991" s="388"/>
      <c r="K991" s="388"/>
    </row>
    <row r="992" spans="9:11" ht="15.75" customHeight="1" x14ac:dyDescent="0.25">
      <c r="I992" s="388"/>
      <c r="J992" s="388"/>
      <c r="K992" s="388"/>
    </row>
    <row r="993" spans="9:11" ht="15.75" customHeight="1" x14ac:dyDescent="0.25">
      <c r="I993" s="388"/>
      <c r="J993" s="388"/>
      <c r="K993" s="388"/>
    </row>
    <row r="994" spans="9:11" ht="15.75" customHeight="1" x14ac:dyDescent="0.25">
      <c r="I994" s="388"/>
      <c r="J994" s="388"/>
      <c r="K994" s="388"/>
    </row>
    <row r="995" spans="9:11" ht="15.75" customHeight="1" x14ac:dyDescent="0.25">
      <c r="I995" s="388"/>
      <c r="J995" s="388"/>
      <c r="K995" s="388"/>
    </row>
    <row r="996" spans="9:11" ht="15.75" customHeight="1" x14ac:dyDescent="0.25">
      <c r="I996" s="388"/>
      <c r="J996" s="388"/>
      <c r="K996" s="388"/>
    </row>
    <row r="997" spans="9:11" ht="15.75" customHeight="1" x14ac:dyDescent="0.25">
      <c r="I997" s="388"/>
      <c r="J997" s="388"/>
      <c r="K997" s="388"/>
    </row>
    <row r="998" spans="9:11" ht="15.75" customHeight="1" x14ac:dyDescent="0.25">
      <c r="I998" s="388"/>
      <c r="J998" s="388"/>
      <c r="K998" s="388"/>
    </row>
    <row r="999" spans="9:11" ht="15.75" customHeight="1" x14ac:dyDescent="0.25">
      <c r="I999" s="388"/>
      <c r="J999" s="388"/>
      <c r="K999" s="388"/>
    </row>
    <row r="1000" spans="9:11" ht="15.75" customHeight="1" x14ac:dyDescent="0.25">
      <c r="I1000" s="388"/>
      <c r="J1000" s="388"/>
      <c r="K1000" s="388"/>
    </row>
    <row r="1001" spans="9:11" ht="15.75" customHeight="1" x14ac:dyDescent="0.25">
      <c r="I1001" s="388"/>
      <c r="J1001" s="388"/>
      <c r="K1001" s="388"/>
    </row>
    <row r="1002" spans="9:11" ht="15.75" customHeight="1" x14ac:dyDescent="0.25">
      <c r="I1002" s="388"/>
      <c r="J1002" s="388"/>
      <c r="K1002" s="388"/>
    </row>
    <row r="1003" spans="9:11" ht="15.75" customHeight="1" x14ac:dyDescent="0.25">
      <c r="I1003" s="388"/>
      <c r="J1003" s="388"/>
      <c r="K1003" s="388"/>
    </row>
    <row r="1004" spans="9:11" ht="15.75" customHeight="1" x14ac:dyDescent="0.25">
      <c r="I1004" s="388"/>
      <c r="J1004" s="388"/>
      <c r="K1004" s="388"/>
    </row>
    <row r="1005" spans="9:11" ht="15.75" customHeight="1" x14ac:dyDescent="0.25">
      <c r="I1005" s="388"/>
      <c r="J1005" s="388"/>
      <c r="K1005" s="388"/>
    </row>
    <row r="1006" spans="9:11" ht="15.75" customHeight="1" x14ac:dyDescent="0.25">
      <c r="I1006" s="388"/>
      <c r="J1006" s="388"/>
      <c r="K1006" s="388"/>
    </row>
    <row r="1007" spans="9:11" ht="15.75" customHeight="1" x14ac:dyDescent="0.25">
      <c r="I1007" s="388"/>
      <c r="J1007" s="388"/>
      <c r="K1007" s="388"/>
    </row>
    <row r="1008" spans="9:11" ht="15.75" customHeight="1" x14ac:dyDescent="0.25">
      <c r="I1008" s="388"/>
      <c r="J1008" s="388"/>
      <c r="K1008" s="388"/>
    </row>
    <row r="1009" spans="9:11" ht="15.75" customHeight="1" x14ac:dyDescent="0.25">
      <c r="I1009" s="388"/>
      <c r="J1009" s="388"/>
      <c r="K1009" s="388"/>
    </row>
    <row r="1010" spans="9:11" ht="15.75" customHeight="1" x14ac:dyDescent="0.25">
      <c r="I1010" s="388"/>
      <c r="J1010" s="388"/>
      <c r="K1010" s="388"/>
    </row>
    <row r="1011" spans="9:11" ht="15.75" customHeight="1" x14ac:dyDescent="0.25">
      <c r="I1011" s="388"/>
      <c r="J1011" s="388"/>
      <c r="K1011" s="388"/>
    </row>
    <row r="1012" spans="9:11" ht="15.75" customHeight="1" x14ac:dyDescent="0.25">
      <c r="I1012" s="388"/>
      <c r="J1012" s="388"/>
      <c r="K1012" s="388"/>
    </row>
    <row r="1013" spans="9:11" ht="15.75" customHeight="1" x14ac:dyDescent="0.25">
      <c r="I1013" s="388"/>
      <c r="J1013" s="388"/>
      <c r="K1013" s="388"/>
    </row>
    <row r="1014" spans="9:11" ht="15.75" customHeight="1" x14ac:dyDescent="0.25">
      <c r="I1014" s="388"/>
      <c r="J1014" s="388"/>
      <c r="K1014" s="388"/>
    </row>
    <row r="1015" spans="9:11" ht="15.75" customHeight="1" x14ac:dyDescent="0.25">
      <c r="I1015" s="388"/>
      <c r="J1015" s="388"/>
      <c r="K1015" s="388"/>
    </row>
    <row r="1016" spans="9:11" ht="15.75" customHeight="1" x14ac:dyDescent="0.25">
      <c r="I1016" s="388"/>
      <c r="J1016" s="388"/>
      <c r="K1016" s="388"/>
    </row>
    <row r="1017" spans="9:11" ht="15.75" customHeight="1" x14ac:dyDescent="0.25">
      <c r="I1017" s="388"/>
      <c r="J1017" s="388"/>
      <c r="K1017" s="388"/>
    </row>
    <row r="1018" spans="9:11" ht="15.75" customHeight="1" x14ac:dyDescent="0.25">
      <c r="I1018" s="388"/>
      <c r="J1018" s="388"/>
      <c r="K1018" s="388"/>
    </row>
    <row r="1019" spans="9:11" ht="15.75" customHeight="1" x14ac:dyDescent="0.25">
      <c r="I1019" s="388"/>
      <c r="J1019" s="388"/>
      <c r="K1019" s="388"/>
    </row>
    <row r="1020" spans="9:11" ht="15.75" customHeight="1" x14ac:dyDescent="0.25">
      <c r="I1020" s="388"/>
      <c r="J1020" s="388"/>
      <c r="K1020" s="388"/>
    </row>
    <row r="1021" spans="9:11" ht="15.75" customHeight="1" x14ac:dyDescent="0.25">
      <c r="I1021" s="388"/>
      <c r="J1021" s="388"/>
      <c r="K1021" s="388"/>
    </row>
    <row r="1022" spans="9:11" ht="15.75" customHeight="1" x14ac:dyDescent="0.25">
      <c r="I1022" s="388"/>
      <c r="J1022" s="388"/>
      <c r="K1022" s="388"/>
    </row>
    <row r="1023" spans="9:11" ht="15.75" customHeight="1" x14ac:dyDescent="0.25">
      <c r="I1023" s="388"/>
      <c r="J1023" s="388"/>
      <c r="K1023" s="388"/>
    </row>
    <row r="1024" spans="9:11" ht="15.75" customHeight="1" x14ac:dyDescent="0.25">
      <c r="I1024" s="388"/>
      <c r="J1024" s="388"/>
      <c r="K1024" s="388"/>
    </row>
    <row r="1025" spans="9:11" ht="15.75" customHeight="1" x14ac:dyDescent="0.25">
      <c r="I1025" s="388"/>
      <c r="J1025" s="388"/>
      <c r="K1025" s="388"/>
    </row>
    <row r="1026" spans="9:11" ht="15.75" customHeight="1" x14ac:dyDescent="0.25">
      <c r="I1026" s="388"/>
      <c r="J1026" s="388"/>
      <c r="K1026" s="388"/>
    </row>
    <row r="1027" spans="9:11" ht="15.75" customHeight="1" x14ac:dyDescent="0.25">
      <c r="I1027" s="388"/>
      <c r="J1027" s="388"/>
      <c r="K1027" s="388"/>
    </row>
    <row r="1028" spans="9:11" ht="15.75" customHeight="1" x14ac:dyDescent="0.25">
      <c r="I1028" s="388"/>
      <c r="J1028" s="388"/>
      <c r="K1028" s="388"/>
    </row>
    <row r="1029" spans="9:11" ht="15.75" customHeight="1" x14ac:dyDescent="0.25">
      <c r="I1029" s="388"/>
      <c r="J1029" s="388"/>
      <c r="K1029" s="388"/>
    </row>
    <row r="1030" spans="9:11" ht="15.75" customHeight="1" x14ac:dyDescent="0.25">
      <c r="I1030" s="388"/>
      <c r="J1030" s="388"/>
      <c r="K1030" s="388"/>
    </row>
    <row r="1031" spans="9:11" ht="15.75" customHeight="1" x14ac:dyDescent="0.25">
      <c r="I1031" s="388"/>
      <c r="J1031" s="388"/>
      <c r="K1031" s="388"/>
    </row>
    <row r="1032" spans="9:11" ht="15.75" customHeight="1" x14ac:dyDescent="0.25">
      <c r="I1032" s="388"/>
      <c r="J1032" s="388"/>
      <c r="K1032" s="388"/>
    </row>
    <row r="1033" spans="9:11" ht="15.75" customHeight="1" x14ac:dyDescent="0.25">
      <c r="I1033" s="388"/>
      <c r="J1033" s="388"/>
      <c r="K1033" s="388"/>
    </row>
    <row r="1034" spans="9:11" ht="15.75" customHeight="1" x14ac:dyDescent="0.25">
      <c r="I1034" s="388"/>
      <c r="J1034" s="388"/>
      <c r="K1034" s="388"/>
    </row>
    <row r="1035" spans="9:11" ht="15.75" customHeight="1" x14ac:dyDescent="0.25">
      <c r="I1035" s="388"/>
      <c r="J1035" s="388"/>
      <c r="K1035" s="388"/>
    </row>
    <row r="1036" spans="9:11" ht="15.75" customHeight="1" x14ac:dyDescent="0.25">
      <c r="I1036" s="388"/>
      <c r="J1036" s="388"/>
      <c r="K1036" s="388"/>
    </row>
    <row r="1037" spans="9:11" ht="15.75" customHeight="1" x14ac:dyDescent="0.25">
      <c r="I1037" s="388"/>
      <c r="J1037" s="388"/>
      <c r="K1037" s="388"/>
    </row>
    <row r="1038" spans="9:11" ht="15.75" customHeight="1" x14ac:dyDescent="0.25">
      <c r="I1038" s="388"/>
      <c r="J1038" s="388"/>
      <c r="K1038" s="388"/>
    </row>
    <row r="1039" spans="9:11" ht="15.75" customHeight="1" x14ac:dyDescent="0.25">
      <c r="I1039" s="388"/>
      <c r="J1039" s="388"/>
      <c r="K1039" s="388"/>
    </row>
    <row r="1040" spans="9:11" ht="15.75" customHeight="1" x14ac:dyDescent="0.25">
      <c r="I1040" s="388"/>
      <c r="J1040" s="388"/>
      <c r="K1040" s="388"/>
    </row>
    <row r="1041" spans="9:11" ht="15.75" customHeight="1" x14ac:dyDescent="0.25">
      <c r="I1041" s="388"/>
      <c r="J1041" s="388"/>
      <c r="K1041" s="388"/>
    </row>
    <row r="1042" spans="9:11" ht="15.75" customHeight="1" x14ac:dyDescent="0.25">
      <c r="I1042" s="388"/>
      <c r="J1042" s="388"/>
      <c r="K1042" s="388"/>
    </row>
    <row r="1043" spans="9:11" ht="15.75" customHeight="1" x14ac:dyDescent="0.25">
      <c r="I1043" s="388"/>
      <c r="J1043" s="388"/>
      <c r="K1043" s="388"/>
    </row>
    <row r="1044" spans="9:11" ht="15.75" customHeight="1" x14ac:dyDescent="0.25">
      <c r="I1044" s="388"/>
      <c r="J1044" s="388"/>
      <c r="K1044" s="388"/>
    </row>
    <row r="1045" spans="9:11" ht="15.75" customHeight="1" x14ac:dyDescent="0.25">
      <c r="I1045" s="388"/>
      <c r="J1045" s="388"/>
      <c r="K1045" s="388"/>
    </row>
    <row r="1046" spans="9:11" ht="15.75" customHeight="1" x14ac:dyDescent="0.25">
      <c r="I1046" s="388"/>
      <c r="J1046" s="388"/>
      <c r="K1046" s="388"/>
    </row>
    <row r="1047" spans="9:11" ht="15.75" customHeight="1" x14ac:dyDescent="0.25">
      <c r="I1047" s="388"/>
      <c r="J1047" s="388"/>
      <c r="K1047" s="388"/>
    </row>
    <row r="1048" spans="9:11" ht="15.75" customHeight="1" x14ac:dyDescent="0.25">
      <c r="I1048" s="388"/>
      <c r="J1048" s="388"/>
      <c r="K1048" s="388"/>
    </row>
    <row r="1049" spans="9:11" ht="15.75" customHeight="1" x14ac:dyDescent="0.25">
      <c r="I1049" s="388"/>
      <c r="J1049" s="388"/>
      <c r="K1049" s="388"/>
    </row>
    <row r="1050" spans="9:11" ht="15.75" customHeight="1" x14ac:dyDescent="0.25">
      <c r="I1050" s="388"/>
      <c r="J1050" s="388"/>
      <c r="K1050" s="388"/>
    </row>
    <row r="1051" spans="9:11" ht="15.75" customHeight="1" x14ac:dyDescent="0.25">
      <c r="I1051" s="388"/>
      <c r="J1051" s="388"/>
      <c r="K1051" s="388"/>
    </row>
    <row r="1052" spans="9:11" ht="15.75" customHeight="1" x14ac:dyDescent="0.25">
      <c r="I1052" s="388"/>
      <c r="J1052" s="388"/>
      <c r="K1052" s="388"/>
    </row>
    <row r="1053" spans="9:11" ht="15.75" customHeight="1" x14ac:dyDescent="0.25">
      <c r="I1053" s="388"/>
      <c r="J1053" s="388"/>
      <c r="K1053" s="388"/>
    </row>
    <row r="1054" spans="9:11" ht="15.75" customHeight="1" x14ac:dyDescent="0.25">
      <c r="I1054" s="388"/>
      <c r="J1054" s="388"/>
      <c r="K1054" s="388"/>
    </row>
    <row r="1055" spans="9:11" ht="15.75" customHeight="1" x14ac:dyDescent="0.25">
      <c r="I1055" s="388"/>
      <c r="J1055" s="388"/>
      <c r="K1055" s="388"/>
    </row>
    <row r="1056" spans="9:11" ht="15.75" customHeight="1" x14ac:dyDescent="0.25">
      <c r="I1056" s="388"/>
      <c r="J1056" s="388"/>
      <c r="K1056" s="388"/>
    </row>
    <row r="1057" spans="9:11" ht="15.75" customHeight="1" x14ac:dyDescent="0.25">
      <c r="I1057" s="388"/>
      <c r="J1057" s="388"/>
      <c r="K1057" s="388"/>
    </row>
    <row r="1058" spans="9:11" ht="15.75" customHeight="1" x14ac:dyDescent="0.25">
      <c r="I1058" s="388"/>
      <c r="J1058" s="388"/>
      <c r="K1058" s="388"/>
    </row>
    <row r="1059" spans="9:11" ht="15.75" customHeight="1" x14ac:dyDescent="0.25">
      <c r="I1059" s="388"/>
      <c r="J1059" s="388"/>
      <c r="K1059" s="388"/>
    </row>
    <row r="1060" spans="9:11" ht="15.75" customHeight="1" x14ac:dyDescent="0.25">
      <c r="I1060" s="388"/>
      <c r="J1060" s="388"/>
      <c r="K1060" s="388"/>
    </row>
    <row r="1061" spans="9:11" ht="15.75" customHeight="1" x14ac:dyDescent="0.25">
      <c r="I1061" s="388"/>
      <c r="J1061" s="388"/>
      <c r="K1061" s="388"/>
    </row>
    <row r="1062" spans="9:11" ht="15.75" customHeight="1" x14ac:dyDescent="0.25">
      <c r="I1062" s="388"/>
      <c r="J1062" s="388"/>
      <c r="K1062" s="388"/>
    </row>
    <row r="1063" spans="9:11" ht="15.75" customHeight="1" x14ac:dyDescent="0.25">
      <c r="I1063" s="388"/>
      <c r="J1063" s="388"/>
      <c r="K1063" s="388"/>
    </row>
    <row r="1064" spans="9:11" ht="15.75" customHeight="1" x14ac:dyDescent="0.25">
      <c r="I1064" s="388"/>
      <c r="J1064" s="388"/>
      <c r="K1064" s="388"/>
    </row>
    <row r="1065" spans="9:11" ht="15.75" customHeight="1" x14ac:dyDescent="0.25">
      <c r="I1065" s="388"/>
      <c r="J1065" s="388"/>
      <c r="K1065" s="388"/>
    </row>
    <row r="1066" spans="9:11" ht="15.75" customHeight="1" x14ac:dyDescent="0.25">
      <c r="I1066" s="388"/>
      <c r="J1066" s="388"/>
      <c r="K1066" s="388"/>
    </row>
    <row r="1067" spans="9:11" ht="15.75" customHeight="1" x14ac:dyDescent="0.25">
      <c r="I1067" s="388"/>
      <c r="J1067" s="388"/>
      <c r="K1067" s="388"/>
    </row>
    <row r="1068" spans="9:11" ht="15.75" customHeight="1" x14ac:dyDescent="0.25">
      <c r="I1068" s="388"/>
      <c r="J1068" s="388"/>
      <c r="K1068" s="388"/>
    </row>
    <row r="1069" spans="9:11" ht="15.75" customHeight="1" x14ac:dyDescent="0.25">
      <c r="I1069" s="388"/>
      <c r="J1069" s="388"/>
      <c r="K1069" s="388"/>
    </row>
    <row r="1070" spans="9:11" ht="15.75" customHeight="1" x14ac:dyDescent="0.25">
      <c r="I1070" s="388"/>
      <c r="J1070" s="388"/>
      <c r="K1070" s="388"/>
    </row>
    <row r="1071" spans="9:11" ht="15.75" customHeight="1" x14ac:dyDescent="0.25">
      <c r="I1071" s="388"/>
      <c r="J1071" s="388"/>
      <c r="K1071" s="388"/>
    </row>
    <row r="1072" spans="9:11" ht="15.75" customHeight="1" x14ac:dyDescent="0.25">
      <c r="I1072" s="388"/>
      <c r="J1072" s="388"/>
      <c r="K1072" s="388"/>
    </row>
    <row r="1073" spans="9:11" ht="15.75" customHeight="1" x14ac:dyDescent="0.25">
      <c r="I1073" s="388"/>
      <c r="J1073" s="388"/>
      <c r="K1073" s="388"/>
    </row>
    <row r="1074" spans="9:11" ht="15.75" customHeight="1" x14ac:dyDescent="0.25">
      <c r="I1074" s="388"/>
      <c r="J1074" s="388"/>
      <c r="K1074" s="388"/>
    </row>
    <row r="1075" spans="9:11" ht="15.75" customHeight="1" x14ac:dyDescent="0.25">
      <c r="I1075" s="388"/>
      <c r="J1075" s="388"/>
      <c r="K1075" s="388"/>
    </row>
    <row r="1076" spans="9:11" ht="15.75" customHeight="1" x14ac:dyDescent="0.25">
      <c r="I1076" s="388"/>
      <c r="J1076" s="388"/>
      <c r="K1076" s="388"/>
    </row>
    <row r="1077" spans="9:11" ht="15.75" customHeight="1" x14ac:dyDescent="0.25">
      <c r="I1077" s="388"/>
      <c r="J1077" s="388"/>
      <c r="K1077" s="388"/>
    </row>
    <row r="1078" spans="9:11" ht="15.75" customHeight="1" x14ac:dyDescent="0.25">
      <c r="I1078" s="388"/>
      <c r="J1078" s="388"/>
      <c r="K1078" s="388"/>
    </row>
    <row r="1079" spans="9:11" ht="15.75" customHeight="1" x14ac:dyDescent="0.25">
      <c r="I1079" s="388"/>
      <c r="J1079" s="388"/>
      <c r="K1079" s="388"/>
    </row>
    <row r="1080" spans="9:11" ht="15.75" customHeight="1" x14ac:dyDescent="0.25">
      <c r="I1080" s="388"/>
      <c r="J1080" s="388"/>
      <c r="K1080" s="388"/>
    </row>
    <row r="1081" spans="9:11" ht="15.75" customHeight="1" x14ac:dyDescent="0.25">
      <c r="I1081" s="388"/>
      <c r="J1081" s="388"/>
      <c r="K1081" s="388"/>
    </row>
    <row r="1082" spans="9:11" ht="15.75" customHeight="1" x14ac:dyDescent="0.25">
      <c r="I1082" s="388"/>
      <c r="J1082" s="388"/>
      <c r="K1082" s="388"/>
    </row>
    <row r="1083" spans="9:11" ht="15.75" customHeight="1" x14ac:dyDescent="0.25">
      <c r="I1083" s="388"/>
      <c r="J1083" s="388"/>
      <c r="K1083" s="388"/>
    </row>
    <row r="1084" spans="9:11" ht="15.75" customHeight="1" x14ac:dyDescent="0.25">
      <c r="I1084" s="388"/>
      <c r="J1084" s="388"/>
      <c r="K1084" s="388"/>
    </row>
    <row r="1085" spans="9:11" ht="15.75" customHeight="1" x14ac:dyDescent="0.25">
      <c r="I1085" s="388"/>
      <c r="J1085" s="388"/>
      <c r="K1085" s="388"/>
    </row>
    <row r="1086" spans="9:11" ht="15.75" customHeight="1" x14ac:dyDescent="0.25">
      <c r="I1086" s="388"/>
      <c r="J1086" s="388"/>
      <c r="K1086" s="388"/>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2" fitToHeight="0" orientation="portrait" r:id="rId1"/>
  <rowBreaks count="1" manualBreakCount="1">
    <brk id="115"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734"/>
  <sheetViews>
    <sheetView view="pageBreakPreview" zoomScale="130" zoomScaleNormal="100" zoomScaleSheetLayoutView="130" workbookViewId="0">
      <selection activeCell="A146" sqref="A146"/>
    </sheetView>
  </sheetViews>
  <sheetFormatPr defaultColWidth="14.42578125" defaultRowHeight="15" customHeight="1" x14ac:dyDescent="0.25"/>
  <cols>
    <col min="1" max="1" width="75.140625" customWidth="1"/>
    <col min="2" max="2" width="14.42578125" customWidth="1"/>
    <col min="3" max="6" width="16.7109375" hidden="1" customWidth="1"/>
    <col min="7" max="7" width="16.7109375" customWidth="1"/>
    <col min="8" max="8" width="12.28515625" customWidth="1"/>
    <col min="9" max="9" width="10.28515625" customWidth="1"/>
    <col min="10" max="10" width="11.5703125" customWidth="1"/>
    <col min="11" max="11" width="11.85546875" customWidth="1"/>
    <col min="12" max="26" width="10.28515625" customWidth="1"/>
  </cols>
  <sheetData>
    <row r="1" spans="1:26" ht="15" customHeight="1" x14ac:dyDescent="0.25">
      <c r="A1" s="15"/>
      <c r="B1" s="103"/>
      <c r="C1" s="24"/>
      <c r="D1" s="24"/>
      <c r="E1" s="15"/>
      <c r="F1" s="15"/>
      <c r="G1" s="24"/>
      <c r="H1" s="270"/>
      <c r="K1" s="397"/>
    </row>
    <row r="2" spans="1:26" ht="15.75" customHeight="1" x14ac:dyDescent="0.25">
      <c r="A2" s="9"/>
      <c r="B2" s="104"/>
      <c r="C2" s="105"/>
      <c r="D2" s="105"/>
      <c r="E2" s="105"/>
      <c r="F2" s="10"/>
      <c r="G2" s="180"/>
      <c r="H2" s="269"/>
      <c r="I2" s="15"/>
      <c r="J2" s="15"/>
      <c r="K2" s="398"/>
      <c r="L2" s="15"/>
      <c r="M2" s="15"/>
      <c r="N2" s="15"/>
      <c r="O2" s="15"/>
      <c r="P2" s="15"/>
      <c r="Q2" s="15"/>
      <c r="R2" s="15"/>
      <c r="S2" s="15"/>
      <c r="T2" s="15"/>
      <c r="U2" s="15"/>
      <c r="V2" s="15"/>
      <c r="W2" s="15"/>
      <c r="X2" s="15"/>
      <c r="Y2" s="15"/>
      <c r="Z2" s="15"/>
    </row>
    <row r="3" spans="1:26" ht="15.75" customHeight="1" x14ac:dyDescent="0.25">
      <c r="A3" s="17" t="s">
        <v>489</v>
      </c>
      <c r="B3" s="25"/>
      <c r="C3" s="24"/>
      <c r="D3" s="24"/>
      <c r="E3" s="24"/>
      <c r="F3" s="15"/>
      <c r="G3" s="181"/>
      <c r="H3" s="269"/>
      <c r="I3" s="15"/>
      <c r="J3" s="15"/>
      <c r="K3" s="398"/>
      <c r="L3" s="15"/>
      <c r="M3" s="15"/>
      <c r="N3" s="15"/>
      <c r="O3" s="15"/>
      <c r="P3" s="15"/>
      <c r="Q3" s="15"/>
      <c r="R3" s="15"/>
      <c r="S3" s="15"/>
      <c r="T3" s="15"/>
      <c r="U3" s="15"/>
      <c r="V3" s="15"/>
      <c r="W3" s="15"/>
      <c r="X3" s="15"/>
      <c r="Y3" s="15"/>
      <c r="Z3" s="15"/>
    </row>
    <row r="4" spans="1:26" ht="15.75" customHeight="1" x14ac:dyDescent="0.25">
      <c r="A4" s="17"/>
      <c r="B4" s="25"/>
      <c r="C4" s="24"/>
      <c r="D4" s="24"/>
      <c r="E4" s="24"/>
      <c r="F4" s="15"/>
      <c r="G4" s="181"/>
      <c r="H4" s="269"/>
      <c r="I4" s="15"/>
      <c r="J4" s="15"/>
      <c r="K4" s="398"/>
      <c r="L4" s="15"/>
      <c r="M4" s="15"/>
      <c r="N4" s="15"/>
      <c r="O4" s="15"/>
      <c r="P4" s="15"/>
      <c r="Q4" s="15"/>
      <c r="R4" s="15"/>
      <c r="S4" s="15"/>
      <c r="T4" s="15"/>
      <c r="U4" s="15"/>
      <c r="V4" s="15"/>
      <c r="W4" s="15"/>
      <c r="X4" s="15"/>
      <c r="Y4" s="15"/>
      <c r="Z4" s="15"/>
    </row>
    <row r="5" spans="1:26" ht="15.75" customHeight="1" x14ac:dyDescent="0.25">
      <c r="A5" s="108" t="s">
        <v>2364</v>
      </c>
      <c r="B5" s="25"/>
      <c r="C5" s="26"/>
      <c r="D5" s="26"/>
      <c r="E5" s="26"/>
      <c r="F5" s="14"/>
      <c r="G5" s="181"/>
      <c r="H5" s="269"/>
      <c r="I5" s="15"/>
      <c r="J5" s="15"/>
      <c r="K5" s="398"/>
      <c r="L5" s="15"/>
      <c r="M5" s="15"/>
      <c r="N5" s="15"/>
      <c r="O5" s="15"/>
      <c r="P5" s="15"/>
      <c r="Q5" s="15"/>
      <c r="R5" s="15"/>
      <c r="S5" s="15"/>
      <c r="T5" s="15"/>
      <c r="U5" s="15"/>
      <c r="V5" s="15"/>
      <c r="W5" s="15"/>
      <c r="X5" s="15"/>
      <c r="Y5" s="15"/>
      <c r="Z5" s="15"/>
    </row>
    <row r="6" spans="1:26" ht="15.75" customHeight="1" x14ac:dyDescent="0.25">
      <c r="A6" s="108"/>
      <c r="B6" s="25"/>
      <c r="C6" s="26"/>
      <c r="D6" s="26"/>
      <c r="E6" s="26"/>
      <c r="F6" s="14"/>
      <c r="G6" s="181"/>
      <c r="H6" s="269"/>
      <c r="I6" s="15"/>
      <c r="J6" s="15"/>
      <c r="K6" s="398"/>
      <c r="L6" s="15"/>
      <c r="M6" s="15"/>
      <c r="N6" s="15"/>
      <c r="O6" s="15"/>
      <c r="P6" s="15"/>
      <c r="Q6" s="15"/>
      <c r="R6" s="15"/>
      <c r="S6" s="15"/>
      <c r="T6" s="15"/>
      <c r="U6" s="15"/>
      <c r="V6" s="15"/>
      <c r="W6" s="15"/>
      <c r="X6" s="15"/>
      <c r="Y6" s="15"/>
      <c r="Z6" s="15"/>
    </row>
    <row r="7" spans="1:26" ht="15.75" customHeight="1" x14ac:dyDescent="0.25">
      <c r="A7" s="865" t="s">
        <v>352</v>
      </c>
      <c r="B7" s="866"/>
      <c r="C7" s="866"/>
      <c r="D7" s="866"/>
      <c r="E7" s="866"/>
      <c r="F7" s="866"/>
      <c r="G7" s="867"/>
      <c r="H7" s="269"/>
      <c r="I7" s="15"/>
      <c r="J7" s="15"/>
      <c r="K7" s="398"/>
      <c r="L7" s="15"/>
      <c r="M7" s="15"/>
      <c r="N7" s="15"/>
      <c r="O7" s="15"/>
      <c r="P7" s="15"/>
      <c r="Q7" s="15"/>
      <c r="R7" s="15"/>
      <c r="S7" s="15"/>
      <c r="T7" s="15"/>
      <c r="U7" s="15"/>
      <c r="V7" s="15"/>
      <c r="W7" s="15"/>
      <c r="X7" s="15"/>
      <c r="Y7" s="15"/>
      <c r="Z7" s="15"/>
    </row>
    <row r="8" spans="1:26" ht="15.75" customHeight="1" x14ac:dyDescent="0.25">
      <c r="A8" s="868" t="s">
        <v>1194</v>
      </c>
      <c r="B8" s="857" t="s">
        <v>354</v>
      </c>
      <c r="C8" s="870" t="s">
        <v>355</v>
      </c>
      <c r="D8" s="872" t="s">
        <v>356</v>
      </c>
      <c r="E8" s="873"/>
      <c r="F8" s="874"/>
      <c r="G8" s="857" t="s">
        <v>357</v>
      </c>
      <c r="H8" s="269"/>
      <c r="I8" s="15"/>
      <c r="J8" s="15"/>
      <c r="K8" s="398"/>
      <c r="L8" s="15"/>
      <c r="M8" s="15"/>
      <c r="N8" s="15"/>
      <c r="O8" s="15"/>
      <c r="P8" s="15"/>
      <c r="Q8" s="15"/>
      <c r="R8" s="15"/>
      <c r="S8" s="15"/>
      <c r="T8" s="15"/>
      <c r="U8" s="15"/>
      <c r="V8" s="15"/>
      <c r="W8" s="15"/>
      <c r="X8" s="15"/>
      <c r="Y8" s="15"/>
      <c r="Z8" s="15"/>
    </row>
    <row r="9" spans="1:26" ht="15.75" customHeight="1" x14ac:dyDescent="0.25">
      <c r="A9" s="858"/>
      <c r="B9" s="858"/>
      <c r="C9" s="871"/>
      <c r="D9" s="28" t="s">
        <v>358</v>
      </c>
      <c r="E9" s="29" t="s">
        <v>359</v>
      </c>
      <c r="F9" s="875" t="s">
        <v>360</v>
      </c>
      <c r="G9" s="858"/>
      <c r="H9" s="269"/>
      <c r="I9" s="15"/>
      <c r="J9" s="15"/>
      <c r="K9" s="398"/>
      <c r="L9" s="15"/>
      <c r="M9" s="15"/>
      <c r="N9" s="15"/>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60"/>
      <c r="G10" s="442" t="s">
        <v>2669</v>
      </c>
      <c r="H10" s="269"/>
      <c r="I10" s="15"/>
      <c r="J10" s="15"/>
      <c r="K10" s="398"/>
      <c r="L10" s="15"/>
      <c r="M10" s="15"/>
      <c r="N10" s="15"/>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269"/>
      <c r="I11" s="15"/>
      <c r="J11" s="15"/>
      <c r="K11" s="398"/>
      <c r="L11" s="15"/>
      <c r="M11" s="15"/>
      <c r="N11" s="15"/>
      <c r="O11" s="15"/>
      <c r="P11" s="15"/>
      <c r="Q11" s="15"/>
      <c r="R11" s="15"/>
      <c r="S11" s="15"/>
      <c r="T11" s="15"/>
      <c r="U11" s="15"/>
      <c r="V11" s="15"/>
      <c r="W11" s="15"/>
      <c r="X11" s="15"/>
      <c r="Y11" s="15"/>
      <c r="Z11" s="15"/>
    </row>
    <row r="12" spans="1:26" ht="15.75" customHeight="1" x14ac:dyDescent="0.25">
      <c r="A12" s="17" t="s">
        <v>364</v>
      </c>
      <c r="B12" s="172"/>
      <c r="C12" s="42"/>
      <c r="D12" s="42"/>
      <c r="E12" s="42"/>
      <c r="F12" s="42"/>
      <c r="G12" s="42"/>
      <c r="H12" s="270"/>
      <c r="K12" s="397"/>
    </row>
    <row r="13" spans="1:26" ht="15.75" customHeight="1" x14ac:dyDescent="0.25">
      <c r="A13" s="42" t="s">
        <v>1463</v>
      </c>
      <c r="B13" s="172"/>
      <c r="C13" s="42"/>
      <c r="D13" s="42"/>
      <c r="E13" s="42"/>
      <c r="F13" s="42"/>
      <c r="G13" s="42"/>
      <c r="H13" s="270"/>
      <c r="K13" s="397"/>
    </row>
    <row r="14" spans="1:26" ht="15.75" customHeight="1" x14ac:dyDescent="0.25">
      <c r="A14" s="227" t="s">
        <v>499</v>
      </c>
      <c r="B14" s="41"/>
      <c r="C14" s="41"/>
      <c r="D14" s="41"/>
      <c r="E14" s="20"/>
      <c r="F14" s="41"/>
      <c r="G14" s="49"/>
      <c r="H14" s="270"/>
      <c r="K14" s="397"/>
    </row>
    <row r="15" spans="1:26" ht="15.75" customHeight="1" x14ac:dyDescent="0.25">
      <c r="A15" s="48" t="s">
        <v>399</v>
      </c>
      <c r="B15" s="41" t="s">
        <v>211</v>
      </c>
      <c r="C15" s="43">
        <v>24983687.280000001</v>
      </c>
      <c r="D15" s="43">
        <v>12657177.51</v>
      </c>
      <c r="E15" s="43">
        <f t="shared" ref="E15:E16" si="0">F15-D15</f>
        <v>12657178.49</v>
      </c>
      <c r="F15" s="43">
        <v>25314356</v>
      </c>
      <c r="G15" s="165">
        <v>30050979</v>
      </c>
      <c r="H15" s="270"/>
      <c r="K15" s="397"/>
    </row>
    <row r="16" spans="1:26" ht="15.75" customHeight="1" x14ac:dyDescent="0.25">
      <c r="A16" s="44" t="s">
        <v>402</v>
      </c>
      <c r="B16" s="41" t="s">
        <v>225</v>
      </c>
      <c r="C16" s="43">
        <v>6812375.6900000004</v>
      </c>
      <c r="D16" s="43">
        <v>3673927</v>
      </c>
      <c r="E16" s="43">
        <f t="shared" si="0"/>
        <v>5606202</v>
      </c>
      <c r="F16" s="43">
        <v>9280129</v>
      </c>
      <c r="G16" s="43">
        <v>8402960</v>
      </c>
      <c r="H16" s="270"/>
      <c r="K16" s="397"/>
    </row>
    <row r="17" spans="1:11" ht="15.75" customHeight="1" x14ac:dyDescent="0.25">
      <c r="A17" s="161" t="s">
        <v>2365</v>
      </c>
      <c r="B17" s="41"/>
      <c r="C17" s="43"/>
      <c r="D17" s="43"/>
      <c r="E17" s="43"/>
      <c r="F17" s="43"/>
      <c r="G17" s="43"/>
      <c r="H17" s="270"/>
      <c r="K17" s="397"/>
    </row>
    <row r="18" spans="1:11" ht="15.75" customHeight="1" x14ac:dyDescent="0.25">
      <c r="A18" s="96" t="s">
        <v>2366</v>
      </c>
      <c r="B18" s="41"/>
      <c r="C18" s="43"/>
      <c r="D18" s="43"/>
      <c r="E18" s="43"/>
      <c r="F18" s="43"/>
      <c r="G18" s="43"/>
      <c r="H18" s="270"/>
      <c r="K18" s="397"/>
    </row>
    <row r="19" spans="1:11" ht="15.75" customHeight="1" x14ac:dyDescent="0.25">
      <c r="A19" s="96" t="s">
        <v>2367</v>
      </c>
      <c r="B19" s="41"/>
      <c r="C19" s="43"/>
      <c r="D19" s="43"/>
      <c r="E19" s="43"/>
      <c r="F19" s="43"/>
      <c r="G19" s="43"/>
      <c r="H19" s="270"/>
      <c r="K19" s="397"/>
    </row>
    <row r="20" spans="1:11" ht="15.75" customHeight="1" x14ac:dyDescent="0.25">
      <c r="A20" s="96" t="s">
        <v>2368</v>
      </c>
      <c r="B20" s="41"/>
      <c r="C20" s="43"/>
      <c r="D20" s="43"/>
      <c r="E20" s="43"/>
      <c r="F20" s="43"/>
      <c r="G20" s="43"/>
      <c r="H20" s="270"/>
      <c r="K20" s="397"/>
    </row>
    <row r="21" spans="1:11" ht="15.75" customHeight="1" x14ac:dyDescent="0.25">
      <c r="A21" s="161" t="s">
        <v>424</v>
      </c>
      <c r="B21" s="41"/>
      <c r="C21" s="43"/>
      <c r="D21" s="43"/>
      <c r="E21" s="43"/>
      <c r="F21" s="43"/>
      <c r="G21" s="43"/>
      <c r="H21" s="270"/>
      <c r="K21" s="397"/>
    </row>
    <row r="22" spans="1:11" ht="15.75" customHeight="1" x14ac:dyDescent="0.25">
      <c r="A22" s="48" t="s">
        <v>424</v>
      </c>
      <c r="B22" s="41" t="s">
        <v>335</v>
      </c>
      <c r="C22" s="43">
        <v>5472304</v>
      </c>
      <c r="D22" s="43">
        <v>2419805</v>
      </c>
      <c r="E22" s="43">
        <f>+F22-D22</f>
        <v>3840449</v>
      </c>
      <c r="F22" s="43">
        <v>6260254</v>
      </c>
      <c r="G22" s="43">
        <v>9034536</v>
      </c>
      <c r="H22" s="270">
        <f>SUM(K24:K40)</f>
        <v>9034536</v>
      </c>
      <c r="K22" s="397"/>
    </row>
    <row r="23" spans="1:11" ht="15.75" customHeight="1" x14ac:dyDescent="0.25">
      <c r="A23" s="17" t="s">
        <v>2369</v>
      </c>
      <c r="B23" s="41"/>
      <c r="C23" s="43"/>
      <c r="D23" s="43"/>
      <c r="E23" s="43"/>
      <c r="F23" s="43"/>
      <c r="G23" s="43"/>
      <c r="H23" s="270"/>
      <c r="K23" s="397"/>
    </row>
    <row r="24" spans="1:11" ht="15.75" customHeight="1" x14ac:dyDescent="0.25">
      <c r="A24" s="48" t="s">
        <v>2290</v>
      </c>
      <c r="B24" s="41"/>
      <c r="C24" s="43"/>
      <c r="D24" s="43"/>
      <c r="E24" s="43"/>
      <c r="F24" s="43"/>
      <c r="G24" s="43"/>
      <c r="H24" s="270">
        <v>26</v>
      </c>
      <c r="I24" s="57">
        <v>974</v>
      </c>
      <c r="J24" s="57">
        <v>1</v>
      </c>
      <c r="K24" s="398">
        <f t="shared" ref="K24:K35" si="1">H24*12*I24*J24</f>
        <v>303888</v>
      </c>
    </row>
    <row r="25" spans="1:11" ht="15.75" customHeight="1" x14ac:dyDescent="0.25">
      <c r="A25" s="48" t="s">
        <v>2370</v>
      </c>
      <c r="B25" s="41"/>
      <c r="C25" s="43"/>
      <c r="D25" s="43"/>
      <c r="E25" s="43"/>
      <c r="F25" s="43"/>
      <c r="G25" s="43"/>
      <c r="H25" s="270"/>
      <c r="K25" s="398">
        <f t="shared" si="1"/>
        <v>0</v>
      </c>
    </row>
    <row r="26" spans="1:11" ht="15.75" customHeight="1" x14ac:dyDescent="0.25">
      <c r="A26" s="96" t="s">
        <v>2371</v>
      </c>
      <c r="B26" s="41"/>
      <c r="C26" s="43"/>
      <c r="D26" s="43"/>
      <c r="E26" s="43"/>
      <c r="F26" s="43"/>
      <c r="G26" s="43"/>
      <c r="H26" s="270">
        <v>26</v>
      </c>
      <c r="I26" s="57">
        <v>639</v>
      </c>
      <c r="J26" s="57">
        <v>20</v>
      </c>
      <c r="K26" s="398">
        <f t="shared" si="1"/>
        <v>3987360</v>
      </c>
    </row>
    <row r="27" spans="1:11" ht="15.75" customHeight="1" x14ac:dyDescent="0.25">
      <c r="A27" s="96" t="s">
        <v>2372</v>
      </c>
      <c r="B27" s="41"/>
      <c r="C27" s="43"/>
      <c r="D27" s="43"/>
      <c r="E27" s="43"/>
      <c r="F27" s="43"/>
      <c r="G27" s="43"/>
      <c r="H27" s="270">
        <v>26</v>
      </c>
      <c r="I27" s="57">
        <v>678</v>
      </c>
      <c r="J27" s="57">
        <v>8</v>
      </c>
      <c r="K27" s="398">
        <f t="shared" si="1"/>
        <v>1692288</v>
      </c>
    </row>
    <row r="28" spans="1:11" ht="15.75" customHeight="1" x14ac:dyDescent="0.25">
      <c r="A28" s="276" t="s">
        <v>2373</v>
      </c>
      <c r="B28" s="41"/>
      <c r="C28" s="43"/>
      <c r="D28" s="43"/>
      <c r="E28" s="43"/>
      <c r="F28" s="43"/>
      <c r="G28" s="43"/>
      <c r="H28" s="270"/>
      <c r="K28" s="398">
        <f t="shared" si="1"/>
        <v>0</v>
      </c>
    </row>
    <row r="29" spans="1:11" ht="15.75" customHeight="1" x14ac:dyDescent="0.25">
      <c r="A29" s="96" t="s">
        <v>2374</v>
      </c>
      <c r="B29" s="41"/>
      <c r="C29" s="43"/>
      <c r="D29" s="43"/>
      <c r="E29" s="43"/>
      <c r="F29" s="43"/>
      <c r="G29" s="43"/>
      <c r="H29" s="270">
        <v>26</v>
      </c>
      <c r="I29" s="57">
        <v>765</v>
      </c>
      <c r="J29" s="57">
        <v>7</v>
      </c>
      <c r="K29" s="398">
        <f t="shared" si="1"/>
        <v>1670760</v>
      </c>
    </row>
    <row r="30" spans="1:11" ht="15.75" customHeight="1" x14ac:dyDescent="0.25">
      <c r="A30" s="276" t="s">
        <v>2375</v>
      </c>
      <c r="B30" s="41"/>
      <c r="C30" s="43"/>
      <c r="D30" s="43"/>
      <c r="E30" s="43"/>
      <c r="F30" s="43"/>
      <c r="G30" s="43"/>
      <c r="H30" s="270"/>
      <c r="K30" s="398">
        <f t="shared" si="1"/>
        <v>0</v>
      </c>
    </row>
    <row r="31" spans="1:11" ht="15.75" customHeight="1" x14ac:dyDescent="0.25">
      <c r="A31" s="17" t="s">
        <v>2376</v>
      </c>
      <c r="B31" s="41"/>
      <c r="C31" s="43"/>
      <c r="D31" s="43"/>
      <c r="E31" s="43"/>
      <c r="F31" s="43"/>
      <c r="G31" s="43"/>
      <c r="H31" s="270"/>
      <c r="K31" s="398">
        <f t="shared" si="1"/>
        <v>0</v>
      </c>
    </row>
    <row r="32" spans="1:11" ht="15.75" customHeight="1" x14ac:dyDescent="0.25">
      <c r="A32" s="44" t="s">
        <v>2377</v>
      </c>
      <c r="B32" s="41"/>
      <c r="C32" s="43"/>
      <c r="D32" s="43"/>
      <c r="E32" s="43"/>
      <c r="F32" s="43"/>
      <c r="G32" s="43"/>
      <c r="H32" s="270"/>
      <c r="K32" s="398">
        <f t="shared" si="1"/>
        <v>0</v>
      </c>
    </row>
    <row r="33" spans="1:11" ht="15.75" customHeight="1" x14ac:dyDescent="0.25">
      <c r="A33" s="44" t="s">
        <v>2378</v>
      </c>
      <c r="B33" s="41"/>
      <c r="C33" s="43"/>
      <c r="D33" s="43"/>
      <c r="E33" s="43"/>
      <c r="F33" s="43"/>
      <c r="G33" s="43"/>
      <c r="H33" s="270">
        <v>26</v>
      </c>
      <c r="I33" s="57">
        <v>639</v>
      </c>
      <c r="J33" s="57">
        <v>5</v>
      </c>
      <c r="K33" s="398">
        <f t="shared" si="1"/>
        <v>996840</v>
      </c>
    </row>
    <row r="34" spans="1:11" ht="15.75" customHeight="1" x14ac:dyDescent="0.25">
      <c r="A34" s="44" t="s">
        <v>2379</v>
      </c>
      <c r="B34" s="41"/>
      <c r="C34" s="43"/>
      <c r="D34" s="43"/>
      <c r="E34" s="43"/>
      <c r="F34" s="43"/>
      <c r="G34" s="43"/>
      <c r="H34" s="270"/>
      <c r="K34" s="398">
        <f t="shared" si="1"/>
        <v>0</v>
      </c>
    </row>
    <row r="35" spans="1:11" ht="15.75" customHeight="1" x14ac:dyDescent="0.25">
      <c r="A35" s="44" t="s">
        <v>2380</v>
      </c>
      <c r="B35" s="41"/>
      <c r="C35" s="43"/>
      <c r="D35" s="43"/>
      <c r="E35" s="43"/>
      <c r="F35" s="43"/>
      <c r="G35" s="43"/>
      <c r="H35" s="270"/>
      <c r="K35" s="398">
        <f t="shared" si="1"/>
        <v>0</v>
      </c>
    </row>
    <row r="36" spans="1:11" ht="15.75" customHeight="1" x14ac:dyDescent="0.25">
      <c r="A36" s="460" t="s">
        <v>2381</v>
      </c>
      <c r="B36" s="454"/>
      <c r="C36" s="443"/>
      <c r="D36" s="443"/>
      <c r="E36" s="443"/>
      <c r="F36" s="443"/>
      <c r="G36" s="462"/>
      <c r="H36" s="270">
        <v>20</v>
      </c>
      <c r="I36" s="57">
        <v>639</v>
      </c>
      <c r="J36" s="57">
        <v>10</v>
      </c>
      <c r="K36" s="398">
        <f t="shared" ref="K36:K40" si="2">H36*I36*J36</f>
        <v>127800</v>
      </c>
    </row>
    <row r="37" spans="1:11" ht="15.75" customHeight="1" x14ac:dyDescent="0.25">
      <c r="A37" s="460" t="s">
        <v>2382</v>
      </c>
      <c r="B37" s="454"/>
      <c r="C37" s="443"/>
      <c r="D37" s="443"/>
      <c r="E37" s="443"/>
      <c r="F37" s="443"/>
      <c r="G37" s="462"/>
      <c r="H37" s="270"/>
      <c r="K37" s="398">
        <f t="shared" si="2"/>
        <v>0</v>
      </c>
    </row>
    <row r="38" spans="1:11" ht="15.75" customHeight="1" x14ac:dyDescent="0.25">
      <c r="A38" s="48" t="s">
        <v>2381</v>
      </c>
      <c r="B38" s="49"/>
      <c r="C38" s="43"/>
      <c r="D38" s="43"/>
      <c r="E38" s="43"/>
      <c r="F38" s="43"/>
      <c r="G38" s="43"/>
      <c r="H38" s="270">
        <v>20</v>
      </c>
      <c r="I38" s="57">
        <v>639</v>
      </c>
      <c r="J38" s="57">
        <v>10</v>
      </c>
      <c r="K38" s="398">
        <f t="shared" si="2"/>
        <v>127800</v>
      </c>
    </row>
    <row r="39" spans="1:11" ht="15.75" customHeight="1" x14ac:dyDescent="0.25">
      <c r="A39" s="48" t="s">
        <v>2383</v>
      </c>
      <c r="B39" s="49"/>
      <c r="C39" s="43"/>
      <c r="D39" s="43"/>
      <c r="E39" s="43"/>
      <c r="F39" s="43"/>
      <c r="G39" s="43"/>
      <c r="H39" s="270"/>
      <c r="K39" s="398">
        <f t="shared" si="2"/>
        <v>0</v>
      </c>
    </row>
    <row r="40" spans="1:11" ht="15.75" customHeight="1" x14ac:dyDescent="0.25">
      <c r="A40" s="44" t="s">
        <v>2384</v>
      </c>
      <c r="B40" s="41"/>
      <c r="C40" s="43"/>
      <c r="D40" s="43"/>
      <c r="E40" s="43"/>
      <c r="F40" s="43"/>
      <c r="G40" s="43"/>
      <c r="H40" s="270">
        <v>20</v>
      </c>
      <c r="I40" s="57">
        <v>639</v>
      </c>
      <c r="J40" s="57">
        <v>10</v>
      </c>
      <c r="K40" s="398">
        <f t="shared" si="2"/>
        <v>127800</v>
      </c>
    </row>
    <row r="41" spans="1:11" ht="15.75" customHeight="1" x14ac:dyDescent="0.25">
      <c r="A41" s="42" t="s">
        <v>466</v>
      </c>
      <c r="B41" s="41"/>
      <c r="C41" s="54">
        <f t="shared" ref="C41:G41" si="3">SUM(C15:C22)</f>
        <v>37268366.969999999</v>
      </c>
      <c r="D41" s="54">
        <f t="shared" si="3"/>
        <v>18750909.509999998</v>
      </c>
      <c r="E41" s="54">
        <f t="shared" si="3"/>
        <v>22103829.490000002</v>
      </c>
      <c r="F41" s="54">
        <f t="shared" si="3"/>
        <v>40854739</v>
      </c>
      <c r="G41" s="54">
        <f t="shared" si="3"/>
        <v>47488475</v>
      </c>
      <c r="H41" s="270"/>
      <c r="K41" s="397"/>
    </row>
    <row r="42" spans="1:11" ht="15.75" customHeight="1" x14ac:dyDescent="0.25">
      <c r="A42" s="42"/>
      <c r="B42" s="41"/>
      <c r="C42" s="55"/>
      <c r="D42" s="55"/>
      <c r="E42" s="55"/>
      <c r="F42" s="55"/>
      <c r="G42" s="43"/>
      <c r="H42" s="270"/>
      <c r="K42" s="397"/>
    </row>
    <row r="43" spans="1:11" ht="15.75" customHeight="1" x14ac:dyDescent="0.25">
      <c r="A43" s="42" t="s">
        <v>467</v>
      </c>
      <c r="B43" s="41"/>
      <c r="C43" s="43">
        <f t="shared" ref="C43:G43" si="4">C41</f>
        <v>37268366.969999999</v>
      </c>
      <c r="D43" s="43">
        <f t="shared" si="4"/>
        <v>18750909.509999998</v>
      </c>
      <c r="E43" s="43">
        <f t="shared" si="4"/>
        <v>22103829.490000002</v>
      </c>
      <c r="F43" s="43">
        <f t="shared" si="4"/>
        <v>40854739</v>
      </c>
      <c r="G43" s="43">
        <f t="shared" si="4"/>
        <v>47488475</v>
      </c>
      <c r="H43" s="270"/>
      <c r="K43" s="397"/>
    </row>
    <row r="44" spans="1:11" ht="15.75" customHeight="1" x14ac:dyDescent="0.25">
      <c r="A44" s="17"/>
      <c r="B44" s="41"/>
      <c r="C44" s="43"/>
      <c r="D44" s="43"/>
      <c r="E44" s="43"/>
      <c r="F44" s="43"/>
      <c r="G44" s="43"/>
      <c r="H44" s="270"/>
      <c r="K44" s="397"/>
    </row>
    <row r="45" spans="1:11" ht="15.75" customHeight="1" x14ac:dyDescent="0.25">
      <c r="A45" s="50" t="s">
        <v>487</v>
      </c>
      <c r="B45" s="51" t="s">
        <v>488</v>
      </c>
      <c r="C45" s="54">
        <f t="shared" ref="C45:G45" si="5">C43</f>
        <v>37268366.969999999</v>
      </c>
      <c r="D45" s="54">
        <f t="shared" si="5"/>
        <v>18750909.509999998</v>
      </c>
      <c r="E45" s="54">
        <f t="shared" si="5"/>
        <v>22103829.490000002</v>
      </c>
      <c r="F45" s="54">
        <f t="shared" si="5"/>
        <v>40854739</v>
      </c>
      <c r="G45" s="54">
        <f t="shared" si="5"/>
        <v>47488475</v>
      </c>
      <c r="H45" s="270"/>
      <c r="K45" s="397"/>
    </row>
    <row r="46" spans="1:11" ht="15.75" customHeight="1" x14ac:dyDescent="0.25">
      <c r="A46" s="24"/>
      <c r="B46" s="25"/>
      <c r="C46" s="26"/>
      <c r="D46" s="26"/>
      <c r="E46" s="26"/>
      <c r="F46" s="26"/>
      <c r="G46" s="26"/>
      <c r="H46" s="270"/>
      <c r="K46" s="397"/>
    </row>
    <row r="47" spans="1:11" ht="15.75" customHeight="1" x14ac:dyDescent="0.25">
      <c r="A47" s="18"/>
      <c r="B47" s="25"/>
      <c r="C47" s="103"/>
      <c r="D47" s="24"/>
      <c r="E47" s="24"/>
      <c r="F47" s="103"/>
      <c r="G47" s="114"/>
      <c r="H47" s="270"/>
      <c r="K47" s="397"/>
    </row>
    <row r="48" spans="1:11" ht="15.75" customHeight="1" x14ac:dyDescent="0.25">
      <c r="A48" s="9"/>
      <c r="B48" s="104"/>
      <c r="C48" s="105"/>
      <c r="D48" s="105"/>
      <c r="E48" s="105"/>
      <c r="F48" s="10"/>
      <c r="G48" s="180"/>
      <c r="H48" s="270"/>
      <c r="K48" s="397"/>
    </row>
    <row r="49" spans="1:26" ht="15.75" customHeight="1" x14ac:dyDescent="0.25">
      <c r="A49" s="108" t="s">
        <v>2385</v>
      </c>
      <c r="B49" s="25"/>
      <c r="C49" s="26"/>
      <c r="D49" s="26"/>
      <c r="E49" s="26"/>
      <c r="F49" s="14"/>
      <c r="G49" s="181"/>
      <c r="H49" s="270"/>
      <c r="K49" s="397"/>
    </row>
    <row r="50" spans="1:26" ht="15.75" customHeight="1" x14ac:dyDescent="0.25">
      <c r="A50" s="108"/>
      <c r="B50" s="25"/>
      <c r="C50" s="26"/>
      <c r="D50" s="26"/>
      <c r="E50" s="26"/>
      <c r="F50" s="14"/>
      <c r="G50" s="181"/>
      <c r="H50" s="270"/>
      <c r="K50" s="397"/>
    </row>
    <row r="51" spans="1:26" ht="15.75" customHeight="1" x14ac:dyDescent="0.25">
      <c r="A51" s="865" t="s">
        <v>352</v>
      </c>
      <c r="B51" s="866"/>
      <c r="C51" s="866"/>
      <c r="D51" s="866"/>
      <c r="E51" s="866"/>
      <c r="F51" s="866"/>
      <c r="G51" s="867"/>
      <c r="H51" s="270"/>
      <c r="K51" s="397"/>
    </row>
    <row r="52" spans="1:26" ht="15.75" customHeight="1" x14ac:dyDescent="0.25">
      <c r="A52" s="868" t="s">
        <v>1194</v>
      </c>
      <c r="B52" s="857" t="s">
        <v>354</v>
      </c>
      <c r="C52" s="870" t="s">
        <v>355</v>
      </c>
      <c r="D52" s="872" t="s">
        <v>356</v>
      </c>
      <c r="E52" s="873"/>
      <c r="F52" s="874"/>
      <c r="G52" s="857" t="s">
        <v>357</v>
      </c>
      <c r="H52" s="270"/>
      <c r="K52" s="397"/>
    </row>
    <row r="53" spans="1:26" ht="15.75" customHeight="1" x14ac:dyDescent="0.25">
      <c r="A53" s="858"/>
      <c r="B53" s="858"/>
      <c r="C53" s="871"/>
      <c r="D53" s="28" t="s">
        <v>358</v>
      </c>
      <c r="E53" s="29" t="s">
        <v>359</v>
      </c>
      <c r="F53" s="875" t="s">
        <v>360</v>
      </c>
      <c r="G53" s="858"/>
      <c r="H53" s="270"/>
      <c r="K53" s="397"/>
    </row>
    <row r="54" spans="1:26" ht="15.75" customHeight="1" x14ac:dyDescent="0.25">
      <c r="A54" s="858"/>
      <c r="B54" s="858"/>
      <c r="C54" s="30" t="s">
        <v>361</v>
      </c>
      <c r="D54" s="31" t="s">
        <v>361</v>
      </c>
      <c r="E54" s="32" t="s">
        <v>362</v>
      </c>
      <c r="F54" s="860"/>
      <c r="G54" s="442" t="s">
        <v>2669</v>
      </c>
      <c r="H54" s="270"/>
      <c r="K54" s="397"/>
    </row>
    <row r="55" spans="1:26" ht="15" customHeight="1" x14ac:dyDescent="0.25">
      <c r="A55" s="869"/>
      <c r="B55" s="869"/>
      <c r="C55" s="33">
        <v>2024</v>
      </c>
      <c r="D55" s="34">
        <v>2025</v>
      </c>
      <c r="E55" s="35">
        <v>2025</v>
      </c>
      <c r="F55" s="34">
        <v>2025</v>
      </c>
      <c r="G55" s="36" t="s">
        <v>2668</v>
      </c>
      <c r="H55" s="270"/>
      <c r="K55" s="397"/>
    </row>
    <row r="56" spans="1:26" ht="15" customHeight="1" x14ac:dyDescent="0.25">
      <c r="A56" s="17" t="s">
        <v>364</v>
      </c>
      <c r="B56" s="172"/>
      <c r="C56" s="42"/>
      <c r="D56" s="42"/>
      <c r="E56" s="42"/>
      <c r="F56" s="42"/>
      <c r="G56" s="42"/>
      <c r="H56" s="270"/>
      <c r="K56" s="397"/>
    </row>
    <row r="57" spans="1:26" ht="15" customHeight="1" x14ac:dyDescent="0.25">
      <c r="A57" s="42" t="s">
        <v>1463</v>
      </c>
      <c r="B57" s="172"/>
      <c r="C57" s="42"/>
      <c r="D57" s="42"/>
      <c r="E57" s="42"/>
      <c r="F57" s="42"/>
      <c r="G57" s="42"/>
      <c r="H57" s="270"/>
      <c r="K57" s="397"/>
    </row>
    <row r="58" spans="1:26" ht="15" customHeight="1" x14ac:dyDescent="0.25">
      <c r="A58" s="161" t="s">
        <v>499</v>
      </c>
      <c r="B58" s="41"/>
      <c r="C58" s="41"/>
      <c r="D58" s="41"/>
      <c r="E58" s="20"/>
      <c r="F58" s="41"/>
      <c r="G58" s="49"/>
      <c r="H58" s="270"/>
      <c r="K58" s="397"/>
    </row>
    <row r="59" spans="1:26" ht="15" customHeight="1" x14ac:dyDescent="0.25">
      <c r="A59" s="44" t="s">
        <v>398</v>
      </c>
      <c r="B59" s="41" t="s">
        <v>195</v>
      </c>
      <c r="C59" s="91">
        <v>43261</v>
      </c>
      <c r="D59" s="91">
        <v>15927.45</v>
      </c>
      <c r="E59" s="43">
        <f t="shared" ref="E59:E61" si="6">F59-D59</f>
        <v>28072.55</v>
      </c>
      <c r="F59" s="91">
        <v>44000</v>
      </c>
      <c r="G59" s="61">
        <v>38296</v>
      </c>
      <c r="H59" s="270"/>
      <c r="K59" s="397"/>
    </row>
    <row r="60" spans="1:26" ht="15.75" customHeight="1" x14ac:dyDescent="0.25">
      <c r="A60" s="48" t="s">
        <v>399</v>
      </c>
      <c r="B60" s="41" t="s">
        <v>211</v>
      </c>
      <c r="C60" s="91">
        <v>634968.32999999996</v>
      </c>
      <c r="D60" s="91">
        <v>362992.56</v>
      </c>
      <c r="E60" s="43">
        <f t="shared" si="6"/>
        <v>707.44000000000233</v>
      </c>
      <c r="F60" s="91">
        <v>363700</v>
      </c>
      <c r="G60" s="61">
        <v>750000</v>
      </c>
      <c r="H60" s="270"/>
      <c r="K60" s="397"/>
    </row>
    <row r="61" spans="1:26" ht="15.75" customHeight="1" x14ac:dyDescent="0.25">
      <c r="A61" s="74" t="s">
        <v>400</v>
      </c>
      <c r="B61" s="41" t="s">
        <v>221</v>
      </c>
      <c r="C61" s="91">
        <v>0</v>
      </c>
      <c r="D61" s="91">
        <v>145285</v>
      </c>
      <c r="E61" s="43">
        <f t="shared" si="6"/>
        <v>169700</v>
      </c>
      <c r="F61" s="91">
        <v>314985</v>
      </c>
      <c r="G61" s="61">
        <v>254925</v>
      </c>
      <c r="H61" s="270"/>
      <c r="K61" s="397"/>
    </row>
    <row r="62" spans="1:26" ht="15.75" customHeight="1" x14ac:dyDescent="0.25">
      <c r="A62" s="391" t="s">
        <v>538</v>
      </c>
      <c r="B62" s="41" t="s">
        <v>223</v>
      </c>
      <c r="C62" s="43">
        <v>0</v>
      </c>
      <c r="D62" s="43">
        <v>0</v>
      </c>
      <c r="E62" s="43">
        <v>0</v>
      </c>
      <c r="F62" s="43">
        <v>0</v>
      </c>
      <c r="G62" s="45">
        <v>48200</v>
      </c>
      <c r="H62" s="269"/>
      <c r="I62" s="15"/>
      <c r="J62" s="15"/>
      <c r="K62" s="398"/>
      <c r="L62" s="15"/>
      <c r="M62" s="15"/>
      <c r="N62" s="15"/>
      <c r="O62" s="15"/>
      <c r="P62" s="15"/>
      <c r="Q62" s="15"/>
      <c r="R62" s="15"/>
      <c r="S62" s="15"/>
      <c r="T62" s="15"/>
      <c r="U62" s="15"/>
      <c r="V62" s="15"/>
      <c r="W62" s="15"/>
      <c r="X62" s="15"/>
      <c r="Y62" s="15"/>
      <c r="Z62" s="15"/>
    </row>
    <row r="63" spans="1:26" ht="15.75" customHeight="1" x14ac:dyDescent="0.25">
      <c r="A63" s="48" t="s">
        <v>402</v>
      </c>
      <c r="B63" s="41" t="s">
        <v>225</v>
      </c>
      <c r="C63" s="43">
        <v>1502525.28</v>
      </c>
      <c r="D63" s="43">
        <v>137882.12</v>
      </c>
      <c r="E63" s="43">
        <f>F63-D63</f>
        <v>139400.88</v>
      </c>
      <c r="F63" s="43">
        <v>277283</v>
      </c>
      <c r="G63" s="43">
        <v>210600</v>
      </c>
      <c r="H63" s="269"/>
      <c r="I63" s="15"/>
      <c r="J63" s="15"/>
      <c r="K63" s="398"/>
      <c r="L63" s="15"/>
      <c r="M63" s="15"/>
      <c r="N63" s="15"/>
      <c r="O63" s="15"/>
      <c r="P63" s="15"/>
      <c r="Q63" s="15"/>
      <c r="R63" s="15"/>
      <c r="S63" s="15"/>
      <c r="T63" s="15"/>
      <c r="U63" s="15"/>
      <c r="V63" s="15"/>
      <c r="W63" s="15"/>
      <c r="X63" s="15"/>
      <c r="Y63" s="15"/>
      <c r="Z63" s="15"/>
    </row>
    <row r="64" spans="1:26" ht="15.75" customHeight="1" x14ac:dyDescent="0.25">
      <c r="A64" s="17" t="s">
        <v>506</v>
      </c>
      <c r="B64" s="41"/>
      <c r="C64" s="43"/>
      <c r="D64" s="43"/>
      <c r="E64" s="43"/>
      <c r="F64" s="43"/>
      <c r="G64" s="43"/>
      <c r="H64" s="269"/>
      <c r="I64" s="15"/>
      <c r="J64" s="15"/>
      <c r="K64" s="398"/>
      <c r="L64" s="15"/>
      <c r="M64" s="15"/>
      <c r="N64" s="15"/>
      <c r="O64" s="15"/>
      <c r="P64" s="15"/>
      <c r="Q64" s="15"/>
      <c r="R64" s="15"/>
      <c r="S64" s="15"/>
      <c r="T64" s="15"/>
      <c r="U64" s="15"/>
      <c r="V64" s="15"/>
      <c r="W64" s="15"/>
      <c r="X64" s="15"/>
      <c r="Y64" s="15"/>
      <c r="Z64" s="15"/>
    </row>
    <row r="65" spans="1:26" ht="15.75" customHeight="1" x14ac:dyDescent="0.25">
      <c r="A65" s="17" t="s">
        <v>2386</v>
      </c>
      <c r="B65" s="41" t="s">
        <v>279</v>
      </c>
      <c r="C65" s="91">
        <v>1350109.15</v>
      </c>
      <c r="D65" s="91">
        <v>2918383.05</v>
      </c>
      <c r="E65" s="43">
        <f>F65-D65</f>
        <v>2948208.95</v>
      </c>
      <c r="F65" s="91">
        <v>5866592</v>
      </c>
      <c r="G65" s="43">
        <v>2635749</v>
      </c>
      <c r="H65" s="269"/>
      <c r="I65" s="15"/>
      <c r="J65" s="15"/>
      <c r="K65" s="398"/>
      <c r="L65" s="15"/>
      <c r="M65" s="15"/>
      <c r="N65" s="15"/>
      <c r="O65" s="15"/>
      <c r="P65" s="15"/>
      <c r="Q65" s="15"/>
      <c r="R65" s="15"/>
      <c r="S65" s="15"/>
      <c r="T65" s="15"/>
      <c r="U65" s="15"/>
      <c r="V65" s="15"/>
      <c r="W65" s="15"/>
      <c r="X65" s="15"/>
      <c r="Y65" s="15"/>
      <c r="Z65" s="15"/>
    </row>
    <row r="66" spans="1:26" ht="15.75" customHeight="1" x14ac:dyDescent="0.25">
      <c r="A66" s="96" t="s">
        <v>2387</v>
      </c>
      <c r="B66" s="41"/>
      <c r="C66" s="43"/>
      <c r="D66" s="43"/>
      <c r="E66" s="43"/>
      <c r="F66" s="43"/>
      <c r="G66" s="43"/>
      <c r="H66" s="269"/>
      <c r="I66" s="15"/>
      <c r="J66" s="15"/>
      <c r="K66" s="398"/>
      <c r="L66" s="15"/>
      <c r="M66" s="15"/>
      <c r="N66" s="15"/>
      <c r="O66" s="15"/>
      <c r="P66" s="15"/>
      <c r="Q66" s="15"/>
      <c r="R66" s="15"/>
      <c r="S66" s="15"/>
      <c r="T66" s="15"/>
      <c r="U66" s="15"/>
      <c r="V66" s="15"/>
      <c r="W66" s="15"/>
      <c r="X66" s="15"/>
      <c r="Y66" s="15"/>
      <c r="Z66" s="15"/>
    </row>
    <row r="67" spans="1:26" ht="15.75" customHeight="1" x14ac:dyDescent="0.25">
      <c r="A67" s="276" t="s">
        <v>2388</v>
      </c>
      <c r="B67" s="41"/>
      <c r="C67" s="43"/>
      <c r="D67" s="43"/>
      <c r="E67" s="43"/>
      <c r="F67" s="43"/>
      <c r="G67" s="43"/>
      <c r="H67" s="269"/>
      <c r="I67" s="15"/>
      <c r="J67" s="15"/>
      <c r="K67" s="398"/>
      <c r="L67" s="15"/>
      <c r="M67" s="15"/>
      <c r="N67" s="15"/>
      <c r="O67" s="15"/>
      <c r="P67" s="15"/>
      <c r="Q67" s="15"/>
      <c r="R67" s="15"/>
      <c r="S67" s="15"/>
      <c r="T67" s="15"/>
      <c r="U67" s="15"/>
      <c r="V67" s="15"/>
      <c r="W67" s="15"/>
      <c r="X67" s="15"/>
      <c r="Y67" s="15"/>
      <c r="Z67" s="15"/>
    </row>
    <row r="68" spans="1:26" ht="15.75" customHeight="1" x14ac:dyDescent="0.25">
      <c r="A68" s="96" t="s">
        <v>2389</v>
      </c>
      <c r="B68" s="41"/>
      <c r="C68" s="43"/>
      <c r="D68" s="43"/>
      <c r="E68" s="43"/>
      <c r="F68" s="43"/>
      <c r="G68" s="43"/>
      <c r="H68" s="269"/>
      <c r="I68" s="15"/>
      <c r="J68" s="15"/>
      <c r="K68" s="398"/>
      <c r="L68" s="15"/>
      <c r="M68" s="15"/>
      <c r="N68" s="15"/>
      <c r="O68" s="15"/>
      <c r="P68" s="15"/>
      <c r="Q68" s="15"/>
      <c r="R68" s="15"/>
      <c r="S68" s="15"/>
      <c r="T68" s="15"/>
      <c r="U68" s="15"/>
      <c r="V68" s="15"/>
      <c r="W68" s="15"/>
      <c r="X68" s="15"/>
      <c r="Y68" s="15"/>
      <c r="Z68" s="15"/>
    </row>
    <row r="69" spans="1:26" ht="15.75" customHeight="1" x14ac:dyDescent="0.25">
      <c r="A69" s="161" t="s">
        <v>424</v>
      </c>
      <c r="B69" s="41"/>
      <c r="C69" s="43"/>
      <c r="D69" s="43"/>
      <c r="E69" s="43"/>
      <c r="F69" s="43"/>
      <c r="G69" s="43"/>
      <c r="H69" s="269"/>
      <c r="I69" s="15"/>
      <c r="J69" s="15"/>
      <c r="K69" s="398"/>
      <c r="L69" s="15"/>
      <c r="M69" s="15"/>
      <c r="N69" s="15"/>
      <c r="O69" s="15"/>
      <c r="P69" s="15"/>
      <c r="Q69" s="15"/>
      <c r="R69" s="15"/>
      <c r="S69" s="15"/>
      <c r="T69" s="15"/>
      <c r="U69" s="15"/>
      <c r="V69" s="15"/>
      <c r="W69" s="15"/>
      <c r="X69" s="15"/>
      <c r="Y69" s="15"/>
      <c r="Z69" s="15"/>
    </row>
    <row r="70" spans="1:26" ht="15.75" customHeight="1" x14ac:dyDescent="0.25">
      <c r="A70" s="48" t="s">
        <v>424</v>
      </c>
      <c r="B70" s="41" t="s">
        <v>335</v>
      </c>
      <c r="C70" s="43">
        <v>1835033</v>
      </c>
      <c r="D70" s="43">
        <v>683872.5</v>
      </c>
      <c r="E70" s="43">
        <f>F70-D70</f>
        <v>1509202.5</v>
      </c>
      <c r="F70" s="43">
        <v>2193075</v>
      </c>
      <c r="G70" s="43">
        <v>3833712</v>
      </c>
      <c r="H70" s="270">
        <f>SUM(K72:K82)</f>
        <v>3833712</v>
      </c>
      <c r="K70" s="397"/>
    </row>
    <row r="71" spans="1:26" ht="15.75" customHeight="1" x14ac:dyDescent="0.25">
      <c r="A71" s="48" t="s">
        <v>2387</v>
      </c>
      <c r="B71" s="41"/>
      <c r="C71" s="45"/>
      <c r="D71" s="43"/>
      <c r="E71" s="43"/>
      <c r="F71" s="43"/>
      <c r="G71" s="43"/>
      <c r="H71" s="270"/>
      <c r="K71" s="397"/>
    </row>
    <row r="72" spans="1:26" ht="15.75" customHeight="1" x14ac:dyDescent="0.25">
      <c r="A72" s="48" t="s">
        <v>2390</v>
      </c>
      <c r="B72" s="41"/>
      <c r="C72" s="45"/>
      <c r="D72" s="43"/>
      <c r="E72" s="43"/>
      <c r="F72" s="43"/>
      <c r="G72" s="43"/>
      <c r="H72" s="270">
        <v>120</v>
      </c>
      <c r="I72" s="57">
        <v>861</v>
      </c>
      <c r="J72" s="57">
        <v>1</v>
      </c>
      <c r="K72" s="397">
        <f t="shared" ref="K72:K75" si="7">H72*I72*J72</f>
        <v>103320</v>
      </c>
    </row>
    <row r="73" spans="1:26" ht="15.75" customHeight="1" x14ac:dyDescent="0.25">
      <c r="A73" s="48" t="s">
        <v>2391</v>
      </c>
      <c r="B73" s="41"/>
      <c r="C73" s="45"/>
      <c r="D73" s="43"/>
      <c r="E73" s="43"/>
      <c r="F73" s="43"/>
      <c r="G73" s="43"/>
      <c r="H73" s="270">
        <v>120</v>
      </c>
      <c r="I73" s="57">
        <v>720</v>
      </c>
      <c r="J73" s="57">
        <v>6</v>
      </c>
      <c r="K73" s="397">
        <f t="shared" si="7"/>
        <v>518400</v>
      </c>
    </row>
    <row r="74" spans="1:26" ht="15.75" customHeight="1" x14ac:dyDescent="0.25">
      <c r="A74" s="48" t="s">
        <v>2392</v>
      </c>
      <c r="B74" s="41"/>
      <c r="C74" s="45"/>
      <c r="D74" s="43"/>
      <c r="E74" s="43"/>
      <c r="F74" s="43"/>
      <c r="G74" s="43"/>
      <c r="H74" s="270">
        <v>120</v>
      </c>
      <c r="I74" s="57">
        <v>639</v>
      </c>
      <c r="J74" s="57">
        <v>5</v>
      </c>
      <c r="K74" s="397">
        <f t="shared" si="7"/>
        <v>383400</v>
      </c>
    </row>
    <row r="75" spans="1:26" ht="15.75" customHeight="1" x14ac:dyDescent="0.25">
      <c r="A75" s="17" t="s">
        <v>2393</v>
      </c>
      <c r="B75" s="41"/>
      <c r="C75" s="45"/>
      <c r="D75" s="43"/>
      <c r="E75" s="43"/>
      <c r="F75" s="43"/>
      <c r="G75" s="43"/>
      <c r="H75" s="270"/>
      <c r="K75" s="397">
        <f t="shared" si="7"/>
        <v>0</v>
      </c>
    </row>
    <row r="76" spans="1:26" ht="15.75" customHeight="1" x14ac:dyDescent="0.25">
      <c r="A76" s="48" t="s">
        <v>2394</v>
      </c>
      <c r="B76" s="41"/>
      <c r="C76" s="45"/>
      <c r="D76" s="43"/>
      <c r="E76" s="43"/>
      <c r="F76" s="43"/>
      <c r="G76" s="43"/>
      <c r="H76" s="270">
        <v>26</v>
      </c>
      <c r="I76" s="57">
        <v>639</v>
      </c>
      <c r="J76" s="57">
        <v>1</v>
      </c>
      <c r="K76" s="397">
        <f t="shared" ref="K76:K82" si="8">H76*I76*J76*12</f>
        <v>199368</v>
      </c>
    </row>
    <row r="77" spans="1:26" ht="15.75" customHeight="1" x14ac:dyDescent="0.25">
      <c r="A77" s="48" t="s">
        <v>2395</v>
      </c>
      <c r="B77" s="41"/>
      <c r="C77" s="45"/>
      <c r="D77" s="43"/>
      <c r="E77" s="43"/>
      <c r="F77" s="43"/>
      <c r="G77" s="43"/>
      <c r="H77" s="270">
        <v>26</v>
      </c>
      <c r="I77" s="57">
        <v>639</v>
      </c>
      <c r="J77" s="57">
        <v>3</v>
      </c>
      <c r="K77" s="397">
        <f t="shared" si="8"/>
        <v>598104</v>
      </c>
    </row>
    <row r="78" spans="1:26" ht="15.75" customHeight="1" x14ac:dyDescent="0.25">
      <c r="A78" s="293" t="s">
        <v>2396</v>
      </c>
      <c r="B78" s="41"/>
      <c r="C78" s="45"/>
      <c r="D78" s="43"/>
      <c r="E78" s="43"/>
      <c r="F78" s="43"/>
      <c r="G78" s="43"/>
      <c r="H78" s="270">
        <v>26</v>
      </c>
      <c r="K78" s="397">
        <f t="shared" si="8"/>
        <v>0</v>
      </c>
    </row>
    <row r="79" spans="1:26" ht="15.75" customHeight="1" x14ac:dyDescent="0.25">
      <c r="A79" s="48" t="s">
        <v>2397</v>
      </c>
      <c r="B79" s="41"/>
      <c r="C79" s="45"/>
      <c r="D79" s="43"/>
      <c r="E79" s="43"/>
      <c r="F79" s="43"/>
      <c r="G79" s="43"/>
      <c r="H79" s="270">
        <v>26</v>
      </c>
      <c r="I79" s="57">
        <v>639</v>
      </c>
      <c r="J79" s="57">
        <v>8</v>
      </c>
      <c r="K79" s="397">
        <f t="shared" si="8"/>
        <v>1594944</v>
      </c>
    </row>
    <row r="80" spans="1:26" ht="15.75" customHeight="1" x14ac:dyDescent="0.25">
      <c r="A80" s="48" t="s">
        <v>2398</v>
      </c>
      <c r="B80" s="41"/>
      <c r="C80" s="45"/>
      <c r="D80" s="43"/>
      <c r="E80" s="43"/>
      <c r="F80" s="43"/>
      <c r="G80" s="43"/>
      <c r="H80" s="270">
        <v>26</v>
      </c>
      <c r="K80" s="397">
        <f t="shared" si="8"/>
        <v>0</v>
      </c>
    </row>
    <row r="81" spans="1:26" ht="15.75" customHeight="1" x14ac:dyDescent="0.25">
      <c r="A81" s="460" t="s">
        <v>2399</v>
      </c>
      <c r="B81" s="454"/>
      <c r="C81" s="443"/>
      <c r="D81" s="443"/>
      <c r="E81" s="443"/>
      <c r="F81" s="443"/>
      <c r="G81" s="462"/>
      <c r="H81" s="270">
        <v>26</v>
      </c>
      <c r="I81" s="57">
        <v>720</v>
      </c>
      <c r="J81" s="57">
        <v>1</v>
      </c>
      <c r="K81" s="397">
        <f t="shared" si="8"/>
        <v>224640</v>
      </c>
    </row>
    <row r="82" spans="1:26" ht="15.75" customHeight="1" x14ac:dyDescent="0.25">
      <c r="A82" s="583" t="s">
        <v>2400</v>
      </c>
      <c r="B82" s="437"/>
      <c r="C82" s="473"/>
      <c r="D82" s="438"/>
      <c r="E82" s="438"/>
      <c r="F82" s="438"/>
      <c r="G82" s="438"/>
      <c r="H82" s="270">
        <v>26</v>
      </c>
      <c r="I82" s="57">
        <v>678</v>
      </c>
      <c r="J82" s="57">
        <v>1</v>
      </c>
      <c r="K82" s="397">
        <f t="shared" si="8"/>
        <v>211536</v>
      </c>
    </row>
    <row r="83" spans="1:26" ht="15.75" customHeight="1" x14ac:dyDescent="0.25">
      <c r="A83" s="42" t="s">
        <v>466</v>
      </c>
      <c r="B83" s="41"/>
      <c r="C83" s="79">
        <f t="shared" ref="C83:G83" si="9">SUM(C59:C70)</f>
        <v>5365896.76</v>
      </c>
      <c r="D83" s="54">
        <f t="shared" si="9"/>
        <v>4264342.68</v>
      </c>
      <c r="E83" s="54">
        <f t="shared" si="9"/>
        <v>4795292.32</v>
      </c>
      <c r="F83" s="54">
        <f t="shared" si="9"/>
        <v>9059635</v>
      </c>
      <c r="G83" s="54">
        <f t="shared" si="9"/>
        <v>7771482</v>
      </c>
      <c r="H83" s="270"/>
      <c r="K83" s="397"/>
    </row>
    <row r="84" spans="1:26" ht="15.75" customHeight="1" x14ac:dyDescent="0.25">
      <c r="A84" s="42"/>
      <c r="B84" s="41"/>
      <c r="C84" s="55"/>
      <c r="D84" s="55"/>
      <c r="E84" s="55"/>
      <c r="F84" s="55"/>
      <c r="G84" s="43"/>
      <c r="H84" s="270"/>
      <c r="K84" s="397"/>
    </row>
    <row r="85" spans="1:26" ht="15.75" customHeight="1" x14ac:dyDescent="0.25">
      <c r="A85" s="42" t="s">
        <v>467</v>
      </c>
      <c r="B85" s="49"/>
      <c r="C85" s="52">
        <f t="shared" ref="C85:G85" si="10">C83</f>
        <v>5365896.76</v>
      </c>
      <c r="D85" s="53">
        <f t="shared" si="10"/>
        <v>4264342.68</v>
      </c>
      <c r="E85" s="53">
        <f t="shared" si="10"/>
        <v>4795292.32</v>
      </c>
      <c r="F85" s="53">
        <f t="shared" si="10"/>
        <v>9059635</v>
      </c>
      <c r="G85" s="53">
        <f t="shared" si="10"/>
        <v>7771482</v>
      </c>
      <c r="H85" s="270"/>
      <c r="K85" s="397"/>
    </row>
    <row r="86" spans="1:26" ht="15.75" customHeight="1" x14ac:dyDescent="0.25">
      <c r="A86" s="42"/>
      <c r="B86" s="49"/>
      <c r="C86" s="39"/>
      <c r="D86" s="55"/>
      <c r="E86" s="55"/>
      <c r="F86" s="55"/>
      <c r="G86" s="55"/>
      <c r="H86" s="270"/>
      <c r="K86" s="397"/>
    </row>
    <row r="87" spans="1:26" ht="15.75" customHeight="1" x14ac:dyDescent="0.25">
      <c r="A87" s="160" t="s">
        <v>487</v>
      </c>
      <c r="B87" s="51" t="s">
        <v>488</v>
      </c>
      <c r="C87" s="54">
        <f t="shared" ref="C87:G87" si="11">C85</f>
        <v>5365896.76</v>
      </c>
      <c r="D87" s="54">
        <f t="shared" si="11"/>
        <v>4264342.68</v>
      </c>
      <c r="E87" s="54">
        <f t="shared" si="11"/>
        <v>4795292.32</v>
      </c>
      <c r="F87" s="54">
        <f t="shared" si="11"/>
        <v>9059635</v>
      </c>
      <c r="G87" s="54">
        <f t="shared" si="11"/>
        <v>7771482</v>
      </c>
      <c r="H87" s="269"/>
      <c r="I87" s="15"/>
      <c r="J87" s="15"/>
      <c r="K87" s="398"/>
      <c r="L87" s="15"/>
      <c r="M87" s="15"/>
      <c r="N87" s="15"/>
      <c r="O87" s="15"/>
      <c r="P87" s="15"/>
      <c r="Q87" s="15"/>
      <c r="R87" s="15"/>
      <c r="S87" s="15"/>
      <c r="T87" s="15"/>
      <c r="U87" s="15"/>
      <c r="V87" s="15"/>
      <c r="W87" s="15"/>
      <c r="X87" s="15"/>
      <c r="Y87" s="15"/>
      <c r="Z87" s="15"/>
    </row>
    <row r="88" spans="1:26" ht="15.75" customHeight="1" x14ac:dyDescent="0.25">
      <c r="A88" s="24"/>
      <c r="B88" s="25"/>
      <c r="C88" s="26"/>
      <c r="D88" s="26"/>
      <c r="E88" s="26"/>
      <c r="F88" s="26"/>
      <c r="G88" s="26"/>
      <c r="H88" s="269"/>
      <c r="I88" s="15"/>
      <c r="J88" s="15"/>
      <c r="K88" s="398"/>
      <c r="L88" s="15"/>
      <c r="M88" s="15"/>
      <c r="N88" s="15"/>
      <c r="O88" s="15"/>
      <c r="P88" s="15"/>
      <c r="Q88" s="15"/>
      <c r="R88" s="15"/>
      <c r="S88" s="15"/>
      <c r="T88" s="15"/>
      <c r="U88" s="15"/>
      <c r="V88" s="15"/>
      <c r="W88" s="15"/>
      <c r="X88" s="15"/>
      <c r="Y88" s="15"/>
      <c r="Z88" s="15"/>
    </row>
    <row r="89" spans="1:26" ht="15.75" customHeight="1" x14ac:dyDescent="0.25">
      <c r="A89" s="240"/>
      <c r="B89" s="25"/>
      <c r="C89" s="26"/>
      <c r="D89" s="26"/>
      <c r="E89" s="26"/>
      <c r="F89" s="14"/>
      <c r="G89" s="15"/>
      <c r="H89" s="270"/>
      <c r="K89" s="397"/>
    </row>
    <row r="90" spans="1:26" ht="14.45" customHeight="1" x14ac:dyDescent="0.25">
      <c r="A90" s="9"/>
      <c r="B90" s="104"/>
      <c r="C90" s="105"/>
      <c r="D90" s="105"/>
      <c r="E90" s="105"/>
      <c r="F90" s="10"/>
      <c r="G90" s="180"/>
      <c r="H90" s="270"/>
      <c r="K90" s="397"/>
    </row>
    <row r="91" spans="1:26" ht="14.45" customHeight="1" x14ac:dyDescent="0.25">
      <c r="A91" s="108" t="s">
        <v>2401</v>
      </c>
      <c r="B91" s="25"/>
      <c r="C91" s="26"/>
      <c r="D91" s="26"/>
      <c r="E91" s="26"/>
      <c r="F91" s="14"/>
      <c r="G91" s="181"/>
      <c r="H91" s="270"/>
      <c r="K91" s="397"/>
    </row>
    <row r="92" spans="1:26" ht="14.45" customHeight="1" x14ac:dyDescent="0.25">
      <c r="A92" s="108"/>
      <c r="B92" s="25"/>
      <c r="C92" s="26"/>
      <c r="D92" s="26"/>
      <c r="E92" s="26"/>
      <c r="F92" s="14"/>
      <c r="G92" s="181"/>
      <c r="H92" s="270"/>
      <c r="K92" s="397"/>
    </row>
    <row r="93" spans="1:26" ht="14.45" customHeight="1" x14ac:dyDescent="0.25">
      <c r="A93" s="865" t="s">
        <v>352</v>
      </c>
      <c r="B93" s="866"/>
      <c r="C93" s="866"/>
      <c r="D93" s="866"/>
      <c r="E93" s="866"/>
      <c r="F93" s="866"/>
      <c r="G93" s="867"/>
      <c r="H93" s="270"/>
      <c r="K93" s="397"/>
    </row>
    <row r="94" spans="1:26" ht="14.45" customHeight="1" x14ac:dyDescent="0.25">
      <c r="A94" s="868" t="s">
        <v>1194</v>
      </c>
      <c r="B94" s="857" t="s">
        <v>354</v>
      </c>
      <c r="C94" s="870" t="s">
        <v>355</v>
      </c>
      <c r="D94" s="872" t="s">
        <v>356</v>
      </c>
      <c r="E94" s="873"/>
      <c r="F94" s="874"/>
      <c r="G94" s="857" t="s">
        <v>357</v>
      </c>
      <c r="H94" s="270"/>
      <c r="K94" s="397"/>
    </row>
    <row r="95" spans="1:26" ht="14.45" customHeight="1" x14ac:dyDescent="0.25">
      <c r="A95" s="858"/>
      <c r="B95" s="858"/>
      <c r="C95" s="871"/>
      <c r="D95" s="28" t="s">
        <v>358</v>
      </c>
      <c r="E95" s="29" t="s">
        <v>359</v>
      </c>
      <c r="F95" s="875" t="s">
        <v>360</v>
      </c>
      <c r="G95" s="858"/>
      <c r="H95" s="270"/>
      <c r="K95" s="397"/>
    </row>
    <row r="96" spans="1:26" ht="14.45" customHeight="1" x14ac:dyDescent="0.25">
      <c r="A96" s="858"/>
      <c r="B96" s="858"/>
      <c r="C96" s="30" t="s">
        <v>361</v>
      </c>
      <c r="D96" s="31" t="s">
        <v>361</v>
      </c>
      <c r="E96" s="32" t="s">
        <v>362</v>
      </c>
      <c r="F96" s="860"/>
      <c r="G96" s="442" t="s">
        <v>2669</v>
      </c>
      <c r="H96" s="270"/>
      <c r="K96" s="397"/>
    </row>
    <row r="97" spans="1:11" ht="14.45" customHeight="1" x14ac:dyDescent="0.25">
      <c r="A97" s="869"/>
      <c r="B97" s="869"/>
      <c r="C97" s="33">
        <v>2024</v>
      </c>
      <c r="D97" s="34">
        <v>2025</v>
      </c>
      <c r="E97" s="35">
        <v>2025</v>
      </c>
      <c r="F97" s="34">
        <v>2025</v>
      </c>
      <c r="G97" s="36" t="s">
        <v>2668</v>
      </c>
      <c r="H97" s="270"/>
      <c r="K97" s="397"/>
    </row>
    <row r="98" spans="1:11" ht="14.45" customHeight="1" x14ac:dyDescent="0.25">
      <c r="A98" s="317" t="s">
        <v>364</v>
      </c>
      <c r="B98" s="318"/>
      <c r="C98" s="171"/>
      <c r="D98" s="171"/>
      <c r="E98" s="171"/>
      <c r="F98" s="171"/>
      <c r="G98" s="171"/>
      <c r="H98" s="270"/>
      <c r="K98" s="397"/>
    </row>
    <row r="99" spans="1:11" ht="14.45" customHeight="1" x14ac:dyDescent="0.25">
      <c r="A99" s="171" t="s">
        <v>1463</v>
      </c>
      <c r="B99" s="318"/>
      <c r="C99" s="171"/>
      <c r="D99" s="171"/>
      <c r="E99" s="171"/>
      <c r="F99" s="171"/>
      <c r="G99" s="171"/>
      <c r="H99" s="270"/>
      <c r="K99" s="397"/>
    </row>
    <row r="100" spans="1:11" ht="14.45" customHeight="1" x14ac:dyDescent="0.25">
      <c r="A100" s="399" t="s">
        <v>499</v>
      </c>
      <c r="B100" s="318"/>
      <c r="C100" s="171"/>
      <c r="D100" s="171"/>
      <c r="E100" s="317"/>
      <c r="F100" s="171"/>
      <c r="G100" s="590"/>
      <c r="H100" s="270"/>
      <c r="K100" s="397"/>
    </row>
    <row r="101" spans="1:11" ht="14.45" customHeight="1" x14ac:dyDescent="0.25">
      <c r="A101" s="400" t="s">
        <v>399</v>
      </c>
      <c r="B101" s="320" t="s">
        <v>211</v>
      </c>
      <c r="C101" s="165">
        <v>0</v>
      </c>
      <c r="D101" s="165">
        <v>0</v>
      </c>
      <c r="E101" s="165">
        <f>F101-D101</f>
        <v>4059336</v>
      </c>
      <c r="F101" s="165">
        <v>4059336</v>
      </c>
      <c r="G101" s="590">
        <v>4000000</v>
      </c>
      <c r="H101" s="270"/>
      <c r="K101" s="397"/>
    </row>
    <row r="102" spans="1:11" ht="14.45" customHeight="1" x14ac:dyDescent="0.25">
      <c r="A102" s="401" t="s">
        <v>424</v>
      </c>
      <c r="B102" s="320"/>
      <c r="C102" s="320"/>
      <c r="D102" s="320"/>
      <c r="E102" s="358"/>
      <c r="F102" s="320"/>
      <c r="G102" s="591"/>
      <c r="H102" s="270"/>
      <c r="K102" s="397"/>
    </row>
    <row r="103" spans="1:11" ht="14.45" customHeight="1" x14ac:dyDescent="0.25">
      <c r="A103" s="363" t="s">
        <v>424</v>
      </c>
      <c r="B103" s="320" t="s">
        <v>335</v>
      </c>
      <c r="C103" s="165">
        <v>0</v>
      </c>
      <c r="D103" s="165">
        <v>1251802</v>
      </c>
      <c r="E103" s="165">
        <f>F103-D103</f>
        <v>1869758</v>
      </c>
      <c r="F103" s="165">
        <v>3121560</v>
      </c>
      <c r="G103" s="545">
        <v>3170232</v>
      </c>
      <c r="H103" s="212">
        <f>SUM(K105:K108)</f>
        <v>3170232</v>
      </c>
      <c r="K103" s="397"/>
    </row>
    <row r="104" spans="1:11" ht="14.45" customHeight="1" x14ac:dyDescent="0.25">
      <c r="A104" s="17" t="s">
        <v>2402</v>
      </c>
      <c r="B104" s="320"/>
      <c r="C104" s="165"/>
      <c r="D104" s="165"/>
      <c r="E104" s="165"/>
      <c r="F104" s="165"/>
      <c r="G104" s="545"/>
      <c r="H104" s="270"/>
      <c r="K104" s="397"/>
    </row>
    <row r="105" spans="1:11" ht="14.45" customHeight="1" x14ac:dyDescent="0.25">
      <c r="A105" s="171" t="s">
        <v>2403</v>
      </c>
      <c r="B105" s="320"/>
      <c r="C105" s="165"/>
      <c r="D105" s="165"/>
      <c r="E105" s="165"/>
      <c r="F105" s="165"/>
      <c r="G105" s="545"/>
      <c r="H105" s="270">
        <v>26</v>
      </c>
      <c r="I105" s="57">
        <v>765</v>
      </c>
      <c r="J105" s="57">
        <v>9</v>
      </c>
      <c r="K105" s="168">
        <f>H105*I105*J105*12</f>
        <v>2148120</v>
      </c>
    </row>
    <row r="106" spans="1:11" ht="14.45" customHeight="1" x14ac:dyDescent="0.25">
      <c r="A106" s="402" t="s">
        <v>2404</v>
      </c>
      <c r="B106" s="320"/>
      <c r="C106" s="165"/>
      <c r="D106" s="165"/>
      <c r="E106" s="165"/>
      <c r="F106" s="165"/>
      <c r="G106" s="165"/>
      <c r="K106" s="168"/>
    </row>
    <row r="107" spans="1:11" ht="14.45" customHeight="1" x14ac:dyDescent="0.25">
      <c r="A107" s="171" t="s">
        <v>2405</v>
      </c>
      <c r="B107" s="320"/>
      <c r="C107" s="165"/>
      <c r="D107" s="165"/>
      <c r="E107" s="165"/>
      <c r="F107" s="165"/>
      <c r="G107" s="165"/>
      <c r="H107" s="270">
        <v>26</v>
      </c>
      <c r="I107" s="57">
        <v>720</v>
      </c>
      <c r="J107" s="57">
        <v>1</v>
      </c>
      <c r="K107" s="168">
        <f t="shared" ref="K107:K108" si="12">H107*I107*J107*12</f>
        <v>224640</v>
      </c>
    </row>
    <row r="108" spans="1:11" ht="14.45" customHeight="1" x14ac:dyDescent="0.25">
      <c r="A108" s="171" t="s">
        <v>2406</v>
      </c>
      <c r="B108" s="320"/>
      <c r="C108" s="165"/>
      <c r="D108" s="165"/>
      <c r="E108" s="165"/>
      <c r="F108" s="165"/>
      <c r="G108" s="165"/>
      <c r="H108" s="270">
        <v>26</v>
      </c>
      <c r="I108" s="57">
        <v>639</v>
      </c>
      <c r="J108" s="57">
        <v>4</v>
      </c>
      <c r="K108" s="168">
        <f t="shared" si="12"/>
        <v>797472</v>
      </c>
    </row>
    <row r="109" spans="1:11" ht="14.45" customHeight="1" x14ac:dyDescent="0.25">
      <c r="A109" s="171" t="s">
        <v>466</v>
      </c>
      <c r="B109" s="320"/>
      <c r="C109" s="166">
        <f t="shared" ref="C109:G109" si="13">SUM(C101:C103)</f>
        <v>0</v>
      </c>
      <c r="D109" s="166">
        <f t="shared" si="13"/>
        <v>1251802</v>
      </c>
      <c r="E109" s="166">
        <f t="shared" si="13"/>
        <v>5929094</v>
      </c>
      <c r="F109" s="166">
        <f t="shared" si="13"/>
        <v>7180896</v>
      </c>
      <c r="G109" s="166">
        <f t="shared" si="13"/>
        <v>7170232</v>
      </c>
      <c r="H109" s="270"/>
      <c r="K109" s="397"/>
    </row>
    <row r="110" spans="1:11" ht="14.45" customHeight="1" x14ac:dyDescent="0.25">
      <c r="A110" s="171"/>
      <c r="B110" s="320"/>
      <c r="C110" s="165"/>
      <c r="D110" s="165"/>
      <c r="E110" s="165"/>
      <c r="F110" s="165"/>
      <c r="G110" s="165"/>
      <c r="H110" s="270"/>
      <c r="K110" s="397"/>
    </row>
    <row r="111" spans="1:11" ht="14.45" customHeight="1" x14ac:dyDescent="0.25">
      <c r="A111" s="171" t="s">
        <v>467</v>
      </c>
      <c r="B111" s="320"/>
      <c r="C111" s="165">
        <v>0</v>
      </c>
      <c r="D111" s="165">
        <f t="shared" ref="D111:G111" si="14">+D109</f>
        <v>1251802</v>
      </c>
      <c r="E111" s="165">
        <f t="shared" si="14"/>
        <v>5929094</v>
      </c>
      <c r="F111" s="165">
        <f t="shared" si="14"/>
        <v>7180896</v>
      </c>
      <c r="G111" s="165">
        <f t="shared" si="14"/>
        <v>7170232</v>
      </c>
      <c r="H111" s="270"/>
      <c r="K111" s="397"/>
    </row>
    <row r="112" spans="1:11" ht="14.45" customHeight="1" x14ac:dyDescent="0.25">
      <c r="A112" s="171"/>
      <c r="B112" s="320"/>
      <c r="C112" s="165"/>
      <c r="D112" s="165"/>
      <c r="E112" s="165"/>
      <c r="F112" s="165"/>
      <c r="G112" s="165"/>
      <c r="H112" s="270"/>
      <c r="K112" s="397"/>
    </row>
    <row r="113" spans="1:26" ht="14.45" customHeight="1" x14ac:dyDescent="0.25">
      <c r="A113" s="365" t="s">
        <v>487</v>
      </c>
      <c r="B113" s="324" t="s">
        <v>488</v>
      </c>
      <c r="C113" s="166">
        <f t="shared" ref="C113:G113" si="15">C111</f>
        <v>0</v>
      </c>
      <c r="D113" s="166">
        <f t="shared" si="15"/>
        <v>1251802</v>
      </c>
      <c r="E113" s="166">
        <f t="shared" si="15"/>
        <v>5929094</v>
      </c>
      <c r="F113" s="166">
        <f t="shared" si="15"/>
        <v>7180896</v>
      </c>
      <c r="G113" s="166">
        <f t="shared" si="15"/>
        <v>7170232</v>
      </c>
      <c r="H113" s="270"/>
      <c r="K113" s="397"/>
    </row>
    <row r="114" spans="1:26" ht="14.45" customHeight="1" x14ac:dyDescent="0.25">
      <c r="A114" s="24"/>
      <c r="B114" s="25"/>
      <c r="C114" s="24"/>
      <c r="D114" s="24"/>
      <c r="E114" s="24"/>
      <c r="F114" s="114"/>
      <c r="G114" s="114"/>
      <c r="H114" s="270"/>
      <c r="K114" s="397"/>
    </row>
    <row r="115" spans="1:26" ht="14.45" customHeight="1" x14ac:dyDescent="0.25">
      <c r="A115" s="24"/>
      <c r="B115" s="25"/>
      <c r="C115" s="24"/>
      <c r="D115" s="24"/>
      <c r="E115" s="24"/>
      <c r="F115" s="15"/>
      <c r="G115" s="15"/>
      <c r="H115" s="269"/>
      <c r="I115" s="15"/>
      <c r="J115" s="15"/>
      <c r="K115" s="398"/>
      <c r="L115" s="15"/>
      <c r="M115" s="15"/>
      <c r="N115" s="15"/>
      <c r="O115" s="15"/>
      <c r="P115" s="15"/>
      <c r="Q115" s="15"/>
      <c r="R115" s="15"/>
      <c r="S115" s="15"/>
      <c r="T115" s="15"/>
      <c r="U115" s="15"/>
      <c r="V115" s="15"/>
      <c r="W115" s="15"/>
      <c r="X115" s="15"/>
      <c r="Y115" s="15"/>
      <c r="Z115" s="15"/>
    </row>
    <row r="116" spans="1:26" ht="14.45" customHeight="1" x14ac:dyDescent="0.25">
      <c r="A116" s="9"/>
      <c r="B116" s="104"/>
      <c r="C116" s="105"/>
      <c r="D116" s="105"/>
      <c r="E116" s="105"/>
      <c r="F116" s="10"/>
      <c r="G116" s="180"/>
      <c r="H116" s="269"/>
      <c r="I116" s="15"/>
      <c r="J116" s="15"/>
      <c r="K116" s="398"/>
      <c r="L116" s="15"/>
      <c r="M116" s="15"/>
      <c r="N116" s="15"/>
      <c r="O116" s="15"/>
      <c r="P116" s="15"/>
      <c r="Q116" s="15"/>
      <c r="R116" s="15"/>
      <c r="S116" s="15"/>
      <c r="T116" s="15"/>
      <c r="U116" s="15"/>
      <c r="V116" s="15"/>
      <c r="W116" s="15"/>
      <c r="X116" s="15"/>
      <c r="Y116" s="15"/>
      <c r="Z116" s="15"/>
    </row>
    <row r="117" spans="1:26" ht="14.45" customHeight="1" x14ac:dyDescent="0.25">
      <c r="A117" s="108" t="s">
        <v>2407</v>
      </c>
      <c r="B117" s="25"/>
      <c r="C117" s="26"/>
      <c r="D117" s="26"/>
      <c r="E117" s="26"/>
      <c r="F117" s="14"/>
      <c r="G117" s="181"/>
      <c r="H117" s="269"/>
      <c r="I117" s="15"/>
      <c r="J117" s="15"/>
      <c r="K117" s="398"/>
      <c r="L117" s="15"/>
      <c r="M117" s="15"/>
      <c r="N117" s="15"/>
      <c r="O117" s="15"/>
      <c r="P117" s="15"/>
      <c r="Q117" s="15"/>
      <c r="R117" s="15"/>
      <c r="S117" s="15"/>
      <c r="T117" s="15"/>
      <c r="U117" s="15"/>
      <c r="V117" s="15"/>
      <c r="W117" s="15"/>
      <c r="X117" s="15"/>
      <c r="Y117" s="15"/>
      <c r="Z117" s="15"/>
    </row>
    <row r="118" spans="1:26" ht="14.45" customHeight="1" x14ac:dyDescent="0.25">
      <c r="A118" s="108"/>
      <c r="B118" s="25"/>
      <c r="C118" s="26"/>
      <c r="D118" s="26"/>
      <c r="E118" s="26"/>
      <c r="F118" s="14"/>
      <c r="G118" s="181"/>
      <c r="H118" s="269"/>
      <c r="I118" s="15"/>
      <c r="J118" s="15"/>
      <c r="K118" s="398"/>
      <c r="L118" s="15"/>
      <c r="M118" s="15"/>
      <c r="N118" s="15"/>
      <c r="O118" s="15"/>
      <c r="P118" s="15"/>
      <c r="Q118" s="15"/>
      <c r="R118" s="15"/>
      <c r="S118" s="15"/>
      <c r="T118" s="15"/>
      <c r="U118" s="15"/>
      <c r="V118" s="15"/>
      <c r="W118" s="15"/>
      <c r="X118" s="15"/>
      <c r="Y118" s="15"/>
      <c r="Z118" s="15"/>
    </row>
    <row r="119" spans="1:26" ht="14.45" customHeight="1" x14ac:dyDescent="0.25">
      <c r="A119" s="865" t="s">
        <v>352</v>
      </c>
      <c r="B119" s="866"/>
      <c r="C119" s="866"/>
      <c r="D119" s="866"/>
      <c r="E119" s="866"/>
      <c r="F119" s="866"/>
      <c r="G119" s="867"/>
      <c r="H119" s="269"/>
      <c r="I119" s="15"/>
      <c r="J119" s="15"/>
      <c r="K119" s="398"/>
      <c r="L119" s="15"/>
      <c r="M119" s="15"/>
      <c r="N119" s="15"/>
      <c r="O119" s="15"/>
      <c r="P119" s="15"/>
      <c r="Q119" s="15"/>
      <c r="R119" s="15"/>
      <c r="S119" s="15"/>
      <c r="T119" s="15"/>
      <c r="U119" s="15"/>
      <c r="V119" s="15"/>
      <c r="W119" s="15"/>
      <c r="X119" s="15"/>
      <c r="Y119" s="15"/>
      <c r="Z119" s="15"/>
    </row>
    <row r="120" spans="1:26" ht="14.45" customHeight="1" x14ac:dyDescent="0.25">
      <c r="A120" s="868" t="s">
        <v>1194</v>
      </c>
      <c r="B120" s="857" t="s">
        <v>354</v>
      </c>
      <c r="C120" s="870" t="s">
        <v>355</v>
      </c>
      <c r="D120" s="872" t="s">
        <v>356</v>
      </c>
      <c r="E120" s="873"/>
      <c r="F120" s="874"/>
      <c r="G120" s="857" t="s">
        <v>357</v>
      </c>
      <c r="H120" s="269"/>
      <c r="I120" s="15"/>
      <c r="J120" s="15"/>
      <c r="K120" s="398"/>
      <c r="L120" s="15"/>
      <c r="M120" s="15"/>
      <c r="N120" s="15"/>
      <c r="O120" s="15"/>
      <c r="P120" s="15"/>
      <c r="Q120" s="15"/>
      <c r="R120" s="15"/>
      <c r="S120" s="15"/>
      <c r="T120" s="15"/>
      <c r="U120" s="15"/>
      <c r="V120" s="15"/>
      <c r="W120" s="15"/>
      <c r="X120" s="15"/>
      <c r="Y120" s="15"/>
      <c r="Z120" s="15"/>
    </row>
    <row r="121" spans="1:26" ht="14.45" customHeight="1" x14ac:dyDescent="0.25">
      <c r="A121" s="858"/>
      <c r="B121" s="858"/>
      <c r="C121" s="871"/>
      <c r="D121" s="28" t="s">
        <v>358</v>
      </c>
      <c r="E121" s="29" t="s">
        <v>359</v>
      </c>
      <c r="F121" s="875" t="s">
        <v>360</v>
      </c>
      <c r="G121" s="858"/>
      <c r="H121" s="269"/>
      <c r="I121" s="15"/>
      <c r="J121" s="15"/>
      <c r="K121" s="398"/>
      <c r="L121" s="15"/>
      <c r="M121" s="15"/>
      <c r="N121" s="15"/>
      <c r="O121" s="15"/>
      <c r="P121" s="15"/>
      <c r="Q121" s="15"/>
      <c r="R121" s="15"/>
      <c r="S121" s="15"/>
      <c r="T121" s="15"/>
      <c r="U121" s="15"/>
      <c r="V121" s="15"/>
      <c r="W121" s="15"/>
      <c r="X121" s="15"/>
      <c r="Y121" s="15"/>
      <c r="Z121" s="15"/>
    </row>
    <row r="122" spans="1:26" ht="14.45" customHeight="1" x14ac:dyDescent="0.25">
      <c r="A122" s="858"/>
      <c r="B122" s="858"/>
      <c r="C122" s="30" t="s">
        <v>361</v>
      </c>
      <c r="D122" s="31" t="s">
        <v>361</v>
      </c>
      <c r="E122" s="32" t="s">
        <v>362</v>
      </c>
      <c r="F122" s="860"/>
      <c r="G122" s="442" t="s">
        <v>2669</v>
      </c>
      <c r="H122" s="269"/>
      <c r="I122" s="15"/>
      <c r="J122" s="15"/>
      <c r="K122" s="398"/>
      <c r="L122" s="15"/>
      <c r="M122" s="15"/>
      <c r="N122" s="15"/>
      <c r="O122" s="15"/>
      <c r="P122" s="15"/>
      <c r="Q122" s="15"/>
      <c r="R122" s="15"/>
      <c r="S122" s="15"/>
      <c r="T122" s="15"/>
      <c r="U122" s="15"/>
      <c r="V122" s="15"/>
      <c r="W122" s="15"/>
      <c r="X122" s="15"/>
      <c r="Y122" s="15"/>
      <c r="Z122" s="15"/>
    </row>
    <row r="123" spans="1:26" ht="14.45" customHeight="1" x14ac:dyDescent="0.25">
      <c r="A123" s="869"/>
      <c r="B123" s="869"/>
      <c r="C123" s="33">
        <v>2024</v>
      </c>
      <c r="D123" s="34">
        <v>2025</v>
      </c>
      <c r="E123" s="35">
        <v>2025</v>
      </c>
      <c r="F123" s="34">
        <v>2025</v>
      </c>
      <c r="G123" s="36" t="s">
        <v>2668</v>
      </c>
      <c r="H123" s="269"/>
      <c r="I123" s="15"/>
      <c r="J123" s="15"/>
      <c r="K123" s="398"/>
      <c r="L123" s="15"/>
      <c r="M123" s="15"/>
      <c r="N123" s="15"/>
      <c r="O123" s="15"/>
      <c r="P123" s="15"/>
      <c r="Q123" s="15"/>
      <c r="R123" s="15"/>
      <c r="S123" s="15"/>
      <c r="T123" s="15"/>
      <c r="U123" s="15"/>
      <c r="V123" s="15"/>
      <c r="W123" s="15"/>
      <c r="X123" s="15"/>
      <c r="Y123" s="15"/>
      <c r="Z123" s="15"/>
    </row>
    <row r="124" spans="1:26" ht="14.45" customHeight="1" x14ac:dyDescent="0.25">
      <c r="A124" s="317" t="s">
        <v>364</v>
      </c>
      <c r="B124" s="318"/>
      <c r="C124" s="171"/>
      <c r="D124" s="171"/>
      <c r="E124" s="171"/>
      <c r="F124" s="171"/>
      <c r="G124" s="171"/>
      <c r="H124" s="269"/>
      <c r="I124" s="15"/>
      <c r="J124" s="15"/>
      <c r="K124" s="398"/>
      <c r="L124" s="15"/>
      <c r="M124" s="15"/>
      <c r="N124" s="15"/>
      <c r="O124" s="15"/>
      <c r="P124" s="15"/>
      <c r="Q124" s="15"/>
      <c r="R124" s="15"/>
      <c r="S124" s="15"/>
      <c r="T124" s="15"/>
      <c r="U124" s="15"/>
      <c r="V124" s="15"/>
      <c r="W124" s="15"/>
      <c r="X124" s="15"/>
      <c r="Y124" s="15"/>
      <c r="Z124" s="15"/>
    </row>
    <row r="125" spans="1:26" ht="14.45" customHeight="1" x14ac:dyDescent="0.25">
      <c r="A125" s="171" t="s">
        <v>1463</v>
      </c>
      <c r="B125" s="318"/>
      <c r="C125" s="171"/>
      <c r="D125" s="171"/>
      <c r="E125" s="171"/>
      <c r="F125" s="171"/>
      <c r="G125" s="171"/>
      <c r="H125" s="269"/>
      <c r="I125" s="15"/>
      <c r="J125" s="15"/>
      <c r="K125" s="398"/>
      <c r="L125" s="15"/>
      <c r="M125" s="15"/>
      <c r="N125" s="15"/>
      <c r="O125" s="15"/>
      <c r="P125" s="15"/>
      <c r="Q125" s="15"/>
      <c r="R125" s="15"/>
      <c r="S125" s="15"/>
      <c r="T125" s="15"/>
      <c r="U125" s="15"/>
      <c r="V125" s="15"/>
      <c r="W125" s="15"/>
      <c r="X125" s="15"/>
      <c r="Y125" s="15"/>
      <c r="Z125" s="15"/>
    </row>
    <row r="126" spans="1:26" ht="14.45" customHeight="1" x14ac:dyDescent="0.25">
      <c r="A126" s="399" t="s">
        <v>499</v>
      </c>
      <c r="B126" s="318"/>
      <c r="C126" s="171"/>
      <c r="D126" s="171"/>
      <c r="E126" s="317"/>
      <c r="F126" s="171"/>
      <c r="G126" s="590"/>
      <c r="H126" s="269"/>
      <c r="I126" s="15"/>
      <c r="J126" s="15"/>
      <c r="K126" s="398"/>
      <c r="L126" s="15"/>
      <c r="M126" s="15"/>
      <c r="N126" s="15"/>
      <c r="O126" s="15"/>
      <c r="P126" s="15"/>
      <c r="Q126" s="15"/>
      <c r="R126" s="15"/>
      <c r="S126" s="15"/>
      <c r="T126" s="15"/>
      <c r="U126" s="15"/>
      <c r="V126" s="15"/>
      <c r="W126" s="15"/>
      <c r="X126" s="15"/>
      <c r="Y126" s="15"/>
      <c r="Z126" s="15"/>
    </row>
    <row r="127" spans="1:26" ht="14.45" customHeight="1" x14ac:dyDescent="0.25">
      <c r="A127" s="44" t="s">
        <v>402</v>
      </c>
      <c r="B127" s="41" t="s">
        <v>225</v>
      </c>
      <c r="C127" s="165">
        <v>0</v>
      </c>
      <c r="D127" s="165">
        <v>0</v>
      </c>
      <c r="E127" s="165">
        <f>F127-D127</f>
        <v>0</v>
      </c>
      <c r="F127" s="165">
        <v>0</v>
      </c>
      <c r="G127" s="590">
        <v>17410416</v>
      </c>
      <c r="H127" s="269"/>
      <c r="I127" s="15"/>
      <c r="J127" s="15"/>
      <c r="K127" s="398"/>
      <c r="L127" s="15"/>
      <c r="M127" s="15"/>
      <c r="N127" s="15"/>
      <c r="O127" s="15"/>
      <c r="P127" s="15"/>
      <c r="Q127" s="15"/>
      <c r="R127" s="15"/>
      <c r="S127" s="15"/>
      <c r="T127" s="15"/>
      <c r="U127" s="15"/>
      <c r="V127" s="15"/>
      <c r="W127" s="15"/>
      <c r="X127" s="15"/>
      <c r="Y127" s="15"/>
      <c r="Z127" s="15"/>
    </row>
    <row r="128" spans="1:26" ht="14.45" customHeight="1" x14ac:dyDescent="0.25">
      <c r="A128" s="401" t="s">
        <v>424</v>
      </c>
      <c r="B128" s="320"/>
      <c r="C128" s="320"/>
      <c r="D128" s="320"/>
      <c r="E128" s="358"/>
      <c r="F128" s="320"/>
      <c r="G128" s="591"/>
      <c r="H128" s="269"/>
      <c r="I128" s="15"/>
      <c r="J128" s="15"/>
      <c r="K128" s="398"/>
      <c r="L128" s="15"/>
      <c r="M128" s="15"/>
      <c r="N128" s="15"/>
      <c r="O128" s="15"/>
      <c r="P128" s="15"/>
      <c r="Q128" s="15"/>
      <c r="R128" s="15"/>
      <c r="S128" s="15"/>
      <c r="T128" s="15"/>
      <c r="U128" s="15"/>
      <c r="V128" s="15"/>
      <c r="W128" s="15"/>
      <c r="X128" s="15"/>
      <c r="Y128" s="15"/>
      <c r="Z128" s="15"/>
    </row>
    <row r="129" spans="1:26" ht="14.45" customHeight="1" x14ac:dyDescent="0.25">
      <c r="A129" s="363" t="s">
        <v>424</v>
      </c>
      <c r="B129" s="320" t="s">
        <v>335</v>
      </c>
      <c r="C129" s="165">
        <v>0</v>
      </c>
      <c r="D129" s="165">
        <v>0</v>
      </c>
      <c r="E129" s="165">
        <f>F129-D129</f>
        <v>0</v>
      </c>
      <c r="F129" s="165">
        <v>0</v>
      </c>
      <c r="G129" s="545">
        <v>1189584</v>
      </c>
      <c r="H129" s="269">
        <f>SUM(J131:J136)</f>
        <v>1189584</v>
      </c>
      <c r="I129" s="15"/>
      <c r="J129" s="15"/>
      <c r="K129" s="398"/>
      <c r="L129" s="15"/>
      <c r="M129" s="15"/>
      <c r="N129" s="15"/>
      <c r="O129" s="15"/>
      <c r="P129" s="15"/>
      <c r="Q129" s="15"/>
      <c r="R129" s="15"/>
      <c r="S129" s="15"/>
      <c r="T129" s="15"/>
      <c r="U129" s="15"/>
      <c r="V129" s="15"/>
      <c r="W129" s="15"/>
      <c r="X129" s="15"/>
      <c r="Y129" s="15"/>
      <c r="Z129" s="15"/>
    </row>
    <row r="130" spans="1:26" ht="14.45" customHeight="1" x14ac:dyDescent="0.25">
      <c r="A130" s="17" t="s">
        <v>2408</v>
      </c>
      <c r="B130" s="320"/>
      <c r="C130" s="165"/>
      <c r="D130" s="165"/>
      <c r="E130" s="165"/>
      <c r="F130" s="165"/>
      <c r="G130" s="545"/>
      <c r="H130" s="269"/>
      <c r="I130" s="15"/>
      <c r="J130" s="15"/>
      <c r="K130" s="398"/>
      <c r="L130" s="15"/>
      <c r="M130" s="15"/>
      <c r="N130" s="15"/>
      <c r="O130" s="15"/>
      <c r="P130" s="15"/>
      <c r="Q130" s="15"/>
      <c r="R130" s="15"/>
      <c r="S130" s="15"/>
      <c r="T130" s="15"/>
      <c r="U130" s="15"/>
      <c r="V130" s="15"/>
      <c r="W130" s="15"/>
      <c r="X130" s="15"/>
      <c r="Y130" s="15"/>
      <c r="Z130" s="15"/>
    </row>
    <row r="131" spans="1:26" ht="14.45" customHeight="1" x14ac:dyDescent="0.25">
      <c r="A131" s="266" t="s">
        <v>2409</v>
      </c>
      <c r="B131" s="320"/>
      <c r="C131" s="165"/>
      <c r="D131" s="165"/>
      <c r="E131" s="165"/>
      <c r="F131" s="165"/>
      <c r="G131" s="545"/>
      <c r="H131" s="269">
        <v>861</v>
      </c>
      <c r="I131" s="15">
        <v>22</v>
      </c>
      <c r="J131" s="167">
        <f t="shared" ref="J131:J136" si="16">H131*I131*12</f>
        <v>227304</v>
      </c>
      <c r="K131" s="398"/>
      <c r="L131" s="15"/>
      <c r="M131" s="15"/>
      <c r="N131" s="15"/>
      <c r="O131" s="15"/>
      <c r="P131" s="15"/>
      <c r="Q131" s="15"/>
      <c r="R131" s="15"/>
      <c r="S131" s="15"/>
      <c r="T131" s="15"/>
      <c r="U131" s="15"/>
      <c r="V131" s="15"/>
      <c r="W131" s="15"/>
      <c r="X131" s="15"/>
      <c r="Y131" s="15"/>
      <c r="Z131" s="15"/>
    </row>
    <row r="132" spans="1:26" ht="14.45" customHeight="1" x14ac:dyDescent="0.25">
      <c r="A132" s="266" t="s">
        <v>2410</v>
      </c>
      <c r="B132" s="320"/>
      <c r="C132" s="165"/>
      <c r="D132" s="165"/>
      <c r="E132" s="165"/>
      <c r="F132" s="165"/>
      <c r="G132" s="165"/>
      <c r="H132" s="269">
        <v>720</v>
      </c>
      <c r="I132" s="15">
        <v>22</v>
      </c>
      <c r="J132" s="167">
        <f t="shared" si="16"/>
        <v>190080</v>
      </c>
      <c r="K132" s="398"/>
      <c r="L132" s="15"/>
      <c r="M132" s="15"/>
      <c r="N132" s="15"/>
      <c r="O132" s="15"/>
      <c r="P132" s="15"/>
      <c r="Q132" s="15"/>
      <c r="R132" s="15"/>
      <c r="S132" s="15"/>
      <c r="T132" s="15"/>
      <c r="U132" s="15"/>
      <c r="V132" s="15"/>
      <c r="W132" s="15"/>
      <c r="X132" s="15"/>
      <c r="Y132" s="15"/>
      <c r="Z132" s="15"/>
    </row>
    <row r="133" spans="1:26" ht="14.45" customHeight="1" x14ac:dyDescent="0.25">
      <c r="A133" s="266" t="s">
        <v>2411</v>
      </c>
      <c r="B133" s="320"/>
      <c r="C133" s="165"/>
      <c r="D133" s="165"/>
      <c r="E133" s="165"/>
      <c r="F133" s="165"/>
      <c r="G133" s="165"/>
      <c r="H133" s="269">
        <v>765</v>
      </c>
      <c r="I133" s="15">
        <v>22</v>
      </c>
      <c r="J133" s="167">
        <f t="shared" si="16"/>
        <v>201960</v>
      </c>
      <c r="K133" s="398"/>
      <c r="L133" s="15"/>
      <c r="M133" s="15"/>
      <c r="N133" s="15"/>
      <c r="O133" s="15"/>
      <c r="P133" s="15"/>
      <c r="Q133" s="15"/>
      <c r="R133" s="15"/>
      <c r="S133" s="15"/>
      <c r="T133" s="15"/>
      <c r="U133" s="15"/>
      <c r="V133" s="15"/>
      <c r="W133" s="15"/>
      <c r="X133" s="15"/>
      <c r="Y133" s="15"/>
      <c r="Z133" s="15"/>
    </row>
    <row r="134" spans="1:26" ht="14.45" customHeight="1" x14ac:dyDescent="0.25">
      <c r="A134" s="266" t="s">
        <v>2412</v>
      </c>
      <c r="B134" s="320"/>
      <c r="C134" s="165"/>
      <c r="D134" s="165"/>
      <c r="E134" s="165"/>
      <c r="F134" s="165"/>
      <c r="G134" s="165"/>
      <c r="H134" s="269">
        <v>720</v>
      </c>
      <c r="I134" s="15">
        <v>22</v>
      </c>
      <c r="J134" s="167">
        <f t="shared" si="16"/>
        <v>190080</v>
      </c>
      <c r="K134" s="398"/>
      <c r="L134" s="15"/>
      <c r="M134" s="15"/>
      <c r="N134" s="15"/>
      <c r="O134" s="15"/>
      <c r="P134" s="15"/>
      <c r="Q134" s="15"/>
      <c r="R134" s="15"/>
      <c r="S134" s="15"/>
      <c r="T134" s="15"/>
      <c r="U134" s="15"/>
      <c r="V134" s="15"/>
      <c r="W134" s="15"/>
      <c r="X134" s="15"/>
      <c r="Y134" s="15"/>
      <c r="Z134" s="15"/>
    </row>
    <row r="135" spans="1:26" ht="14.45" customHeight="1" x14ac:dyDescent="0.25">
      <c r="A135" s="266" t="s">
        <v>2413</v>
      </c>
      <c r="B135" s="320"/>
      <c r="C135" s="165"/>
      <c r="D135" s="165"/>
      <c r="E135" s="165"/>
      <c r="F135" s="165"/>
      <c r="G135" s="165"/>
      <c r="H135" s="269">
        <v>720</v>
      </c>
      <c r="I135" s="15">
        <v>22</v>
      </c>
      <c r="J135" s="167">
        <f t="shared" si="16"/>
        <v>190080</v>
      </c>
      <c r="K135" s="398"/>
      <c r="L135" s="15"/>
      <c r="M135" s="15"/>
      <c r="N135" s="15"/>
      <c r="O135" s="15"/>
      <c r="P135" s="15"/>
      <c r="Q135" s="15"/>
      <c r="R135" s="15"/>
      <c r="S135" s="15"/>
      <c r="T135" s="15"/>
      <c r="U135" s="15"/>
      <c r="V135" s="15"/>
      <c r="W135" s="15"/>
      <c r="X135" s="15"/>
      <c r="Y135" s="15"/>
      <c r="Z135" s="15"/>
    </row>
    <row r="136" spans="1:26" ht="14.45" customHeight="1" x14ac:dyDescent="0.25">
      <c r="A136" s="266" t="s">
        <v>2414</v>
      </c>
      <c r="B136" s="320"/>
      <c r="C136" s="165"/>
      <c r="D136" s="165"/>
      <c r="E136" s="165"/>
      <c r="F136" s="165"/>
      <c r="G136" s="165"/>
      <c r="H136" s="269">
        <v>720</v>
      </c>
      <c r="I136" s="15">
        <v>22</v>
      </c>
      <c r="J136" s="167">
        <f t="shared" si="16"/>
        <v>190080</v>
      </c>
      <c r="K136" s="398"/>
      <c r="L136" s="15"/>
      <c r="M136" s="15"/>
      <c r="N136" s="15"/>
      <c r="O136" s="15"/>
      <c r="P136" s="15"/>
      <c r="Q136" s="15"/>
      <c r="R136" s="15"/>
      <c r="S136" s="15"/>
      <c r="T136" s="15"/>
      <c r="U136" s="15"/>
      <c r="V136" s="15"/>
      <c r="W136" s="15"/>
      <c r="X136" s="15"/>
      <c r="Y136" s="15"/>
      <c r="Z136" s="15"/>
    </row>
    <row r="137" spans="1:26" ht="14.45" customHeight="1" x14ac:dyDescent="0.25">
      <c r="A137" s="171" t="s">
        <v>466</v>
      </c>
      <c r="B137" s="320"/>
      <c r="C137" s="166">
        <f t="shared" ref="C137:G137" si="17">SUM(C127:C129)</f>
        <v>0</v>
      </c>
      <c r="D137" s="166">
        <f t="shared" si="17"/>
        <v>0</v>
      </c>
      <c r="E137" s="166">
        <f t="shared" si="17"/>
        <v>0</v>
      </c>
      <c r="F137" s="166">
        <f t="shared" si="17"/>
        <v>0</v>
      </c>
      <c r="G137" s="166">
        <f t="shared" si="17"/>
        <v>18600000</v>
      </c>
      <c r="H137" s="269"/>
      <c r="I137" s="15"/>
      <c r="J137" s="15"/>
      <c r="K137" s="398"/>
      <c r="L137" s="15"/>
      <c r="M137" s="15"/>
      <c r="N137" s="15"/>
      <c r="O137" s="15"/>
      <c r="P137" s="15"/>
      <c r="Q137" s="15"/>
      <c r="R137" s="15"/>
      <c r="S137" s="15"/>
      <c r="T137" s="15"/>
      <c r="U137" s="15"/>
      <c r="V137" s="15"/>
      <c r="W137" s="15"/>
      <c r="X137" s="15"/>
      <c r="Y137" s="15"/>
      <c r="Z137" s="15"/>
    </row>
    <row r="138" spans="1:26" ht="14.45" customHeight="1" x14ac:dyDescent="0.25">
      <c r="A138" s="171"/>
      <c r="B138" s="320"/>
      <c r="C138" s="165"/>
      <c r="D138" s="165"/>
      <c r="E138" s="165"/>
      <c r="F138" s="165"/>
      <c r="G138" s="165"/>
      <c r="H138" s="269"/>
      <c r="I138" s="15"/>
      <c r="J138" s="15"/>
      <c r="K138" s="398"/>
      <c r="L138" s="15"/>
      <c r="M138" s="15"/>
      <c r="N138" s="15"/>
      <c r="O138" s="15"/>
      <c r="P138" s="15"/>
      <c r="Q138" s="15"/>
      <c r="R138" s="15"/>
      <c r="S138" s="15"/>
      <c r="T138" s="15"/>
      <c r="U138" s="15"/>
      <c r="V138" s="15"/>
      <c r="W138" s="15"/>
      <c r="X138" s="15"/>
      <c r="Y138" s="15"/>
      <c r="Z138" s="15"/>
    </row>
    <row r="139" spans="1:26" ht="14.45" customHeight="1" x14ac:dyDescent="0.25">
      <c r="A139" s="171" t="s">
        <v>467</v>
      </c>
      <c r="B139" s="320"/>
      <c r="C139" s="165">
        <v>0</v>
      </c>
      <c r="D139" s="165">
        <f t="shared" ref="D139:G139" si="18">+D137</f>
        <v>0</v>
      </c>
      <c r="E139" s="165">
        <f t="shared" si="18"/>
        <v>0</v>
      </c>
      <c r="F139" s="165">
        <f t="shared" si="18"/>
        <v>0</v>
      </c>
      <c r="G139" s="165">
        <f t="shared" si="18"/>
        <v>18600000</v>
      </c>
      <c r="H139" s="269"/>
      <c r="I139" s="15"/>
      <c r="J139" s="15"/>
      <c r="K139" s="398"/>
      <c r="L139" s="15"/>
      <c r="M139" s="15"/>
      <c r="N139" s="15"/>
      <c r="O139" s="15"/>
      <c r="P139" s="15"/>
      <c r="Q139" s="15"/>
      <c r="R139" s="15"/>
      <c r="S139" s="15"/>
      <c r="T139" s="15"/>
      <c r="U139" s="15"/>
      <c r="V139" s="15"/>
      <c r="W139" s="15"/>
      <c r="X139" s="15"/>
      <c r="Y139" s="15"/>
      <c r="Z139" s="15"/>
    </row>
    <row r="140" spans="1:26" ht="14.45" customHeight="1" x14ac:dyDescent="0.25">
      <c r="A140" s="171"/>
      <c r="B140" s="320"/>
      <c r="C140" s="165"/>
      <c r="D140" s="165"/>
      <c r="E140" s="165"/>
      <c r="F140" s="165"/>
      <c r="G140" s="165"/>
      <c r="H140" s="269"/>
      <c r="I140" s="15"/>
      <c r="J140" s="15"/>
      <c r="K140" s="398"/>
      <c r="L140" s="15"/>
      <c r="M140" s="15"/>
      <c r="N140" s="15"/>
      <c r="O140" s="15"/>
      <c r="P140" s="15"/>
      <c r="Q140" s="15"/>
      <c r="R140" s="15"/>
      <c r="S140" s="15"/>
      <c r="T140" s="15"/>
      <c r="U140" s="15"/>
      <c r="V140" s="15"/>
      <c r="W140" s="15"/>
      <c r="X140" s="15"/>
      <c r="Y140" s="15"/>
      <c r="Z140" s="15"/>
    </row>
    <row r="141" spans="1:26" ht="14.45" customHeight="1" x14ac:dyDescent="0.25">
      <c r="A141" s="42" t="s">
        <v>529</v>
      </c>
      <c r="B141" s="320"/>
      <c r="C141" s="165"/>
      <c r="D141" s="165"/>
      <c r="E141" s="165"/>
      <c r="F141" s="165"/>
      <c r="G141" s="165"/>
      <c r="H141" s="269"/>
      <c r="I141" s="15"/>
      <c r="J141" s="15"/>
      <c r="K141" s="398"/>
      <c r="L141" s="15"/>
      <c r="M141" s="15"/>
      <c r="N141" s="15"/>
      <c r="O141" s="15"/>
      <c r="P141" s="15"/>
      <c r="Q141" s="15"/>
      <c r="R141" s="15"/>
      <c r="S141" s="15"/>
      <c r="T141" s="15"/>
      <c r="U141" s="15"/>
      <c r="V141" s="15"/>
      <c r="W141" s="15"/>
      <c r="X141" s="15"/>
      <c r="Y141" s="15"/>
      <c r="Z141" s="15"/>
    </row>
    <row r="142" spans="1:26" ht="14.45" customHeight="1" x14ac:dyDescent="0.25">
      <c r="A142" s="17" t="s">
        <v>570</v>
      </c>
      <c r="B142" s="41"/>
      <c r="C142" s="43"/>
      <c r="D142" s="43"/>
      <c r="E142" s="43"/>
      <c r="F142" s="165"/>
      <c r="G142" s="165"/>
      <c r="H142" s="269"/>
      <c r="I142" s="15"/>
      <c r="J142" s="15"/>
      <c r="K142" s="398"/>
      <c r="L142" s="15"/>
      <c r="M142" s="15"/>
      <c r="N142" s="15"/>
      <c r="O142" s="15"/>
      <c r="P142" s="15"/>
      <c r="Q142" s="15"/>
      <c r="R142" s="15"/>
      <c r="S142" s="15"/>
      <c r="T142" s="15"/>
      <c r="U142" s="15"/>
      <c r="V142" s="15"/>
      <c r="W142" s="15"/>
      <c r="X142" s="15"/>
      <c r="Y142" s="15"/>
      <c r="Z142" s="15"/>
    </row>
    <row r="143" spans="1:26" ht="14.45" customHeight="1" x14ac:dyDescent="0.25">
      <c r="A143" s="44" t="s">
        <v>802</v>
      </c>
      <c r="B143" s="41" t="s">
        <v>55</v>
      </c>
      <c r="C143" s="43">
        <v>0</v>
      </c>
      <c r="D143" s="43">
        <v>0</v>
      </c>
      <c r="E143" s="43">
        <f>F143-D143</f>
        <v>0</v>
      </c>
      <c r="F143" s="165">
        <v>0</v>
      </c>
      <c r="G143" s="165">
        <v>1400000</v>
      </c>
      <c r="H143" s="269"/>
      <c r="I143" s="15"/>
      <c r="J143" s="15"/>
      <c r="K143" s="398"/>
      <c r="L143" s="15"/>
      <c r="M143" s="15"/>
      <c r="N143" s="15"/>
      <c r="O143" s="15"/>
      <c r="P143" s="15"/>
      <c r="Q143" s="15"/>
      <c r="R143" s="15"/>
      <c r="S143" s="15"/>
      <c r="T143" s="15"/>
      <c r="U143" s="15"/>
      <c r="V143" s="15"/>
      <c r="W143" s="15"/>
      <c r="X143" s="15"/>
      <c r="Y143" s="15"/>
      <c r="Z143" s="15"/>
    </row>
    <row r="144" spans="1:26" ht="14.45" customHeight="1" x14ac:dyDescent="0.25">
      <c r="A144" s="48" t="s">
        <v>751</v>
      </c>
      <c r="B144" s="360"/>
      <c r="C144" s="277"/>
      <c r="D144" s="165"/>
      <c r="E144" s="165"/>
      <c r="F144" s="165"/>
      <c r="G144" s="165"/>
      <c r="H144" s="269"/>
      <c r="I144" s="15"/>
      <c r="J144" s="15"/>
      <c r="K144" s="398"/>
      <c r="L144" s="15"/>
      <c r="M144" s="15"/>
      <c r="N144" s="15"/>
      <c r="O144" s="15"/>
      <c r="P144" s="15"/>
      <c r="Q144" s="15"/>
      <c r="R144" s="15"/>
      <c r="S144" s="15"/>
      <c r="T144" s="15"/>
      <c r="U144" s="15"/>
      <c r="V144" s="15"/>
      <c r="W144" s="15"/>
      <c r="X144" s="15"/>
      <c r="Y144" s="15"/>
      <c r="Z144" s="15"/>
    </row>
    <row r="145" spans="1:26" ht="14.45" customHeight="1" x14ac:dyDescent="0.25">
      <c r="A145" s="42" t="s">
        <v>2363</v>
      </c>
      <c r="B145" s="49"/>
      <c r="C145" s="166">
        <f t="shared" ref="C145:G145" si="19">+SUM(C141:C144)</f>
        <v>0</v>
      </c>
      <c r="D145" s="166">
        <f t="shared" si="19"/>
        <v>0</v>
      </c>
      <c r="E145" s="166">
        <f t="shared" si="19"/>
        <v>0</v>
      </c>
      <c r="F145" s="166">
        <f t="shared" si="19"/>
        <v>0</v>
      </c>
      <c r="G145" s="166">
        <f t="shared" si="19"/>
        <v>1400000</v>
      </c>
      <c r="H145" s="269"/>
      <c r="I145" s="15"/>
      <c r="J145" s="15"/>
      <c r="K145" s="398"/>
      <c r="L145" s="15"/>
      <c r="M145" s="15"/>
      <c r="N145" s="15"/>
      <c r="O145" s="15"/>
      <c r="P145" s="15"/>
      <c r="Q145" s="15"/>
      <c r="R145" s="15"/>
      <c r="S145" s="15"/>
      <c r="T145" s="15"/>
      <c r="U145" s="15"/>
      <c r="V145" s="15"/>
      <c r="W145" s="15"/>
      <c r="X145" s="15"/>
      <c r="Y145" s="15"/>
      <c r="Z145" s="15"/>
    </row>
    <row r="146" spans="1:26" ht="14.45" customHeight="1" x14ac:dyDescent="0.25">
      <c r="A146" s="171"/>
      <c r="B146" s="320"/>
      <c r="C146" s="165"/>
      <c r="D146" s="165"/>
      <c r="E146" s="165"/>
      <c r="F146" s="165"/>
      <c r="G146" s="165"/>
      <c r="H146" s="269"/>
      <c r="I146" s="15"/>
      <c r="J146" s="15"/>
      <c r="K146" s="398"/>
      <c r="L146" s="15"/>
      <c r="M146" s="15"/>
      <c r="N146" s="15"/>
      <c r="O146" s="15"/>
      <c r="P146" s="15"/>
      <c r="Q146" s="15"/>
      <c r="R146" s="15"/>
      <c r="S146" s="15"/>
      <c r="T146" s="15"/>
      <c r="U146" s="15"/>
      <c r="V146" s="15"/>
      <c r="W146" s="15"/>
      <c r="X146" s="15"/>
      <c r="Y146" s="15"/>
      <c r="Z146" s="15"/>
    </row>
    <row r="147" spans="1:26" ht="14.45" customHeight="1" x14ac:dyDescent="0.25">
      <c r="A147" s="171"/>
      <c r="B147" s="320"/>
      <c r="C147" s="165"/>
      <c r="D147" s="165"/>
      <c r="E147" s="165"/>
      <c r="F147" s="165"/>
      <c r="G147" s="165"/>
      <c r="H147" s="269"/>
      <c r="I147" s="15"/>
      <c r="J147" s="15"/>
      <c r="K147" s="398"/>
      <c r="L147" s="15"/>
      <c r="M147" s="15"/>
      <c r="N147" s="15"/>
      <c r="O147" s="15"/>
      <c r="P147" s="15"/>
      <c r="Q147" s="15"/>
      <c r="R147" s="15"/>
      <c r="S147" s="15"/>
      <c r="T147" s="15"/>
      <c r="U147" s="15"/>
      <c r="V147" s="15"/>
      <c r="W147" s="15"/>
      <c r="X147" s="15"/>
      <c r="Y147" s="15"/>
      <c r="Z147" s="15"/>
    </row>
    <row r="148" spans="1:26" ht="14.45" customHeight="1" x14ac:dyDescent="0.25">
      <c r="A148" s="365" t="s">
        <v>487</v>
      </c>
      <c r="B148" s="324" t="s">
        <v>488</v>
      </c>
      <c r="C148" s="166">
        <f t="shared" ref="C148:G148" si="20">C139+C145</f>
        <v>0</v>
      </c>
      <c r="D148" s="166">
        <f t="shared" si="20"/>
        <v>0</v>
      </c>
      <c r="E148" s="166">
        <f t="shared" si="20"/>
        <v>0</v>
      </c>
      <c r="F148" s="166">
        <f t="shared" si="20"/>
        <v>0</v>
      </c>
      <c r="G148" s="166">
        <f t="shared" si="20"/>
        <v>20000000</v>
      </c>
      <c r="H148" s="269"/>
      <c r="I148" s="15"/>
      <c r="J148" s="15"/>
      <c r="K148" s="398"/>
      <c r="L148" s="15"/>
      <c r="M148" s="15"/>
      <c r="N148" s="15"/>
      <c r="O148" s="15"/>
      <c r="P148" s="15"/>
      <c r="Q148" s="15"/>
      <c r="R148" s="15"/>
      <c r="S148" s="15"/>
      <c r="T148" s="15"/>
      <c r="U148" s="15"/>
      <c r="V148" s="15"/>
      <c r="W148" s="15"/>
      <c r="X148" s="15"/>
      <c r="Y148" s="15"/>
      <c r="Z148" s="15"/>
    </row>
    <row r="149" spans="1:26" ht="15.75" customHeight="1" x14ac:dyDescent="0.25">
      <c r="A149" s="24"/>
      <c r="B149" s="25"/>
      <c r="C149" s="24"/>
      <c r="D149" s="24"/>
      <c r="E149" s="24"/>
      <c r="F149" s="114"/>
      <c r="G149" s="114"/>
      <c r="H149" s="269"/>
      <c r="I149" s="15"/>
      <c r="J149" s="15"/>
      <c r="K149" s="398"/>
      <c r="L149" s="15"/>
      <c r="M149" s="15"/>
      <c r="N149" s="15"/>
      <c r="O149" s="15"/>
      <c r="P149" s="15"/>
      <c r="Q149" s="15"/>
      <c r="R149" s="15"/>
      <c r="S149" s="15"/>
      <c r="T149" s="15"/>
      <c r="U149" s="15"/>
      <c r="V149" s="15"/>
      <c r="W149" s="15"/>
      <c r="X149" s="15"/>
      <c r="Y149" s="15"/>
      <c r="Z149" s="15"/>
    </row>
    <row r="150" spans="1:26" ht="15.75" customHeight="1" x14ac:dyDescent="0.25">
      <c r="A150" s="24"/>
      <c r="B150" s="25"/>
      <c r="C150" s="24"/>
      <c r="D150" s="24"/>
      <c r="E150" s="24"/>
      <c r="F150" s="15"/>
      <c r="G150" s="15"/>
      <c r="H150" s="270"/>
      <c r="K150" s="397"/>
    </row>
    <row r="151" spans="1:26" ht="15.75" customHeight="1" x14ac:dyDescent="0.25">
      <c r="A151" s="24"/>
      <c r="B151" s="25"/>
      <c r="C151" s="24"/>
      <c r="D151" s="24"/>
      <c r="E151" s="24"/>
      <c r="F151" s="114"/>
      <c r="G151" s="114"/>
      <c r="H151" s="270"/>
      <c r="K151" s="397"/>
    </row>
    <row r="152" spans="1:26" ht="15.75" customHeight="1" x14ac:dyDescent="0.25">
      <c r="A152" s="24"/>
      <c r="B152" s="25"/>
      <c r="C152" s="24"/>
      <c r="D152" s="24"/>
      <c r="E152" s="24"/>
      <c r="F152" s="114"/>
      <c r="G152" s="114"/>
      <c r="H152" s="270"/>
      <c r="K152" s="397"/>
    </row>
    <row r="153" spans="1:26" ht="15.75" customHeight="1" x14ac:dyDescent="0.25">
      <c r="A153" s="24"/>
      <c r="B153" s="25"/>
      <c r="C153" s="24"/>
      <c r="D153" s="24"/>
      <c r="E153" s="24"/>
      <c r="F153" s="114"/>
      <c r="G153" s="114"/>
      <c r="H153" s="270"/>
      <c r="K153" s="397"/>
    </row>
    <row r="154" spans="1:26" ht="15.75" customHeight="1" x14ac:dyDescent="0.25">
      <c r="A154" s="24"/>
      <c r="B154" s="25"/>
      <c r="C154" s="24"/>
      <c r="D154" s="24"/>
      <c r="E154" s="24"/>
      <c r="F154" s="114"/>
      <c r="G154" s="114"/>
      <c r="H154" s="270"/>
      <c r="K154" s="397"/>
    </row>
    <row r="155" spans="1:26" ht="15.75" customHeight="1" x14ac:dyDescent="0.25">
      <c r="A155" s="24"/>
      <c r="B155" s="25"/>
      <c r="C155" s="24"/>
      <c r="D155" s="24"/>
      <c r="E155" s="24"/>
      <c r="F155" s="114"/>
      <c r="G155" s="114"/>
      <c r="H155" s="270"/>
      <c r="K155" s="397"/>
    </row>
    <row r="156" spans="1:26" ht="15.75" customHeight="1" x14ac:dyDescent="0.25">
      <c r="A156" s="24"/>
      <c r="B156" s="25"/>
      <c r="C156" s="24"/>
      <c r="D156" s="24"/>
      <c r="E156" s="24"/>
      <c r="F156" s="114"/>
      <c r="G156" s="114"/>
      <c r="H156" s="270"/>
      <c r="K156" s="397"/>
    </row>
    <row r="157" spans="1:26" ht="15.75" customHeight="1" x14ac:dyDescent="0.25">
      <c r="A157" s="24"/>
      <c r="B157" s="25"/>
      <c r="C157" s="24"/>
      <c r="D157" s="24"/>
      <c r="E157" s="24"/>
      <c r="F157" s="114"/>
      <c r="G157" s="114"/>
      <c r="H157" s="270"/>
      <c r="K157" s="397"/>
    </row>
    <row r="158" spans="1:26" ht="15.75" customHeight="1" x14ac:dyDescent="0.25">
      <c r="A158" s="24"/>
      <c r="B158" s="25"/>
      <c r="C158" s="24"/>
      <c r="D158" s="24"/>
      <c r="E158" s="24"/>
      <c r="F158" s="114"/>
      <c r="G158" s="114"/>
      <c r="H158" s="270"/>
      <c r="K158" s="397"/>
    </row>
    <row r="159" spans="1:26" ht="15.75" customHeight="1" x14ac:dyDescent="0.25">
      <c r="A159" s="24"/>
      <c r="B159" s="25"/>
      <c r="C159" s="24"/>
      <c r="D159" s="24"/>
      <c r="E159" s="24"/>
      <c r="F159" s="114"/>
      <c r="G159" s="114"/>
      <c r="H159" s="270"/>
      <c r="K159" s="397"/>
    </row>
    <row r="160" spans="1:26" ht="15.75" customHeight="1" x14ac:dyDescent="0.25">
      <c r="A160" s="24"/>
      <c r="B160" s="25"/>
      <c r="C160" s="24"/>
      <c r="D160" s="24"/>
      <c r="E160" s="24"/>
      <c r="F160" s="114"/>
      <c r="G160" s="114"/>
      <c r="H160" s="270"/>
      <c r="K160" s="397"/>
    </row>
    <row r="161" spans="1:11" ht="15.75" customHeight="1" x14ac:dyDescent="0.25">
      <c r="A161" s="24"/>
      <c r="B161" s="25"/>
      <c r="C161" s="24"/>
      <c r="D161" s="24"/>
      <c r="E161" s="24"/>
      <c r="F161" s="114"/>
      <c r="G161" s="114"/>
      <c r="H161" s="270"/>
      <c r="K161" s="397"/>
    </row>
    <row r="162" spans="1:11" ht="15.75" customHeight="1" x14ac:dyDescent="0.25">
      <c r="A162" s="24"/>
      <c r="B162" s="25"/>
      <c r="C162" s="24"/>
      <c r="D162" s="24"/>
      <c r="E162" s="24"/>
      <c r="F162" s="114"/>
      <c r="G162" s="114"/>
      <c r="H162" s="270"/>
      <c r="K162" s="397"/>
    </row>
    <row r="163" spans="1:11" ht="15.75" customHeight="1" x14ac:dyDescent="0.25">
      <c r="A163" s="24"/>
      <c r="B163" s="25"/>
      <c r="C163" s="24"/>
      <c r="D163" s="24"/>
      <c r="E163" s="24"/>
      <c r="F163" s="114"/>
      <c r="G163" s="114"/>
      <c r="H163" s="270"/>
      <c r="K163" s="397"/>
    </row>
    <row r="164" spans="1:11" ht="15.75" customHeight="1" x14ac:dyDescent="0.25">
      <c r="A164" s="24"/>
      <c r="B164" s="25"/>
      <c r="C164" s="24"/>
      <c r="D164" s="24"/>
      <c r="E164" s="24"/>
      <c r="F164" s="114"/>
      <c r="G164" s="114"/>
      <c r="H164" s="270"/>
      <c r="K164" s="397"/>
    </row>
    <row r="165" spans="1:11" ht="15.75" customHeight="1" x14ac:dyDescent="0.25">
      <c r="A165" s="24"/>
      <c r="B165" s="25"/>
      <c r="C165" s="24"/>
      <c r="D165" s="24"/>
      <c r="E165" s="24"/>
      <c r="F165" s="114"/>
      <c r="G165" s="114"/>
      <c r="H165" s="270"/>
      <c r="K165" s="397"/>
    </row>
    <row r="166" spans="1:11" ht="15.75" customHeight="1" x14ac:dyDescent="0.25">
      <c r="A166" s="24"/>
      <c r="B166" s="25"/>
      <c r="C166" s="24"/>
      <c r="D166" s="24"/>
      <c r="E166" s="24"/>
      <c r="F166" s="114"/>
      <c r="G166" s="114"/>
      <c r="H166" s="270"/>
      <c r="K166" s="397"/>
    </row>
    <row r="167" spans="1:11" ht="15.75" customHeight="1" x14ac:dyDescent="0.25">
      <c r="A167" s="24"/>
      <c r="B167" s="25"/>
      <c r="C167" s="24"/>
      <c r="D167" s="24"/>
      <c r="E167" s="24"/>
      <c r="F167" s="114"/>
      <c r="G167" s="114"/>
      <c r="H167" s="270"/>
      <c r="K167" s="397"/>
    </row>
    <row r="168" spans="1:11" ht="15.75" customHeight="1" x14ac:dyDescent="0.25">
      <c r="A168" s="24"/>
      <c r="B168" s="25"/>
      <c r="C168" s="24"/>
      <c r="D168" s="24"/>
      <c r="E168" s="24"/>
      <c r="F168" s="114"/>
      <c r="G168" s="114"/>
      <c r="H168" s="270"/>
      <c r="K168" s="397"/>
    </row>
    <row r="169" spans="1:11" ht="15.75" customHeight="1" x14ac:dyDescent="0.25">
      <c r="A169" s="24"/>
      <c r="B169" s="25"/>
      <c r="C169" s="24"/>
      <c r="D169" s="24"/>
      <c r="E169" s="24"/>
      <c r="F169" s="114"/>
      <c r="G169" s="114"/>
      <c r="H169" s="270"/>
      <c r="K169" s="397"/>
    </row>
    <row r="170" spans="1:11" ht="15.75" customHeight="1" x14ac:dyDescent="0.25">
      <c r="A170" s="24"/>
      <c r="B170" s="25"/>
      <c r="C170" s="24"/>
      <c r="D170" s="24"/>
      <c r="E170" s="24"/>
      <c r="F170" s="114"/>
      <c r="G170" s="114"/>
      <c r="H170" s="270"/>
      <c r="K170" s="397"/>
    </row>
    <row r="171" spans="1:11" ht="15.75" customHeight="1" x14ac:dyDescent="0.25">
      <c r="A171" s="24"/>
      <c r="B171" s="25"/>
      <c r="C171" s="24"/>
      <c r="D171" s="24"/>
      <c r="E171" s="24"/>
      <c r="F171" s="114"/>
      <c r="G171" s="114"/>
      <c r="H171" s="270"/>
      <c r="K171" s="397"/>
    </row>
    <row r="172" spans="1:11" ht="15.75" customHeight="1" x14ac:dyDescent="0.25">
      <c r="A172" s="24"/>
      <c r="B172" s="25"/>
      <c r="C172" s="24"/>
      <c r="D172" s="24"/>
      <c r="E172" s="24"/>
      <c r="F172" s="114"/>
      <c r="G172" s="114"/>
      <c r="H172" s="270"/>
      <c r="K172" s="397"/>
    </row>
    <row r="173" spans="1:11" ht="15.75" customHeight="1" x14ac:dyDescent="0.25">
      <c r="A173" s="24"/>
      <c r="B173" s="25"/>
      <c r="C173" s="24"/>
      <c r="D173" s="24"/>
      <c r="E173" s="24"/>
      <c r="F173" s="114"/>
      <c r="G173" s="114"/>
      <c r="H173" s="270"/>
      <c r="K173" s="397"/>
    </row>
    <row r="174" spans="1:11" ht="15.75" customHeight="1" x14ac:dyDescent="0.25">
      <c r="A174" s="24"/>
      <c r="B174" s="25"/>
      <c r="C174" s="24"/>
      <c r="D174" s="24"/>
      <c r="E174" s="24"/>
      <c r="F174" s="114"/>
      <c r="G174" s="114"/>
      <c r="H174" s="270"/>
      <c r="K174" s="397"/>
    </row>
    <row r="175" spans="1:11" ht="15.75" customHeight="1" x14ac:dyDescent="0.25">
      <c r="A175" s="24"/>
      <c r="B175" s="25"/>
      <c r="C175" s="24"/>
      <c r="D175" s="24"/>
      <c r="E175" s="24"/>
      <c r="F175" s="114"/>
      <c r="G175" s="114"/>
      <c r="H175" s="270"/>
      <c r="K175" s="397"/>
    </row>
    <row r="176" spans="1:11" ht="15.75" customHeight="1" x14ac:dyDescent="0.25">
      <c r="A176" s="24"/>
      <c r="B176" s="25"/>
      <c r="C176" s="24"/>
      <c r="D176" s="24"/>
      <c r="E176" s="24"/>
      <c r="F176" s="114"/>
      <c r="G176" s="114"/>
      <c r="H176" s="270"/>
      <c r="K176" s="397"/>
    </row>
    <row r="177" spans="1:11" ht="15.75" customHeight="1" x14ac:dyDescent="0.25">
      <c r="A177" s="24"/>
      <c r="B177" s="25"/>
      <c r="C177" s="24"/>
      <c r="D177" s="24"/>
      <c r="E177" s="24"/>
      <c r="F177" s="114"/>
      <c r="G177" s="114"/>
      <c r="H177" s="270"/>
      <c r="K177" s="397"/>
    </row>
    <row r="178" spans="1:11" ht="15.75" customHeight="1" x14ac:dyDescent="0.25">
      <c r="A178" s="24"/>
      <c r="B178" s="25"/>
      <c r="C178" s="24"/>
      <c r="D178" s="24"/>
      <c r="E178" s="24"/>
      <c r="F178" s="114"/>
      <c r="G178" s="114"/>
      <c r="H178" s="270"/>
      <c r="K178" s="397"/>
    </row>
    <row r="179" spans="1:11" ht="15.75" customHeight="1" x14ac:dyDescent="0.25">
      <c r="H179" s="281"/>
      <c r="K179" s="397"/>
    </row>
    <row r="180" spans="1:11" ht="15.75" customHeight="1" x14ac:dyDescent="0.25">
      <c r="H180" s="281"/>
      <c r="K180" s="397"/>
    </row>
    <row r="181" spans="1:11" ht="15.75" customHeight="1" x14ac:dyDescent="0.25">
      <c r="H181" s="281"/>
      <c r="K181" s="397"/>
    </row>
    <row r="182" spans="1:11" ht="15.75" customHeight="1" x14ac:dyDescent="0.25">
      <c r="H182" s="281"/>
      <c r="K182" s="397"/>
    </row>
    <row r="183" spans="1:11" ht="15.75" customHeight="1" x14ac:dyDescent="0.25">
      <c r="H183" s="281"/>
      <c r="K183" s="397"/>
    </row>
    <row r="184" spans="1:11" ht="15.75" customHeight="1" x14ac:dyDescent="0.25">
      <c r="H184" s="281"/>
      <c r="K184" s="397"/>
    </row>
    <row r="185" spans="1:11" ht="15.75" customHeight="1" x14ac:dyDescent="0.25">
      <c r="H185" s="281"/>
      <c r="K185" s="397"/>
    </row>
    <row r="186" spans="1:11" ht="15.75" customHeight="1" x14ac:dyDescent="0.25">
      <c r="H186" s="281"/>
      <c r="K186" s="397"/>
    </row>
    <row r="187" spans="1:11" ht="15.75" customHeight="1" x14ac:dyDescent="0.25">
      <c r="H187" s="281"/>
      <c r="K187" s="397"/>
    </row>
    <row r="188" spans="1:11" ht="15.75" customHeight="1" x14ac:dyDescent="0.25">
      <c r="H188" s="281"/>
      <c r="K188" s="397"/>
    </row>
    <row r="189" spans="1:11" ht="15.75" customHeight="1" x14ac:dyDescent="0.25">
      <c r="H189" s="281"/>
      <c r="K189" s="397"/>
    </row>
    <row r="190" spans="1:11" ht="15.75" customHeight="1" x14ac:dyDescent="0.25">
      <c r="H190" s="281"/>
      <c r="K190" s="397"/>
    </row>
    <row r="191" spans="1:11" ht="15.75" customHeight="1" x14ac:dyDescent="0.25">
      <c r="H191" s="281"/>
      <c r="K191" s="397"/>
    </row>
    <row r="192" spans="1:11" ht="15.75" customHeight="1" x14ac:dyDescent="0.25">
      <c r="H192" s="281"/>
      <c r="K192" s="397"/>
    </row>
    <row r="193" spans="8:11" ht="15.75" customHeight="1" x14ac:dyDescent="0.25">
      <c r="H193" s="281"/>
      <c r="K193" s="397"/>
    </row>
    <row r="194" spans="8:11" ht="15.75" customHeight="1" x14ac:dyDescent="0.25">
      <c r="H194" s="281"/>
      <c r="K194" s="397"/>
    </row>
    <row r="195" spans="8:11" ht="15.75" customHeight="1" x14ac:dyDescent="0.25">
      <c r="H195" s="281"/>
      <c r="K195" s="397"/>
    </row>
    <row r="196" spans="8:11" ht="15.75" customHeight="1" x14ac:dyDescent="0.25">
      <c r="H196" s="281"/>
      <c r="K196" s="397"/>
    </row>
    <row r="197" spans="8:11" ht="15.75" customHeight="1" x14ac:dyDescent="0.25">
      <c r="H197" s="281"/>
      <c r="K197" s="397"/>
    </row>
    <row r="198" spans="8:11" ht="15.75" customHeight="1" x14ac:dyDescent="0.25">
      <c r="H198" s="281"/>
      <c r="K198" s="397"/>
    </row>
    <row r="199" spans="8:11" ht="15.75" customHeight="1" x14ac:dyDescent="0.25">
      <c r="H199" s="281"/>
      <c r="K199" s="397"/>
    </row>
    <row r="200" spans="8:11" ht="15.75" customHeight="1" x14ac:dyDescent="0.25">
      <c r="H200" s="281"/>
      <c r="K200" s="397"/>
    </row>
    <row r="201" spans="8:11" ht="15.75" customHeight="1" x14ac:dyDescent="0.25">
      <c r="H201" s="281"/>
      <c r="K201" s="397"/>
    </row>
    <row r="202" spans="8:11" ht="15.75" customHeight="1" x14ac:dyDescent="0.25">
      <c r="H202" s="281"/>
      <c r="K202" s="397"/>
    </row>
    <row r="203" spans="8:11" ht="15.75" customHeight="1" x14ac:dyDescent="0.25">
      <c r="H203" s="281"/>
      <c r="K203" s="397"/>
    </row>
    <row r="204" spans="8:11" ht="15.75" customHeight="1" x14ac:dyDescent="0.25">
      <c r="H204" s="281"/>
      <c r="K204" s="397"/>
    </row>
    <row r="205" spans="8:11" ht="15.75" customHeight="1" x14ac:dyDescent="0.25">
      <c r="H205" s="281"/>
      <c r="K205" s="397"/>
    </row>
    <row r="206" spans="8:11" ht="15.75" customHeight="1" x14ac:dyDescent="0.25">
      <c r="H206" s="281"/>
      <c r="K206" s="397"/>
    </row>
    <row r="207" spans="8:11" ht="15.75" customHeight="1" x14ac:dyDescent="0.25">
      <c r="H207" s="281"/>
      <c r="K207" s="397"/>
    </row>
    <row r="208" spans="8:11" ht="15.75" customHeight="1" x14ac:dyDescent="0.25">
      <c r="H208" s="281"/>
      <c r="K208" s="397"/>
    </row>
    <row r="209" spans="8:11" ht="15.75" customHeight="1" x14ac:dyDescent="0.25">
      <c r="H209" s="281"/>
      <c r="K209" s="397"/>
    </row>
    <row r="210" spans="8:11" ht="15.75" customHeight="1" x14ac:dyDescent="0.25">
      <c r="H210" s="281"/>
      <c r="K210" s="397"/>
    </row>
    <row r="211" spans="8:11" ht="15.75" customHeight="1" x14ac:dyDescent="0.25">
      <c r="H211" s="281"/>
      <c r="K211" s="397"/>
    </row>
    <row r="212" spans="8:11" ht="15.75" customHeight="1" x14ac:dyDescent="0.25">
      <c r="H212" s="281"/>
      <c r="K212" s="397"/>
    </row>
    <row r="213" spans="8:11" ht="15.75" customHeight="1" x14ac:dyDescent="0.25">
      <c r="H213" s="281"/>
      <c r="K213" s="397"/>
    </row>
    <row r="214" spans="8:11" ht="15.75" customHeight="1" x14ac:dyDescent="0.25">
      <c r="H214" s="281"/>
      <c r="K214" s="397"/>
    </row>
    <row r="215" spans="8:11" ht="15.75" customHeight="1" x14ac:dyDescent="0.25">
      <c r="H215" s="281"/>
      <c r="K215" s="397"/>
    </row>
    <row r="216" spans="8:11" ht="15.75" customHeight="1" x14ac:dyDescent="0.25">
      <c r="H216" s="281"/>
      <c r="K216" s="397"/>
    </row>
    <row r="217" spans="8:11" ht="15.75" customHeight="1" x14ac:dyDescent="0.25">
      <c r="H217" s="281"/>
      <c r="K217" s="397"/>
    </row>
    <row r="218" spans="8:11" ht="15.75" customHeight="1" x14ac:dyDescent="0.25">
      <c r="H218" s="281"/>
      <c r="K218" s="397"/>
    </row>
    <row r="219" spans="8:11" ht="15.75" customHeight="1" x14ac:dyDescent="0.25">
      <c r="H219" s="281"/>
      <c r="K219" s="397"/>
    </row>
    <row r="220" spans="8:11" ht="15.75" customHeight="1" x14ac:dyDescent="0.25">
      <c r="H220" s="281"/>
      <c r="K220" s="397"/>
    </row>
    <row r="221" spans="8:11" ht="15.75" customHeight="1" x14ac:dyDescent="0.25">
      <c r="H221" s="281"/>
      <c r="K221" s="397"/>
    </row>
    <row r="222" spans="8:11" ht="15.75" customHeight="1" x14ac:dyDescent="0.25">
      <c r="H222" s="281"/>
      <c r="K222" s="397"/>
    </row>
    <row r="223" spans="8:11" ht="15.75" customHeight="1" x14ac:dyDescent="0.25">
      <c r="H223" s="281"/>
      <c r="K223" s="397"/>
    </row>
    <row r="224" spans="8:11" ht="15.75" customHeight="1" x14ac:dyDescent="0.25">
      <c r="H224" s="281"/>
      <c r="K224" s="397"/>
    </row>
    <row r="225" spans="8:11" ht="15.75" customHeight="1" x14ac:dyDescent="0.25">
      <c r="H225" s="281"/>
      <c r="K225" s="397"/>
    </row>
    <row r="226" spans="8:11" ht="15.75" customHeight="1" x14ac:dyDescent="0.25">
      <c r="H226" s="281"/>
      <c r="K226" s="397"/>
    </row>
    <row r="227" spans="8:11" ht="15.75" customHeight="1" x14ac:dyDescent="0.25">
      <c r="H227" s="281"/>
      <c r="K227" s="397"/>
    </row>
    <row r="228" spans="8:11" ht="15.75" customHeight="1" x14ac:dyDescent="0.25">
      <c r="H228" s="281"/>
      <c r="K228" s="397"/>
    </row>
    <row r="229" spans="8:11" ht="15.75" customHeight="1" x14ac:dyDescent="0.25">
      <c r="H229" s="281"/>
      <c r="K229" s="397"/>
    </row>
    <row r="230" spans="8:11" ht="15.75" customHeight="1" x14ac:dyDescent="0.25">
      <c r="H230" s="281"/>
      <c r="K230" s="397"/>
    </row>
    <row r="231" spans="8:11" ht="15.75" customHeight="1" x14ac:dyDescent="0.25">
      <c r="H231" s="281"/>
      <c r="K231" s="397"/>
    </row>
    <row r="232" spans="8:11" ht="15.75" customHeight="1" x14ac:dyDescent="0.25">
      <c r="H232" s="281"/>
      <c r="K232" s="397"/>
    </row>
    <row r="233" spans="8:11" ht="15.75" customHeight="1" x14ac:dyDescent="0.25">
      <c r="H233" s="281"/>
      <c r="K233" s="397"/>
    </row>
    <row r="234" spans="8:11" ht="15.75" customHeight="1" x14ac:dyDescent="0.25">
      <c r="H234" s="281"/>
      <c r="K234" s="397"/>
    </row>
    <row r="235" spans="8:11" ht="15.75" customHeight="1" x14ac:dyDescent="0.25">
      <c r="H235" s="281"/>
      <c r="K235" s="397"/>
    </row>
    <row r="236" spans="8:11" ht="15.75" customHeight="1" x14ac:dyDescent="0.25">
      <c r="H236" s="281"/>
      <c r="K236" s="397"/>
    </row>
    <row r="237" spans="8:11" ht="15.75" customHeight="1" x14ac:dyDescent="0.25">
      <c r="H237" s="281"/>
      <c r="K237" s="397"/>
    </row>
    <row r="238" spans="8:11" ht="15.75" customHeight="1" x14ac:dyDescent="0.25">
      <c r="H238" s="281"/>
      <c r="K238" s="397"/>
    </row>
    <row r="239" spans="8:11" ht="15.75" customHeight="1" x14ac:dyDescent="0.25">
      <c r="H239" s="281"/>
      <c r="K239" s="397"/>
    </row>
    <row r="240" spans="8:11" ht="15.75" customHeight="1" x14ac:dyDescent="0.25">
      <c r="H240" s="281"/>
      <c r="K240" s="397"/>
    </row>
    <row r="241" spans="8:11" ht="15.75" customHeight="1" x14ac:dyDescent="0.25">
      <c r="H241" s="281"/>
      <c r="K241" s="397"/>
    </row>
    <row r="242" spans="8:11" ht="15.75" customHeight="1" x14ac:dyDescent="0.25">
      <c r="H242" s="281"/>
      <c r="K242" s="397"/>
    </row>
    <row r="243" spans="8:11" ht="15.75" customHeight="1" x14ac:dyDescent="0.25">
      <c r="H243" s="281"/>
      <c r="K243" s="397"/>
    </row>
    <row r="244" spans="8:11" ht="15.75" customHeight="1" x14ac:dyDescent="0.25">
      <c r="H244" s="281"/>
      <c r="K244" s="397"/>
    </row>
    <row r="245" spans="8:11" ht="15.75" customHeight="1" x14ac:dyDescent="0.25">
      <c r="H245" s="281"/>
      <c r="K245" s="397"/>
    </row>
    <row r="246" spans="8:11" ht="15.75" customHeight="1" x14ac:dyDescent="0.25">
      <c r="H246" s="281"/>
      <c r="K246" s="397"/>
    </row>
    <row r="247" spans="8:11" ht="15.75" customHeight="1" x14ac:dyDescent="0.25">
      <c r="H247" s="281"/>
      <c r="K247" s="397"/>
    </row>
    <row r="248" spans="8:11" ht="15.75" customHeight="1" x14ac:dyDescent="0.25">
      <c r="H248" s="281"/>
      <c r="K248" s="397"/>
    </row>
    <row r="249" spans="8:11" ht="15.75" customHeight="1" x14ac:dyDescent="0.25">
      <c r="H249" s="281"/>
      <c r="K249" s="397"/>
    </row>
    <row r="250" spans="8:11" ht="15.75" customHeight="1" x14ac:dyDescent="0.25">
      <c r="H250" s="281"/>
      <c r="K250" s="397"/>
    </row>
    <row r="251" spans="8:11" ht="15.75" customHeight="1" x14ac:dyDescent="0.25">
      <c r="H251" s="281"/>
      <c r="K251" s="397"/>
    </row>
    <row r="252" spans="8:11" ht="15.75" customHeight="1" x14ac:dyDescent="0.25">
      <c r="H252" s="281"/>
      <c r="K252" s="397"/>
    </row>
    <row r="253" spans="8:11" ht="15.75" customHeight="1" x14ac:dyDescent="0.25">
      <c r="H253" s="281"/>
      <c r="K253" s="397"/>
    </row>
    <row r="254" spans="8:11" ht="15.75" customHeight="1" x14ac:dyDescent="0.25">
      <c r="H254" s="281"/>
      <c r="K254" s="397"/>
    </row>
    <row r="255" spans="8:11" ht="15.75" customHeight="1" x14ac:dyDescent="0.25">
      <c r="H255" s="281"/>
      <c r="K255" s="397"/>
    </row>
    <row r="256" spans="8:11" ht="15.75" customHeight="1" x14ac:dyDescent="0.25">
      <c r="H256" s="281"/>
      <c r="K256" s="397"/>
    </row>
    <row r="257" spans="8:11" ht="15.75" customHeight="1" x14ac:dyDescent="0.25">
      <c r="H257" s="281"/>
      <c r="K257" s="397"/>
    </row>
    <row r="258" spans="8:11" ht="15.75" customHeight="1" x14ac:dyDescent="0.25">
      <c r="H258" s="281"/>
      <c r="K258" s="397"/>
    </row>
    <row r="259" spans="8:11" ht="15.75" customHeight="1" x14ac:dyDescent="0.25">
      <c r="H259" s="281"/>
      <c r="K259" s="397"/>
    </row>
    <row r="260" spans="8:11" ht="15.75" customHeight="1" x14ac:dyDescent="0.25">
      <c r="H260" s="281"/>
      <c r="K260" s="397"/>
    </row>
    <row r="261" spans="8:11" ht="15.75" customHeight="1" x14ac:dyDescent="0.25">
      <c r="H261" s="281"/>
      <c r="K261" s="397"/>
    </row>
    <row r="262" spans="8:11" ht="15.75" customHeight="1" x14ac:dyDescent="0.25">
      <c r="H262" s="281"/>
      <c r="K262" s="397"/>
    </row>
    <row r="263" spans="8:11" ht="15.75" customHeight="1" x14ac:dyDescent="0.25">
      <c r="H263" s="281"/>
      <c r="K263" s="397"/>
    </row>
    <row r="264" spans="8:11" ht="15.75" customHeight="1" x14ac:dyDescent="0.25">
      <c r="H264" s="281"/>
      <c r="K264" s="397"/>
    </row>
    <row r="265" spans="8:11" ht="15.75" customHeight="1" x14ac:dyDescent="0.25">
      <c r="H265" s="281"/>
      <c r="K265" s="397"/>
    </row>
    <row r="266" spans="8:11" ht="15.75" customHeight="1" x14ac:dyDescent="0.25">
      <c r="H266" s="281"/>
      <c r="K266" s="397"/>
    </row>
    <row r="267" spans="8:11" ht="15.75" customHeight="1" x14ac:dyDescent="0.25">
      <c r="H267" s="281"/>
      <c r="K267" s="397"/>
    </row>
    <row r="268" spans="8:11" ht="15.75" customHeight="1" x14ac:dyDescent="0.25">
      <c r="H268" s="281"/>
      <c r="K268" s="397"/>
    </row>
    <row r="269" spans="8:11" ht="15.75" customHeight="1" x14ac:dyDescent="0.25">
      <c r="H269" s="281"/>
      <c r="K269" s="397"/>
    </row>
    <row r="270" spans="8:11" ht="15.75" customHeight="1" x14ac:dyDescent="0.25">
      <c r="H270" s="281"/>
      <c r="K270" s="397"/>
    </row>
    <row r="271" spans="8:11" ht="15.75" customHeight="1" x14ac:dyDescent="0.25">
      <c r="H271" s="281"/>
      <c r="K271" s="397"/>
    </row>
    <row r="272" spans="8:11" ht="15.75" customHeight="1" x14ac:dyDescent="0.25">
      <c r="H272" s="281"/>
      <c r="K272" s="397"/>
    </row>
    <row r="273" spans="8:11" ht="15.75" customHeight="1" x14ac:dyDescent="0.25">
      <c r="H273" s="281"/>
      <c r="K273" s="397"/>
    </row>
    <row r="274" spans="8:11" ht="15.75" customHeight="1" x14ac:dyDescent="0.25">
      <c r="H274" s="281"/>
      <c r="K274" s="397"/>
    </row>
    <row r="275" spans="8:11" ht="15.75" customHeight="1" x14ac:dyDescent="0.25">
      <c r="H275" s="281"/>
      <c r="K275" s="397"/>
    </row>
    <row r="276" spans="8:11" ht="15.75" customHeight="1" x14ac:dyDescent="0.25">
      <c r="H276" s="281"/>
      <c r="K276" s="397"/>
    </row>
    <row r="277" spans="8:11" ht="15.75" customHeight="1" x14ac:dyDescent="0.25">
      <c r="H277" s="281"/>
      <c r="K277" s="397"/>
    </row>
    <row r="278" spans="8:11" ht="15.75" customHeight="1" x14ac:dyDescent="0.25">
      <c r="H278" s="281"/>
      <c r="K278" s="397"/>
    </row>
    <row r="279" spans="8:11" ht="15.75" customHeight="1" x14ac:dyDescent="0.25">
      <c r="H279" s="281"/>
      <c r="K279" s="397"/>
    </row>
    <row r="280" spans="8:11" ht="15.75" customHeight="1" x14ac:dyDescent="0.25">
      <c r="H280" s="281"/>
      <c r="K280" s="397"/>
    </row>
    <row r="281" spans="8:11" ht="15.75" customHeight="1" x14ac:dyDescent="0.25">
      <c r="H281" s="281"/>
      <c r="K281" s="397"/>
    </row>
    <row r="282" spans="8:11" ht="15.75" customHeight="1" x14ac:dyDescent="0.25">
      <c r="H282" s="281"/>
      <c r="K282" s="397"/>
    </row>
    <row r="283" spans="8:11" ht="15.75" customHeight="1" x14ac:dyDescent="0.25">
      <c r="H283" s="281"/>
      <c r="K283" s="397"/>
    </row>
    <row r="284" spans="8:11" ht="15.75" customHeight="1" x14ac:dyDescent="0.25">
      <c r="H284" s="281"/>
      <c r="K284" s="397"/>
    </row>
    <row r="285" spans="8:11" ht="15.75" customHeight="1" x14ac:dyDescent="0.25">
      <c r="H285" s="281"/>
      <c r="K285" s="397"/>
    </row>
    <row r="286" spans="8:11" ht="15.75" customHeight="1" x14ac:dyDescent="0.25">
      <c r="H286" s="281"/>
      <c r="K286" s="397"/>
    </row>
    <row r="287" spans="8:11" ht="15.75" customHeight="1" x14ac:dyDescent="0.25">
      <c r="H287" s="281"/>
      <c r="K287" s="397"/>
    </row>
    <row r="288" spans="8:11" ht="15.75" customHeight="1" x14ac:dyDescent="0.25">
      <c r="H288" s="281"/>
      <c r="K288" s="397"/>
    </row>
    <row r="289" spans="8:11" ht="15.75" customHeight="1" x14ac:dyDescent="0.25">
      <c r="H289" s="281"/>
      <c r="K289" s="397"/>
    </row>
    <row r="290" spans="8:11" ht="15.75" customHeight="1" x14ac:dyDescent="0.25">
      <c r="H290" s="281"/>
      <c r="K290" s="397"/>
    </row>
    <row r="291" spans="8:11" ht="15.75" customHeight="1" x14ac:dyDescent="0.25">
      <c r="H291" s="281"/>
      <c r="K291" s="397"/>
    </row>
    <row r="292" spans="8:11" ht="15.75" customHeight="1" x14ac:dyDescent="0.25">
      <c r="H292" s="281"/>
      <c r="K292" s="397"/>
    </row>
    <row r="293" spans="8:11" ht="15.75" customHeight="1" x14ac:dyDescent="0.25">
      <c r="H293" s="281"/>
      <c r="K293" s="397"/>
    </row>
    <row r="294" spans="8:11" ht="15.75" customHeight="1" x14ac:dyDescent="0.25">
      <c r="H294" s="281"/>
      <c r="K294" s="397"/>
    </row>
    <row r="295" spans="8:11" ht="15.75" customHeight="1" x14ac:dyDescent="0.25">
      <c r="H295" s="281"/>
      <c r="K295" s="397"/>
    </row>
    <row r="296" spans="8:11" ht="15.75" customHeight="1" x14ac:dyDescent="0.25">
      <c r="H296" s="281"/>
      <c r="K296" s="397"/>
    </row>
    <row r="297" spans="8:11" ht="15.75" customHeight="1" x14ac:dyDescent="0.25">
      <c r="H297" s="281"/>
      <c r="K297" s="397"/>
    </row>
    <row r="298" spans="8:11" ht="15.75" customHeight="1" x14ac:dyDescent="0.25">
      <c r="H298" s="281"/>
      <c r="K298" s="397"/>
    </row>
    <row r="299" spans="8:11" ht="15.75" customHeight="1" x14ac:dyDescent="0.25">
      <c r="H299" s="281"/>
      <c r="K299" s="397"/>
    </row>
    <row r="300" spans="8:11" ht="15.75" customHeight="1" x14ac:dyDescent="0.25">
      <c r="H300" s="281"/>
      <c r="K300" s="397"/>
    </row>
    <row r="301" spans="8:11" ht="15.75" customHeight="1" x14ac:dyDescent="0.25">
      <c r="H301" s="281"/>
      <c r="K301" s="397"/>
    </row>
    <row r="302" spans="8:11" ht="15.75" customHeight="1" x14ac:dyDescent="0.25">
      <c r="H302" s="281"/>
      <c r="K302" s="397"/>
    </row>
    <row r="303" spans="8:11" ht="15.75" customHeight="1" x14ac:dyDescent="0.25">
      <c r="H303" s="281"/>
      <c r="K303" s="397"/>
    </row>
    <row r="304" spans="8:11" ht="15.75" customHeight="1" x14ac:dyDescent="0.25">
      <c r="H304" s="281"/>
      <c r="K304" s="397"/>
    </row>
    <row r="305" spans="8:11" ht="15.75" customHeight="1" x14ac:dyDescent="0.25">
      <c r="H305" s="281"/>
      <c r="K305" s="397"/>
    </row>
    <row r="306" spans="8:11" ht="15.75" customHeight="1" x14ac:dyDescent="0.25">
      <c r="H306" s="281"/>
      <c r="K306" s="397"/>
    </row>
    <row r="307" spans="8:11" ht="15.75" customHeight="1" x14ac:dyDescent="0.25">
      <c r="H307" s="281"/>
      <c r="K307" s="397"/>
    </row>
    <row r="308" spans="8:11" ht="15.75" customHeight="1" x14ac:dyDescent="0.25">
      <c r="H308" s="281"/>
      <c r="K308" s="397"/>
    </row>
    <row r="309" spans="8:11" ht="15.75" customHeight="1" x14ac:dyDescent="0.25">
      <c r="H309" s="281"/>
      <c r="K309" s="397"/>
    </row>
    <row r="310" spans="8:11" ht="15.75" customHeight="1" x14ac:dyDescent="0.25">
      <c r="H310" s="281"/>
      <c r="K310" s="397"/>
    </row>
    <row r="311" spans="8:11" ht="15.75" customHeight="1" x14ac:dyDescent="0.25">
      <c r="H311" s="281"/>
      <c r="K311" s="397"/>
    </row>
    <row r="312" spans="8:11" ht="15.75" customHeight="1" x14ac:dyDescent="0.25">
      <c r="H312" s="281"/>
      <c r="K312" s="397"/>
    </row>
    <row r="313" spans="8:11" ht="15.75" customHeight="1" x14ac:dyDescent="0.25">
      <c r="H313" s="281"/>
      <c r="K313" s="397"/>
    </row>
    <row r="314" spans="8:11" ht="15.75" customHeight="1" x14ac:dyDescent="0.25">
      <c r="H314" s="281"/>
      <c r="K314" s="397"/>
    </row>
    <row r="315" spans="8:11" ht="15.75" customHeight="1" x14ac:dyDescent="0.25">
      <c r="H315" s="281"/>
      <c r="K315" s="397"/>
    </row>
    <row r="316" spans="8:11" ht="15.75" customHeight="1" x14ac:dyDescent="0.25">
      <c r="H316" s="281"/>
      <c r="K316" s="397"/>
    </row>
    <row r="317" spans="8:11" ht="15.75" customHeight="1" x14ac:dyDescent="0.25">
      <c r="H317" s="281"/>
      <c r="K317" s="397"/>
    </row>
    <row r="318" spans="8:11" ht="15.75" customHeight="1" x14ac:dyDescent="0.25">
      <c r="H318" s="281"/>
      <c r="K318" s="397"/>
    </row>
    <row r="319" spans="8:11" ht="15.75" customHeight="1" x14ac:dyDescent="0.25">
      <c r="H319" s="281"/>
      <c r="K319" s="397"/>
    </row>
    <row r="320" spans="8:11" ht="15.75" customHeight="1" x14ac:dyDescent="0.25">
      <c r="H320" s="281"/>
      <c r="K320" s="397"/>
    </row>
    <row r="321" spans="8:11" ht="15.75" customHeight="1" x14ac:dyDescent="0.25">
      <c r="H321" s="281"/>
      <c r="K321" s="397"/>
    </row>
    <row r="322" spans="8:11" ht="15.75" customHeight="1" x14ac:dyDescent="0.25">
      <c r="H322" s="281"/>
      <c r="K322" s="397"/>
    </row>
    <row r="323" spans="8:11" ht="15.75" customHeight="1" x14ac:dyDescent="0.25">
      <c r="H323" s="281"/>
      <c r="K323" s="397"/>
    </row>
    <row r="324" spans="8:11" ht="15.75" customHeight="1" x14ac:dyDescent="0.25">
      <c r="H324" s="281"/>
      <c r="K324" s="397"/>
    </row>
    <row r="325" spans="8:11" ht="15.75" customHeight="1" x14ac:dyDescent="0.25">
      <c r="H325" s="281"/>
      <c r="K325" s="397"/>
    </row>
    <row r="326" spans="8:11" ht="15.75" customHeight="1" x14ac:dyDescent="0.25">
      <c r="H326" s="281"/>
      <c r="K326" s="397"/>
    </row>
    <row r="327" spans="8:11" ht="15.75" customHeight="1" x14ac:dyDescent="0.25">
      <c r="H327" s="281"/>
      <c r="K327" s="397"/>
    </row>
    <row r="328" spans="8:11" ht="15.75" customHeight="1" x14ac:dyDescent="0.25">
      <c r="H328" s="281"/>
      <c r="K328" s="397"/>
    </row>
    <row r="329" spans="8:11" ht="15.75" customHeight="1" x14ac:dyDescent="0.25">
      <c r="H329" s="281"/>
      <c r="K329" s="397"/>
    </row>
    <row r="330" spans="8:11" ht="15.75" customHeight="1" x14ac:dyDescent="0.25">
      <c r="H330" s="281"/>
      <c r="K330" s="397"/>
    </row>
    <row r="331" spans="8:11" ht="15.75" customHeight="1" x14ac:dyDescent="0.25">
      <c r="H331" s="281"/>
      <c r="K331" s="397"/>
    </row>
    <row r="332" spans="8:11" ht="15.75" customHeight="1" x14ac:dyDescent="0.25">
      <c r="H332" s="281"/>
      <c r="K332" s="397"/>
    </row>
    <row r="333" spans="8:11" ht="15.75" customHeight="1" x14ac:dyDescent="0.25">
      <c r="H333" s="281"/>
      <c r="K333" s="397"/>
    </row>
    <row r="334" spans="8:11" ht="15.75" customHeight="1" x14ac:dyDescent="0.25">
      <c r="H334" s="281"/>
      <c r="K334" s="397"/>
    </row>
    <row r="335" spans="8:11" ht="15.75" customHeight="1" x14ac:dyDescent="0.25">
      <c r="H335" s="281"/>
      <c r="K335" s="397"/>
    </row>
    <row r="336" spans="8:11" ht="15.75" customHeight="1" x14ac:dyDescent="0.25">
      <c r="H336" s="281"/>
      <c r="K336" s="397"/>
    </row>
    <row r="337" spans="8:11" ht="15.75" customHeight="1" x14ac:dyDescent="0.25">
      <c r="H337" s="281"/>
      <c r="K337" s="397"/>
    </row>
    <row r="338" spans="8:11" ht="15.75" customHeight="1" x14ac:dyDescent="0.25">
      <c r="H338" s="281"/>
      <c r="K338" s="397"/>
    </row>
    <row r="339" spans="8:11" ht="15.75" customHeight="1" x14ac:dyDescent="0.25">
      <c r="H339" s="281"/>
      <c r="K339" s="397"/>
    </row>
    <row r="340" spans="8:11" ht="15.75" customHeight="1" x14ac:dyDescent="0.25">
      <c r="H340" s="281"/>
      <c r="K340" s="397"/>
    </row>
    <row r="341" spans="8:11" ht="15.75" customHeight="1" x14ac:dyDescent="0.25">
      <c r="H341" s="281"/>
      <c r="K341" s="397"/>
    </row>
    <row r="342" spans="8:11" ht="15.75" customHeight="1" x14ac:dyDescent="0.25">
      <c r="H342" s="281"/>
      <c r="K342" s="397"/>
    </row>
    <row r="343" spans="8:11" ht="15.75" customHeight="1" x14ac:dyDescent="0.25">
      <c r="H343" s="281"/>
      <c r="K343" s="397"/>
    </row>
    <row r="344" spans="8:11" ht="15.75" customHeight="1" x14ac:dyDescent="0.25">
      <c r="H344" s="281"/>
      <c r="K344" s="397"/>
    </row>
    <row r="345" spans="8:11" ht="15.75" customHeight="1" x14ac:dyDescent="0.25">
      <c r="H345" s="281"/>
      <c r="K345" s="397"/>
    </row>
    <row r="346" spans="8:11" ht="15.75" customHeight="1" x14ac:dyDescent="0.25">
      <c r="H346" s="281"/>
      <c r="K346" s="397"/>
    </row>
    <row r="347" spans="8:11" ht="15.75" customHeight="1" x14ac:dyDescent="0.25">
      <c r="H347" s="281"/>
      <c r="K347" s="397"/>
    </row>
    <row r="348" spans="8:11" ht="15.75" customHeight="1" x14ac:dyDescent="0.25">
      <c r="H348" s="281"/>
      <c r="K348" s="397"/>
    </row>
    <row r="349" spans="8:11" ht="15.75" customHeight="1" x14ac:dyDescent="0.25">
      <c r="H349" s="281"/>
      <c r="K349" s="397"/>
    </row>
    <row r="350" spans="8:11" ht="15.75" customHeight="1" x14ac:dyDescent="0.25">
      <c r="H350" s="281"/>
      <c r="K350" s="397"/>
    </row>
    <row r="351" spans="8:11" ht="15.75" customHeight="1" x14ac:dyDescent="0.25">
      <c r="H351" s="281"/>
      <c r="K351" s="397"/>
    </row>
    <row r="352" spans="8:11" ht="15.75" customHeight="1" x14ac:dyDescent="0.25">
      <c r="H352" s="281"/>
      <c r="K352" s="397"/>
    </row>
    <row r="353" spans="8:11" ht="15.75" customHeight="1" x14ac:dyDescent="0.25">
      <c r="H353" s="281"/>
      <c r="K353" s="397"/>
    </row>
    <row r="354" spans="8:11" ht="15.75" customHeight="1" x14ac:dyDescent="0.25">
      <c r="H354" s="281"/>
      <c r="K354" s="397"/>
    </row>
    <row r="355" spans="8:11" ht="15.75" customHeight="1" x14ac:dyDescent="0.25">
      <c r="H355" s="281"/>
      <c r="K355" s="397"/>
    </row>
    <row r="356" spans="8:11" ht="15.75" customHeight="1" x14ac:dyDescent="0.25">
      <c r="H356" s="281"/>
      <c r="K356" s="397"/>
    </row>
    <row r="357" spans="8:11" ht="15.75" customHeight="1" x14ac:dyDescent="0.25">
      <c r="H357" s="281"/>
      <c r="K357" s="397"/>
    </row>
    <row r="358" spans="8:11" ht="15.75" customHeight="1" x14ac:dyDescent="0.25">
      <c r="H358" s="281"/>
      <c r="K358" s="397"/>
    </row>
    <row r="359" spans="8:11" ht="15.75" customHeight="1" x14ac:dyDescent="0.25">
      <c r="H359" s="281"/>
      <c r="K359" s="397"/>
    </row>
    <row r="360" spans="8:11" ht="15.75" customHeight="1" x14ac:dyDescent="0.25">
      <c r="H360" s="281"/>
      <c r="K360" s="397"/>
    </row>
    <row r="361" spans="8:11" ht="15.75" customHeight="1" x14ac:dyDescent="0.25">
      <c r="H361" s="281"/>
      <c r="K361" s="397"/>
    </row>
    <row r="362" spans="8:11" ht="15.75" customHeight="1" x14ac:dyDescent="0.25">
      <c r="H362" s="281"/>
      <c r="K362" s="397"/>
    </row>
    <row r="363" spans="8:11" ht="15.75" customHeight="1" x14ac:dyDescent="0.25">
      <c r="H363" s="281"/>
      <c r="K363" s="397"/>
    </row>
    <row r="364" spans="8:11" ht="15.75" customHeight="1" x14ac:dyDescent="0.25">
      <c r="H364" s="281"/>
      <c r="K364" s="397"/>
    </row>
    <row r="365" spans="8:11" ht="15.75" customHeight="1" x14ac:dyDescent="0.25">
      <c r="H365" s="281"/>
      <c r="K365" s="397"/>
    </row>
    <row r="366" spans="8:11" ht="15.75" customHeight="1" x14ac:dyDescent="0.25">
      <c r="H366" s="281"/>
      <c r="K366" s="397"/>
    </row>
    <row r="367" spans="8:11" ht="15.75" customHeight="1" x14ac:dyDescent="0.25">
      <c r="H367" s="281"/>
      <c r="K367" s="397"/>
    </row>
    <row r="368" spans="8:11" ht="15.75" customHeight="1" x14ac:dyDescent="0.25">
      <c r="H368" s="281"/>
      <c r="K368" s="397"/>
    </row>
    <row r="369" spans="8:11" ht="15.75" customHeight="1" x14ac:dyDescent="0.25">
      <c r="H369" s="281"/>
      <c r="K369" s="397"/>
    </row>
    <row r="370" spans="8:11" ht="15.75" customHeight="1" x14ac:dyDescent="0.25">
      <c r="H370" s="281"/>
      <c r="K370" s="397"/>
    </row>
    <row r="371" spans="8:11" ht="15.75" customHeight="1" x14ac:dyDescent="0.25">
      <c r="H371" s="281"/>
      <c r="K371" s="397"/>
    </row>
    <row r="372" spans="8:11" ht="15.75" customHeight="1" x14ac:dyDescent="0.25">
      <c r="H372" s="281"/>
      <c r="K372" s="397"/>
    </row>
    <row r="373" spans="8:11" ht="15.75" customHeight="1" x14ac:dyDescent="0.25">
      <c r="H373" s="281"/>
      <c r="K373" s="397"/>
    </row>
    <row r="374" spans="8:11" ht="15.75" customHeight="1" x14ac:dyDescent="0.25">
      <c r="H374" s="281"/>
      <c r="K374" s="397"/>
    </row>
    <row r="375" spans="8:11" ht="15.75" customHeight="1" x14ac:dyDescent="0.25">
      <c r="H375" s="281"/>
      <c r="K375" s="397"/>
    </row>
    <row r="376" spans="8:11" ht="15.75" customHeight="1" x14ac:dyDescent="0.25">
      <c r="H376" s="281"/>
      <c r="K376" s="397"/>
    </row>
    <row r="377" spans="8:11" ht="15.75" customHeight="1" x14ac:dyDescent="0.25">
      <c r="H377" s="281"/>
      <c r="K377" s="397"/>
    </row>
    <row r="378" spans="8:11" ht="15.75" customHeight="1" x14ac:dyDescent="0.25">
      <c r="H378" s="281"/>
      <c r="K378" s="397"/>
    </row>
    <row r="379" spans="8:11" ht="15.75" customHeight="1" x14ac:dyDescent="0.25">
      <c r="H379" s="281"/>
      <c r="K379" s="397"/>
    </row>
    <row r="380" spans="8:11" ht="15.75" customHeight="1" x14ac:dyDescent="0.25">
      <c r="H380" s="281"/>
      <c r="K380" s="397"/>
    </row>
    <row r="381" spans="8:11" ht="15.75" customHeight="1" x14ac:dyDescent="0.25">
      <c r="H381" s="281"/>
      <c r="K381" s="397"/>
    </row>
    <row r="382" spans="8:11" ht="15.75" customHeight="1" x14ac:dyDescent="0.25">
      <c r="H382" s="281"/>
      <c r="K382" s="397"/>
    </row>
    <row r="383" spans="8:11" ht="15.75" customHeight="1" x14ac:dyDescent="0.25">
      <c r="H383" s="281"/>
      <c r="K383" s="397"/>
    </row>
    <row r="384" spans="8:11" ht="15.75" customHeight="1" x14ac:dyDescent="0.25">
      <c r="H384" s="281"/>
      <c r="K384" s="397"/>
    </row>
    <row r="385" spans="8:11" ht="15.75" customHeight="1" x14ac:dyDescent="0.25">
      <c r="H385" s="281"/>
      <c r="K385" s="397"/>
    </row>
    <row r="386" spans="8:11" ht="15.75" customHeight="1" x14ac:dyDescent="0.25">
      <c r="H386" s="281"/>
      <c r="K386" s="397"/>
    </row>
    <row r="387" spans="8:11" ht="15.75" customHeight="1" x14ac:dyDescent="0.25">
      <c r="H387" s="281"/>
      <c r="K387" s="397"/>
    </row>
    <row r="388" spans="8:11" ht="15.75" customHeight="1" x14ac:dyDescent="0.25">
      <c r="H388" s="281"/>
      <c r="K388" s="397"/>
    </row>
    <row r="389" spans="8:11" ht="15.75" customHeight="1" x14ac:dyDescent="0.25">
      <c r="H389" s="281"/>
      <c r="K389" s="397"/>
    </row>
    <row r="390" spans="8:11" ht="15.75" customHeight="1" x14ac:dyDescent="0.25">
      <c r="H390" s="281"/>
      <c r="K390" s="397"/>
    </row>
    <row r="391" spans="8:11" ht="15.75" customHeight="1" x14ac:dyDescent="0.25">
      <c r="H391" s="281"/>
      <c r="K391" s="397"/>
    </row>
    <row r="392" spans="8:11" ht="15.75" customHeight="1" x14ac:dyDescent="0.25">
      <c r="H392" s="281"/>
      <c r="K392" s="397"/>
    </row>
    <row r="393" spans="8:11" ht="15.75" customHeight="1" x14ac:dyDescent="0.25">
      <c r="H393" s="281"/>
      <c r="K393" s="397"/>
    </row>
    <row r="394" spans="8:11" ht="15.75" customHeight="1" x14ac:dyDescent="0.25">
      <c r="H394" s="281"/>
      <c r="K394" s="397"/>
    </row>
    <row r="395" spans="8:11" ht="15.75" customHeight="1" x14ac:dyDescent="0.25">
      <c r="H395" s="281"/>
      <c r="K395" s="397"/>
    </row>
    <row r="396" spans="8:11" ht="15.75" customHeight="1" x14ac:dyDescent="0.25">
      <c r="H396" s="281"/>
      <c r="K396" s="397"/>
    </row>
    <row r="397" spans="8:11" ht="15.75" customHeight="1" x14ac:dyDescent="0.25">
      <c r="H397" s="281"/>
      <c r="K397" s="397"/>
    </row>
    <row r="398" spans="8:11" ht="15.75" customHeight="1" x14ac:dyDescent="0.25">
      <c r="H398" s="281"/>
      <c r="K398" s="397"/>
    </row>
    <row r="399" spans="8:11" ht="15.75" customHeight="1" x14ac:dyDescent="0.25">
      <c r="H399" s="281"/>
      <c r="K399" s="397"/>
    </row>
    <row r="400" spans="8:11" ht="15.75" customHeight="1" x14ac:dyDescent="0.25">
      <c r="H400" s="281"/>
      <c r="K400" s="397"/>
    </row>
    <row r="401" spans="8:11" ht="15.75" customHeight="1" x14ac:dyDescent="0.25">
      <c r="H401" s="281"/>
      <c r="K401" s="397"/>
    </row>
    <row r="402" spans="8:11" ht="15.75" customHeight="1" x14ac:dyDescent="0.25">
      <c r="H402" s="281"/>
      <c r="K402" s="397"/>
    </row>
    <row r="403" spans="8:11" ht="15.75" customHeight="1" x14ac:dyDescent="0.25">
      <c r="H403" s="281"/>
      <c r="K403" s="397"/>
    </row>
    <row r="404" spans="8:11" ht="15.75" customHeight="1" x14ac:dyDescent="0.25">
      <c r="H404" s="281"/>
      <c r="K404" s="397"/>
    </row>
    <row r="405" spans="8:11" ht="15.75" customHeight="1" x14ac:dyDescent="0.25">
      <c r="H405" s="281"/>
      <c r="K405" s="397"/>
    </row>
    <row r="406" spans="8:11" ht="15.75" customHeight="1" x14ac:dyDescent="0.25">
      <c r="H406" s="281"/>
      <c r="K406" s="397"/>
    </row>
    <row r="407" spans="8:11" ht="15.75" customHeight="1" x14ac:dyDescent="0.25">
      <c r="H407" s="281"/>
      <c r="K407" s="397"/>
    </row>
    <row r="408" spans="8:11" ht="15.75" customHeight="1" x14ac:dyDescent="0.25">
      <c r="H408" s="281"/>
      <c r="K408" s="397"/>
    </row>
    <row r="409" spans="8:11" ht="15.75" customHeight="1" x14ac:dyDescent="0.25">
      <c r="H409" s="281"/>
      <c r="K409" s="397"/>
    </row>
    <row r="410" spans="8:11" ht="15.75" customHeight="1" x14ac:dyDescent="0.25">
      <c r="H410" s="281"/>
      <c r="K410" s="397"/>
    </row>
    <row r="411" spans="8:11" ht="15.75" customHeight="1" x14ac:dyDescent="0.25">
      <c r="H411" s="281"/>
      <c r="K411" s="397"/>
    </row>
    <row r="412" spans="8:11" ht="15.75" customHeight="1" x14ac:dyDescent="0.25">
      <c r="H412" s="281"/>
      <c r="K412" s="397"/>
    </row>
    <row r="413" spans="8:11" ht="15.75" customHeight="1" x14ac:dyDescent="0.25">
      <c r="H413" s="281"/>
      <c r="K413" s="397"/>
    </row>
    <row r="414" spans="8:11" ht="15.75" customHeight="1" x14ac:dyDescent="0.25">
      <c r="H414" s="281"/>
      <c r="K414" s="397"/>
    </row>
    <row r="415" spans="8:11" ht="15.75" customHeight="1" x14ac:dyDescent="0.25">
      <c r="H415" s="281"/>
      <c r="K415" s="397"/>
    </row>
    <row r="416" spans="8:11" ht="15.75" customHeight="1" x14ac:dyDescent="0.25">
      <c r="H416" s="281"/>
      <c r="K416" s="397"/>
    </row>
    <row r="417" spans="8:11" ht="15.75" customHeight="1" x14ac:dyDescent="0.25">
      <c r="H417" s="281"/>
      <c r="K417" s="397"/>
    </row>
    <row r="418" spans="8:11" ht="15.75" customHeight="1" x14ac:dyDescent="0.25">
      <c r="H418" s="281"/>
      <c r="K418" s="397"/>
    </row>
    <row r="419" spans="8:11" ht="15.75" customHeight="1" x14ac:dyDescent="0.25">
      <c r="H419" s="281"/>
      <c r="K419" s="397"/>
    </row>
    <row r="420" spans="8:11" ht="15.75" customHeight="1" x14ac:dyDescent="0.25">
      <c r="H420" s="281"/>
      <c r="K420" s="397"/>
    </row>
    <row r="421" spans="8:11" ht="15.75" customHeight="1" x14ac:dyDescent="0.25">
      <c r="H421" s="281"/>
      <c r="K421" s="397"/>
    </row>
    <row r="422" spans="8:11" ht="15.75" customHeight="1" x14ac:dyDescent="0.25">
      <c r="H422" s="281"/>
      <c r="K422" s="397"/>
    </row>
    <row r="423" spans="8:11" ht="15.75" customHeight="1" x14ac:dyDescent="0.25">
      <c r="H423" s="281"/>
      <c r="K423" s="397"/>
    </row>
    <row r="424" spans="8:11" ht="15.75" customHeight="1" x14ac:dyDescent="0.25">
      <c r="H424" s="281"/>
      <c r="K424" s="397"/>
    </row>
    <row r="425" spans="8:11" ht="15.75" customHeight="1" x14ac:dyDescent="0.25">
      <c r="H425" s="281"/>
      <c r="K425" s="397"/>
    </row>
    <row r="426" spans="8:11" ht="15.75" customHeight="1" x14ac:dyDescent="0.25">
      <c r="H426" s="281"/>
      <c r="K426" s="397"/>
    </row>
    <row r="427" spans="8:11" ht="15.75" customHeight="1" x14ac:dyDescent="0.25">
      <c r="H427" s="281"/>
      <c r="K427" s="397"/>
    </row>
    <row r="428" spans="8:11" ht="15.75" customHeight="1" x14ac:dyDescent="0.25">
      <c r="H428" s="281"/>
      <c r="K428" s="397"/>
    </row>
    <row r="429" spans="8:11" ht="15.75" customHeight="1" x14ac:dyDescent="0.25">
      <c r="H429" s="281"/>
      <c r="K429" s="397"/>
    </row>
    <row r="430" spans="8:11" ht="15.75" customHeight="1" x14ac:dyDescent="0.25">
      <c r="H430" s="281"/>
      <c r="K430" s="397"/>
    </row>
    <row r="431" spans="8:11" ht="15.75" customHeight="1" x14ac:dyDescent="0.25">
      <c r="H431" s="281"/>
      <c r="K431" s="397"/>
    </row>
    <row r="432" spans="8:11" ht="15.75" customHeight="1" x14ac:dyDescent="0.25">
      <c r="H432" s="281"/>
      <c r="K432" s="397"/>
    </row>
    <row r="433" spans="8:11" ht="15.75" customHeight="1" x14ac:dyDescent="0.25">
      <c r="H433" s="281"/>
      <c r="K433" s="397"/>
    </row>
    <row r="434" spans="8:11" ht="15.75" customHeight="1" x14ac:dyDescent="0.25">
      <c r="H434" s="281"/>
      <c r="K434" s="397"/>
    </row>
    <row r="435" spans="8:11" ht="15.75" customHeight="1" x14ac:dyDescent="0.25">
      <c r="H435" s="281"/>
      <c r="K435" s="397"/>
    </row>
    <row r="436" spans="8:11" ht="15.75" customHeight="1" x14ac:dyDescent="0.25">
      <c r="H436" s="281"/>
      <c r="K436" s="397"/>
    </row>
    <row r="437" spans="8:11" ht="15.75" customHeight="1" x14ac:dyDescent="0.25">
      <c r="H437" s="281"/>
      <c r="K437" s="397"/>
    </row>
    <row r="438" spans="8:11" ht="15.75" customHeight="1" x14ac:dyDescent="0.25">
      <c r="H438" s="281"/>
      <c r="K438" s="397"/>
    </row>
    <row r="439" spans="8:11" ht="15.75" customHeight="1" x14ac:dyDescent="0.25">
      <c r="H439" s="281"/>
      <c r="K439" s="397"/>
    </row>
    <row r="440" spans="8:11" ht="15.75" customHeight="1" x14ac:dyDescent="0.25">
      <c r="H440" s="281"/>
      <c r="K440" s="397"/>
    </row>
    <row r="441" spans="8:11" ht="15.75" customHeight="1" x14ac:dyDescent="0.25">
      <c r="H441" s="281"/>
      <c r="K441" s="397"/>
    </row>
    <row r="442" spans="8:11" ht="15.75" customHeight="1" x14ac:dyDescent="0.25">
      <c r="H442" s="281"/>
      <c r="K442" s="397"/>
    </row>
    <row r="443" spans="8:11" ht="15.75" customHeight="1" x14ac:dyDescent="0.25">
      <c r="H443" s="281"/>
      <c r="K443" s="397"/>
    </row>
    <row r="444" spans="8:11" ht="15.75" customHeight="1" x14ac:dyDescent="0.25">
      <c r="H444" s="281"/>
      <c r="K444" s="397"/>
    </row>
    <row r="445" spans="8:11" ht="15.75" customHeight="1" x14ac:dyDescent="0.25">
      <c r="H445" s="281"/>
      <c r="K445" s="397"/>
    </row>
    <row r="446" spans="8:11" ht="15.75" customHeight="1" x14ac:dyDescent="0.25">
      <c r="H446" s="281"/>
      <c r="K446" s="397"/>
    </row>
    <row r="447" spans="8:11" ht="15.75" customHeight="1" x14ac:dyDescent="0.25">
      <c r="H447" s="281"/>
      <c r="K447" s="397"/>
    </row>
    <row r="448" spans="8:11" ht="15.75" customHeight="1" x14ac:dyDescent="0.25">
      <c r="H448" s="281"/>
      <c r="K448" s="397"/>
    </row>
    <row r="449" spans="8:11" ht="15.75" customHeight="1" x14ac:dyDescent="0.25">
      <c r="H449" s="281"/>
      <c r="K449" s="397"/>
    </row>
    <row r="450" spans="8:11" ht="15.75" customHeight="1" x14ac:dyDescent="0.25">
      <c r="H450" s="281"/>
      <c r="K450" s="397"/>
    </row>
    <row r="451" spans="8:11" ht="15.75" customHeight="1" x14ac:dyDescent="0.25">
      <c r="H451" s="281"/>
      <c r="K451" s="397"/>
    </row>
    <row r="452" spans="8:11" ht="15.75" customHeight="1" x14ac:dyDescent="0.25">
      <c r="H452" s="281"/>
      <c r="K452" s="397"/>
    </row>
    <row r="453" spans="8:11" ht="15.75" customHeight="1" x14ac:dyDescent="0.25">
      <c r="H453" s="281"/>
      <c r="K453" s="397"/>
    </row>
    <row r="454" spans="8:11" ht="15.75" customHeight="1" x14ac:dyDescent="0.25">
      <c r="H454" s="281"/>
      <c r="K454" s="397"/>
    </row>
    <row r="455" spans="8:11" ht="15.75" customHeight="1" x14ac:dyDescent="0.25">
      <c r="H455" s="281"/>
      <c r="K455" s="397"/>
    </row>
    <row r="456" spans="8:11" ht="15.75" customHeight="1" x14ac:dyDescent="0.25">
      <c r="H456" s="281"/>
      <c r="K456" s="397"/>
    </row>
    <row r="457" spans="8:11" ht="15.75" customHeight="1" x14ac:dyDescent="0.25">
      <c r="H457" s="281"/>
      <c r="K457" s="397"/>
    </row>
    <row r="458" spans="8:11" ht="15.75" customHeight="1" x14ac:dyDescent="0.25">
      <c r="H458" s="281"/>
      <c r="K458" s="397"/>
    </row>
    <row r="459" spans="8:11" ht="15.75" customHeight="1" x14ac:dyDescent="0.25">
      <c r="H459" s="281"/>
      <c r="K459" s="397"/>
    </row>
    <row r="460" spans="8:11" ht="15.75" customHeight="1" x14ac:dyDescent="0.25">
      <c r="H460" s="281"/>
      <c r="K460" s="397"/>
    </row>
    <row r="461" spans="8:11" ht="15.75" customHeight="1" x14ac:dyDescent="0.25">
      <c r="H461" s="281"/>
      <c r="K461" s="397"/>
    </row>
    <row r="462" spans="8:11" ht="15.75" customHeight="1" x14ac:dyDescent="0.25">
      <c r="H462" s="281"/>
      <c r="K462" s="397"/>
    </row>
    <row r="463" spans="8:11" ht="15.75" customHeight="1" x14ac:dyDescent="0.25">
      <c r="H463" s="281"/>
      <c r="K463" s="397"/>
    </row>
    <row r="464" spans="8:11" ht="15.75" customHeight="1" x14ac:dyDescent="0.25">
      <c r="H464" s="281"/>
      <c r="K464" s="397"/>
    </row>
    <row r="465" spans="8:11" ht="15.75" customHeight="1" x14ac:dyDescent="0.25">
      <c r="H465" s="281"/>
      <c r="K465" s="397"/>
    </row>
    <row r="466" spans="8:11" ht="15.75" customHeight="1" x14ac:dyDescent="0.25">
      <c r="H466" s="281"/>
      <c r="K466" s="397"/>
    </row>
    <row r="467" spans="8:11" ht="15.75" customHeight="1" x14ac:dyDescent="0.25">
      <c r="H467" s="281"/>
      <c r="K467" s="397"/>
    </row>
    <row r="468" spans="8:11" ht="15.75" customHeight="1" x14ac:dyDescent="0.25">
      <c r="H468" s="281"/>
      <c r="K468" s="397"/>
    </row>
    <row r="469" spans="8:11" ht="15.75" customHeight="1" x14ac:dyDescent="0.25">
      <c r="H469" s="281"/>
      <c r="K469" s="397"/>
    </row>
    <row r="470" spans="8:11" ht="15.75" customHeight="1" x14ac:dyDescent="0.25">
      <c r="H470" s="281"/>
      <c r="K470" s="397"/>
    </row>
    <row r="471" spans="8:11" ht="15.75" customHeight="1" x14ac:dyDescent="0.25">
      <c r="H471" s="281"/>
      <c r="K471" s="397"/>
    </row>
    <row r="472" spans="8:11" ht="15.75" customHeight="1" x14ac:dyDescent="0.25">
      <c r="H472" s="281"/>
      <c r="K472" s="397"/>
    </row>
    <row r="473" spans="8:11" ht="15.75" customHeight="1" x14ac:dyDescent="0.25">
      <c r="H473" s="281"/>
      <c r="K473" s="397"/>
    </row>
    <row r="474" spans="8:11" ht="15.75" customHeight="1" x14ac:dyDescent="0.25">
      <c r="H474" s="281"/>
      <c r="K474" s="397"/>
    </row>
    <row r="475" spans="8:11" ht="15.75" customHeight="1" x14ac:dyDescent="0.25">
      <c r="H475" s="281"/>
      <c r="K475" s="397"/>
    </row>
    <row r="476" spans="8:11" ht="15.75" customHeight="1" x14ac:dyDescent="0.25">
      <c r="H476" s="281"/>
      <c r="K476" s="397"/>
    </row>
    <row r="477" spans="8:11" ht="15.75" customHeight="1" x14ac:dyDescent="0.25">
      <c r="H477" s="281"/>
      <c r="K477" s="397"/>
    </row>
    <row r="478" spans="8:11" ht="15.75" customHeight="1" x14ac:dyDescent="0.25">
      <c r="H478" s="281"/>
      <c r="K478" s="397"/>
    </row>
    <row r="479" spans="8:11" ht="15.75" customHeight="1" x14ac:dyDescent="0.25">
      <c r="H479" s="281"/>
      <c r="K479" s="397"/>
    </row>
    <row r="480" spans="8:11" ht="15.75" customHeight="1" x14ac:dyDescent="0.25">
      <c r="H480" s="281"/>
      <c r="K480" s="397"/>
    </row>
    <row r="481" spans="8:11" ht="15.75" customHeight="1" x14ac:dyDescent="0.25">
      <c r="H481" s="281"/>
      <c r="K481" s="397"/>
    </row>
    <row r="482" spans="8:11" ht="15.75" customHeight="1" x14ac:dyDescent="0.25">
      <c r="H482" s="281"/>
      <c r="K482" s="397"/>
    </row>
    <row r="483" spans="8:11" ht="15.75" customHeight="1" x14ac:dyDescent="0.25">
      <c r="H483" s="281"/>
      <c r="K483" s="397"/>
    </row>
    <row r="484" spans="8:11" ht="15.75" customHeight="1" x14ac:dyDescent="0.25">
      <c r="H484" s="281"/>
      <c r="K484" s="397"/>
    </row>
    <row r="485" spans="8:11" ht="15.75" customHeight="1" x14ac:dyDescent="0.25">
      <c r="H485" s="281"/>
      <c r="K485" s="397"/>
    </row>
    <row r="486" spans="8:11" ht="15.75" customHeight="1" x14ac:dyDescent="0.25">
      <c r="H486" s="281"/>
      <c r="K486" s="397"/>
    </row>
    <row r="487" spans="8:11" ht="15.75" customHeight="1" x14ac:dyDescent="0.25">
      <c r="H487" s="281"/>
      <c r="K487" s="397"/>
    </row>
    <row r="488" spans="8:11" ht="15.75" customHeight="1" x14ac:dyDescent="0.25">
      <c r="H488" s="281"/>
      <c r="K488" s="397"/>
    </row>
    <row r="489" spans="8:11" ht="15.75" customHeight="1" x14ac:dyDescent="0.25">
      <c r="H489" s="281"/>
      <c r="K489" s="397"/>
    </row>
    <row r="490" spans="8:11" ht="15.75" customHeight="1" x14ac:dyDescent="0.25">
      <c r="H490" s="281"/>
      <c r="K490" s="397"/>
    </row>
    <row r="491" spans="8:11" ht="15.75" customHeight="1" x14ac:dyDescent="0.25">
      <c r="H491" s="281"/>
      <c r="K491" s="397"/>
    </row>
    <row r="492" spans="8:11" ht="15.75" customHeight="1" x14ac:dyDescent="0.25">
      <c r="H492" s="281"/>
      <c r="K492" s="397"/>
    </row>
    <row r="493" spans="8:11" ht="15.75" customHeight="1" x14ac:dyDescent="0.25">
      <c r="H493" s="281"/>
      <c r="K493" s="397"/>
    </row>
    <row r="494" spans="8:11" ht="15.75" customHeight="1" x14ac:dyDescent="0.25">
      <c r="H494" s="281"/>
      <c r="K494" s="397"/>
    </row>
    <row r="495" spans="8:11" ht="15.75" customHeight="1" x14ac:dyDescent="0.25">
      <c r="H495" s="281"/>
      <c r="K495" s="397"/>
    </row>
    <row r="496" spans="8:11" ht="15.75" customHeight="1" x14ac:dyDescent="0.25">
      <c r="H496" s="281"/>
      <c r="K496" s="397"/>
    </row>
    <row r="497" spans="8:11" ht="15.75" customHeight="1" x14ac:dyDescent="0.25">
      <c r="H497" s="281"/>
      <c r="K497" s="397"/>
    </row>
    <row r="498" spans="8:11" ht="15.75" customHeight="1" x14ac:dyDescent="0.25">
      <c r="H498" s="281"/>
      <c r="K498" s="397"/>
    </row>
    <row r="499" spans="8:11" ht="15.75" customHeight="1" x14ac:dyDescent="0.25">
      <c r="H499" s="281"/>
      <c r="K499" s="397"/>
    </row>
    <row r="500" spans="8:11" ht="15.75" customHeight="1" x14ac:dyDescent="0.25">
      <c r="H500" s="281"/>
      <c r="K500" s="397"/>
    </row>
    <row r="501" spans="8:11" ht="15.75" customHeight="1" x14ac:dyDescent="0.25">
      <c r="H501" s="281"/>
      <c r="K501" s="397"/>
    </row>
    <row r="502" spans="8:11" ht="15.75" customHeight="1" x14ac:dyDescent="0.25">
      <c r="H502" s="281"/>
      <c r="K502" s="397"/>
    </row>
    <row r="503" spans="8:11" ht="15.75" customHeight="1" x14ac:dyDescent="0.25">
      <c r="H503" s="281"/>
      <c r="K503" s="397"/>
    </row>
    <row r="504" spans="8:11" ht="15.75" customHeight="1" x14ac:dyDescent="0.25">
      <c r="H504" s="281"/>
      <c r="K504" s="397"/>
    </row>
    <row r="505" spans="8:11" ht="15.75" customHeight="1" x14ac:dyDescent="0.25">
      <c r="H505" s="281"/>
      <c r="K505" s="397"/>
    </row>
    <row r="506" spans="8:11" ht="15.75" customHeight="1" x14ac:dyDescent="0.25">
      <c r="H506" s="281"/>
      <c r="K506" s="397"/>
    </row>
    <row r="507" spans="8:11" ht="15.75" customHeight="1" x14ac:dyDescent="0.25">
      <c r="H507" s="281"/>
      <c r="K507" s="397"/>
    </row>
    <row r="508" spans="8:11" ht="15.75" customHeight="1" x14ac:dyDescent="0.25">
      <c r="H508" s="281"/>
      <c r="K508" s="397"/>
    </row>
    <row r="509" spans="8:11" ht="15.75" customHeight="1" x14ac:dyDescent="0.25">
      <c r="H509" s="281"/>
      <c r="K509" s="397"/>
    </row>
    <row r="510" spans="8:11" ht="15.75" customHeight="1" x14ac:dyDescent="0.25">
      <c r="H510" s="281"/>
      <c r="K510" s="397"/>
    </row>
    <row r="511" spans="8:11" ht="15.75" customHeight="1" x14ac:dyDescent="0.25">
      <c r="H511" s="281"/>
      <c r="K511" s="397"/>
    </row>
    <row r="512" spans="8:11" ht="15.75" customHeight="1" x14ac:dyDescent="0.25">
      <c r="H512" s="281"/>
      <c r="K512" s="397"/>
    </row>
    <row r="513" spans="8:11" ht="15.75" customHeight="1" x14ac:dyDescent="0.25">
      <c r="H513" s="281"/>
      <c r="K513" s="397"/>
    </row>
    <row r="514" spans="8:11" ht="15.75" customHeight="1" x14ac:dyDescent="0.25">
      <c r="H514" s="281"/>
      <c r="K514" s="397"/>
    </row>
    <row r="515" spans="8:11" ht="15.75" customHeight="1" x14ac:dyDescent="0.25">
      <c r="H515" s="281"/>
      <c r="K515" s="397"/>
    </row>
    <row r="516" spans="8:11" ht="15.75" customHeight="1" x14ac:dyDescent="0.25">
      <c r="H516" s="281"/>
      <c r="K516" s="397"/>
    </row>
    <row r="517" spans="8:11" ht="15.75" customHeight="1" x14ac:dyDescent="0.25">
      <c r="H517" s="281"/>
      <c r="K517" s="397"/>
    </row>
    <row r="518" spans="8:11" ht="15.75" customHeight="1" x14ac:dyDescent="0.25">
      <c r="H518" s="281"/>
      <c r="K518" s="397"/>
    </row>
    <row r="519" spans="8:11" ht="15.75" customHeight="1" x14ac:dyDescent="0.25">
      <c r="H519" s="281"/>
      <c r="K519" s="397"/>
    </row>
    <row r="520" spans="8:11" ht="15.75" customHeight="1" x14ac:dyDescent="0.25">
      <c r="H520" s="281"/>
      <c r="K520" s="397"/>
    </row>
    <row r="521" spans="8:11" ht="15.75" customHeight="1" x14ac:dyDescent="0.25">
      <c r="H521" s="281"/>
      <c r="K521" s="397"/>
    </row>
    <row r="522" spans="8:11" ht="15.75" customHeight="1" x14ac:dyDescent="0.25">
      <c r="H522" s="281"/>
      <c r="K522" s="397"/>
    </row>
    <row r="523" spans="8:11" ht="15.75" customHeight="1" x14ac:dyDescent="0.25">
      <c r="H523" s="281"/>
      <c r="K523" s="397"/>
    </row>
    <row r="524" spans="8:11" ht="15.75" customHeight="1" x14ac:dyDescent="0.25">
      <c r="H524" s="281"/>
      <c r="K524" s="397"/>
    </row>
    <row r="525" spans="8:11" ht="15.75" customHeight="1" x14ac:dyDescent="0.25">
      <c r="H525" s="281"/>
      <c r="K525" s="397"/>
    </row>
    <row r="526" spans="8:11" ht="15.75" customHeight="1" x14ac:dyDescent="0.25">
      <c r="H526" s="281"/>
      <c r="K526" s="397"/>
    </row>
    <row r="527" spans="8:11" ht="15.75" customHeight="1" x14ac:dyDescent="0.25">
      <c r="H527" s="281"/>
      <c r="K527" s="397"/>
    </row>
    <row r="528" spans="8:11" ht="15.75" customHeight="1" x14ac:dyDescent="0.25">
      <c r="H528" s="281"/>
      <c r="K528" s="397"/>
    </row>
    <row r="529" spans="8:11" ht="15.75" customHeight="1" x14ac:dyDescent="0.25">
      <c r="H529" s="281"/>
      <c r="K529" s="397"/>
    </row>
    <row r="530" spans="8:11" ht="15.75" customHeight="1" x14ac:dyDescent="0.25">
      <c r="H530" s="281"/>
      <c r="K530" s="397"/>
    </row>
    <row r="531" spans="8:11" ht="15.75" customHeight="1" x14ac:dyDescent="0.25">
      <c r="H531" s="281"/>
      <c r="K531" s="397"/>
    </row>
    <row r="532" spans="8:11" ht="15.75" customHeight="1" x14ac:dyDescent="0.25">
      <c r="H532" s="281"/>
      <c r="K532" s="397"/>
    </row>
    <row r="533" spans="8:11" ht="15.75" customHeight="1" x14ac:dyDescent="0.25">
      <c r="H533" s="281"/>
      <c r="K533" s="397"/>
    </row>
    <row r="534" spans="8:11" ht="15.75" customHeight="1" x14ac:dyDescent="0.25">
      <c r="H534" s="281"/>
      <c r="K534" s="397"/>
    </row>
    <row r="535" spans="8:11" ht="15.75" customHeight="1" x14ac:dyDescent="0.25">
      <c r="H535" s="281"/>
      <c r="K535" s="397"/>
    </row>
    <row r="536" spans="8:11" ht="15.75" customHeight="1" x14ac:dyDescent="0.25">
      <c r="H536" s="281"/>
      <c r="K536" s="397"/>
    </row>
    <row r="537" spans="8:11" ht="15.75" customHeight="1" x14ac:dyDescent="0.25">
      <c r="H537" s="281"/>
      <c r="K537" s="397"/>
    </row>
    <row r="538" spans="8:11" ht="15.75" customHeight="1" x14ac:dyDescent="0.25">
      <c r="H538" s="281"/>
      <c r="K538" s="397"/>
    </row>
    <row r="539" spans="8:11" ht="15.75" customHeight="1" x14ac:dyDescent="0.25">
      <c r="H539" s="281"/>
      <c r="K539" s="397"/>
    </row>
    <row r="540" spans="8:11" ht="15.75" customHeight="1" x14ac:dyDescent="0.25">
      <c r="H540" s="281"/>
      <c r="K540" s="397"/>
    </row>
    <row r="541" spans="8:11" ht="15.75" customHeight="1" x14ac:dyDescent="0.25">
      <c r="H541" s="281"/>
      <c r="K541" s="397"/>
    </row>
    <row r="542" spans="8:11" ht="15.75" customHeight="1" x14ac:dyDescent="0.25">
      <c r="H542" s="281"/>
      <c r="K542" s="397"/>
    </row>
    <row r="543" spans="8:11" ht="15.75" customHeight="1" x14ac:dyDescent="0.25">
      <c r="H543" s="281"/>
      <c r="K543" s="397"/>
    </row>
    <row r="544" spans="8:11" ht="15.75" customHeight="1" x14ac:dyDescent="0.25">
      <c r="H544" s="281"/>
      <c r="K544" s="397"/>
    </row>
    <row r="545" spans="8:11" ht="15.75" customHeight="1" x14ac:dyDescent="0.25">
      <c r="H545" s="281"/>
      <c r="K545" s="397"/>
    </row>
    <row r="546" spans="8:11" ht="15.75" customHeight="1" x14ac:dyDescent="0.25">
      <c r="H546" s="281"/>
      <c r="K546" s="397"/>
    </row>
    <row r="547" spans="8:11" ht="15.75" customHeight="1" x14ac:dyDescent="0.25">
      <c r="H547" s="281"/>
      <c r="K547" s="397"/>
    </row>
    <row r="548" spans="8:11" ht="15.75" customHeight="1" x14ac:dyDescent="0.25">
      <c r="H548" s="281"/>
      <c r="K548" s="397"/>
    </row>
    <row r="549" spans="8:11" ht="15.75" customHeight="1" x14ac:dyDescent="0.25">
      <c r="H549" s="281"/>
      <c r="K549" s="397"/>
    </row>
    <row r="550" spans="8:11" ht="15.75" customHeight="1" x14ac:dyDescent="0.25">
      <c r="H550" s="281"/>
      <c r="K550" s="397"/>
    </row>
    <row r="551" spans="8:11" ht="15.75" customHeight="1" x14ac:dyDescent="0.25">
      <c r="H551" s="281"/>
      <c r="K551" s="397"/>
    </row>
    <row r="552" spans="8:11" ht="15.75" customHeight="1" x14ac:dyDescent="0.25">
      <c r="H552" s="281"/>
      <c r="K552" s="397"/>
    </row>
    <row r="553" spans="8:11" ht="15.75" customHeight="1" x14ac:dyDescent="0.25">
      <c r="H553" s="281"/>
      <c r="K553" s="397"/>
    </row>
    <row r="554" spans="8:11" ht="15.75" customHeight="1" x14ac:dyDescent="0.25">
      <c r="H554" s="281"/>
      <c r="K554" s="397"/>
    </row>
    <row r="555" spans="8:11" ht="15.75" customHeight="1" x14ac:dyDescent="0.25">
      <c r="H555" s="281"/>
      <c r="K555" s="397"/>
    </row>
    <row r="556" spans="8:11" ht="15.75" customHeight="1" x14ac:dyDescent="0.25">
      <c r="H556" s="281"/>
      <c r="K556" s="397"/>
    </row>
    <row r="557" spans="8:11" ht="15.75" customHeight="1" x14ac:dyDescent="0.25">
      <c r="H557" s="281"/>
      <c r="K557" s="397"/>
    </row>
    <row r="558" spans="8:11" ht="15.75" customHeight="1" x14ac:dyDescent="0.25">
      <c r="H558" s="281"/>
      <c r="K558" s="397"/>
    </row>
    <row r="559" spans="8:11" ht="15.75" customHeight="1" x14ac:dyDescent="0.25">
      <c r="H559" s="281"/>
      <c r="K559" s="397"/>
    </row>
    <row r="560" spans="8:11" ht="15.75" customHeight="1" x14ac:dyDescent="0.25">
      <c r="H560" s="281"/>
      <c r="K560" s="397"/>
    </row>
    <row r="561" spans="8:11" ht="15.75" customHeight="1" x14ac:dyDescent="0.25">
      <c r="H561" s="281"/>
      <c r="K561" s="397"/>
    </row>
    <row r="562" spans="8:11" ht="15.75" customHeight="1" x14ac:dyDescent="0.25">
      <c r="H562" s="281"/>
      <c r="K562" s="397"/>
    </row>
    <row r="563" spans="8:11" ht="15.75" customHeight="1" x14ac:dyDescent="0.25">
      <c r="H563" s="281"/>
      <c r="K563" s="397"/>
    </row>
    <row r="564" spans="8:11" ht="15.75" customHeight="1" x14ac:dyDescent="0.25">
      <c r="H564" s="281"/>
      <c r="K564" s="397"/>
    </row>
    <row r="565" spans="8:11" ht="15.75" customHeight="1" x14ac:dyDescent="0.25">
      <c r="H565" s="281"/>
      <c r="K565" s="397"/>
    </row>
    <row r="566" spans="8:11" ht="15.75" customHeight="1" x14ac:dyDescent="0.25">
      <c r="H566" s="281"/>
      <c r="K566" s="397"/>
    </row>
    <row r="567" spans="8:11" ht="15.75" customHeight="1" x14ac:dyDescent="0.25">
      <c r="H567" s="281"/>
      <c r="K567" s="397"/>
    </row>
    <row r="568" spans="8:11" ht="15.75" customHeight="1" x14ac:dyDescent="0.25">
      <c r="H568" s="281"/>
      <c r="K568" s="397"/>
    </row>
    <row r="569" spans="8:11" ht="15.75" customHeight="1" x14ac:dyDescent="0.25">
      <c r="H569" s="281"/>
      <c r="K569" s="397"/>
    </row>
    <row r="570" spans="8:11" ht="15.75" customHeight="1" x14ac:dyDescent="0.25">
      <c r="H570" s="281"/>
      <c r="K570" s="397"/>
    </row>
    <row r="571" spans="8:11" ht="15.75" customHeight="1" x14ac:dyDescent="0.25">
      <c r="H571" s="281"/>
      <c r="K571" s="397"/>
    </row>
    <row r="572" spans="8:11" ht="15.75" customHeight="1" x14ac:dyDescent="0.25">
      <c r="H572" s="281"/>
      <c r="K572" s="397"/>
    </row>
    <row r="573" spans="8:11" ht="15.75" customHeight="1" x14ac:dyDescent="0.25">
      <c r="H573" s="281"/>
      <c r="K573" s="397"/>
    </row>
    <row r="574" spans="8:11" ht="15.75" customHeight="1" x14ac:dyDescent="0.25">
      <c r="H574" s="281"/>
      <c r="K574" s="397"/>
    </row>
    <row r="575" spans="8:11" ht="15.75" customHeight="1" x14ac:dyDescent="0.25">
      <c r="H575" s="281"/>
      <c r="K575" s="397"/>
    </row>
    <row r="576" spans="8:11" ht="15.75" customHeight="1" x14ac:dyDescent="0.25">
      <c r="H576" s="281"/>
      <c r="K576" s="397"/>
    </row>
    <row r="577" spans="8:11" ht="15.75" customHeight="1" x14ac:dyDescent="0.25">
      <c r="H577" s="281"/>
      <c r="K577" s="397"/>
    </row>
    <row r="578" spans="8:11" ht="15.75" customHeight="1" x14ac:dyDescent="0.25">
      <c r="H578" s="281"/>
      <c r="K578" s="397"/>
    </row>
    <row r="579" spans="8:11" ht="15.75" customHeight="1" x14ac:dyDescent="0.25">
      <c r="H579" s="281"/>
      <c r="K579" s="397"/>
    </row>
    <row r="580" spans="8:11" ht="15.75" customHeight="1" x14ac:dyDescent="0.25">
      <c r="H580" s="281"/>
      <c r="K580" s="397"/>
    </row>
    <row r="581" spans="8:11" ht="15.75" customHeight="1" x14ac:dyDescent="0.25">
      <c r="H581" s="281"/>
      <c r="K581" s="397"/>
    </row>
    <row r="582" spans="8:11" ht="15.75" customHeight="1" x14ac:dyDescent="0.25">
      <c r="H582" s="281"/>
      <c r="K582" s="397"/>
    </row>
    <row r="583" spans="8:11" ht="15.75" customHeight="1" x14ac:dyDescent="0.25">
      <c r="H583" s="281"/>
      <c r="K583" s="397"/>
    </row>
    <row r="584" spans="8:11" ht="15.75" customHeight="1" x14ac:dyDescent="0.25">
      <c r="H584" s="281"/>
      <c r="K584" s="397"/>
    </row>
    <row r="585" spans="8:11" ht="15.75" customHeight="1" x14ac:dyDescent="0.25">
      <c r="H585" s="281"/>
      <c r="K585" s="397"/>
    </row>
    <row r="586" spans="8:11" ht="15.75" customHeight="1" x14ac:dyDescent="0.25">
      <c r="H586" s="281"/>
      <c r="K586" s="397"/>
    </row>
    <row r="587" spans="8:11" ht="15.75" customHeight="1" x14ac:dyDescent="0.25">
      <c r="H587" s="281"/>
      <c r="K587" s="397"/>
    </row>
    <row r="588" spans="8:11" ht="15.75" customHeight="1" x14ac:dyDescent="0.25">
      <c r="H588" s="281"/>
      <c r="K588" s="397"/>
    </row>
    <row r="589" spans="8:11" ht="15.75" customHeight="1" x14ac:dyDescent="0.25">
      <c r="H589" s="281"/>
      <c r="K589" s="397"/>
    </row>
    <row r="590" spans="8:11" ht="15.75" customHeight="1" x14ac:dyDescent="0.25">
      <c r="H590" s="281"/>
      <c r="K590" s="397"/>
    </row>
    <row r="591" spans="8:11" ht="15.75" customHeight="1" x14ac:dyDescent="0.25">
      <c r="H591" s="281"/>
      <c r="K591" s="397"/>
    </row>
    <row r="592" spans="8:11" ht="15.75" customHeight="1" x14ac:dyDescent="0.25">
      <c r="H592" s="281"/>
      <c r="K592" s="397"/>
    </row>
    <row r="593" spans="8:11" ht="15.75" customHeight="1" x14ac:dyDescent="0.25">
      <c r="H593" s="281"/>
      <c r="K593" s="397"/>
    </row>
    <row r="594" spans="8:11" ht="15.75" customHeight="1" x14ac:dyDescent="0.25">
      <c r="H594" s="281"/>
      <c r="K594" s="397"/>
    </row>
    <row r="595" spans="8:11" ht="15.75" customHeight="1" x14ac:dyDescent="0.25">
      <c r="H595" s="281"/>
      <c r="K595" s="397"/>
    </row>
    <row r="596" spans="8:11" ht="15.75" customHeight="1" x14ac:dyDescent="0.25">
      <c r="H596" s="281"/>
      <c r="K596" s="397"/>
    </row>
    <row r="597" spans="8:11" ht="15.75" customHeight="1" x14ac:dyDescent="0.25">
      <c r="H597" s="281"/>
      <c r="K597" s="397"/>
    </row>
    <row r="598" spans="8:11" ht="15.75" customHeight="1" x14ac:dyDescent="0.25">
      <c r="H598" s="281"/>
      <c r="K598" s="397"/>
    </row>
    <row r="599" spans="8:11" ht="15.75" customHeight="1" x14ac:dyDescent="0.25">
      <c r="H599" s="281"/>
      <c r="K599" s="397"/>
    </row>
    <row r="600" spans="8:11" ht="15.75" customHeight="1" x14ac:dyDescent="0.25">
      <c r="H600" s="281"/>
      <c r="K600" s="397"/>
    </row>
    <row r="601" spans="8:11" ht="15.75" customHeight="1" x14ac:dyDescent="0.25">
      <c r="H601" s="281"/>
      <c r="K601" s="397"/>
    </row>
    <row r="602" spans="8:11" ht="15.75" customHeight="1" x14ac:dyDescent="0.25">
      <c r="H602" s="281"/>
      <c r="K602" s="397"/>
    </row>
    <row r="603" spans="8:11" ht="15.75" customHeight="1" x14ac:dyDescent="0.25">
      <c r="H603" s="281"/>
      <c r="K603" s="397"/>
    </row>
    <row r="604" spans="8:11" ht="15.75" customHeight="1" x14ac:dyDescent="0.25">
      <c r="H604" s="281"/>
      <c r="K604" s="397"/>
    </row>
    <row r="605" spans="8:11" ht="15.75" customHeight="1" x14ac:dyDescent="0.25">
      <c r="H605" s="281"/>
      <c r="K605" s="397"/>
    </row>
    <row r="606" spans="8:11" ht="15.75" customHeight="1" x14ac:dyDescent="0.25">
      <c r="H606" s="281"/>
      <c r="K606" s="397"/>
    </row>
    <row r="607" spans="8:11" ht="15.75" customHeight="1" x14ac:dyDescent="0.25">
      <c r="H607" s="281"/>
      <c r="K607" s="397"/>
    </row>
    <row r="608" spans="8:11" ht="15.75" customHeight="1" x14ac:dyDescent="0.25">
      <c r="H608" s="281"/>
      <c r="K608" s="397"/>
    </row>
    <row r="609" spans="8:11" ht="15.75" customHeight="1" x14ac:dyDescent="0.25">
      <c r="H609" s="281"/>
      <c r="K609" s="397"/>
    </row>
    <row r="610" spans="8:11" ht="15.75" customHeight="1" x14ac:dyDescent="0.25">
      <c r="H610" s="281"/>
      <c r="K610" s="397"/>
    </row>
    <row r="611" spans="8:11" ht="15.75" customHeight="1" x14ac:dyDescent="0.25">
      <c r="H611" s="281"/>
      <c r="K611" s="397"/>
    </row>
    <row r="612" spans="8:11" ht="15.75" customHeight="1" x14ac:dyDescent="0.25">
      <c r="H612" s="281"/>
      <c r="K612" s="397"/>
    </row>
    <row r="613" spans="8:11" ht="15.75" customHeight="1" x14ac:dyDescent="0.25">
      <c r="H613" s="281"/>
      <c r="K613" s="397"/>
    </row>
    <row r="614" spans="8:11" ht="15.75" customHeight="1" x14ac:dyDescent="0.25">
      <c r="H614" s="281"/>
      <c r="K614" s="397"/>
    </row>
    <row r="615" spans="8:11" ht="15.75" customHeight="1" x14ac:dyDescent="0.25">
      <c r="H615" s="281"/>
      <c r="K615" s="397"/>
    </row>
    <row r="616" spans="8:11" ht="15.75" customHeight="1" x14ac:dyDescent="0.25">
      <c r="H616" s="281"/>
      <c r="K616" s="397"/>
    </row>
    <row r="617" spans="8:11" ht="15.75" customHeight="1" x14ac:dyDescent="0.25">
      <c r="H617" s="281"/>
      <c r="K617" s="397"/>
    </row>
    <row r="618" spans="8:11" ht="15.75" customHeight="1" x14ac:dyDescent="0.25">
      <c r="H618" s="281"/>
      <c r="K618" s="397"/>
    </row>
    <row r="619" spans="8:11" ht="15.75" customHeight="1" x14ac:dyDescent="0.25">
      <c r="H619" s="281"/>
      <c r="K619" s="397"/>
    </row>
    <row r="620" spans="8:11" ht="15.75" customHeight="1" x14ac:dyDescent="0.25">
      <c r="H620" s="281"/>
      <c r="K620" s="397"/>
    </row>
    <row r="621" spans="8:11" ht="15.75" customHeight="1" x14ac:dyDescent="0.25">
      <c r="H621" s="281"/>
      <c r="K621" s="397"/>
    </row>
    <row r="622" spans="8:11" ht="15.75" customHeight="1" x14ac:dyDescent="0.25">
      <c r="H622" s="281"/>
      <c r="K622" s="397"/>
    </row>
    <row r="623" spans="8:11" ht="15.75" customHeight="1" x14ac:dyDescent="0.25">
      <c r="H623" s="281"/>
      <c r="K623" s="397"/>
    </row>
    <row r="624" spans="8:11" ht="15.75" customHeight="1" x14ac:dyDescent="0.25">
      <c r="H624" s="281"/>
      <c r="K624" s="397"/>
    </row>
    <row r="625" spans="8:11" ht="15.75" customHeight="1" x14ac:dyDescent="0.25">
      <c r="H625" s="281"/>
      <c r="K625" s="397"/>
    </row>
    <row r="626" spans="8:11" ht="15.75" customHeight="1" x14ac:dyDescent="0.25">
      <c r="H626" s="281"/>
      <c r="K626" s="397"/>
    </row>
    <row r="627" spans="8:11" ht="15.75" customHeight="1" x14ac:dyDescent="0.25">
      <c r="H627" s="281"/>
      <c r="K627" s="397"/>
    </row>
    <row r="628" spans="8:11" ht="15.75" customHeight="1" x14ac:dyDescent="0.25">
      <c r="H628" s="281"/>
      <c r="K628" s="397"/>
    </row>
    <row r="629" spans="8:11" ht="15.75" customHeight="1" x14ac:dyDescent="0.25">
      <c r="H629" s="281"/>
      <c r="K629" s="397"/>
    </row>
    <row r="630" spans="8:11" ht="15.75" customHeight="1" x14ac:dyDescent="0.25">
      <c r="H630" s="281"/>
      <c r="K630" s="397"/>
    </row>
    <row r="631" spans="8:11" ht="15.75" customHeight="1" x14ac:dyDescent="0.25">
      <c r="H631" s="281"/>
      <c r="K631" s="397"/>
    </row>
    <row r="632" spans="8:11" ht="15.75" customHeight="1" x14ac:dyDescent="0.25">
      <c r="H632" s="281"/>
      <c r="K632" s="397"/>
    </row>
    <row r="633" spans="8:11" ht="15.75" customHeight="1" x14ac:dyDescent="0.25">
      <c r="H633" s="281"/>
      <c r="K633" s="397"/>
    </row>
    <row r="634" spans="8:11" ht="15.75" customHeight="1" x14ac:dyDescent="0.25">
      <c r="H634" s="281"/>
      <c r="K634" s="397"/>
    </row>
    <row r="635" spans="8:11" ht="15.75" customHeight="1" x14ac:dyDescent="0.25">
      <c r="H635" s="281"/>
      <c r="K635" s="397"/>
    </row>
    <row r="636" spans="8:11" ht="15.75" customHeight="1" x14ac:dyDescent="0.25">
      <c r="H636" s="281"/>
      <c r="K636" s="397"/>
    </row>
    <row r="637" spans="8:11" ht="15.75" customHeight="1" x14ac:dyDescent="0.25">
      <c r="H637" s="281"/>
      <c r="K637" s="397"/>
    </row>
    <row r="638" spans="8:11" ht="15.75" customHeight="1" x14ac:dyDescent="0.25">
      <c r="H638" s="281"/>
      <c r="K638" s="397"/>
    </row>
    <row r="639" spans="8:11" ht="15.75" customHeight="1" x14ac:dyDescent="0.25">
      <c r="H639" s="281"/>
      <c r="K639" s="397"/>
    </row>
    <row r="640" spans="8:11" ht="15.75" customHeight="1" x14ac:dyDescent="0.25">
      <c r="H640" s="281"/>
      <c r="K640" s="397"/>
    </row>
    <row r="641" spans="8:11" ht="15.75" customHeight="1" x14ac:dyDescent="0.25">
      <c r="H641" s="281"/>
      <c r="K641" s="397"/>
    </row>
    <row r="642" spans="8:11" ht="15.75" customHeight="1" x14ac:dyDescent="0.25">
      <c r="H642" s="281"/>
      <c r="K642" s="397"/>
    </row>
    <row r="643" spans="8:11" ht="15.75" customHeight="1" x14ac:dyDescent="0.25">
      <c r="H643" s="281"/>
      <c r="K643" s="397"/>
    </row>
    <row r="644" spans="8:11" ht="15.75" customHeight="1" x14ac:dyDescent="0.25">
      <c r="H644" s="281"/>
      <c r="K644" s="397"/>
    </row>
    <row r="645" spans="8:11" ht="15.75" customHeight="1" x14ac:dyDescent="0.25">
      <c r="H645" s="281"/>
      <c r="K645" s="397"/>
    </row>
    <row r="646" spans="8:11" ht="15.75" customHeight="1" x14ac:dyDescent="0.25">
      <c r="H646" s="281"/>
      <c r="K646" s="397"/>
    </row>
    <row r="647" spans="8:11" ht="15.75" customHeight="1" x14ac:dyDescent="0.25">
      <c r="H647" s="281"/>
      <c r="K647" s="397"/>
    </row>
    <row r="648" spans="8:11" ht="15.75" customHeight="1" x14ac:dyDescent="0.25">
      <c r="H648" s="281"/>
      <c r="K648" s="397"/>
    </row>
    <row r="649" spans="8:11" ht="15.75" customHeight="1" x14ac:dyDescent="0.25">
      <c r="H649" s="281"/>
      <c r="K649" s="397"/>
    </row>
    <row r="650" spans="8:11" ht="15.75" customHeight="1" x14ac:dyDescent="0.25">
      <c r="H650" s="281"/>
      <c r="K650" s="397"/>
    </row>
    <row r="651" spans="8:11" ht="15.75" customHeight="1" x14ac:dyDescent="0.25">
      <c r="H651" s="281"/>
      <c r="K651" s="397"/>
    </row>
    <row r="652" spans="8:11" ht="15.75" customHeight="1" x14ac:dyDescent="0.25">
      <c r="H652" s="281"/>
      <c r="K652" s="397"/>
    </row>
    <row r="653" spans="8:11" ht="15.75" customHeight="1" x14ac:dyDescent="0.25">
      <c r="H653" s="281"/>
      <c r="K653" s="397"/>
    </row>
    <row r="654" spans="8:11" ht="15.75" customHeight="1" x14ac:dyDescent="0.25">
      <c r="H654" s="281"/>
      <c r="K654" s="397"/>
    </row>
    <row r="655" spans="8:11" ht="15.75" customHeight="1" x14ac:dyDescent="0.25">
      <c r="H655" s="281"/>
      <c r="K655" s="397"/>
    </row>
    <row r="656" spans="8:11" ht="15.75" customHeight="1" x14ac:dyDescent="0.25">
      <c r="H656" s="281"/>
      <c r="K656" s="397"/>
    </row>
    <row r="657" spans="8:11" ht="15.75" customHeight="1" x14ac:dyDescent="0.25">
      <c r="H657" s="281"/>
      <c r="K657" s="397"/>
    </row>
    <row r="658" spans="8:11" ht="15.75" customHeight="1" x14ac:dyDescent="0.25">
      <c r="H658" s="281"/>
      <c r="K658" s="397"/>
    </row>
    <row r="659" spans="8:11" ht="15.75" customHeight="1" x14ac:dyDescent="0.25">
      <c r="H659" s="281"/>
      <c r="K659" s="397"/>
    </row>
    <row r="660" spans="8:11" ht="15.75" customHeight="1" x14ac:dyDescent="0.25">
      <c r="H660" s="281"/>
      <c r="K660" s="397"/>
    </row>
    <row r="661" spans="8:11" ht="15.75" customHeight="1" x14ac:dyDescent="0.25">
      <c r="H661" s="281"/>
      <c r="K661" s="397"/>
    </row>
    <row r="662" spans="8:11" ht="15.75" customHeight="1" x14ac:dyDescent="0.25">
      <c r="H662" s="281"/>
      <c r="K662" s="397"/>
    </row>
    <row r="663" spans="8:11" ht="15.75" customHeight="1" x14ac:dyDescent="0.25">
      <c r="H663" s="281"/>
      <c r="K663" s="397"/>
    </row>
    <row r="664" spans="8:11" ht="15.75" customHeight="1" x14ac:dyDescent="0.25">
      <c r="H664" s="281"/>
      <c r="K664" s="397"/>
    </row>
    <row r="665" spans="8:11" ht="15.75" customHeight="1" x14ac:dyDescent="0.25">
      <c r="H665" s="281"/>
      <c r="K665" s="397"/>
    </row>
    <row r="666" spans="8:11" ht="15.75" customHeight="1" x14ac:dyDescent="0.25">
      <c r="H666" s="281"/>
      <c r="K666" s="397"/>
    </row>
    <row r="667" spans="8:11" ht="15.75" customHeight="1" x14ac:dyDescent="0.25">
      <c r="H667" s="281"/>
      <c r="K667" s="397"/>
    </row>
    <row r="668" spans="8:11" ht="15.75" customHeight="1" x14ac:dyDescent="0.25">
      <c r="H668" s="281"/>
      <c r="K668" s="397"/>
    </row>
    <row r="669" spans="8:11" ht="15.75" customHeight="1" x14ac:dyDescent="0.25">
      <c r="H669" s="281"/>
      <c r="K669" s="397"/>
    </row>
    <row r="670" spans="8:11" ht="15.75" customHeight="1" x14ac:dyDescent="0.25">
      <c r="H670" s="281"/>
      <c r="K670" s="397"/>
    </row>
    <row r="671" spans="8:11" ht="15.75" customHeight="1" x14ac:dyDescent="0.25">
      <c r="H671" s="281"/>
      <c r="K671" s="397"/>
    </row>
    <row r="672" spans="8:11" ht="15.75" customHeight="1" x14ac:dyDescent="0.25">
      <c r="H672" s="281"/>
      <c r="K672" s="397"/>
    </row>
    <row r="673" spans="8:11" ht="15.75" customHeight="1" x14ac:dyDescent="0.25">
      <c r="H673" s="281"/>
      <c r="K673" s="397"/>
    </row>
    <row r="674" spans="8:11" ht="15.75" customHeight="1" x14ac:dyDescent="0.25">
      <c r="H674" s="281"/>
      <c r="K674" s="397"/>
    </row>
    <row r="675" spans="8:11" ht="15.75" customHeight="1" x14ac:dyDescent="0.25">
      <c r="H675" s="281"/>
      <c r="K675" s="397"/>
    </row>
    <row r="676" spans="8:11" ht="15.75" customHeight="1" x14ac:dyDescent="0.25">
      <c r="H676" s="281"/>
      <c r="K676" s="397"/>
    </row>
    <row r="677" spans="8:11" ht="15.75" customHeight="1" x14ac:dyDescent="0.25">
      <c r="H677" s="281"/>
      <c r="K677" s="397"/>
    </row>
    <row r="678" spans="8:11" ht="15.75" customHeight="1" x14ac:dyDescent="0.25">
      <c r="H678" s="281"/>
      <c r="K678" s="397"/>
    </row>
    <row r="679" spans="8:11" ht="15.75" customHeight="1" x14ac:dyDescent="0.25">
      <c r="H679" s="281"/>
      <c r="K679" s="397"/>
    </row>
    <row r="680" spans="8:11" ht="15.75" customHeight="1" x14ac:dyDescent="0.25">
      <c r="H680" s="281"/>
      <c r="K680" s="397"/>
    </row>
    <row r="681" spans="8:11" ht="15.75" customHeight="1" x14ac:dyDescent="0.25">
      <c r="H681" s="281"/>
      <c r="K681" s="397"/>
    </row>
    <row r="682" spans="8:11" ht="15.75" customHeight="1" x14ac:dyDescent="0.25">
      <c r="H682" s="281"/>
      <c r="K682" s="397"/>
    </row>
    <row r="683" spans="8:11" ht="15.75" customHeight="1" x14ac:dyDescent="0.25">
      <c r="H683" s="281"/>
      <c r="K683" s="397"/>
    </row>
    <row r="684" spans="8:11" ht="15.75" customHeight="1" x14ac:dyDescent="0.25">
      <c r="H684" s="281"/>
      <c r="K684" s="397"/>
    </row>
    <row r="685" spans="8:11" ht="15.75" customHeight="1" x14ac:dyDescent="0.25">
      <c r="H685" s="281"/>
      <c r="K685" s="397"/>
    </row>
    <row r="686" spans="8:11" ht="15.75" customHeight="1" x14ac:dyDescent="0.25">
      <c r="H686" s="281"/>
      <c r="K686" s="397"/>
    </row>
    <row r="687" spans="8:11" ht="15.75" customHeight="1" x14ac:dyDescent="0.25">
      <c r="H687" s="281"/>
      <c r="K687" s="397"/>
    </row>
    <row r="688" spans="8:11" ht="15.75" customHeight="1" x14ac:dyDescent="0.25">
      <c r="H688" s="281"/>
      <c r="K688" s="397"/>
    </row>
    <row r="689" spans="8:11" ht="15.75" customHeight="1" x14ac:dyDescent="0.25">
      <c r="H689" s="281"/>
      <c r="K689" s="397"/>
    </row>
    <row r="690" spans="8:11" ht="15.75" customHeight="1" x14ac:dyDescent="0.25">
      <c r="H690" s="281"/>
      <c r="K690" s="397"/>
    </row>
    <row r="691" spans="8:11" ht="15.75" customHeight="1" x14ac:dyDescent="0.25">
      <c r="H691" s="281"/>
      <c r="K691" s="397"/>
    </row>
    <row r="692" spans="8:11" ht="15.75" customHeight="1" x14ac:dyDescent="0.25">
      <c r="H692" s="281"/>
      <c r="K692" s="397"/>
    </row>
    <row r="693" spans="8:11" ht="15.75" customHeight="1" x14ac:dyDescent="0.25">
      <c r="H693" s="281"/>
      <c r="K693" s="397"/>
    </row>
    <row r="694" spans="8:11" ht="15.75" customHeight="1" x14ac:dyDescent="0.25">
      <c r="H694" s="281"/>
      <c r="K694" s="397"/>
    </row>
    <row r="695" spans="8:11" ht="15.75" customHeight="1" x14ac:dyDescent="0.25">
      <c r="H695" s="281"/>
      <c r="K695" s="397"/>
    </row>
    <row r="696" spans="8:11" ht="15.75" customHeight="1" x14ac:dyDescent="0.25">
      <c r="H696" s="281"/>
      <c r="K696" s="397"/>
    </row>
    <row r="697" spans="8:11" ht="15.75" customHeight="1" x14ac:dyDescent="0.25">
      <c r="H697" s="281"/>
      <c r="K697" s="397"/>
    </row>
    <row r="698" spans="8:11" ht="15.75" customHeight="1" x14ac:dyDescent="0.25">
      <c r="H698" s="281"/>
      <c r="K698" s="397"/>
    </row>
    <row r="699" spans="8:11" ht="15.75" customHeight="1" x14ac:dyDescent="0.25">
      <c r="H699" s="281"/>
      <c r="K699" s="397"/>
    </row>
    <row r="700" spans="8:11" ht="15.75" customHeight="1" x14ac:dyDescent="0.25">
      <c r="H700" s="281"/>
      <c r="K700" s="397"/>
    </row>
    <row r="701" spans="8:11" ht="15.75" customHeight="1" x14ac:dyDescent="0.25">
      <c r="H701" s="281"/>
      <c r="K701" s="397"/>
    </row>
    <row r="702" spans="8:11" ht="15.75" customHeight="1" x14ac:dyDescent="0.25">
      <c r="H702" s="281"/>
      <c r="K702" s="397"/>
    </row>
    <row r="703" spans="8:11" ht="15.75" customHeight="1" x14ac:dyDescent="0.25">
      <c r="H703" s="281"/>
      <c r="K703" s="397"/>
    </row>
    <row r="704" spans="8:11" ht="15.75" customHeight="1" x14ac:dyDescent="0.25">
      <c r="H704" s="281"/>
      <c r="K704" s="397"/>
    </row>
    <row r="705" spans="8:11" ht="15.75" customHeight="1" x14ac:dyDescent="0.25">
      <c r="H705" s="281"/>
      <c r="K705" s="397"/>
    </row>
    <row r="706" spans="8:11" ht="15.75" customHeight="1" x14ac:dyDescent="0.25">
      <c r="H706" s="281"/>
      <c r="K706" s="397"/>
    </row>
    <row r="707" spans="8:11" ht="15.75" customHeight="1" x14ac:dyDescent="0.25">
      <c r="H707" s="281"/>
      <c r="K707" s="397"/>
    </row>
    <row r="708" spans="8:11" ht="15.75" customHeight="1" x14ac:dyDescent="0.25">
      <c r="H708" s="281"/>
      <c r="K708" s="397"/>
    </row>
    <row r="709" spans="8:11" ht="15.75" customHeight="1" x14ac:dyDescent="0.25">
      <c r="H709" s="281"/>
      <c r="K709" s="397"/>
    </row>
    <row r="710" spans="8:11" ht="15.75" customHeight="1" x14ac:dyDescent="0.25">
      <c r="H710" s="281"/>
      <c r="K710" s="397"/>
    </row>
    <row r="711" spans="8:11" ht="15.75" customHeight="1" x14ac:dyDescent="0.25">
      <c r="H711" s="281"/>
      <c r="K711" s="397"/>
    </row>
    <row r="712" spans="8:11" ht="15.75" customHeight="1" x14ac:dyDescent="0.25">
      <c r="H712" s="281"/>
      <c r="K712" s="397"/>
    </row>
    <row r="713" spans="8:11" ht="15.75" customHeight="1" x14ac:dyDescent="0.25">
      <c r="H713" s="281"/>
      <c r="K713" s="397"/>
    </row>
    <row r="714" spans="8:11" ht="15.75" customHeight="1" x14ac:dyDescent="0.25">
      <c r="H714" s="281"/>
      <c r="K714" s="397"/>
    </row>
    <row r="715" spans="8:11" ht="15.75" customHeight="1" x14ac:dyDescent="0.25">
      <c r="H715" s="281"/>
      <c r="K715" s="397"/>
    </row>
    <row r="716" spans="8:11" ht="15.75" customHeight="1" x14ac:dyDescent="0.25">
      <c r="H716" s="281"/>
      <c r="K716" s="397"/>
    </row>
    <row r="717" spans="8:11" ht="15.75" customHeight="1" x14ac:dyDescent="0.25">
      <c r="H717" s="281"/>
      <c r="K717" s="397"/>
    </row>
    <row r="718" spans="8:11" ht="15.75" customHeight="1" x14ac:dyDescent="0.25">
      <c r="H718" s="281"/>
      <c r="K718" s="397"/>
    </row>
    <row r="719" spans="8:11" ht="15.75" customHeight="1" x14ac:dyDescent="0.25">
      <c r="H719" s="281"/>
      <c r="K719" s="397"/>
    </row>
    <row r="720" spans="8:11" ht="15.75" customHeight="1" x14ac:dyDescent="0.25">
      <c r="H720" s="281"/>
      <c r="K720" s="397"/>
    </row>
    <row r="721" spans="8:11" ht="15.75" customHeight="1" x14ac:dyDescent="0.25">
      <c r="H721" s="281"/>
      <c r="K721" s="397"/>
    </row>
    <row r="722" spans="8:11" ht="15.75" customHeight="1" x14ac:dyDescent="0.25">
      <c r="H722" s="281"/>
      <c r="K722" s="397"/>
    </row>
    <row r="723" spans="8:11" ht="15.75" customHeight="1" x14ac:dyDescent="0.25">
      <c r="H723" s="281"/>
      <c r="K723" s="397"/>
    </row>
    <row r="724" spans="8:11" ht="15.75" customHeight="1" x14ac:dyDescent="0.25">
      <c r="H724" s="281"/>
      <c r="K724" s="397"/>
    </row>
    <row r="725" spans="8:11" ht="15.75" customHeight="1" x14ac:dyDescent="0.25">
      <c r="H725" s="281"/>
      <c r="K725" s="397"/>
    </row>
    <row r="726" spans="8:11" ht="15.75" customHeight="1" x14ac:dyDescent="0.25">
      <c r="H726" s="281"/>
      <c r="K726" s="397"/>
    </row>
    <row r="727" spans="8:11" ht="15.75" customHeight="1" x14ac:dyDescent="0.25">
      <c r="H727" s="281"/>
      <c r="K727" s="397"/>
    </row>
    <row r="728" spans="8:11" ht="15.75" customHeight="1" x14ac:dyDescent="0.25">
      <c r="H728" s="281"/>
      <c r="K728" s="397"/>
    </row>
    <row r="729" spans="8:11" ht="15.75" customHeight="1" x14ac:dyDescent="0.25">
      <c r="H729" s="281"/>
      <c r="K729" s="397"/>
    </row>
    <row r="730" spans="8:11" ht="15.75" customHeight="1" x14ac:dyDescent="0.25">
      <c r="H730" s="281"/>
      <c r="K730" s="397"/>
    </row>
    <row r="731" spans="8:11" ht="15.75" customHeight="1" x14ac:dyDescent="0.25">
      <c r="H731" s="281"/>
      <c r="K731" s="397"/>
    </row>
    <row r="732" spans="8:11" ht="15.75" customHeight="1" x14ac:dyDescent="0.25">
      <c r="H732" s="281"/>
      <c r="K732" s="397"/>
    </row>
    <row r="733" spans="8:11" ht="15.75" customHeight="1" x14ac:dyDescent="0.25">
      <c r="H733" s="281"/>
      <c r="K733" s="397"/>
    </row>
    <row r="734" spans="8:11" ht="15.75" customHeight="1" x14ac:dyDescent="0.25">
      <c r="H734" s="281"/>
      <c r="K734" s="397"/>
    </row>
  </sheetData>
  <mergeCells count="28">
    <mergeCell ref="A119:G119"/>
    <mergeCell ref="A120:A123"/>
    <mergeCell ref="B120:B123"/>
    <mergeCell ref="C120:C121"/>
    <mergeCell ref="D120:F120"/>
    <mergeCell ref="G120:G121"/>
    <mergeCell ref="F121:F122"/>
    <mergeCell ref="A93:G93"/>
    <mergeCell ref="A94:A97"/>
    <mergeCell ref="B94:B97"/>
    <mergeCell ref="C94:C95"/>
    <mergeCell ref="D94:F94"/>
    <mergeCell ref="G94:G95"/>
    <mergeCell ref="F95:F96"/>
    <mergeCell ref="A51:G51"/>
    <mergeCell ref="A52:A55"/>
    <mergeCell ref="B52:B55"/>
    <mergeCell ref="C52:C53"/>
    <mergeCell ref="D52:F52"/>
    <mergeCell ref="G52:G53"/>
    <mergeCell ref="F53:F54"/>
    <mergeCell ref="A7:G7"/>
    <mergeCell ref="A8:A11"/>
    <mergeCell ref="B8:B11"/>
    <mergeCell ref="C8:C9"/>
    <mergeCell ref="D8:F8"/>
    <mergeCell ref="G8:G9"/>
    <mergeCell ref="F9:F10"/>
  </mergeCells>
  <pageMargins left="0.39370078740157483" right="0.39370078740157483" top="0.39370078740157483" bottom="0.39370078740157483" header="0" footer="0"/>
  <pageSetup paperSize="9" scale="89" fitToHeight="0" orientation="portrait" r:id="rId1"/>
  <rowBreaks count="2" manualBreakCount="2">
    <brk id="46" max="6" man="1"/>
    <brk id="88" max="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61"/>
  <sheetViews>
    <sheetView view="pageBreakPreview" topLeftCell="A48" zoomScale="130" zoomScaleNormal="100" zoomScaleSheetLayoutView="130" workbookViewId="0">
      <selection activeCell="A100" sqref="A100"/>
    </sheetView>
  </sheetViews>
  <sheetFormatPr defaultColWidth="14.42578125" defaultRowHeight="15" customHeight="1" x14ac:dyDescent="0.25"/>
  <cols>
    <col min="1" max="1" width="74.7109375" customWidth="1"/>
    <col min="2" max="2" width="16.140625" customWidth="1"/>
    <col min="3" max="6" width="18.7109375" hidden="1" customWidth="1"/>
    <col min="7" max="7" width="18.7109375" customWidth="1"/>
    <col min="9" max="9" width="16" customWidth="1"/>
  </cols>
  <sheetData>
    <row r="1" spans="1:9" ht="15.75" x14ac:dyDescent="0.25">
      <c r="A1" s="9"/>
      <c r="B1" s="10"/>
      <c r="C1" s="11"/>
      <c r="D1" s="11"/>
      <c r="E1" s="11"/>
      <c r="F1" s="10"/>
      <c r="G1" s="417"/>
      <c r="I1" s="40"/>
    </row>
    <row r="2" spans="1:9" ht="15.75" x14ac:dyDescent="0.25">
      <c r="A2" s="17"/>
      <c r="B2" s="15"/>
      <c r="C2" s="18"/>
      <c r="D2" s="18"/>
      <c r="E2" s="18"/>
      <c r="F2" s="15"/>
      <c r="G2" s="418"/>
      <c r="I2" s="40"/>
    </row>
    <row r="3" spans="1:9" ht="15.75" x14ac:dyDescent="0.25">
      <c r="A3" s="861" t="s">
        <v>349</v>
      </c>
      <c r="B3" s="862"/>
      <c r="C3" s="862"/>
      <c r="D3" s="862"/>
      <c r="E3" s="862"/>
      <c r="F3" s="862"/>
      <c r="G3" s="863"/>
      <c r="I3" s="40"/>
    </row>
    <row r="4" spans="1:9" ht="15.75" x14ac:dyDescent="0.25">
      <c r="A4" s="864" t="s">
        <v>350</v>
      </c>
      <c r="B4" s="862"/>
      <c r="C4" s="862"/>
      <c r="D4" s="862"/>
      <c r="E4" s="862"/>
      <c r="F4" s="862"/>
      <c r="G4" s="863"/>
      <c r="I4" s="40" t="s">
        <v>2603</v>
      </c>
    </row>
    <row r="5" spans="1:9" ht="15.75" x14ac:dyDescent="0.25">
      <c r="A5" s="21"/>
      <c r="B5" s="18"/>
      <c r="C5" s="18"/>
      <c r="D5" s="18"/>
      <c r="E5" s="18"/>
      <c r="F5" s="18"/>
      <c r="G5" s="419"/>
      <c r="I5" s="404">
        <v>1105569228</v>
      </c>
    </row>
    <row r="6" spans="1:9" ht="15.75" x14ac:dyDescent="0.25">
      <c r="A6" s="17" t="s">
        <v>2604</v>
      </c>
      <c r="B6" s="24"/>
      <c r="C6" s="25"/>
      <c r="D6" s="25"/>
      <c r="E6" s="25"/>
      <c r="F6" s="24"/>
      <c r="G6" s="418"/>
      <c r="I6" s="416" t="e">
        <f>I5-#REF!</f>
        <v>#REF!</v>
      </c>
    </row>
    <row r="7" spans="1:9" ht="15.75" x14ac:dyDescent="0.25">
      <c r="A7" s="17"/>
      <c r="B7" s="24"/>
      <c r="C7" s="25"/>
      <c r="D7" s="25"/>
      <c r="E7" s="25"/>
      <c r="F7" s="24"/>
      <c r="G7" s="418"/>
      <c r="I7" s="40"/>
    </row>
    <row r="8" spans="1:9" ht="15.75" x14ac:dyDescent="0.25">
      <c r="A8" s="861" t="s">
        <v>352</v>
      </c>
      <c r="B8" s="862"/>
      <c r="C8" s="862"/>
      <c r="D8" s="862"/>
      <c r="E8" s="862"/>
      <c r="F8" s="862"/>
      <c r="G8" s="863"/>
      <c r="I8" s="40"/>
    </row>
    <row r="9" spans="1:9" ht="15.75" customHeight="1" x14ac:dyDescent="0.25">
      <c r="A9" s="897" t="s">
        <v>353</v>
      </c>
      <c r="B9" s="899" t="s">
        <v>354</v>
      </c>
      <c r="C9" s="899" t="s">
        <v>355</v>
      </c>
      <c r="D9" s="897" t="s">
        <v>356</v>
      </c>
      <c r="E9" s="900"/>
      <c r="F9" s="900"/>
      <c r="G9" s="893" t="s">
        <v>357</v>
      </c>
      <c r="I9" s="40"/>
    </row>
    <row r="10" spans="1:9" ht="15.75" x14ac:dyDescent="0.25">
      <c r="A10" s="896"/>
      <c r="B10" s="896"/>
      <c r="C10" s="896"/>
      <c r="D10" s="736" t="s">
        <v>358</v>
      </c>
      <c r="E10" s="736" t="s">
        <v>359</v>
      </c>
      <c r="F10" s="895" t="s">
        <v>360</v>
      </c>
      <c r="G10" s="894"/>
      <c r="I10" s="40"/>
    </row>
    <row r="11" spans="1:9" ht="15.75" x14ac:dyDescent="0.25">
      <c r="A11" s="896"/>
      <c r="B11" s="896"/>
      <c r="C11" s="737" t="s">
        <v>361</v>
      </c>
      <c r="D11" s="737" t="s">
        <v>361</v>
      </c>
      <c r="E11" s="737" t="s">
        <v>362</v>
      </c>
      <c r="F11" s="896"/>
      <c r="G11" s="738" t="s">
        <v>2669</v>
      </c>
      <c r="I11" s="40"/>
    </row>
    <row r="12" spans="1:9" ht="15.75" x14ac:dyDescent="0.25">
      <c r="A12" s="898"/>
      <c r="B12" s="898"/>
      <c r="C12" s="739">
        <v>2024</v>
      </c>
      <c r="D12" s="739">
        <v>2025</v>
      </c>
      <c r="E12" s="739">
        <v>2025</v>
      </c>
      <c r="F12" s="739">
        <v>2025</v>
      </c>
      <c r="G12" s="740" t="s">
        <v>2668</v>
      </c>
      <c r="I12" s="40"/>
    </row>
    <row r="13" spans="1:9" ht="15.75" x14ac:dyDescent="0.25">
      <c r="A13" s="716" t="s">
        <v>2568</v>
      </c>
      <c r="B13" s="717"/>
      <c r="C13" s="718"/>
      <c r="D13" s="716"/>
      <c r="E13" s="716"/>
      <c r="F13" s="718"/>
      <c r="G13" s="719"/>
      <c r="I13" s="40"/>
    </row>
    <row r="14" spans="1:9" ht="15.75" x14ac:dyDescent="0.25">
      <c r="A14" s="720" t="s">
        <v>2605</v>
      </c>
      <c r="B14" s="717"/>
      <c r="C14" s="718"/>
      <c r="D14" s="716"/>
      <c r="E14" s="716"/>
      <c r="F14" s="721"/>
      <c r="G14" s="719"/>
      <c r="I14" s="40"/>
    </row>
    <row r="15" spans="1:9" ht="15.75" x14ac:dyDescent="0.25">
      <c r="A15" s="722" t="s">
        <v>1185</v>
      </c>
      <c r="B15" s="717" t="s">
        <v>7</v>
      </c>
      <c r="C15" s="718"/>
      <c r="D15" s="716"/>
      <c r="E15" s="716"/>
      <c r="F15" s="721"/>
      <c r="G15" s="719"/>
      <c r="I15" s="40"/>
    </row>
    <row r="16" spans="1:9" ht="31.5" x14ac:dyDescent="0.25">
      <c r="A16" s="723" t="s">
        <v>2607</v>
      </c>
      <c r="B16" s="717"/>
      <c r="C16" s="718"/>
      <c r="D16" s="716"/>
      <c r="E16" s="716"/>
      <c r="F16" s="724"/>
      <c r="G16" s="725">
        <v>5000000</v>
      </c>
      <c r="I16" s="40"/>
    </row>
    <row r="17" spans="1:9" ht="31.5" x14ac:dyDescent="0.25">
      <c r="A17" s="723" t="s">
        <v>2608</v>
      </c>
      <c r="B17" s="717"/>
      <c r="C17" s="718"/>
      <c r="D17" s="716"/>
      <c r="E17" s="716"/>
      <c r="F17" s="724"/>
      <c r="G17" s="725">
        <v>37057000</v>
      </c>
      <c r="I17" s="40"/>
    </row>
    <row r="18" spans="1:9" ht="31.5" x14ac:dyDescent="0.25">
      <c r="A18" s="723" t="s">
        <v>2609</v>
      </c>
      <c r="B18" s="717"/>
      <c r="C18" s="718"/>
      <c r="D18" s="716"/>
      <c r="E18" s="716"/>
      <c r="F18" s="724"/>
      <c r="G18" s="725">
        <v>48550500</v>
      </c>
      <c r="I18" s="40"/>
    </row>
    <row r="19" spans="1:9" ht="31.5" x14ac:dyDescent="0.25">
      <c r="A19" s="723" t="s">
        <v>2610</v>
      </c>
      <c r="B19" s="717"/>
      <c r="C19" s="718"/>
      <c r="D19" s="716"/>
      <c r="E19" s="716"/>
      <c r="F19" s="724"/>
      <c r="G19" s="725">
        <v>30000000</v>
      </c>
      <c r="I19" s="40"/>
    </row>
    <row r="20" spans="1:9" ht="31.5" x14ac:dyDescent="0.25">
      <c r="A20" s="723" t="s">
        <v>2670</v>
      </c>
      <c r="B20" s="717"/>
      <c r="C20" s="718"/>
      <c r="D20" s="716"/>
      <c r="E20" s="716"/>
      <c r="F20" s="724"/>
      <c r="G20" s="725">
        <v>50000000</v>
      </c>
      <c r="I20" s="40"/>
    </row>
    <row r="21" spans="1:9" ht="15.75" customHeight="1" x14ac:dyDescent="0.25">
      <c r="A21" s="720" t="s">
        <v>2611</v>
      </c>
      <c r="B21" s="717"/>
      <c r="C21" s="718"/>
      <c r="D21" s="716"/>
      <c r="E21" s="716"/>
      <c r="F21" s="724"/>
      <c r="G21" s="725"/>
      <c r="I21" s="40"/>
    </row>
    <row r="22" spans="1:9" ht="15.75" customHeight="1" x14ac:dyDescent="0.25">
      <c r="A22" s="718" t="s">
        <v>2612</v>
      </c>
      <c r="B22" s="717" t="s">
        <v>9</v>
      </c>
      <c r="C22" s="718"/>
      <c r="D22" s="716"/>
      <c r="E22" s="716"/>
      <c r="F22" s="724"/>
      <c r="G22" s="725"/>
      <c r="I22" s="40"/>
    </row>
    <row r="23" spans="1:9" ht="47.25" x14ac:dyDescent="0.25">
      <c r="A23" s="723" t="s">
        <v>2613</v>
      </c>
      <c r="B23" s="717"/>
      <c r="C23" s="718"/>
      <c r="D23" s="716"/>
      <c r="E23" s="716"/>
      <c r="F23" s="724"/>
      <c r="G23" s="725">
        <v>111878760</v>
      </c>
      <c r="I23" s="40"/>
    </row>
    <row r="24" spans="1:9" ht="31.5" x14ac:dyDescent="0.25">
      <c r="A24" s="723" t="s">
        <v>2614</v>
      </c>
      <c r="B24" s="717"/>
      <c r="C24" s="718"/>
      <c r="D24" s="716"/>
      <c r="E24" s="716"/>
      <c r="F24" s="724"/>
      <c r="G24" s="725">
        <v>21413375</v>
      </c>
      <c r="I24" s="40"/>
    </row>
    <row r="25" spans="1:9" ht="31.5" x14ac:dyDescent="0.25">
      <c r="A25" s="723" t="s">
        <v>2615</v>
      </c>
      <c r="B25" s="717"/>
      <c r="C25" s="718"/>
      <c r="D25" s="716"/>
      <c r="E25" s="716"/>
      <c r="F25" s="724"/>
      <c r="G25" s="725">
        <v>24222920</v>
      </c>
      <c r="I25" s="40"/>
    </row>
    <row r="26" spans="1:9" ht="31.5" x14ac:dyDescent="0.25">
      <c r="A26" s="723" t="s">
        <v>2616</v>
      </c>
      <c r="B26" s="717"/>
      <c r="C26" s="718"/>
      <c r="D26" s="716"/>
      <c r="E26" s="716"/>
      <c r="F26" s="724"/>
      <c r="G26" s="725">
        <v>2500000</v>
      </c>
      <c r="I26" s="40"/>
    </row>
    <row r="27" spans="1:9" ht="31.5" x14ac:dyDescent="0.25">
      <c r="A27" s="723" t="s">
        <v>2617</v>
      </c>
      <c r="B27" s="717"/>
      <c r="C27" s="718"/>
      <c r="D27" s="716"/>
      <c r="E27" s="716"/>
      <c r="F27" s="724"/>
      <c r="G27" s="725">
        <v>9831642</v>
      </c>
      <c r="I27" s="40"/>
    </row>
    <row r="28" spans="1:9" ht="31.5" x14ac:dyDescent="0.25">
      <c r="A28" s="723" t="s">
        <v>2618</v>
      </c>
      <c r="B28" s="717"/>
      <c r="C28" s="718"/>
      <c r="D28" s="716"/>
      <c r="E28" s="716"/>
      <c r="F28" s="724"/>
      <c r="G28" s="725">
        <v>7202739</v>
      </c>
      <c r="I28" s="40"/>
    </row>
    <row r="29" spans="1:9" ht="15.75" customHeight="1" x14ac:dyDescent="0.25">
      <c r="A29" s="718" t="s">
        <v>2619</v>
      </c>
      <c r="B29" s="717"/>
      <c r="C29" s="718"/>
      <c r="D29" s="716"/>
      <c r="E29" s="716"/>
      <c r="F29" s="724"/>
      <c r="G29" s="725">
        <v>1389000</v>
      </c>
      <c r="I29" s="40"/>
    </row>
    <row r="30" spans="1:9" ht="31.5" x14ac:dyDescent="0.25">
      <c r="A30" s="723" t="s">
        <v>2620</v>
      </c>
      <c r="B30" s="717"/>
      <c r="C30" s="718"/>
      <c r="D30" s="716"/>
      <c r="E30" s="716"/>
      <c r="F30" s="724"/>
      <c r="G30" s="725">
        <v>7641000</v>
      </c>
      <c r="I30" s="40"/>
    </row>
    <row r="31" spans="1:9" ht="31.5" x14ac:dyDescent="0.25">
      <c r="A31" s="723" t="s">
        <v>2621</v>
      </c>
      <c r="B31" s="717"/>
      <c r="C31" s="718"/>
      <c r="D31" s="716"/>
      <c r="E31" s="716"/>
      <c r="F31" s="724"/>
      <c r="G31" s="725">
        <v>5152700</v>
      </c>
      <c r="I31" s="40"/>
    </row>
    <row r="32" spans="1:9" ht="15.75" customHeight="1" x14ac:dyDescent="0.25">
      <c r="A32" s="718" t="s">
        <v>2622</v>
      </c>
      <c r="B32" s="717"/>
      <c r="C32" s="718"/>
      <c r="D32" s="716"/>
      <c r="E32" s="716"/>
      <c r="F32" s="724"/>
      <c r="G32" s="725">
        <v>2316500</v>
      </c>
      <c r="I32" s="40"/>
    </row>
    <row r="33" spans="1:9" ht="15.75" customHeight="1" x14ac:dyDescent="0.25">
      <c r="A33" s="718" t="s">
        <v>2623</v>
      </c>
      <c r="B33" s="717"/>
      <c r="C33" s="718"/>
      <c r="D33" s="716"/>
      <c r="E33" s="716"/>
      <c r="F33" s="724"/>
      <c r="G33" s="725">
        <v>7197500</v>
      </c>
      <c r="I33" s="40"/>
    </row>
    <row r="34" spans="1:9" ht="31.5" x14ac:dyDescent="0.25">
      <c r="A34" s="723" t="s">
        <v>2624</v>
      </c>
      <c r="B34" s="717"/>
      <c r="C34" s="718"/>
      <c r="D34" s="716"/>
      <c r="E34" s="716"/>
      <c r="F34" s="724"/>
      <c r="G34" s="725">
        <v>4017043</v>
      </c>
      <c r="I34" s="40"/>
    </row>
    <row r="35" spans="1:9" ht="31.5" x14ac:dyDescent="0.25">
      <c r="A35" s="723" t="s">
        <v>2625</v>
      </c>
      <c r="B35" s="717"/>
      <c r="C35" s="718"/>
      <c r="D35" s="716"/>
      <c r="E35" s="716"/>
      <c r="F35" s="724"/>
      <c r="G35" s="725">
        <v>7220209</v>
      </c>
      <c r="I35" s="40"/>
    </row>
    <row r="36" spans="1:9" ht="31.5" x14ac:dyDescent="0.25">
      <c r="A36" s="723" t="s">
        <v>2626</v>
      </c>
      <c r="B36" s="717"/>
      <c r="C36" s="718"/>
      <c r="D36" s="716"/>
      <c r="E36" s="716"/>
      <c r="F36" s="724"/>
      <c r="G36" s="725">
        <v>17018200</v>
      </c>
      <c r="I36" s="40"/>
    </row>
    <row r="37" spans="1:9" ht="31.5" x14ac:dyDescent="0.25">
      <c r="A37" s="723" t="s">
        <v>2627</v>
      </c>
      <c r="B37" s="717"/>
      <c r="C37" s="718"/>
      <c r="D37" s="716"/>
      <c r="E37" s="716"/>
      <c r="F37" s="724"/>
      <c r="G37" s="725">
        <v>4312500</v>
      </c>
      <c r="I37" s="40"/>
    </row>
    <row r="38" spans="1:9" ht="31.5" x14ac:dyDescent="0.25">
      <c r="A38" s="723" t="s">
        <v>2671</v>
      </c>
      <c r="B38" s="726"/>
      <c r="C38" s="726"/>
      <c r="D38" s="726"/>
      <c r="E38" s="726"/>
      <c r="F38" s="726"/>
      <c r="G38" s="725">
        <v>74662500</v>
      </c>
      <c r="I38" s="40"/>
    </row>
    <row r="39" spans="1:9" ht="31.5" x14ac:dyDescent="0.25">
      <c r="A39" s="723" t="s">
        <v>2672</v>
      </c>
      <c r="B39" s="726"/>
      <c r="C39" s="726"/>
      <c r="D39" s="726"/>
      <c r="E39" s="726"/>
      <c r="F39" s="726"/>
      <c r="G39" s="725">
        <v>21541750</v>
      </c>
      <c r="I39" s="40"/>
    </row>
    <row r="40" spans="1:9" ht="31.5" x14ac:dyDescent="0.25">
      <c r="A40" s="723" t="s">
        <v>2629</v>
      </c>
      <c r="B40" s="717"/>
      <c r="C40" s="718"/>
      <c r="D40" s="716"/>
      <c r="E40" s="716"/>
      <c r="F40" s="724"/>
      <c r="G40" s="725">
        <v>12000000</v>
      </c>
      <c r="I40" s="40"/>
    </row>
    <row r="41" spans="1:9" ht="31.5" x14ac:dyDescent="0.25">
      <c r="A41" s="723" t="s">
        <v>2630</v>
      </c>
      <c r="B41" s="717"/>
      <c r="C41" s="718"/>
      <c r="D41" s="716"/>
      <c r="E41" s="716"/>
      <c r="F41" s="724"/>
      <c r="G41" s="725">
        <v>7332240</v>
      </c>
      <c r="I41" s="40"/>
    </row>
    <row r="42" spans="1:9" ht="31.5" x14ac:dyDescent="0.25">
      <c r="A42" s="723" t="s">
        <v>2631</v>
      </c>
      <c r="B42" s="717"/>
      <c r="C42" s="718"/>
      <c r="D42" s="716"/>
      <c r="E42" s="716"/>
      <c r="F42" s="724"/>
      <c r="G42" s="725">
        <v>11013000</v>
      </c>
      <c r="I42" s="40"/>
    </row>
    <row r="43" spans="1:9" ht="31.5" x14ac:dyDescent="0.25">
      <c r="A43" s="723" t="s">
        <v>2632</v>
      </c>
      <c r="B43" s="717"/>
      <c r="C43" s="718"/>
      <c r="D43" s="716"/>
      <c r="E43" s="716"/>
      <c r="F43" s="724"/>
      <c r="G43" s="725">
        <v>14225500</v>
      </c>
      <c r="I43" s="40"/>
    </row>
    <row r="44" spans="1:9" ht="31.5" x14ac:dyDescent="0.25">
      <c r="A44" s="723" t="s">
        <v>2628</v>
      </c>
      <c r="B44" s="717"/>
      <c r="C44" s="718"/>
      <c r="D44" s="716"/>
      <c r="E44" s="716"/>
      <c r="F44" s="724"/>
      <c r="G44" s="725">
        <v>37688500</v>
      </c>
      <c r="I44" s="40"/>
    </row>
    <row r="45" spans="1:9" ht="47.25" x14ac:dyDescent="0.25">
      <c r="A45" s="723" t="s">
        <v>2673</v>
      </c>
      <c r="B45" s="717"/>
      <c r="C45" s="718"/>
      <c r="D45" s="716"/>
      <c r="E45" s="716"/>
      <c r="F45" s="724"/>
      <c r="G45" s="725">
        <v>56920993</v>
      </c>
      <c r="I45" s="40"/>
    </row>
    <row r="46" spans="1:9" ht="31.5" x14ac:dyDescent="0.25">
      <c r="A46" s="723" t="s">
        <v>2633</v>
      </c>
      <c r="B46" s="717"/>
      <c r="C46" s="718"/>
      <c r="D46" s="716"/>
      <c r="E46" s="716"/>
      <c r="F46" s="724"/>
      <c r="G46" s="725">
        <v>38312500</v>
      </c>
      <c r="I46" s="40"/>
    </row>
    <row r="47" spans="1:9" ht="31.5" x14ac:dyDescent="0.25">
      <c r="A47" s="723" t="s">
        <v>2634</v>
      </c>
      <c r="B47" s="717"/>
      <c r="C47" s="718"/>
      <c r="D47" s="716"/>
      <c r="E47" s="716"/>
      <c r="F47" s="724"/>
      <c r="G47" s="725">
        <v>11000000</v>
      </c>
      <c r="I47" s="40"/>
    </row>
    <row r="48" spans="1:9" ht="31.5" x14ac:dyDescent="0.25">
      <c r="A48" s="723" t="s">
        <v>2635</v>
      </c>
      <c r="B48" s="717"/>
      <c r="C48" s="718"/>
      <c r="D48" s="716"/>
      <c r="E48" s="716"/>
      <c r="F48" s="724"/>
      <c r="G48" s="725">
        <v>6350000</v>
      </c>
      <c r="I48" s="40"/>
    </row>
    <row r="49" spans="1:26" ht="15.75" x14ac:dyDescent="0.25">
      <c r="A49" s="723" t="s">
        <v>2803</v>
      </c>
      <c r="B49" s="717"/>
      <c r="C49" s="718"/>
      <c r="D49" s="716"/>
      <c r="E49" s="716"/>
      <c r="F49" s="724"/>
      <c r="G49" s="725">
        <v>6500000</v>
      </c>
      <c r="I49" s="40"/>
    </row>
    <row r="50" spans="1:26" ht="15.75" customHeight="1" x14ac:dyDescent="0.25">
      <c r="A50" s="718" t="s">
        <v>2636</v>
      </c>
      <c r="B50" s="717" t="s">
        <v>15</v>
      </c>
      <c r="C50" s="718"/>
      <c r="D50" s="716"/>
      <c r="E50" s="716"/>
      <c r="F50" s="724"/>
      <c r="G50" s="725"/>
      <c r="I50" s="40"/>
    </row>
    <row r="51" spans="1:26" ht="31.5" x14ac:dyDescent="0.25">
      <c r="A51" s="723" t="s">
        <v>2637</v>
      </c>
      <c r="B51" s="717"/>
      <c r="C51" s="718"/>
      <c r="D51" s="716"/>
      <c r="E51" s="716"/>
      <c r="F51" s="724"/>
      <c r="G51" s="725">
        <v>5310000</v>
      </c>
      <c r="I51" s="40"/>
    </row>
    <row r="52" spans="1:26" ht="31.5" x14ac:dyDescent="0.25">
      <c r="A52" s="723" t="s">
        <v>2638</v>
      </c>
      <c r="B52" s="717"/>
      <c r="C52" s="718"/>
      <c r="D52" s="716"/>
      <c r="E52" s="716"/>
      <c r="F52" s="724"/>
      <c r="G52" s="725">
        <v>6500000</v>
      </c>
      <c r="I52" s="40"/>
    </row>
    <row r="53" spans="1:26" ht="15.75" customHeight="1" x14ac:dyDescent="0.25">
      <c r="A53" s="718" t="s">
        <v>2642</v>
      </c>
      <c r="B53" s="717" t="s">
        <v>27</v>
      </c>
      <c r="C53" s="718"/>
      <c r="D53" s="716"/>
      <c r="E53" s="716"/>
      <c r="F53" s="724"/>
      <c r="G53" s="725"/>
      <c r="I53" s="40"/>
    </row>
    <row r="54" spans="1:26" ht="31.5" x14ac:dyDescent="0.25">
      <c r="A54" s="723" t="s">
        <v>2674</v>
      </c>
      <c r="B54" s="717"/>
      <c r="C54" s="718"/>
      <c r="D54" s="716"/>
      <c r="E54" s="716"/>
      <c r="F54" s="724"/>
      <c r="G54" s="725">
        <v>45000000</v>
      </c>
      <c r="I54" s="40"/>
    </row>
    <row r="55" spans="1:26" ht="31.5" x14ac:dyDescent="0.25">
      <c r="A55" s="727" t="s">
        <v>2675</v>
      </c>
      <c r="B55" s="728"/>
      <c r="C55" s="729"/>
      <c r="D55" s="730"/>
      <c r="E55" s="730"/>
      <c r="F55" s="731"/>
      <c r="G55" s="732">
        <v>2500000</v>
      </c>
      <c r="H55" s="420"/>
      <c r="I55" s="158"/>
      <c r="J55" s="420"/>
      <c r="K55" s="420"/>
      <c r="L55" s="420"/>
      <c r="M55" s="420"/>
      <c r="N55" s="420"/>
      <c r="O55" s="420"/>
      <c r="P55" s="420"/>
      <c r="Q55" s="420"/>
      <c r="R55" s="420"/>
      <c r="S55" s="420"/>
      <c r="T55" s="420"/>
      <c r="U55" s="420"/>
      <c r="V55" s="420"/>
      <c r="W55" s="420"/>
      <c r="X55" s="420"/>
      <c r="Y55" s="420"/>
      <c r="Z55" s="420"/>
    </row>
    <row r="56" spans="1:26" ht="31.5" x14ac:dyDescent="0.25">
      <c r="A56" s="727" t="s">
        <v>2676</v>
      </c>
      <c r="B56" s="733"/>
      <c r="C56" s="733"/>
      <c r="D56" s="733"/>
      <c r="E56" s="733"/>
      <c r="F56" s="733"/>
      <c r="G56" s="732">
        <v>3000000</v>
      </c>
      <c r="I56" s="40"/>
    </row>
    <row r="57" spans="1:26" ht="31.5" x14ac:dyDescent="0.25">
      <c r="A57" s="727" t="s">
        <v>2677</v>
      </c>
      <c r="B57" s="733"/>
      <c r="C57" s="733"/>
      <c r="D57" s="733"/>
      <c r="E57" s="733"/>
      <c r="F57" s="733"/>
      <c r="G57" s="732">
        <v>19500000</v>
      </c>
      <c r="I57" s="40"/>
    </row>
    <row r="58" spans="1:26" ht="31.5" x14ac:dyDescent="0.25">
      <c r="A58" s="727" t="s">
        <v>2678</v>
      </c>
      <c r="B58" s="728"/>
      <c r="C58" s="729"/>
      <c r="D58" s="730"/>
      <c r="E58" s="730"/>
      <c r="F58" s="731"/>
      <c r="G58" s="732">
        <v>5550000</v>
      </c>
      <c r="I58" s="40"/>
    </row>
    <row r="59" spans="1:26" ht="31.5" x14ac:dyDescent="0.25">
      <c r="A59" s="734" t="s">
        <v>2643</v>
      </c>
      <c r="B59" s="728"/>
      <c r="C59" s="729"/>
      <c r="D59" s="730"/>
      <c r="E59" s="730"/>
      <c r="F59" s="731"/>
      <c r="G59" s="732">
        <v>23902770</v>
      </c>
      <c r="I59" s="40"/>
    </row>
    <row r="60" spans="1:26" ht="31.5" x14ac:dyDescent="0.25">
      <c r="A60" s="735" t="s">
        <v>2679</v>
      </c>
      <c r="B60" s="717"/>
      <c r="C60" s="718"/>
      <c r="D60" s="716"/>
      <c r="E60" s="716"/>
      <c r="F60" s="724"/>
      <c r="G60" s="725">
        <v>593000</v>
      </c>
      <c r="I60" s="40"/>
    </row>
    <row r="61" spans="1:26" ht="15.75" customHeight="1" x14ac:dyDescent="0.25">
      <c r="A61" s="720" t="s">
        <v>2644</v>
      </c>
      <c r="B61" s="717"/>
      <c r="C61" s="718"/>
      <c r="D61" s="716"/>
      <c r="E61" s="716"/>
      <c r="F61" s="724"/>
      <c r="G61" s="719"/>
      <c r="I61" s="40"/>
    </row>
    <row r="62" spans="1:26" ht="15.75" customHeight="1" x14ac:dyDescent="0.25">
      <c r="A62" s="718" t="s">
        <v>2645</v>
      </c>
      <c r="B62" s="717" t="s">
        <v>29</v>
      </c>
      <c r="C62" s="718"/>
      <c r="D62" s="716"/>
      <c r="E62" s="716"/>
      <c r="F62" s="724"/>
      <c r="G62" s="719"/>
      <c r="I62" s="40"/>
    </row>
    <row r="63" spans="1:26" ht="47.25" x14ac:dyDescent="0.25">
      <c r="A63" s="723" t="s">
        <v>2647</v>
      </c>
      <c r="B63" s="717"/>
      <c r="C63" s="718"/>
      <c r="D63" s="716"/>
      <c r="E63" s="716"/>
      <c r="F63" s="724"/>
      <c r="G63" s="719">
        <v>35000000</v>
      </c>
      <c r="I63" s="40"/>
    </row>
    <row r="64" spans="1:26" ht="31.5" x14ac:dyDescent="0.25">
      <c r="A64" s="723" t="s">
        <v>2680</v>
      </c>
      <c r="B64" s="717"/>
      <c r="C64" s="718"/>
      <c r="D64" s="716"/>
      <c r="E64" s="716"/>
      <c r="F64" s="724"/>
      <c r="G64" s="719">
        <v>30000000</v>
      </c>
      <c r="I64" s="40"/>
    </row>
    <row r="65" spans="1:9" ht="47.25" x14ac:dyDescent="0.25">
      <c r="A65" s="723" t="s">
        <v>2681</v>
      </c>
      <c r="B65" s="717"/>
      <c r="C65" s="718"/>
      <c r="D65" s="716"/>
      <c r="E65" s="716"/>
      <c r="F65" s="724"/>
      <c r="G65" s="725">
        <v>30000000</v>
      </c>
      <c r="I65" s="40"/>
    </row>
    <row r="66" spans="1:9" ht="31.5" x14ac:dyDescent="0.25">
      <c r="A66" s="723" t="s">
        <v>2682</v>
      </c>
      <c r="B66" s="726"/>
      <c r="C66" s="726"/>
      <c r="D66" s="726"/>
      <c r="E66" s="726"/>
      <c r="F66" s="726"/>
      <c r="G66" s="725">
        <v>5857280</v>
      </c>
      <c r="I66" s="40"/>
    </row>
    <row r="67" spans="1:9" ht="15.75" customHeight="1" x14ac:dyDescent="0.25">
      <c r="A67" s="718" t="s">
        <v>2649</v>
      </c>
      <c r="B67" s="717" t="s">
        <v>31</v>
      </c>
      <c r="C67" s="718"/>
      <c r="D67" s="716"/>
      <c r="E67" s="716"/>
      <c r="F67" s="724"/>
      <c r="G67" s="725"/>
      <c r="I67" s="40"/>
    </row>
    <row r="68" spans="1:9" ht="15.75" customHeight="1" x14ac:dyDescent="0.25">
      <c r="A68" s="718" t="s">
        <v>2650</v>
      </c>
      <c r="B68" s="717"/>
      <c r="C68" s="718"/>
      <c r="D68" s="716"/>
      <c r="E68" s="716"/>
      <c r="F68" s="724"/>
      <c r="G68" s="725">
        <v>6234113</v>
      </c>
      <c r="I68" s="40"/>
    </row>
    <row r="69" spans="1:9" ht="15.75" customHeight="1" x14ac:dyDescent="0.25">
      <c r="A69" s="718" t="s">
        <v>2651</v>
      </c>
      <c r="B69" s="717"/>
      <c r="C69" s="718"/>
      <c r="D69" s="716"/>
      <c r="E69" s="716"/>
      <c r="F69" s="724"/>
      <c r="G69" s="725">
        <v>6406469</v>
      </c>
      <c r="I69" s="40"/>
    </row>
    <row r="70" spans="1:9" ht="31.5" x14ac:dyDescent="0.25">
      <c r="A70" s="723" t="s">
        <v>2652</v>
      </c>
      <c r="B70" s="717"/>
      <c r="C70" s="718"/>
      <c r="D70" s="716"/>
      <c r="E70" s="716"/>
      <c r="F70" s="724"/>
      <c r="G70" s="725">
        <v>6113082</v>
      </c>
      <c r="I70" s="40"/>
    </row>
    <row r="71" spans="1:9" ht="15.75" customHeight="1" x14ac:dyDescent="0.25">
      <c r="A71" s="718" t="s">
        <v>2653</v>
      </c>
      <c r="B71" s="717"/>
      <c r="C71" s="718"/>
      <c r="D71" s="716"/>
      <c r="E71" s="716"/>
      <c r="F71" s="724"/>
      <c r="G71" s="725">
        <v>5901131</v>
      </c>
      <c r="I71" s="40"/>
    </row>
    <row r="72" spans="1:9" ht="15.75" customHeight="1" x14ac:dyDescent="0.25">
      <c r="A72" s="718" t="s">
        <v>2654</v>
      </c>
      <c r="B72" s="717"/>
      <c r="C72" s="718"/>
      <c r="D72" s="716"/>
      <c r="E72" s="716"/>
      <c r="F72" s="724"/>
      <c r="G72" s="725">
        <v>6000000</v>
      </c>
      <c r="I72" s="40"/>
    </row>
    <row r="73" spans="1:9" ht="15.75" customHeight="1" x14ac:dyDescent="0.25">
      <c r="A73" s="718" t="s">
        <v>2655</v>
      </c>
      <c r="B73" s="717"/>
      <c r="C73" s="718"/>
      <c r="D73" s="716"/>
      <c r="E73" s="716"/>
      <c r="F73" s="724"/>
      <c r="G73" s="725">
        <v>5856477</v>
      </c>
      <c r="I73" s="40"/>
    </row>
    <row r="74" spans="1:9" ht="31.5" x14ac:dyDescent="0.25">
      <c r="A74" s="723" t="s">
        <v>2656</v>
      </c>
      <c r="B74" s="717"/>
      <c r="C74" s="718"/>
      <c r="D74" s="716"/>
      <c r="E74" s="716"/>
      <c r="F74" s="724"/>
      <c r="G74" s="725">
        <v>6500000</v>
      </c>
      <c r="I74" s="40"/>
    </row>
    <row r="75" spans="1:9" ht="31.5" x14ac:dyDescent="0.25">
      <c r="A75" s="723" t="s">
        <v>2683</v>
      </c>
      <c r="B75" s="717"/>
      <c r="C75" s="718"/>
      <c r="D75" s="716"/>
      <c r="E75" s="716"/>
      <c r="F75" s="724"/>
      <c r="G75" s="725">
        <v>5995230</v>
      </c>
      <c r="I75" s="40"/>
    </row>
    <row r="76" spans="1:9" ht="15.75" customHeight="1" x14ac:dyDescent="0.25">
      <c r="A76" s="718" t="s">
        <v>2657</v>
      </c>
      <c r="B76" s="717" t="s">
        <v>33</v>
      </c>
      <c r="C76" s="718"/>
      <c r="D76" s="716"/>
      <c r="E76" s="716"/>
      <c r="F76" s="724"/>
      <c r="G76" s="725"/>
      <c r="I76" s="40"/>
    </row>
    <row r="77" spans="1:9" ht="15.75" customHeight="1" x14ac:dyDescent="0.25">
      <c r="A77" s="718" t="s">
        <v>2658</v>
      </c>
      <c r="B77" s="717"/>
      <c r="C77" s="718"/>
      <c r="D77" s="716"/>
      <c r="E77" s="716"/>
      <c r="F77" s="724"/>
      <c r="G77" s="725">
        <v>9803000</v>
      </c>
      <c r="I77" s="40"/>
    </row>
    <row r="78" spans="1:9" ht="31.5" x14ac:dyDescent="0.25">
      <c r="A78" s="723" t="s">
        <v>2659</v>
      </c>
      <c r="B78" s="717"/>
      <c r="C78" s="718"/>
      <c r="D78" s="716"/>
      <c r="E78" s="716"/>
      <c r="F78" s="724"/>
      <c r="G78" s="725">
        <v>20627000</v>
      </c>
      <c r="I78" s="40"/>
    </row>
    <row r="79" spans="1:9" ht="15.75" customHeight="1" x14ac:dyDescent="0.25">
      <c r="A79" s="718" t="s">
        <v>2660</v>
      </c>
      <c r="B79" s="717" t="s">
        <v>35</v>
      </c>
      <c r="C79" s="718"/>
      <c r="D79" s="716"/>
      <c r="E79" s="716"/>
      <c r="F79" s="724"/>
      <c r="G79" s="725"/>
      <c r="I79" s="40"/>
    </row>
    <row r="80" spans="1:9" ht="31.5" x14ac:dyDescent="0.25">
      <c r="A80" s="723" t="s">
        <v>2661</v>
      </c>
      <c r="B80" s="717"/>
      <c r="C80" s="718"/>
      <c r="D80" s="716"/>
      <c r="E80" s="716"/>
      <c r="F80" s="724"/>
      <c r="G80" s="725">
        <v>33000000</v>
      </c>
      <c r="I80" s="40"/>
    </row>
    <row r="81" spans="1:26" ht="15.75" customHeight="1" x14ac:dyDescent="0.25">
      <c r="A81" s="718" t="s">
        <v>2662</v>
      </c>
      <c r="B81" s="717" t="s">
        <v>37</v>
      </c>
      <c r="C81" s="718"/>
      <c r="D81" s="716"/>
      <c r="E81" s="716"/>
      <c r="F81" s="724"/>
      <c r="G81" s="725"/>
      <c r="I81" s="40"/>
    </row>
    <row r="82" spans="1:26" ht="31.5" x14ac:dyDescent="0.25">
      <c r="A82" s="723" t="s">
        <v>2663</v>
      </c>
      <c r="B82" s="717"/>
      <c r="C82" s="718"/>
      <c r="D82" s="716"/>
      <c r="E82" s="716"/>
      <c r="F82" s="724"/>
      <c r="G82" s="725">
        <v>3000000</v>
      </c>
      <c r="I82" s="40"/>
    </row>
    <row r="83" spans="1:26" ht="15.75" customHeight="1" x14ac:dyDescent="0.25">
      <c r="A83" s="718" t="s">
        <v>2664</v>
      </c>
      <c r="B83" s="717" t="s">
        <v>41</v>
      </c>
      <c r="C83" s="718"/>
      <c r="D83" s="716"/>
      <c r="E83" s="716"/>
      <c r="F83" s="724"/>
      <c r="G83" s="725"/>
      <c r="I83" s="40"/>
    </row>
    <row r="84" spans="1:26" ht="15.75" x14ac:dyDescent="0.25">
      <c r="A84" s="718" t="s">
        <v>2684</v>
      </c>
      <c r="B84" s="726"/>
      <c r="C84" s="726"/>
      <c r="D84" s="726"/>
      <c r="E84" s="726"/>
      <c r="F84" s="726"/>
      <c r="G84" s="725">
        <v>1000000</v>
      </c>
      <c r="I84" s="40"/>
    </row>
    <row r="85" spans="1:26" ht="15.75" customHeight="1" x14ac:dyDescent="0.25">
      <c r="A85" s="718" t="s">
        <v>2666</v>
      </c>
      <c r="B85" s="717"/>
      <c r="C85" s="718"/>
      <c r="D85" s="716"/>
      <c r="E85" s="716"/>
      <c r="F85" s="724"/>
      <c r="G85" s="725">
        <v>10500000</v>
      </c>
      <c r="I85" s="40"/>
    </row>
    <row r="86" spans="1:26" ht="31.5" x14ac:dyDescent="0.25">
      <c r="A86" s="723" t="s">
        <v>2685</v>
      </c>
      <c r="B86" s="717"/>
      <c r="C86" s="718"/>
      <c r="D86" s="716"/>
      <c r="E86" s="716"/>
      <c r="F86" s="724"/>
      <c r="G86" s="725">
        <v>14000000</v>
      </c>
      <c r="I86" s="40"/>
    </row>
    <row r="87" spans="1:26" ht="47.25" x14ac:dyDescent="0.25">
      <c r="A87" s="723" t="s">
        <v>2686</v>
      </c>
      <c r="B87" s="717"/>
      <c r="C87" s="718"/>
      <c r="D87" s="716"/>
      <c r="E87" s="716"/>
      <c r="F87" s="724"/>
      <c r="G87" s="725">
        <v>50000000</v>
      </c>
      <c r="I87" s="40"/>
    </row>
    <row r="88" spans="1:26" ht="15.75" x14ac:dyDescent="0.25">
      <c r="A88" s="723" t="s">
        <v>2804</v>
      </c>
      <c r="B88" s="717"/>
      <c r="C88" s="718"/>
      <c r="D88" s="716"/>
      <c r="E88" s="716"/>
      <c r="F88" s="724"/>
      <c r="G88" s="725">
        <v>451105</v>
      </c>
      <c r="I88" s="40"/>
    </row>
    <row r="89" spans="1:26" ht="15.75" customHeight="1" x14ac:dyDescent="0.25">
      <c r="A89" s="421" t="s">
        <v>486</v>
      </c>
      <c r="B89" s="454"/>
      <c r="C89" s="425">
        <f>SUM(C15:C87)</f>
        <v>0</v>
      </c>
      <c r="D89" s="77">
        <f>SUM(D15:D87)</f>
        <v>0</v>
      </c>
      <c r="E89" s="425">
        <f>SUM(E15:E87)</f>
        <v>0</v>
      </c>
      <c r="F89" s="77">
        <f>SUM(F15:F87)</f>
        <v>0</v>
      </c>
      <c r="G89" s="425">
        <f>SUM(G15:G88)</f>
        <v>1105569228</v>
      </c>
      <c r="I89" s="40"/>
    </row>
    <row r="90" spans="1:26" ht="15.75" customHeight="1" x14ac:dyDescent="0.25">
      <c r="A90" s="421"/>
      <c r="B90" s="25"/>
      <c r="C90" s="422"/>
      <c r="D90" s="26"/>
      <c r="E90" s="422"/>
      <c r="F90" s="26"/>
      <c r="G90" s="423"/>
      <c r="I90" s="40"/>
    </row>
    <row r="91" spans="1:26" ht="15.75" customHeight="1" x14ac:dyDescent="0.25">
      <c r="A91" s="424" t="s">
        <v>487</v>
      </c>
      <c r="B91" s="224" t="s">
        <v>488</v>
      </c>
      <c r="C91" s="425">
        <f t="shared" ref="C91:G91" si="0">C89</f>
        <v>0</v>
      </c>
      <c r="D91" s="77">
        <f t="shared" si="0"/>
        <v>0</v>
      </c>
      <c r="E91" s="425">
        <f t="shared" si="0"/>
        <v>0</v>
      </c>
      <c r="F91" s="77">
        <f t="shared" si="0"/>
        <v>0</v>
      </c>
      <c r="G91" s="425">
        <f t="shared" si="0"/>
        <v>1105569228</v>
      </c>
      <c r="I91" s="40">
        <f>+G91-1105569228</f>
        <v>0</v>
      </c>
    </row>
    <row r="92" spans="1:26" ht="15.75" customHeight="1" x14ac:dyDescent="0.25">
      <c r="A92" s="18"/>
      <c r="B92" s="25"/>
      <c r="C92" s="103"/>
      <c r="D92" s="24"/>
      <c r="E92" s="24"/>
      <c r="F92" s="103"/>
      <c r="G92" s="207"/>
      <c r="I92" s="40"/>
    </row>
    <row r="93" spans="1:26" ht="15.75" customHeight="1" x14ac:dyDescent="0.25">
      <c r="A93" s="24"/>
      <c r="B93" s="15"/>
      <c r="C93" s="18"/>
      <c r="D93" s="18"/>
      <c r="E93" s="18"/>
      <c r="F93" s="15"/>
      <c r="G93" s="426"/>
      <c r="H93" s="405"/>
      <c r="I93" s="427"/>
      <c r="J93" s="405"/>
      <c r="K93" s="405"/>
      <c r="L93" s="405"/>
      <c r="M93" s="405"/>
      <c r="N93" s="405"/>
      <c r="O93" s="405"/>
      <c r="P93" s="405"/>
      <c r="Q93" s="405"/>
      <c r="R93" s="405"/>
      <c r="S93" s="405"/>
      <c r="T93" s="405"/>
      <c r="U93" s="405"/>
      <c r="V93" s="405"/>
      <c r="W93" s="405"/>
      <c r="X93" s="405"/>
      <c r="Y93" s="405"/>
      <c r="Z93" s="405"/>
    </row>
    <row r="94" spans="1:26" ht="15.75" customHeight="1" x14ac:dyDescent="0.25">
      <c r="A94" s="9"/>
      <c r="B94" s="10"/>
      <c r="C94" s="11"/>
      <c r="D94" s="11"/>
      <c r="E94" s="11"/>
      <c r="F94" s="10"/>
      <c r="G94" s="417"/>
      <c r="H94" s="405"/>
      <c r="I94" s="427"/>
      <c r="J94" s="405"/>
      <c r="K94" s="405"/>
      <c r="L94" s="405"/>
      <c r="M94" s="405"/>
      <c r="N94" s="405"/>
      <c r="O94" s="405"/>
      <c r="P94" s="405"/>
      <c r="Q94" s="405"/>
      <c r="R94" s="405"/>
      <c r="S94" s="405"/>
      <c r="T94" s="405"/>
      <c r="U94" s="405"/>
      <c r="V94" s="405"/>
      <c r="W94" s="405"/>
      <c r="X94" s="405"/>
      <c r="Y94" s="405"/>
      <c r="Z94" s="405"/>
    </row>
    <row r="95" spans="1:26" ht="15.75" customHeight="1" x14ac:dyDescent="0.25">
      <c r="A95" s="17"/>
      <c r="B95" s="15"/>
      <c r="C95" s="18"/>
      <c r="D95" s="18"/>
      <c r="E95" s="18"/>
      <c r="F95" s="15"/>
      <c r="G95" s="418"/>
      <c r="H95" s="405"/>
      <c r="I95" s="427"/>
      <c r="J95" s="405"/>
      <c r="K95" s="405"/>
      <c r="L95" s="405"/>
      <c r="M95" s="405"/>
      <c r="N95" s="405"/>
      <c r="O95" s="405"/>
      <c r="P95" s="405"/>
      <c r="Q95" s="405"/>
      <c r="R95" s="405"/>
      <c r="S95" s="405"/>
      <c r="T95" s="405"/>
      <c r="U95" s="405"/>
      <c r="V95" s="405"/>
      <c r="W95" s="405"/>
      <c r="X95" s="405"/>
      <c r="Y95" s="405"/>
      <c r="Z95" s="405"/>
    </row>
    <row r="96" spans="1:26" ht="15.75" customHeight="1" x14ac:dyDescent="0.25">
      <c r="A96" s="861" t="s">
        <v>349</v>
      </c>
      <c r="B96" s="862"/>
      <c r="C96" s="862"/>
      <c r="D96" s="862"/>
      <c r="E96" s="862"/>
      <c r="F96" s="862"/>
      <c r="G96" s="863"/>
      <c r="H96" s="405"/>
      <c r="I96" s="427"/>
      <c r="J96" s="405"/>
      <c r="K96" s="405"/>
      <c r="L96" s="405"/>
      <c r="M96" s="405"/>
      <c r="N96" s="405"/>
      <c r="O96" s="405"/>
      <c r="P96" s="405"/>
      <c r="Q96" s="405"/>
      <c r="R96" s="405"/>
      <c r="S96" s="405"/>
      <c r="T96" s="405"/>
      <c r="U96" s="405"/>
      <c r="V96" s="405"/>
      <c r="W96" s="405"/>
      <c r="X96" s="405"/>
      <c r="Y96" s="405"/>
      <c r="Z96" s="405"/>
    </row>
    <row r="97" spans="1:26" ht="15.75" customHeight="1" x14ac:dyDescent="0.25">
      <c r="A97" s="864" t="s">
        <v>350</v>
      </c>
      <c r="B97" s="862"/>
      <c r="C97" s="862"/>
      <c r="D97" s="862"/>
      <c r="E97" s="862"/>
      <c r="F97" s="862"/>
      <c r="G97" s="863"/>
      <c r="H97" s="405"/>
      <c r="I97" s="427"/>
      <c r="J97" s="405"/>
      <c r="K97" s="405"/>
      <c r="L97" s="405"/>
      <c r="M97" s="405"/>
      <c r="N97" s="405"/>
      <c r="O97" s="405"/>
      <c r="P97" s="405"/>
      <c r="Q97" s="405"/>
      <c r="R97" s="405"/>
      <c r="S97" s="405"/>
      <c r="T97" s="405"/>
      <c r="U97" s="405"/>
      <c r="V97" s="405"/>
      <c r="W97" s="405"/>
      <c r="X97" s="405"/>
      <c r="Y97" s="405"/>
      <c r="Z97" s="405"/>
    </row>
    <row r="98" spans="1:26" ht="15.75" customHeight="1" x14ac:dyDescent="0.25">
      <c r="A98" s="21"/>
      <c r="B98" s="18"/>
      <c r="C98" s="18"/>
      <c r="D98" s="18"/>
      <c r="E98" s="18"/>
      <c r="F98" s="18"/>
      <c r="G98" s="419"/>
      <c r="H98" s="405"/>
      <c r="I98" s="427"/>
      <c r="J98" s="405"/>
      <c r="K98" s="405"/>
      <c r="L98" s="405"/>
      <c r="M98" s="405"/>
      <c r="N98" s="405"/>
      <c r="O98" s="405"/>
      <c r="P98" s="405"/>
      <c r="Q98" s="405"/>
      <c r="R98" s="405"/>
      <c r="S98" s="405"/>
      <c r="T98" s="405"/>
      <c r="U98" s="405"/>
      <c r="V98" s="405"/>
      <c r="W98" s="405"/>
      <c r="X98" s="405"/>
      <c r="Y98" s="405"/>
      <c r="Z98" s="405"/>
    </row>
    <row r="99" spans="1:26" ht="15.75" customHeight="1" x14ac:dyDescent="0.25">
      <c r="A99" s="17" t="s">
        <v>2687</v>
      </c>
      <c r="B99" s="24"/>
      <c r="C99" s="25"/>
      <c r="D99" s="25"/>
      <c r="E99" s="25"/>
      <c r="F99" s="24"/>
      <c r="G99" s="418"/>
      <c r="H99" s="405"/>
      <c r="I99" s="427"/>
      <c r="J99" s="405"/>
      <c r="K99" s="405"/>
      <c r="L99" s="405"/>
      <c r="M99" s="405"/>
      <c r="N99" s="405"/>
      <c r="O99" s="405"/>
      <c r="P99" s="405"/>
      <c r="Q99" s="405"/>
      <c r="R99" s="405"/>
      <c r="S99" s="405"/>
      <c r="T99" s="405"/>
      <c r="U99" s="405"/>
      <c r="V99" s="405"/>
      <c r="W99" s="405"/>
      <c r="X99" s="405"/>
      <c r="Y99" s="405"/>
      <c r="Z99" s="405"/>
    </row>
    <row r="100" spans="1:26" ht="15.75" customHeight="1" x14ac:dyDescent="0.25">
      <c r="A100" s="17"/>
      <c r="B100" s="24"/>
      <c r="C100" s="25"/>
      <c r="D100" s="25"/>
      <c r="E100" s="25"/>
      <c r="F100" s="24"/>
      <c r="G100" s="418"/>
      <c r="H100" s="405"/>
      <c r="I100" s="427"/>
      <c r="J100" s="405"/>
      <c r="K100" s="405"/>
      <c r="L100" s="405"/>
      <c r="M100" s="405"/>
      <c r="N100" s="405"/>
      <c r="O100" s="405"/>
      <c r="P100" s="405"/>
      <c r="Q100" s="405"/>
      <c r="R100" s="405"/>
      <c r="S100" s="405"/>
      <c r="T100" s="405"/>
      <c r="U100" s="405"/>
      <c r="V100" s="405"/>
      <c r="W100" s="405"/>
      <c r="X100" s="405"/>
      <c r="Y100" s="405"/>
      <c r="Z100" s="405"/>
    </row>
    <row r="101" spans="1:26" ht="15.75" customHeight="1" x14ac:dyDescent="0.25">
      <c r="A101" s="861" t="s">
        <v>352</v>
      </c>
      <c r="B101" s="862"/>
      <c r="C101" s="862"/>
      <c r="D101" s="862"/>
      <c r="E101" s="862"/>
      <c r="F101" s="862"/>
      <c r="G101" s="863"/>
      <c r="H101" s="405"/>
      <c r="I101" s="427"/>
      <c r="J101" s="405"/>
      <c r="K101" s="405"/>
      <c r="L101" s="405"/>
      <c r="M101" s="405"/>
      <c r="N101" s="405"/>
      <c r="O101" s="405"/>
      <c r="P101" s="405"/>
      <c r="Q101" s="405"/>
      <c r="R101" s="405"/>
      <c r="S101" s="405"/>
      <c r="T101" s="405"/>
      <c r="U101" s="405"/>
      <c r="V101" s="405"/>
      <c r="W101" s="405"/>
      <c r="X101" s="405"/>
      <c r="Y101" s="405"/>
      <c r="Z101" s="405"/>
    </row>
    <row r="102" spans="1:26" ht="15.75" customHeight="1" x14ac:dyDescent="0.25">
      <c r="A102" s="904" t="s">
        <v>353</v>
      </c>
      <c r="B102" s="901" t="s">
        <v>354</v>
      </c>
      <c r="C102" s="901" t="s">
        <v>355</v>
      </c>
      <c r="D102" s="904" t="s">
        <v>356</v>
      </c>
      <c r="E102" s="906"/>
      <c r="F102" s="906"/>
      <c r="G102" s="901" t="s">
        <v>357</v>
      </c>
      <c r="H102" s="405"/>
      <c r="I102" s="427"/>
      <c r="J102" s="405"/>
      <c r="K102" s="405"/>
      <c r="L102" s="405"/>
      <c r="M102" s="405"/>
      <c r="N102" s="405"/>
      <c r="O102" s="405"/>
      <c r="P102" s="405"/>
      <c r="Q102" s="405"/>
      <c r="R102" s="405"/>
      <c r="S102" s="405"/>
      <c r="T102" s="405"/>
      <c r="U102" s="405"/>
      <c r="V102" s="405"/>
      <c r="W102" s="405"/>
      <c r="X102" s="405"/>
      <c r="Y102" s="405"/>
      <c r="Z102" s="405"/>
    </row>
    <row r="103" spans="1:26" ht="15.75" customHeight="1" x14ac:dyDescent="0.25">
      <c r="A103" s="902"/>
      <c r="B103" s="902"/>
      <c r="C103" s="902"/>
      <c r="D103" s="750" t="s">
        <v>358</v>
      </c>
      <c r="E103" s="750" t="s">
        <v>359</v>
      </c>
      <c r="F103" s="903" t="s">
        <v>360</v>
      </c>
      <c r="G103" s="902"/>
      <c r="H103" s="405"/>
      <c r="I103" s="427"/>
      <c r="J103" s="405"/>
      <c r="K103" s="405"/>
      <c r="L103" s="405"/>
      <c r="M103" s="405"/>
      <c r="N103" s="405"/>
      <c r="O103" s="405"/>
      <c r="P103" s="405"/>
      <c r="Q103" s="405"/>
      <c r="R103" s="405"/>
      <c r="S103" s="405"/>
      <c r="T103" s="405"/>
      <c r="U103" s="405"/>
      <c r="V103" s="405"/>
      <c r="W103" s="405"/>
      <c r="X103" s="405"/>
      <c r="Y103" s="405"/>
      <c r="Z103" s="405"/>
    </row>
    <row r="104" spans="1:26" ht="15.75" customHeight="1" x14ac:dyDescent="0.25">
      <c r="A104" s="902"/>
      <c r="B104" s="902"/>
      <c r="C104" s="751" t="s">
        <v>361</v>
      </c>
      <c r="D104" s="751" t="s">
        <v>361</v>
      </c>
      <c r="E104" s="751" t="s">
        <v>362</v>
      </c>
      <c r="F104" s="902"/>
      <c r="G104" s="752" t="s">
        <v>2669</v>
      </c>
      <c r="H104" s="405"/>
      <c r="I104" s="427"/>
      <c r="J104" s="405"/>
      <c r="K104" s="405"/>
      <c r="L104" s="405"/>
      <c r="M104" s="405"/>
      <c r="N104" s="405"/>
      <c r="O104" s="405"/>
      <c r="P104" s="405"/>
      <c r="Q104" s="405"/>
      <c r="R104" s="405"/>
      <c r="S104" s="405"/>
      <c r="T104" s="405"/>
      <c r="U104" s="405"/>
      <c r="V104" s="405"/>
      <c r="W104" s="405"/>
      <c r="X104" s="405"/>
      <c r="Y104" s="405"/>
      <c r="Z104" s="405"/>
    </row>
    <row r="105" spans="1:26" ht="15" customHeight="1" x14ac:dyDescent="0.25">
      <c r="A105" s="905"/>
      <c r="B105" s="905"/>
      <c r="C105" s="753">
        <v>2024</v>
      </c>
      <c r="D105" s="753">
        <v>2025</v>
      </c>
      <c r="E105" s="753">
        <v>2025</v>
      </c>
      <c r="F105" s="753">
        <v>2025</v>
      </c>
      <c r="G105" s="754" t="s">
        <v>2668</v>
      </c>
      <c r="H105" s="405"/>
      <c r="I105" s="427"/>
      <c r="J105" s="405"/>
      <c r="K105" s="405"/>
      <c r="L105" s="405"/>
      <c r="M105" s="405"/>
      <c r="N105" s="405"/>
      <c r="O105" s="405"/>
      <c r="P105" s="405"/>
      <c r="Q105" s="405"/>
      <c r="R105" s="405"/>
      <c r="S105" s="405"/>
      <c r="T105" s="405"/>
      <c r="U105" s="405"/>
      <c r="V105" s="405"/>
      <c r="W105" s="405"/>
      <c r="X105" s="405"/>
      <c r="Y105" s="405"/>
      <c r="Z105" s="405"/>
    </row>
    <row r="106" spans="1:26" ht="15.75" customHeight="1" x14ac:dyDescent="0.25">
      <c r="A106" s="716" t="s">
        <v>364</v>
      </c>
      <c r="B106" s="717"/>
      <c r="C106" s="718"/>
      <c r="D106" s="716"/>
      <c r="E106" s="716"/>
      <c r="F106" s="718"/>
      <c r="G106" s="719"/>
      <c r="H106" s="405"/>
      <c r="I106" s="427"/>
      <c r="J106" s="405"/>
      <c r="K106" s="405"/>
      <c r="L106" s="405"/>
      <c r="M106" s="405"/>
      <c r="N106" s="405"/>
      <c r="O106" s="405"/>
      <c r="P106" s="405"/>
      <c r="Q106" s="405"/>
      <c r="R106" s="405"/>
      <c r="S106" s="405"/>
      <c r="T106" s="405"/>
      <c r="U106" s="405"/>
      <c r="V106" s="405"/>
      <c r="W106" s="405"/>
      <c r="X106" s="405"/>
      <c r="Y106" s="405"/>
      <c r="Z106" s="405"/>
    </row>
    <row r="107" spans="1:26" ht="15.75" customHeight="1" x14ac:dyDescent="0.25">
      <c r="A107" s="716" t="s">
        <v>2688</v>
      </c>
      <c r="B107" s="717"/>
      <c r="C107" s="718"/>
      <c r="D107" s="716"/>
      <c r="E107" s="716"/>
      <c r="F107" s="718"/>
      <c r="G107" s="719"/>
      <c r="H107" s="405"/>
      <c r="I107" s="427"/>
      <c r="J107" s="405"/>
      <c r="K107" s="405"/>
      <c r="L107" s="405"/>
      <c r="M107" s="405"/>
      <c r="N107" s="405"/>
      <c r="O107" s="405"/>
      <c r="P107" s="405"/>
      <c r="Q107" s="405"/>
      <c r="R107" s="405"/>
      <c r="S107" s="405"/>
      <c r="T107" s="405"/>
      <c r="U107" s="405"/>
      <c r="V107" s="405"/>
      <c r="W107" s="405"/>
      <c r="X107" s="405"/>
      <c r="Y107" s="405"/>
      <c r="Z107" s="405"/>
    </row>
    <row r="108" spans="1:26" ht="15.75" customHeight="1" x14ac:dyDescent="0.25">
      <c r="A108" s="716" t="s">
        <v>2689</v>
      </c>
      <c r="B108" s="717"/>
      <c r="C108" s="718"/>
      <c r="D108" s="716"/>
      <c r="E108" s="716"/>
      <c r="F108" s="718"/>
      <c r="G108" s="719"/>
      <c r="H108" s="405"/>
      <c r="I108" s="427"/>
      <c r="J108" s="405"/>
      <c r="K108" s="405"/>
      <c r="L108" s="405"/>
      <c r="M108" s="405"/>
      <c r="N108" s="405"/>
      <c r="O108" s="405"/>
      <c r="P108" s="405"/>
      <c r="Q108" s="405"/>
      <c r="R108" s="405"/>
      <c r="S108" s="405"/>
      <c r="T108" s="405"/>
      <c r="U108" s="405"/>
      <c r="V108" s="405"/>
      <c r="W108" s="405"/>
      <c r="X108" s="405"/>
      <c r="Y108" s="405"/>
      <c r="Z108" s="405"/>
    </row>
    <row r="109" spans="1:26" ht="15.75" customHeight="1" x14ac:dyDescent="0.25">
      <c r="A109" s="742" t="s">
        <v>618</v>
      </c>
      <c r="B109" s="717" t="s">
        <v>265</v>
      </c>
      <c r="C109" s="743">
        <v>0</v>
      </c>
      <c r="D109" s="743">
        <v>0</v>
      </c>
      <c r="E109" s="743">
        <v>0</v>
      </c>
      <c r="F109" s="743">
        <v>0</v>
      </c>
      <c r="G109" s="744">
        <v>25000000</v>
      </c>
      <c r="H109" s="405" t="s">
        <v>2588</v>
      </c>
      <c r="I109" s="427"/>
      <c r="J109" s="405"/>
      <c r="K109" s="405"/>
      <c r="L109" s="405"/>
      <c r="M109" s="405"/>
      <c r="N109" s="405"/>
      <c r="O109" s="405"/>
      <c r="P109" s="405"/>
      <c r="Q109" s="405"/>
      <c r="R109" s="405"/>
      <c r="S109" s="405"/>
      <c r="T109" s="405"/>
      <c r="U109" s="405"/>
      <c r="V109" s="405"/>
      <c r="W109" s="405"/>
      <c r="X109" s="405"/>
      <c r="Y109" s="405"/>
      <c r="Z109" s="405"/>
    </row>
    <row r="110" spans="1:26" ht="31.5" x14ac:dyDescent="0.25">
      <c r="A110" s="723" t="s">
        <v>2690</v>
      </c>
      <c r="B110" s="717"/>
      <c r="C110" s="718"/>
      <c r="D110" s="716"/>
      <c r="E110" s="716"/>
      <c r="F110" s="718"/>
      <c r="G110" s="719"/>
      <c r="H110" s="405"/>
      <c r="I110" s="427"/>
      <c r="J110" s="405"/>
      <c r="K110" s="405"/>
      <c r="L110" s="405"/>
      <c r="M110" s="405"/>
      <c r="N110" s="405"/>
      <c r="O110" s="405"/>
      <c r="P110" s="405"/>
      <c r="Q110" s="405"/>
      <c r="R110" s="405"/>
      <c r="S110" s="405"/>
      <c r="T110" s="405"/>
      <c r="U110" s="405"/>
      <c r="V110" s="405"/>
      <c r="W110" s="405"/>
      <c r="X110" s="405"/>
      <c r="Y110" s="405"/>
      <c r="Z110" s="405"/>
    </row>
    <row r="111" spans="1:26" ht="15.75" customHeight="1" x14ac:dyDescent="0.25">
      <c r="A111" s="716" t="s">
        <v>466</v>
      </c>
      <c r="B111" s="717"/>
      <c r="C111" s="743">
        <f t="shared" ref="C111:G111" si="1">C109</f>
        <v>0</v>
      </c>
      <c r="D111" s="743">
        <f t="shared" si="1"/>
        <v>0</v>
      </c>
      <c r="E111" s="743">
        <f t="shared" si="1"/>
        <v>0</v>
      </c>
      <c r="F111" s="743">
        <f t="shared" si="1"/>
        <v>0</v>
      </c>
      <c r="G111" s="745">
        <f t="shared" si="1"/>
        <v>25000000</v>
      </c>
      <c r="H111" s="405"/>
      <c r="I111" s="427"/>
      <c r="J111" s="405"/>
      <c r="K111" s="405"/>
      <c r="L111" s="405"/>
      <c r="M111" s="405"/>
      <c r="N111" s="405"/>
      <c r="O111" s="405"/>
      <c r="P111" s="405"/>
      <c r="Q111" s="405"/>
      <c r="R111" s="405"/>
      <c r="S111" s="405"/>
      <c r="T111" s="405"/>
      <c r="U111" s="405"/>
      <c r="V111" s="405"/>
      <c r="W111" s="405"/>
      <c r="X111" s="405"/>
      <c r="Y111" s="405"/>
      <c r="Z111" s="405"/>
    </row>
    <row r="112" spans="1:26" ht="15.75" customHeight="1" x14ac:dyDescent="0.25">
      <c r="A112" s="729"/>
      <c r="B112" s="728"/>
      <c r="C112" s="746"/>
      <c r="D112" s="747"/>
      <c r="E112" s="747"/>
      <c r="F112" s="748"/>
      <c r="G112" s="749"/>
      <c r="H112" s="405"/>
      <c r="I112" s="427"/>
      <c r="J112" s="405"/>
      <c r="K112" s="405"/>
      <c r="L112" s="405"/>
      <c r="M112" s="405"/>
      <c r="N112" s="405"/>
      <c r="O112" s="405"/>
      <c r="P112" s="405"/>
      <c r="Q112" s="405"/>
      <c r="R112" s="405"/>
      <c r="S112" s="405"/>
      <c r="T112" s="405"/>
      <c r="U112" s="405"/>
      <c r="V112" s="405"/>
      <c r="W112" s="405"/>
      <c r="X112" s="405"/>
      <c r="Y112" s="405"/>
      <c r="Z112" s="405"/>
    </row>
    <row r="113" spans="1:26" ht="15.75" customHeight="1" x14ac:dyDescent="0.25">
      <c r="A113" s="716" t="s">
        <v>529</v>
      </c>
      <c r="B113" s="728"/>
      <c r="C113" s="746"/>
      <c r="D113" s="747"/>
      <c r="E113" s="747"/>
      <c r="F113" s="748"/>
      <c r="G113" s="749"/>
      <c r="H113" s="405"/>
      <c r="I113" s="427"/>
      <c r="J113" s="405"/>
      <c r="K113" s="405"/>
      <c r="L113" s="405"/>
      <c r="M113" s="405"/>
      <c r="N113" s="405"/>
      <c r="O113" s="405"/>
      <c r="P113" s="405"/>
      <c r="Q113" s="405"/>
      <c r="R113" s="405"/>
      <c r="S113" s="405"/>
      <c r="T113" s="405"/>
      <c r="U113" s="405"/>
      <c r="V113" s="405"/>
      <c r="W113" s="405"/>
      <c r="X113" s="405"/>
      <c r="Y113" s="405"/>
      <c r="Z113" s="405"/>
    </row>
    <row r="114" spans="1:26" ht="15.75" customHeight="1" x14ac:dyDescent="0.25">
      <c r="A114" s="718"/>
      <c r="B114" s="717"/>
      <c r="C114" s="718"/>
      <c r="D114" s="716"/>
      <c r="E114" s="716"/>
      <c r="F114" s="724"/>
      <c r="G114" s="719"/>
      <c r="I114" s="40"/>
    </row>
    <row r="115" spans="1:26" ht="15.75" x14ac:dyDescent="0.25">
      <c r="A115" s="720" t="s">
        <v>2115</v>
      </c>
      <c r="B115" s="717"/>
      <c r="C115" s="718"/>
      <c r="D115" s="716"/>
      <c r="E115" s="716"/>
      <c r="F115" s="721"/>
      <c r="G115" s="719"/>
      <c r="I115" s="40"/>
    </row>
    <row r="116" spans="1:26" ht="15.75" x14ac:dyDescent="0.25">
      <c r="A116" s="718" t="s">
        <v>2116</v>
      </c>
      <c r="B116" s="717" t="s">
        <v>7</v>
      </c>
      <c r="C116" s="718"/>
      <c r="D116" s="716"/>
      <c r="E116" s="716"/>
      <c r="F116" s="721"/>
      <c r="G116" s="725"/>
      <c r="I116" s="40"/>
    </row>
    <row r="117" spans="1:26" ht="31.5" x14ac:dyDescent="0.25">
      <c r="A117" s="723" t="s">
        <v>2606</v>
      </c>
      <c r="B117" s="717"/>
      <c r="C117" s="718"/>
      <c r="D117" s="716"/>
      <c r="E117" s="716"/>
      <c r="F117" s="724"/>
      <c r="G117" s="725">
        <v>5000000</v>
      </c>
      <c r="H117" s="57" t="s">
        <v>2588</v>
      </c>
      <c r="I117" s="40"/>
    </row>
    <row r="118" spans="1:26" ht="15.75" customHeight="1" x14ac:dyDescent="0.25">
      <c r="A118" s="720" t="s">
        <v>2356</v>
      </c>
      <c r="B118" s="717"/>
      <c r="C118" s="718"/>
      <c r="D118" s="716"/>
      <c r="E118" s="716"/>
      <c r="F118" s="724"/>
      <c r="G118" s="725"/>
      <c r="I118" s="40"/>
    </row>
    <row r="119" spans="1:26" ht="15.75" x14ac:dyDescent="0.25">
      <c r="A119" s="718" t="s">
        <v>2612</v>
      </c>
      <c r="B119" s="717" t="s">
        <v>9</v>
      </c>
      <c r="C119" s="718"/>
      <c r="D119" s="716"/>
      <c r="E119" s="716"/>
      <c r="F119" s="724"/>
      <c r="G119" s="725"/>
      <c r="I119" s="40"/>
    </row>
    <row r="120" spans="1:26" ht="31.5" x14ac:dyDescent="0.25">
      <c r="A120" s="723" t="s">
        <v>2691</v>
      </c>
      <c r="B120" s="717"/>
      <c r="C120" s="718"/>
      <c r="D120" s="716"/>
      <c r="E120" s="716"/>
      <c r="F120" s="724"/>
      <c r="G120" s="725">
        <v>12314834</v>
      </c>
      <c r="I120" s="40"/>
    </row>
    <row r="121" spans="1:26" ht="31.5" x14ac:dyDescent="0.25">
      <c r="A121" s="723" t="s">
        <v>2692</v>
      </c>
      <c r="B121" s="717"/>
      <c r="C121" s="718"/>
      <c r="D121" s="716"/>
      <c r="E121" s="716"/>
      <c r="F121" s="724"/>
      <c r="G121" s="725">
        <v>12883266</v>
      </c>
      <c r="H121" s="57" t="s">
        <v>2588</v>
      </c>
      <c r="I121" s="40"/>
    </row>
    <row r="122" spans="1:26" ht="31.5" x14ac:dyDescent="0.25">
      <c r="A122" s="723" t="s">
        <v>2693</v>
      </c>
      <c r="B122" s="717"/>
      <c r="C122" s="718"/>
      <c r="D122" s="716"/>
      <c r="E122" s="716"/>
      <c r="F122" s="724"/>
      <c r="G122" s="725">
        <v>13056900</v>
      </c>
      <c r="H122" s="57" t="s">
        <v>2588</v>
      </c>
      <c r="I122" s="40"/>
    </row>
    <row r="123" spans="1:26" ht="15.75" x14ac:dyDescent="0.25">
      <c r="A123" s="718" t="s">
        <v>2694</v>
      </c>
      <c r="B123" s="717"/>
      <c r="C123" s="718"/>
      <c r="D123" s="716"/>
      <c r="E123" s="716"/>
      <c r="F123" s="724"/>
      <c r="G123" s="725">
        <v>6495000</v>
      </c>
      <c r="I123" s="40"/>
    </row>
    <row r="124" spans="1:26" ht="15.75" x14ac:dyDescent="0.25">
      <c r="A124" s="718" t="s">
        <v>2695</v>
      </c>
      <c r="B124" s="717" t="s">
        <v>15</v>
      </c>
      <c r="C124" s="718"/>
      <c r="D124" s="716"/>
      <c r="E124" s="716"/>
      <c r="F124" s="724"/>
      <c r="G124" s="725"/>
      <c r="I124" s="40"/>
    </row>
    <row r="125" spans="1:26" ht="31.5" x14ac:dyDescent="0.25">
      <c r="A125" s="723" t="s">
        <v>2639</v>
      </c>
      <c r="B125" s="717"/>
      <c r="C125" s="718"/>
      <c r="D125" s="716"/>
      <c r="E125" s="716"/>
      <c r="F125" s="724"/>
      <c r="G125" s="725">
        <v>603332</v>
      </c>
      <c r="H125" s="57" t="s">
        <v>2588</v>
      </c>
      <c r="I125" s="40"/>
    </row>
    <row r="126" spans="1:26" ht="15.75" customHeight="1" x14ac:dyDescent="0.25">
      <c r="A126" s="718" t="s">
        <v>1943</v>
      </c>
      <c r="B126" s="717" t="s">
        <v>17</v>
      </c>
      <c r="C126" s="729"/>
      <c r="D126" s="730"/>
      <c r="E126" s="730"/>
      <c r="F126" s="731"/>
      <c r="G126" s="732"/>
      <c r="H126" s="405"/>
      <c r="I126" s="427"/>
      <c r="J126" s="405"/>
      <c r="K126" s="405"/>
      <c r="L126" s="405"/>
      <c r="M126" s="405"/>
      <c r="N126" s="405"/>
      <c r="O126" s="405"/>
      <c r="P126" s="405"/>
      <c r="Q126" s="405"/>
      <c r="R126" s="405"/>
      <c r="S126" s="405"/>
      <c r="T126" s="405"/>
      <c r="U126" s="405"/>
      <c r="V126" s="405"/>
      <c r="W126" s="405"/>
      <c r="X126" s="405"/>
      <c r="Y126" s="405"/>
      <c r="Z126" s="405"/>
    </row>
    <row r="127" spans="1:26" ht="31.5" x14ac:dyDescent="0.25">
      <c r="A127" s="723" t="s">
        <v>2696</v>
      </c>
      <c r="B127" s="717"/>
      <c r="C127" s="718"/>
      <c r="D127" s="716"/>
      <c r="E127" s="716"/>
      <c r="F127" s="724"/>
      <c r="G127" s="725">
        <v>1500000</v>
      </c>
      <c r="H127" s="57" t="s">
        <v>2588</v>
      </c>
      <c r="I127" s="40"/>
    </row>
    <row r="128" spans="1:26" ht="31.5" x14ac:dyDescent="0.25">
      <c r="A128" s="723" t="s">
        <v>2697</v>
      </c>
      <c r="B128" s="717"/>
      <c r="C128" s="718"/>
      <c r="D128" s="716"/>
      <c r="E128" s="716"/>
      <c r="F128" s="724"/>
      <c r="G128" s="725">
        <v>1500000</v>
      </c>
      <c r="H128" s="57" t="s">
        <v>2588</v>
      </c>
      <c r="I128" s="40"/>
    </row>
    <row r="129" spans="1:26" ht="15.75" customHeight="1" x14ac:dyDescent="0.25">
      <c r="A129" s="718" t="s">
        <v>2698</v>
      </c>
      <c r="B129" s="717" t="s">
        <v>25</v>
      </c>
      <c r="C129" s="729"/>
      <c r="D129" s="730"/>
      <c r="E129" s="730"/>
      <c r="F129" s="731"/>
      <c r="G129" s="732"/>
      <c r="H129" s="405"/>
      <c r="I129" s="427"/>
      <c r="J129" s="405"/>
      <c r="K129" s="405"/>
      <c r="L129" s="405"/>
      <c r="M129" s="405"/>
      <c r="N129" s="405"/>
      <c r="O129" s="405"/>
      <c r="P129" s="405"/>
      <c r="Q129" s="405"/>
      <c r="R129" s="405"/>
      <c r="S129" s="405"/>
      <c r="T129" s="405"/>
      <c r="U129" s="405"/>
      <c r="V129" s="405"/>
      <c r="W129" s="405"/>
      <c r="X129" s="405"/>
      <c r="Y129" s="405"/>
      <c r="Z129" s="405"/>
    </row>
    <row r="130" spans="1:26" ht="31.5" x14ac:dyDescent="0.25">
      <c r="A130" s="723" t="s">
        <v>2699</v>
      </c>
      <c r="B130" s="717"/>
      <c r="C130" s="718"/>
      <c r="D130" s="716"/>
      <c r="E130" s="716"/>
      <c r="F130" s="724"/>
      <c r="G130" s="725">
        <v>690099</v>
      </c>
      <c r="H130" s="57" t="s">
        <v>2588</v>
      </c>
      <c r="I130" s="40"/>
    </row>
    <row r="131" spans="1:26" ht="31.5" x14ac:dyDescent="0.25">
      <c r="A131" s="723" t="s">
        <v>2700</v>
      </c>
      <c r="B131" s="717"/>
      <c r="C131" s="718"/>
      <c r="D131" s="716"/>
      <c r="E131" s="716"/>
      <c r="F131" s="724"/>
      <c r="G131" s="725">
        <v>1013350</v>
      </c>
      <c r="H131" s="57" t="s">
        <v>2588</v>
      </c>
      <c r="I131" s="40"/>
    </row>
    <row r="132" spans="1:26" ht="31.5" x14ac:dyDescent="0.25">
      <c r="A132" s="723" t="s">
        <v>2701</v>
      </c>
      <c r="B132" s="717"/>
      <c r="C132" s="718"/>
      <c r="D132" s="716"/>
      <c r="E132" s="716"/>
      <c r="F132" s="724"/>
      <c r="G132" s="725">
        <v>641639</v>
      </c>
      <c r="H132" s="57" t="s">
        <v>2588</v>
      </c>
      <c r="I132" s="40"/>
    </row>
    <row r="133" spans="1:26" ht="31.5" x14ac:dyDescent="0.25">
      <c r="A133" s="723" t="s">
        <v>2641</v>
      </c>
      <c r="B133" s="717"/>
      <c r="C133" s="718"/>
      <c r="D133" s="716"/>
      <c r="E133" s="716"/>
      <c r="F133" s="724"/>
      <c r="G133" s="725">
        <v>35830000</v>
      </c>
      <c r="H133" s="57" t="s">
        <v>2588</v>
      </c>
      <c r="I133" s="40"/>
    </row>
    <row r="134" spans="1:26" ht="15.75" customHeight="1" x14ac:dyDescent="0.25">
      <c r="A134" s="718" t="s">
        <v>2642</v>
      </c>
      <c r="B134" s="717" t="s">
        <v>27</v>
      </c>
      <c r="C134" s="729"/>
      <c r="D134" s="730"/>
      <c r="E134" s="730"/>
      <c r="F134" s="731"/>
      <c r="G134" s="732"/>
      <c r="H134" s="405"/>
      <c r="I134" s="427"/>
      <c r="J134" s="405"/>
      <c r="K134" s="405"/>
      <c r="L134" s="405"/>
      <c r="M134" s="405"/>
      <c r="N134" s="405"/>
      <c r="O134" s="405"/>
      <c r="P134" s="405"/>
      <c r="Q134" s="405"/>
      <c r="R134" s="405"/>
      <c r="S134" s="405"/>
      <c r="T134" s="405"/>
      <c r="U134" s="405"/>
      <c r="V134" s="405"/>
      <c r="W134" s="405"/>
      <c r="X134" s="405"/>
      <c r="Y134" s="405"/>
      <c r="Z134" s="405"/>
    </row>
    <row r="135" spans="1:26" ht="31.5" x14ac:dyDescent="0.25">
      <c r="A135" s="723" t="s">
        <v>2640</v>
      </c>
      <c r="B135" s="717"/>
      <c r="C135" s="718"/>
      <c r="D135" s="716"/>
      <c r="E135" s="716"/>
      <c r="F135" s="724"/>
      <c r="G135" s="725">
        <v>2500857</v>
      </c>
      <c r="H135" s="57" t="s">
        <v>2588</v>
      </c>
      <c r="I135" s="40"/>
    </row>
    <row r="136" spans="1:26" ht="31.5" x14ac:dyDescent="0.25">
      <c r="A136" s="723" t="s">
        <v>2702</v>
      </c>
      <c r="B136" s="728"/>
      <c r="C136" s="729"/>
      <c r="D136" s="730"/>
      <c r="E136" s="730"/>
      <c r="F136" s="731"/>
      <c r="G136" s="732">
        <v>3500000</v>
      </c>
      <c r="H136" s="405" t="s">
        <v>2588</v>
      </c>
      <c r="I136" s="427"/>
      <c r="J136" s="405"/>
      <c r="K136" s="405"/>
      <c r="L136" s="405"/>
      <c r="M136" s="405"/>
      <c r="N136" s="405"/>
      <c r="O136" s="405"/>
      <c r="P136" s="405"/>
      <c r="Q136" s="405"/>
      <c r="R136" s="405"/>
      <c r="S136" s="405"/>
      <c r="T136" s="405"/>
      <c r="U136" s="405"/>
      <c r="V136" s="405"/>
      <c r="W136" s="405"/>
      <c r="X136" s="405"/>
      <c r="Y136" s="405"/>
      <c r="Z136" s="405"/>
    </row>
    <row r="137" spans="1:26" ht="15.75" customHeight="1" x14ac:dyDescent="0.25">
      <c r="A137" s="720" t="s">
        <v>541</v>
      </c>
      <c r="B137" s="728"/>
      <c r="C137" s="729"/>
      <c r="D137" s="730"/>
      <c r="E137" s="730"/>
      <c r="F137" s="731"/>
      <c r="G137" s="732"/>
      <c r="H137" s="405"/>
      <c r="I137" s="427"/>
      <c r="J137" s="405"/>
      <c r="K137" s="405"/>
      <c r="L137" s="405"/>
      <c r="M137" s="405"/>
      <c r="N137" s="405"/>
      <c r="O137" s="405"/>
      <c r="P137" s="405"/>
      <c r="Q137" s="405"/>
      <c r="R137" s="405"/>
      <c r="S137" s="405"/>
      <c r="T137" s="405"/>
      <c r="U137" s="405"/>
      <c r="V137" s="405"/>
      <c r="W137" s="405"/>
      <c r="X137" s="405"/>
      <c r="Y137" s="405"/>
      <c r="Z137" s="405"/>
    </row>
    <row r="138" spans="1:26" ht="15.75" customHeight="1" x14ac:dyDescent="0.25">
      <c r="A138" s="718" t="s">
        <v>531</v>
      </c>
      <c r="B138" s="717" t="s">
        <v>29</v>
      </c>
      <c r="C138" s="729"/>
      <c r="D138" s="730"/>
      <c r="E138" s="730"/>
      <c r="F138" s="731"/>
      <c r="G138" s="732"/>
      <c r="H138" s="405"/>
      <c r="I138" s="427"/>
      <c r="J138" s="405"/>
      <c r="K138" s="405"/>
      <c r="L138" s="405"/>
      <c r="M138" s="405"/>
      <c r="N138" s="405"/>
      <c r="O138" s="405"/>
      <c r="P138" s="405"/>
      <c r="Q138" s="405"/>
      <c r="R138" s="405"/>
      <c r="S138" s="405"/>
      <c r="T138" s="405"/>
      <c r="U138" s="405"/>
      <c r="V138" s="405"/>
      <c r="W138" s="405"/>
      <c r="X138" s="405"/>
      <c r="Y138" s="405"/>
      <c r="Z138" s="405"/>
    </row>
    <row r="139" spans="1:26" ht="31.5" x14ac:dyDescent="0.25">
      <c r="A139" s="723" t="s">
        <v>2648</v>
      </c>
      <c r="B139" s="717"/>
      <c r="C139" s="718"/>
      <c r="D139" s="716"/>
      <c r="E139" s="716"/>
      <c r="F139" s="724"/>
      <c r="G139" s="725">
        <v>20000000</v>
      </c>
      <c r="H139" s="57" t="s">
        <v>2588</v>
      </c>
      <c r="I139" s="40"/>
    </row>
    <row r="140" spans="1:26" ht="31.5" x14ac:dyDescent="0.25">
      <c r="A140" s="723" t="s">
        <v>2646</v>
      </c>
      <c r="B140" s="717"/>
      <c r="C140" s="718"/>
      <c r="D140" s="716"/>
      <c r="E140" s="716"/>
      <c r="F140" s="724"/>
      <c r="G140" s="725">
        <v>2200000</v>
      </c>
      <c r="H140" s="57" t="s">
        <v>2588</v>
      </c>
      <c r="I140" s="40"/>
    </row>
    <row r="141" spans="1:26" ht="15.75" customHeight="1" x14ac:dyDescent="0.25">
      <c r="A141" s="718" t="s">
        <v>533</v>
      </c>
      <c r="B141" s="717" t="s">
        <v>41</v>
      </c>
      <c r="C141" s="729"/>
      <c r="D141" s="730"/>
      <c r="E141" s="730"/>
      <c r="F141" s="731"/>
      <c r="G141" s="732"/>
      <c r="H141" s="405"/>
      <c r="I141" s="427"/>
      <c r="J141" s="405"/>
      <c r="K141" s="405"/>
      <c r="L141" s="405"/>
      <c r="M141" s="405"/>
      <c r="N141" s="405"/>
      <c r="O141" s="405"/>
      <c r="P141" s="405"/>
      <c r="Q141" s="405"/>
      <c r="R141" s="405"/>
      <c r="S141" s="405"/>
      <c r="T141" s="405"/>
      <c r="U141" s="405"/>
      <c r="V141" s="405"/>
      <c r="W141" s="405"/>
      <c r="X141" s="405"/>
      <c r="Y141" s="405"/>
      <c r="Z141" s="405"/>
    </row>
    <row r="142" spans="1:26" ht="47.25" x14ac:dyDescent="0.25">
      <c r="A142" s="723" t="s">
        <v>2703</v>
      </c>
      <c r="B142" s="717"/>
      <c r="C142" s="718"/>
      <c r="D142" s="716"/>
      <c r="E142" s="716"/>
      <c r="F142" s="724"/>
      <c r="G142" s="725">
        <v>5695994</v>
      </c>
      <c r="H142" s="57" t="s">
        <v>2588</v>
      </c>
      <c r="I142" s="40"/>
    </row>
    <row r="143" spans="1:26" ht="31.5" x14ac:dyDescent="0.25">
      <c r="A143" s="723" t="s">
        <v>2665</v>
      </c>
      <c r="B143" s="717"/>
      <c r="C143" s="718"/>
      <c r="D143" s="716"/>
      <c r="E143" s="716"/>
      <c r="F143" s="724"/>
      <c r="G143" s="725">
        <v>6000000</v>
      </c>
      <c r="H143" s="57" t="s">
        <v>2588</v>
      </c>
      <c r="I143" s="40"/>
    </row>
    <row r="144" spans="1:26" ht="31.5" x14ac:dyDescent="0.25">
      <c r="A144" s="723" t="s">
        <v>2704</v>
      </c>
      <c r="B144" s="717"/>
      <c r="C144" s="718"/>
      <c r="D144" s="716"/>
      <c r="E144" s="716"/>
      <c r="F144" s="724"/>
      <c r="G144" s="725">
        <v>5706720</v>
      </c>
      <c r="H144" s="57" t="s">
        <v>2588</v>
      </c>
      <c r="I144" s="40"/>
    </row>
    <row r="145" spans="1:26" ht="31.5" x14ac:dyDescent="0.25">
      <c r="A145" s="723" t="s">
        <v>2667</v>
      </c>
      <c r="B145" s="717"/>
      <c r="C145" s="718"/>
      <c r="D145" s="716"/>
      <c r="E145" s="716"/>
      <c r="F145" s="724"/>
      <c r="G145" s="725">
        <v>922764</v>
      </c>
      <c r="H145" s="57" t="s">
        <v>2588</v>
      </c>
      <c r="I145" s="40"/>
    </row>
    <row r="146" spans="1:26" ht="15.75" customHeight="1" x14ac:dyDescent="0.25">
      <c r="A146" s="421" t="s">
        <v>486</v>
      </c>
      <c r="B146" s="454"/>
      <c r="C146" s="425">
        <f t="shared" ref="C146:G146" si="2">SUM(C116:C145)</f>
        <v>0</v>
      </c>
      <c r="D146" s="77">
        <f t="shared" si="2"/>
        <v>0</v>
      </c>
      <c r="E146" s="425">
        <f t="shared" si="2"/>
        <v>0</v>
      </c>
      <c r="F146" s="77">
        <f t="shared" si="2"/>
        <v>0</v>
      </c>
      <c r="G146" s="741">
        <f t="shared" si="2"/>
        <v>138054755</v>
      </c>
      <c r="H146" s="405"/>
      <c r="I146" s="427"/>
      <c r="J146" s="405"/>
      <c r="K146" s="405"/>
      <c r="L146" s="405"/>
      <c r="M146" s="405"/>
      <c r="N146" s="405"/>
      <c r="O146" s="405"/>
      <c r="P146" s="405"/>
      <c r="Q146" s="405"/>
      <c r="R146" s="405"/>
      <c r="S146" s="405"/>
      <c r="T146" s="405"/>
      <c r="U146" s="405"/>
      <c r="V146" s="405"/>
      <c r="W146" s="405"/>
      <c r="X146" s="405"/>
      <c r="Y146" s="405"/>
      <c r="Z146" s="405"/>
    </row>
    <row r="147" spans="1:26" ht="15.75" customHeight="1" x14ac:dyDescent="0.25">
      <c r="A147" s="428"/>
      <c r="B147" s="330"/>
      <c r="C147" s="429"/>
      <c r="D147" s="430"/>
      <c r="E147" s="429"/>
      <c r="F147" s="430"/>
      <c r="G147" s="592"/>
      <c r="H147" s="405"/>
      <c r="I147" s="427"/>
      <c r="J147" s="405"/>
      <c r="K147" s="405"/>
      <c r="L147" s="405"/>
      <c r="M147" s="405"/>
      <c r="N147" s="405"/>
      <c r="O147" s="405"/>
      <c r="P147" s="405"/>
      <c r="Q147" s="405"/>
      <c r="R147" s="405"/>
      <c r="S147" s="405"/>
      <c r="T147" s="405"/>
      <c r="U147" s="405"/>
      <c r="V147" s="405"/>
      <c r="W147" s="405"/>
      <c r="X147" s="405"/>
      <c r="Y147" s="405"/>
      <c r="Z147" s="405"/>
    </row>
    <row r="148" spans="1:26" ht="15.75" customHeight="1" x14ac:dyDescent="0.25">
      <c r="A148" s="431" t="s">
        <v>487</v>
      </c>
      <c r="B148" s="432" t="s">
        <v>488</v>
      </c>
      <c r="C148" s="303">
        <f t="shared" ref="C148:G148" si="3">C146+C111</f>
        <v>0</v>
      </c>
      <c r="D148" s="433">
        <f t="shared" si="3"/>
        <v>0</v>
      </c>
      <c r="E148" s="434">
        <f t="shared" si="3"/>
        <v>0</v>
      </c>
      <c r="F148" s="435">
        <f t="shared" si="3"/>
        <v>0</v>
      </c>
      <c r="G148" s="593">
        <f t="shared" si="3"/>
        <v>163054755</v>
      </c>
      <c r="H148" s="405"/>
      <c r="I148" s="427"/>
      <c r="J148" s="405"/>
      <c r="K148" s="405"/>
      <c r="L148" s="405"/>
      <c r="M148" s="405"/>
      <c r="N148" s="405"/>
      <c r="O148" s="405"/>
      <c r="P148" s="405"/>
      <c r="Q148" s="405"/>
      <c r="R148" s="405"/>
      <c r="S148" s="405"/>
      <c r="T148" s="405"/>
      <c r="U148" s="405"/>
      <c r="V148" s="405"/>
      <c r="W148" s="405"/>
      <c r="X148" s="405"/>
      <c r="Y148" s="405"/>
      <c r="Z148" s="405"/>
    </row>
    <row r="149" spans="1:26" ht="15.75" customHeight="1" x14ac:dyDescent="0.25">
      <c r="A149" s="405"/>
      <c r="B149" s="405"/>
      <c r="C149" s="405"/>
      <c r="D149" s="405"/>
      <c r="E149" s="405"/>
      <c r="F149" s="405"/>
      <c r="G149" s="594"/>
      <c r="H149" s="405"/>
      <c r="I149" s="427"/>
      <c r="J149" s="405"/>
      <c r="K149" s="405"/>
      <c r="L149" s="405"/>
      <c r="M149" s="405"/>
      <c r="N149" s="405"/>
      <c r="O149" s="405"/>
      <c r="P149" s="405"/>
      <c r="Q149" s="405"/>
      <c r="R149" s="405"/>
      <c r="S149" s="405"/>
      <c r="T149" s="405"/>
      <c r="U149" s="405"/>
      <c r="V149" s="405"/>
      <c r="W149" s="405"/>
      <c r="X149" s="405"/>
      <c r="Y149" s="405"/>
      <c r="Z149" s="405"/>
    </row>
    <row r="150" spans="1:26" ht="15.75" customHeight="1" x14ac:dyDescent="0.25">
      <c r="G150" s="595"/>
      <c r="I150" s="40"/>
    </row>
    <row r="151" spans="1:26" ht="15.75" customHeight="1" x14ac:dyDescent="0.25">
      <c r="G151" s="595"/>
      <c r="I151" s="40"/>
    </row>
    <row r="152" spans="1:26" ht="15.75" customHeight="1" x14ac:dyDescent="0.25">
      <c r="G152" s="595"/>
      <c r="I152" s="40"/>
    </row>
    <row r="153" spans="1:26" ht="15.75" customHeight="1" x14ac:dyDescent="0.25">
      <c r="G153" s="595"/>
      <c r="I153" s="40"/>
    </row>
    <row r="154" spans="1:26" ht="15.75" customHeight="1" x14ac:dyDescent="0.25">
      <c r="G154" s="595"/>
      <c r="I154" s="40"/>
    </row>
    <row r="155" spans="1:26" ht="15.75" customHeight="1" x14ac:dyDescent="0.25">
      <c r="G155" s="595"/>
      <c r="I155" s="40"/>
    </row>
    <row r="156" spans="1:26" ht="15.75" customHeight="1" x14ac:dyDescent="0.25">
      <c r="G156" s="595"/>
      <c r="I156" s="40"/>
    </row>
    <row r="157" spans="1:26" ht="15.75" customHeight="1" x14ac:dyDescent="0.25">
      <c r="G157" s="595"/>
      <c r="I157" s="40"/>
    </row>
    <row r="158" spans="1:26" ht="15.75" customHeight="1" x14ac:dyDescent="0.25">
      <c r="G158" s="595"/>
      <c r="I158" s="40"/>
    </row>
    <row r="159" spans="1:26" ht="15.75" customHeight="1" x14ac:dyDescent="0.25">
      <c r="G159" s="595"/>
      <c r="I159" s="40"/>
    </row>
    <row r="160" spans="1:26" ht="15.75" customHeight="1" x14ac:dyDescent="0.25">
      <c r="G160" s="595"/>
      <c r="I160" s="40"/>
    </row>
    <row r="161" spans="7:9" ht="15.75" customHeight="1" x14ac:dyDescent="0.25">
      <c r="G161" s="595"/>
      <c r="I161" s="40"/>
    </row>
    <row r="162" spans="7:9" ht="15.75" customHeight="1" x14ac:dyDescent="0.25">
      <c r="G162" s="595"/>
      <c r="I162" s="40"/>
    </row>
    <row r="163" spans="7:9" ht="15.75" customHeight="1" x14ac:dyDescent="0.25">
      <c r="G163" s="595"/>
      <c r="I163" s="40"/>
    </row>
    <row r="164" spans="7:9" ht="15.75" customHeight="1" x14ac:dyDescent="0.25">
      <c r="G164" s="595"/>
      <c r="I164" s="40"/>
    </row>
    <row r="165" spans="7:9" ht="15.75" customHeight="1" x14ac:dyDescent="0.25">
      <c r="G165" s="595"/>
      <c r="I165" s="40"/>
    </row>
    <row r="166" spans="7:9" ht="15.75" customHeight="1" x14ac:dyDescent="0.25">
      <c r="G166" s="595"/>
      <c r="I166" s="40"/>
    </row>
    <row r="167" spans="7:9" ht="15.75" customHeight="1" x14ac:dyDescent="0.25">
      <c r="G167" s="595"/>
      <c r="I167" s="40"/>
    </row>
    <row r="168" spans="7:9" ht="15.75" customHeight="1" x14ac:dyDescent="0.25">
      <c r="G168" s="595"/>
      <c r="I168" s="40"/>
    </row>
    <row r="169" spans="7:9" ht="15.75" customHeight="1" x14ac:dyDescent="0.25">
      <c r="G169" s="595"/>
      <c r="I169" s="40"/>
    </row>
    <row r="170" spans="7:9" ht="15.75" customHeight="1" x14ac:dyDescent="0.25">
      <c r="G170" s="595"/>
      <c r="I170" s="40"/>
    </row>
    <row r="171" spans="7:9" ht="15.75" customHeight="1" x14ac:dyDescent="0.25">
      <c r="G171" s="595"/>
      <c r="I171" s="40"/>
    </row>
    <row r="172" spans="7:9" ht="15.75" customHeight="1" x14ac:dyDescent="0.25">
      <c r="G172" s="595"/>
      <c r="I172" s="40"/>
    </row>
    <row r="173" spans="7:9" ht="15.75" customHeight="1" x14ac:dyDescent="0.25">
      <c r="G173" s="595"/>
      <c r="I173" s="40"/>
    </row>
    <row r="174" spans="7:9" ht="15.75" customHeight="1" x14ac:dyDescent="0.25">
      <c r="G174" s="595"/>
      <c r="I174" s="40"/>
    </row>
    <row r="175" spans="7:9" ht="15.75" customHeight="1" x14ac:dyDescent="0.25">
      <c r="G175" s="595"/>
      <c r="I175" s="40"/>
    </row>
    <row r="176" spans="7:9" ht="15.75" customHeight="1" x14ac:dyDescent="0.25">
      <c r="G176" s="595"/>
      <c r="I176" s="40"/>
    </row>
    <row r="177" spans="7:9" ht="15.75" customHeight="1" x14ac:dyDescent="0.25">
      <c r="G177" s="595"/>
      <c r="I177" s="40"/>
    </row>
    <row r="178" spans="7:9" ht="15.75" customHeight="1" x14ac:dyDescent="0.25">
      <c r="G178" s="595"/>
      <c r="I178" s="40"/>
    </row>
    <row r="179" spans="7:9" ht="15.75" customHeight="1" x14ac:dyDescent="0.25">
      <c r="G179" s="595"/>
      <c r="I179" s="40"/>
    </row>
    <row r="180" spans="7:9" ht="15.75" customHeight="1" x14ac:dyDescent="0.25">
      <c r="G180" s="595"/>
      <c r="I180" s="40"/>
    </row>
    <row r="181" spans="7:9" ht="15.75" customHeight="1" x14ac:dyDescent="0.25">
      <c r="G181" s="595"/>
      <c r="I181" s="40"/>
    </row>
    <row r="182" spans="7:9" ht="15.75" customHeight="1" x14ac:dyDescent="0.25">
      <c r="G182" s="595"/>
      <c r="I182" s="40"/>
    </row>
    <row r="183" spans="7:9" ht="15.75" customHeight="1" x14ac:dyDescent="0.25">
      <c r="G183" s="595"/>
      <c r="I183" s="40"/>
    </row>
    <row r="184" spans="7:9" ht="15.75" customHeight="1" x14ac:dyDescent="0.25">
      <c r="G184" s="595"/>
      <c r="I184" s="40"/>
    </row>
    <row r="185" spans="7:9" ht="15.75" customHeight="1" x14ac:dyDescent="0.25">
      <c r="G185" s="595"/>
      <c r="I185" s="40"/>
    </row>
    <row r="186" spans="7:9" ht="15.75" customHeight="1" x14ac:dyDescent="0.25">
      <c r="G186" s="595"/>
      <c r="I186" s="40"/>
    </row>
    <row r="187" spans="7:9" ht="15.75" customHeight="1" x14ac:dyDescent="0.25">
      <c r="G187" s="595"/>
      <c r="I187" s="40"/>
    </row>
    <row r="188" spans="7:9" ht="15.75" customHeight="1" x14ac:dyDescent="0.25">
      <c r="G188" s="595"/>
      <c r="I188" s="40"/>
    </row>
    <row r="189" spans="7:9" ht="15.75" customHeight="1" x14ac:dyDescent="0.25">
      <c r="G189" s="595"/>
      <c r="I189" s="40"/>
    </row>
    <row r="190" spans="7:9" ht="15.75" customHeight="1" x14ac:dyDescent="0.25">
      <c r="G190" s="595"/>
      <c r="I190" s="40"/>
    </row>
    <row r="191" spans="7:9" ht="15.75" customHeight="1" x14ac:dyDescent="0.25">
      <c r="G191" s="595"/>
      <c r="I191" s="40"/>
    </row>
    <row r="192" spans="7:9" ht="15.75" customHeight="1" x14ac:dyDescent="0.25">
      <c r="G192" s="595"/>
      <c r="I192" s="40"/>
    </row>
    <row r="193" spans="7:9" ht="15.75" customHeight="1" x14ac:dyDescent="0.25">
      <c r="G193" s="595"/>
      <c r="I193" s="40"/>
    </row>
    <row r="194" spans="7:9" ht="15.75" customHeight="1" x14ac:dyDescent="0.25">
      <c r="G194" s="595"/>
      <c r="I194" s="40"/>
    </row>
    <row r="195" spans="7:9" ht="15.75" customHeight="1" x14ac:dyDescent="0.25">
      <c r="G195" s="595"/>
      <c r="I195" s="40"/>
    </row>
    <row r="196" spans="7:9" ht="15.75" customHeight="1" x14ac:dyDescent="0.25">
      <c r="G196" s="595"/>
      <c r="I196" s="40"/>
    </row>
    <row r="197" spans="7:9" ht="15.75" customHeight="1" x14ac:dyDescent="0.25">
      <c r="G197" s="595"/>
      <c r="I197" s="40"/>
    </row>
    <row r="198" spans="7:9" ht="15.75" customHeight="1" x14ac:dyDescent="0.25">
      <c r="G198" s="595"/>
      <c r="I198" s="40"/>
    </row>
    <row r="199" spans="7:9" ht="15.75" customHeight="1" x14ac:dyDescent="0.25">
      <c r="G199" s="595"/>
      <c r="I199" s="40"/>
    </row>
    <row r="200" spans="7:9" ht="15.75" customHeight="1" x14ac:dyDescent="0.25">
      <c r="G200" s="595"/>
      <c r="I200" s="40"/>
    </row>
    <row r="201" spans="7:9" ht="15.75" customHeight="1" x14ac:dyDescent="0.25">
      <c r="G201" s="595"/>
      <c r="I201" s="40"/>
    </row>
    <row r="202" spans="7:9" ht="15.75" customHeight="1" x14ac:dyDescent="0.25">
      <c r="G202" s="595"/>
      <c r="I202" s="40"/>
    </row>
    <row r="203" spans="7:9" ht="15.75" customHeight="1" x14ac:dyDescent="0.25">
      <c r="G203" s="595"/>
      <c r="I203" s="40"/>
    </row>
    <row r="204" spans="7:9" ht="15.75" customHeight="1" x14ac:dyDescent="0.25">
      <c r="G204" s="595"/>
      <c r="I204" s="40"/>
    </row>
    <row r="205" spans="7:9" ht="15.75" customHeight="1" x14ac:dyDescent="0.25">
      <c r="G205" s="595"/>
      <c r="I205" s="40"/>
    </row>
    <row r="206" spans="7:9" ht="15.75" customHeight="1" x14ac:dyDescent="0.25">
      <c r="G206" s="595"/>
      <c r="I206" s="40"/>
    </row>
    <row r="207" spans="7:9" ht="15.75" customHeight="1" x14ac:dyDescent="0.25">
      <c r="G207" s="595"/>
      <c r="I207" s="40"/>
    </row>
    <row r="208" spans="7:9" ht="15.75" customHeight="1" x14ac:dyDescent="0.25">
      <c r="G208" s="595"/>
      <c r="I208" s="40"/>
    </row>
    <row r="209" spans="7:9" ht="15.75" customHeight="1" x14ac:dyDescent="0.25">
      <c r="G209" s="595"/>
      <c r="I209" s="40"/>
    </row>
    <row r="210" spans="7:9" ht="15.75" customHeight="1" x14ac:dyDescent="0.25">
      <c r="G210" s="595"/>
      <c r="I210" s="40"/>
    </row>
    <row r="211" spans="7:9" ht="15.75" customHeight="1" x14ac:dyDescent="0.25">
      <c r="G211" s="595"/>
      <c r="I211" s="40"/>
    </row>
    <row r="212" spans="7:9" ht="15.75" customHeight="1" x14ac:dyDescent="0.25">
      <c r="G212" s="595"/>
      <c r="I212" s="40"/>
    </row>
    <row r="213" spans="7:9" ht="15.75" customHeight="1" x14ac:dyDescent="0.25">
      <c r="G213" s="595"/>
      <c r="I213" s="40"/>
    </row>
    <row r="214" spans="7:9" ht="15.75" customHeight="1" x14ac:dyDescent="0.25">
      <c r="G214" s="595"/>
      <c r="I214" s="40"/>
    </row>
    <row r="215" spans="7:9" ht="15.75" customHeight="1" x14ac:dyDescent="0.25">
      <c r="G215" s="595"/>
      <c r="I215" s="40"/>
    </row>
    <row r="216" spans="7:9" ht="15.75" customHeight="1" x14ac:dyDescent="0.25">
      <c r="G216" s="595"/>
      <c r="I216" s="40"/>
    </row>
    <row r="217" spans="7:9" ht="15.75" customHeight="1" x14ac:dyDescent="0.25">
      <c r="G217" s="595"/>
      <c r="I217" s="40"/>
    </row>
    <row r="218" spans="7:9" ht="15.75" customHeight="1" x14ac:dyDescent="0.25">
      <c r="G218" s="595"/>
      <c r="I218" s="40"/>
    </row>
    <row r="219" spans="7:9" ht="15.75" customHeight="1" x14ac:dyDescent="0.25">
      <c r="G219" s="595"/>
      <c r="I219" s="40"/>
    </row>
    <row r="220" spans="7:9" ht="15.75" customHeight="1" x14ac:dyDescent="0.25">
      <c r="G220" s="595"/>
      <c r="I220" s="40"/>
    </row>
    <row r="221" spans="7:9" ht="15.75" customHeight="1" x14ac:dyDescent="0.25">
      <c r="G221" s="595"/>
      <c r="I221" s="40"/>
    </row>
    <row r="222" spans="7:9" ht="15.75" customHeight="1" x14ac:dyDescent="0.25">
      <c r="G222" s="595"/>
      <c r="I222" s="40"/>
    </row>
    <row r="223" spans="7:9" ht="15.75" customHeight="1" x14ac:dyDescent="0.25">
      <c r="G223" s="595"/>
      <c r="I223" s="40"/>
    </row>
    <row r="224" spans="7:9" ht="15.75" customHeight="1" x14ac:dyDescent="0.25">
      <c r="G224" s="595"/>
      <c r="I224" s="40"/>
    </row>
    <row r="225" spans="7:9" ht="15.75" customHeight="1" x14ac:dyDescent="0.25">
      <c r="G225" s="595"/>
      <c r="I225" s="40"/>
    </row>
    <row r="226" spans="7:9" ht="15.75" customHeight="1" x14ac:dyDescent="0.25">
      <c r="G226" s="595"/>
      <c r="I226" s="40"/>
    </row>
    <row r="227" spans="7:9" ht="15.75" customHeight="1" x14ac:dyDescent="0.25">
      <c r="G227" s="595"/>
      <c r="I227" s="40"/>
    </row>
    <row r="228" spans="7:9" ht="15.75" customHeight="1" x14ac:dyDescent="0.25">
      <c r="G228" s="595"/>
      <c r="I228" s="40"/>
    </row>
    <row r="229" spans="7:9" ht="15.75" customHeight="1" x14ac:dyDescent="0.25">
      <c r="G229" s="595"/>
      <c r="I229" s="40"/>
    </row>
    <row r="230" spans="7:9" ht="15.75" customHeight="1" x14ac:dyDescent="0.25">
      <c r="G230" s="595"/>
      <c r="I230" s="40"/>
    </row>
    <row r="231" spans="7:9" ht="15.75" customHeight="1" x14ac:dyDescent="0.25">
      <c r="G231" s="595"/>
      <c r="I231" s="40"/>
    </row>
    <row r="232" spans="7:9" ht="15.75" customHeight="1" x14ac:dyDescent="0.25">
      <c r="G232" s="595"/>
      <c r="I232" s="40"/>
    </row>
    <row r="233" spans="7:9" ht="15.75" customHeight="1" x14ac:dyDescent="0.25">
      <c r="G233" s="595"/>
      <c r="I233" s="40"/>
    </row>
    <row r="234" spans="7:9" ht="15.75" customHeight="1" x14ac:dyDescent="0.25">
      <c r="G234" s="595"/>
      <c r="I234" s="40"/>
    </row>
    <row r="235" spans="7:9" ht="15.75" customHeight="1" x14ac:dyDescent="0.25">
      <c r="G235" s="595"/>
      <c r="I235" s="40"/>
    </row>
    <row r="236" spans="7:9" ht="15.75" customHeight="1" x14ac:dyDescent="0.25">
      <c r="G236" s="595"/>
      <c r="I236" s="40"/>
    </row>
    <row r="237" spans="7:9" ht="15.75" customHeight="1" x14ac:dyDescent="0.25">
      <c r="G237" s="595"/>
      <c r="I237" s="40"/>
    </row>
    <row r="238" spans="7:9" ht="15.75" customHeight="1" x14ac:dyDescent="0.25">
      <c r="G238" s="595"/>
      <c r="I238" s="40"/>
    </row>
    <row r="239" spans="7:9" ht="15.75" customHeight="1" x14ac:dyDescent="0.25">
      <c r="G239" s="595"/>
      <c r="I239" s="40"/>
    </row>
    <row r="240" spans="7:9" ht="15.75" customHeight="1" x14ac:dyDescent="0.25">
      <c r="G240" s="595"/>
      <c r="I240" s="40"/>
    </row>
    <row r="241" spans="7:9" ht="15.75" customHeight="1" x14ac:dyDescent="0.25">
      <c r="G241" s="595"/>
      <c r="I241" s="40"/>
    </row>
    <row r="242" spans="7:9" ht="15.75" customHeight="1" x14ac:dyDescent="0.25">
      <c r="G242" s="595"/>
      <c r="I242" s="40"/>
    </row>
    <row r="243" spans="7:9" ht="15.75" customHeight="1" x14ac:dyDescent="0.25">
      <c r="G243" s="595"/>
      <c r="I243" s="40"/>
    </row>
    <row r="244" spans="7:9" ht="15.75" customHeight="1" x14ac:dyDescent="0.25">
      <c r="G244" s="595"/>
      <c r="I244" s="40"/>
    </row>
    <row r="245" spans="7:9" ht="15.75" customHeight="1" x14ac:dyDescent="0.25">
      <c r="G245" s="595"/>
      <c r="I245" s="40"/>
    </row>
    <row r="246" spans="7:9" ht="15.75" customHeight="1" x14ac:dyDescent="0.25">
      <c r="G246" s="595"/>
      <c r="I246" s="40"/>
    </row>
    <row r="247" spans="7:9" ht="15.75" customHeight="1" x14ac:dyDescent="0.25">
      <c r="G247" s="595"/>
      <c r="I247" s="40"/>
    </row>
    <row r="248" spans="7:9" ht="15.75" customHeight="1" x14ac:dyDescent="0.25">
      <c r="G248" s="595"/>
      <c r="I248" s="40"/>
    </row>
    <row r="249" spans="7:9" ht="15.75" customHeight="1" x14ac:dyDescent="0.25">
      <c r="G249" s="595"/>
      <c r="I249" s="40"/>
    </row>
    <row r="250" spans="7:9" ht="15.75" customHeight="1" x14ac:dyDescent="0.25">
      <c r="G250" s="595"/>
      <c r="I250" s="40"/>
    </row>
    <row r="251" spans="7:9" ht="15.75" customHeight="1" x14ac:dyDescent="0.25">
      <c r="G251" s="595"/>
      <c r="I251" s="40"/>
    </row>
    <row r="252" spans="7:9" ht="15.75" customHeight="1" x14ac:dyDescent="0.25">
      <c r="G252" s="436"/>
      <c r="I252" s="40"/>
    </row>
    <row r="253" spans="7:9" ht="15.75" customHeight="1" x14ac:dyDescent="0.25">
      <c r="G253" s="436"/>
      <c r="I253" s="40"/>
    </row>
    <row r="254" spans="7:9" ht="15.75" customHeight="1" x14ac:dyDescent="0.25">
      <c r="G254" s="436"/>
      <c r="I254" s="40"/>
    </row>
    <row r="255" spans="7:9" ht="15.75" customHeight="1" x14ac:dyDescent="0.25">
      <c r="G255" s="436"/>
      <c r="I255" s="40"/>
    </row>
    <row r="256" spans="7:9" ht="15.75" customHeight="1" x14ac:dyDescent="0.25">
      <c r="G256" s="436"/>
      <c r="I256" s="40"/>
    </row>
    <row r="257" spans="7:9" ht="15.75" customHeight="1" x14ac:dyDescent="0.25">
      <c r="G257" s="436"/>
      <c r="I257" s="40"/>
    </row>
    <row r="258" spans="7:9" ht="15.75" customHeight="1" x14ac:dyDescent="0.25">
      <c r="G258" s="436"/>
      <c r="I258" s="40"/>
    </row>
    <row r="259" spans="7:9" ht="15.75" customHeight="1" x14ac:dyDescent="0.25">
      <c r="G259" s="436"/>
      <c r="I259" s="40"/>
    </row>
    <row r="260" spans="7:9" ht="15.75" customHeight="1" x14ac:dyDescent="0.25">
      <c r="G260" s="436"/>
      <c r="I260" s="40"/>
    </row>
    <row r="261" spans="7:9" ht="15.75" customHeight="1" x14ac:dyDescent="0.25">
      <c r="G261" s="436"/>
      <c r="I261" s="40"/>
    </row>
    <row r="262" spans="7:9" ht="15.75" customHeight="1" x14ac:dyDescent="0.25">
      <c r="G262" s="436"/>
      <c r="I262" s="40"/>
    </row>
    <row r="263" spans="7:9" ht="15.75" customHeight="1" x14ac:dyDescent="0.25">
      <c r="G263" s="436"/>
      <c r="I263" s="40"/>
    </row>
    <row r="264" spans="7:9" ht="15.75" customHeight="1" x14ac:dyDescent="0.25">
      <c r="G264" s="436"/>
      <c r="I264" s="40"/>
    </row>
    <row r="265" spans="7:9" ht="15.75" customHeight="1" x14ac:dyDescent="0.25">
      <c r="G265" s="436"/>
      <c r="I265" s="40"/>
    </row>
    <row r="266" spans="7:9" ht="15.75" customHeight="1" x14ac:dyDescent="0.25">
      <c r="G266" s="436"/>
      <c r="I266" s="40"/>
    </row>
    <row r="267" spans="7:9" ht="15.75" customHeight="1" x14ac:dyDescent="0.25">
      <c r="G267" s="436"/>
      <c r="I267" s="40"/>
    </row>
    <row r="268" spans="7:9" ht="15.75" customHeight="1" x14ac:dyDescent="0.25">
      <c r="G268" s="436"/>
      <c r="I268" s="40"/>
    </row>
    <row r="269" spans="7:9" ht="15.75" customHeight="1" x14ac:dyDescent="0.25">
      <c r="G269" s="436"/>
      <c r="I269" s="40"/>
    </row>
    <row r="270" spans="7:9" ht="15.75" customHeight="1" x14ac:dyDescent="0.25">
      <c r="G270" s="436"/>
      <c r="I270" s="40"/>
    </row>
    <row r="271" spans="7:9" ht="15.75" customHeight="1" x14ac:dyDescent="0.25">
      <c r="G271" s="436"/>
      <c r="I271" s="40"/>
    </row>
    <row r="272" spans="7:9" ht="15.75" customHeight="1" x14ac:dyDescent="0.25">
      <c r="G272" s="436"/>
      <c r="I272" s="40"/>
    </row>
    <row r="273" spans="7:9" ht="15.75" customHeight="1" x14ac:dyDescent="0.25">
      <c r="G273" s="436"/>
      <c r="I273" s="40"/>
    </row>
    <row r="274" spans="7:9" ht="15.75" customHeight="1" x14ac:dyDescent="0.25">
      <c r="G274" s="436"/>
      <c r="I274" s="40"/>
    </row>
    <row r="275" spans="7:9" ht="15.75" customHeight="1" x14ac:dyDescent="0.25">
      <c r="G275" s="436"/>
      <c r="I275" s="40"/>
    </row>
    <row r="276" spans="7:9" ht="15.75" customHeight="1" x14ac:dyDescent="0.25">
      <c r="G276" s="436"/>
      <c r="I276" s="40"/>
    </row>
    <row r="277" spans="7:9" ht="15.75" customHeight="1" x14ac:dyDescent="0.25">
      <c r="G277" s="436"/>
      <c r="I277" s="40"/>
    </row>
    <row r="278" spans="7:9" ht="15.75" customHeight="1" x14ac:dyDescent="0.25">
      <c r="G278" s="436"/>
      <c r="I278" s="40"/>
    </row>
    <row r="279" spans="7:9" ht="15.75" customHeight="1" x14ac:dyDescent="0.25">
      <c r="G279" s="436"/>
      <c r="I279" s="40"/>
    </row>
    <row r="280" spans="7:9" ht="15.75" customHeight="1" x14ac:dyDescent="0.25">
      <c r="G280" s="436"/>
      <c r="I280" s="40"/>
    </row>
    <row r="281" spans="7:9" ht="15.75" customHeight="1" x14ac:dyDescent="0.25">
      <c r="G281" s="436"/>
      <c r="I281" s="40"/>
    </row>
    <row r="282" spans="7:9" ht="15.75" customHeight="1" x14ac:dyDescent="0.25">
      <c r="G282" s="436"/>
      <c r="I282" s="40"/>
    </row>
    <row r="283" spans="7:9" ht="15.75" customHeight="1" x14ac:dyDescent="0.25">
      <c r="G283" s="436"/>
      <c r="I283" s="40"/>
    </row>
    <row r="284" spans="7:9" ht="15.75" customHeight="1" x14ac:dyDescent="0.25">
      <c r="G284" s="436"/>
      <c r="I284" s="40"/>
    </row>
    <row r="285" spans="7:9" ht="15.75" customHeight="1" x14ac:dyDescent="0.25">
      <c r="G285" s="436"/>
      <c r="I285" s="40"/>
    </row>
    <row r="286" spans="7:9" ht="15.75" customHeight="1" x14ac:dyDescent="0.25">
      <c r="G286" s="436"/>
      <c r="I286" s="40"/>
    </row>
    <row r="287" spans="7:9" ht="15.75" customHeight="1" x14ac:dyDescent="0.25">
      <c r="G287" s="436"/>
      <c r="I287" s="40"/>
    </row>
    <row r="288" spans="7:9" ht="15.75" customHeight="1" x14ac:dyDescent="0.25">
      <c r="G288" s="436"/>
      <c r="I288" s="40"/>
    </row>
    <row r="289" spans="7:9" ht="15.75" customHeight="1" x14ac:dyDescent="0.25">
      <c r="G289" s="436"/>
      <c r="I289" s="40"/>
    </row>
    <row r="290" spans="7:9" ht="15.75" customHeight="1" x14ac:dyDescent="0.25">
      <c r="G290" s="436"/>
      <c r="I290" s="40"/>
    </row>
    <row r="291" spans="7:9" ht="15.75" customHeight="1" x14ac:dyDescent="0.25">
      <c r="G291" s="436"/>
      <c r="I291" s="40"/>
    </row>
    <row r="292" spans="7:9" ht="15.75" customHeight="1" x14ac:dyDescent="0.25">
      <c r="G292" s="436"/>
      <c r="I292" s="40"/>
    </row>
    <row r="293" spans="7:9" ht="15.75" customHeight="1" x14ac:dyDescent="0.25">
      <c r="G293" s="436"/>
      <c r="I293" s="40"/>
    </row>
    <row r="294" spans="7:9" ht="15.75" customHeight="1" x14ac:dyDescent="0.25">
      <c r="G294" s="436"/>
      <c r="I294" s="40"/>
    </row>
    <row r="295" spans="7:9" ht="15.75" customHeight="1" x14ac:dyDescent="0.25">
      <c r="G295" s="436"/>
      <c r="I295" s="40"/>
    </row>
    <row r="296" spans="7:9" ht="15.75" customHeight="1" x14ac:dyDescent="0.25">
      <c r="G296" s="436"/>
      <c r="I296" s="40"/>
    </row>
    <row r="297" spans="7:9" ht="15.75" customHeight="1" x14ac:dyDescent="0.25">
      <c r="G297" s="436"/>
      <c r="I297" s="40"/>
    </row>
    <row r="298" spans="7:9" ht="15.75" customHeight="1" x14ac:dyDescent="0.25">
      <c r="G298" s="436"/>
      <c r="I298" s="40"/>
    </row>
    <row r="299" spans="7:9" ht="15.75" customHeight="1" x14ac:dyDescent="0.25">
      <c r="G299" s="436"/>
      <c r="I299" s="40"/>
    </row>
    <row r="300" spans="7:9" ht="15.75" customHeight="1" x14ac:dyDescent="0.25">
      <c r="G300" s="436"/>
      <c r="I300" s="40"/>
    </row>
    <row r="301" spans="7:9" ht="15.75" customHeight="1" x14ac:dyDescent="0.25">
      <c r="G301" s="436"/>
      <c r="I301" s="40"/>
    </row>
    <row r="302" spans="7:9" ht="15.75" customHeight="1" x14ac:dyDescent="0.25">
      <c r="G302" s="436"/>
      <c r="I302" s="40"/>
    </row>
    <row r="303" spans="7:9" ht="15.75" customHeight="1" x14ac:dyDescent="0.25">
      <c r="G303" s="436"/>
      <c r="I303" s="40"/>
    </row>
    <row r="304" spans="7:9" ht="15.75" customHeight="1" x14ac:dyDescent="0.25">
      <c r="G304" s="436"/>
      <c r="I304" s="40"/>
    </row>
    <row r="305" spans="7:9" ht="15.75" customHeight="1" x14ac:dyDescent="0.25">
      <c r="G305" s="436"/>
      <c r="I305" s="40"/>
    </row>
    <row r="306" spans="7:9" ht="15.75" customHeight="1" x14ac:dyDescent="0.25">
      <c r="G306" s="436"/>
      <c r="I306" s="40"/>
    </row>
    <row r="307" spans="7:9" ht="15.75" customHeight="1" x14ac:dyDescent="0.25">
      <c r="G307" s="436"/>
      <c r="I307" s="40"/>
    </row>
    <row r="308" spans="7:9" ht="15.75" customHeight="1" x14ac:dyDescent="0.25">
      <c r="G308" s="436"/>
      <c r="I308" s="40"/>
    </row>
    <row r="309" spans="7:9" ht="15.75" customHeight="1" x14ac:dyDescent="0.25">
      <c r="G309" s="436"/>
      <c r="I309" s="40"/>
    </row>
    <row r="310" spans="7:9" ht="15.75" customHeight="1" x14ac:dyDescent="0.25">
      <c r="G310" s="436"/>
      <c r="I310" s="40"/>
    </row>
    <row r="311" spans="7:9" ht="15.75" customHeight="1" x14ac:dyDescent="0.25">
      <c r="G311" s="436"/>
      <c r="I311" s="40"/>
    </row>
    <row r="312" spans="7:9" ht="15.75" customHeight="1" x14ac:dyDescent="0.25">
      <c r="G312" s="436"/>
      <c r="I312" s="40"/>
    </row>
    <row r="313" spans="7:9" ht="15.75" customHeight="1" x14ac:dyDescent="0.25">
      <c r="G313" s="436"/>
      <c r="I313" s="40"/>
    </row>
    <row r="314" spans="7:9" ht="15.75" customHeight="1" x14ac:dyDescent="0.25">
      <c r="G314" s="436"/>
      <c r="I314" s="40"/>
    </row>
    <row r="315" spans="7:9" ht="15.75" customHeight="1" x14ac:dyDescent="0.25">
      <c r="G315" s="436"/>
      <c r="I315" s="40"/>
    </row>
    <row r="316" spans="7:9" ht="15.75" customHeight="1" x14ac:dyDescent="0.25">
      <c r="G316" s="436"/>
      <c r="I316" s="40"/>
    </row>
    <row r="317" spans="7:9" ht="15.75" customHeight="1" x14ac:dyDescent="0.25">
      <c r="G317" s="436"/>
      <c r="I317" s="40"/>
    </row>
    <row r="318" spans="7:9" ht="15.75" customHeight="1" x14ac:dyDescent="0.25">
      <c r="G318" s="436"/>
      <c r="I318" s="40"/>
    </row>
    <row r="319" spans="7:9" ht="15.75" customHeight="1" x14ac:dyDescent="0.25">
      <c r="G319" s="436"/>
      <c r="I319" s="40"/>
    </row>
    <row r="320" spans="7:9" ht="15.75" customHeight="1" x14ac:dyDescent="0.25">
      <c r="G320" s="436"/>
      <c r="I320" s="40"/>
    </row>
    <row r="321" spans="7:9" ht="15.75" customHeight="1" x14ac:dyDescent="0.25">
      <c r="G321" s="436"/>
      <c r="I321" s="40"/>
    </row>
    <row r="322" spans="7:9" ht="15.75" customHeight="1" x14ac:dyDescent="0.25">
      <c r="G322" s="436"/>
      <c r="I322" s="40"/>
    </row>
    <row r="323" spans="7:9" ht="15.75" customHeight="1" x14ac:dyDescent="0.25">
      <c r="G323" s="436"/>
      <c r="I323" s="40"/>
    </row>
    <row r="324" spans="7:9" ht="15.75" customHeight="1" x14ac:dyDescent="0.25">
      <c r="G324" s="436"/>
      <c r="I324" s="40"/>
    </row>
    <row r="325" spans="7:9" ht="15.75" customHeight="1" x14ac:dyDescent="0.25">
      <c r="G325" s="436"/>
      <c r="I325" s="40"/>
    </row>
    <row r="326" spans="7:9" ht="15.75" customHeight="1" x14ac:dyDescent="0.25">
      <c r="G326" s="436"/>
      <c r="I326" s="40"/>
    </row>
    <row r="327" spans="7:9" ht="15.75" customHeight="1" x14ac:dyDescent="0.25">
      <c r="G327" s="436"/>
      <c r="I327" s="40"/>
    </row>
    <row r="328" spans="7:9" ht="15.75" customHeight="1" x14ac:dyDescent="0.25">
      <c r="G328" s="436"/>
      <c r="I328" s="40"/>
    </row>
    <row r="329" spans="7:9" ht="15.75" customHeight="1" x14ac:dyDescent="0.25">
      <c r="G329" s="436"/>
      <c r="I329" s="40"/>
    </row>
    <row r="330" spans="7:9" ht="15.75" customHeight="1" x14ac:dyDescent="0.25">
      <c r="G330" s="436"/>
      <c r="I330" s="40"/>
    </row>
    <row r="331" spans="7:9" ht="15.75" customHeight="1" x14ac:dyDescent="0.25">
      <c r="G331" s="436"/>
      <c r="I331" s="40"/>
    </row>
    <row r="332" spans="7:9" ht="15.75" customHeight="1" x14ac:dyDescent="0.25">
      <c r="G332" s="436"/>
      <c r="I332" s="40"/>
    </row>
    <row r="333" spans="7:9" ht="15.75" customHeight="1" x14ac:dyDescent="0.25">
      <c r="G333" s="436"/>
      <c r="I333" s="40"/>
    </row>
    <row r="334" spans="7:9" ht="15.75" customHeight="1" x14ac:dyDescent="0.25">
      <c r="G334" s="436"/>
      <c r="I334" s="40"/>
    </row>
    <row r="335" spans="7:9" ht="15.75" customHeight="1" x14ac:dyDescent="0.25">
      <c r="G335" s="436"/>
      <c r="I335" s="40"/>
    </row>
    <row r="336" spans="7:9" ht="15.75" customHeight="1" x14ac:dyDescent="0.25">
      <c r="G336" s="436"/>
      <c r="I336" s="40"/>
    </row>
    <row r="337" spans="7:9" ht="15.75" customHeight="1" x14ac:dyDescent="0.25">
      <c r="G337" s="436"/>
      <c r="I337" s="40"/>
    </row>
    <row r="338" spans="7:9" ht="15.75" customHeight="1" x14ac:dyDescent="0.25">
      <c r="G338" s="436"/>
      <c r="I338" s="40"/>
    </row>
    <row r="339" spans="7:9" ht="15.75" customHeight="1" x14ac:dyDescent="0.25">
      <c r="G339" s="436"/>
      <c r="I339" s="40"/>
    </row>
    <row r="340" spans="7:9" ht="15.75" customHeight="1" x14ac:dyDescent="0.25">
      <c r="G340" s="436"/>
      <c r="I340" s="40"/>
    </row>
    <row r="341" spans="7:9" ht="15.75" customHeight="1" x14ac:dyDescent="0.25">
      <c r="G341" s="436"/>
      <c r="I341" s="40"/>
    </row>
    <row r="342" spans="7:9" ht="15.75" customHeight="1" x14ac:dyDescent="0.25">
      <c r="G342" s="436"/>
      <c r="I342" s="40"/>
    </row>
    <row r="343" spans="7:9" ht="15.75" customHeight="1" x14ac:dyDescent="0.25">
      <c r="G343" s="436"/>
      <c r="I343" s="40"/>
    </row>
    <row r="344" spans="7:9" ht="15.75" customHeight="1" x14ac:dyDescent="0.25">
      <c r="G344" s="436"/>
      <c r="I344" s="40"/>
    </row>
    <row r="345" spans="7:9" ht="15.75" customHeight="1" x14ac:dyDescent="0.25">
      <c r="G345" s="436"/>
      <c r="I345" s="40"/>
    </row>
    <row r="346" spans="7:9" ht="15.75" customHeight="1" x14ac:dyDescent="0.25">
      <c r="G346" s="436"/>
      <c r="I346" s="40"/>
    </row>
    <row r="347" spans="7:9" ht="15.75" customHeight="1" x14ac:dyDescent="0.25">
      <c r="G347" s="436"/>
      <c r="I347" s="40"/>
    </row>
    <row r="348" spans="7:9" ht="15.75" customHeight="1" x14ac:dyDescent="0.25">
      <c r="G348" s="436"/>
      <c r="I348" s="40"/>
    </row>
    <row r="349" spans="7:9" ht="15.75" customHeight="1" x14ac:dyDescent="0.25">
      <c r="G349" s="436"/>
      <c r="I349" s="40"/>
    </row>
    <row r="350" spans="7:9" ht="15.75" customHeight="1" x14ac:dyDescent="0.25">
      <c r="G350" s="436"/>
      <c r="I350" s="40"/>
    </row>
    <row r="351" spans="7:9" ht="15.75" customHeight="1" x14ac:dyDescent="0.25">
      <c r="G351" s="436"/>
      <c r="I351" s="40"/>
    </row>
    <row r="352" spans="7:9" ht="15.75" customHeight="1" x14ac:dyDescent="0.25">
      <c r="G352" s="436"/>
      <c r="I352" s="40"/>
    </row>
    <row r="353" spans="7:9" ht="15.75" customHeight="1" x14ac:dyDescent="0.25">
      <c r="G353" s="436"/>
      <c r="I353" s="40"/>
    </row>
    <row r="354" spans="7:9" ht="15.75" customHeight="1" x14ac:dyDescent="0.25">
      <c r="G354" s="436"/>
      <c r="I354" s="40"/>
    </row>
    <row r="355" spans="7:9" ht="15.75" customHeight="1" x14ac:dyDescent="0.25">
      <c r="G355" s="436"/>
      <c r="I355" s="40"/>
    </row>
    <row r="356" spans="7:9" ht="15.75" customHeight="1" x14ac:dyDescent="0.25">
      <c r="G356" s="436"/>
      <c r="I356" s="40"/>
    </row>
    <row r="357" spans="7:9" ht="15.75" customHeight="1" x14ac:dyDescent="0.25">
      <c r="G357" s="436"/>
      <c r="I357" s="40"/>
    </row>
    <row r="358" spans="7:9" ht="15.75" customHeight="1" x14ac:dyDescent="0.25">
      <c r="G358" s="436"/>
      <c r="I358" s="40"/>
    </row>
    <row r="359" spans="7:9" ht="15.75" customHeight="1" x14ac:dyDescent="0.25">
      <c r="G359" s="436"/>
      <c r="I359" s="40"/>
    </row>
    <row r="360" spans="7:9" ht="15.75" customHeight="1" x14ac:dyDescent="0.25">
      <c r="G360" s="436"/>
      <c r="I360" s="40"/>
    </row>
    <row r="361" spans="7:9" ht="15.75" customHeight="1" x14ac:dyDescent="0.25">
      <c r="G361" s="436"/>
      <c r="I361" s="40"/>
    </row>
    <row r="362" spans="7:9" ht="15.75" customHeight="1" x14ac:dyDescent="0.25">
      <c r="G362" s="436"/>
      <c r="I362" s="40"/>
    </row>
    <row r="363" spans="7:9" ht="15.75" customHeight="1" x14ac:dyDescent="0.25">
      <c r="G363" s="436"/>
      <c r="I363" s="40"/>
    </row>
    <row r="364" spans="7:9" ht="15.75" customHeight="1" x14ac:dyDescent="0.25">
      <c r="G364" s="436"/>
      <c r="I364" s="40"/>
    </row>
    <row r="365" spans="7:9" ht="15.75" customHeight="1" x14ac:dyDescent="0.25">
      <c r="G365" s="436"/>
      <c r="I365" s="40"/>
    </row>
    <row r="366" spans="7:9" ht="15.75" customHeight="1" x14ac:dyDescent="0.25">
      <c r="G366" s="436"/>
      <c r="I366" s="40"/>
    </row>
    <row r="367" spans="7:9" ht="15.75" customHeight="1" x14ac:dyDescent="0.25">
      <c r="G367" s="436"/>
      <c r="I367" s="40"/>
    </row>
    <row r="368" spans="7:9" ht="15.75" customHeight="1" x14ac:dyDescent="0.25">
      <c r="G368" s="436"/>
      <c r="I368" s="40"/>
    </row>
    <row r="369" spans="7:9" ht="15.75" customHeight="1" x14ac:dyDescent="0.25">
      <c r="G369" s="436"/>
      <c r="I369" s="40"/>
    </row>
    <row r="370" spans="7:9" ht="15.75" customHeight="1" x14ac:dyDescent="0.25">
      <c r="G370" s="436"/>
      <c r="I370" s="40"/>
    </row>
    <row r="371" spans="7:9" ht="15.75" customHeight="1" x14ac:dyDescent="0.25">
      <c r="G371" s="436"/>
      <c r="I371" s="40"/>
    </row>
    <row r="372" spans="7:9" ht="15.75" customHeight="1" x14ac:dyDescent="0.25">
      <c r="G372" s="436"/>
      <c r="I372" s="40"/>
    </row>
    <row r="373" spans="7:9" ht="15.75" customHeight="1" x14ac:dyDescent="0.25">
      <c r="G373" s="436"/>
      <c r="I373" s="40"/>
    </row>
    <row r="374" spans="7:9" ht="15.75" customHeight="1" x14ac:dyDescent="0.25">
      <c r="G374" s="436"/>
      <c r="I374" s="40"/>
    </row>
    <row r="375" spans="7:9" ht="15.75" customHeight="1" x14ac:dyDescent="0.25">
      <c r="G375" s="436"/>
      <c r="I375" s="40"/>
    </row>
    <row r="376" spans="7:9" ht="15.75" customHeight="1" x14ac:dyDescent="0.25">
      <c r="G376" s="436"/>
      <c r="I376" s="40"/>
    </row>
    <row r="377" spans="7:9" ht="15.75" customHeight="1" x14ac:dyDescent="0.25">
      <c r="G377" s="436"/>
      <c r="I377" s="40"/>
    </row>
    <row r="378" spans="7:9" ht="15.75" customHeight="1" x14ac:dyDescent="0.25">
      <c r="G378" s="436"/>
      <c r="I378" s="40"/>
    </row>
    <row r="379" spans="7:9" ht="15.75" customHeight="1" x14ac:dyDescent="0.25">
      <c r="G379" s="436"/>
      <c r="I379" s="40"/>
    </row>
    <row r="380" spans="7:9" ht="15.75" customHeight="1" x14ac:dyDescent="0.25">
      <c r="G380" s="436"/>
      <c r="I380" s="40"/>
    </row>
    <row r="381" spans="7:9" ht="15.75" customHeight="1" x14ac:dyDescent="0.25">
      <c r="G381" s="436"/>
      <c r="I381" s="40"/>
    </row>
    <row r="382" spans="7:9" ht="15.75" customHeight="1" x14ac:dyDescent="0.25">
      <c r="G382" s="436"/>
      <c r="I382" s="40"/>
    </row>
    <row r="383" spans="7:9" ht="15.75" customHeight="1" x14ac:dyDescent="0.25">
      <c r="G383" s="436"/>
      <c r="I383" s="40"/>
    </row>
    <row r="384" spans="7:9" ht="15.75" customHeight="1" x14ac:dyDescent="0.25">
      <c r="G384" s="436"/>
      <c r="I384" s="40"/>
    </row>
    <row r="385" spans="7:9" ht="15.75" customHeight="1" x14ac:dyDescent="0.25">
      <c r="G385" s="436"/>
      <c r="I385" s="40"/>
    </row>
    <row r="386" spans="7:9" ht="15.75" customHeight="1" x14ac:dyDescent="0.25">
      <c r="G386" s="436"/>
      <c r="I386" s="40"/>
    </row>
    <row r="387" spans="7:9" ht="15.75" customHeight="1" x14ac:dyDescent="0.25">
      <c r="G387" s="436"/>
      <c r="I387" s="40"/>
    </row>
    <row r="388" spans="7:9" ht="15.75" customHeight="1" x14ac:dyDescent="0.25">
      <c r="G388" s="436"/>
      <c r="I388" s="40"/>
    </row>
    <row r="389" spans="7:9" ht="15.75" customHeight="1" x14ac:dyDescent="0.25">
      <c r="G389" s="436"/>
      <c r="I389" s="40"/>
    </row>
    <row r="390" spans="7:9" ht="15.75" customHeight="1" x14ac:dyDescent="0.25">
      <c r="G390" s="436"/>
      <c r="I390" s="40"/>
    </row>
    <row r="391" spans="7:9" ht="15.75" customHeight="1" x14ac:dyDescent="0.25">
      <c r="G391" s="436"/>
      <c r="I391" s="40"/>
    </row>
    <row r="392" spans="7:9" ht="15.75" customHeight="1" x14ac:dyDescent="0.25">
      <c r="G392" s="436"/>
      <c r="I392" s="40"/>
    </row>
    <row r="393" spans="7:9" ht="15.75" customHeight="1" x14ac:dyDescent="0.25">
      <c r="G393" s="436"/>
      <c r="I393" s="40"/>
    </row>
    <row r="394" spans="7:9" ht="15.75" customHeight="1" x14ac:dyDescent="0.25">
      <c r="G394" s="436"/>
      <c r="I394" s="40"/>
    </row>
    <row r="395" spans="7:9" ht="15.75" customHeight="1" x14ac:dyDescent="0.25">
      <c r="G395" s="436"/>
      <c r="I395" s="40"/>
    </row>
    <row r="396" spans="7:9" ht="15.75" customHeight="1" x14ac:dyDescent="0.25">
      <c r="G396" s="436"/>
      <c r="I396" s="40"/>
    </row>
    <row r="397" spans="7:9" ht="15.75" customHeight="1" x14ac:dyDescent="0.25">
      <c r="G397" s="436"/>
      <c r="I397" s="40"/>
    </row>
    <row r="398" spans="7:9" ht="15.75" customHeight="1" x14ac:dyDescent="0.25">
      <c r="G398" s="436"/>
      <c r="I398" s="40"/>
    </row>
    <row r="399" spans="7:9" ht="15.75" customHeight="1" x14ac:dyDescent="0.25">
      <c r="G399" s="436"/>
      <c r="I399" s="40"/>
    </row>
    <row r="400" spans="7:9" ht="15.75" customHeight="1" x14ac:dyDescent="0.25">
      <c r="G400" s="436"/>
      <c r="I400" s="40"/>
    </row>
    <row r="401" spans="7:9" ht="15.75" customHeight="1" x14ac:dyDescent="0.25">
      <c r="G401" s="436"/>
      <c r="I401" s="40"/>
    </row>
    <row r="402" spans="7:9" ht="15.75" customHeight="1" x14ac:dyDescent="0.25">
      <c r="G402" s="436"/>
      <c r="I402" s="40"/>
    </row>
    <row r="403" spans="7:9" ht="15.75" customHeight="1" x14ac:dyDescent="0.25">
      <c r="G403" s="436"/>
      <c r="I403" s="40"/>
    </row>
    <row r="404" spans="7:9" ht="15.75" customHeight="1" x14ac:dyDescent="0.25">
      <c r="G404" s="436"/>
      <c r="I404" s="40"/>
    </row>
    <row r="405" spans="7:9" ht="15.75" customHeight="1" x14ac:dyDescent="0.25">
      <c r="G405" s="436"/>
      <c r="I405" s="40"/>
    </row>
    <row r="406" spans="7:9" ht="15.75" customHeight="1" x14ac:dyDescent="0.25">
      <c r="G406" s="436"/>
      <c r="I406" s="40"/>
    </row>
    <row r="407" spans="7:9" ht="15.75" customHeight="1" x14ac:dyDescent="0.25">
      <c r="G407" s="436"/>
      <c r="I407" s="40"/>
    </row>
    <row r="408" spans="7:9" ht="15.75" customHeight="1" x14ac:dyDescent="0.25">
      <c r="G408" s="436"/>
      <c r="I408" s="40"/>
    </row>
    <row r="409" spans="7:9" ht="15.75" customHeight="1" x14ac:dyDescent="0.25">
      <c r="G409" s="436"/>
      <c r="I409" s="40"/>
    </row>
    <row r="410" spans="7:9" ht="15.75" customHeight="1" x14ac:dyDescent="0.25">
      <c r="G410" s="436"/>
      <c r="I410" s="40"/>
    </row>
    <row r="411" spans="7:9" ht="15.75" customHeight="1" x14ac:dyDescent="0.25">
      <c r="G411" s="436"/>
      <c r="I411" s="40"/>
    </row>
    <row r="412" spans="7:9" ht="15.75" customHeight="1" x14ac:dyDescent="0.25">
      <c r="G412" s="436"/>
      <c r="I412" s="40"/>
    </row>
    <row r="413" spans="7:9" ht="15.75" customHeight="1" x14ac:dyDescent="0.25">
      <c r="G413" s="436"/>
      <c r="I413" s="40"/>
    </row>
    <row r="414" spans="7:9" ht="15.75" customHeight="1" x14ac:dyDescent="0.25">
      <c r="G414" s="436"/>
      <c r="I414" s="40"/>
    </row>
    <row r="415" spans="7:9" ht="15.75" customHeight="1" x14ac:dyDescent="0.25">
      <c r="G415" s="436"/>
      <c r="I415" s="40"/>
    </row>
    <row r="416" spans="7:9" ht="15.75" customHeight="1" x14ac:dyDescent="0.25">
      <c r="G416" s="436"/>
      <c r="I416" s="40"/>
    </row>
    <row r="417" spans="7:9" ht="15.75" customHeight="1" x14ac:dyDescent="0.25">
      <c r="G417" s="436"/>
      <c r="I417" s="40"/>
    </row>
    <row r="418" spans="7:9" ht="15.75" customHeight="1" x14ac:dyDescent="0.25">
      <c r="G418" s="436"/>
      <c r="I418" s="40"/>
    </row>
    <row r="419" spans="7:9" ht="15.75" customHeight="1" x14ac:dyDescent="0.25">
      <c r="G419" s="436"/>
      <c r="I419" s="40"/>
    </row>
    <row r="420" spans="7:9" ht="15.75" customHeight="1" x14ac:dyDescent="0.25">
      <c r="G420" s="436"/>
      <c r="I420" s="40"/>
    </row>
    <row r="421" spans="7:9" ht="15.75" customHeight="1" x14ac:dyDescent="0.25">
      <c r="G421" s="436"/>
      <c r="I421" s="40"/>
    </row>
    <row r="422" spans="7:9" ht="15.75" customHeight="1" x14ac:dyDescent="0.25">
      <c r="G422" s="436"/>
      <c r="I422" s="40"/>
    </row>
    <row r="423" spans="7:9" ht="15.75" customHeight="1" x14ac:dyDescent="0.25">
      <c r="G423" s="436"/>
      <c r="I423" s="40"/>
    </row>
    <row r="424" spans="7:9" ht="15.75" customHeight="1" x14ac:dyDescent="0.25">
      <c r="G424" s="436"/>
      <c r="I424" s="40"/>
    </row>
    <row r="425" spans="7:9" ht="15.75" customHeight="1" x14ac:dyDescent="0.25">
      <c r="G425" s="436"/>
      <c r="I425" s="40"/>
    </row>
    <row r="426" spans="7:9" ht="15.75" customHeight="1" x14ac:dyDescent="0.25">
      <c r="G426" s="436"/>
      <c r="I426" s="40"/>
    </row>
    <row r="427" spans="7:9" ht="15.75" customHeight="1" x14ac:dyDescent="0.25">
      <c r="G427" s="436"/>
      <c r="I427" s="40"/>
    </row>
    <row r="428" spans="7:9" ht="15.75" customHeight="1" x14ac:dyDescent="0.25">
      <c r="G428" s="436"/>
      <c r="I428" s="40"/>
    </row>
    <row r="429" spans="7:9" ht="15.75" customHeight="1" x14ac:dyDescent="0.25">
      <c r="G429" s="436"/>
      <c r="I429" s="40"/>
    </row>
    <row r="430" spans="7:9" ht="15.75" customHeight="1" x14ac:dyDescent="0.25">
      <c r="G430" s="436"/>
      <c r="I430" s="40"/>
    </row>
    <row r="431" spans="7:9" ht="15.75" customHeight="1" x14ac:dyDescent="0.25">
      <c r="G431" s="436"/>
      <c r="I431" s="40"/>
    </row>
    <row r="432" spans="7:9" ht="15.75" customHeight="1" x14ac:dyDescent="0.25">
      <c r="G432" s="436"/>
      <c r="I432" s="40"/>
    </row>
    <row r="433" spans="7:9" ht="15.75" customHeight="1" x14ac:dyDescent="0.25">
      <c r="G433" s="436"/>
      <c r="I433" s="40"/>
    </row>
    <row r="434" spans="7:9" ht="15.75" customHeight="1" x14ac:dyDescent="0.25">
      <c r="G434" s="436"/>
      <c r="I434" s="40"/>
    </row>
    <row r="435" spans="7:9" ht="15.75" customHeight="1" x14ac:dyDescent="0.25">
      <c r="G435" s="436"/>
      <c r="I435" s="40"/>
    </row>
    <row r="436" spans="7:9" ht="15.75" customHeight="1" x14ac:dyDescent="0.25">
      <c r="G436" s="436"/>
      <c r="I436" s="40"/>
    </row>
    <row r="437" spans="7:9" ht="15.75" customHeight="1" x14ac:dyDescent="0.25">
      <c r="G437" s="436"/>
      <c r="I437" s="40"/>
    </row>
    <row r="438" spans="7:9" ht="15.75" customHeight="1" x14ac:dyDescent="0.25">
      <c r="G438" s="436"/>
      <c r="I438" s="40"/>
    </row>
    <row r="439" spans="7:9" ht="15.75" customHeight="1" x14ac:dyDescent="0.25">
      <c r="G439" s="436"/>
      <c r="I439" s="40"/>
    </row>
    <row r="440" spans="7:9" ht="15.75" customHeight="1" x14ac:dyDescent="0.25">
      <c r="G440" s="436"/>
      <c r="I440" s="40"/>
    </row>
    <row r="441" spans="7:9" ht="15.75" customHeight="1" x14ac:dyDescent="0.25">
      <c r="G441" s="436"/>
      <c r="I441" s="40"/>
    </row>
    <row r="442" spans="7:9" ht="15.75" customHeight="1" x14ac:dyDescent="0.25">
      <c r="G442" s="436"/>
      <c r="I442" s="40"/>
    </row>
    <row r="443" spans="7:9" ht="15.75" customHeight="1" x14ac:dyDescent="0.25">
      <c r="G443" s="436"/>
      <c r="I443" s="40"/>
    </row>
    <row r="444" spans="7:9" ht="15.75" customHeight="1" x14ac:dyDescent="0.25">
      <c r="G444" s="436"/>
      <c r="I444" s="40"/>
    </row>
    <row r="445" spans="7:9" ht="15.75" customHeight="1" x14ac:dyDescent="0.25">
      <c r="G445" s="436"/>
      <c r="I445" s="40"/>
    </row>
    <row r="446" spans="7:9" ht="15.75" customHeight="1" x14ac:dyDescent="0.25">
      <c r="G446" s="436"/>
      <c r="I446" s="40"/>
    </row>
    <row r="447" spans="7:9" ht="15.75" customHeight="1" x14ac:dyDescent="0.25">
      <c r="G447" s="436"/>
      <c r="I447" s="40"/>
    </row>
    <row r="448" spans="7:9" ht="15.75" customHeight="1" x14ac:dyDescent="0.25">
      <c r="G448" s="436"/>
      <c r="I448" s="40"/>
    </row>
    <row r="449" spans="7:9" ht="15.75" customHeight="1" x14ac:dyDescent="0.25">
      <c r="G449" s="436"/>
      <c r="I449" s="40"/>
    </row>
    <row r="450" spans="7:9" ht="15.75" customHeight="1" x14ac:dyDescent="0.25">
      <c r="G450" s="436"/>
      <c r="I450" s="40"/>
    </row>
    <row r="451" spans="7:9" ht="15.75" customHeight="1" x14ac:dyDescent="0.25">
      <c r="G451" s="436"/>
      <c r="I451" s="40"/>
    </row>
    <row r="452" spans="7:9" ht="15.75" customHeight="1" x14ac:dyDescent="0.25">
      <c r="G452" s="436"/>
      <c r="I452" s="40"/>
    </row>
    <row r="453" spans="7:9" ht="15.75" customHeight="1" x14ac:dyDescent="0.25">
      <c r="G453" s="436"/>
      <c r="I453" s="40"/>
    </row>
    <row r="454" spans="7:9" ht="15.75" customHeight="1" x14ac:dyDescent="0.25">
      <c r="G454" s="436"/>
      <c r="I454" s="40"/>
    </row>
    <row r="455" spans="7:9" ht="15.75" customHeight="1" x14ac:dyDescent="0.25">
      <c r="G455" s="436"/>
      <c r="I455" s="40"/>
    </row>
    <row r="456" spans="7:9" ht="15.75" customHeight="1" x14ac:dyDescent="0.25">
      <c r="G456" s="436"/>
      <c r="I456" s="40"/>
    </row>
    <row r="457" spans="7:9" ht="15.75" customHeight="1" x14ac:dyDescent="0.25">
      <c r="G457" s="436"/>
      <c r="I457" s="40"/>
    </row>
    <row r="458" spans="7:9" ht="15.75" customHeight="1" x14ac:dyDescent="0.25">
      <c r="G458" s="436"/>
      <c r="I458" s="40"/>
    </row>
    <row r="459" spans="7:9" ht="15.75" customHeight="1" x14ac:dyDescent="0.25">
      <c r="G459" s="436"/>
      <c r="I459" s="40"/>
    </row>
    <row r="460" spans="7:9" ht="15.75" customHeight="1" x14ac:dyDescent="0.25">
      <c r="G460" s="436"/>
      <c r="I460" s="40"/>
    </row>
    <row r="461" spans="7:9" ht="15.75" customHeight="1" x14ac:dyDescent="0.25">
      <c r="G461" s="436"/>
      <c r="I461" s="40"/>
    </row>
    <row r="462" spans="7:9" ht="15.75" customHeight="1" x14ac:dyDescent="0.25">
      <c r="G462" s="436"/>
      <c r="I462" s="40"/>
    </row>
    <row r="463" spans="7:9" ht="15.75" customHeight="1" x14ac:dyDescent="0.25">
      <c r="G463" s="436"/>
      <c r="I463" s="40"/>
    </row>
    <row r="464" spans="7:9" ht="15.75" customHeight="1" x14ac:dyDescent="0.25">
      <c r="G464" s="436"/>
      <c r="I464" s="40"/>
    </row>
    <row r="465" spans="7:9" ht="15.75" customHeight="1" x14ac:dyDescent="0.25">
      <c r="G465" s="436"/>
      <c r="I465" s="40"/>
    </row>
    <row r="466" spans="7:9" ht="15.75" customHeight="1" x14ac:dyDescent="0.25">
      <c r="G466" s="436"/>
      <c r="I466" s="40"/>
    </row>
    <row r="467" spans="7:9" ht="15.75" customHeight="1" x14ac:dyDescent="0.25">
      <c r="G467" s="436"/>
      <c r="I467" s="40"/>
    </row>
    <row r="468" spans="7:9" ht="15.75" customHeight="1" x14ac:dyDescent="0.25">
      <c r="G468" s="436"/>
      <c r="I468" s="40"/>
    </row>
    <row r="469" spans="7:9" ht="15.75" customHeight="1" x14ac:dyDescent="0.25">
      <c r="G469" s="436"/>
      <c r="I469" s="40"/>
    </row>
    <row r="470" spans="7:9" ht="15.75" customHeight="1" x14ac:dyDescent="0.25">
      <c r="G470" s="436"/>
      <c r="I470" s="40"/>
    </row>
    <row r="471" spans="7:9" ht="15.75" customHeight="1" x14ac:dyDescent="0.25">
      <c r="G471" s="436"/>
      <c r="I471" s="40"/>
    </row>
    <row r="472" spans="7:9" ht="15.75" customHeight="1" x14ac:dyDescent="0.25">
      <c r="G472" s="436"/>
      <c r="I472" s="40"/>
    </row>
    <row r="473" spans="7:9" ht="15.75" customHeight="1" x14ac:dyDescent="0.25">
      <c r="G473" s="436"/>
      <c r="I473" s="40"/>
    </row>
    <row r="474" spans="7:9" ht="15.75" customHeight="1" x14ac:dyDescent="0.25">
      <c r="G474" s="436"/>
      <c r="I474" s="40"/>
    </row>
    <row r="475" spans="7:9" ht="15.75" customHeight="1" x14ac:dyDescent="0.25">
      <c r="G475" s="436"/>
      <c r="I475" s="40"/>
    </row>
    <row r="476" spans="7:9" ht="15.75" customHeight="1" x14ac:dyDescent="0.25">
      <c r="G476" s="436"/>
      <c r="I476" s="40"/>
    </row>
    <row r="477" spans="7:9" ht="15.75" customHeight="1" x14ac:dyDescent="0.25">
      <c r="G477" s="436"/>
      <c r="I477" s="40"/>
    </row>
    <row r="478" spans="7:9" ht="15.75" customHeight="1" x14ac:dyDescent="0.25">
      <c r="G478" s="436"/>
      <c r="I478" s="40"/>
    </row>
    <row r="479" spans="7:9" ht="15.75" customHeight="1" x14ac:dyDescent="0.25">
      <c r="G479" s="436"/>
      <c r="I479" s="40"/>
    </row>
    <row r="480" spans="7:9" ht="15.75" customHeight="1" x14ac:dyDescent="0.25">
      <c r="G480" s="436"/>
      <c r="I480" s="40"/>
    </row>
    <row r="481" spans="7:9" ht="15.75" customHeight="1" x14ac:dyDescent="0.25">
      <c r="G481" s="436"/>
      <c r="I481" s="40"/>
    </row>
    <row r="482" spans="7:9" ht="15.75" customHeight="1" x14ac:dyDescent="0.25">
      <c r="G482" s="436"/>
      <c r="I482" s="40"/>
    </row>
    <row r="483" spans="7:9" ht="15.75" customHeight="1" x14ac:dyDescent="0.25">
      <c r="G483" s="436"/>
      <c r="I483" s="40"/>
    </row>
    <row r="484" spans="7:9" ht="15.75" customHeight="1" x14ac:dyDescent="0.25">
      <c r="G484" s="436"/>
      <c r="I484" s="40"/>
    </row>
    <row r="485" spans="7:9" ht="15.75" customHeight="1" x14ac:dyDescent="0.25">
      <c r="G485" s="436"/>
      <c r="I485" s="40"/>
    </row>
    <row r="486" spans="7:9" ht="15.75" customHeight="1" x14ac:dyDescent="0.25">
      <c r="G486" s="436"/>
      <c r="I486" s="40"/>
    </row>
    <row r="487" spans="7:9" ht="15.75" customHeight="1" x14ac:dyDescent="0.25">
      <c r="G487" s="436"/>
      <c r="I487" s="40"/>
    </row>
    <row r="488" spans="7:9" ht="15.75" customHeight="1" x14ac:dyDescent="0.25">
      <c r="G488" s="436"/>
      <c r="I488" s="40"/>
    </row>
    <row r="489" spans="7:9" ht="15.75" customHeight="1" x14ac:dyDescent="0.25">
      <c r="G489" s="436"/>
      <c r="I489" s="40"/>
    </row>
    <row r="490" spans="7:9" ht="15.75" customHeight="1" x14ac:dyDescent="0.25">
      <c r="G490" s="436"/>
      <c r="I490" s="40"/>
    </row>
    <row r="491" spans="7:9" ht="15.75" customHeight="1" x14ac:dyDescent="0.25">
      <c r="G491" s="436"/>
      <c r="I491" s="40"/>
    </row>
    <row r="492" spans="7:9" ht="15.75" customHeight="1" x14ac:dyDescent="0.25">
      <c r="G492" s="436"/>
      <c r="I492" s="40"/>
    </row>
    <row r="493" spans="7:9" ht="15.75" customHeight="1" x14ac:dyDescent="0.25">
      <c r="G493" s="436"/>
      <c r="I493" s="40"/>
    </row>
    <row r="494" spans="7:9" ht="15.75" customHeight="1" x14ac:dyDescent="0.25">
      <c r="G494" s="436"/>
      <c r="I494" s="40"/>
    </row>
    <row r="495" spans="7:9" ht="15.75" customHeight="1" x14ac:dyDescent="0.25">
      <c r="G495" s="436"/>
      <c r="I495" s="40"/>
    </row>
    <row r="496" spans="7:9" ht="15.75" customHeight="1" x14ac:dyDescent="0.25">
      <c r="G496" s="436"/>
      <c r="I496" s="40"/>
    </row>
    <row r="497" spans="7:9" ht="15.75" customHeight="1" x14ac:dyDescent="0.25">
      <c r="G497" s="436"/>
      <c r="I497" s="40"/>
    </row>
    <row r="498" spans="7:9" ht="15.75" customHeight="1" x14ac:dyDescent="0.25">
      <c r="G498" s="436"/>
      <c r="I498" s="40"/>
    </row>
    <row r="499" spans="7:9" ht="15.75" customHeight="1" x14ac:dyDescent="0.25">
      <c r="G499" s="436"/>
      <c r="I499" s="40"/>
    </row>
    <row r="500" spans="7:9" ht="15.75" customHeight="1" x14ac:dyDescent="0.25">
      <c r="G500" s="436"/>
      <c r="I500" s="40"/>
    </row>
    <row r="501" spans="7:9" ht="15.75" customHeight="1" x14ac:dyDescent="0.25">
      <c r="G501" s="436"/>
      <c r="I501" s="40"/>
    </row>
    <row r="502" spans="7:9" ht="15.75" customHeight="1" x14ac:dyDescent="0.25">
      <c r="G502" s="436"/>
      <c r="I502" s="40"/>
    </row>
    <row r="503" spans="7:9" ht="15.75" customHeight="1" x14ac:dyDescent="0.25">
      <c r="G503" s="436"/>
      <c r="I503" s="40"/>
    </row>
    <row r="504" spans="7:9" ht="15.75" customHeight="1" x14ac:dyDescent="0.25">
      <c r="G504" s="436"/>
      <c r="I504" s="40"/>
    </row>
    <row r="505" spans="7:9" ht="15.75" customHeight="1" x14ac:dyDescent="0.25">
      <c r="G505" s="436"/>
      <c r="I505" s="40"/>
    </row>
    <row r="506" spans="7:9" ht="15.75" customHeight="1" x14ac:dyDescent="0.25">
      <c r="G506" s="436"/>
      <c r="I506" s="40"/>
    </row>
    <row r="507" spans="7:9" ht="15.75" customHeight="1" x14ac:dyDescent="0.25">
      <c r="G507" s="436"/>
      <c r="I507" s="40"/>
    </row>
    <row r="508" spans="7:9" ht="15.75" customHeight="1" x14ac:dyDescent="0.25">
      <c r="G508" s="436"/>
      <c r="I508" s="40"/>
    </row>
    <row r="509" spans="7:9" ht="15.75" customHeight="1" x14ac:dyDescent="0.25">
      <c r="G509" s="436"/>
      <c r="I509" s="40"/>
    </row>
    <row r="510" spans="7:9" ht="15.75" customHeight="1" x14ac:dyDescent="0.25">
      <c r="G510" s="436"/>
      <c r="I510" s="40"/>
    </row>
    <row r="511" spans="7:9" ht="15.75" customHeight="1" x14ac:dyDescent="0.25">
      <c r="G511" s="436"/>
      <c r="I511" s="40"/>
    </row>
    <row r="512" spans="7:9" ht="15.75" customHeight="1" x14ac:dyDescent="0.25">
      <c r="G512" s="436"/>
      <c r="I512" s="40"/>
    </row>
    <row r="513" spans="7:9" ht="15.75" customHeight="1" x14ac:dyDescent="0.25">
      <c r="G513" s="436"/>
      <c r="I513" s="40"/>
    </row>
    <row r="514" spans="7:9" ht="15.75" customHeight="1" x14ac:dyDescent="0.25">
      <c r="G514" s="436"/>
      <c r="I514" s="40"/>
    </row>
    <row r="515" spans="7:9" ht="15.75" customHeight="1" x14ac:dyDescent="0.25">
      <c r="G515" s="436"/>
      <c r="I515" s="40"/>
    </row>
    <row r="516" spans="7:9" ht="15.75" customHeight="1" x14ac:dyDescent="0.25">
      <c r="G516" s="436"/>
      <c r="I516" s="40"/>
    </row>
    <row r="517" spans="7:9" ht="15.75" customHeight="1" x14ac:dyDescent="0.25">
      <c r="G517" s="436"/>
      <c r="I517" s="40"/>
    </row>
    <row r="518" spans="7:9" ht="15.75" customHeight="1" x14ac:dyDescent="0.25">
      <c r="G518" s="436"/>
      <c r="I518" s="40"/>
    </row>
    <row r="519" spans="7:9" ht="15.75" customHeight="1" x14ac:dyDescent="0.25">
      <c r="G519" s="436"/>
      <c r="I519" s="40"/>
    </row>
    <row r="520" spans="7:9" ht="15.75" customHeight="1" x14ac:dyDescent="0.25">
      <c r="G520" s="436"/>
      <c r="I520" s="40"/>
    </row>
    <row r="521" spans="7:9" ht="15.75" customHeight="1" x14ac:dyDescent="0.25">
      <c r="G521" s="436"/>
      <c r="I521" s="40"/>
    </row>
    <row r="522" spans="7:9" ht="15.75" customHeight="1" x14ac:dyDescent="0.25">
      <c r="G522" s="436"/>
      <c r="I522" s="40"/>
    </row>
    <row r="523" spans="7:9" ht="15.75" customHeight="1" x14ac:dyDescent="0.25">
      <c r="G523" s="436"/>
      <c r="I523" s="40"/>
    </row>
    <row r="524" spans="7:9" ht="15.75" customHeight="1" x14ac:dyDescent="0.25">
      <c r="G524" s="436"/>
      <c r="I524" s="40"/>
    </row>
    <row r="525" spans="7:9" ht="15.75" customHeight="1" x14ac:dyDescent="0.25">
      <c r="G525" s="436"/>
      <c r="I525" s="40"/>
    </row>
    <row r="526" spans="7:9" ht="15.75" customHeight="1" x14ac:dyDescent="0.25">
      <c r="G526" s="436"/>
      <c r="I526" s="40"/>
    </row>
    <row r="527" spans="7:9" ht="15.75" customHeight="1" x14ac:dyDescent="0.25">
      <c r="G527" s="436"/>
      <c r="I527" s="40"/>
    </row>
    <row r="528" spans="7:9" ht="15.75" customHeight="1" x14ac:dyDescent="0.25">
      <c r="G528" s="436"/>
      <c r="I528" s="40"/>
    </row>
    <row r="529" spans="7:9" ht="15.75" customHeight="1" x14ac:dyDescent="0.25">
      <c r="G529" s="436"/>
      <c r="I529" s="40"/>
    </row>
    <row r="530" spans="7:9" ht="15.75" customHeight="1" x14ac:dyDescent="0.25">
      <c r="G530" s="436"/>
      <c r="I530" s="40"/>
    </row>
    <row r="531" spans="7:9" ht="15.75" customHeight="1" x14ac:dyDescent="0.25">
      <c r="G531" s="436"/>
      <c r="I531" s="40"/>
    </row>
    <row r="532" spans="7:9" ht="15.75" customHeight="1" x14ac:dyDescent="0.25">
      <c r="G532" s="436"/>
      <c r="I532" s="40"/>
    </row>
    <row r="533" spans="7:9" ht="15.75" customHeight="1" x14ac:dyDescent="0.25">
      <c r="G533" s="436"/>
      <c r="I533" s="40"/>
    </row>
    <row r="534" spans="7:9" ht="15.75" customHeight="1" x14ac:dyDescent="0.25">
      <c r="G534" s="436"/>
      <c r="I534" s="40"/>
    </row>
    <row r="535" spans="7:9" ht="15.75" customHeight="1" x14ac:dyDescent="0.25">
      <c r="G535" s="436"/>
      <c r="I535" s="40"/>
    </row>
    <row r="536" spans="7:9" ht="15.75" customHeight="1" x14ac:dyDescent="0.25">
      <c r="G536" s="436"/>
      <c r="I536" s="40"/>
    </row>
    <row r="537" spans="7:9" ht="15.75" customHeight="1" x14ac:dyDescent="0.25">
      <c r="G537" s="436"/>
      <c r="I537" s="40"/>
    </row>
    <row r="538" spans="7:9" ht="15.75" customHeight="1" x14ac:dyDescent="0.25">
      <c r="G538" s="436"/>
      <c r="I538" s="40"/>
    </row>
    <row r="539" spans="7:9" ht="15.75" customHeight="1" x14ac:dyDescent="0.25">
      <c r="G539" s="436"/>
      <c r="I539" s="40"/>
    </row>
    <row r="540" spans="7:9" ht="15.75" customHeight="1" x14ac:dyDescent="0.25">
      <c r="G540" s="436"/>
      <c r="I540" s="40"/>
    </row>
    <row r="541" spans="7:9" ht="15.75" customHeight="1" x14ac:dyDescent="0.25">
      <c r="G541" s="436"/>
      <c r="I541" s="40"/>
    </row>
    <row r="542" spans="7:9" ht="15.75" customHeight="1" x14ac:dyDescent="0.25">
      <c r="G542" s="436"/>
      <c r="I542" s="40"/>
    </row>
    <row r="543" spans="7:9" ht="15.75" customHeight="1" x14ac:dyDescent="0.25">
      <c r="G543" s="436"/>
      <c r="I543" s="40"/>
    </row>
    <row r="544" spans="7:9" ht="15.75" customHeight="1" x14ac:dyDescent="0.25">
      <c r="G544" s="436"/>
      <c r="I544" s="40"/>
    </row>
    <row r="545" spans="7:9" ht="15.75" customHeight="1" x14ac:dyDescent="0.25">
      <c r="G545" s="436"/>
      <c r="I545" s="40"/>
    </row>
    <row r="546" spans="7:9" ht="15.75" customHeight="1" x14ac:dyDescent="0.25">
      <c r="G546" s="436"/>
      <c r="I546" s="40"/>
    </row>
    <row r="547" spans="7:9" ht="15.75" customHeight="1" x14ac:dyDescent="0.25">
      <c r="G547" s="436"/>
      <c r="I547" s="40"/>
    </row>
    <row r="548" spans="7:9" ht="15.75" customHeight="1" x14ac:dyDescent="0.25">
      <c r="G548" s="436"/>
      <c r="I548" s="40"/>
    </row>
    <row r="549" spans="7:9" ht="15.75" customHeight="1" x14ac:dyDescent="0.25">
      <c r="G549" s="436"/>
      <c r="I549" s="40"/>
    </row>
    <row r="550" spans="7:9" ht="15.75" customHeight="1" x14ac:dyDescent="0.25">
      <c r="G550" s="436"/>
      <c r="I550" s="40"/>
    </row>
    <row r="551" spans="7:9" ht="15.75" customHeight="1" x14ac:dyDescent="0.25">
      <c r="G551" s="436"/>
      <c r="I551" s="40"/>
    </row>
    <row r="552" spans="7:9" ht="15.75" customHeight="1" x14ac:dyDescent="0.25">
      <c r="G552" s="436"/>
      <c r="I552" s="40"/>
    </row>
    <row r="553" spans="7:9" ht="15.75" customHeight="1" x14ac:dyDescent="0.25">
      <c r="G553" s="436"/>
      <c r="I553" s="40"/>
    </row>
    <row r="554" spans="7:9" ht="15.75" customHeight="1" x14ac:dyDescent="0.25">
      <c r="G554" s="436"/>
      <c r="I554" s="40"/>
    </row>
    <row r="555" spans="7:9" ht="15.75" customHeight="1" x14ac:dyDescent="0.25">
      <c r="G555" s="436"/>
      <c r="I555" s="40"/>
    </row>
    <row r="556" spans="7:9" ht="15.75" customHeight="1" x14ac:dyDescent="0.25">
      <c r="G556" s="436"/>
      <c r="I556" s="40"/>
    </row>
    <row r="557" spans="7:9" ht="15.75" customHeight="1" x14ac:dyDescent="0.25">
      <c r="G557" s="436"/>
      <c r="I557" s="40"/>
    </row>
    <row r="558" spans="7:9" ht="15.75" customHeight="1" x14ac:dyDescent="0.25">
      <c r="G558" s="436"/>
      <c r="I558" s="40"/>
    </row>
    <row r="559" spans="7:9" ht="15.75" customHeight="1" x14ac:dyDescent="0.25">
      <c r="G559" s="436"/>
      <c r="I559" s="40"/>
    </row>
    <row r="560" spans="7:9" ht="15.75" customHeight="1" x14ac:dyDescent="0.25">
      <c r="G560" s="436"/>
      <c r="I560" s="40"/>
    </row>
    <row r="561" spans="7:9" ht="15.75" customHeight="1" x14ac:dyDescent="0.25">
      <c r="G561" s="436"/>
      <c r="I561" s="40"/>
    </row>
    <row r="562" spans="7:9" ht="15.75" customHeight="1" x14ac:dyDescent="0.25">
      <c r="G562" s="436"/>
      <c r="I562" s="40"/>
    </row>
    <row r="563" spans="7:9" ht="15.75" customHeight="1" x14ac:dyDescent="0.25">
      <c r="G563" s="436"/>
      <c r="I563" s="40"/>
    </row>
    <row r="564" spans="7:9" ht="15.75" customHeight="1" x14ac:dyDescent="0.25">
      <c r="G564" s="436"/>
      <c r="I564" s="40"/>
    </row>
    <row r="565" spans="7:9" ht="15.75" customHeight="1" x14ac:dyDescent="0.25">
      <c r="G565" s="436"/>
      <c r="I565" s="40"/>
    </row>
    <row r="566" spans="7:9" ht="15.75" customHeight="1" x14ac:dyDescent="0.25">
      <c r="G566" s="436"/>
      <c r="I566" s="40"/>
    </row>
    <row r="567" spans="7:9" ht="15.75" customHeight="1" x14ac:dyDescent="0.25">
      <c r="G567" s="436"/>
      <c r="I567" s="40"/>
    </row>
    <row r="568" spans="7:9" ht="15.75" customHeight="1" x14ac:dyDescent="0.25">
      <c r="G568" s="436"/>
      <c r="I568" s="40"/>
    </row>
    <row r="569" spans="7:9" ht="15.75" customHeight="1" x14ac:dyDescent="0.25">
      <c r="G569" s="436"/>
      <c r="I569" s="40"/>
    </row>
    <row r="570" spans="7:9" ht="15.75" customHeight="1" x14ac:dyDescent="0.25">
      <c r="G570" s="436"/>
      <c r="I570" s="40"/>
    </row>
    <row r="571" spans="7:9" ht="15.75" customHeight="1" x14ac:dyDescent="0.25">
      <c r="G571" s="436"/>
      <c r="I571" s="40"/>
    </row>
    <row r="572" spans="7:9" ht="15.75" customHeight="1" x14ac:dyDescent="0.25">
      <c r="G572" s="436"/>
      <c r="I572" s="40"/>
    </row>
    <row r="573" spans="7:9" ht="15.75" customHeight="1" x14ac:dyDescent="0.25">
      <c r="G573" s="436"/>
      <c r="I573" s="40"/>
    </row>
    <row r="574" spans="7:9" ht="15.75" customHeight="1" x14ac:dyDescent="0.25">
      <c r="G574" s="436"/>
      <c r="I574" s="40"/>
    </row>
    <row r="575" spans="7:9" ht="15.75" customHeight="1" x14ac:dyDescent="0.25">
      <c r="G575" s="436"/>
      <c r="I575" s="40"/>
    </row>
    <row r="576" spans="7:9" ht="15.75" customHeight="1" x14ac:dyDescent="0.25">
      <c r="G576" s="436"/>
      <c r="I576" s="40"/>
    </row>
    <row r="577" spans="7:9" ht="15.75" customHeight="1" x14ac:dyDescent="0.25">
      <c r="G577" s="436"/>
      <c r="I577" s="40"/>
    </row>
    <row r="578" spans="7:9" ht="15.75" customHeight="1" x14ac:dyDescent="0.25">
      <c r="G578" s="436"/>
      <c r="I578" s="40"/>
    </row>
    <row r="579" spans="7:9" ht="15.75" customHeight="1" x14ac:dyDescent="0.25">
      <c r="G579" s="436"/>
      <c r="I579" s="40"/>
    </row>
    <row r="580" spans="7:9" ht="15.75" customHeight="1" x14ac:dyDescent="0.25">
      <c r="G580" s="436"/>
      <c r="I580" s="40"/>
    </row>
    <row r="581" spans="7:9" ht="15.75" customHeight="1" x14ac:dyDescent="0.25">
      <c r="G581" s="436"/>
      <c r="I581" s="40"/>
    </row>
    <row r="582" spans="7:9" ht="15.75" customHeight="1" x14ac:dyDescent="0.25">
      <c r="G582" s="436"/>
      <c r="I582" s="40"/>
    </row>
    <row r="583" spans="7:9" ht="15.75" customHeight="1" x14ac:dyDescent="0.25">
      <c r="G583" s="436"/>
      <c r="I583" s="40"/>
    </row>
    <row r="584" spans="7:9" ht="15.75" customHeight="1" x14ac:dyDescent="0.25">
      <c r="G584" s="436"/>
      <c r="I584" s="40"/>
    </row>
    <row r="585" spans="7:9" ht="15.75" customHeight="1" x14ac:dyDescent="0.25">
      <c r="G585" s="436"/>
      <c r="I585" s="40"/>
    </row>
    <row r="586" spans="7:9" ht="15.75" customHeight="1" x14ac:dyDescent="0.25">
      <c r="G586" s="436"/>
      <c r="I586" s="40"/>
    </row>
    <row r="587" spans="7:9" ht="15.75" customHeight="1" x14ac:dyDescent="0.25">
      <c r="G587" s="436"/>
      <c r="I587" s="40"/>
    </row>
    <row r="588" spans="7:9" ht="15.75" customHeight="1" x14ac:dyDescent="0.25">
      <c r="G588" s="436"/>
      <c r="I588" s="40"/>
    </row>
    <row r="589" spans="7:9" ht="15.75" customHeight="1" x14ac:dyDescent="0.25">
      <c r="G589" s="436"/>
      <c r="I589" s="40"/>
    </row>
    <row r="590" spans="7:9" ht="15.75" customHeight="1" x14ac:dyDescent="0.25">
      <c r="G590" s="436"/>
      <c r="I590" s="40"/>
    </row>
    <row r="591" spans="7:9" ht="15.75" customHeight="1" x14ac:dyDescent="0.25">
      <c r="G591" s="436"/>
      <c r="I591" s="40"/>
    </row>
    <row r="592" spans="7:9" ht="15.75" customHeight="1" x14ac:dyDescent="0.25">
      <c r="G592" s="436"/>
      <c r="I592" s="40"/>
    </row>
    <row r="593" spans="7:9" ht="15.75" customHeight="1" x14ac:dyDescent="0.25">
      <c r="G593" s="436"/>
      <c r="I593" s="40"/>
    </row>
    <row r="594" spans="7:9" ht="15.75" customHeight="1" x14ac:dyDescent="0.25">
      <c r="G594" s="436"/>
      <c r="I594" s="40"/>
    </row>
    <row r="595" spans="7:9" ht="15.75" customHeight="1" x14ac:dyDescent="0.25">
      <c r="G595" s="436"/>
      <c r="I595" s="40"/>
    </row>
    <row r="596" spans="7:9" ht="15.75" customHeight="1" x14ac:dyDescent="0.25">
      <c r="G596" s="436"/>
      <c r="I596" s="40"/>
    </row>
    <row r="597" spans="7:9" ht="15.75" customHeight="1" x14ac:dyDescent="0.25">
      <c r="G597" s="436"/>
      <c r="I597" s="40"/>
    </row>
    <row r="598" spans="7:9" ht="15.75" customHeight="1" x14ac:dyDescent="0.25">
      <c r="G598" s="436"/>
      <c r="I598" s="40"/>
    </row>
    <row r="599" spans="7:9" ht="15.75" customHeight="1" x14ac:dyDescent="0.25">
      <c r="G599" s="436"/>
      <c r="I599" s="40"/>
    </row>
    <row r="600" spans="7:9" ht="15.75" customHeight="1" x14ac:dyDescent="0.25">
      <c r="G600" s="436"/>
      <c r="I600" s="40"/>
    </row>
    <row r="601" spans="7:9" ht="15.75" customHeight="1" x14ac:dyDescent="0.25">
      <c r="G601" s="436"/>
      <c r="I601" s="40"/>
    </row>
    <row r="602" spans="7:9" ht="15.75" customHeight="1" x14ac:dyDescent="0.25">
      <c r="G602" s="436"/>
      <c r="I602" s="40"/>
    </row>
    <row r="603" spans="7:9" ht="15.75" customHeight="1" x14ac:dyDescent="0.25">
      <c r="G603" s="436"/>
      <c r="I603" s="40"/>
    </row>
    <row r="604" spans="7:9" ht="15.75" customHeight="1" x14ac:dyDescent="0.25">
      <c r="G604" s="436"/>
      <c r="I604" s="40"/>
    </row>
    <row r="605" spans="7:9" ht="15.75" customHeight="1" x14ac:dyDescent="0.25">
      <c r="G605" s="436"/>
      <c r="I605" s="40"/>
    </row>
    <row r="606" spans="7:9" ht="15.75" customHeight="1" x14ac:dyDescent="0.25">
      <c r="G606" s="436"/>
      <c r="I606" s="40"/>
    </row>
    <row r="607" spans="7:9" ht="15.75" customHeight="1" x14ac:dyDescent="0.25">
      <c r="G607" s="436"/>
      <c r="I607" s="40"/>
    </row>
    <row r="608" spans="7:9" ht="15.75" customHeight="1" x14ac:dyDescent="0.25">
      <c r="G608" s="436"/>
      <c r="I608" s="40"/>
    </row>
    <row r="609" spans="7:9" ht="15.75" customHeight="1" x14ac:dyDescent="0.25">
      <c r="G609" s="436"/>
      <c r="I609" s="40"/>
    </row>
    <row r="610" spans="7:9" ht="15.75" customHeight="1" x14ac:dyDescent="0.25">
      <c r="G610" s="436"/>
      <c r="I610" s="40"/>
    </row>
    <row r="611" spans="7:9" ht="15.75" customHeight="1" x14ac:dyDescent="0.25">
      <c r="G611" s="436"/>
      <c r="I611" s="40"/>
    </row>
    <row r="612" spans="7:9" ht="15.75" customHeight="1" x14ac:dyDescent="0.25">
      <c r="G612" s="436"/>
      <c r="I612" s="40"/>
    </row>
    <row r="613" spans="7:9" ht="15.75" customHeight="1" x14ac:dyDescent="0.25">
      <c r="G613" s="436"/>
      <c r="I613" s="40"/>
    </row>
    <row r="614" spans="7:9" ht="15.75" customHeight="1" x14ac:dyDescent="0.25">
      <c r="G614" s="436"/>
      <c r="I614" s="40"/>
    </row>
    <row r="615" spans="7:9" ht="15.75" customHeight="1" x14ac:dyDescent="0.25">
      <c r="G615" s="436"/>
      <c r="I615" s="40"/>
    </row>
    <row r="616" spans="7:9" ht="15.75" customHeight="1" x14ac:dyDescent="0.25">
      <c r="G616" s="436"/>
      <c r="I616" s="40"/>
    </row>
    <row r="617" spans="7:9" ht="15.75" customHeight="1" x14ac:dyDescent="0.25">
      <c r="G617" s="436"/>
      <c r="I617" s="40"/>
    </row>
    <row r="618" spans="7:9" ht="15.75" customHeight="1" x14ac:dyDescent="0.25">
      <c r="G618" s="436"/>
      <c r="I618" s="40"/>
    </row>
    <row r="619" spans="7:9" ht="15.75" customHeight="1" x14ac:dyDescent="0.25">
      <c r="G619" s="436"/>
      <c r="I619" s="40"/>
    </row>
    <row r="620" spans="7:9" ht="15.75" customHeight="1" x14ac:dyDescent="0.25">
      <c r="G620" s="436"/>
      <c r="I620" s="40"/>
    </row>
    <row r="621" spans="7:9" ht="15.75" customHeight="1" x14ac:dyDescent="0.25">
      <c r="G621" s="436"/>
      <c r="I621" s="40"/>
    </row>
    <row r="622" spans="7:9" ht="15.75" customHeight="1" x14ac:dyDescent="0.25">
      <c r="G622" s="436"/>
      <c r="I622" s="40"/>
    </row>
    <row r="623" spans="7:9" ht="15.75" customHeight="1" x14ac:dyDescent="0.25">
      <c r="G623" s="436"/>
      <c r="I623" s="40"/>
    </row>
    <row r="624" spans="7:9" ht="15.75" customHeight="1" x14ac:dyDescent="0.25">
      <c r="G624" s="436"/>
      <c r="I624" s="40"/>
    </row>
    <row r="625" spans="7:9" ht="15.75" customHeight="1" x14ac:dyDescent="0.25">
      <c r="G625" s="436"/>
      <c r="I625" s="40"/>
    </row>
    <row r="626" spans="7:9" ht="15.75" customHeight="1" x14ac:dyDescent="0.25">
      <c r="G626" s="436"/>
      <c r="I626" s="40"/>
    </row>
    <row r="627" spans="7:9" ht="15.75" customHeight="1" x14ac:dyDescent="0.25">
      <c r="G627" s="436"/>
      <c r="I627" s="40"/>
    </row>
    <row r="628" spans="7:9" ht="15.75" customHeight="1" x14ac:dyDescent="0.25">
      <c r="G628" s="436"/>
      <c r="I628" s="40"/>
    </row>
    <row r="629" spans="7:9" ht="15.75" customHeight="1" x14ac:dyDescent="0.25">
      <c r="G629" s="436"/>
      <c r="I629" s="40"/>
    </row>
    <row r="630" spans="7:9" ht="15.75" customHeight="1" x14ac:dyDescent="0.25">
      <c r="G630" s="436"/>
      <c r="I630" s="40"/>
    </row>
    <row r="631" spans="7:9" ht="15.75" customHeight="1" x14ac:dyDescent="0.25">
      <c r="G631" s="436"/>
      <c r="I631" s="40"/>
    </row>
    <row r="632" spans="7:9" ht="15.75" customHeight="1" x14ac:dyDescent="0.25">
      <c r="G632" s="436"/>
      <c r="I632" s="40"/>
    </row>
    <row r="633" spans="7:9" ht="15.75" customHeight="1" x14ac:dyDescent="0.25">
      <c r="G633" s="436"/>
      <c r="I633" s="40"/>
    </row>
    <row r="634" spans="7:9" ht="15.75" customHeight="1" x14ac:dyDescent="0.25">
      <c r="G634" s="436"/>
      <c r="I634" s="40"/>
    </row>
    <row r="635" spans="7:9" ht="15.75" customHeight="1" x14ac:dyDescent="0.25">
      <c r="G635" s="436"/>
      <c r="I635" s="40"/>
    </row>
    <row r="636" spans="7:9" ht="15.75" customHeight="1" x14ac:dyDescent="0.25">
      <c r="G636" s="436"/>
      <c r="I636" s="40"/>
    </row>
    <row r="637" spans="7:9" ht="15.75" customHeight="1" x14ac:dyDescent="0.25">
      <c r="G637" s="436"/>
      <c r="I637" s="40"/>
    </row>
    <row r="638" spans="7:9" ht="15.75" customHeight="1" x14ac:dyDescent="0.25">
      <c r="G638" s="436"/>
      <c r="I638" s="40"/>
    </row>
    <row r="639" spans="7:9" ht="15.75" customHeight="1" x14ac:dyDescent="0.25">
      <c r="G639" s="436"/>
      <c r="I639" s="40"/>
    </row>
    <row r="640" spans="7:9" ht="15.75" customHeight="1" x14ac:dyDescent="0.25">
      <c r="G640" s="436"/>
      <c r="I640" s="40"/>
    </row>
    <row r="641" spans="7:9" ht="15.75" customHeight="1" x14ac:dyDescent="0.25">
      <c r="G641" s="436"/>
      <c r="I641" s="40"/>
    </row>
    <row r="642" spans="7:9" ht="15.75" customHeight="1" x14ac:dyDescent="0.25">
      <c r="G642" s="436"/>
      <c r="I642" s="40"/>
    </row>
    <row r="643" spans="7:9" ht="15.75" customHeight="1" x14ac:dyDescent="0.25">
      <c r="G643" s="436"/>
      <c r="I643" s="40"/>
    </row>
    <row r="644" spans="7:9" ht="15.75" customHeight="1" x14ac:dyDescent="0.25">
      <c r="G644" s="436"/>
      <c r="I644" s="40"/>
    </row>
    <row r="645" spans="7:9" ht="15.75" customHeight="1" x14ac:dyDescent="0.25">
      <c r="G645" s="436"/>
      <c r="I645" s="40"/>
    </row>
    <row r="646" spans="7:9" ht="15.75" customHeight="1" x14ac:dyDescent="0.25">
      <c r="G646" s="436"/>
      <c r="I646" s="40"/>
    </row>
    <row r="647" spans="7:9" ht="15.75" customHeight="1" x14ac:dyDescent="0.25">
      <c r="G647" s="436"/>
      <c r="I647" s="40"/>
    </row>
    <row r="648" spans="7:9" ht="15.75" customHeight="1" x14ac:dyDescent="0.25">
      <c r="G648" s="436"/>
      <c r="I648" s="40"/>
    </row>
    <row r="649" spans="7:9" ht="15.75" customHeight="1" x14ac:dyDescent="0.25">
      <c r="G649" s="436"/>
      <c r="I649" s="40"/>
    </row>
    <row r="650" spans="7:9" ht="15.75" customHeight="1" x14ac:dyDescent="0.25">
      <c r="G650" s="436"/>
      <c r="I650" s="40"/>
    </row>
    <row r="651" spans="7:9" ht="15.75" customHeight="1" x14ac:dyDescent="0.25">
      <c r="G651" s="436"/>
      <c r="I651" s="40"/>
    </row>
    <row r="652" spans="7:9" ht="15.75" customHeight="1" x14ac:dyDescent="0.25">
      <c r="G652" s="436"/>
      <c r="I652" s="40"/>
    </row>
    <row r="653" spans="7:9" ht="15.75" customHeight="1" x14ac:dyDescent="0.25">
      <c r="G653" s="436"/>
      <c r="I653" s="40"/>
    </row>
    <row r="654" spans="7:9" ht="15.75" customHeight="1" x14ac:dyDescent="0.25">
      <c r="G654" s="436"/>
      <c r="I654" s="40"/>
    </row>
    <row r="655" spans="7:9" ht="15.75" customHeight="1" x14ac:dyDescent="0.25">
      <c r="G655" s="436"/>
      <c r="I655" s="40"/>
    </row>
    <row r="656" spans="7:9" ht="15.75" customHeight="1" x14ac:dyDescent="0.25">
      <c r="G656" s="436"/>
      <c r="I656" s="40"/>
    </row>
    <row r="657" spans="7:9" ht="15.75" customHeight="1" x14ac:dyDescent="0.25">
      <c r="G657" s="436"/>
      <c r="I657" s="40"/>
    </row>
    <row r="658" spans="7:9" ht="15.75" customHeight="1" x14ac:dyDescent="0.25">
      <c r="G658" s="436"/>
      <c r="I658" s="40"/>
    </row>
    <row r="659" spans="7:9" ht="15.75" customHeight="1" x14ac:dyDescent="0.25">
      <c r="G659" s="436"/>
      <c r="I659" s="40"/>
    </row>
    <row r="660" spans="7:9" ht="15.75" customHeight="1" x14ac:dyDescent="0.25">
      <c r="G660" s="436"/>
      <c r="I660" s="40"/>
    </row>
    <row r="661" spans="7:9" ht="15.75" customHeight="1" x14ac:dyDescent="0.25">
      <c r="G661" s="436"/>
      <c r="I661" s="40"/>
    </row>
    <row r="662" spans="7:9" ht="15.75" customHeight="1" x14ac:dyDescent="0.25">
      <c r="G662" s="436"/>
      <c r="I662" s="40"/>
    </row>
    <row r="663" spans="7:9" ht="15.75" customHeight="1" x14ac:dyDescent="0.25">
      <c r="G663" s="436"/>
      <c r="I663" s="40"/>
    </row>
    <row r="664" spans="7:9" ht="15.75" customHeight="1" x14ac:dyDescent="0.25">
      <c r="G664" s="436"/>
      <c r="I664" s="40"/>
    </row>
    <row r="665" spans="7:9" ht="15.75" customHeight="1" x14ac:dyDescent="0.25">
      <c r="G665" s="436"/>
      <c r="I665" s="40"/>
    </row>
    <row r="666" spans="7:9" ht="15.75" customHeight="1" x14ac:dyDescent="0.25">
      <c r="G666" s="436"/>
      <c r="I666" s="40"/>
    </row>
    <row r="667" spans="7:9" ht="15.75" customHeight="1" x14ac:dyDescent="0.25">
      <c r="G667" s="436"/>
      <c r="I667" s="40"/>
    </row>
    <row r="668" spans="7:9" ht="15.75" customHeight="1" x14ac:dyDescent="0.25">
      <c r="G668" s="436"/>
      <c r="I668" s="40"/>
    </row>
    <row r="669" spans="7:9" ht="15.75" customHeight="1" x14ac:dyDescent="0.25">
      <c r="G669" s="436"/>
      <c r="I669" s="40"/>
    </row>
    <row r="670" spans="7:9" ht="15.75" customHeight="1" x14ac:dyDescent="0.25">
      <c r="G670" s="436"/>
      <c r="I670" s="40"/>
    </row>
    <row r="671" spans="7:9" ht="15.75" customHeight="1" x14ac:dyDescent="0.25">
      <c r="G671" s="436"/>
      <c r="I671" s="40"/>
    </row>
    <row r="672" spans="7:9" ht="15.75" customHeight="1" x14ac:dyDescent="0.25">
      <c r="G672" s="436"/>
      <c r="I672" s="40"/>
    </row>
    <row r="673" spans="7:9" ht="15.75" customHeight="1" x14ac:dyDescent="0.25">
      <c r="G673" s="436"/>
      <c r="I673" s="40"/>
    </row>
    <row r="674" spans="7:9" ht="15.75" customHeight="1" x14ac:dyDescent="0.25">
      <c r="G674" s="436"/>
      <c r="I674" s="40"/>
    </row>
    <row r="675" spans="7:9" ht="15.75" customHeight="1" x14ac:dyDescent="0.25">
      <c r="G675" s="436"/>
      <c r="I675" s="40"/>
    </row>
    <row r="676" spans="7:9" ht="15.75" customHeight="1" x14ac:dyDescent="0.25">
      <c r="G676" s="436"/>
      <c r="I676" s="40"/>
    </row>
    <row r="677" spans="7:9" ht="15.75" customHeight="1" x14ac:dyDescent="0.25">
      <c r="G677" s="436"/>
      <c r="I677" s="40"/>
    </row>
    <row r="678" spans="7:9" ht="15.75" customHeight="1" x14ac:dyDescent="0.25">
      <c r="G678" s="436"/>
      <c r="I678" s="40"/>
    </row>
    <row r="679" spans="7:9" ht="15.75" customHeight="1" x14ac:dyDescent="0.25">
      <c r="G679" s="436"/>
      <c r="I679" s="40"/>
    </row>
    <row r="680" spans="7:9" ht="15.75" customHeight="1" x14ac:dyDescent="0.25">
      <c r="G680" s="436"/>
      <c r="I680" s="40"/>
    </row>
    <row r="681" spans="7:9" ht="15.75" customHeight="1" x14ac:dyDescent="0.25">
      <c r="G681" s="436"/>
      <c r="I681" s="40"/>
    </row>
    <row r="682" spans="7:9" ht="15.75" customHeight="1" x14ac:dyDescent="0.25">
      <c r="G682" s="436"/>
      <c r="I682" s="40"/>
    </row>
    <row r="683" spans="7:9" ht="15.75" customHeight="1" x14ac:dyDescent="0.25">
      <c r="G683" s="436"/>
      <c r="I683" s="40"/>
    </row>
    <row r="684" spans="7:9" ht="15.75" customHeight="1" x14ac:dyDescent="0.25">
      <c r="G684" s="436"/>
      <c r="I684" s="40"/>
    </row>
    <row r="685" spans="7:9" ht="15.75" customHeight="1" x14ac:dyDescent="0.25">
      <c r="G685" s="436"/>
      <c r="I685" s="40"/>
    </row>
    <row r="686" spans="7:9" ht="15.75" customHeight="1" x14ac:dyDescent="0.25">
      <c r="G686" s="436"/>
      <c r="I686" s="40"/>
    </row>
    <row r="687" spans="7:9" ht="15.75" customHeight="1" x14ac:dyDescent="0.25">
      <c r="G687" s="436"/>
      <c r="I687" s="40"/>
    </row>
    <row r="688" spans="7:9" ht="15.75" customHeight="1" x14ac:dyDescent="0.25">
      <c r="G688" s="436"/>
      <c r="I688" s="40"/>
    </row>
    <row r="689" spans="7:9" ht="15.75" customHeight="1" x14ac:dyDescent="0.25">
      <c r="G689" s="436"/>
      <c r="I689" s="40"/>
    </row>
    <row r="690" spans="7:9" ht="15.75" customHeight="1" x14ac:dyDescent="0.25">
      <c r="G690" s="436"/>
      <c r="I690" s="40"/>
    </row>
    <row r="691" spans="7:9" ht="15.75" customHeight="1" x14ac:dyDescent="0.25">
      <c r="G691" s="436"/>
      <c r="I691" s="40"/>
    </row>
    <row r="692" spans="7:9" ht="15.75" customHeight="1" x14ac:dyDescent="0.25">
      <c r="G692" s="436"/>
      <c r="I692" s="40"/>
    </row>
    <row r="693" spans="7:9" ht="15.75" customHeight="1" x14ac:dyDescent="0.25">
      <c r="G693" s="436"/>
      <c r="I693" s="40"/>
    </row>
    <row r="694" spans="7:9" ht="15.75" customHeight="1" x14ac:dyDescent="0.25">
      <c r="G694" s="436"/>
      <c r="I694" s="40"/>
    </row>
    <row r="695" spans="7:9" ht="15.75" customHeight="1" x14ac:dyDescent="0.25">
      <c r="G695" s="436"/>
      <c r="I695" s="40"/>
    </row>
    <row r="696" spans="7:9" ht="15.75" customHeight="1" x14ac:dyDescent="0.25">
      <c r="G696" s="436"/>
      <c r="I696" s="40"/>
    </row>
    <row r="697" spans="7:9" ht="15.75" customHeight="1" x14ac:dyDescent="0.25">
      <c r="G697" s="436"/>
      <c r="I697" s="40"/>
    </row>
    <row r="698" spans="7:9" ht="15.75" customHeight="1" x14ac:dyDescent="0.25">
      <c r="G698" s="436"/>
      <c r="I698" s="40"/>
    </row>
    <row r="699" spans="7:9" ht="15.75" customHeight="1" x14ac:dyDescent="0.25">
      <c r="G699" s="436"/>
      <c r="I699" s="40"/>
    </row>
    <row r="700" spans="7:9" ht="15.75" customHeight="1" x14ac:dyDescent="0.25">
      <c r="G700" s="436"/>
      <c r="I700" s="40"/>
    </row>
    <row r="701" spans="7:9" ht="15.75" customHeight="1" x14ac:dyDescent="0.25">
      <c r="G701" s="436"/>
      <c r="I701" s="40"/>
    </row>
    <row r="702" spans="7:9" ht="15.75" customHeight="1" x14ac:dyDescent="0.25">
      <c r="G702" s="436"/>
      <c r="I702" s="40"/>
    </row>
    <row r="703" spans="7:9" ht="15.75" customHeight="1" x14ac:dyDescent="0.25">
      <c r="G703" s="436"/>
      <c r="I703" s="40"/>
    </row>
    <row r="704" spans="7:9" ht="15.75" customHeight="1" x14ac:dyDescent="0.25">
      <c r="G704" s="436"/>
      <c r="I704" s="40"/>
    </row>
    <row r="705" spans="7:9" ht="15.75" customHeight="1" x14ac:dyDescent="0.25">
      <c r="G705" s="436"/>
      <c r="I705" s="40"/>
    </row>
    <row r="706" spans="7:9" ht="15.75" customHeight="1" x14ac:dyDescent="0.25">
      <c r="G706" s="436"/>
      <c r="I706" s="40"/>
    </row>
    <row r="707" spans="7:9" ht="15.75" customHeight="1" x14ac:dyDescent="0.25">
      <c r="G707" s="436"/>
      <c r="I707" s="40"/>
    </row>
    <row r="708" spans="7:9" ht="15.75" customHeight="1" x14ac:dyDescent="0.25">
      <c r="G708" s="436"/>
      <c r="I708" s="40"/>
    </row>
    <row r="709" spans="7:9" ht="15.75" customHeight="1" x14ac:dyDescent="0.25">
      <c r="G709" s="436"/>
      <c r="I709" s="40"/>
    </row>
    <row r="710" spans="7:9" ht="15.75" customHeight="1" x14ac:dyDescent="0.25">
      <c r="G710" s="436"/>
      <c r="I710" s="40"/>
    </row>
    <row r="711" spans="7:9" ht="15.75" customHeight="1" x14ac:dyDescent="0.25">
      <c r="G711" s="436"/>
      <c r="I711" s="40"/>
    </row>
    <row r="712" spans="7:9" ht="15.75" customHeight="1" x14ac:dyDescent="0.25">
      <c r="G712" s="436"/>
      <c r="I712" s="40"/>
    </row>
    <row r="713" spans="7:9" ht="15.75" customHeight="1" x14ac:dyDescent="0.25">
      <c r="G713" s="436"/>
      <c r="I713" s="40"/>
    </row>
    <row r="714" spans="7:9" ht="15.75" customHeight="1" x14ac:dyDescent="0.25">
      <c r="G714" s="436"/>
      <c r="I714" s="40"/>
    </row>
    <row r="715" spans="7:9" ht="15.75" customHeight="1" x14ac:dyDescent="0.25">
      <c r="G715" s="436"/>
      <c r="I715" s="40"/>
    </row>
    <row r="716" spans="7:9" ht="15.75" customHeight="1" x14ac:dyDescent="0.25">
      <c r="G716" s="436"/>
      <c r="I716" s="40"/>
    </row>
    <row r="717" spans="7:9" ht="15.75" customHeight="1" x14ac:dyDescent="0.25">
      <c r="G717" s="436"/>
      <c r="I717" s="40"/>
    </row>
    <row r="718" spans="7:9" ht="15.75" customHeight="1" x14ac:dyDescent="0.25">
      <c r="G718" s="436"/>
      <c r="I718" s="40"/>
    </row>
    <row r="719" spans="7:9" ht="15.75" customHeight="1" x14ac:dyDescent="0.25">
      <c r="G719" s="436"/>
      <c r="I719" s="40"/>
    </row>
    <row r="720" spans="7:9" ht="15.75" customHeight="1" x14ac:dyDescent="0.25">
      <c r="G720" s="436"/>
      <c r="I720" s="40"/>
    </row>
    <row r="721" spans="7:9" ht="15.75" customHeight="1" x14ac:dyDescent="0.25">
      <c r="G721" s="436"/>
      <c r="I721" s="40"/>
    </row>
    <row r="722" spans="7:9" ht="15.75" customHeight="1" x14ac:dyDescent="0.25">
      <c r="G722" s="436"/>
      <c r="I722" s="40"/>
    </row>
    <row r="723" spans="7:9" ht="15.75" customHeight="1" x14ac:dyDescent="0.25">
      <c r="G723" s="436"/>
      <c r="I723" s="40"/>
    </row>
    <row r="724" spans="7:9" ht="15.75" customHeight="1" x14ac:dyDescent="0.25">
      <c r="G724" s="436"/>
      <c r="I724" s="40"/>
    </row>
    <row r="725" spans="7:9" ht="15.75" customHeight="1" x14ac:dyDescent="0.25">
      <c r="G725" s="436"/>
      <c r="I725" s="40"/>
    </row>
    <row r="726" spans="7:9" ht="15.75" customHeight="1" x14ac:dyDescent="0.25">
      <c r="G726" s="436"/>
      <c r="I726" s="40"/>
    </row>
    <row r="727" spans="7:9" ht="15.75" customHeight="1" x14ac:dyDescent="0.25">
      <c r="G727" s="436"/>
      <c r="I727" s="40"/>
    </row>
    <row r="728" spans="7:9" ht="15.75" customHeight="1" x14ac:dyDescent="0.25">
      <c r="G728" s="436"/>
      <c r="I728" s="40"/>
    </row>
    <row r="729" spans="7:9" ht="15.75" customHeight="1" x14ac:dyDescent="0.25">
      <c r="G729" s="436"/>
      <c r="I729" s="40"/>
    </row>
    <row r="730" spans="7:9" ht="15.75" customHeight="1" x14ac:dyDescent="0.25">
      <c r="G730" s="436"/>
      <c r="I730" s="40"/>
    </row>
    <row r="731" spans="7:9" ht="15.75" customHeight="1" x14ac:dyDescent="0.25">
      <c r="G731" s="436"/>
      <c r="I731" s="40"/>
    </row>
    <row r="732" spans="7:9" ht="15.75" customHeight="1" x14ac:dyDescent="0.25">
      <c r="G732" s="436"/>
      <c r="I732" s="40"/>
    </row>
    <row r="733" spans="7:9" ht="15.75" customHeight="1" x14ac:dyDescent="0.25">
      <c r="G733" s="436"/>
      <c r="I733" s="40"/>
    </row>
    <row r="734" spans="7:9" ht="15.75" customHeight="1" x14ac:dyDescent="0.25">
      <c r="G734" s="436"/>
      <c r="I734" s="40"/>
    </row>
    <row r="735" spans="7:9" ht="15.75" customHeight="1" x14ac:dyDescent="0.25">
      <c r="G735" s="436"/>
      <c r="I735" s="40"/>
    </row>
    <row r="736" spans="7:9" ht="15.75" customHeight="1" x14ac:dyDescent="0.25">
      <c r="G736" s="436"/>
      <c r="I736" s="40"/>
    </row>
    <row r="737" spans="7:9" ht="15.75" customHeight="1" x14ac:dyDescent="0.25">
      <c r="G737" s="436"/>
      <c r="I737" s="40"/>
    </row>
    <row r="738" spans="7:9" ht="15.75" customHeight="1" x14ac:dyDescent="0.25">
      <c r="G738" s="436"/>
      <c r="I738" s="40"/>
    </row>
    <row r="739" spans="7:9" ht="15.75" customHeight="1" x14ac:dyDescent="0.25">
      <c r="G739" s="436"/>
      <c r="I739" s="40"/>
    </row>
    <row r="740" spans="7:9" ht="15.75" customHeight="1" x14ac:dyDescent="0.25">
      <c r="G740" s="436"/>
      <c r="I740" s="40"/>
    </row>
    <row r="741" spans="7:9" ht="15.75" customHeight="1" x14ac:dyDescent="0.25">
      <c r="G741" s="436"/>
      <c r="I741" s="40"/>
    </row>
    <row r="742" spans="7:9" ht="15.75" customHeight="1" x14ac:dyDescent="0.25">
      <c r="G742" s="436"/>
      <c r="I742" s="40"/>
    </row>
    <row r="743" spans="7:9" ht="15.75" customHeight="1" x14ac:dyDescent="0.25">
      <c r="G743" s="436"/>
      <c r="I743" s="40"/>
    </row>
    <row r="744" spans="7:9" ht="15.75" customHeight="1" x14ac:dyDescent="0.25">
      <c r="G744" s="436"/>
      <c r="I744" s="40"/>
    </row>
    <row r="745" spans="7:9" ht="15.75" customHeight="1" x14ac:dyDescent="0.25">
      <c r="G745" s="436"/>
      <c r="I745" s="40"/>
    </row>
    <row r="746" spans="7:9" ht="15.75" customHeight="1" x14ac:dyDescent="0.25">
      <c r="G746" s="436"/>
      <c r="I746" s="40"/>
    </row>
    <row r="747" spans="7:9" ht="15.75" customHeight="1" x14ac:dyDescent="0.25">
      <c r="G747" s="436"/>
      <c r="I747" s="40"/>
    </row>
    <row r="748" spans="7:9" ht="15.75" customHeight="1" x14ac:dyDescent="0.25">
      <c r="G748" s="436"/>
      <c r="I748" s="40"/>
    </row>
    <row r="749" spans="7:9" ht="15.75" customHeight="1" x14ac:dyDescent="0.25">
      <c r="G749" s="436"/>
      <c r="I749" s="40"/>
    </row>
    <row r="750" spans="7:9" ht="15.75" customHeight="1" x14ac:dyDescent="0.25">
      <c r="G750" s="436"/>
      <c r="I750" s="40"/>
    </row>
    <row r="751" spans="7:9" ht="15.75" customHeight="1" x14ac:dyDescent="0.25">
      <c r="G751" s="436"/>
      <c r="I751" s="40"/>
    </row>
    <row r="752" spans="7:9" ht="15.75" customHeight="1" x14ac:dyDescent="0.25">
      <c r="G752" s="436"/>
      <c r="I752" s="40"/>
    </row>
    <row r="753" spans="7:9" ht="15.75" customHeight="1" x14ac:dyDescent="0.25">
      <c r="G753" s="436"/>
      <c r="I753" s="40"/>
    </row>
    <row r="754" spans="7:9" ht="15.75" customHeight="1" x14ac:dyDescent="0.25">
      <c r="G754" s="436"/>
      <c r="I754" s="40"/>
    </row>
    <row r="755" spans="7:9" ht="15.75" customHeight="1" x14ac:dyDescent="0.25">
      <c r="G755" s="436"/>
      <c r="I755" s="40"/>
    </row>
    <row r="756" spans="7:9" ht="15.75" customHeight="1" x14ac:dyDescent="0.25">
      <c r="G756" s="436"/>
      <c r="I756" s="40"/>
    </row>
    <row r="757" spans="7:9" ht="15.75" customHeight="1" x14ac:dyDescent="0.25">
      <c r="G757" s="436"/>
      <c r="I757" s="40"/>
    </row>
    <row r="758" spans="7:9" ht="15.75" customHeight="1" x14ac:dyDescent="0.25">
      <c r="G758" s="436"/>
      <c r="I758" s="40"/>
    </row>
    <row r="759" spans="7:9" ht="15.75" customHeight="1" x14ac:dyDescent="0.25">
      <c r="G759" s="436"/>
      <c r="I759" s="40"/>
    </row>
    <row r="760" spans="7:9" ht="15.75" customHeight="1" x14ac:dyDescent="0.25">
      <c r="G760" s="436"/>
      <c r="I760" s="40"/>
    </row>
    <row r="761" spans="7:9" ht="15.75" customHeight="1" x14ac:dyDescent="0.25">
      <c r="G761" s="436"/>
      <c r="I761" s="40"/>
    </row>
    <row r="762" spans="7:9" ht="15.75" customHeight="1" x14ac:dyDescent="0.25">
      <c r="G762" s="436"/>
      <c r="I762" s="40"/>
    </row>
    <row r="763" spans="7:9" ht="15.75" customHeight="1" x14ac:dyDescent="0.25">
      <c r="G763" s="436"/>
      <c r="I763" s="40"/>
    </row>
    <row r="764" spans="7:9" ht="15.75" customHeight="1" x14ac:dyDescent="0.25">
      <c r="G764" s="436"/>
      <c r="I764" s="40"/>
    </row>
    <row r="765" spans="7:9" ht="15.75" customHeight="1" x14ac:dyDescent="0.25">
      <c r="G765" s="436"/>
      <c r="I765" s="40"/>
    </row>
    <row r="766" spans="7:9" ht="15.75" customHeight="1" x14ac:dyDescent="0.25">
      <c r="G766" s="436"/>
      <c r="I766" s="40"/>
    </row>
    <row r="767" spans="7:9" ht="15.75" customHeight="1" x14ac:dyDescent="0.25">
      <c r="G767" s="436"/>
      <c r="I767" s="40"/>
    </row>
    <row r="768" spans="7:9" ht="15.75" customHeight="1" x14ac:dyDescent="0.25">
      <c r="G768" s="436"/>
      <c r="I768" s="40"/>
    </row>
    <row r="769" spans="7:9" ht="15.75" customHeight="1" x14ac:dyDescent="0.25">
      <c r="G769" s="436"/>
      <c r="I769" s="40"/>
    </row>
    <row r="770" spans="7:9" ht="15.75" customHeight="1" x14ac:dyDescent="0.25">
      <c r="G770" s="436"/>
      <c r="I770" s="40"/>
    </row>
    <row r="771" spans="7:9" ht="15.75" customHeight="1" x14ac:dyDescent="0.25">
      <c r="G771" s="436"/>
      <c r="I771" s="40"/>
    </row>
    <row r="772" spans="7:9" ht="15.75" customHeight="1" x14ac:dyDescent="0.25">
      <c r="G772" s="436"/>
      <c r="I772" s="40"/>
    </row>
    <row r="773" spans="7:9" ht="15.75" customHeight="1" x14ac:dyDescent="0.25">
      <c r="G773" s="436"/>
      <c r="I773" s="40"/>
    </row>
    <row r="774" spans="7:9" ht="15.75" customHeight="1" x14ac:dyDescent="0.25">
      <c r="G774" s="436"/>
      <c r="I774" s="40"/>
    </row>
    <row r="775" spans="7:9" ht="15.75" customHeight="1" x14ac:dyDescent="0.25">
      <c r="G775" s="436"/>
      <c r="I775" s="40"/>
    </row>
    <row r="776" spans="7:9" ht="15.75" customHeight="1" x14ac:dyDescent="0.25">
      <c r="G776" s="436"/>
      <c r="I776" s="40"/>
    </row>
    <row r="777" spans="7:9" ht="15.75" customHeight="1" x14ac:dyDescent="0.25">
      <c r="G777" s="436"/>
      <c r="I777" s="40"/>
    </row>
    <row r="778" spans="7:9" ht="15.75" customHeight="1" x14ac:dyDescent="0.25">
      <c r="G778" s="436"/>
      <c r="I778" s="40"/>
    </row>
    <row r="779" spans="7:9" ht="15.75" customHeight="1" x14ac:dyDescent="0.25">
      <c r="G779" s="436"/>
      <c r="I779" s="40"/>
    </row>
    <row r="780" spans="7:9" ht="15.75" customHeight="1" x14ac:dyDescent="0.25">
      <c r="G780" s="436"/>
      <c r="I780" s="40"/>
    </row>
    <row r="781" spans="7:9" ht="15.75" customHeight="1" x14ac:dyDescent="0.25">
      <c r="G781" s="436"/>
      <c r="I781" s="40"/>
    </row>
    <row r="782" spans="7:9" ht="15.75" customHeight="1" x14ac:dyDescent="0.25">
      <c r="G782" s="436"/>
      <c r="I782" s="40"/>
    </row>
    <row r="783" spans="7:9" ht="15.75" customHeight="1" x14ac:dyDescent="0.25">
      <c r="G783" s="436"/>
      <c r="I783" s="40"/>
    </row>
    <row r="784" spans="7:9" ht="15.75" customHeight="1" x14ac:dyDescent="0.25">
      <c r="G784" s="436"/>
      <c r="I784" s="40"/>
    </row>
    <row r="785" spans="7:9" ht="15.75" customHeight="1" x14ac:dyDescent="0.25">
      <c r="G785" s="436"/>
      <c r="I785" s="40"/>
    </row>
    <row r="786" spans="7:9" ht="15.75" customHeight="1" x14ac:dyDescent="0.25">
      <c r="G786" s="436"/>
      <c r="I786" s="40"/>
    </row>
    <row r="787" spans="7:9" ht="15.75" customHeight="1" x14ac:dyDescent="0.25">
      <c r="G787" s="436"/>
      <c r="I787" s="40"/>
    </row>
    <row r="788" spans="7:9" ht="15.75" customHeight="1" x14ac:dyDescent="0.25">
      <c r="G788" s="436"/>
      <c r="I788" s="40"/>
    </row>
    <row r="789" spans="7:9" ht="15.75" customHeight="1" x14ac:dyDescent="0.25">
      <c r="G789" s="436"/>
      <c r="I789" s="40"/>
    </row>
    <row r="790" spans="7:9" ht="15.75" customHeight="1" x14ac:dyDescent="0.25">
      <c r="G790" s="436"/>
      <c r="I790" s="40"/>
    </row>
    <row r="791" spans="7:9" ht="15.75" customHeight="1" x14ac:dyDescent="0.25">
      <c r="G791" s="436"/>
      <c r="I791" s="40"/>
    </row>
    <row r="792" spans="7:9" ht="15.75" customHeight="1" x14ac:dyDescent="0.25">
      <c r="G792" s="436"/>
      <c r="I792" s="40"/>
    </row>
    <row r="793" spans="7:9" ht="15.75" customHeight="1" x14ac:dyDescent="0.25">
      <c r="G793" s="436"/>
      <c r="I793" s="40"/>
    </row>
    <row r="794" spans="7:9" ht="15.75" customHeight="1" x14ac:dyDescent="0.25">
      <c r="G794" s="436"/>
      <c r="I794" s="40"/>
    </row>
    <row r="795" spans="7:9" ht="15.75" customHeight="1" x14ac:dyDescent="0.25">
      <c r="G795" s="436"/>
      <c r="I795" s="40"/>
    </row>
    <row r="796" spans="7:9" ht="15.75" customHeight="1" x14ac:dyDescent="0.25">
      <c r="G796" s="436"/>
      <c r="I796" s="40"/>
    </row>
    <row r="797" spans="7:9" ht="15.75" customHeight="1" x14ac:dyDescent="0.25">
      <c r="G797" s="436"/>
      <c r="I797" s="40"/>
    </row>
    <row r="798" spans="7:9" ht="15.75" customHeight="1" x14ac:dyDescent="0.25">
      <c r="G798" s="436"/>
      <c r="I798" s="40"/>
    </row>
    <row r="799" spans="7:9" ht="15.75" customHeight="1" x14ac:dyDescent="0.25">
      <c r="G799" s="436"/>
      <c r="I799" s="40"/>
    </row>
    <row r="800" spans="7:9" ht="15.75" customHeight="1" x14ac:dyDescent="0.25">
      <c r="G800" s="436"/>
      <c r="I800" s="40"/>
    </row>
    <row r="801" spans="7:9" ht="15.75" customHeight="1" x14ac:dyDescent="0.25">
      <c r="G801" s="436"/>
      <c r="I801" s="40"/>
    </row>
    <row r="802" spans="7:9" ht="15.75" customHeight="1" x14ac:dyDescent="0.25">
      <c r="G802" s="436"/>
      <c r="I802" s="40"/>
    </row>
    <row r="803" spans="7:9" ht="15.75" customHeight="1" x14ac:dyDescent="0.25">
      <c r="G803" s="436"/>
      <c r="I803" s="40"/>
    </row>
    <row r="804" spans="7:9" ht="15.75" customHeight="1" x14ac:dyDescent="0.25">
      <c r="G804" s="436"/>
      <c r="I804" s="40"/>
    </row>
    <row r="805" spans="7:9" ht="15.75" customHeight="1" x14ac:dyDescent="0.25">
      <c r="G805" s="436"/>
      <c r="I805" s="40"/>
    </row>
    <row r="806" spans="7:9" ht="15.75" customHeight="1" x14ac:dyDescent="0.25">
      <c r="G806" s="436"/>
      <c r="I806" s="40"/>
    </row>
    <row r="807" spans="7:9" ht="15.75" customHeight="1" x14ac:dyDescent="0.25">
      <c r="G807" s="436"/>
      <c r="I807" s="40"/>
    </row>
    <row r="808" spans="7:9" ht="15.75" customHeight="1" x14ac:dyDescent="0.25">
      <c r="G808" s="436"/>
      <c r="I808" s="40"/>
    </row>
    <row r="809" spans="7:9" ht="15.75" customHeight="1" x14ac:dyDescent="0.25">
      <c r="G809" s="436"/>
      <c r="I809" s="40"/>
    </row>
    <row r="810" spans="7:9" ht="15.75" customHeight="1" x14ac:dyDescent="0.25">
      <c r="G810" s="436"/>
      <c r="I810" s="40"/>
    </row>
    <row r="811" spans="7:9" ht="15.75" customHeight="1" x14ac:dyDescent="0.25">
      <c r="G811" s="436"/>
      <c r="I811" s="40"/>
    </row>
    <row r="812" spans="7:9" ht="15.75" customHeight="1" x14ac:dyDescent="0.25">
      <c r="G812" s="436"/>
      <c r="I812" s="40"/>
    </row>
    <row r="813" spans="7:9" ht="15.75" customHeight="1" x14ac:dyDescent="0.25">
      <c r="G813" s="436"/>
      <c r="I813" s="40"/>
    </row>
    <row r="814" spans="7:9" ht="15.75" customHeight="1" x14ac:dyDescent="0.25">
      <c r="G814" s="436"/>
      <c r="I814" s="40"/>
    </row>
    <row r="815" spans="7:9" ht="15.75" customHeight="1" x14ac:dyDescent="0.25">
      <c r="G815" s="436"/>
      <c r="I815" s="40"/>
    </row>
    <row r="816" spans="7:9" ht="15.75" customHeight="1" x14ac:dyDescent="0.25">
      <c r="G816" s="436"/>
      <c r="I816" s="40"/>
    </row>
    <row r="817" spans="7:9" ht="15.75" customHeight="1" x14ac:dyDescent="0.25">
      <c r="G817" s="436"/>
      <c r="I817" s="40"/>
    </row>
    <row r="818" spans="7:9" ht="15.75" customHeight="1" x14ac:dyDescent="0.25">
      <c r="G818" s="436"/>
      <c r="I818" s="40"/>
    </row>
    <row r="819" spans="7:9" ht="15.75" customHeight="1" x14ac:dyDescent="0.25">
      <c r="G819" s="436"/>
      <c r="I819" s="40"/>
    </row>
    <row r="820" spans="7:9" ht="15.75" customHeight="1" x14ac:dyDescent="0.25">
      <c r="G820" s="436"/>
      <c r="I820" s="40"/>
    </row>
    <row r="821" spans="7:9" ht="15.75" customHeight="1" x14ac:dyDescent="0.25">
      <c r="G821" s="436"/>
      <c r="I821" s="40"/>
    </row>
    <row r="822" spans="7:9" ht="15.75" customHeight="1" x14ac:dyDescent="0.25">
      <c r="G822" s="436"/>
      <c r="I822" s="40"/>
    </row>
    <row r="823" spans="7:9" ht="15.75" customHeight="1" x14ac:dyDescent="0.25">
      <c r="G823" s="436"/>
      <c r="I823" s="40"/>
    </row>
    <row r="824" spans="7:9" ht="15.75" customHeight="1" x14ac:dyDescent="0.25">
      <c r="G824" s="436"/>
      <c r="I824" s="40"/>
    </row>
    <row r="825" spans="7:9" ht="15.75" customHeight="1" x14ac:dyDescent="0.25">
      <c r="G825" s="436"/>
      <c r="I825" s="40"/>
    </row>
    <row r="826" spans="7:9" ht="15.75" customHeight="1" x14ac:dyDescent="0.25">
      <c r="G826" s="436"/>
      <c r="I826" s="40"/>
    </row>
    <row r="827" spans="7:9" ht="15.75" customHeight="1" x14ac:dyDescent="0.25">
      <c r="G827" s="436"/>
      <c r="I827" s="40"/>
    </row>
    <row r="828" spans="7:9" ht="15.75" customHeight="1" x14ac:dyDescent="0.25">
      <c r="G828" s="436"/>
      <c r="I828" s="40"/>
    </row>
    <row r="829" spans="7:9" ht="15.75" customHeight="1" x14ac:dyDescent="0.25">
      <c r="G829" s="436"/>
      <c r="I829" s="40"/>
    </row>
    <row r="830" spans="7:9" ht="15.75" customHeight="1" x14ac:dyDescent="0.25">
      <c r="G830" s="436"/>
      <c r="I830" s="40"/>
    </row>
    <row r="831" spans="7:9" ht="15.75" customHeight="1" x14ac:dyDescent="0.25">
      <c r="G831" s="436"/>
      <c r="I831" s="40"/>
    </row>
    <row r="832" spans="7:9" ht="15.75" customHeight="1" x14ac:dyDescent="0.25">
      <c r="G832" s="436"/>
      <c r="I832" s="40"/>
    </row>
    <row r="833" spans="7:9" ht="15.75" customHeight="1" x14ac:dyDescent="0.25">
      <c r="G833" s="436"/>
      <c r="I833" s="40"/>
    </row>
    <row r="834" spans="7:9" ht="15.75" customHeight="1" x14ac:dyDescent="0.25">
      <c r="G834" s="436"/>
      <c r="I834" s="40"/>
    </row>
    <row r="835" spans="7:9" ht="15.75" customHeight="1" x14ac:dyDescent="0.25">
      <c r="G835" s="436"/>
      <c r="I835" s="40"/>
    </row>
    <row r="836" spans="7:9" ht="15.75" customHeight="1" x14ac:dyDescent="0.25">
      <c r="G836" s="436"/>
      <c r="I836" s="40"/>
    </row>
    <row r="837" spans="7:9" ht="15.75" customHeight="1" x14ac:dyDescent="0.25">
      <c r="G837" s="436"/>
      <c r="I837" s="40"/>
    </row>
    <row r="838" spans="7:9" ht="15.75" customHeight="1" x14ac:dyDescent="0.25">
      <c r="G838" s="436"/>
      <c r="I838" s="40"/>
    </row>
    <row r="839" spans="7:9" ht="15.75" customHeight="1" x14ac:dyDescent="0.25">
      <c r="G839" s="436"/>
      <c r="I839" s="40"/>
    </row>
    <row r="840" spans="7:9" ht="15.75" customHeight="1" x14ac:dyDescent="0.25">
      <c r="G840" s="436"/>
      <c r="I840" s="40"/>
    </row>
    <row r="841" spans="7:9" ht="15.75" customHeight="1" x14ac:dyDescent="0.25">
      <c r="G841" s="436"/>
      <c r="I841" s="40"/>
    </row>
    <row r="842" spans="7:9" ht="15.75" customHeight="1" x14ac:dyDescent="0.25">
      <c r="G842" s="436"/>
      <c r="I842" s="40"/>
    </row>
    <row r="843" spans="7:9" ht="15.75" customHeight="1" x14ac:dyDescent="0.25">
      <c r="G843" s="436"/>
      <c r="I843" s="40"/>
    </row>
    <row r="844" spans="7:9" ht="15.75" customHeight="1" x14ac:dyDescent="0.25">
      <c r="G844" s="436"/>
      <c r="I844" s="40"/>
    </row>
    <row r="845" spans="7:9" ht="15.75" customHeight="1" x14ac:dyDescent="0.25">
      <c r="G845" s="436"/>
      <c r="I845" s="40"/>
    </row>
    <row r="846" spans="7:9" ht="15.75" customHeight="1" x14ac:dyDescent="0.25">
      <c r="G846" s="436"/>
      <c r="I846" s="40"/>
    </row>
    <row r="847" spans="7:9" ht="15.75" customHeight="1" x14ac:dyDescent="0.25">
      <c r="G847" s="436"/>
      <c r="I847" s="40"/>
    </row>
    <row r="848" spans="7:9" ht="15.75" customHeight="1" x14ac:dyDescent="0.25">
      <c r="G848" s="436"/>
      <c r="I848" s="40"/>
    </row>
    <row r="849" spans="7:9" ht="15.75" customHeight="1" x14ac:dyDescent="0.25">
      <c r="G849" s="436"/>
      <c r="I849" s="40"/>
    </row>
    <row r="850" spans="7:9" ht="15.75" customHeight="1" x14ac:dyDescent="0.25">
      <c r="G850" s="436"/>
      <c r="I850" s="40"/>
    </row>
    <row r="851" spans="7:9" ht="15.75" customHeight="1" x14ac:dyDescent="0.25">
      <c r="G851" s="436"/>
      <c r="I851" s="40"/>
    </row>
    <row r="852" spans="7:9" ht="15.75" customHeight="1" x14ac:dyDescent="0.25">
      <c r="G852" s="436"/>
      <c r="I852" s="40"/>
    </row>
    <row r="853" spans="7:9" ht="15.75" customHeight="1" x14ac:dyDescent="0.25">
      <c r="G853" s="436"/>
      <c r="I853" s="40"/>
    </row>
    <row r="854" spans="7:9" ht="15.75" customHeight="1" x14ac:dyDescent="0.25">
      <c r="G854" s="436"/>
      <c r="I854" s="40"/>
    </row>
    <row r="855" spans="7:9" ht="15.75" customHeight="1" x14ac:dyDescent="0.25">
      <c r="G855" s="436"/>
      <c r="I855" s="40"/>
    </row>
    <row r="856" spans="7:9" ht="15.75" customHeight="1" x14ac:dyDescent="0.25">
      <c r="G856" s="436"/>
      <c r="I856" s="40"/>
    </row>
    <row r="857" spans="7:9" ht="15.75" customHeight="1" x14ac:dyDescent="0.25">
      <c r="G857" s="436"/>
      <c r="I857" s="40"/>
    </row>
    <row r="858" spans="7:9" ht="15.75" customHeight="1" x14ac:dyDescent="0.25">
      <c r="G858" s="436"/>
      <c r="I858" s="40"/>
    </row>
    <row r="859" spans="7:9" ht="15.75" customHeight="1" x14ac:dyDescent="0.25">
      <c r="G859" s="436"/>
      <c r="I859" s="40"/>
    </row>
    <row r="860" spans="7:9" ht="15.75" customHeight="1" x14ac:dyDescent="0.25">
      <c r="G860" s="436"/>
      <c r="I860" s="40"/>
    </row>
    <row r="861" spans="7:9" ht="15.75" customHeight="1" x14ac:dyDescent="0.25">
      <c r="G861" s="436"/>
      <c r="I861" s="40"/>
    </row>
    <row r="862" spans="7:9" ht="15.75" customHeight="1" x14ac:dyDescent="0.25">
      <c r="G862" s="436"/>
      <c r="I862" s="40"/>
    </row>
    <row r="863" spans="7:9" ht="15.75" customHeight="1" x14ac:dyDescent="0.25">
      <c r="G863" s="436"/>
      <c r="I863" s="40"/>
    </row>
    <row r="864" spans="7:9" ht="15.75" customHeight="1" x14ac:dyDescent="0.25">
      <c r="G864" s="436"/>
      <c r="I864" s="40"/>
    </row>
    <row r="865" spans="7:9" ht="15.75" customHeight="1" x14ac:dyDescent="0.25">
      <c r="G865" s="436"/>
      <c r="I865" s="40"/>
    </row>
    <row r="866" spans="7:9" ht="15.75" customHeight="1" x14ac:dyDescent="0.25">
      <c r="G866" s="436"/>
      <c r="I866" s="40"/>
    </row>
    <row r="867" spans="7:9" ht="15.75" customHeight="1" x14ac:dyDescent="0.25">
      <c r="G867" s="436"/>
      <c r="I867" s="40"/>
    </row>
    <row r="868" spans="7:9" ht="15.75" customHeight="1" x14ac:dyDescent="0.25">
      <c r="G868" s="436"/>
      <c r="I868" s="40"/>
    </row>
    <row r="869" spans="7:9" ht="15.75" customHeight="1" x14ac:dyDescent="0.25">
      <c r="G869" s="436"/>
      <c r="I869" s="40"/>
    </row>
    <row r="870" spans="7:9" ht="15.75" customHeight="1" x14ac:dyDescent="0.25">
      <c r="G870" s="436"/>
      <c r="I870" s="40"/>
    </row>
    <row r="871" spans="7:9" ht="15.75" customHeight="1" x14ac:dyDescent="0.25">
      <c r="G871" s="436"/>
      <c r="I871" s="40"/>
    </row>
    <row r="872" spans="7:9" ht="15.75" customHeight="1" x14ac:dyDescent="0.25">
      <c r="G872" s="436"/>
      <c r="I872" s="40"/>
    </row>
    <row r="873" spans="7:9" ht="15.75" customHeight="1" x14ac:dyDescent="0.25">
      <c r="G873" s="436"/>
      <c r="I873" s="40"/>
    </row>
    <row r="874" spans="7:9" ht="15.75" customHeight="1" x14ac:dyDescent="0.25">
      <c r="G874" s="436"/>
      <c r="I874" s="40"/>
    </row>
    <row r="875" spans="7:9" ht="15.75" customHeight="1" x14ac:dyDescent="0.25">
      <c r="G875" s="436"/>
      <c r="I875" s="40"/>
    </row>
    <row r="876" spans="7:9" ht="15.75" customHeight="1" x14ac:dyDescent="0.25">
      <c r="G876" s="436"/>
      <c r="I876" s="40"/>
    </row>
    <row r="877" spans="7:9" ht="15.75" customHeight="1" x14ac:dyDescent="0.25">
      <c r="G877" s="436"/>
      <c r="I877" s="40"/>
    </row>
    <row r="878" spans="7:9" ht="15.75" customHeight="1" x14ac:dyDescent="0.25">
      <c r="G878" s="436"/>
      <c r="I878" s="40"/>
    </row>
    <row r="879" spans="7:9" ht="15.75" customHeight="1" x14ac:dyDescent="0.25">
      <c r="G879" s="436"/>
      <c r="I879" s="40"/>
    </row>
    <row r="880" spans="7:9" ht="15.75" customHeight="1" x14ac:dyDescent="0.25">
      <c r="G880" s="436"/>
      <c r="I880" s="40"/>
    </row>
    <row r="881" spans="7:9" ht="15.75" customHeight="1" x14ac:dyDescent="0.25">
      <c r="G881" s="436"/>
      <c r="I881" s="40"/>
    </row>
    <row r="882" spans="7:9" ht="15.75" customHeight="1" x14ac:dyDescent="0.25">
      <c r="G882" s="436"/>
      <c r="I882" s="40"/>
    </row>
    <row r="883" spans="7:9" ht="15.75" customHeight="1" x14ac:dyDescent="0.25">
      <c r="G883" s="436"/>
      <c r="I883" s="40"/>
    </row>
    <row r="884" spans="7:9" ht="15.75" customHeight="1" x14ac:dyDescent="0.25">
      <c r="G884" s="436"/>
      <c r="I884" s="40"/>
    </row>
    <row r="885" spans="7:9" ht="15.75" customHeight="1" x14ac:dyDescent="0.25">
      <c r="G885" s="436"/>
      <c r="I885" s="40"/>
    </row>
    <row r="886" spans="7:9" ht="15.75" customHeight="1" x14ac:dyDescent="0.25">
      <c r="G886" s="436"/>
      <c r="I886" s="40"/>
    </row>
    <row r="887" spans="7:9" ht="15.75" customHeight="1" x14ac:dyDescent="0.25">
      <c r="G887" s="436"/>
      <c r="I887" s="40"/>
    </row>
    <row r="888" spans="7:9" ht="15.75" customHeight="1" x14ac:dyDescent="0.25">
      <c r="G888" s="436"/>
      <c r="I888" s="40"/>
    </row>
    <row r="889" spans="7:9" ht="15.75" customHeight="1" x14ac:dyDescent="0.25">
      <c r="G889" s="436"/>
      <c r="I889" s="40"/>
    </row>
    <row r="890" spans="7:9" ht="15.75" customHeight="1" x14ac:dyDescent="0.25">
      <c r="G890" s="436"/>
      <c r="I890" s="40"/>
    </row>
    <row r="891" spans="7:9" ht="15.75" customHeight="1" x14ac:dyDescent="0.25">
      <c r="G891" s="436"/>
      <c r="I891" s="40"/>
    </row>
    <row r="892" spans="7:9" ht="15.75" customHeight="1" x14ac:dyDescent="0.25">
      <c r="G892" s="436"/>
      <c r="I892" s="40"/>
    </row>
    <row r="893" spans="7:9" ht="15.75" customHeight="1" x14ac:dyDescent="0.25">
      <c r="G893" s="436"/>
      <c r="I893" s="40"/>
    </row>
    <row r="894" spans="7:9" ht="15.75" customHeight="1" x14ac:dyDescent="0.25">
      <c r="G894" s="436"/>
      <c r="I894" s="40"/>
    </row>
    <row r="895" spans="7:9" ht="15.75" customHeight="1" x14ac:dyDescent="0.25">
      <c r="G895" s="436"/>
      <c r="I895" s="40"/>
    </row>
    <row r="896" spans="7:9" ht="15.75" customHeight="1" x14ac:dyDescent="0.25">
      <c r="G896" s="436"/>
      <c r="I896" s="40"/>
    </row>
    <row r="897" spans="7:9" ht="15.75" customHeight="1" x14ac:dyDescent="0.25">
      <c r="G897" s="436"/>
      <c r="I897" s="40"/>
    </row>
    <row r="898" spans="7:9" ht="15.75" customHeight="1" x14ac:dyDescent="0.25">
      <c r="G898" s="436"/>
      <c r="I898" s="40"/>
    </row>
    <row r="899" spans="7:9" ht="15.75" customHeight="1" x14ac:dyDescent="0.25">
      <c r="G899" s="436"/>
      <c r="I899" s="40"/>
    </row>
    <row r="900" spans="7:9" ht="15.75" customHeight="1" x14ac:dyDescent="0.25">
      <c r="G900" s="436"/>
      <c r="I900" s="40"/>
    </row>
    <row r="901" spans="7:9" ht="15.75" customHeight="1" x14ac:dyDescent="0.25">
      <c r="G901" s="436"/>
      <c r="I901" s="40"/>
    </row>
    <row r="902" spans="7:9" ht="15.75" customHeight="1" x14ac:dyDescent="0.25">
      <c r="G902" s="436"/>
      <c r="I902" s="40"/>
    </row>
    <row r="903" spans="7:9" ht="15.75" customHeight="1" x14ac:dyDescent="0.25">
      <c r="G903" s="436"/>
      <c r="I903" s="40"/>
    </row>
    <row r="904" spans="7:9" ht="15.75" customHeight="1" x14ac:dyDescent="0.25">
      <c r="G904" s="436"/>
      <c r="I904" s="40"/>
    </row>
    <row r="905" spans="7:9" ht="15.75" customHeight="1" x14ac:dyDescent="0.25">
      <c r="G905" s="436"/>
      <c r="I905" s="40"/>
    </row>
    <row r="906" spans="7:9" ht="15.75" customHeight="1" x14ac:dyDescent="0.25">
      <c r="G906" s="436"/>
      <c r="I906" s="40"/>
    </row>
    <row r="907" spans="7:9" ht="15.75" customHeight="1" x14ac:dyDescent="0.25">
      <c r="G907" s="436"/>
      <c r="I907" s="40"/>
    </row>
    <row r="908" spans="7:9" ht="15.75" customHeight="1" x14ac:dyDescent="0.25">
      <c r="G908" s="436"/>
      <c r="I908" s="40"/>
    </row>
    <row r="909" spans="7:9" ht="15.75" customHeight="1" x14ac:dyDescent="0.25">
      <c r="G909" s="436"/>
      <c r="I909" s="40"/>
    </row>
    <row r="910" spans="7:9" ht="15.75" customHeight="1" x14ac:dyDescent="0.25">
      <c r="G910" s="436"/>
      <c r="I910" s="40"/>
    </row>
    <row r="911" spans="7:9" ht="15.75" customHeight="1" x14ac:dyDescent="0.25">
      <c r="G911" s="436"/>
      <c r="I911" s="40"/>
    </row>
    <row r="912" spans="7:9" ht="15.75" customHeight="1" x14ac:dyDescent="0.25">
      <c r="G912" s="436"/>
      <c r="I912" s="40"/>
    </row>
    <row r="913" spans="7:9" ht="15.75" customHeight="1" x14ac:dyDescent="0.25">
      <c r="G913" s="436"/>
      <c r="I913" s="40"/>
    </row>
    <row r="914" spans="7:9" ht="15.75" customHeight="1" x14ac:dyDescent="0.25">
      <c r="G914" s="436"/>
      <c r="I914" s="40"/>
    </row>
    <row r="915" spans="7:9" ht="15.75" customHeight="1" x14ac:dyDescent="0.25">
      <c r="G915" s="436"/>
      <c r="I915" s="40"/>
    </row>
    <row r="916" spans="7:9" ht="15.75" customHeight="1" x14ac:dyDescent="0.25">
      <c r="G916" s="436"/>
      <c r="I916" s="40"/>
    </row>
    <row r="917" spans="7:9" ht="15.75" customHeight="1" x14ac:dyDescent="0.25">
      <c r="G917" s="436"/>
      <c r="I917" s="40"/>
    </row>
    <row r="918" spans="7:9" ht="15.75" customHeight="1" x14ac:dyDescent="0.25">
      <c r="G918" s="436"/>
      <c r="I918" s="40"/>
    </row>
    <row r="919" spans="7:9" ht="15.75" customHeight="1" x14ac:dyDescent="0.25">
      <c r="G919" s="436"/>
      <c r="I919" s="40"/>
    </row>
    <row r="920" spans="7:9" ht="15.75" customHeight="1" x14ac:dyDescent="0.25">
      <c r="G920" s="436"/>
      <c r="I920" s="40"/>
    </row>
    <row r="921" spans="7:9" ht="15.75" customHeight="1" x14ac:dyDescent="0.25">
      <c r="G921" s="436"/>
      <c r="I921" s="40"/>
    </row>
    <row r="922" spans="7:9" ht="15.75" customHeight="1" x14ac:dyDescent="0.25">
      <c r="G922" s="436"/>
      <c r="I922" s="40"/>
    </row>
    <row r="923" spans="7:9" ht="15.75" customHeight="1" x14ac:dyDescent="0.25">
      <c r="G923" s="436"/>
      <c r="I923" s="40"/>
    </row>
    <row r="924" spans="7:9" ht="15.75" customHeight="1" x14ac:dyDescent="0.25">
      <c r="G924" s="436"/>
      <c r="I924" s="40"/>
    </row>
    <row r="925" spans="7:9" ht="15.75" customHeight="1" x14ac:dyDescent="0.25">
      <c r="G925" s="436"/>
      <c r="I925" s="40"/>
    </row>
    <row r="926" spans="7:9" ht="15.75" customHeight="1" x14ac:dyDescent="0.25">
      <c r="G926" s="436"/>
      <c r="I926" s="40"/>
    </row>
    <row r="927" spans="7:9" ht="15.75" customHeight="1" x14ac:dyDescent="0.25">
      <c r="G927" s="436"/>
      <c r="I927" s="40"/>
    </row>
    <row r="928" spans="7:9" ht="15.75" customHeight="1" x14ac:dyDescent="0.25">
      <c r="G928" s="436"/>
      <c r="I928" s="40"/>
    </row>
    <row r="929" spans="7:9" ht="15.75" customHeight="1" x14ac:dyDescent="0.25">
      <c r="G929" s="436"/>
      <c r="I929" s="40"/>
    </row>
    <row r="930" spans="7:9" ht="15.75" customHeight="1" x14ac:dyDescent="0.25">
      <c r="G930" s="436"/>
      <c r="I930" s="40"/>
    </row>
    <row r="931" spans="7:9" ht="15.75" customHeight="1" x14ac:dyDescent="0.25">
      <c r="G931" s="436"/>
      <c r="I931" s="40"/>
    </row>
    <row r="932" spans="7:9" ht="15.75" customHeight="1" x14ac:dyDescent="0.25">
      <c r="G932" s="436"/>
      <c r="I932" s="40"/>
    </row>
    <row r="933" spans="7:9" ht="15.75" customHeight="1" x14ac:dyDescent="0.25">
      <c r="G933" s="436"/>
      <c r="I933" s="40"/>
    </row>
    <row r="934" spans="7:9" ht="15.75" customHeight="1" x14ac:dyDescent="0.25">
      <c r="G934" s="436"/>
      <c r="I934" s="40"/>
    </row>
    <row r="935" spans="7:9" ht="15.75" customHeight="1" x14ac:dyDescent="0.25">
      <c r="G935" s="436"/>
      <c r="I935" s="40"/>
    </row>
    <row r="936" spans="7:9" ht="15.75" customHeight="1" x14ac:dyDescent="0.25">
      <c r="G936" s="436"/>
      <c r="I936" s="40"/>
    </row>
    <row r="937" spans="7:9" ht="15.75" customHeight="1" x14ac:dyDescent="0.25">
      <c r="G937" s="436"/>
      <c r="I937" s="40"/>
    </row>
    <row r="938" spans="7:9" ht="15.75" customHeight="1" x14ac:dyDescent="0.25">
      <c r="G938" s="436"/>
      <c r="I938" s="40"/>
    </row>
    <row r="939" spans="7:9" ht="15.75" customHeight="1" x14ac:dyDescent="0.25">
      <c r="G939" s="436"/>
      <c r="I939" s="40"/>
    </row>
    <row r="940" spans="7:9" ht="15.75" customHeight="1" x14ac:dyDescent="0.25">
      <c r="G940" s="436"/>
      <c r="I940" s="40"/>
    </row>
    <row r="941" spans="7:9" ht="15.75" customHeight="1" x14ac:dyDescent="0.25">
      <c r="G941" s="436"/>
      <c r="I941" s="40"/>
    </row>
    <row r="942" spans="7:9" ht="15.75" customHeight="1" x14ac:dyDescent="0.25">
      <c r="G942" s="436"/>
      <c r="I942" s="40"/>
    </row>
    <row r="943" spans="7:9" ht="15.75" customHeight="1" x14ac:dyDescent="0.25">
      <c r="G943" s="436"/>
      <c r="I943" s="40"/>
    </row>
    <row r="944" spans="7:9" ht="15.75" customHeight="1" x14ac:dyDescent="0.25">
      <c r="G944" s="436"/>
      <c r="I944" s="40"/>
    </row>
    <row r="945" spans="7:9" ht="15.75" customHeight="1" x14ac:dyDescent="0.25">
      <c r="G945" s="436"/>
      <c r="I945" s="40"/>
    </row>
    <row r="946" spans="7:9" ht="15.75" customHeight="1" x14ac:dyDescent="0.25">
      <c r="G946" s="436"/>
      <c r="I946" s="40"/>
    </row>
    <row r="947" spans="7:9" ht="15.75" customHeight="1" x14ac:dyDescent="0.25">
      <c r="G947" s="436"/>
      <c r="I947" s="40"/>
    </row>
    <row r="948" spans="7:9" ht="15.75" customHeight="1" x14ac:dyDescent="0.25">
      <c r="G948" s="436"/>
      <c r="I948" s="40"/>
    </row>
    <row r="949" spans="7:9" ht="15.75" customHeight="1" x14ac:dyDescent="0.25">
      <c r="G949" s="436"/>
      <c r="I949" s="40"/>
    </row>
    <row r="950" spans="7:9" ht="15.75" customHeight="1" x14ac:dyDescent="0.25">
      <c r="G950" s="436"/>
      <c r="I950" s="40"/>
    </row>
    <row r="951" spans="7:9" ht="15.75" customHeight="1" x14ac:dyDescent="0.25">
      <c r="G951" s="436"/>
      <c r="I951" s="40"/>
    </row>
    <row r="952" spans="7:9" ht="15.75" customHeight="1" x14ac:dyDescent="0.25">
      <c r="G952" s="436"/>
      <c r="I952" s="40"/>
    </row>
    <row r="953" spans="7:9" ht="15.75" customHeight="1" x14ac:dyDescent="0.25">
      <c r="G953" s="436"/>
      <c r="I953" s="40"/>
    </row>
    <row r="954" spans="7:9" ht="15.75" customHeight="1" x14ac:dyDescent="0.25">
      <c r="G954" s="436"/>
      <c r="I954" s="40"/>
    </row>
    <row r="955" spans="7:9" ht="15.75" customHeight="1" x14ac:dyDescent="0.25">
      <c r="G955" s="436"/>
      <c r="I955" s="40"/>
    </row>
    <row r="956" spans="7:9" ht="15.75" customHeight="1" x14ac:dyDescent="0.25">
      <c r="G956" s="436"/>
      <c r="I956" s="40"/>
    </row>
    <row r="957" spans="7:9" ht="15.75" customHeight="1" x14ac:dyDescent="0.25">
      <c r="G957" s="436"/>
      <c r="I957" s="40"/>
    </row>
    <row r="958" spans="7:9" ht="15.75" customHeight="1" x14ac:dyDescent="0.25">
      <c r="G958" s="436"/>
      <c r="I958" s="40"/>
    </row>
    <row r="959" spans="7:9" ht="15.75" customHeight="1" x14ac:dyDescent="0.25">
      <c r="G959" s="436"/>
      <c r="I959" s="40"/>
    </row>
    <row r="960" spans="7:9" ht="15.75" customHeight="1" x14ac:dyDescent="0.25">
      <c r="G960" s="436"/>
      <c r="I960" s="40"/>
    </row>
    <row r="961" spans="7:9" ht="15.75" customHeight="1" x14ac:dyDescent="0.25">
      <c r="G961" s="436"/>
      <c r="I961" s="40"/>
    </row>
  </sheetData>
  <mergeCells count="18">
    <mergeCell ref="G102:G103"/>
    <mergeCell ref="F103:F104"/>
    <mergeCell ref="A96:G96"/>
    <mergeCell ref="A97:G97"/>
    <mergeCell ref="A101:G101"/>
    <mergeCell ref="A102:A105"/>
    <mergeCell ref="B102:B105"/>
    <mergeCell ref="C102:C103"/>
    <mergeCell ref="D102:F102"/>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92" max="6"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0"/>
  <sheetViews>
    <sheetView view="pageBreakPreview" zoomScale="130" zoomScaleNormal="100" zoomScaleSheetLayoutView="130" workbookViewId="0">
      <selection activeCell="A15" sqref="A15"/>
    </sheetView>
  </sheetViews>
  <sheetFormatPr defaultColWidth="14.42578125" defaultRowHeight="15" customHeight="1" x14ac:dyDescent="0.25"/>
  <cols>
    <col min="1" max="1" width="78.85546875" customWidth="1"/>
    <col min="2" max="2" width="17.42578125" customWidth="1"/>
    <col min="3" max="6" width="16.85546875" hidden="1" customWidth="1"/>
    <col min="7" max="7" width="16.85546875" customWidth="1"/>
    <col min="8" max="8" width="15.140625" customWidth="1"/>
    <col min="9"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2415</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row>
    <row r="14" spans="1:26" ht="15.75" customHeight="1" x14ac:dyDescent="0.25">
      <c r="A14" s="17" t="s">
        <v>365</v>
      </c>
      <c r="B14" s="172"/>
      <c r="C14" s="42"/>
      <c r="D14" s="42"/>
      <c r="E14" s="42"/>
      <c r="F14" s="42"/>
      <c r="G14" s="42"/>
    </row>
    <row r="15" spans="1:26" ht="15.75" customHeight="1" x14ac:dyDescent="0.25">
      <c r="A15" s="17" t="s">
        <v>366</v>
      </c>
      <c r="B15" s="172"/>
      <c r="C15" s="42"/>
      <c r="D15" s="42"/>
      <c r="E15" s="42"/>
      <c r="F15" s="42"/>
      <c r="G15" s="42"/>
    </row>
    <row r="16" spans="1:26" ht="15.75" customHeight="1" x14ac:dyDescent="0.25">
      <c r="A16" s="48" t="s">
        <v>367</v>
      </c>
      <c r="B16" s="41" t="s">
        <v>121</v>
      </c>
      <c r="C16" s="43">
        <v>19527818.420000002</v>
      </c>
      <c r="D16" s="43">
        <v>9662348.0899999999</v>
      </c>
      <c r="E16" s="43">
        <f>F16-D16</f>
        <v>14080299.91</v>
      </c>
      <c r="F16" s="43">
        <v>23742648</v>
      </c>
      <c r="G16" s="43">
        <v>24684624</v>
      </c>
    </row>
    <row r="17" spans="1:26" ht="15.75" customHeight="1" x14ac:dyDescent="0.25">
      <c r="A17" s="17" t="s">
        <v>368</v>
      </c>
      <c r="B17" s="172"/>
      <c r="C17" s="43"/>
      <c r="D17" s="43"/>
      <c r="E17" s="43"/>
      <c r="F17" s="43"/>
      <c r="G17" s="43"/>
    </row>
    <row r="18" spans="1:26" ht="15.75" customHeight="1" x14ac:dyDescent="0.25">
      <c r="A18" s="48" t="s">
        <v>369</v>
      </c>
      <c r="B18" s="41" t="s">
        <v>125</v>
      </c>
      <c r="C18" s="43">
        <v>2154615.69</v>
      </c>
      <c r="D18" s="43">
        <v>1038418.24</v>
      </c>
      <c r="E18" s="43">
        <f t="shared" ref="E18:E21" si="0">F18-D18</f>
        <v>1505581.76</v>
      </c>
      <c r="F18" s="43">
        <v>2544000</v>
      </c>
      <c r="G18" s="43">
        <v>2544000</v>
      </c>
      <c r="H18" s="15"/>
      <c r="I18" s="15"/>
      <c r="J18" s="15"/>
      <c r="K18" s="15"/>
      <c r="L18" s="15"/>
      <c r="M18" s="15"/>
      <c r="N18" s="15"/>
      <c r="O18" s="15"/>
      <c r="P18" s="15"/>
      <c r="Q18" s="15"/>
      <c r="R18" s="15"/>
      <c r="S18" s="15"/>
      <c r="T18" s="15"/>
      <c r="U18" s="15"/>
      <c r="V18" s="15"/>
      <c r="W18" s="15"/>
      <c r="X18" s="15"/>
      <c r="Y18" s="15"/>
      <c r="Z18" s="15"/>
    </row>
    <row r="19" spans="1:26" ht="15.75" customHeight="1" x14ac:dyDescent="0.25">
      <c r="A19" s="48" t="s">
        <v>373</v>
      </c>
      <c r="B19" s="41" t="s">
        <v>131</v>
      </c>
      <c r="C19" s="43">
        <v>637000</v>
      </c>
      <c r="D19" s="43">
        <v>616000</v>
      </c>
      <c r="E19" s="43">
        <f t="shared" si="0"/>
        <v>126000</v>
      </c>
      <c r="F19" s="43">
        <v>742000</v>
      </c>
      <c r="G19" s="43">
        <v>742000</v>
      </c>
      <c r="H19" s="15"/>
      <c r="I19" s="15"/>
      <c r="J19" s="15"/>
      <c r="K19" s="15"/>
      <c r="L19" s="15"/>
      <c r="M19" s="15"/>
      <c r="N19" s="15"/>
      <c r="O19" s="15"/>
      <c r="P19" s="15"/>
      <c r="Q19" s="15"/>
      <c r="R19" s="15"/>
      <c r="S19" s="15"/>
      <c r="T19" s="15"/>
      <c r="U19" s="15"/>
      <c r="V19" s="15"/>
      <c r="W19" s="15"/>
      <c r="X19" s="15"/>
      <c r="Y19" s="15"/>
      <c r="Z19" s="15"/>
    </row>
    <row r="20" spans="1:26" ht="15.75" customHeight="1" x14ac:dyDescent="0.25">
      <c r="A20" s="48" t="s">
        <v>374</v>
      </c>
      <c r="B20" s="41" t="s">
        <v>151</v>
      </c>
      <c r="C20" s="43">
        <v>1667582.9</v>
      </c>
      <c r="D20" s="43">
        <v>0</v>
      </c>
      <c r="E20" s="43">
        <f t="shared" si="0"/>
        <v>1978554</v>
      </c>
      <c r="F20" s="43">
        <v>1978554</v>
      </c>
      <c r="G20" s="43">
        <v>2057052</v>
      </c>
      <c r="H20" s="15"/>
      <c r="I20" s="15"/>
      <c r="J20" s="15"/>
      <c r="K20" s="15"/>
      <c r="L20" s="15"/>
      <c r="M20" s="15"/>
      <c r="N20" s="15"/>
      <c r="O20" s="15"/>
      <c r="P20" s="15"/>
      <c r="Q20" s="15"/>
      <c r="R20" s="15"/>
      <c r="S20" s="15"/>
      <c r="T20" s="15"/>
      <c r="U20" s="15"/>
      <c r="V20" s="15"/>
      <c r="W20" s="15"/>
      <c r="X20" s="15"/>
      <c r="Y20" s="15"/>
      <c r="Z20" s="15"/>
    </row>
    <row r="21" spans="1:26" ht="15.75" customHeight="1" x14ac:dyDescent="0.25">
      <c r="A21" s="48" t="s">
        <v>375</v>
      </c>
      <c r="B21" s="41" t="s">
        <v>153</v>
      </c>
      <c r="C21" s="43">
        <v>450000</v>
      </c>
      <c r="D21" s="43">
        <v>0</v>
      </c>
      <c r="E21" s="43">
        <f t="shared" si="0"/>
        <v>530000</v>
      </c>
      <c r="F21" s="43">
        <v>530000</v>
      </c>
      <c r="G21" s="43">
        <v>530000</v>
      </c>
      <c r="H21" s="15"/>
      <c r="I21" s="15"/>
      <c r="J21" s="15"/>
      <c r="K21" s="15"/>
      <c r="L21" s="15"/>
      <c r="M21" s="15"/>
      <c r="N21" s="15"/>
      <c r="O21" s="15"/>
      <c r="P21" s="15"/>
      <c r="Q21" s="15"/>
      <c r="R21" s="15"/>
      <c r="S21" s="15"/>
      <c r="T21" s="15"/>
      <c r="U21" s="15"/>
      <c r="V21" s="15"/>
      <c r="W21" s="15"/>
      <c r="X21" s="15"/>
      <c r="Y21" s="15"/>
      <c r="Z21" s="15"/>
    </row>
    <row r="22" spans="1:26" ht="15.75" customHeight="1" x14ac:dyDescent="0.25">
      <c r="A22" s="48" t="s">
        <v>376</v>
      </c>
      <c r="B22" s="41" t="s">
        <v>155</v>
      </c>
      <c r="C22" s="43"/>
      <c r="D22" s="43"/>
      <c r="E22" s="43"/>
      <c r="F22" s="43"/>
      <c r="G22" s="43"/>
      <c r="H22" s="15"/>
      <c r="I22" s="15"/>
      <c r="J22" s="15"/>
      <c r="K22" s="15"/>
      <c r="L22" s="15"/>
      <c r="M22" s="15"/>
      <c r="N22" s="15"/>
      <c r="O22" s="15"/>
      <c r="P22" s="15"/>
      <c r="Q22" s="15"/>
      <c r="R22" s="15"/>
      <c r="S22" s="15"/>
      <c r="T22" s="15"/>
      <c r="U22" s="15"/>
      <c r="V22" s="15"/>
      <c r="W22" s="15"/>
      <c r="X22" s="15"/>
      <c r="Y22" s="15"/>
      <c r="Z22" s="15"/>
    </row>
    <row r="23" spans="1:26" ht="15.75" customHeight="1" x14ac:dyDescent="0.25">
      <c r="A23" s="48" t="s">
        <v>377</v>
      </c>
      <c r="B23" s="41" t="s">
        <v>157</v>
      </c>
      <c r="C23" s="43">
        <v>40000</v>
      </c>
      <c r="D23" s="43">
        <v>40000</v>
      </c>
      <c r="E23" s="43">
        <f t="shared" ref="E23:E25" si="1">F23-D23</f>
        <v>55000</v>
      </c>
      <c r="F23" s="43">
        <v>95000</v>
      </c>
      <c r="G23" s="43">
        <v>85000</v>
      </c>
      <c r="H23" s="15"/>
      <c r="I23" s="15"/>
      <c r="J23" s="15"/>
      <c r="K23" s="15"/>
      <c r="L23" s="15"/>
      <c r="M23" s="15"/>
      <c r="N23" s="15"/>
      <c r="O23" s="15"/>
      <c r="P23" s="15"/>
      <c r="Q23" s="15"/>
      <c r="R23" s="15"/>
      <c r="S23" s="15"/>
      <c r="T23" s="15"/>
      <c r="U23" s="15"/>
      <c r="V23" s="15"/>
      <c r="W23" s="15"/>
      <c r="X23" s="15"/>
      <c r="Y23" s="15"/>
      <c r="Z23" s="15"/>
    </row>
    <row r="24" spans="1:26" ht="15.75" customHeight="1" x14ac:dyDescent="0.25">
      <c r="A24" s="48" t="s">
        <v>1227</v>
      </c>
      <c r="B24" s="41" t="s">
        <v>159</v>
      </c>
      <c r="C24" s="43">
        <v>0</v>
      </c>
      <c r="D24" s="43">
        <v>261000</v>
      </c>
      <c r="E24" s="43">
        <f t="shared" si="1"/>
        <v>57000</v>
      </c>
      <c r="F24" s="43">
        <v>318000</v>
      </c>
      <c r="G24" s="43">
        <v>0</v>
      </c>
      <c r="H24" s="15"/>
      <c r="I24" s="15"/>
      <c r="J24" s="15"/>
      <c r="K24" s="15"/>
      <c r="L24" s="15"/>
      <c r="M24" s="15"/>
      <c r="N24" s="15"/>
      <c r="O24" s="15"/>
      <c r="P24" s="15"/>
      <c r="Q24" s="15"/>
      <c r="R24" s="15"/>
      <c r="S24" s="15"/>
      <c r="T24" s="15"/>
      <c r="U24" s="15"/>
      <c r="V24" s="15"/>
      <c r="W24" s="15"/>
      <c r="X24" s="15"/>
      <c r="Y24" s="15"/>
      <c r="Z24" s="15"/>
    </row>
    <row r="25" spans="1:26" ht="15.75" customHeight="1" x14ac:dyDescent="0.25">
      <c r="A25" s="48" t="s">
        <v>379</v>
      </c>
      <c r="B25" s="41" t="s">
        <v>161</v>
      </c>
      <c r="C25" s="43">
        <v>1617010</v>
      </c>
      <c r="D25" s="43">
        <v>1635395</v>
      </c>
      <c r="E25" s="43">
        <f t="shared" si="1"/>
        <v>343159</v>
      </c>
      <c r="F25" s="43">
        <v>1978554</v>
      </c>
      <c r="G25" s="43">
        <v>2057052</v>
      </c>
      <c r="H25" s="15"/>
      <c r="I25" s="15"/>
      <c r="J25" s="15"/>
      <c r="K25" s="15"/>
      <c r="L25" s="15"/>
      <c r="M25" s="15"/>
      <c r="N25" s="15"/>
      <c r="O25" s="15"/>
      <c r="P25" s="15"/>
      <c r="Q25" s="15"/>
      <c r="R25" s="15"/>
      <c r="S25" s="15"/>
      <c r="T25" s="15"/>
      <c r="U25" s="15"/>
      <c r="V25" s="15"/>
      <c r="W25" s="15"/>
      <c r="X25" s="15"/>
      <c r="Y25" s="15"/>
      <c r="Z25" s="15"/>
    </row>
    <row r="26" spans="1:26" ht="15.75" customHeight="1" x14ac:dyDescent="0.25">
      <c r="A26" s="17" t="s">
        <v>380</v>
      </c>
      <c r="B26" s="41"/>
      <c r="C26" s="43"/>
      <c r="D26" s="43"/>
      <c r="E26" s="43"/>
      <c r="F26" s="43"/>
      <c r="G26" s="43"/>
      <c r="H26" s="15"/>
      <c r="I26" s="15"/>
      <c r="J26" s="15"/>
      <c r="K26" s="15"/>
      <c r="L26" s="15"/>
      <c r="M26" s="15"/>
      <c r="N26" s="15"/>
      <c r="O26" s="15"/>
      <c r="P26" s="15"/>
      <c r="Q26" s="15"/>
      <c r="R26" s="15"/>
      <c r="S26" s="15"/>
      <c r="T26" s="15"/>
      <c r="U26" s="15"/>
      <c r="V26" s="15"/>
      <c r="W26" s="15"/>
      <c r="X26" s="15"/>
      <c r="Y26" s="15"/>
      <c r="Z26" s="15"/>
    </row>
    <row r="27" spans="1:26" ht="15.75" customHeight="1" x14ac:dyDescent="0.25">
      <c r="A27" s="48" t="s">
        <v>381</v>
      </c>
      <c r="B27" s="41" t="s">
        <v>165</v>
      </c>
      <c r="C27" s="43">
        <v>2355586.7200000002</v>
      </c>
      <c r="D27" s="43">
        <v>1173226.44</v>
      </c>
      <c r="E27" s="43">
        <f t="shared" ref="E27:E30" si="2">F27-D27</f>
        <v>1675891.56</v>
      </c>
      <c r="F27" s="43">
        <v>2849118</v>
      </c>
      <c r="G27" s="43">
        <v>2962155</v>
      </c>
      <c r="H27" s="15"/>
      <c r="I27" s="15"/>
      <c r="J27" s="15"/>
      <c r="K27" s="15"/>
      <c r="L27" s="15"/>
      <c r="M27" s="15"/>
      <c r="N27" s="15"/>
      <c r="O27" s="15"/>
      <c r="P27" s="15"/>
      <c r="Q27" s="15"/>
      <c r="R27" s="15"/>
      <c r="S27" s="15"/>
      <c r="T27" s="15"/>
      <c r="U27" s="15"/>
      <c r="V27" s="15"/>
      <c r="W27" s="15"/>
      <c r="X27" s="15"/>
      <c r="Y27" s="15"/>
      <c r="Z27" s="15"/>
    </row>
    <row r="28" spans="1:26" ht="15.75" customHeight="1" x14ac:dyDescent="0.25">
      <c r="A28" s="48" t="s">
        <v>382</v>
      </c>
      <c r="B28" s="41" t="s">
        <v>167</v>
      </c>
      <c r="C28" s="43">
        <v>392581.18</v>
      </c>
      <c r="D28" s="43">
        <v>195537.75</v>
      </c>
      <c r="E28" s="43">
        <f t="shared" si="2"/>
        <v>279315.25</v>
      </c>
      <c r="F28" s="43">
        <v>474853</v>
      </c>
      <c r="G28" s="43">
        <v>493693</v>
      </c>
      <c r="H28" s="15"/>
      <c r="I28" s="15"/>
      <c r="J28" s="15"/>
      <c r="K28" s="15"/>
      <c r="L28" s="15"/>
      <c r="M28" s="15"/>
      <c r="N28" s="15"/>
      <c r="O28" s="15"/>
      <c r="P28" s="15"/>
      <c r="Q28" s="15"/>
      <c r="R28" s="15"/>
      <c r="S28" s="15"/>
      <c r="T28" s="15"/>
      <c r="U28" s="15"/>
      <c r="V28" s="15"/>
      <c r="W28" s="15"/>
      <c r="X28" s="15"/>
      <c r="Y28" s="15"/>
      <c r="Z28" s="15"/>
    </row>
    <row r="29" spans="1:26" ht="15.75" customHeight="1" x14ac:dyDescent="0.25">
      <c r="A29" s="48" t="s">
        <v>383</v>
      </c>
      <c r="B29" s="41" t="s">
        <v>169</v>
      </c>
      <c r="C29" s="43">
        <v>490729.07</v>
      </c>
      <c r="D29" s="43">
        <v>244414.7</v>
      </c>
      <c r="E29" s="43">
        <f t="shared" si="2"/>
        <v>349209.3</v>
      </c>
      <c r="F29" s="43">
        <v>593624</v>
      </c>
      <c r="G29" s="43">
        <v>617162</v>
      </c>
      <c r="H29" s="15"/>
      <c r="I29" s="15"/>
      <c r="J29" s="15"/>
      <c r="K29" s="15"/>
      <c r="L29" s="15"/>
      <c r="M29" s="15"/>
      <c r="N29" s="15"/>
      <c r="O29" s="15"/>
      <c r="P29" s="15"/>
      <c r="Q29" s="15"/>
      <c r="R29" s="15"/>
      <c r="S29" s="15"/>
      <c r="T29" s="15"/>
      <c r="U29" s="15"/>
      <c r="V29" s="15"/>
      <c r="W29" s="15"/>
      <c r="X29" s="15"/>
      <c r="Y29" s="15"/>
      <c r="Z29" s="15"/>
    </row>
    <row r="30" spans="1:26" ht="15.75" customHeight="1" x14ac:dyDescent="0.25">
      <c r="A30" s="48" t="s">
        <v>384</v>
      </c>
      <c r="B30" s="41" t="s">
        <v>171</v>
      </c>
      <c r="C30" s="43">
        <v>108400</v>
      </c>
      <c r="D30" s="43">
        <v>52608.66</v>
      </c>
      <c r="E30" s="43">
        <f t="shared" si="2"/>
        <v>74591.34</v>
      </c>
      <c r="F30" s="43">
        <v>127200</v>
      </c>
      <c r="G30" s="43">
        <v>127200</v>
      </c>
      <c r="H30" s="15"/>
      <c r="I30" s="15"/>
      <c r="J30" s="15"/>
      <c r="K30" s="15"/>
      <c r="L30" s="15"/>
      <c r="M30" s="15"/>
      <c r="N30" s="15"/>
      <c r="O30" s="15"/>
      <c r="P30" s="15"/>
      <c r="Q30" s="15"/>
      <c r="R30" s="15"/>
      <c r="S30" s="15"/>
      <c r="T30" s="15"/>
      <c r="U30" s="15"/>
      <c r="V30" s="15"/>
      <c r="W30" s="15"/>
      <c r="X30" s="15"/>
      <c r="Y30" s="15"/>
      <c r="Z30" s="15"/>
    </row>
    <row r="31" spans="1:26" ht="15.75" customHeight="1" x14ac:dyDescent="0.25">
      <c r="A31" s="17" t="s">
        <v>624</v>
      </c>
      <c r="B31" s="41"/>
      <c r="C31" s="43"/>
      <c r="D31" s="43"/>
      <c r="E31" s="43"/>
      <c r="F31" s="43"/>
      <c r="G31" s="43"/>
      <c r="H31" s="15"/>
      <c r="I31" s="15"/>
      <c r="J31" s="15"/>
      <c r="K31" s="15"/>
      <c r="L31" s="15"/>
      <c r="M31" s="15"/>
      <c r="N31" s="15"/>
      <c r="O31" s="15"/>
      <c r="P31" s="15"/>
      <c r="Q31" s="15"/>
      <c r="R31" s="15"/>
      <c r="S31" s="15"/>
      <c r="T31" s="15"/>
      <c r="U31" s="15"/>
      <c r="V31" s="15"/>
      <c r="W31" s="15"/>
      <c r="X31" s="15"/>
      <c r="Y31" s="15"/>
      <c r="Z31" s="15"/>
    </row>
    <row r="32" spans="1:26" ht="15.75" customHeight="1" x14ac:dyDescent="0.25">
      <c r="A32" s="48" t="s">
        <v>386</v>
      </c>
      <c r="B32" s="41" t="s">
        <v>179</v>
      </c>
      <c r="C32" s="43">
        <v>511980.56</v>
      </c>
      <c r="D32" s="43">
        <v>21823.13</v>
      </c>
      <c r="E32" s="43">
        <f t="shared" ref="E32:E34" si="3">F32-D32</f>
        <v>658467.87</v>
      </c>
      <c r="F32" s="43">
        <v>680291</v>
      </c>
      <c r="G32" s="43">
        <v>191833</v>
      </c>
      <c r="H32" s="15"/>
      <c r="I32" s="15"/>
      <c r="J32" s="15"/>
      <c r="K32" s="15"/>
      <c r="L32" s="15"/>
      <c r="M32" s="15"/>
      <c r="N32" s="15"/>
      <c r="O32" s="15"/>
      <c r="P32" s="15"/>
      <c r="Q32" s="15"/>
      <c r="R32" s="15"/>
      <c r="S32" s="15"/>
      <c r="T32" s="15"/>
      <c r="U32" s="15"/>
      <c r="V32" s="15"/>
      <c r="W32" s="15"/>
      <c r="X32" s="15"/>
      <c r="Y32" s="15"/>
      <c r="Z32" s="15"/>
    </row>
    <row r="33" spans="1:26" ht="15.75" customHeight="1" x14ac:dyDescent="0.25">
      <c r="A33" s="48" t="s">
        <v>387</v>
      </c>
      <c r="B33" s="41" t="s">
        <v>181</v>
      </c>
      <c r="C33" s="43">
        <v>667558.54</v>
      </c>
      <c r="D33" s="43">
        <v>615957.94999999995</v>
      </c>
      <c r="E33" s="43">
        <f t="shared" si="3"/>
        <v>337561.05000000005</v>
      </c>
      <c r="F33" s="43">
        <v>953519</v>
      </c>
      <c r="G33" s="43">
        <v>991349</v>
      </c>
      <c r="H33" s="15"/>
      <c r="I33" s="15"/>
      <c r="J33" s="15"/>
      <c r="K33" s="15"/>
      <c r="L33" s="15"/>
      <c r="M33" s="15"/>
      <c r="N33" s="15"/>
      <c r="O33" s="15"/>
      <c r="P33" s="15"/>
      <c r="Q33" s="15"/>
      <c r="R33" s="15"/>
      <c r="S33" s="15"/>
      <c r="T33" s="15"/>
      <c r="U33" s="15"/>
      <c r="V33" s="15"/>
      <c r="W33" s="15"/>
      <c r="X33" s="15"/>
      <c r="Y33" s="15"/>
      <c r="Z33" s="15"/>
    </row>
    <row r="34" spans="1:26" ht="15.75" customHeight="1" x14ac:dyDescent="0.25">
      <c r="A34" s="48" t="s">
        <v>388</v>
      </c>
      <c r="B34" s="41" t="s">
        <v>183</v>
      </c>
      <c r="C34" s="43">
        <v>446500</v>
      </c>
      <c r="D34" s="43">
        <v>0</v>
      </c>
      <c r="E34" s="43">
        <f t="shared" si="3"/>
        <v>530000</v>
      </c>
      <c r="F34" s="43">
        <v>530000</v>
      </c>
      <c r="G34" s="43">
        <v>530000</v>
      </c>
      <c r="H34" s="15"/>
      <c r="I34" s="15"/>
      <c r="J34" s="15"/>
      <c r="K34" s="15"/>
      <c r="L34" s="15"/>
      <c r="M34" s="15"/>
      <c r="N34" s="15"/>
      <c r="O34" s="15"/>
      <c r="P34" s="15"/>
      <c r="Q34" s="15"/>
      <c r="R34" s="15"/>
      <c r="S34" s="15"/>
      <c r="T34" s="15"/>
      <c r="U34" s="15"/>
      <c r="V34" s="15"/>
      <c r="W34" s="15"/>
      <c r="X34" s="15"/>
      <c r="Y34" s="15"/>
      <c r="Z34" s="15"/>
    </row>
    <row r="35" spans="1:26" ht="31.5" x14ac:dyDescent="0.25">
      <c r="A35" s="117" t="s">
        <v>625</v>
      </c>
      <c r="B35" s="41"/>
      <c r="C35" s="43"/>
      <c r="D35" s="43"/>
      <c r="E35" s="43"/>
      <c r="F35" s="43"/>
      <c r="G35" s="43">
        <v>618544</v>
      </c>
      <c r="H35" s="15"/>
      <c r="I35" s="15"/>
      <c r="J35" s="15"/>
      <c r="K35" s="15"/>
      <c r="L35" s="15"/>
      <c r="M35" s="15"/>
      <c r="N35" s="15"/>
      <c r="O35" s="15"/>
      <c r="P35" s="15"/>
      <c r="Q35" s="15"/>
      <c r="R35" s="15"/>
      <c r="S35" s="15"/>
      <c r="T35" s="15"/>
      <c r="U35" s="15"/>
      <c r="V35" s="15"/>
      <c r="W35" s="15"/>
      <c r="X35" s="15"/>
      <c r="Y35" s="15"/>
      <c r="Z35" s="15"/>
    </row>
    <row r="36" spans="1:26" ht="15.75" customHeight="1" x14ac:dyDescent="0.25">
      <c r="A36" s="456" t="s">
        <v>632</v>
      </c>
      <c r="B36" s="454"/>
      <c r="C36" s="453">
        <f t="shared" ref="C36:F36" si="4">SUM(C16:C34)</f>
        <v>31067363.079999998</v>
      </c>
      <c r="D36" s="54">
        <f t="shared" si="4"/>
        <v>15556729.959999999</v>
      </c>
      <c r="E36" s="54">
        <f t="shared" si="4"/>
        <v>22580631.040000003</v>
      </c>
      <c r="F36" s="54">
        <f t="shared" si="4"/>
        <v>38137361</v>
      </c>
      <c r="G36" s="54">
        <f>SUM(G16:G35)</f>
        <v>39231664</v>
      </c>
      <c r="H36" s="232"/>
      <c r="I36" s="232"/>
      <c r="J36" s="232"/>
      <c r="K36" s="232"/>
      <c r="L36" s="232"/>
      <c r="M36" s="232"/>
      <c r="N36" s="232"/>
      <c r="O36" s="232"/>
      <c r="P36" s="232"/>
      <c r="Q36" s="232"/>
      <c r="R36" s="232"/>
      <c r="S36" s="232"/>
      <c r="T36" s="232"/>
      <c r="U36" s="232"/>
      <c r="V36" s="232"/>
      <c r="W36" s="232"/>
      <c r="X36" s="232"/>
      <c r="Y36" s="232"/>
      <c r="Z36" s="232"/>
    </row>
    <row r="37" spans="1:26" ht="15.75" customHeight="1" x14ac:dyDescent="0.25">
      <c r="A37" s="456"/>
      <c r="B37" s="454"/>
      <c r="C37" s="473"/>
      <c r="D37" s="438"/>
      <c r="E37" s="438"/>
      <c r="F37" s="438"/>
      <c r="G37" s="438"/>
      <c r="H37" s="515"/>
      <c r="I37" s="515"/>
      <c r="J37" s="515"/>
      <c r="K37" s="515"/>
      <c r="L37" s="515"/>
      <c r="M37" s="515"/>
      <c r="N37" s="515"/>
      <c r="O37" s="515"/>
      <c r="P37" s="515"/>
      <c r="Q37" s="515"/>
      <c r="R37" s="515"/>
      <c r="S37" s="515"/>
      <c r="T37" s="515"/>
      <c r="U37" s="515"/>
      <c r="V37" s="515"/>
      <c r="W37" s="515"/>
      <c r="X37" s="515"/>
      <c r="Y37" s="515"/>
      <c r="Z37" s="515"/>
    </row>
    <row r="38" spans="1:26" ht="15.75" customHeight="1" x14ac:dyDescent="0.25">
      <c r="A38" s="17" t="s">
        <v>391</v>
      </c>
      <c r="B38" s="41"/>
      <c r="C38" s="41"/>
      <c r="D38" s="43"/>
      <c r="E38" s="43"/>
      <c r="F38" s="41"/>
      <c r="G38" s="41"/>
      <c r="H38" s="15"/>
      <c r="I38" s="15"/>
      <c r="J38" s="15"/>
      <c r="K38" s="15"/>
      <c r="L38" s="15"/>
      <c r="M38" s="15"/>
      <c r="N38" s="15"/>
      <c r="O38" s="15"/>
      <c r="P38" s="15"/>
      <c r="Q38" s="15"/>
      <c r="R38" s="15"/>
      <c r="S38" s="15"/>
      <c r="T38" s="15"/>
      <c r="U38" s="15"/>
      <c r="V38" s="15"/>
      <c r="W38" s="15"/>
      <c r="X38" s="15"/>
      <c r="Y38" s="15"/>
      <c r="Z38" s="15"/>
    </row>
    <row r="39" spans="1:26" ht="15.75" customHeight="1" x14ac:dyDescent="0.25">
      <c r="A39" s="17" t="s">
        <v>642</v>
      </c>
      <c r="B39" s="41"/>
      <c r="C39" s="56"/>
      <c r="D39" s="43"/>
      <c r="E39" s="45"/>
      <c r="F39" s="43"/>
      <c r="G39" s="43"/>
      <c r="H39" s="15"/>
      <c r="I39" s="15"/>
      <c r="J39" s="15"/>
      <c r="K39" s="15"/>
      <c r="L39" s="15"/>
      <c r="M39" s="15"/>
      <c r="N39" s="15"/>
      <c r="O39" s="15"/>
      <c r="P39" s="15"/>
      <c r="Q39" s="15"/>
      <c r="R39" s="15"/>
      <c r="S39" s="15"/>
      <c r="T39" s="15"/>
      <c r="U39" s="15"/>
      <c r="V39" s="15"/>
      <c r="W39" s="15"/>
      <c r="X39" s="15"/>
      <c r="Y39" s="15"/>
      <c r="Z39" s="15"/>
    </row>
    <row r="40" spans="1:26" ht="15.75" customHeight="1" x14ac:dyDescent="0.25">
      <c r="A40" s="48" t="s">
        <v>393</v>
      </c>
      <c r="B40" s="41" t="s">
        <v>187</v>
      </c>
      <c r="C40" s="43">
        <v>0</v>
      </c>
      <c r="D40" s="43">
        <v>0</v>
      </c>
      <c r="E40" s="43">
        <f>F40-D40</f>
        <v>100000</v>
      </c>
      <c r="F40" s="43">
        <v>100000</v>
      </c>
      <c r="G40" s="43">
        <v>300000</v>
      </c>
      <c r="H40" s="233"/>
      <c r="I40" s="15"/>
      <c r="J40" s="15"/>
      <c r="K40" s="15"/>
      <c r="L40" s="15"/>
      <c r="M40" s="15"/>
      <c r="N40" s="15"/>
      <c r="O40" s="15"/>
      <c r="P40" s="15"/>
      <c r="Q40" s="15"/>
      <c r="R40" s="15"/>
      <c r="S40" s="15"/>
      <c r="T40" s="15"/>
      <c r="U40" s="15"/>
      <c r="V40" s="15"/>
      <c r="W40" s="15"/>
      <c r="X40" s="15"/>
      <c r="Y40" s="15"/>
      <c r="Z40" s="15"/>
    </row>
    <row r="41" spans="1:26" ht="15.75" customHeight="1" x14ac:dyDescent="0.25">
      <c r="A41" s="17" t="s">
        <v>499</v>
      </c>
      <c r="B41" s="41"/>
      <c r="C41" s="43"/>
      <c r="D41" s="43"/>
      <c r="E41" s="43"/>
      <c r="F41" s="43"/>
      <c r="G41" s="43"/>
      <c r="H41" s="15"/>
      <c r="I41" s="15"/>
      <c r="J41" s="15"/>
      <c r="K41" s="15"/>
      <c r="L41" s="15"/>
      <c r="M41" s="15"/>
      <c r="N41" s="15"/>
      <c r="O41" s="15"/>
      <c r="P41" s="15"/>
      <c r="Q41" s="15"/>
      <c r="R41" s="15"/>
      <c r="S41" s="15"/>
      <c r="T41" s="15"/>
      <c r="U41" s="15"/>
      <c r="V41" s="15"/>
      <c r="W41" s="15"/>
      <c r="X41" s="15"/>
      <c r="Y41" s="15"/>
      <c r="Z41" s="15"/>
    </row>
    <row r="42" spans="1:26" ht="15.75" customHeight="1" x14ac:dyDescent="0.25">
      <c r="A42" s="48" t="s">
        <v>398</v>
      </c>
      <c r="B42" s="41" t="s">
        <v>195</v>
      </c>
      <c r="C42" s="43">
        <v>210585.69</v>
      </c>
      <c r="D42" s="43">
        <v>104385.05</v>
      </c>
      <c r="E42" s="43">
        <f t="shared" ref="E42:E44" si="5">F42-D42</f>
        <v>106614.95</v>
      </c>
      <c r="F42" s="43">
        <v>211000</v>
      </c>
      <c r="G42" s="43">
        <v>211000</v>
      </c>
      <c r="H42" s="233"/>
      <c r="I42" s="15"/>
      <c r="J42" s="15"/>
      <c r="K42" s="15"/>
      <c r="L42" s="15"/>
      <c r="M42" s="15"/>
      <c r="N42" s="15"/>
      <c r="O42" s="15"/>
      <c r="P42" s="15"/>
      <c r="Q42" s="15"/>
      <c r="R42" s="15"/>
      <c r="S42" s="15"/>
      <c r="T42" s="15"/>
      <c r="U42" s="15"/>
      <c r="V42" s="15"/>
      <c r="W42" s="15"/>
      <c r="X42" s="15"/>
      <c r="Y42" s="15"/>
      <c r="Z42" s="15"/>
    </row>
    <row r="43" spans="1:26" ht="15.75" customHeight="1" x14ac:dyDescent="0.25">
      <c r="A43" s="48" t="s">
        <v>399</v>
      </c>
      <c r="B43" s="41" t="s">
        <v>211</v>
      </c>
      <c r="C43" s="43">
        <v>4487875.2</v>
      </c>
      <c r="D43" s="43">
        <v>2486940.2000000002</v>
      </c>
      <c r="E43" s="43">
        <f t="shared" si="5"/>
        <v>2513059.7999999998</v>
      </c>
      <c r="F43" s="43">
        <v>5000000</v>
      </c>
      <c r="G43" s="43">
        <v>5000000</v>
      </c>
      <c r="H43" s="14"/>
      <c r="I43" s="15"/>
      <c r="J43" s="15"/>
      <c r="K43" s="15"/>
      <c r="L43" s="15"/>
      <c r="M43" s="15"/>
      <c r="N43" s="15"/>
      <c r="O43" s="15"/>
      <c r="P43" s="15"/>
      <c r="Q43" s="15"/>
      <c r="R43" s="15"/>
      <c r="S43" s="15"/>
      <c r="T43" s="15"/>
      <c r="U43" s="15"/>
      <c r="V43" s="15"/>
      <c r="W43" s="15"/>
      <c r="X43" s="15"/>
      <c r="Y43" s="15"/>
      <c r="Z43" s="15"/>
    </row>
    <row r="44" spans="1:26" ht="15.75" customHeight="1" x14ac:dyDescent="0.25">
      <c r="A44" s="48" t="s">
        <v>402</v>
      </c>
      <c r="B44" s="41" t="s">
        <v>225</v>
      </c>
      <c r="C44" s="43">
        <v>835853.47</v>
      </c>
      <c r="D44" s="43">
        <v>14946.5</v>
      </c>
      <c r="E44" s="43">
        <f t="shared" si="5"/>
        <v>856053.5</v>
      </c>
      <c r="F44" s="43">
        <v>871000</v>
      </c>
      <c r="G44" s="43">
        <v>871000</v>
      </c>
      <c r="H44" s="233"/>
      <c r="I44" s="15"/>
      <c r="J44" s="15"/>
      <c r="K44" s="15"/>
      <c r="L44" s="15"/>
      <c r="M44" s="15"/>
      <c r="N44" s="15"/>
      <c r="O44" s="15"/>
      <c r="P44" s="15"/>
      <c r="Q44" s="15"/>
      <c r="R44" s="15"/>
      <c r="S44" s="15"/>
      <c r="T44" s="15"/>
      <c r="U44" s="15"/>
      <c r="V44" s="15"/>
      <c r="W44" s="15"/>
      <c r="X44" s="15"/>
      <c r="Y44" s="15"/>
      <c r="Z44" s="15"/>
    </row>
    <row r="45" spans="1:26" ht="15.75" customHeight="1" x14ac:dyDescent="0.25">
      <c r="A45" s="42" t="s">
        <v>503</v>
      </c>
      <c r="B45" s="41"/>
      <c r="C45" s="43"/>
      <c r="D45" s="43"/>
      <c r="E45" s="43"/>
      <c r="F45" s="43"/>
      <c r="G45" s="43"/>
      <c r="H45" s="15"/>
      <c r="I45" s="15"/>
      <c r="J45" s="15"/>
      <c r="K45" s="15"/>
      <c r="L45" s="15"/>
      <c r="M45" s="15"/>
      <c r="N45" s="15"/>
      <c r="O45" s="15"/>
      <c r="P45" s="15"/>
      <c r="Q45" s="15"/>
      <c r="R45" s="15"/>
      <c r="S45" s="15"/>
      <c r="T45" s="15"/>
      <c r="U45" s="15"/>
      <c r="V45" s="15"/>
      <c r="W45" s="15"/>
      <c r="X45" s="15"/>
      <c r="Y45" s="15"/>
      <c r="Z45" s="15"/>
    </row>
    <row r="46" spans="1:26" ht="15.75" customHeight="1" x14ac:dyDescent="0.25">
      <c r="A46" s="48" t="s">
        <v>643</v>
      </c>
      <c r="B46" s="41" t="s">
        <v>233</v>
      </c>
      <c r="C46" s="43">
        <v>0</v>
      </c>
      <c r="D46" s="43">
        <v>1869.21</v>
      </c>
      <c r="E46" s="43">
        <f t="shared" ref="E46:E47" si="6">F46-D46</f>
        <v>16130.79</v>
      </c>
      <c r="F46" s="43">
        <v>18000</v>
      </c>
      <c r="G46" s="43">
        <v>18000</v>
      </c>
      <c r="H46" s="233"/>
      <c r="I46" s="15"/>
      <c r="J46" s="15"/>
      <c r="K46" s="15"/>
      <c r="L46" s="15"/>
      <c r="M46" s="15"/>
      <c r="N46" s="15"/>
      <c r="O46" s="15"/>
      <c r="P46" s="15"/>
      <c r="Q46" s="15"/>
      <c r="R46" s="15"/>
      <c r="S46" s="15"/>
      <c r="T46" s="15"/>
      <c r="U46" s="15"/>
      <c r="V46" s="15"/>
      <c r="W46" s="15"/>
      <c r="X46" s="15"/>
      <c r="Y46" s="15"/>
      <c r="Z46" s="15"/>
    </row>
    <row r="47" spans="1:26" ht="15.75" customHeight="1" x14ac:dyDescent="0.25">
      <c r="A47" s="48" t="s">
        <v>504</v>
      </c>
      <c r="B47" s="41" t="s">
        <v>237</v>
      </c>
      <c r="C47" s="43">
        <v>0</v>
      </c>
      <c r="D47" s="43">
        <v>1500</v>
      </c>
      <c r="E47" s="43">
        <f t="shared" si="6"/>
        <v>10500</v>
      </c>
      <c r="F47" s="43">
        <v>12000</v>
      </c>
      <c r="G47" s="43">
        <v>12000</v>
      </c>
      <c r="H47" s="233"/>
      <c r="I47" s="15"/>
      <c r="J47" s="15"/>
      <c r="K47" s="15"/>
      <c r="L47" s="15"/>
      <c r="M47" s="15"/>
      <c r="N47" s="15"/>
      <c r="O47" s="15"/>
      <c r="P47" s="15"/>
      <c r="Q47" s="15"/>
      <c r="R47" s="15"/>
      <c r="S47" s="15"/>
      <c r="T47" s="15"/>
      <c r="U47" s="15"/>
      <c r="V47" s="15"/>
      <c r="W47" s="15"/>
      <c r="X47" s="15"/>
      <c r="Y47" s="15"/>
      <c r="Z47" s="15"/>
    </row>
    <row r="48" spans="1:26" ht="15.75" customHeight="1" x14ac:dyDescent="0.25">
      <c r="A48" s="42" t="s">
        <v>506</v>
      </c>
      <c r="B48" s="41"/>
      <c r="C48" s="43"/>
      <c r="D48" s="43"/>
      <c r="E48" s="43"/>
      <c r="F48" s="43"/>
      <c r="G48" s="43"/>
      <c r="H48" s="15"/>
      <c r="I48" s="15"/>
      <c r="J48" s="15"/>
      <c r="K48" s="15"/>
      <c r="L48" s="15"/>
      <c r="M48" s="15"/>
      <c r="N48" s="15"/>
      <c r="O48" s="15"/>
      <c r="P48" s="15"/>
      <c r="Q48" s="15"/>
      <c r="R48" s="15"/>
      <c r="S48" s="15"/>
      <c r="T48" s="15"/>
      <c r="U48" s="15"/>
      <c r="V48" s="15"/>
      <c r="W48" s="15"/>
      <c r="X48" s="15"/>
      <c r="Y48" s="15"/>
      <c r="Z48" s="15"/>
    </row>
    <row r="49" spans="1:26" ht="15.75" customHeight="1" x14ac:dyDescent="0.25">
      <c r="A49" s="48" t="s">
        <v>838</v>
      </c>
      <c r="B49" s="41" t="s">
        <v>285</v>
      </c>
      <c r="C49" s="43">
        <v>28613304</v>
      </c>
      <c r="D49" s="45">
        <v>10150240</v>
      </c>
      <c r="E49" s="43">
        <f>F49-D49</f>
        <v>31298160</v>
      </c>
      <c r="F49" s="43">
        <v>41448400</v>
      </c>
      <c r="G49" s="43">
        <v>41448400</v>
      </c>
      <c r="H49" s="233"/>
      <c r="I49" s="15"/>
      <c r="J49" s="15"/>
      <c r="K49" s="15"/>
      <c r="L49" s="15"/>
      <c r="M49" s="15"/>
      <c r="N49" s="15"/>
      <c r="O49" s="15"/>
      <c r="P49" s="15"/>
      <c r="Q49" s="15"/>
      <c r="R49" s="15"/>
      <c r="S49" s="15"/>
      <c r="T49" s="15"/>
      <c r="U49" s="15"/>
      <c r="V49" s="15"/>
      <c r="W49" s="15"/>
      <c r="X49" s="15"/>
      <c r="Y49" s="15"/>
      <c r="Z49" s="15"/>
    </row>
    <row r="50" spans="1:26" ht="15.75" customHeight="1" x14ac:dyDescent="0.25">
      <c r="A50" s="48" t="s">
        <v>2416</v>
      </c>
      <c r="B50" s="41"/>
      <c r="C50" s="45"/>
      <c r="D50" s="45"/>
      <c r="E50" s="43"/>
      <c r="F50" s="45"/>
      <c r="G50" s="45"/>
      <c r="H50" s="233"/>
      <c r="I50" s="15"/>
      <c r="J50" s="15"/>
      <c r="K50" s="15"/>
      <c r="L50" s="15"/>
      <c r="M50" s="15"/>
      <c r="N50" s="15"/>
      <c r="O50" s="15"/>
      <c r="P50" s="15"/>
      <c r="Q50" s="15"/>
      <c r="R50" s="15"/>
      <c r="S50" s="15"/>
      <c r="T50" s="15"/>
      <c r="U50" s="15"/>
      <c r="V50" s="15"/>
      <c r="W50" s="15"/>
      <c r="X50" s="15"/>
      <c r="Y50" s="15"/>
      <c r="Z50" s="15"/>
    </row>
    <row r="51" spans="1:26" ht="15.75" customHeight="1" x14ac:dyDescent="0.25">
      <c r="A51" s="48" t="s">
        <v>2417</v>
      </c>
      <c r="B51" s="41"/>
      <c r="C51" s="45"/>
      <c r="D51" s="45"/>
      <c r="E51" s="43"/>
      <c r="F51" s="45"/>
      <c r="G51" s="45"/>
      <c r="H51" s="233"/>
      <c r="I51" s="15"/>
      <c r="J51" s="15"/>
      <c r="K51" s="15"/>
      <c r="L51" s="15"/>
      <c r="M51" s="15"/>
      <c r="N51" s="15"/>
      <c r="O51" s="15"/>
      <c r="P51" s="15"/>
      <c r="Q51" s="15"/>
      <c r="R51" s="15"/>
      <c r="S51" s="15"/>
      <c r="T51" s="15"/>
      <c r="U51" s="15"/>
      <c r="V51" s="15"/>
      <c r="W51" s="15"/>
      <c r="X51" s="15"/>
      <c r="Y51" s="15"/>
      <c r="Z51" s="15"/>
    </row>
    <row r="52" spans="1:26" ht="15.75" customHeight="1" x14ac:dyDescent="0.25">
      <c r="A52" s="48" t="s">
        <v>817</v>
      </c>
      <c r="B52" s="41" t="s">
        <v>287</v>
      </c>
      <c r="C52" s="45">
        <v>1951042</v>
      </c>
      <c r="D52" s="43">
        <v>1215500</v>
      </c>
      <c r="E52" s="43">
        <f>F52-D52</f>
        <v>1284500</v>
      </c>
      <c r="F52" s="45">
        <v>2500000</v>
      </c>
      <c r="G52" s="45">
        <v>2500000</v>
      </c>
      <c r="H52" s="233"/>
      <c r="I52" s="15"/>
      <c r="J52" s="15"/>
      <c r="K52" s="15"/>
      <c r="L52" s="15"/>
      <c r="M52" s="15"/>
      <c r="N52" s="15"/>
      <c r="O52" s="15"/>
      <c r="P52" s="15"/>
      <c r="Q52" s="15"/>
      <c r="R52" s="15"/>
      <c r="S52" s="15"/>
      <c r="T52" s="15"/>
      <c r="U52" s="15"/>
      <c r="V52" s="15"/>
      <c r="W52" s="15"/>
      <c r="X52" s="15"/>
      <c r="Y52" s="15"/>
      <c r="Z52" s="15"/>
    </row>
    <row r="53" spans="1:26" ht="15.75" customHeight="1" x14ac:dyDescent="0.25">
      <c r="A53" s="403" t="s">
        <v>424</v>
      </c>
      <c r="B53" s="41"/>
      <c r="C53" s="45"/>
      <c r="D53" s="43"/>
      <c r="E53" s="43"/>
      <c r="F53" s="45"/>
      <c r="G53" s="43"/>
      <c r="H53" s="233"/>
      <c r="I53" s="15"/>
      <c r="J53" s="15"/>
      <c r="K53" s="15"/>
      <c r="L53" s="15"/>
      <c r="M53" s="15"/>
      <c r="N53" s="15"/>
      <c r="O53" s="15"/>
      <c r="P53" s="15"/>
      <c r="Q53" s="15"/>
      <c r="R53" s="15"/>
      <c r="S53" s="15"/>
      <c r="T53" s="15"/>
      <c r="U53" s="15"/>
      <c r="V53" s="15"/>
      <c r="W53" s="15"/>
      <c r="X53" s="15"/>
      <c r="Y53" s="15"/>
      <c r="Z53" s="15"/>
    </row>
    <row r="54" spans="1:26" ht="15.75" customHeight="1" x14ac:dyDescent="0.25">
      <c r="A54" s="370" t="s">
        <v>424</v>
      </c>
      <c r="B54" s="41" t="s">
        <v>335</v>
      </c>
      <c r="C54" s="45">
        <v>0</v>
      </c>
      <c r="D54" s="43">
        <v>0</v>
      </c>
      <c r="E54" s="43">
        <f>F54-D54</f>
        <v>65000</v>
      </c>
      <c r="F54" s="45">
        <v>65000</v>
      </c>
      <c r="G54" s="45">
        <v>65000</v>
      </c>
      <c r="H54" s="233"/>
      <c r="I54" s="15"/>
      <c r="J54" s="15"/>
      <c r="K54" s="15"/>
      <c r="L54" s="15"/>
      <c r="M54" s="15"/>
      <c r="N54" s="15"/>
      <c r="O54" s="15"/>
      <c r="P54" s="15"/>
      <c r="Q54" s="15"/>
      <c r="R54" s="15"/>
      <c r="S54" s="15"/>
      <c r="T54" s="15"/>
      <c r="U54" s="15"/>
      <c r="V54" s="15"/>
      <c r="W54" s="15"/>
      <c r="X54" s="15"/>
      <c r="Y54" s="15"/>
      <c r="Z54" s="15"/>
    </row>
    <row r="55" spans="1:26" ht="15.75" customHeight="1" x14ac:dyDescent="0.25">
      <c r="A55" s="42" t="s">
        <v>2418</v>
      </c>
      <c r="B55" s="41"/>
      <c r="C55" s="45"/>
      <c r="D55" s="43"/>
      <c r="E55" s="43"/>
      <c r="F55" s="45"/>
      <c r="G55" s="45"/>
      <c r="H55" s="15"/>
      <c r="I55" s="15"/>
      <c r="J55" s="15"/>
      <c r="K55" s="15"/>
      <c r="L55" s="15"/>
      <c r="M55" s="15"/>
      <c r="N55" s="15"/>
      <c r="O55" s="15"/>
      <c r="P55" s="15"/>
      <c r="Q55" s="15"/>
      <c r="R55" s="15"/>
      <c r="S55" s="15"/>
      <c r="T55" s="15"/>
      <c r="U55" s="15"/>
      <c r="V55" s="15"/>
      <c r="W55" s="15"/>
      <c r="X55" s="15"/>
      <c r="Y55" s="15"/>
      <c r="Z55" s="15"/>
    </row>
    <row r="56" spans="1:26" ht="15.75" customHeight="1" x14ac:dyDescent="0.25">
      <c r="A56" s="42" t="s">
        <v>672</v>
      </c>
      <c r="B56" s="41"/>
      <c r="C56" s="54">
        <f>SUM(C38:C54)</f>
        <v>36098660.359999999</v>
      </c>
      <c r="D56" s="54">
        <f>SUM(D38:D54)</f>
        <v>13975380.960000001</v>
      </c>
      <c r="E56" s="54">
        <f>SUM(E38:E54)</f>
        <v>36250019.039999999</v>
      </c>
      <c r="F56" s="54">
        <f>SUM(F38:F54)</f>
        <v>50225400</v>
      </c>
      <c r="G56" s="54">
        <f>SUM(G38:G54)</f>
        <v>50425400</v>
      </c>
      <c r="H56" s="15"/>
      <c r="I56" s="15"/>
      <c r="J56" s="15"/>
      <c r="K56" s="15"/>
      <c r="L56" s="15"/>
      <c r="M56" s="15"/>
      <c r="N56" s="15"/>
      <c r="O56" s="15"/>
      <c r="P56" s="15"/>
      <c r="Q56" s="15"/>
      <c r="R56" s="15"/>
      <c r="S56" s="15"/>
      <c r="T56" s="15"/>
      <c r="U56" s="15"/>
      <c r="V56" s="15"/>
      <c r="W56" s="15"/>
      <c r="X56" s="15"/>
      <c r="Y56" s="15"/>
      <c r="Z56" s="15"/>
    </row>
    <row r="57" spans="1:26" ht="15.75" customHeight="1" x14ac:dyDescent="0.25">
      <c r="A57" s="42"/>
      <c r="B57" s="41"/>
      <c r="C57" s="43"/>
      <c r="D57" s="43"/>
      <c r="E57" s="43"/>
      <c r="F57" s="43"/>
      <c r="G57" s="43"/>
      <c r="H57" s="15"/>
      <c r="I57" s="15"/>
      <c r="J57" s="15"/>
      <c r="K57" s="15"/>
      <c r="L57" s="15"/>
      <c r="M57" s="15"/>
      <c r="N57" s="15"/>
      <c r="O57" s="15"/>
      <c r="P57" s="15"/>
      <c r="Q57" s="15"/>
      <c r="R57" s="15"/>
      <c r="S57" s="15"/>
      <c r="T57" s="15"/>
      <c r="U57" s="15"/>
      <c r="V57" s="15"/>
      <c r="W57" s="15"/>
      <c r="X57" s="15"/>
      <c r="Y57" s="15"/>
      <c r="Z57" s="15"/>
    </row>
    <row r="58" spans="1:26" ht="15.75" customHeight="1" x14ac:dyDescent="0.25">
      <c r="A58" s="42" t="s">
        <v>467</v>
      </c>
      <c r="B58" s="41"/>
      <c r="C58" s="43">
        <f>C36+C56</f>
        <v>67166023.439999998</v>
      </c>
      <c r="D58" s="43">
        <f>D36+D56</f>
        <v>29532110.920000002</v>
      </c>
      <c r="E58" s="43">
        <f>E36+E56</f>
        <v>58830650.079999998</v>
      </c>
      <c r="F58" s="43">
        <f>F36+F56</f>
        <v>88362761</v>
      </c>
      <c r="G58" s="43">
        <f>G36+G56</f>
        <v>89657064</v>
      </c>
      <c r="H58" s="15"/>
      <c r="I58" s="15"/>
      <c r="J58" s="15"/>
      <c r="K58" s="15"/>
      <c r="L58" s="15"/>
      <c r="M58" s="15"/>
      <c r="N58" s="15"/>
      <c r="O58" s="15"/>
      <c r="P58" s="15"/>
      <c r="Q58" s="15"/>
      <c r="R58" s="15"/>
      <c r="S58" s="15"/>
      <c r="T58" s="15"/>
      <c r="U58" s="15"/>
      <c r="V58" s="15"/>
      <c r="W58" s="15"/>
      <c r="X58" s="15"/>
      <c r="Y58" s="15"/>
      <c r="Z58" s="15"/>
    </row>
    <row r="59" spans="1:26" ht="15.75" customHeight="1" x14ac:dyDescent="0.25">
      <c r="A59" s="17"/>
      <c r="B59" s="41"/>
      <c r="C59" s="43"/>
      <c r="D59" s="43"/>
      <c r="E59" s="43"/>
      <c r="F59" s="43"/>
      <c r="G59" s="45"/>
      <c r="H59" s="15"/>
      <c r="I59" s="15"/>
      <c r="J59" s="15"/>
      <c r="K59" s="15"/>
      <c r="L59" s="15"/>
      <c r="M59" s="15"/>
      <c r="N59" s="15"/>
      <c r="O59" s="15"/>
      <c r="P59" s="15"/>
      <c r="Q59" s="15"/>
      <c r="R59" s="15"/>
      <c r="S59" s="15"/>
      <c r="T59" s="15"/>
      <c r="U59" s="15"/>
      <c r="V59" s="15"/>
      <c r="W59" s="15"/>
      <c r="X59" s="15"/>
      <c r="Y59" s="15"/>
      <c r="Z59" s="15"/>
    </row>
    <row r="60" spans="1:26" ht="15.75" customHeight="1" x14ac:dyDescent="0.25">
      <c r="A60" s="50" t="s">
        <v>487</v>
      </c>
      <c r="B60" s="51" t="s">
        <v>488</v>
      </c>
      <c r="C60" s="53" t="e">
        <f>C58+#REF!</f>
        <v>#REF!</v>
      </c>
      <c r="D60" s="53" t="e">
        <f>D58+#REF!</f>
        <v>#REF!</v>
      </c>
      <c r="E60" s="53" t="e">
        <f>E58+#REF!</f>
        <v>#REF!</v>
      </c>
      <c r="F60" s="53" t="e">
        <f>F58+#REF!</f>
        <v>#REF!</v>
      </c>
      <c r="G60" s="53">
        <f>+G58</f>
        <v>89657064</v>
      </c>
      <c r="H60" s="15"/>
      <c r="I60" s="15"/>
      <c r="J60" s="15"/>
      <c r="K60" s="15"/>
      <c r="L60" s="15"/>
      <c r="M60" s="15"/>
      <c r="N60" s="15"/>
      <c r="O60" s="15"/>
      <c r="P60" s="15"/>
      <c r="Q60" s="15"/>
      <c r="R60" s="15"/>
      <c r="S60" s="15"/>
      <c r="T60" s="15"/>
      <c r="U60" s="15"/>
      <c r="V60" s="15"/>
      <c r="W60" s="15"/>
      <c r="X60" s="15"/>
      <c r="Y60" s="15"/>
      <c r="Z60" s="15"/>
    </row>
    <row r="61" spans="1:26" ht="15.75" customHeight="1" x14ac:dyDescent="0.25">
      <c r="A61" s="24"/>
      <c r="B61" s="25"/>
      <c r="C61" s="26"/>
      <c r="D61" s="26"/>
      <c r="E61" s="26"/>
      <c r="F61" s="26"/>
      <c r="G61" s="26"/>
      <c r="H61" s="15"/>
      <c r="I61" s="15"/>
      <c r="J61" s="15"/>
      <c r="K61" s="15"/>
      <c r="L61" s="15"/>
      <c r="M61" s="15"/>
      <c r="N61" s="15"/>
      <c r="O61" s="15"/>
      <c r="P61" s="15"/>
      <c r="Q61" s="15"/>
      <c r="R61" s="15"/>
      <c r="S61" s="15"/>
      <c r="T61" s="15"/>
      <c r="U61" s="15"/>
      <c r="V61" s="15"/>
      <c r="W61" s="15"/>
      <c r="X61" s="15"/>
      <c r="Y61" s="15"/>
      <c r="Z61" s="15"/>
    </row>
    <row r="62" spans="1:26" ht="15.75" customHeight="1" x14ac:dyDescent="0.25">
      <c r="A62" s="24"/>
      <c r="B62" s="174"/>
      <c r="C62" s="24"/>
      <c r="D62" s="24"/>
      <c r="E62" s="24"/>
      <c r="F62" s="114"/>
      <c r="G62" s="114"/>
    </row>
    <row r="63" spans="1:26" ht="15.75" customHeight="1" x14ac:dyDescent="0.25">
      <c r="A63" s="24"/>
      <c r="B63" s="174"/>
      <c r="C63" s="24"/>
      <c r="D63" s="24"/>
      <c r="E63" s="24"/>
      <c r="F63" s="114"/>
      <c r="G63" s="114"/>
    </row>
    <row r="64" spans="1:26" ht="15.75" customHeight="1" x14ac:dyDescent="0.25">
      <c r="A64" s="24"/>
      <c r="B64" s="174"/>
      <c r="C64" s="24"/>
      <c r="D64" s="24"/>
      <c r="E64" s="24"/>
      <c r="F64" s="114"/>
      <c r="G64" s="114"/>
    </row>
    <row r="65" spans="1:7" ht="15.75" customHeight="1" x14ac:dyDescent="0.25">
      <c r="A65" s="24"/>
      <c r="B65" s="174"/>
      <c r="C65" s="24"/>
      <c r="D65" s="24"/>
      <c r="E65" s="24"/>
      <c r="F65" s="114"/>
      <c r="G65" s="114"/>
    </row>
    <row r="66" spans="1:7" ht="15.75" customHeight="1" x14ac:dyDescent="0.25">
      <c r="A66" s="24"/>
      <c r="B66" s="174"/>
      <c r="C66" s="24"/>
      <c r="D66" s="24"/>
      <c r="E66" s="24"/>
      <c r="F66" s="114"/>
      <c r="G66" s="114"/>
    </row>
    <row r="67" spans="1:7" ht="15.75" customHeight="1" x14ac:dyDescent="0.25">
      <c r="A67" s="24"/>
      <c r="B67" s="174"/>
      <c r="C67" s="24"/>
      <c r="D67" s="24"/>
      <c r="E67" s="24"/>
      <c r="F67" s="114"/>
      <c r="G67" s="114"/>
    </row>
    <row r="68" spans="1:7" ht="15.75" customHeight="1" x14ac:dyDescent="0.25">
      <c r="A68" s="24"/>
      <c r="B68" s="174"/>
      <c r="C68" s="24"/>
      <c r="D68" s="24"/>
      <c r="E68" s="24"/>
      <c r="F68" s="114"/>
      <c r="G68" s="114"/>
    </row>
    <row r="69" spans="1:7" ht="15.75" customHeight="1" x14ac:dyDescent="0.25">
      <c r="A69" s="24"/>
      <c r="B69" s="174"/>
      <c r="C69" s="24"/>
      <c r="D69" s="24"/>
      <c r="E69" s="24"/>
      <c r="F69" s="114"/>
      <c r="G69" s="114"/>
    </row>
    <row r="70" spans="1:7" ht="15.75" customHeight="1" x14ac:dyDescent="0.25">
      <c r="A70" s="24"/>
      <c r="B70" s="174"/>
      <c r="C70" s="24"/>
      <c r="D70" s="24"/>
      <c r="E70" s="24"/>
      <c r="F70" s="114"/>
      <c r="G70" s="114"/>
    </row>
    <row r="71" spans="1:7" ht="15.75" customHeight="1" x14ac:dyDescent="0.25">
      <c r="A71" s="24"/>
      <c r="B71" s="174"/>
      <c r="C71" s="24"/>
      <c r="D71" s="24"/>
      <c r="E71" s="24"/>
      <c r="F71" s="114"/>
      <c r="G71" s="114"/>
    </row>
    <row r="72" spans="1:7" ht="15.75" customHeight="1" x14ac:dyDescent="0.25">
      <c r="A72" s="24"/>
      <c r="B72" s="174"/>
      <c r="C72" s="24"/>
      <c r="D72" s="24"/>
      <c r="E72" s="24"/>
      <c r="F72" s="114"/>
      <c r="G72" s="114"/>
    </row>
    <row r="73" spans="1:7" ht="15.75" customHeight="1" x14ac:dyDescent="0.25">
      <c r="A73" s="24"/>
      <c r="B73" s="174"/>
      <c r="C73" s="24"/>
      <c r="D73" s="24"/>
      <c r="E73" s="24"/>
      <c r="F73" s="114"/>
      <c r="G73" s="114"/>
    </row>
    <row r="74" spans="1:7" ht="15.75" customHeight="1" x14ac:dyDescent="0.25">
      <c r="A74" s="24"/>
      <c r="B74" s="174"/>
      <c r="C74" s="24"/>
      <c r="D74" s="24"/>
      <c r="E74" s="24"/>
      <c r="F74" s="114"/>
      <c r="G74" s="114"/>
    </row>
    <row r="75" spans="1:7" ht="15.75" customHeight="1" x14ac:dyDescent="0.25">
      <c r="A75" s="24"/>
      <c r="B75" s="174"/>
      <c r="C75" s="24"/>
      <c r="D75" s="24"/>
      <c r="E75" s="24"/>
      <c r="F75" s="114"/>
      <c r="G75" s="114"/>
    </row>
    <row r="76" spans="1:7" ht="15.75" customHeight="1" x14ac:dyDescent="0.25">
      <c r="A76" s="24"/>
      <c r="B76" s="174"/>
      <c r="C76" s="24"/>
      <c r="D76" s="24"/>
      <c r="E76" s="24"/>
      <c r="F76" s="114"/>
      <c r="G76" s="114"/>
    </row>
    <row r="77" spans="1:7" ht="15.75" customHeight="1" x14ac:dyDescent="0.25">
      <c r="A77" s="24"/>
      <c r="B77" s="174"/>
      <c r="C77" s="24"/>
      <c r="D77" s="24"/>
      <c r="E77" s="24"/>
      <c r="F77" s="114"/>
      <c r="G77" s="114"/>
    </row>
    <row r="78" spans="1:7" ht="15.75" customHeight="1" x14ac:dyDescent="0.25">
      <c r="A78" s="24"/>
      <c r="B78" s="174"/>
      <c r="C78" s="24"/>
      <c r="D78" s="24"/>
      <c r="E78" s="24"/>
      <c r="F78" s="114"/>
      <c r="G78" s="114"/>
    </row>
    <row r="79" spans="1:7" ht="15.75" customHeight="1" x14ac:dyDescent="0.25">
      <c r="A79" s="24"/>
      <c r="B79" s="174"/>
      <c r="C79" s="24"/>
      <c r="D79" s="24"/>
      <c r="E79" s="24"/>
      <c r="F79" s="114"/>
      <c r="G79" s="114"/>
    </row>
    <row r="80" spans="1:7" ht="15.75" customHeight="1" x14ac:dyDescent="0.25">
      <c r="A80" s="24"/>
      <c r="B80" s="174"/>
      <c r="C80" s="24"/>
      <c r="D80" s="24"/>
      <c r="E80" s="24"/>
      <c r="F80" s="114"/>
      <c r="G80" s="114"/>
    </row>
    <row r="81" spans="1:7" ht="15.75" customHeight="1" x14ac:dyDescent="0.25">
      <c r="A81" s="24"/>
      <c r="B81" s="174"/>
      <c r="C81" s="24"/>
      <c r="D81" s="24"/>
      <c r="E81" s="24"/>
      <c r="F81" s="114"/>
      <c r="G81" s="114"/>
    </row>
    <row r="82" spans="1:7" ht="15.75" customHeight="1" x14ac:dyDescent="0.25">
      <c r="A82" s="24"/>
      <c r="B82" s="174"/>
      <c r="C82" s="24"/>
      <c r="D82" s="24"/>
      <c r="E82" s="24"/>
      <c r="F82" s="114"/>
      <c r="G82" s="114"/>
    </row>
    <row r="83" spans="1:7" ht="15.75" customHeight="1" x14ac:dyDescent="0.25">
      <c r="A83" s="24"/>
      <c r="B83" s="174"/>
      <c r="C83" s="24"/>
      <c r="D83" s="24"/>
      <c r="E83" s="24"/>
      <c r="F83" s="114"/>
      <c r="G83" s="114"/>
    </row>
    <row r="84" spans="1:7" ht="15.75" customHeight="1" x14ac:dyDescent="0.25">
      <c r="A84" s="24"/>
      <c r="B84" s="174"/>
      <c r="C84" s="24"/>
      <c r="D84" s="24"/>
      <c r="E84" s="24"/>
      <c r="F84" s="114"/>
      <c r="G84" s="114"/>
    </row>
    <row r="85" spans="1:7" ht="15.75" customHeight="1" x14ac:dyDescent="0.25">
      <c r="A85" s="24"/>
      <c r="B85" s="174"/>
      <c r="C85" s="24"/>
      <c r="D85" s="24"/>
      <c r="E85" s="24"/>
      <c r="F85" s="114"/>
      <c r="G85" s="114"/>
    </row>
    <row r="86" spans="1:7" ht="15.75" customHeight="1" x14ac:dyDescent="0.25">
      <c r="A86" s="24"/>
      <c r="B86" s="174"/>
      <c r="C86" s="24"/>
      <c r="D86" s="24"/>
      <c r="E86" s="24"/>
      <c r="F86" s="114"/>
      <c r="G86" s="114"/>
    </row>
    <row r="87" spans="1:7" ht="15.75" customHeight="1" x14ac:dyDescent="0.25">
      <c r="A87" s="24"/>
      <c r="B87" s="174"/>
      <c r="C87" s="24"/>
      <c r="D87" s="24"/>
      <c r="E87" s="24"/>
      <c r="F87" s="114"/>
      <c r="G87" s="114"/>
    </row>
    <row r="88" spans="1:7" ht="15.75" customHeight="1" x14ac:dyDescent="0.25">
      <c r="A88" s="24"/>
      <c r="B88" s="174"/>
      <c r="C88" s="24"/>
      <c r="D88" s="24"/>
      <c r="E88" s="24"/>
      <c r="F88" s="114"/>
      <c r="G88" s="114"/>
    </row>
    <row r="89" spans="1:7" ht="15.75" customHeight="1" x14ac:dyDescent="0.25">
      <c r="A89" s="24"/>
      <c r="B89" s="174"/>
      <c r="C89" s="24"/>
      <c r="D89" s="24"/>
      <c r="E89" s="24"/>
      <c r="F89" s="114"/>
      <c r="G89" s="114"/>
    </row>
    <row r="90" spans="1:7" ht="15.75" customHeight="1" x14ac:dyDescent="0.25">
      <c r="A90" s="24"/>
      <c r="B90" s="174"/>
      <c r="C90" s="24"/>
      <c r="D90" s="24"/>
      <c r="E90" s="24"/>
      <c r="F90" s="114"/>
      <c r="G90" s="114"/>
    </row>
    <row r="91" spans="1:7" ht="15.75" customHeight="1" x14ac:dyDescent="0.25">
      <c r="A91" s="24"/>
      <c r="B91" s="174"/>
      <c r="C91" s="24"/>
      <c r="D91" s="24"/>
      <c r="E91" s="24"/>
      <c r="F91" s="114"/>
      <c r="G91" s="114"/>
    </row>
    <row r="92" spans="1:7" ht="15.75" customHeight="1" x14ac:dyDescent="0.25">
      <c r="A92" s="24"/>
      <c r="B92" s="174"/>
      <c r="C92" s="24"/>
      <c r="D92" s="24"/>
      <c r="E92" s="24"/>
      <c r="F92" s="114"/>
      <c r="G92" s="114"/>
    </row>
    <row r="93" spans="1:7" ht="15.75" customHeight="1" x14ac:dyDescent="0.25">
      <c r="A93" s="24"/>
      <c r="B93" s="174"/>
      <c r="C93" s="24"/>
      <c r="D93" s="24"/>
      <c r="E93" s="24"/>
      <c r="F93" s="114"/>
      <c r="G93" s="114"/>
    </row>
    <row r="94" spans="1:7" ht="15.75" customHeight="1" x14ac:dyDescent="0.25">
      <c r="A94" s="24"/>
      <c r="B94" s="174"/>
      <c r="C94" s="24"/>
      <c r="D94" s="24"/>
      <c r="E94" s="24"/>
      <c r="F94" s="114"/>
      <c r="G94" s="114"/>
    </row>
    <row r="95" spans="1:7" ht="15.75" customHeight="1" x14ac:dyDescent="0.25">
      <c r="A95" s="24"/>
      <c r="B95" s="174"/>
      <c r="C95" s="24"/>
      <c r="D95" s="24"/>
      <c r="E95" s="24"/>
      <c r="F95" s="114"/>
      <c r="G95" s="114"/>
    </row>
    <row r="96" spans="1:7" ht="15.75" customHeight="1" x14ac:dyDescent="0.25">
      <c r="A96" s="24"/>
      <c r="B96" s="174"/>
      <c r="C96" s="24"/>
      <c r="D96" s="24"/>
      <c r="E96" s="24"/>
      <c r="F96" s="114"/>
      <c r="G96" s="114"/>
    </row>
    <row r="97" spans="1:7" ht="15.75" customHeight="1" x14ac:dyDescent="0.25">
      <c r="A97" s="24"/>
      <c r="B97" s="174"/>
      <c r="C97" s="24"/>
      <c r="D97" s="24"/>
      <c r="E97" s="24"/>
      <c r="F97" s="114"/>
      <c r="G97" s="114"/>
    </row>
    <row r="98" spans="1:7" ht="15.75" customHeight="1" x14ac:dyDescent="0.25">
      <c r="A98" s="24"/>
      <c r="B98" s="174"/>
      <c r="C98" s="24"/>
      <c r="D98" s="24"/>
      <c r="E98" s="24"/>
      <c r="F98" s="114"/>
      <c r="G98" s="114"/>
    </row>
    <row r="99" spans="1:7" ht="15.75" customHeight="1" x14ac:dyDescent="0.25">
      <c r="A99" s="24"/>
      <c r="B99" s="174"/>
      <c r="C99" s="24"/>
      <c r="D99" s="24"/>
      <c r="E99" s="24"/>
      <c r="F99" s="114"/>
      <c r="G99" s="114"/>
    </row>
    <row r="100" spans="1:7" ht="15.75" customHeight="1" x14ac:dyDescent="0.25">
      <c r="A100" s="24"/>
      <c r="B100" s="174"/>
      <c r="C100" s="24"/>
      <c r="D100" s="24"/>
      <c r="E100" s="24"/>
      <c r="F100" s="114"/>
      <c r="G100" s="114"/>
    </row>
    <row r="101" spans="1:7" ht="15.75" customHeight="1" x14ac:dyDescent="0.25">
      <c r="A101" s="24"/>
      <c r="B101" s="174"/>
      <c r="C101" s="24"/>
      <c r="D101" s="24"/>
      <c r="E101" s="24"/>
      <c r="F101" s="114"/>
      <c r="G101" s="114"/>
    </row>
    <row r="102" spans="1:7" ht="15.75" customHeight="1" x14ac:dyDescent="0.25">
      <c r="A102" s="24"/>
      <c r="B102" s="174"/>
      <c r="C102" s="24"/>
      <c r="D102" s="24"/>
      <c r="E102" s="24"/>
      <c r="F102" s="114"/>
      <c r="G102" s="114"/>
    </row>
    <row r="103" spans="1:7" ht="15.75" customHeight="1" x14ac:dyDescent="0.25">
      <c r="A103" s="24"/>
      <c r="B103" s="174"/>
      <c r="C103" s="24"/>
      <c r="D103" s="24"/>
      <c r="E103" s="24"/>
      <c r="F103" s="114"/>
      <c r="G103" s="114"/>
    </row>
    <row r="104" spans="1:7" ht="15.75" customHeight="1" x14ac:dyDescent="0.25">
      <c r="A104" s="24"/>
      <c r="B104" s="174"/>
      <c r="C104" s="24"/>
      <c r="D104" s="24"/>
      <c r="E104" s="24"/>
      <c r="F104" s="114"/>
      <c r="G104" s="114"/>
    </row>
    <row r="105" spans="1:7" ht="15.75" customHeight="1" x14ac:dyDescent="0.25">
      <c r="A105" s="24"/>
      <c r="B105" s="174"/>
      <c r="C105" s="24"/>
      <c r="D105" s="24"/>
      <c r="E105" s="24"/>
      <c r="F105" s="114"/>
      <c r="G105" s="114"/>
    </row>
    <row r="106" spans="1:7" ht="15.75" customHeight="1" x14ac:dyDescent="0.25">
      <c r="A106" s="24"/>
      <c r="B106" s="174"/>
      <c r="C106" s="24"/>
      <c r="D106" s="24"/>
      <c r="E106" s="24"/>
      <c r="F106" s="114"/>
      <c r="G106" s="114"/>
    </row>
    <row r="107" spans="1:7" ht="15.75" customHeight="1" x14ac:dyDescent="0.25">
      <c r="A107" s="24"/>
      <c r="B107" s="174"/>
      <c r="C107" s="24"/>
      <c r="D107" s="24"/>
      <c r="E107" s="24"/>
      <c r="F107" s="114"/>
      <c r="G107" s="114"/>
    </row>
    <row r="108" spans="1:7" ht="15.75" customHeight="1" x14ac:dyDescent="0.25">
      <c r="A108" s="24"/>
      <c r="B108" s="174"/>
      <c r="C108" s="24"/>
      <c r="D108" s="24"/>
      <c r="E108" s="24"/>
      <c r="F108" s="114"/>
      <c r="G108" s="114"/>
    </row>
    <row r="109" spans="1:7" ht="15.75" customHeight="1" x14ac:dyDescent="0.25">
      <c r="A109" s="24"/>
      <c r="B109" s="174"/>
      <c r="C109" s="24"/>
      <c r="D109" s="24"/>
      <c r="E109" s="24"/>
      <c r="F109" s="114"/>
      <c r="G109" s="114"/>
    </row>
    <row r="110" spans="1:7" ht="15.75" customHeight="1" x14ac:dyDescent="0.25">
      <c r="A110" s="24"/>
      <c r="B110" s="174"/>
      <c r="C110" s="24"/>
      <c r="D110" s="24"/>
      <c r="E110" s="24"/>
      <c r="F110" s="114"/>
      <c r="G110" s="114"/>
    </row>
    <row r="111" spans="1:7" ht="15.75" customHeight="1" x14ac:dyDescent="0.25">
      <c r="A111" s="24"/>
      <c r="B111" s="174"/>
      <c r="C111" s="24"/>
      <c r="D111" s="24"/>
      <c r="E111" s="24"/>
      <c r="F111" s="114"/>
      <c r="G111" s="114"/>
    </row>
    <row r="112" spans="1:7" ht="15.75" customHeight="1" x14ac:dyDescent="0.25">
      <c r="A112" s="24"/>
      <c r="B112" s="174"/>
      <c r="C112" s="24"/>
      <c r="D112" s="24"/>
      <c r="E112" s="24"/>
      <c r="F112" s="114"/>
      <c r="G112" s="114"/>
    </row>
    <row r="113" spans="1:7" ht="15.75" customHeight="1" x14ac:dyDescent="0.25">
      <c r="A113" s="24"/>
      <c r="B113" s="174"/>
      <c r="C113" s="24"/>
      <c r="D113" s="24"/>
      <c r="E113" s="24"/>
      <c r="F113" s="114"/>
      <c r="G113" s="114"/>
    </row>
    <row r="114" spans="1:7" ht="15.75" customHeight="1" x14ac:dyDescent="0.25">
      <c r="A114" s="24"/>
      <c r="B114" s="174"/>
      <c r="C114" s="24"/>
      <c r="D114" s="24"/>
      <c r="E114" s="24"/>
      <c r="F114" s="114"/>
      <c r="G114" s="114"/>
    </row>
    <row r="115" spans="1:7" ht="15.75" customHeight="1" x14ac:dyDescent="0.25">
      <c r="A115" s="24"/>
      <c r="B115" s="174"/>
      <c r="C115" s="24"/>
      <c r="D115" s="24"/>
      <c r="E115" s="24"/>
      <c r="F115" s="114"/>
      <c r="G115" s="114"/>
    </row>
    <row r="116" spans="1:7" ht="15.75" customHeight="1" x14ac:dyDescent="0.25">
      <c r="A116" s="24"/>
      <c r="B116" s="174"/>
      <c r="C116" s="24"/>
      <c r="D116" s="24"/>
      <c r="E116" s="24"/>
      <c r="F116" s="114"/>
      <c r="G116" s="114"/>
    </row>
    <row r="117" spans="1:7" ht="15.75" customHeight="1" x14ac:dyDescent="0.25">
      <c r="A117" s="24"/>
      <c r="B117" s="174"/>
      <c r="C117" s="24"/>
      <c r="D117" s="24"/>
      <c r="E117" s="24"/>
      <c r="F117" s="114"/>
      <c r="G117" s="114"/>
    </row>
    <row r="118" spans="1:7" ht="15.75" customHeight="1" x14ac:dyDescent="0.25">
      <c r="A118" s="24"/>
      <c r="B118" s="174"/>
      <c r="C118" s="24"/>
      <c r="D118" s="24"/>
      <c r="E118" s="24"/>
      <c r="F118" s="114"/>
      <c r="G118" s="114"/>
    </row>
    <row r="119" spans="1:7" ht="15.75" customHeight="1" x14ac:dyDescent="0.25">
      <c r="A119" s="24"/>
      <c r="B119" s="174"/>
      <c r="C119" s="24"/>
      <c r="D119" s="24"/>
      <c r="E119" s="24"/>
      <c r="F119" s="114"/>
      <c r="G119" s="114"/>
    </row>
    <row r="120" spans="1:7" ht="15.75" customHeight="1" x14ac:dyDescent="0.25">
      <c r="A120" s="24"/>
      <c r="B120" s="174"/>
      <c r="C120" s="24"/>
      <c r="D120" s="24"/>
      <c r="E120" s="24"/>
      <c r="F120" s="114"/>
      <c r="G120" s="114"/>
    </row>
    <row r="121" spans="1:7" ht="15.75" customHeight="1" x14ac:dyDescent="0.25">
      <c r="A121" s="24"/>
      <c r="B121" s="174"/>
      <c r="C121" s="24"/>
      <c r="D121" s="24"/>
      <c r="E121" s="24"/>
      <c r="F121" s="114"/>
      <c r="G121" s="114"/>
    </row>
    <row r="122" spans="1:7" ht="15.75" customHeight="1" x14ac:dyDescent="0.25">
      <c r="A122" s="24"/>
      <c r="B122" s="174"/>
      <c r="C122" s="24"/>
      <c r="D122" s="24"/>
      <c r="E122" s="24"/>
      <c r="F122" s="114"/>
      <c r="G122" s="114"/>
    </row>
    <row r="123" spans="1:7" ht="15.75" customHeight="1" x14ac:dyDescent="0.25">
      <c r="A123" s="24"/>
      <c r="B123" s="174"/>
      <c r="C123" s="24"/>
      <c r="D123" s="24"/>
      <c r="E123" s="24"/>
      <c r="F123" s="114"/>
      <c r="G123" s="114"/>
    </row>
    <row r="124" spans="1:7" ht="15.75" customHeight="1" x14ac:dyDescent="0.25">
      <c r="A124" s="24"/>
      <c r="B124" s="174"/>
      <c r="C124" s="24"/>
      <c r="D124" s="24"/>
      <c r="E124" s="24"/>
      <c r="F124" s="114"/>
      <c r="G124" s="114"/>
    </row>
    <row r="125" spans="1:7" ht="15.75" customHeight="1" x14ac:dyDescent="0.25">
      <c r="A125" s="24"/>
      <c r="B125" s="174"/>
      <c r="C125" s="24"/>
      <c r="D125" s="24"/>
      <c r="E125" s="24"/>
      <c r="F125" s="114"/>
      <c r="G125" s="114"/>
    </row>
    <row r="126" spans="1:7" ht="15.75" customHeight="1" x14ac:dyDescent="0.25">
      <c r="A126" s="24"/>
      <c r="B126" s="174"/>
      <c r="C126" s="24"/>
      <c r="D126" s="24"/>
      <c r="E126" s="24"/>
      <c r="F126" s="114"/>
      <c r="G126" s="114"/>
    </row>
    <row r="127" spans="1:7" ht="15.75" customHeight="1" x14ac:dyDescent="0.25">
      <c r="A127" s="24"/>
      <c r="B127" s="174"/>
      <c r="C127" s="24"/>
      <c r="D127" s="24"/>
      <c r="E127" s="24"/>
      <c r="F127" s="114"/>
      <c r="G127" s="114"/>
    </row>
    <row r="128" spans="1:7" ht="15.75" customHeight="1" x14ac:dyDescent="0.25">
      <c r="A128" s="24"/>
      <c r="B128" s="174"/>
      <c r="C128" s="24"/>
      <c r="D128" s="24"/>
      <c r="E128" s="24"/>
      <c r="F128" s="114"/>
      <c r="G128" s="114"/>
    </row>
    <row r="129" spans="1:7" ht="15.75" customHeight="1" x14ac:dyDescent="0.25">
      <c r="A129" s="24"/>
      <c r="B129" s="174"/>
      <c r="C129" s="24"/>
      <c r="D129" s="24"/>
      <c r="E129" s="24"/>
      <c r="F129" s="114"/>
      <c r="G129" s="114"/>
    </row>
    <row r="130" spans="1:7" ht="15.75" customHeight="1" x14ac:dyDescent="0.25">
      <c r="A130" s="24"/>
      <c r="B130" s="174"/>
      <c r="C130" s="24"/>
      <c r="D130" s="24"/>
      <c r="E130" s="24"/>
      <c r="F130" s="114"/>
      <c r="G130" s="114"/>
    </row>
    <row r="131" spans="1:7" ht="15.75" customHeight="1" x14ac:dyDescent="0.25">
      <c r="A131" s="24"/>
      <c r="B131" s="174"/>
      <c r="C131" s="24"/>
      <c r="D131" s="24"/>
      <c r="E131" s="24"/>
      <c r="F131" s="114"/>
      <c r="G131" s="114"/>
    </row>
    <row r="132" spans="1:7" ht="15.75" customHeight="1" x14ac:dyDescent="0.25">
      <c r="A132" s="24"/>
      <c r="B132" s="174"/>
      <c r="C132" s="24"/>
      <c r="D132" s="24"/>
      <c r="E132" s="24"/>
      <c r="F132" s="114"/>
      <c r="G132" s="114"/>
    </row>
    <row r="133" spans="1:7" ht="15.75" customHeight="1" x14ac:dyDescent="0.25">
      <c r="A133" s="24"/>
      <c r="B133" s="174"/>
      <c r="C133" s="24"/>
      <c r="D133" s="24"/>
      <c r="E133" s="24"/>
      <c r="F133" s="114"/>
      <c r="G133" s="114"/>
    </row>
    <row r="134" spans="1:7" ht="15.75" customHeight="1" x14ac:dyDescent="0.25">
      <c r="A134" s="24"/>
      <c r="B134" s="174"/>
      <c r="C134" s="24"/>
      <c r="D134" s="24"/>
      <c r="E134" s="24"/>
      <c r="F134" s="114"/>
      <c r="G134" s="114"/>
    </row>
    <row r="135" spans="1:7" ht="15.75" customHeight="1" x14ac:dyDescent="0.25">
      <c r="A135" s="24"/>
      <c r="B135" s="174"/>
      <c r="C135" s="24"/>
      <c r="D135" s="24"/>
      <c r="E135" s="24"/>
      <c r="F135" s="114"/>
      <c r="G135" s="114"/>
    </row>
    <row r="136" spans="1:7" ht="15.75" customHeight="1" x14ac:dyDescent="0.25">
      <c r="A136" s="24"/>
      <c r="B136" s="174"/>
      <c r="C136" s="24"/>
      <c r="D136" s="24"/>
      <c r="E136" s="24"/>
      <c r="F136" s="114"/>
      <c r="G136" s="114"/>
    </row>
    <row r="137" spans="1:7" ht="15.75" customHeight="1" x14ac:dyDescent="0.25">
      <c r="A137" s="24"/>
      <c r="B137" s="174"/>
      <c r="C137" s="24"/>
      <c r="D137" s="24"/>
      <c r="E137" s="24"/>
      <c r="F137" s="114"/>
      <c r="G137" s="114"/>
    </row>
    <row r="138" spans="1:7" ht="15.75" customHeight="1" x14ac:dyDescent="0.25">
      <c r="A138" s="24"/>
      <c r="B138" s="174"/>
      <c r="C138" s="24"/>
      <c r="D138" s="24"/>
      <c r="E138" s="24"/>
      <c r="F138" s="114"/>
      <c r="G138" s="114"/>
    </row>
    <row r="139" spans="1:7" ht="15.75" customHeight="1" x14ac:dyDescent="0.25">
      <c r="A139" s="24"/>
      <c r="B139" s="174"/>
      <c r="C139" s="24"/>
      <c r="D139" s="24"/>
      <c r="E139" s="24"/>
      <c r="F139" s="114"/>
      <c r="G139" s="114"/>
    </row>
    <row r="140" spans="1:7" ht="15.75" customHeight="1" x14ac:dyDescent="0.25">
      <c r="A140" s="24"/>
      <c r="B140" s="174"/>
      <c r="C140" s="24"/>
      <c r="D140" s="24"/>
      <c r="E140" s="24"/>
      <c r="F140" s="114"/>
      <c r="G140" s="114"/>
    </row>
    <row r="141" spans="1:7" ht="15.75" customHeight="1" x14ac:dyDescent="0.25">
      <c r="A141" s="24"/>
      <c r="B141" s="174"/>
      <c r="C141" s="24"/>
      <c r="D141" s="24"/>
      <c r="E141" s="24"/>
      <c r="F141" s="114"/>
      <c r="G141" s="114"/>
    </row>
    <row r="142" spans="1:7" ht="15.75" customHeight="1" x14ac:dyDescent="0.25">
      <c r="A142" s="24"/>
      <c r="B142" s="174"/>
      <c r="C142" s="24"/>
      <c r="D142" s="24"/>
      <c r="E142" s="24"/>
      <c r="F142" s="114"/>
      <c r="G142" s="114"/>
    </row>
    <row r="143" spans="1:7" ht="15.75" customHeight="1" x14ac:dyDescent="0.25">
      <c r="A143" s="24"/>
      <c r="B143" s="174"/>
      <c r="C143" s="24"/>
      <c r="D143" s="24"/>
      <c r="E143" s="24"/>
      <c r="F143" s="114"/>
      <c r="G143" s="114"/>
    </row>
    <row r="144" spans="1:7" ht="15.75" customHeight="1" x14ac:dyDescent="0.25">
      <c r="A144" s="24"/>
      <c r="B144" s="174"/>
      <c r="C144" s="24"/>
      <c r="D144" s="24"/>
      <c r="E144" s="24"/>
      <c r="F144" s="114"/>
      <c r="G144" s="114"/>
    </row>
    <row r="145" spans="1:7" ht="15.75" customHeight="1" x14ac:dyDescent="0.25">
      <c r="A145" s="24"/>
      <c r="B145" s="174"/>
      <c r="C145" s="24"/>
      <c r="D145" s="24"/>
      <c r="E145" s="24"/>
      <c r="F145" s="114"/>
      <c r="G145" s="114"/>
    </row>
    <row r="146" spans="1:7" ht="15.75" customHeight="1" x14ac:dyDescent="0.25">
      <c r="A146" s="24"/>
      <c r="B146" s="174"/>
      <c r="C146" s="24"/>
      <c r="D146" s="24"/>
      <c r="E146" s="24"/>
      <c r="F146" s="114"/>
      <c r="G146" s="114"/>
    </row>
    <row r="147" spans="1:7" ht="15.75" customHeight="1" x14ac:dyDescent="0.25">
      <c r="A147" s="24"/>
      <c r="B147" s="174"/>
      <c r="C147" s="24"/>
      <c r="D147" s="24"/>
      <c r="E147" s="24"/>
      <c r="F147" s="114"/>
      <c r="G147" s="114"/>
    </row>
    <row r="148" spans="1:7" ht="15.75" customHeight="1" x14ac:dyDescent="0.25">
      <c r="A148" s="24"/>
      <c r="B148" s="174"/>
      <c r="C148" s="24"/>
      <c r="D148" s="24"/>
      <c r="E148" s="24"/>
      <c r="F148" s="114"/>
      <c r="G148" s="114"/>
    </row>
    <row r="149" spans="1:7" ht="15.75" customHeight="1" x14ac:dyDescent="0.25">
      <c r="A149" s="24"/>
      <c r="B149" s="174"/>
      <c r="C149" s="24"/>
      <c r="D149" s="24"/>
      <c r="E149" s="24"/>
      <c r="F149" s="114"/>
      <c r="G149" s="114"/>
    </row>
    <row r="150" spans="1:7" ht="15.75" customHeight="1" x14ac:dyDescent="0.25">
      <c r="A150" s="24"/>
      <c r="B150" s="174"/>
      <c r="C150" s="24"/>
      <c r="D150" s="24"/>
      <c r="E150" s="24"/>
      <c r="F150" s="114"/>
      <c r="G150" s="114"/>
    </row>
    <row r="151" spans="1:7" ht="15.75" customHeight="1" x14ac:dyDescent="0.25">
      <c r="A151" s="24"/>
      <c r="B151" s="174"/>
      <c r="C151" s="24"/>
      <c r="D151" s="24"/>
      <c r="E151" s="24"/>
      <c r="F151" s="114"/>
      <c r="G151" s="114"/>
    </row>
    <row r="152" spans="1:7" ht="15.75" customHeight="1" x14ac:dyDescent="0.25">
      <c r="A152" s="24"/>
      <c r="B152" s="174"/>
      <c r="C152" s="24"/>
      <c r="D152" s="24"/>
      <c r="E152" s="24"/>
      <c r="F152" s="114"/>
      <c r="G152" s="114"/>
    </row>
    <row r="153" spans="1:7" ht="15.75" customHeight="1" x14ac:dyDescent="0.25">
      <c r="A153" s="24"/>
      <c r="B153" s="174"/>
      <c r="C153" s="24"/>
      <c r="D153" s="24"/>
      <c r="E153" s="24"/>
      <c r="F153" s="114"/>
      <c r="G153" s="114"/>
    </row>
    <row r="154" spans="1:7" ht="15.75" customHeight="1" x14ac:dyDescent="0.25">
      <c r="A154" s="24"/>
      <c r="B154" s="174"/>
      <c r="C154" s="24"/>
      <c r="D154" s="24"/>
      <c r="E154" s="24"/>
      <c r="F154" s="114"/>
      <c r="G154" s="114"/>
    </row>
    <row r="155" spans="1:7" ht="15.75" customHeight="1" x14ac:dyDescent="0.25">
      <c r="A155" s="24"/>
      <c r="B155" s="174"/>
      <c r="C155" s="24"/>
      <c r="D155" s="24"/>
      <c r="E155" s="24"/>
      <c r="F155" s="114"/>
      <c r="G155" s="114"/>
    </row>
    <row r="156" spans="1:7" ht="15.75" customHeight="1" x14ac:dyDescent="0.25">
      <c r="A156" s="24"/>
      <c r="B156" s="174"/>
      <c r="C156" s="24"/>
      <c r="D156" s="24"/>
      <c r="E156" s="24"/>
      <c r="F156" s="114"/>
      <c r="G156" s="114"/>
    </row>
    <row r="157" spans="1:7" ht="15.75" customHeight="1" x14ac:dyDescent="0.25">
      <c r="A157" s="24"/>
      <c r="B157" s="174"/>
      <c r="C157" s="24"/>
      <c r="D157" s="24"/>
      <c r="E157" s="24"/>
      <c r="F157" s="114"/>
      <c r="G157" s="114"/>
    </row>
    <row r="158" spans="1:7" ht="15.75" customHeight="1" x14ac:dyDescent="0.25">
      <c r="A158" s="24"/>
      <c r="B158" s="174"/>
      <c r="C158" s="24"/>
      <c r="D158" s="24"/>
      <c r="E158" s="24"/>
      <c r="F158" s="114"/>
      <c r="G158" s="114"/>
    </row>
    <row r="159" spans="1:7" ht="15.75" customHeight="1" x14ac:dyDescent="0.25">
      <c r="A159" s="24"/>
      <c r="B159" s="174"/>
      <c r="C159" s="24"/>
      <c r="D159" s="24"/>
      <c r="E159" s="24"/>
      <c r="F159" s="114"/>
      <c r="G159" s="114"/>
    </row>
    <row r="160" spans="1:7" ht="15.75" customHeight="1" x14ac:dyDescent="0.25">
      <c r="A160" s="24"/>
      <c r="B160" s="174"/>
      <c r="C160" s="24"/>
      <c r="D160" s="24"/>
      <c r="E160" s="24"/>
      <c r="F160" s="114"/>
      <c r="G160" s="114"/>
    </row>
    <row r="161" spans="1:7" ht="15.75" customHeight="1" x14ac:dyDescent="0.25">
      <c r="A161" s="24"/>
      <c r="B161" s="174"/>
      <c r="C161" s="24"/>
      <c r="D161" s="24"/>
      <c r="E161" s="24"/>
      <c r="F161" s="114"/>
      <c r="G161" s="114"/>
    </row>
    <row r="162" spans="1:7" ht="15.75" customHeight="1" x14ac:dyDescent="0.25">
      <c r="A162" s="24"/>
      <c r="B162" s="174"/>
      <c r="C162" s="24"/>
      <c r="D162" s="24"/>
      <c r="E162" s="24"/>
      <c r="F162" s="114"/>
      <c r="G162" s="114"/>
    </row>
    <row r="163" spans="1:7" ht="15.75" customHeight="1" x14ac:dyDescent="0.25">
      <c r="A163" s="24"/>
      <c r="B163" s="174"/>
      <c r="C163" s="24"/>
      <c r="D163" s="24"/>
      <c r="E163" s="24"/>
      <c r="F163" s="114"/>
      <c r="G163" s="114"/>
    </row>
    <row r="164" spans="1:7" ht="15.75" customHeight="1" x14ac:dyDescent="0.25">
      <c r="A164" s="24"/>
      <c r="B164" s="174"/>
      <c r="C164" s="24"/>
      <c r="D164" s="24"/>
      <c r="E164" s="24"/>
      <c r="F164" s="114"/>
      <c r="G164" s="114"/>
    </row>
    <row r="165" spans="1:7" ht="15.75" customHeight="1" x14ac:dyDescent="0.25">
      <c r="A165" s="24"/>
      <c r="B165" s="174"/>
      <c r="C165" s="24"/>
      <c r="D165" s="24"/>
      <c r="E165" s="24"/>
      <c r="F165" s="114"/>
      <c r="G165" s="114"/>
    </row>
    <row r="166" spans="1:7" ht="15.75" customHeight="1" x14ac:dyDescent="0.25">
      <c r="A166" s="24"/>
      <c r="B166" s="174"/>
      <c r="C166" s="24"/>
      <c r="D166" s="24"/>
      <c r="E166" s="24"/>
      <c r="F166" s="114"/>
      <c r="G166" s="114"/>
    </row>
    <row r="167" spans="1:7" ht="15.75" customHeight="1" x14ac:dyDescent="0.25">
      <c r="A167" s="24"/>
      <c r="B167" s="174"/>
      <c r="C167" s="24"/>
      <c r="D167" s="24"/>
      <c r="E167" s="24"/>
      <c r="F167" s="114"/>
      <c r="G167" s="114"/>
    </row>
    <row r="168" spans="1:7" ht="15.75" customHeight="1" x14ac:dyDescent="0.25">
      <c r="A168" s="24"/>
      <c r="B168" s="174"/>
      <c r="C168" s="24"/>
      <c r="D168" s="24"/>
      <c r="E168" s="24"/>
      <c r="F168" s="114"/>
      <c r="G168" s="114"/>
    </row>
    <row r="169" spans="1:7" ht="15.75" customHeight="1" x14ac:dyDescent="0.25">
      <c r="A169" s="24"/>
      <c r="B169" s="174"/>
      <c r="C169" s="24"/>
      <c r="D169" s="24"/>
      <c r="E169" s="24"/>
      <c r="F169" s="114"/>
      <c r="G169" s="114"/>
    </row>
    <row r="170" spans="1:7" ht="15.75" customHeight="1" x14ac:dyDescent="0.25">
      <c r="A170" s="24"/>
      <c r="B170" s="174"/>
      <c r="C170" s="24"/>
      <c r="D170" s="24"/>
      <c r="E170" s="24"/>
      <c r="F170" s="114"/>
      <c r="G170" s="114"/>
    </row>
    <row r="171" spans="1:7" ht="15.75" customHeight="1" x14ac:dyDescent="0.25">
      <c r="A171" s="24"/>
      <c r="B171" s="174"/>
      <c r="C171" s="24"/>
      <c r="D171" s="24"/>
      <c r="E171" s="24"/>
      <c r="F171" s="114"/>
      <c r="G171" s="114"/>
    </row>
    <row r="172" spans="1:7" ht="15.75" customHeight="1" x14ac:dyDescent="0.25">
      <c r="A172" s="24"/>
      <c r="B172" s="174"/>
      <c r="C172" s="24"/>
      <c r="D172" s="24"/>
      <c r="E172" s="24"/>
      <c r="F172" s="114"/>
      <c r="G172" s="114"/>
    </row>
    <row r="173" spans="1:7" ht="15.75" customHeight="1" x14ac:dyDescent="0.25">
      <c r="A173" s="24"/>
      <c r="B173" s="174"/>
      <c r="C173" s="24"/>
      <c r="D173" s="24"/>
      <c r="E173" s="24"/>
      <c r="F173" s="114"/>
      <c r="G173" s="114"/>
    </row>
    <row r="174" spans="1:7" ht="15.75" customHeight="1" x14ac:dyDescent="0.25">
      <c r="A174" s="24"/>
      <c r="B174" s="174"/>
      <c r="C174" s="24"/>
      <c r="D174" s="24"/>
      <c r="E174" s="24"/>
      <c r="F174" s="114"/>
      <c r="G174" s="114"/>
    </row>
    <row r="175" spans="1:7" ht="15.75" customHeight="1" x14ac:dyDescent="0.25">
      <c r="A175" s="24"/>
      <c r="B175" s="174"/>
      <c r="C175" s="24"/>
      <c r="D175" s="24"/>
      <c r="E175" s="24"/>
      <c r="F175" s="114"/>
      <c r="G175" s="114"/>
    </row>
    <row r="176" spans="1:7" ht="15.75" customHeight="1" x14ac:dyDescent="0.25">
      <c r="A176" s="24"/>
      <c r="B176" s="174"/>
      <c r="C176" s="24"/>
      <c r="D176" s="24"/>
      <c r="E176" s="24"/>
      <c r="F176" s="114"/>
      <c r="G176" s="114"/>
    </row>
    <row r="177" spans="1:7" ht="15.75" customHeight="1" x14ac:dyDescent="0.25">
      <c r="A177" s="24"/>
      <c r="B177" s="174"/>
      <c r="C177" s="24"/>
      <c r="D177" s="24"/>
      <c r="E177" s="24"/>
      <c r="F177" s="114"/>
      <c r="G177" s="114"/>
    </row>
    <row r="178" spans="1:7" ht="15.75" customHeight="1" x14ac:dyDescent="0.25">
      <c r="A178" s="24"/>
      <c r="B178" s="174"/>
      <c r="C178" s="24"/>
      <c r="D178" s="24"/>
      <c r="E178" s="24"/>
      <c r="F178" s="114"/>
      <c r="G178" s="114"/>
    </row>
    <row r="179" spans="1:7" ht="15.75" customHeight="1" x14ac:dyDescent="0.25">
      <c r="A179" s="24"/>
      <c r="B179" s="174"/>
      <c r="C179" s="24"/>
      <c r="D179" s="24"/>
      <c r="E179" s="24"/>
      <c r="F179" s="114"/>
      <c r="G179" s="114"/>
    </row>
    <row r="180" spans="1:7" ht="15.75" customHeight="1" x14ac:dyDescent="0.25">
      <c r="A180" s="24"/>
      <c r="B180" s="174"/>
      <c r="C180" s="24"/>
      <c r="D180" s="24"/>
      <c r="E180" s="24"/>
      <c r="F180" s="114"/>
      <c r="G180" s="114"/>
    </row>
    <row r="181" spans="1:7" ht="15.75" customHeight="1" x14ac:dyDescent="0.25">
      <c r="A181" s="24"/>
      <c r="B181" s="174"/>
      <c r="C181" s="24"/>
      <c r="D181" s="24"/>
      <c r="E181" s="24"/>
      <c r="F181" s="114"/>
      <c r="G181" s="114"/>
    </row>
    <row r="182" spans="1:7" ht="15.75" customHeight="1" x14ac:dyDescent="0.25">
      <c r="A182" s="24"/>
      <c r="B182" s="174"/>
      <c r="C182" s="24"/>
      <c r="D182" s="24"/>
      <c r="E182" s="24"/>
      <c r="F182" s="114"/>
      <c r="G182" s="114"/>
    </row>
    <row r="183" spans="1:7" ht="15.75" customHeight="1" x14ac:dyDescent="0.25">
      <c r="A183" s="24"/>
      <c r="B183" s="174"/>
      <c r="C183" s="24"/>
      <c r="D183" s="24"/>
      <c r="E183" s="24"/>
      <c r="F183" s="114"/>
      <c r="G183" s="114"/>
    </row>
    <row r="184" spans="1:7" ht="15.75" customHeight="1" x14ac:dyDescent="0.25">
      <c r="A184" s="24"/>
      <c r="B184" s="174"/>
      <c r="C184" s="24"/>
      <c r="D184" s="24"/>
      <c r="E184" s="24"/>
      <c r="F184" s="114"/>
      <c r="G184" s="114"/>
    </row>
    <row r="185" spans="1:7" ht="15.75" customHeight="1" x14ac:dyDescent="0.25">
      <c r="A185" s="24"/>
      <c r="B185" s="174"/>
      <c r="C185" s="24"/>
      <c r="D185" s="24"/>
      <c r="E185" s="24"/>
      <c r="F185" s="114"/>
      <c r="G185" s="114"/>
    </row>
    <row r="186" spans="1:7" ht="15.75" customHeight="1" x14ac:dyDescent="0.25">
      <c r="A186" s="24"/>
      <c r="B186" s="174"/>
      <c r="C186" s="24"/>
      <c r="D186" s="24"/>
      <c r="E186" s="24"/>
      <c r="F186" s="114"/>
      <c r="G186" s="114"/>
    </row>
    <row r="187" spans="1:7" ht="15.75" customHeight="1" x14ac:dyDescent="0.25">
      <c r="A187" s="24"/>
      <c r="B187" s="174"/>
      <c r="C187" s="24"/>
      <c r="D187" s="24"/>
      <c r="E187" s="24"/>
      <c r="F187" s="114"/>
      <c r="G187" s="114"/>
    </row>
    <row r="188" spans="1:7" ht="15.75" customHeight="1" x14ac:dyDescent="0.25">
      <c r="A188" s="24"/>
      <c r="B188" s="174"/>
      <c r="C188" s="24"/>
      <c r="D188" s="24"/>
      <c r="E188" s="24"/>
      <c r="F188" s="114"/>
      <c r="G188" s="114"/>
    </row>
    <row r="189" spans="1:7" ht="15.75" customHeight="1" x14ac:dyDescent="0.25">
      <c r="A189" s="24"/>
      <c r="B189" s="174"/>
      <c r="C189" s="24"/>
      <c r="D189" s="24"/>
      <c r="E189" s="24"/>
      <c r="F189" s="114"/>
      <c r="G189" s="114"/>
    </row>
    <row r="190" spans="1:7" ht="15.75" customHeight="1" x14ac:dyDescent="0.25">
      <c r="A190" s="24"/>
      <c r="B190" s="174"/>
      <c r="C190" s="24"/>
      <c r="D190" s="24"/>
      <c r="E190" s="24"/>
      <c r="F190" s="114"/>
      <c r="G190" s="114"/>
    </row>
    <row r="191" spans="1:7" ht="15.75" customHeight="1" x14ac:dyDescent="0.25">
      <c r="A191" s="24"/>
      <c r="B191" s="174"/>
      <c r="C191" s="24"/>
      <c r="D191" s="24"/>
      <c r="E191" s="24"/>
      <c r="F191" s="114"/>
      <c r="G191" s="114"/>
    </row>
    <row r="192" spans="1:7" ht="15.75" customHeight="1" x14ac:dyDescent="0.25">
      <c r="A192" s="24"/>
      <c r="B192" s="174"/>
      <c r="C192" s="24"/>
      <c r="D192" s="24"/>
      <c r="E192" s="24"/>
      <c r="F192" s="114"/>
      <c r="G192" s="114"/>
    </row>
    <row r="193" spans="1:7" ht="15.75" customHeight="1" x14ac:dyDescent="0.25">
      <c r="A193" s="24"/>
      <c r="B193" s="174"/>
      <c r="C193" s="24"/>
      <c r="D193" s="24"/>
      <c r="E193" s="24"/>
      <c r="F193" s="114"/>
      <c r="G193" s="114"/>
    </row>
    <row r="194" spans="1:7" ht="15.75" customHeight="1" x14ac:dyDescent="0.25">
      <c r="A194" s="24"/>
      <c r="B194" s="174"/>
      <c r="C194" s="24"/>
      <c r="D194" s="24"/>
      <c r="E194" s="24"/>
      <c r="F194" s="114"/>
      <c r="G194" s="114"/>
    </row>
    <row r="195" spans="1:7" ht="15.75" customHeight="1" x14ac:dyDescent="0.25">
      <c r="A195" s="24"/>
      <c r="B195" s="174"/>
      <c r="C195" s="24"/>
      <c r="D195" s="24"/>
      <c r="E195" s="24"/>
      <c r="F195" s="114"/>
      <c r="G195" s="114"/>
    </row>
    <row r="196" spans="1:7" ht="15.75" customHeight="1" x14ac:dyDescent="0.25">
      <c r="A196" s="24"/>
      <c r="B196" s="174"/>
      <c r="C196" s="24"/>
      <c r="D196" s="24"/>
      <c r="E196" s="24"/>
      <c r="F196" s="114"/>
      <c r="G196" s="114"/>
    </row>
    <row r="197" spans="1:7" ht="15.75" customHeight="1" x14ac:dyDescent="0.25">
      <c r="A197" s="24"/>
      <c r="B197" s="174"/>
      <c r="C197" s="24"/>
      <c r="D197" s="24"/>
      <c r="E197" s="24"/>
      <c r="F197" s="114"/>
      <c r="G197" s="114"/>
    </row>
    <row r="198" spans="1:7" ht="15.75" customHeight="1" x14ac:dyDescent="0.25">
      <c r="A198" s="24"/>
      <c r="B198" s="174"/>
      <c r="C198" s="24"/>
      <c r="D198" s="24"/>
      <c r="E198" s="24"/>
      <c r="F198" s="114"/>
      <c r="G198" s="114"/>
    </row>
    <row r="199" spans="1:7" ht="15.75" customHeight="1" x14ac:dyDescent="0.25">
      <c r="A199" s="24"/>
      <c r="B199" s="174"/>
      <c r="C199" s="24"/>
      <c r="D199" s="24"/>
      <c r="E199" s="24"/>
      <c r="F199" s="114"/>
      <c r="G199" s="114"/>
    </row>
    <row r="200" spans="1:7" ht="15.75" customHeight="1" x14ac:dyDescent="0.25">
      <c r="A200" s="24"/>
      <c r="B200" s="174"/>
      <c r="C200" s="24"/>
      <c r="D200" s="24"/>
      <c r="E200" s="24"/>
      <c r="F200" s="114"/>
      <c r="G200" s="114"/>
    </row>
    <row r="201" spans="1:7" ht="15.75" customHeight="1" x14ac:dyDescent="0.25">
      <c r="A201" s="24"/>
      <c r="B201" s="174"/>
      <c r="C201" s="24"/>
      <c r="D201" s="24"/>
      <c r="E201" s="24"/>
      <c r="F201" s="114"/>
      <c r="G201" s="114"/>
    </row>
    <row r="202" spans="1:7" ht="15.75" customHeight="1" x14ac:dyDescent="0.25">
      <c r="A202" s="24"/>
      <c r="B202" s="174"/>
      <c r="C202" s="24"/>
      <c r="D202" s="24"/>
      <c r="E202" s="24"/>
      <c r="F202" s="114"/>
      <c r="G202" s="114"/>
    </row>
    <row r="203" spans="1:7" ht="15.75" customHeight="1" x14ac:dyDescent="0.25">
      <c r="A203" s="24"/>
      <c r="B203" s="174"/>
      <c r="C203" s="24"/>
      <c r="D203" s="24"/>
      <c r="E203" s="24"/>
      <c r="F203" s="114"/>
      <c r="G203" s="114"/>
    </row>
    <row r="204" spans="1:7" ht="15.75" customHeight="1" x14ac:dyDescent="0.25">
      <c r="A204" s="24"/>
      <c r="B204" s="174"/>
      <c r="C204" s="24"/>
      <c r="D204" s="24"/>
      <c r="E204" s="24"/>
      <c r="F204" s="114"/>
      <c r="G204" s="114"/>
    </row>
    <row r="205" spans="1:7" ht="15.75" customHeight="1" x14ac:dyDescent="0.25">
      <c r="A205" s="24"/>
      <c r="B205" s="174"/>
      <c r="C205" s="24"/>
      <c r="D205" s="24"/>
      <c r="E205" s="24"/>
      <c r="F205" s="114"/>
      <c r="G205" s="114"/>
    </row>
    <row r="206" spans="1:7" ht="15.75" customHeight="1" x14ac:dyDescent="0.25">
      <c r="A206" s="24"/>
      <c r="B206" s="174"/>
      <c r="C206" s="24"/>
      <c r="D206" s="24"/>
      <c r="E206" s="24"/>
      <c r="F206" s="114"/>
      <c r="G206" s="114"/>
    </row>
    <row r="207" spans="1:7" ht="15.75" customHeight="1" x14ac:dyDescent="0.25">
      <c r="A207" s="24"/>
      <c r="B207" s="174"/>
      <c r="C207" s="24"/>
      <c r="D207" s="24"/>
      <c r="E207" s="24"/>
      <c r="F207" s="114"/>
      <c r="G207" s="114"/>
    </row>
    <row r="208" spans="1:7" ht="15.75" customHeight="1" x14ac:dyDescent="0.25">
      <c r="A208" s="24"/>
      <c r="B208" s="174"/>
      <c r="C208" s="24"/>
      <c r="D208" s="24"/>
      <c r="E208" s="24"/>
      <c r="F208" s="114"/>
      <c r="G208" s="114"/>
    </row>
    <row r="209" spans="1:7" ht="15.75" customHeight="1" x14ac:dyDescent="0.25">
      <c r="A209" s="24"/>
      <c r="B209" s="174"/>
      <c r="C209" s="24"/>
      <c r="D209" s="24"/>
      <c r="E209" s="24"/>
      <c r="F209" s="114"/>
      <c r="G209" s="114"/>
    </row>
    <row r="210" spans="1:7" ht="15.75" customHeight="1" x14ac:dyDescent="0.25">
      <c r="A210" s="24"/>
      <c r="B210" s="174"/>
      <c r="C210" s="24"/>
      <c r="D210" s="24"/>
      <c r="E210" s="24"/>
      <c r="F210" s="114"/>
      <c r="G210" s="114"/>
    </row>
    <row r="211" spans="1:7" ht="15.75" customHeight="1" x14ac:dyDescent="0.25">
      <c r="A211" s="24"/>
      <c r="B211" s="174"/>
      <c r="C211" s="24"/>
      <c r="D211" s="24"/>
      <c r="E211" s="24"/>
      <c r="F211" s="114"/>
      <c r="G211" s="114"/>
    </row>
    <row r="212" spans="1:7" ht="15.75" customHeight="1" x14ac:dyDescent="0.25">
      <c r="A212" s="24"/>
      <c r="B212" s="174"/>
      <c r="C212" s="24"/>
      <c r="D212" s="24"/>
      <c r="E212" s="24"/>
      <c r="F212" s="114"/>
      <c r="G212" s="114"/>
    </row>
    <row r="213" spans="1:7" ht="15.75" customHeight="1" x14ac:dyDescent="0.25">
      <c r="A213" s="24"/>
      <c r="B213" s="174"/>
      <c r="C213" s="24"/>
      <c r="D213" s="24"/>
      <c r="E213" s="24"/>
      <c r="F213" s="114"/>
      <c r="G213" s="114"/>
    </row>
    <row r="214" spans="1:7" ht="15.75" customHeight="1" x14ac:dyDescent="0.25">
      <c r="A214" s="24"/>
      <c r="B214" s="174"/>
      <c r="C214" s="24"/>
      <c r="D214" s="24"/>
      <c r="E214" s="24"/>
      <c r="F214" s="114"/>
      <c r="G214" s="114"/>
    </row>
    <row r="215" spans="1:7" ht="15.75" customHeight="1" x14ac:dyDescent="0.25">
      <c r="A215" s="24"/>
      <c r="B215" s="174"/>
      <c r="C215" s="24"/>
      <c r="D215" s="24"/>
      <c r="E215" s="24"/>
      <c r="F215" s="114"/>
      <c r="G215" s="114"/>
    </row>
    <row r="216" spans="1:7" ht="15.75" customHeight="1" x14ac:dyDescent="0.25">
      <c r="A216" s="24"/>
      <c r="B216" s="174"/>
      <c r="C216" s="24"/>
      <c r="D216" s="24"/>
      <c r="E216" s="24"/>
      <c r="F216" s="114"/>
      <c r="G216" s="114"/>
    </row>
    <row r="217" spans="1:7" ht="15.75" customHeight="1" x14ac:dyDescent="0.25">
      <c r="A217" s="24"/>
      <c r="B217" s="174"/>
      <c r="C217" s="24"/>
      <c r="D217" s="24"/>
      <c r="E217" s="24"/>
      <c r="F217" s="114"/>
      <c r="G217" s="114"/>
    </row>
    <row r="218" spans="1:7" ht="15.75" customHeight="1" x14ac:dyDescent="0.25">
      <c r="A218" s="24"/>
      <c r="B218" s="174"/>
      <c r="C218" s="24"/>
      <c r="D218" s="24"/>
      <c r="E218" s="24"/>
      <c r="F218" s="114"/>
      <c r="G218" s="114"/>
    </row>
    <row r="219" spans="1:7" ht="15.75" customHeight="1" x14ac:dyDescent="0.25">
      <c r="A219" s="24"/>
      <c r="B219" s="174"/>
      <c r="C219" s="24"/>
      <c r="D219" s="24"/>
      <c r="E219" s="24"/>
      <c r="F219" s="114"/>
      <c r="G219" s="114"/>
    </row>
    <row r="220" spans="1:7" ht="15.75" customHeight="1" x14ac:dyDescent="0.25">
      <c r="A220" s="24"/>
      <c r="B220" s="174"/>
      <c r="C220" s="24"/>
      <c r="D220" s="24"/>
      <c r="E220" s="24"/>
      <c r="F220" s="114"/>
      <c r="G220" s="114"/>
    </row>
    <row r="221" spans="1:7" ht="15.75" customHeight="1" x14ac:dyDescent="0.25">
      <c r="A221" s="24"/>
      <c r="B221" s="174"/>
      <c r="C221" s="24"/>
      <c r="D221" s="24"/>
      <c r="E221" s="24"/>
      <c r="F221" s="114"/>
      <c r="G221" s="114"/>
    </row>
    <row r="222" spans="1:7" ht="15.75" customHeight="1" x14ac:dyDescent="0.25">
      <c r="A222" s="24"/>
      <c r="B222" s="174"/>
      <c r="C222" s="24"/>
      <c r="D222" s="24"/>
      <c r="E222" s="24"/>
      <c r="F222" s="114"/>
      <c r="G222" s="114"/>
    </row>
    <row r="223" spans="1:7" ht="15.75" customHeight="1" x14ac:dyDescent="0.25">
      <c r="A223" s="24"/>
      <c r="B223" s="174"/>
      <c r="C223" s="24"/>
      <c r="D223" s="24"/>
      <c r="E223" s="24"/>
      <c r="F223" s="114"/>
      <c r="G223" s="114"/>
    </row>
    <row r="224" spans="1:7" ht="15.75" customHeight="1" x14ac:dyDescent="0.25">
      <c r="A224" s="24"/>
      <c r="B224" s="174"/>
      <c r="C224" s="24"/>
      <c r="D224" s="24"/>
      <c r="E224" s="24"/>
      <c r="F224" s="114"/>
      <c r="G224" s="114"/>
    </row>
    <row r="225" spans="1:7" ht="15.75" customHeight="1" x14ac:dyDescent="0.25">
      <c r="A225" s="24"/>
      <c r="B225" s="174"/>
      <c r="C225" s="24"/>
      <c r="D225" s="24"/>
      <c r="E225" s="24"/>
      <c r="F225" s="114"/>
      <c r="G225" s="114"/>
    </row>
    <row r="226" spans="1:7" ht="15.75" customHeight="1" x14ac:dyDescent="0.25">
      <c r="A226" s="24"/>
      <c r="B226" s="174"/>
      <c r="C226" s="24"/>
      <c r="D226" s="24"/>
      <c r="E226" s="24"/>
      <c r="F226" s="114"/>
      <c r="G226" s="114"/>
    </row>
    <row r="227" spans="1:7" ht="15.75" customHeight="1" x14ac:dyDescent="0.25">
      <c r="A227" s="24"/>
      <c r="B227" s="174"/>
      <c r="C227" s="24"/>
      <c r="D227" s="24"/>
      <c r="E227" s="24"/>
      <c r="F227" s="114"/>
      <c r="G227" s="114"/>
    </row>
    <row r="228" spans="1:7" ht="15.75" customHeight="1" x14ac:dyDescent="0.25">
      <c r="A228" s="24"/>
      <c r="B228" s="174"/>
      <c r="C228" s="24"/>
      <c r="D228" s="24"/>
      <c r="E228" s="24"/>
      <c r="F228" s="114"/>
      <c r="G228" s="114"/>
    </row>
    <row r="229" spans="1:7" ht="15.75" customHeight="1" x14ac:dyDescent="0.25">
      <c r="A229" s="24"/>
      <c r="B229" s="174"/>
      <c r="C229" s="24"/>
      <c r="D229" s="24"/>
      <c r="E229" s="24"/>
      <c r="F229" s="114"/>
      <c r="G229" s="114"/>
    </row>
    <row r="230" spans="1:7" ht="15.75" customHeight="1" x14ac:dyDescent="0.25">
      <c r="A230" s="24"/>
      <c r="B230" s="174"/>
      <c r="C230" s="24"/>
      <c r="D230" s="24"/>
      <c r="E230" s="24"/>
      <c r="F230" s="114"/>
      <c r="G230" s="114"/>
    </row>
    <row r="231" spans="1:7" ht="15.75" customHeight="1" x14ac:dyDescent="0.25">
      <c r="A231" s="24"/>
      <c r="B231" s="174"/>
      <c r="C231" s="24"/>
      <c r="D231" s="24"/>
      <c r="E231" s="24"/>
      <c r="F231" s="114"/>
      <c r="G231" s="114"/>
    </row>
    <row r="232" spans="1:7" ht="15.75" customHeight="1" x14ac:dyDescent="0.25">
      <c r="A232" s="24"/>
      <c r="B232" s="174"/>
      <c r="C232" s="24"/>
      <c r="D232" s="24"/>
      <c r="E232" s="24"/>
      <c r="F232" s="114"/>
      <c r="G232" s="114"/>
    </row>
    <row r="233" spans="1:7" ht="15.75" customHeight="1" x14ac:dyDescent="0.25">
      <c r="A233" s="24"/>
      <c r="B233" s="174"/>
      <c r="C233" s="24"/>
      <c r="D233" s="24"/>
      <c r="E233" s="24"/>
      <c r="F233" s="114"/>
      <c r="G233" s="114"/>
    </row>
    <row r="234" spans="1:7" ht="15.75" customHeight="1" x14ac:dyDescent="0.25">
      <c r="A234" s="24"/>
      <c r="B234" s="174"/>
      <c r="C234" s="24"/>
      <c r="D234" s="24"/>
      <c r="E234" s="24"/>
      <c r="F234" s="114"/>
      <c r="G234" s="114"/>
    </row>
    <row r="235" spans="1:7" ht="15.75" customHeight="1" x14ac:dyDescent="0.25">
      <c r="A235" s="24"/>
      <c r="B235" s="174"/>
      <c r="C235" s="24"/>
      <c r="D235" s="24"/>
      <c r="E235" s="24"/>
      <c r="F235" s="114"/>
      <c r="G235" s="114"/>
    </row>
    <row r="236" spans="1:7" ht="15.75" customHeight="1" x14ac:dyDescent="0.25">
      <c r="A236" s="24"/>
      <c r="B236" s="174"/>
      <c r="C236" s="24"/>
      <c r="D236" s="24"/>
      <c r="E236" s="24"/>
      <c r="F236" s="114"/>
      <c r="G236" s="114"/>
    </row>
    <row r="237" spans="1:7" ht="15.75" customHeight="1" x14ac:dyDescent="0.25">
      <c r="A237" s="24"/>
      <c r="B237" s="174"/>
      <c r="C237" s="24"/>
      <c r="D237" s="24"/>
      <c r="E237" s="24"/>
      <c r="F237" s="114"/>
      <c r="G237" s="114"/>
    </row>
    <row r="238" spans="1:7" ht="15.75" customHeight="1" x14ac:dyDescent="0.25">
      <c r="A238" s="24"/>
      <c r="B238" s="174"/>
      <c r="C238" s="24"/>
      <c r="D238" s="24"/>
      <c r="E238" s="24"/>
      <c r="F238" s="114"/>
      <c r="G238" s="114"/>
    </row>
    <row r="239" spans="1:7" ht="15.75" customHeight="1" x14ac:dyDescent="0.25">
      <c r="A239" s="24"/>
      <c r="B239" s="174"/>
      <c r="C239" s="24"/>
      <c r="D239" s="24"/>
      <c r="E239" s="24"/>
      <c r="F239" s="114"/>
      <c r="G239" s="114"/>
    </row>
    <row r="240" spans="1:7" ht="15.75" customHeight="1" x14ac:dyDescent="0.25">
      <c r="A240" s="24"/>
      <c r="B240" s="174"/>
      <c r="C240" s="24"/>
      <c r="D240" s="24"/>
      <c r="E240" s="24"/>
      <c r="F240" s="114"/>
      <c r="G240" s="114"/>
    </row>
    <row r="241" spans="1:7" ht="15.75" customHeight="1" x14ac:dyDescent="0.25">
      <c r="A241" s="24"/>
      <c r="B241" s="174"/>
      <c r="C241" s="24"/>
      <c r="D241" s="24"/>
      <c r="E241" s="24"/>
      <c r="F241" s="114"/>
      <c r="G241" s="114"/>
    </row>
    <row r="242" spans="1:7" ht="15.75" customHeight="1" x14ac:dyDescent="0.25">
      <c r="A242" s="24"/>
      <c r="B242" s="174"/>
      <c r="C242" s="24"/>
      <c r="D242" s="24"/>
      <c r="E242" s="24"/>
      <c r="F242" s="114"/>
      <c r="G242" s="114"/>
    </row>
    <row r="243" spans="1:7" ht="15.75" customHeight="1" x14ac:dyDescent="0.25">
      <c r="A243" s="24"/>
      <c r="B243" s="174"/>
      <c r="C243" s="24"/>
      <c r="D243" s="24"/>
      <c r="E243" s="24"/>
      <c r="F243" s="114"/>
      <c r="G243" s="114"/>
    </row>
    <row r="244" spans="1:7" ht="15.75" customHeight="1" x14ac:dyDescent="0.25">
      <c r="A244" s="24"/>
      <c r="B244" s="174"/>
      <c r="C244" s="24"/>
      <c r="D244" s="24"/>
      <c r="E244" s="24"/>
      <c r="F244" s="114"/>
      <c r="G244" s="114"/>
    </row>
    <row r="245" spans="1:7" ht="15.75" customHeight="1" x14ac:dyDescent="0.25">
      <c r="A245" s="24"/>
      <c r="B245" s="174"/>
      <c r="C245" s="24"/>
      <c r="D245" s="24"/>
      <c r="E245" s="24"/>
      <c r="F245" s="114"/>
      <c r="G245" s="114"/>
    </row>
    <row r="246" spans="1:7" ht="15.75" customHeight="1" x14ac:dyDescent="0.25">
      <c r="A246" s="24"/>
      <c r="B246" s="174"/>
      <c r="C246" s="24"/>
      <c r="D246" s="24"/>
      <c r="E246" s="24"/>
      <c r="F246" s="114"/>
      <c r="G246" s="114"/>
    </row>
    <row r="247" spans="1:7" ht="15.75" customHeight="1" x14ac:dyDescent="0.25">
      <c r="A247" s="24"/>
      <c r="B247" s="174"/>
      <c r="C247" s="24"/>
      <c r="D247" s="24"/>
      <c r="E247" s="24"/>
      <c r="F247" s="114"/>
      <c r="G247" s="114"/>
    </row>
    <row r="248" spans="1:7" ht="15.75" customHeight="1" x14ac:dyDescent="0.25">
      <c r="A248" s="24"/>
      <c r="B248" s="174"/>
      <c r="C248" s="24"/>
      <c r="D248" s="24"/>
      <c r="E248" s="24"/>
      <c r="F248" s="114"/>
      <c r="G248" s="114"/>
    </row>
    <row r="249" spans="1:7" ht="15.75" customHeight="1" x14ac:dyDescent="0.25">
      <c r="A249" s="24"/>
      <c r="B249" s="174"/>
      <c r="C249" s="24"/>
      <c r="D249" s="24"/>
      <c r="E249" s="24"/>
      <c r="F249" s="114"/>
      <c r="G249" s="114"/>
    </row>
    <row r="250" spans="1:7" ht="15.75" customHeight="1" x14ac:dyDescent="0.25">
      <c r="A250" s="24"/>
      <c r="B250" s="174"/>
      <c r="C250" s="24"/>
      <c r="D250" s="24"/>
      <c r="E250" s="24"/>
      <c r="F250" s="114"/>
      <c r="G250" s="114"/>
    </row>
    <row r="251" spans="1:7" ht="15.75" customHeight="1" x14ac:dyDescent="0.25">
      <c r="A251" s="24"/>
      <c r="B251" s="174"/>
      <c r="C251" s="24"/>
      <c r="D251" s="24"/>
      <c r="E251" s="24"/>
      <c r="F251" s="114"/>
      <c r="G251" s="114"/>
    </row>
    <row r="252" spans="1:7" ht="15.75" customHeight="1" x14ac:dyDescent="0.25">
      <c r="A252" s="24"/>
      <c r="B252" s="174"/>
      <c r="C252" s="24"/>
      <c r="D252" s="24"/>
      <c r="E252" s="24"/>
      <c r="F252" s="114"/>
      <c r="G252" s="114"/>
    </row>
    <row r="253" spans="1:7" ht="15.75" customHeight="1" x14ac:dyDescent="0.25">
      <c r="A253" s="24"/>
      <c r="B253" s="174"/>
      <c r="C253" s="24"/>
      <c r="D253" s="24"/>
      <c r="E253" s="24"/>
      <c r="F253" s="114"/>
      <c r="G253" s="114"/>
    </row>
    <row r="254" spans="1:7" ht="15.75" customHeight="1" x14ac:dyDescent="0.25">
      <c r="A254" s="24"/>
      <c r="B254" s="174"/>
      <c r="C254" s="24"/>
      <c r="D254" s="24"/>
      <c r="E254" s="24"/>
      <c r="F254" s="114"/>
      <c r="G254" s="114"/>
    </row>
    <row r="255" spans="1:7" ht="15.75" customHeight="1" x14ac:dyDescent="0.25">
      <c r="A255" s="24"/>
      <c r="B255" s="174"/>
      <c r="C255" s="24"/>
      <c r="D255" s="24"/>
      <c r="E255" s="24"/>
      <c r="F255" s="114"/>
      <c r="G255" s="114"/>
    </row>
    <row r="256" spans="1:7" ht="15.75" customHeight="1" x14ac:dyDescent="0.25">
      <c r="A256" s="24"/>
      <c r="B256" s="174"/>
      <c r="C256" s="24"/>
      <c r="D256" s="24"/>
      <c r="E256" s="24"/>
      <c r="F256" s="114"/>
      <c r="G256" s="114"/>
    </row>
    <row r="257" spans="1:7" ht="15.75" customHeight="1" x14ac:dyDescent="0.25">
      <c r="A257" s="24"/>
      <c r="B257" s="174"/>
      <c r="C257" s="24"/>
      <c r="D257" s="24"/>
      <c r="E257" s="24"/>
      <c r="F257" s="114"/>
      <c r="G257" s="114"/>
    </row>
    <row r="258" spans="1:7" ht="15.75" customHeight="1" x14ac:dyDescent="0.25">
      <c r="A258" s="24"/>
      <c r="B258" s="174"/>
      <c r="C258" s="24"/>
      <c r="D258" s="24"/>
      <c r="E258" s="24"/>
      <c r="F258" s="114"/>
      <c r="G258" s="114"/>
    </row>
    <row r="259" spans="1:7" ht="15.75" customHeight="1" x14ac:dyDescent="0.25">
      <c r="A259" s="24"/>
      <c r="B259" s="174"/>
      <c r="C259" s="24"/>
      <c r="D259" s="24"/>
      <c r="E259" s="24"/>
      <c r="F259" s="114"/>
      <c r="G259" s="114"/>
    </row>
    <row r="260" spans="1:7" ht="15.75" customHeight="1" x14ac:dyDescent="0.25">
      <c r="A260" s="24"/>
      <c r="B260" s="174"/>
      <c r="C260" s="24"/>
      <c r="D260" s="24"/>
      <c r="E260" s="24"/>
      <c r="F260" s="114"/>
      <c r="G260" s="114"/>
    </row>
    <row r="261" spans="1:7" ht="15.75" customHeight="1" x14ac:dyDescent="0.25"/>
    <row r="262" spans="1:7" ht="15.75" customHeight="1" x14ac:dyDescent="0.25"/>
    <row r="263" spans="1:7" ht="15.75" customHeight="1" x14ac:dyDescent="0.25"/>
    <row r="264" spans="1:7" ht="15.75" customHeight="1" x14ac:dyDescent="0.25"/>
    <row r="265" spans="1:7" ht="15.75" customHeight="1" x14ac:dyDescent="0.25"/>
    <row r="266" spans="1:7" ht="15.75" customHeight="1" x14ac:dyDescent="0.25"/>
    <row r="267" spans="1:7" ht="15.75" customHeight="1" x14ac:dyDescent="0.25"/>
    <row r="268" spans="1:7" ht="15.75" customHeight="1" x14ac:dyDescent="0.25"/>
    <row r="269" spans="1:7" ht="15.75" customHeight="1" x14ac:dyDescent="0.25"/>
    <row r="270" spans="1:7" ht="15.75" customHeight="1" x14ac:dyDescent="0.25"/>
    <row r="271" spans="1:7" ht="15.75" customHeight="1" x14ac:dyDescent="0.25"/>
    <row r="272" spans="1:7"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834"/>
  <sheetViews>
    <sheetView view="pageBreakPreview" zoomScale="130" zoomScaleNormal="115" zoomScaleSheetLayoutView="130" workbookViewId="0">
      <selection activeCell="A67" sqref="A67"/>
    </sheetView>
  </sheetViews>
  <sheetFormatPr defaultColWidth="14.42578125" defaultRowHeight="15" customHeight="1" x14ac:dyDescent="0.25"/>
  <cols>
    <col min="1" max="1" width="71.28515625" customWidth="1"/>
    <col min="2" max="2" width="17.42578125" customWidth="1"/>
    <col min="3" max="6" width="16" hidden="1" customWidth="1"/>
    <col min="7" max="7" width="16" customWidth="1"/>
    <col min="8" max="26" width="10.28515625" customWidth="1"/>
  </cols>
  <sheetData>
    <row r="1" spans="1:26" ht="15.75" customHeight="1" x14ac:dyDescent="0.25">
      <c r="A1" s="9"/>
      <c r="B1" s="10"/>
      <c r="C1" s="11"/>
      <c r="D1" s="11"/>
      <c r="E1" s="11"/>
      <c r="F1" s="10"/>
      <c r="G1" s="13"/>
      <c r="H1" s="15"/>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5"/>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5"/>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5"/>
      <c r="I4" s="15"/>
      <c r="J4" s="15"/>
      <c r="K4" s="15"/>
      <c r="L4" s="15"/>
      <c r="M4" s="15"/>
      <c r="N4" s="15"/>
      <c r="O4" s="15"/>
      <c r="P4" s="15"/>
      <c r="Q4" s="15"/>
      <c r="R4" s="15"/>
      <c r="S4" s="15"/>
      <c r="T4" s="15"/>
      <c r="U4" s="15"/>
      <c r="V4" s="15"/>
      <c r="W4" s="15"/>
      <c r="X4" s="15"/>
      <c r="Y4" s="15"/>
      <c r="Z4" s="15"/>
    </row>
    <row r="5" spans="1:26" ht="13.5" customHeight="1" x14ac:dyDescent="0.25">
      <c r="A5" s="21"/>
      <c r="B5" s="18"/>
      <c r="C5" s="18"/>
      <c r="D5" s="18"/>
      <c r="E5" s="18"/>
      <c r="F5" s="18"/>
      <c r="G5" s="23"/>
      <c r="H5" s="15"/>
      <c r="I5" s="15"/>
      <c r="J5" s="15"/>
      <c r="K5" s="15"/>
      <c r="L5" s="15"/>
      <c r="M5" s="15"/>
      <c r="N5" s="15"/>
      <c r="O5" s="15"/>
      <c r="P5" s="15"/>
      <c r="Q5" s="15"/>
      <c r="R5" s="15"/>
      <c r="S5" s="15"/>
      <c r="T5" s="15"/>
      <c r="U5" s="15"/>
      <c r="V5" s="15"/>
      <c r="W5" s="15"/>
      <c r="X5" s="15"/>
      <c r="Y5" s="15"/>
      <c r="Z5" s="15"/>
    </row>
    <row r="6" spans="1:26" ht="15.75" customHeight="1" x14ac:dyDescent="0.25">
      <c r="A6" s="17" t="s">
        <v>641</v>
      </c>
      <c r="B6" s="24"/>
      <c r="C6" s="25"/>
      <c r="D6" s="25"/>
      <c r="E6" s="25"/>
      <c r="F6" s="24"/>
      <c r="G6" s="19"/>
      <c r="H6" s="15"/>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5"/>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5"/>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2717</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37" t="s">
        <v>364</v>
      </c>
      <c r="B13" s="38"/>
      <c r="C13" s="37"/>
      <c r="D13" s="37"/>
      <c r="E13" s="37"/>
      <c r="F13" s="37"/>
      <c r="G13" s="37"/>
    </row>
    <row r="14" spans="1:26" ht="15.75" customHeight="1" x14ac:dyDescent="0.25">
      <c r="A14" s="17" t="s">
        <v>622</v>
      </c>
      <c r="B14" s="41"/>
      <c r="C14" s="42"/>
      <c r="D14" s="42"/>
      <c r="E14" s="42"/>
      <c r="F14" s="42"/>
      <c r="G14" s="42"/>
    </row>
    <row r="15" spans="1:26" ht="15.75" customHeight="1" x14ac:dyDescent="0.25">
      <c r="A15" s="17" t="s">
        <v>366</v>
      </c>
      <c r="B15" s="41"/>
      <c r="C15" s="42"/>
      <c r="D15" s="42"/>
      <c r="E15" s="19"/>
      <c r="F15" s="42"/>
      <c r="G15" s="42"/>
    </row>
    <row r="16" spans="1:26" ht="15.75" customHeight="1" x14ac:dyDescent="0.25">
      <c r="A16" s="44" t="s">
        <v>367</v>
      </c>
      <c r="B16" s="41" t="s">
        <v>121</v>
      </c>
      <c r="C16" s="43">
        <v>2402203.2200000002</v>
      </c>
      <c r="D16" s="43">
        <v>1364472</v>
      </c>
      <c r="E16" s="45">
        <f>F16-D16</f>
        <v>1617624</v>
      </c>
      <c r="F16" s="43">
        <v>2982096</v>
      </c>
      <c r="G16" s="43">
        <v>3129132</v>
      </c>
    </row>
    <row r="17" spans="1:7" ht="15.75" customHeight="1" x14ac:dyDescent="0.25">
      <c r="A17" s="17" t="s">
        <v>368</v>
      </c>
      <c r="B17" s="41"/>
      <c r="C17" s="46"/>
      <c r="D17" s="46"/>
      <c r="E17" s="45"/>
      <c r="F17" s="43"/>
      <c r="G17" s="43"/>
    </row>
    <row r="18" spans="1:7" ht="15.75" customHeight="1" x14ac:dyDescent="0.25">
      <c r="A18" s="44" t="s">
        <v>369</v>
      </c>
      <c r="B18" s="41" t="s">
        <v>125</v>
      </c>
      <c r="C18" s="43">
        <v>96000</v>
      </c>
      <c r="D18" s="43">
        <v>48000</v>
      </c>
      <c r="E18" s="45">
        <f t="shared" ref="E18:E21" si="0">F18-D18</f>
        <v>72000</v>
      </c>
      <c r="F18" s="43">
        <v>120000</v>
      </c>
      <c r="G18" s="43">
        <v>120000</v>
      </c>
    </row>
    <row r="19" spans="1:7" ht="15.75" customHeight="1" x14ac:dyDescent="0.25">
      <c r="A19" s="44" t="s">
        <v>373</v>
      </c>
      <c r="B19" s="41" t="s">
        <v>131</v>
      </c>
      <c r="C19" s="43">
        <v>28000</v>
      </c>
      <c r="D19" s="43">
        <v>28000</v>
      </c>
      <c r="E19" s="45">
        <f t="shared" si="0"/>
        <v>7000</v>
      </c>
      <c r="F19" s="43">
        <v>35000</v>
      </c>
      <c r="G19" s="43">
        <v>35000</v>
      </c>
    </row>
    <row r="20" spans="1:7" ht="15.75" customHeight="1" x14ac:dyDescent="0.25">
      <c r="A20" s="44" t="s">
        <v>374</v>
      </c>
      <c r="B20" s="41" t="s">
        <v>151</v>
      </c>
      <c r="C20" s="43">
        <v>199493</v>
      </c>
      <c r="D20" s="43">
        <v>0</v>
      </c>
      <c r="E20" s="45">
        <f t="shared" si="0"/>
        <v>248508</v>
      </c>
      <c r="F20" s="43">
        <v>248508</v>
      </c>
      <c r="G20" s="43">
        <v>260761</v>
      </c>
    </row>
    <row r="21" spans="1:7" ht="15.75" customHeight="1" x14ac:dyDescent="0.25">
      <c r="A21" s="44" t="s">
        <v>375</v>
      </c>
      <c r="B21" s="41" t="s">
        <v>153</v>
      </c>
      <c r="C21" s="43">
        <v>20000</v>
      </c>
      <c r="D21" s="43">
        <v>0</v>
      </c>
      <c r="E21" s="45">
        <f t="shared" si="0"/>
        <v>25000</v>
      </c>
      <c r="F21" s="43">
        <v>25000</v>
      </c>
      <c r="G21" s="43">
        <v>25000</v>
      </c>
    </row>
    <row r="22" spans="1:7" ht="15.75" customHeight="1" x14ac:dyDescent="0.25">
      <c r="A22" s="44" t="s">
        <v>376</v>
      </c>
      <c r="B22" s="41" t="s">
        <v>155</v>
      </c>
      <c r="C22" s="46"/>
      <c r="D22" s="46"/>
      <c r="E22" s="45"/>
      <c r="F22" s="43"/>
      <c r="G22" s="43"/>
    </row>
    <row r="23" spans="1:7" ht="15.75" customHeight="1" x14ac:dyDescent="0.25">
      <c r="A23" s="44" t="s">
        <v>377</v>
      </c>
      <c r="B23" s="41" t="s">
        <v>157</v>
      </c>
      <c r="C23" s="43">
        <v>10000</v>
      </c>
      <c r="D23" s="43">
        <v>20000</v>
      </c>
      <c r="E23" s="45">
        <f t="shared" ref="E23:E25" si="1">F23-D23</f>
        <v>0</v>
      </c>
      <c r="F23" s="43">
        <v>20000</v>
      </c>
      <c r="G23" s="43">
        <v>0</v>
      </c>
    </row>
    <row r="24" spans="1:7" ht="15.75" customHeight="1" x14ac:dyDescent="0.25">
      <c r="A24" s="44" t="s">
        <v>378</v>
      </c>
      <c r="B24" s="41" t="s">
        <v>159</v>
      </c>
      <c r="C24" s="43">
        <v>0</v>
      </c>
      <c r="D24" s="43">
        <v>12000</v>
      </c>
      <c r="E24" s="45">
        <f t="shared" si="1"/>
        <v>3000</v>
      </c>
      <c r="F24" s="43">
        <v>15000</v>
      </c>
      <c r="G24" s="43">
        <v>0</v>
      </c>
    </row>
    <row r="25" spans="1:7" ht="15.75" customHeight="1" x14ac:dyDescent="0.25">
      <c r="A25" s="44" t="s">
        <v>379</v>
      </c>
      <c r="B25" s="41" t="s">
        <v>161</v>
      </c>
      <c r="C25" s="43">
        <v>190528</v>
      </c>
      <c r="D25" s="43">
        <v>227412</v>
      </c>
      <c r="E25" s="45">
        <f t="shared" si="1"/>
        <v>21096</v>
      </c>
      <c r="F25" s="43">
        <v>248508</v>
      </c>
      <c r="G25" s="43">
        <v>260761</v>
      </c>
    </row>
    <row r="26" spans="1:7" ht="15.75" customHeight="1" x14ac:dyDescent="0.25">
      <c r="A26" s="17" t="s">
        <v>380</v>
      </c>
      <c r="B26" s="41"/>
      <c r="C26" s="46"/>
      <c r="D26" s="46"/>
      <c r="E26" s="45"/>
      <c r="F26" s="43"/>
      <c r="G26" s="43"/>
    </row>
    <row r="27" spans="1:7" ht="15.75" customHeight="1" x14ac:dyDescent="0.25">
      <c r="A27" s="44" t="s">
        <v>381</v>
      </c>
      <c r="B27" s="41" t="s">
        <v>165</v>
      </c>
      <c r="C27" s="43">
        <v>288264.38</v>
      </c>
      <c r="D27" s="43">
        <v>163736.64000000001</v>
      </c>
      <c r="E27" s="45">
        <f t="shared" ref="E27:E30" si="2">F27-D27</f>
        <v>194115.36</v>
      </c>
      <c r="F27" s="43">
        <v>357852</v>
      </c>
      <c r="G27" s="43">
        <v>375496</v>
      </c>
    </row>
    <row r="28" spans="1:7" ht="15.75" customHeight="1" x14ac:dyDescent="0.25">
      <c r="A28" s="44" t="s">
        <v>382</v>
      </c>
      <c r="B28" s="41" t="s">
        <v>167</v>
      </c>
      <c r="C28" s="43">
        <v>48044.06</v>
      </c>
      <c r="D28" s="43">
        <v>27289.439999999999</v>
      </c>
      <c r="E28" s="45">
        <f t="shared" si="2"/>
        <v>32352.560000000001</v>
      </c>
      <c r="F28" s="43">
        <v>59642</v>
      </c>
      <c r="G28" s="43">
        <v>62583</v>
      </c>
    </row>
    <row r="29" spans="1:7" ht="15.75" customHeight="1" x14ac:dyDescent="0.25">
      <c r="A29" s="44" t="s">
        <v>383</v>
      </c>
      <c r="B29" s="41" t="s">
        <v>169</v>
      </c>
      <c r="C29" s="43">
        <v>60055.19</v>
      </c>
      <c r="D29" s="43">
        <v>34111.86</v>
      </c>
      <c r="E29" s="45">
        <f t="shared" si="2"/>
        <v>40443.14</v>
      </c>
      <c r="F29" s="43">
        <v>74555</v>
      </c>
      <c r="G29" s="43">
        <v>78232</v>
      </c>
    </row>
    <row r="30" spans="1:7" ht="15.75" customHeight="1" x14ac:dyDescent="0.25">
      <c r="A30" s="44" t="s">
        <v>384</v>
      </c>
      <c r="B30" s="41" t="s">
        <v>171</v>
      </c>
      <c r="C30" s="43">
        <v>4800</v>
      </c>
      <c r="D30" s="43">
        <v>2400</v>
      </c>
      <c r="E30" s="45">
        <f t="shared" si="2"/>
        <v>3600</v>
      </c>
      <c r="F30" s="43">
        <v>6000</v>
      </c>
      <c r="G30" s="43">
        <v>6000</v>
      </c>
    </row>
    <row r="31" spans="1:7" ht="15.75" customHeight="1" x14ac:dyDescent="0.25">
      <c r="A31" s="17" t="s">
        <v>624</v>
      </c>
      <c r="B31" s="41"/>
      <c r="C31" s="46"/>
      <c r="D31" s="46"/>
      <c r="E31" s="45"/>
      <c r="F31" s="43"/>
      <c r="G31" s="43"/>
    </row>
    <row r="32" spans="1:7" ht="15.75" customHeight="1" x14ac:dyDescent="0.25">
      <c r="A32" s="44" t="s">
        <v>387</v>
      </c>
      <c r="B32" s="41" t="s">
        <v>181</v>
      </c>
      <c r="C32" s="43">
        <v>90074.57</v>
      </c>
      <c r="D32" s="43">
        <v>107825.29</v>
      </c>
      <c r="E32" s="45">
        <f t="shared" ref="E32:E33" si="3">F32-D32</f>
        <v>11937.710000000006</v>
      </c>
      <c r="F32" s="43">
        <v>119763</v>
      </c>
      <c r="G32" s="43">
        <v>125668</v>
      </c>
    </row>
    <row r="33" spans="1:8" ht="15.75" customHeight="1" x14ac:dyDescent="0.25">
      <c r="A33" s="44" t="s">
        <v>388</v>
      </c>
      <c r="B33" s="41" t="s">
        <v>183</v>
      </c>
      <c r="C33" s="43">
        <v>20000</v>
      </c>
      <c r="D33" s="43">
        <v>0</v>
      </c>
      <c r="E33" s="45">
        <f t="shared" si="3"/>
        <v>25000</v>
      </c>
      <c r="F33" s="43">
        <v>25000</v>
      </c>
      <c r="G33" s="43">
        <v>25000</v>
      </c>
    </row>
    <row r="34" spans="1:8" ht="31.5" x14ac:dyDescent="0.25">
      <c r="A34" s="117" t="s">
        <v>389</v>
      </c>
      <c r="B34" s="41"/>
      <c r="C34" s="43">
        <v>0</v>
      </c>
      <c r="D34" s="43">
        <v>0</v>
      </c>
      <c r="E34" s="45">
        <v>0</v>
      </c>
      <c r="F34" s="43">
        <v>0</v>
      </c>
      <c r="G34" s="43">
        <v>91295</v>
      </c>
    </row>
    <row r="35" spans="1:8" ht="15.75" customHeight="1" x14ac:dyDescent="0.25">
      <c r="A35" s="456" t="s">
        <v>390</v>
      </c>
      <c r="B35" s="461"/>
      <c r="C35" s="453">
        <f t="shared" ref="C35:D35" si="4">SUM(C16:C34)</f>
        <v>3457462.42</v>
      </c>
      <c r="D35" s="54">
        <f t="shared" si="4"/>
        <v>2035247.2300000002</v>
      </c>
      <c r="E35" s="79">
        <f>F35-D35</f>
        <v>2301676.7699999996</v>
      </c>
      <c r="F35" s="54">
        <f t="shared" ref="F35:G35" si="5">SUM(F16:F34)</f>
        <v>4336924</v>
      </c>
      <c r="G35" s="54">
        <f t="shared" si="5"/>
        <v>4594928</v>
      </c>
    </row>
    <row r="36" spans="1:8" ht="15.75" customHeight="1" x14ac:dyDescent="0.25">
      <c r="A36" s="456"/>
      <c r="B36" s="461"/>
      <c r="C36" s="449"/>
      <c r="D36" s="55"/>
      <c r="E36" s="45"/>
      <c r="F36" s="81"/>
      <c r="G36" s="55"/>
    </row>
    <row r="37" spans="1:8" ht="15.75" customHeight="1" x14ac:dyDescent="0.25">
      <c r="A37" s="42" t="s">
        <v>626</v>
      </c>
      <c r="B37" s="41"/>
      <c r="C37" s="43"/>
      <c r="D37" s="43"/>
      <c r="E37" s="45"/>
      <c r="F37" s="43"/>
      <c r="G37" s="43"/>
    </row>
    <row r="38" spans="1:8" ht="15.75" customHeight="1" x14ac:dyDescent="0.25">
      <c r="A38" s="17" t="s">
        <v>642</v>
      </c>
      <c r="B38" s="20"/>
      <c r="C38" s="56"/>
      <c r="D38" s="43"/>
      <c r="E38" s="45"/>
      <c r="F38" s="43"/>
      <c r="G38" s="43"/>
    </row>
    <row r="39" spans="1:8" ht="15.75" customHeight="1" x14ac:dyDescent="0.25">
      <c r="A39" s="44" t="s">
        <v>393</v>
      </c>
      <c r="B39" s="20" t="s">
        <v>187</v>
      </c>
      <c r="C39" s="56">
        <v>195288.44</v>
      </c>
      <c r="D39" s="56">
        <v>80879.960000000006</v>
      </c>
      <c r="E39" s="56">
        <f>F39-D39</f>
        <v>119120.04</v>
      </c>
      <c r="F39" s="56">
        <v>200000</v>
      </c>
      <c r="G39" s="43">
        <v>200000</v>
      </c>
      <c r="H39" s="57">
        <v>200000</v>
      </c>
    </row>
    <row r="40" spans="1:8" ht="15.75" customHeight="1" x14ac:dyDescent="0.25">
      <c r="A40" s="17" t="s">
        <v>493</v>
      </c>
      <c r="B40" s="20"/>
      <c r="C40" s="56"/>
      <c r="D40" s="43"/>
      <c r="E40" s="45"/>
      <c r="F40" s="45"/>
      <c r="G40" s="43"/>
    </row>
    <row r="41" spans="1:8" ht="15.75" customHeight="1" x14ac:dyDescent="0.25">
      <c r="A41" s="44" t="s">
        <v>396</v>
      </c>
      <c r="B41" s="20" t="s">
        <v>191</v>
      </c>
      <c r="C41" s="56">
        <v>39710.080000000002</v>
      </c>
      <c r="D41" s="43">
        <v>15750</v>
      </c>
      <c r="E41" s="45">
        <f>F41-D41</f>
        <v>184250</v>
      </c>
      <c r="F41" s="45">
        <v>200000</v>
      </c>
      <c r="G41" s="43">
        <v>200000</v>
      </c>
      <c r="H41" s="57">
        <v>200000</v>
      </c>
    </row>
    <row r="42" spans="1:8" ht="15.75" customHeight="1" x14ac:dyDescent="0.25">
      <c r="A42" s="17" t="s">
        <v>499</v>
      </c>
      <c r="B42" s="20"/>
      <c r="C42" s="59"/>
      <c r="D42" s="46"/>
      <c r="E42" s="45"/>
      <c r="F42" s="45"/>
      <c r="G42" s="43"/>
    </row>
    <row r="43" spans="1:8" ht="15.75" customHeight="1" x14ac:dyDescent="0.25">
      <c r="A43" s="44" t="s">
        <v>398</v>
      </c>
      <c r="B43" s="20" t="s">
        <v>195</v>
      </c>
      <c r="C43" s="56">
        <v>186656.31</v>
      </c>
      <c r="D43" s="43">
        <v>90335.51</v>
      </c>
      <c r="E43" s="45">
        <f t="shared" ref="E43:E44" si="6">F43-D43</f>
        <v>104472.49</v>
      </c>
      <c r="F43" s="443">
        <v>194808</v>
      </c>
      <c r="G43" s="444">
        <v>193700</v>
      </c>
      <c r="H43" s="57">
        <f>193700</f>
        <v>193700</v>
      </c>
    </row>
    <row r="44" spans="1:8" ht="15.75" customHeight="1" x14ac:dyDescent="0.25">
      <c r="A44" s="96" t="s">
        <v>400</v>
      </c>
      <c r="B44" s="20" t="s">
        <v>221</v>
      </c>
      <c r="C44" s="56">
        <v>0</v>
      </c>
      <c r="D44" s="43">
        <v>39000</v>
      </c>
      <c r="E44" s="45">
        <f t="shared" si="6"/>
        <v>1000</v>
      </c>
      <c r="F44" s="443">
        <v>40000</v>
      </c>
      <c r="G44" s="444">
        <v>33000</v>
      </c>
      <c r="H44" s="57">
        <v>33000</v>
      </c>
    </row>
    <row r="45" spans="1:8" ht="15.75" customHeight="1" x14ac:dyDescent="0.25">
      <c r="A45" s="96" t="s">
        <v>538</v>
      </c>
      <c r="B45" s="20" t="s">
        <v>223</v>
      </c>
      <c r="C45" s="56">
        <v>0</v>
      </c>
      <c r="D45" s="43">
        <v>0</v>
      </c>
      <c r="E45" s="45">
        <v>0</v>
      </c>
      <c r="F45" s="443">
        <v>0</v>
      </c>
      <c r="G45" s="444">
        <v>52500</v>
      </c>
      <c r="H45" s="57">
        <v>52500</v>
      </c>
    </row>
    <row r="46" spans="1:8" ht="15.75" customHeight="1" x14ac:dyDescent="0.25">
      <c r="A46" s="44" t="s">
        <v>402</v>
      </c>
      <c r="B46" s="41" t="s">
        <v>225</v>
      </c>
      <c r="C46" s="56">
        <v>90872.76</v>
      </c>
      <c r="D46" s="43">
        <v>70014.86</v>
      </c>
      <c r="E46" s="45">
        <f>F46-D46</f>
        <v>93610.14</v>
      </c>
      <c r="F46" s="443">
        <v>163625</v>
      </c>
      <c r="G46" s="444">
        <v>173430</v>
      </c>
      <c r="H46" s="57">
        <v>173430</v>
      </c>
    </row>
    <row r="47" spans="1:8" ht="15.75" customHeight="1" x14ac:dyDescent="0.25">
      <c r="A47" s="17" t="s">
        <v>503</v>
      </c>
      <c r="B47" s="41"/>
      <c r="C47" s="56"/>
      <c r="D47" s="43"/>
      <c r="E47" s="45"/>
      <c r="F47" s="443"/>
      <c r="G47" s="444"/>
    </row>
    <row r="48" spans="1:8" ht="15.75" customHeight="1" x14ac:dyDescent="0.25">
      <c r="A48" s="44" t="s">
        <v>643</v>
      </c>
      <c r="B48" s="41" t="s">
        <v>233</v>
      </c>
      <c r="C48" s="56">
        <v>43945.01</v>
      </c>
      <c r="D48" s="43">
        <v>16291.59</v>
      </c>
      <c r="E48" s="45">
        <f t="shared" ref="E48:E50" si="7">F48-D48</f>
        <v>103708.41</v>
      </c>
      <c r="F48" s="443">
        <v>120000</v>
      </c>
      <c r="G48" s="444">
        <v>50000</v>
      </c>
      <c r="H48" s="57">
        <v>50000</v>
      </c>
    </row>
    <row r="49" spans="1:11" ht="15.75" customHeight="1" x14ac:dyDescent="0.25">
      <c r="A49" s="44" t="s">
        <v>504</v>
      </c>
      <c r="B49" s="41" t="s">
        <v>237</v>
      </c>
      <c r="C49" s="56">
        <v>51716.87</v>
      </c>
      <c r="D49" s="43">
        <v>18103.14</v>
      </c>
      <c r="E49" s="45">
        <f t="shared" si="7"/>
        <v>81896.86</v>
      </c>
      <c r="F49" s="443">
        <v>100000</v>
      </c>
      <c r="G49" s="444">
        <f>300000</f>
        <v>300000</v>
      </c>
      <c r="H49" s="57">
        <v>300000</v>
      </c>
    </row>
    <row r="50" spans="1:11" ht="15.75" customHeight="1" x14ac:dyDescent="0.25">
      <c r="A50" s="48" t="s">
        <v>644</v>
      </c>
      <c r="B50" s="25" t="s">
        <v>239</v>
      </c>
      <c r="C50" s="43">
        <v>0</v>
      </c>
      <c r="D50" s="43">
        <v>0</v>
      </c>
      <c r="E50" s="45">
        <f t="shared" si="7"/>
        <v>12000</v>
      </c>
      <c r="F50" s="443">
        <v>12000</v>
      </c>
      <c r="G50" s="444">
        <v>12000</v>
      </c>
      <c r="H50" s="57">
        <v>12000</v>
      </c>
    </row>
    <row r="51" spans="1:11" ht="15.75" customHeight="1" x14ac:dyDescent="0.25">
      <c r="A51" s="42" t="s">
        <v>424</v>
      </c>
      <c r="B51" s="25"/>
      <c r="C51" s="43"/>
      <c r="D51" s="43"/>
      <c r="E51" s="45"/>
      <c r="F51" s="443"/>
      <c r="G51" s="444"/>
    </row>
    <row r="52" spans="1:11" ht="15.75" customHeight="1" x14ac:dyDescent="0.25">
      <c r="A52" s="610" t="s">
        <v>645</v>
      </c>
      <c r="B52" s="483" t="s">
        <v>325</v>
      </c>
      <c r="C52" s="618">
        <v>0</v>
      </c>
      <c r="D52" s="457">
        <v>0</v>
      </c>
      <c r="E52" s="452">
        <f t="shared" ref="E52:E53" si="8">F52-D52</f>
        <v>250000</v>
      </c>
      <c r="F52" s="77">
        <v>250000</v>
      </c>
      <c r="G52" s="445">
        <v>250000</v>
      </c>
      <c r="H52" s="57">
        <v>250000</v>
      </c>
    </row>
    <row r="53" spans="1:11" ht="15.75" customHeight="1" x14ac:dyDescent="0.25">
      <c r="A53" s="611" t="s">
        <v>424</v>
      </c>
      <c r="B53" s="539" t="s">
        <v>335</v>
      </c>
      <c r="C53" s="513">
        <v>1412404</v>
      </c>
      <c r="D53" s="448">
        <v>1093680</v>
      </c>
      <c r="E53" s="449">
        <f t="shared" si="8"/>
        <v>2142280</v>
      </c>
      <c r="F53" s="449">
        <v>3235960</v>
      </c>
      <c r="G53" s="448">
        <f>31500+31500+224640+423072+199368+423072+1432080+1215552</f>
        <v>3980784</v>
      </c>
    </row>
    <row r="54" spans="1:11" ht="31.5" x14ac:dyDescent="0.25">
      <c r="A54" s="295" t="s">
        <v>646</v>
      </c>
      <c r="B54" s="20"/>
      <c r="C54" s="56"/>
      <c r="D54" s="43"/>
      <c r="E54" s="45"/>
      <c r="F54" s="443"/>
      <c r="G54" s="462"/>
      <c r="H54" s="57">
        <v>31500</v>
      </c>
    </row>
    <row r="55" spans="1:11" ht="31.5" x14ac:dyDescent="0.25">
      <c r="A55" s="295" t="s">
        <v>647</v>
      </c>
      <c r="B55" s="20"/>
      <c r="C55" s="56"/>
      <c r="D55" s="43"/>
      <c r="E55" s="45"/>
      <c r="F55" s="443"/>
      <c r="G55" s="462"/>
      <c r="H55" s="57">
        <v>31500</v>
      </c>
    </row>
    <row r="56" spans="1:11" ht="15.75" customHeight="1" x14ac:dyDescent="0.25">
      <c r="A56" s="96" t="s">
        <v>648</v>
      </c>
      <c r="B56" s="20"/>
      <c r="C56" s="56"/>
      <c r="D56" s="43"/>
      <c r="E56" s="45"/>
      <c r="F56" s="443"/>
      <c r="G56" s="462"/>
    </row>
    <row r="57" spans="1:11" ht="31.5" x14ac:dyDescent="0.25">
      <c r="A57" s="90" t="s">
        <v>649</v>
      </c>
      <c r="B57" s="20"/>
      <c r="C57" s="56"/>
      <c r="D57" s="43"/>
      <c r="E57" s="45"/>
      <c r="F57" s="443"/>
      <c r="G57" s="462"/>
      <c r="H57" s="57">
        <v>720</v>
      </c>
      <c r="I57" s="57">
        <f t="shared" ref="I57:I62" si="9">26*12</f>
        <v>312</v>
      </c>
      <c r="J57" s="57">
        <v>1</v>
      </c>
      <c r="K57" s="57">
        <f t="shared" ref="K57:K62" si="10">J57*I57*H57</f>
        <v>224640</v>
      </c>
    </row>
    <row r="58" spans="1:11" ht="31.5" x14ac:dyDescent="0.25">
      <c r="A58" s="90" t="s">
        <v>650</v>
      </c>
      <c r="B58" s="20"/>
      <c r="C58" s="56"/>
      <c r="D58" s="43"/>
      <c r="E58" s="45"/>
      <c r="F58" s="443"/>
      <c r="G58" s="462"/>
      <c r="H58" s="57">
        <v>678</v>
      </c>
      <c r="I58" s="57">
        <f t="shared" si="9"/>
        <v>312</v>
      </c>
      <c r="J58" s="57">
        <v>2</v>
      </c>
      <c r="K58" s="57">
        <f t="shared" si="10"/>
        <v>423072</v>
      </c>
    </row>
    <row r="59" spans="1:11" ht="31.5" x14ac:dyDescent="0.25">
      <c r="A59" s="90" t="s">
        <v>651</v>
      </c>
      <c r="B59" s="20"/>
      <c r="C59" s="56"/>
      <c r="D59" s="43"/>
      <c r="E59" s="45"/>
      <c r="F59" s="443"/>
      <c r="G59" s="462"/>
      <c r="H59" s="57">
        <v>639</v>
      </c>
      <c r="I59" s="57">
        <f t="shared" si="9"/>
        <v>312</v>
      </c>
      <c r="J59" s="57">
        <v>1</v>
      </c>
      <c r="K59" s="57">
        <f t="shared" si="10"/>
        <v>199368</v>
      </c>
    </row>
    <row r="60" spans="1:11" ht="31.5" x14ac:dyDescent="0.25">
      <c r="A60" s="90" t="s">
        <v>652</v>
      </c>
      <c r="B60" s="20"/>
      <c r="C60" s="56"/>
      <c r="D60" s="43"/>
      <c r="E60" s="45"/>
      <c r="F60" s="443"/>
      <c r="G60" s="462"/>
      <c r="H60" s="57">
        <v>678</v>
      </c>
      <c r="I60" s="57">
        <f t="shared" si="9"/>
        <v>312</v>
      </c>
      <c r="J60" s="57">
        <v>2</v>
      </c>
      <c r="K60" s="57">
        <f t="shared" si="10"/>
        <v>423072</v>
      </c>
    </row>
    <row r="61" spans="1:11" ht="31.5" customHeight="1" x14ac:dyDescent="0.25">
      <c r="A61" s="90" t="s">
        <v>653</v>
      </c>
      <c r="B61" s="20"/>
      <c r="C61" s="56"/>
      <c r="D61" s="43"/>
      <c r="E61" s="45"/>
      <c r="F61" s="443"/>
      <c r="G61" s="462"/>
      <c r="H61" s="57">
        <v>765</v>
      </c>
      <c r="I61" s="57">
        <f t="shared" si="9"/>
        <v>312</v>
      </c>
      <c r="J61" s="57">
        <v>6</v>
      </c>
      <c r="K61" s="57">
        <f t="shared" si="10"/>
        <v>1432080</v>
      </c>
    </row>
    <row r="62" spans="1:11" ht="34.5" customHeight="1" x14ac:dyDescent="0.25">
      <c r="A62" s="90" t="s">
        <v>654</v>
      </c>
      <c r="B62" s="20"/>
      <c r="C62" s="56"/>
      <c r="D62" s="43"/>
      <c r="E62" s="45"/>
      <c r="F62" s="443"/>
      <c r="G62" s="462"/>
      <c r="H62" s="57">
        <v>974</v>
      </c>
      <c r="I62" s="57">
        <f t="shared" si="9"/>
        <v>312</v>
      </c>
      <c r="J62" s="57">
        <v>4</v>
      </c>
      <c r="K62" s="57">
        <f t="shared" si="10"/>
        <v>1215552</v>
      </c>
    </row>
    <row r="63" spans="1:11" ht="15.75" customHeight="1" x14ac:dyDescent="0.25">
      <c r="A63" s="456" t="s">
        <v>466</v>
      </c>
      <c r="B63" s="461"/>
      <c r="C63" s="453">
        <f>SUM(C39:C53)</f>
        <v>2020593.47</v>
      </c>
      <c r="D63" s="54">
        <f>SUM(D39:D53)</f>
        <v>1424055.06</v>
      </c>
      <c r="E63" s="54">
        <f>F63-D63</f>
        <v>3092337.94</v>
      </c>
      <c r="F63" s="496">
        <f>SUM(F39:F53)</f>
        <v>4516393</v>
      </c>
      <c r="G63" s="499">
        <f>SUM(G36:G62)</f>
        <v>5445414</v>
      </c>
    </row>
    <row r="64" spans="1:11" ht="15.75" customHeight="1" x14ac:dyDescent="0.25">
      <c r="A64" s="456"/>
      <c r="B64" s="502"/>
      <c r="C64" s="497"/>
      <c r="D64" s="55"/>
      <c r="E64" s="45"/>
      <c r="F64" s="497"/>
      <c r="G64" s="500"/>
    </row>
    <row r="65" spans="1:7" ht="15.75" customHeight="1" x14ac:dyDescent="0.25">
      <c r="A65" s="456" t="s">
        <v>467</v>
      </c>
      <c r="B65" s="454"/>
      <c r="C65" s="56">
        <f>C35+C63</f>
        <v>5478055.8899999997</v>
      </c>
      <c r="D65" s="43">
        <f>D35+D63</f>
        <v>3459302.29</v>
      </c>
      <c r="E65" s="45">
        <f>F65-D65</f>
        <v>5394014.71</v>
      </c>
      <c r="F65" s="484">
        <f>F35+F63</f>
        <v>8853317</v>
      </c>
      <c r="G65" s="462">
        <f>G35+G63</f>
        <v>10040342</v>
      </c>
    </row>
    <row r="66" spans="1:7" ht="15.75" customHeight="1" x14ac:dyDescent="0.25">
      <c r="A66" s="17"/>
      <c r="B66" s="20"/>
      <c r="C66" s="56"/>
      <c r="D66" s="43"/>
      <c r="E66" s="45"/>
      <c r="F66" s="484"/>
      <c r="G66" s="501"/>
    </row>
    <row r="67" spans="1:7" ht="15.75" customHeight="1" x14ac:dyDescent="0.25">
      <c r="A67" s="50" t="s">
        <v>487</v>
      </c>
      <c r="B67" s="27" t="s">
        <v>488</v>
      </c>
      <c r="C67" s="97" t="e">
        <f>C65+#REF!</f>
        <v>#REF!</v>
      </c>
      <c r="D67" s="54" t="e">
        <f>D65+#REF!</f>
        <v>#REF!</v>
      </c>
      <c r="E67" s="54" t="e">
        <f>F67-D67</f>
        <v>#REF!</v>
      </c>
      <c r="F67" s="498" t="e">
        <f>F65+#REF!</f>
        <v>#REF!</v>
      </c>
      <c r="G67" s="499">
        <f>G35+G63</f>
        <v>10040342</v>
      </c>
    </row>
    <row r="68" spans="1:7" ht="15.75" customHeight="1" x14ac:dyDescent="0.25">
      <c r="A68" s="24"/>
      <c r="B68" s="25"/>
      <c r="C68" s="26"/>
      <c r="D68" s="26"/>
      <c r="E68" s="26"/>
      <c r="F68" s="26"/>
      <c r="G68" s="26"/>
    </row>
    <row r="69" spans="1:7" ht="15.75" customHeight="1" x14ac:dyDescent="0.25">
      <c r="A69" s="17"/>
      <c r="B69" s="25"/>
      <c r="C69" s="24"/>
      <c r="D69" s="24"/>
      <c r="E69" s="24"/>
      <c r="F69" s="24"/>
    </row>
    <row r="70" spans="1:7" ht="15.75" customHeight="1" x14ac:dyDescent="0.25">
      <c r="A70" s="17"/>
      <c r="B70" s="25"/>
      <c r="C70" s="24"/>
      <c r="D70" s="24"/>
      <c r="E70" s="24"/>
      <c r="F70" s="24"/>
    </row>
    <row r="71" spans="1:7" ht="15.75" customHeight="1" x14ac:dyDescent="0.25">
      <c r="A71" s="17"/>
      <c r="B71" s="25"/>
      <c r="C71" s="24"/>
      <c r="D71" s="24"/>
      <c r="E71" s="24"/>
      <c r="F71" s="24"/>
    </row>
    <row r="72" spans="1:7" ht="15.75" customHeight="1" x14ac:dyDescent="0.25">
      <c r="A72" s="17"/>
      <c r="B72" s="25"/>
      <c r="C72" s="24"/>
      <c r="D72" s="24"/>
      <c r="E72" s="24"/>
      <c r="F72" s="24"/>
    </row>
    <row r="73" spans="1:7" ht="15.75" customHeight="1" x14ac:dyDescent="0.25">
      <c r="A73" s="17"/>
      <c r="B73" s="25"/>
      <c r="C73" s="24"/>
      <c r="D73" s="24"/>
      <c r="E73" s="24"/>
      <c r="F73" s="24"/>
    </row>
    <row r="74" spans="1:7" ht="15.75" customHeight="1" x14ac:dyDescent="0.25">
      <c r="A74" s="17"/>
      <c r="B74" s="25"/>
      <c r="C74" s="24"/>
      <c r="D74" s="24"/>
      <c r="E74" s="24"/>
      <c r="F74" s="24"/>
    </row>
    <row r="75" spans="1:7" ht="15.75" customHeight="1" x14ac:dyDescent="0.25">
      <c r="A75" s="17"/>
      <c r="B75" s="25"/>
      <c r="C75" s="24"/>
      <c r="D75" s="24"/>
      <c r="E75" s="24"/>
      <c r="F75" s="24"/>
    </row>
    <row r="76" spans="1:7" ht="15.75" customHeight="1" x14ac:dyDescent="0.25">
      <c r="A76" s="17"/>
      <c r="B76" s="25"/>
      <c r="C76" s="24"/>
      <c r="D76" s="24"/>
      <c r="E76" s="24"/>
      <c r="F76" s="24"/>
    </row>
    <row r="77" spans="1:7" ht="15.75" customHeight="1" x14ac:dyDescent="0.25">
      <c r="A77" s="17"/>
      <c r="B77" s="25"/>
      <c r="C77" s="24"/>
      <c r="D77" s="24"/>
      <c r="E77" s="24"/>
      <c r="F77" s="24"/>
    </row>
    <row r="78" spans="1:7" ht="15.75" customHeight="1" x14ac:dyDescent="0.25">
      <c r="A78" s="17"/>
      <c r="B78" s="25"/>
      <c r="C78" s="24"/>
      <c r="D78" s="24"/>
      <c r="E78" s="24"/>
      <c r="F78" s="24"/>
    </row>
    <row r="79" spans="1:7" ht="15.75" customHeight="1" x14ac:dyDescent="0.25">
      <c r="A79" s="17"/>
      <c r="B79" s="25"/>
      <c r="C79" s="24"/>
      <c r="D79" s="24"/>
      <c r="E79" s="24"/>
      <c r="F79" s="24"/>
    </row>
    <row r="80" spans="1:7" ht="15.75" customHeight="1" x14ac:dyDescent="0.25">
      <c r="A80" s="17"/>
      <c r="B80" s="25"/>
      <c r="C80" s="24"/>
      <c r="D80" s="24"/>
      <c r="E80" s="24"/>
      <c r="F80" s="24"/>
    </row>
    <row r="81" spans="1:6" ht="15.75" customHeight="1" x14ac:dyDescent="0.25">
      <c r="A81" s="17"/>
      <c r="B81" s="25"/>
      <c r="C81" s="24"/>
      <c r="D81" s="24"/>
      <c r="E81" s="24"/>
      <c r="F81" s="24"/>
    </row>
    <row r="82" spans="1:6" ht="15.75" customHeight="1" x14ac:dyDescent="0.25">
      <c r="A82" s="17"/>
      <c r="B82" s="25"/>
      <c r="C82" s="24"/>
      <c r="D82" s="24"/>
      <c r="E82" s="24"/>
      <c r="F82" s="24"/>
    </row>
    <row r="83" spans="1:6" ht="15.75" customHeight="1" x14ac:dyDescent="0.25">
      <c r="A83" s="17"/>
      <c r="B83" s="25"/>
      <c r="C83" s="24"/>
      <c r="D83" s="24"/>
      <c r="E83" s="24"/>
      <c r="F83" s="24"/>
    </row>
    <row r="84" spans="1:6" ht="15.75" customHeight="1" x14ac:dyDescent="0.25">
      <c r="A84" s="17"/>
      <c r="B84" s="25"/>
      <c r="C84" s="24"/>
      <c r="D84" s="24"/>
      <c r="E84" s="24"/>
      <c r="F84" s="24"/>
    </row>
    <row r="85" spans="1:6" ht="15.75" customHeight="1" x14ac:dyDescent="0.25">
      <c r="A85" s="17"/>
      <c r="B85" s="25"/>
      <c r="C85" s="24"/>
      <c r="D85" s="24"/>
      <c r="E85" s="24"/>
      <c r="F85" s="24"/>
    </row>
    <row r="86" spans="1:6" ht="15.75" customHeight="1" x14ac:dyDescent="0.25">
      <c r="A86" s="17"/>
      <c r="B86" s="25"/>
      <c r="C86" s="24"/>
      <c r="D86" s="24"/>
      <c r="E86" s="24"/>
      <c r="F86" s="24"/>
    </row>
    <row r="87" spans="1:6" ht="15.75" customHeight="1" x14ac:dyDescent="0.25">
      <c r="A87" s="17"/>
      <c r="B87" s="25"/>
      <c r="C87" s="24"/>
      <c r="D87" s="24"/>
      <c r="E87" s="24"/>
      <c r="F87" s="24"/>
    </row>
    <row r="88" spans="1:6" ht="15.75" customHeight="1" x14ac:dyDescent="0.25">
      <c r="A88" s="17"/>
      <c r="B88" s="25"/>
      <c r="C88" s="24"/>
      <c r="D88" s="24"/>
      <c r="E88" s="24"/>
      <c r="F88" s="24"/>
    </row>
    <row r="89" spans="1:6" ht="15.75" customHeight="1" x14ac:dyDescent="0.25">
      <c r="A89" s="17"/>
      <c r="B89" s="25"/>
      <c r="C89" s="24"/>
      <c r="D89" s="24"/>
      <c r="E89" s="24"/>
      <c r="F89" s="24"/>
    </row>
    <row r="90" spans="1:6" ht="15.75" customHeight="1" x14ac:dyDescent="0.25">
      <c r="A90" s="17"/>
      <c r="B90" s="25"/>
      <c r="C90" s="24"/>
      <c r="D90" s="24"/>
      <c r="E90" s="24"/>
      <c r="F90" s="24"/>
    </row>
    <row r="91" spans="1:6" ht="15.75" customHeight="1" x14ac:dyDescent="0.25">
      <c r="A91" s="17"/>
      <c r="B91" s="25"/>
      <c r="C91" s="24"/>
      <c r="D91" s="24"/>
      <c r="E91" s="24"/>
      <c r="F91" s="24"/>
    </row>
    <row r="92" spans="1:6" ht="15.75" customHeight="1" x14ac:dyDescent="0.25">
      <c r="A92" s="17"/>
      <c r="B92" s="25"/>
      <c r="C92" s="24"/>
      <c r="D92" s="24"/>
      <c r="E92" s="24"/>
      <c r="F92" s="24"/>
    </row>
    <row r="93" spans="1:6" ht="15.75" customHeight="1" x14ac:dyDescent="0.25">
      <c r="A93" s="17"/>
      <c r="B93" s="25"/>
      <c r="C93" s="24"/>
      <c r="D93" s="24"/>
      <c r="E93" s="24"/>
      <c r="F93" s="24"/>
    </row>
    <row r="94" spans="1:6" ht="15.75" customHeight="1" x14ac:dyDescent="0.25">
      <c r="A94" s="17"/>
      <c r="B94" s="25"/>
      <c r="C94" s="24"/>
      <c r="D94" s="24"/>
      <c r="E94" s="24"/>
      <c r="F94" s="24"/>
    </row>
    <row r="95" spans="1:6" ht="15.75" customHeight="1" x14ac:dyDescent="0.25">
      <c r="A95" s="17"/>
      <c r="B95" s="25"/>
      <c r="C95" s="24"/>
      <c r="D95" s="24"/>
      <c r="E95" s="24"/>
      <c r="F95" s="24"/>
    </row>
    <row r="96" spans="1:6" ht="15.75" customHeight="1" x14ac:dyDescent="0.25">
      <c r="A96" s="17"/>
      <c r="B96" s="25"/>
      <c r="C96" s="24"/>
      <c r="D96" s="24"/>
      <c r="E96" s="24"/>
      <c r="F96" s="24"/>
    </row>
    <row r="97" spans="1:6" ht="15.75" customHeight="1" x14ac:dyDescent="0.25">
      <c r="A97" s="17"/>
      <c r="B97" s="25"/>
      <c r="C97" s="24"/>
      <c r="D97" s="24"/>
      <c r="E97" s="24"/>
      <c r="F97" s="24"/>
    </row>
    <row r="98" spans="1:6" ht="15.75" customHeight="1" x14ac:dyDescent="0.25">
      <c r="A98" s="17"/>
      <c r="B98" s="25"/>
      <c r="C98" s="24"/>
      <c r="D98" s="24"/>
      <c r="E98" s="24"/>
      <c r="F98" s="24"/>
    </row>
    <row r="99" spans="1:6" ht="15.75" customHeight="1" x14ac:dyDescent="0.25">
      <c r="A99" s="17"/>
      <c r="B99" s="25"/>
      <c r="C99" s="24"/>
      <c r="D99" s="24"/>
      <c r="E99" s="24"/>
      <c r="F99" s="24"/>
    </row>
    <row r="100" spans="1:6" ht="15.75" customHeight="1" x14ac:dyDescent="0.25">
      <c r="A100" s="17"/>
      <c r="B100" s="25"/>
      <c r="C100" s="24"/>
      <c r="D100" s="24"/>
      <c r="E100" s="24"/>
      <c r="F100" s="24"/>
    </row>
    <row r="101" spans="1:6" ht="15.75" customHeight="1" x14ac:dyDescent="0.25">
      <c r="A101" s="17"/>
      <c r="B101" s="25"/>
      <c r="C101" s="24"/>
      <c r="D101" s="24"/>
      <c r="E101" s="24"/>
      <c r="F101" s="24"/>
    </row>
    <row r="102" spans="1:6" ht="15.75" customHeight="1" x14ac:dyDescent="0.25">
      <c r="A102" s="17"/>
      <c r="B102" s="25"/>
      <c r="C102" s="24"/>
      <c r="D102" s="24"/>
      <c r="E102" s="24"/>
      <c r="F102" s="24"/>
    </row>
    <row r="103" spans="1:6" ht="15.75" customHeight="1" x14ac:dyDescent="0.25">
      <c r="A103" s="17"/>
      <c r="B103" s="25"/>
      <c r="C103" s="24"/>
      <c r="D103" s="24"/>
      <c r="E103" s="24"/>
      <c r="F103" s="24"/>
    </row>
    <row r="104" spans="1:6" ht="15.75" customHeight="1" x14ac:dyDescent="0.25"/>
    <row r="105" spans="1:6" ht="15.75" customHeight="1" x14ac:dyDescent="0.25"/>
    <row r="106" spans="1:6" ht="15.75" customHeight="1" x14ac:dyDescent="0.25"/>
    <row r="107" spans="1:6" ht="15.75" customHeight="1" x14ac:dyDescent="0.25"/>
    <row r="108" spans="1:6" ht="15.75" customHeight="1" x14ac:dyDescent="0.25"/>
    <row r="109" spans="1:6" ht="15.75" customHeight="1" x14ac:dyDescent="0.25"/>
    <row r="110" spans="1:6" ht="15.75" customHeight="1" x14ac:dyDescent="0.25"/>
    <row r="111" spans="1:6" ht="15.75" customHeight="1" x14ac:dyDescent="0.25"/>
    <row r="112" spans="1:6"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1" fitToHeight="0" orientation="portrait" r:id="rId1"/>
  <rowBreaks count="1" manualBreakCount="1">
    <brk id="52"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4"/>
  <sheetViews>
    <sheetView view="pageBreakPreview" zoomScale="115" zoomScaleNormal="100" zoomScaleSheetLayoutView="115" workbookViewId="0">
      <selection activeCell="A14" sqref="A14"/>
    </sheetView>
  </sheetViews>
  <sheetFormatPr defaultColWidth="14.42578125" defaultRowHeight="15" customHeight="1" x14ac:dyDescent="0.25"/>
  <cols>
    <col min="1" max="1" width="77.85546875" customWidth="1"/>
    <col min="2" max="2" width="17.85546875" customWidth="1"/>
    <col min="3" max="6" width="17.28515625" hidden="1" customWidth="1"/>
    <col min="7" max="7" width="17.28515625" customWidth="1"/>
    <col min="8" max="26" width="10.28515625" customWidth="1"/>
  </cols>
  <sheetData>
    <row r="1" spans="1:26" ht="15.75" customHeight="1" x14ac:dyDescent="0.25">
      <c r="A1" s="9"/>
      <c r="B1" s="10"/>
      <c r="C1" s="11"/>
      <c r="D1" s="11"/>
      <c r="E1" s="11"/>
      <c r="F1" s="10"/>
      <c r="G1" s="13"/>
      <c r="H1" s="14"/>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5"/>
      <c r="L5" s="15"/>
      <c r="M5" s="15"/>
      <c r="N5" s="15"/>
      <c r="O5" s="15"/>
      <c r="P5" s="15"/>
      <c r="Q5" s="15"/>
      <c r="R5" s="15"/>
      <c r="S5" s="15"/>
      <c r="T5" s="15"/>
      <c r="U5" s="15"/>
      <c r="V5" s="15"/>
      <c r="W5" s="15"/>
      <c r="X5" s="15"/>
      <c r="Y5" s="15"/>
      <c r="Z5" s="15"/>
    </row>
    <row r="6" spans="1:26" ht="15.75" customHeight="1" x14ac:dyDescent="0.25">
      <c r="A6" s="17" t="s">
        <v>2419</v>
      </c>
      <c r="B6" s="24"/>
      <c r="C6" s="25"/>
      <c r="D6" s="25"/>
      <c r="E6" s="25"/>
      <c r="F6" s="24"/>
      <c r="G6" s="19"/>
      <c r="H6" s="14"/>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5"/>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row>
    <row r="14" spans="1:26" ht="15.75" customHeight="1" x14ac:dyDescent="0.25">
      <c r="A14" s="17" t="s">
        <v>365</v>
      </c>
      <c r="B14" s="172"/>
      <c r="C14" s="42"/>
      <c r="D14" s="42"/>
      <c r="E14" s="42"/>
      <c r="F14" s="42"/>
      <c r="G14" s="42"/>
    </row>
    <row r="15" spans="1:26" ht="15.75" customHeight="1" x14ac:dyDescent="0.25">
      <c r="A15" s="17" t="s">
        <v>366</v>
      </c>
      <c r="B15" s="172"/>
      <c r="C15" s="42"/>
      <c r="D15" s="42"/>
      <c r="E15" s="42"/>
      <c r="F15" s="42"/>
      <c r="G15" s="42"/>
    </row>
    <row r="16" spans="1:26" ht="15.75" customHeight="1" x14ac:dyDescent="0.25">
      <c r="A16" s="48" t="s">
        <v>367</v>
      </c>
      <c r="B16" s="41" t="s">
        <v>121</v>
      </c>
      <c r="C16" s="43">
        <v>18426169.030000001</v>
      </c>
      <c r="D16" s="43">
        <v>8775140.5999999996</v>
      </c>
      <c r="E16" s="43">
        <f>+F16-D16</f>
        <v>12153711.4</v>
      </c>
      <c r="F16" s="43">
        <v>20928852</v>
      </c>
      <c r="G16" s="43">
        <v>21983532</v>
      </c>
    </row>
    <row r="17" spans="1:7" ht="15.75" customHeight="1" x14ac:dyDescent="0.25">
      <c r="A17" s="17" t="s">
        <v>368</v>
      </c>
      <c r="B17" s="41"/>
      <c r="C17" s="43"/>
      <c r="D17" s="43"/>
      <c r="E17" s="43"/>
      <c r="F17" s="43"/>
      <c r="G17" s="43"/>
    </row>
    <row r="18" spans="1:7" ht="15.75" customHeight="1" x14ac:dyDescent="0.25">
      <c r="A18" s="48" t="s">
        <v>369</v>
      </c>
      <c r="B18" s="41" t="s">
        <v>125</v>
      </c>
      <c r="C18" s="43">
        <v>798733.13</v>
      </c>
      <c r="D18" s="43">
        <v>397727.27</v>
      </c>
      <c r="E18" s="43">
        <f t="shared" ref="E18:E23" si="0">+F18-D18</f>
        <v>562272.73</v>
      </c>
      <c r="F18" s="43">
        <v>960000</v>
      </c>
      <c r="G18" s="43">
        <v>960000</v>
      </c>
    </row>
    <row r="19" spans="1:7" ht="15.75" customHeight="1" x14ac:dyDescent="0.25">
      <c r="A19" s="48" t="s">
        <v>370</v>
      </c>
      <c r="B19" s="41" t="s">
        <v>127</v>
      </c>
      <c r="C19" s="43">
        <v>211750</v>
      </c>
      <c r="D19" s="43">
        <v>99500</v>
      </c>
      <c r="E19" s="43">
        <f t="shared" si="0"/>
        <v>116500</v>
      </c>
      <c r="F19" s="43">
        <v>216000</v>
      </c>
      <c r="G19" s="43">
        <v>216000</v>
      </c>
    </row>
    <row r="20" spans="1:7" ht="15.75" customHeight="1" x14ac:dyDescent="0.25">
      <c r="A20" s="48" t="s">
        <v>371</v>
      </c>
      <c r="B20" s="41" t="s">
        <v>372</v>
      </c>
      <c r="C20" s="43">
        <v>211750</v>
      </c>
      <c r="D20" s="43">
        <v>99500</v>
      </c>
      <c r="E20" s="43">
        <f t="shared" si="0"/>
        <v>116500</v>
      </c>
      <c r="F20" s="43">
        <v>216000</v>
      </c>
      <c r="G20" s="43">
        <v>216000</v>
      </c>
    </row>
    <row r="21" spans="1:7" ht="15.75" customHeight="1" x14ac:dyDescent="0.25">
      <c r="A21" s="48" t="s">
        <v>373</v>
      </c>
      <c r="B21" s="41" t="s">
        <v>131</v>
      </c>
      <c r="C21" s="43">
        <v>231000</v>
      </c>
      <c r="D21" s="43">
        <v>231000</v>
      </c>
      <c r="E21" s="43">
        <f t="shared" si="0"/>
        <v>49000</v>
      </c>
      <c r="F21" s="43">
        <v>280000</v>
      </c>
      <c r="G21" s="43">
        <v>280000</v>
      </c>
    </row>
    <row r="22" spans="1:7" ht="15.75" customHeight="1" x14ac:dyDescent="0.25">
      <c r="A22" s="48" t="s">
        <v>374</v>
      </c>
      <c r="B22" s="41" t="s">
        <v>151</v>
      </c>
      <c r="C22" s="43">
        <v>0</v>
      </c>
      <c r="D22" s="43">
        <v>0</v>
      </c>
      <c r="E22" s="43">
        <f t="shared" si="0"/>
        <v>1744071</v>
      </c>
      <c r="F22" s="43">
        <v>1744071</v>
      </c>
      <c r="G22" s="43">
        <v>1831961</v>
      </c>
    </row>
    <row r="23" spans="1:7" ht="15.75" customHeight="1" x14ac:dyDescent="0.25">
      <c r="A23" s="48" t="s">
        <v>375</v>
      </c>
      <c r="B23" s="41" t="s">
        <v>153</v>
      </c>
      <c r="C23" s="43">
        <v>170000</v>
      </c>
      <c r="D23" s="43">
        <v>0</v>
      </c>
      <c r="E23" s="43">
        <f t="shared" si="0"/>
        <v>200000</v>
      </c>
      <c r="F23" s="43">
        <v>200000</v>
      </c>
      <c r="G23" s="43">
        <v>200000</v>
      </c>
    </row>
    <row r="24" spans="1:7" ht="15.75" customHeight="1" x14ac:dyDescent="0.25">
      <c r="A24" s="48" t="s">
        <v>376</v>
      </c>
      <c r="B24" s="41" t="s">
        <v>155</v>
      </c>
      <c r="C24" s="43"/>
      <c r="D24" s="43"/>
      <c r="E24" s="43"/>
      <c r="F24" s="43"/>
      <c r="G24" s="43"/>
    </row>
    <row r="25" spans="1:7" ht="15.75" customHeight="1" x14ac:dyDescent="0.25">
      <c r="A25" s="48" t="s">
        <v>377</v>
      </c>
      <c r="B25" s="41" t="s">
        <v>157</v>
      </c>
      <c r="C25" s="43">
        <v>5000</v>
      </c>
      <c r="D25" s="43">
        <v>0</v>
      </c>
      <c r="E25" s="43">
        <f t="shared" ref="E25:E27" si="1">+F25-D25</f>
        <v>5000</v>
      </c>
      <c r="F25" s="43">
        <v>5000</v>
      </c>
      <c r="G25" s="43">
        <v>35000</v>
      </c>
    </row>
    <row r="26" spans="1:7" ht="15.75" customHeight="1" x14ac:dyDescent="0.25">
      <c r="A26" s="48" t="s">
        <v>1227</v>
      </c>
      <c r="B26" s="41" t="s">
        <v>159</v>
      </c>
      <c r="C26" s="43"/>
      <c r="D26" s="43">
        <v>96000</v>
      </c>
      <c r="E26" s="43">
        <f t="shared" si="1"/>
        <v>24000</v>
      </c>
      <c r="F26" s="43">
        <v>120000</v>
      </c>
      <c r="G26" s="43">
        <v>0</v>
      </c>
    </row>
    <row r="27" spans="1:7" ht="15.75" customHeight="1" x14ac:dyDescent="0.25">
      <c r="A27" s="48" t="s">
        <v>379</v>
      </c>
      <c r="B27" s="41" t="s">
        <v>161</v>
      </c>
      <c r="C27" s="43">
        <v>1400513</v>
      </c>
      <c r="D27" s="43">
        <v>1456615</v>
      </c>
      <c r="E27" s="43">
        <f t="shared" si="1"/>
        <v>287456</v>
      </c>
      <c r="F27" s="43">
        <v>1744071</v>
      </c>
      <c r="G27" s="43">
        <v>1831961</v>
      </c>
    </row>
    <row r="28" spans="1:7" ht="15.75" customHeight="1" x14ac:dyDescent="0.25">
      <c r="A28" s="17" t="s">
        <v>380</v>
      </c>
      <c r="B28" s="41"/>
      <c r="C28" s="43"/>
      <c r="D28" s="43"/>
      <c r="E28" s="43"/>
      <c r="F28" s="43"/>
      <c r="G28" s="43"/>
    </row>
    <row r="29" spans="1:7" ht="15.75" customHeight="1" x14ac:dyDescent="0.25">
      <c r="A29" s="48" t="s">
        <v>381</v>
      </c>
      <c r="B29" s="41" t="s">
        <v>165</v>
      </c>
      <c r="C29" s="43">
        <v>2046317.26</v>
      </c>
      <c r="D29" s="43">
        <v>1053753.6499999999</v>
      </c>
      <c r="E29" s="43">
        <f t="shared" ref="E29:E32" si="2">+F29-D29</f>
        <v>1457709.35</v>
      </c>
      <c r="F29" s="43">
        <v>2511463</v>
      </c>
      <c r="G29" s="43">
        <v>2638024</v>
      </c>
    </row>
    <row r="30" spans="1:7" ht="15.75" customHeight="1" x14ac:dyDescent="0.25">
      <c r="A30" s="48" t="s">
        <v>382</v>
      </c>
      <c r="B30" s="41" t="s">
        <v>167</v>
      </c>
      <c r="C30" s="43">
        <v>339843.21</v>
      </c>
      <c r="D30" s="43">
        <v>175625.61</v>
      </c>
      <c r="E30" s="43">
        <f t="shared" si="2"/>
        <v>242952.39</v>
      </c>
      <c r="F30" s="43">
        <v>418578</v>
      </c>
      <c r="G30" s="43">
        <v>439671</v>
      </c>
    </row>
    <row r="31" spans="1:7" ht="15.75" customHeight="1" x14ac:dyDescent="0.25">
      <c r="A31" s="48" t="s">
        <v>383</v>
      </c>
      <c r="B31" s="41" t="s">
        <v>169</v>
      </c>
      <c r="C31" s="43">
        <v>418780.41</v>
      </c>
      <c r="D31" s="43">
        <v>216064.05</v>
      </c>
      <c r="E31" s="43">
        <f t="shared" si="2"/>
        <v>300235.95</v>
      </c>
      <c r="F31" s="43">
        <v>516300</v>
      </c>
      <c r="G31" s="43">
        <v>540533</v>
      </c>
    </row>
    <row r="32" spans="1:7" ht="15.75" customHeight="1" x14ac:dyDescent="0.25">
      <c r="A32" s="48" t="s">
        <v>384</v>
      </c>
      <c r="B32" s="41" t="s">
        <v>171</v>
      </c>
      <c r="C32" s="43">
        <v>40600</v>
      </c>
      <c r="D32" s="43">
        <v>19900</v>
      </c>
      <c r="E32" s="43">
        <f t="shared" si="2"/>
        <v>28100</v>
      </c>
      <c r="F32" s="43">
        <v>48000</v>
      </c>
      <c r="G32" s="43">
        <v>48000</v>
      </c>
    </row>
    <row r="33" spans="1:26" ht="15.75" customHeight="1" x14ac:dyDescent="0.25">
      <c r="A33" s="17" t="s">
        <v>624</v>
      </c>
      <c r="B33" s="41"/>
      <c r="C33" s="43"/>
      <c r="D33" s="43"/>
      <c r="E33" s="43"/>
      <c r="F33" s="43"/>
      <c r="G33" s="43"/>
    </row>
    <row r="34" spans="1:26" ht="15.75" customHeight="1" x14ac:dyDescent="0.25">
      <c r="A34" s="48" t="s">
        <v>387</v>
      </c>
      <c r="B34" s="41" t="s">
        <v>181</v>
      </c>
      <c r="C34" s="43">
        <v>345172.03</v>
      </c>
      <c r="D34" s="43">
        <v>228258.59</v>
      </c>
      <c r="E34" s="43">
        <f t="shared" ref="E34:E35" si="3">+F34-D34</f>
        <v>612256.41</v>
      </c>
      <c r="F34" s="43">
        <v>840515</v>
      </c>
      <c r="G34" s="43">
        <v>882872</v>
      </c>
    </row>
    <row r="35" spans="1:26" ht="15.75" customHeight="1" x14ac:dyDescent="0.25">
      <c r="A35" s="48" t="s">
        <v>388</v>
      </c>
      <c r="B35" s="41" t="s">
        <v>183</v>
      </c>
      <c r="C35" s="43">
        <v>170000</v>
      </c>
      <c r="D35" s="43">
        <v>0</v>
      </c>
      <c r="E35" s="43">
        <f t="shared" si="3"/>
        <v>200000</v>
      </c>
      <c r="F35" s="43">
        <v>200000</v>
      </c>
      <c r="G35" s="43">
        <v>200000</v>
      </c>
    </row>
    <row r="36" spans="1:26" ht="31.5" x14ac:dyDescent="0.25">
      <c r="A36" s="117" t="s">
        <v>625</v>
      </c>
      <c r="B36" s="41"/>
      <c r="C36" s="45">
        <v>0</v>
      </c>
      <c r="D36" s="43">
        <v>0</v>
      </c>
      <c r="E36" s="43">
        <v>0</v>
      </c>
      <c r="F36" s="43">
        <v>0</v>
      </c>
      <c r="G36" s="43">
        <v>645271</v>
      </c>
      <c r="H36" s="114"/>
      <c r="I36" s="114"/>
      <c r="J36" s="114"/>
      <c r="K36" s="114"/>
      <c r="L36" s="114"/>
      <c r="M36" s="114"/>
      <c r="N36" s="114"/>
      <c r="O36" s="114"/>
      <c r="P36" s="114"/>
      <c r="Q36" s="114"/>
      <c r="R36" s="114"/>
      <c r="S36" s="114"/>
      <c r="T36" s="114"/>
      <c r="U36" s="114"/>
      <c r="V36" s="114"/>
      <c r="W36" s="114"/>
      <c r="X36" s="114"/>
      <c r="Y36" s="114"/>
      <c r="Z36" s="114"/>
    </row>
    <row r="37" spans="1:26" ht="15.75" customHeight="1" x14ac:dyDescent="0.25">
      <c r="A37" s="456" t="s">
        <v>390</v>
      </c>
      <c r="B37" s="461"/>
      <c r="C37" s="453">
        <f t="shared" ref="C37:G37" si="4">SUM(C16:C36)</f>
        <v>24815628.070000004</v>
      </c>
      <c r="D37" s="54">
        <f t="shared" si="4"/>
        <v>12849084.77</v>
      </c>
      <c r="E37" s="54">
        <f t="shared" si="4"/>
        <v>18099765.23</v>
      </c>
      <c r="F37" s="54">
        <f t="shared" si="4"/>
        <v>30948850</v>
      </c>
      <c r="G37" s="54">
        <f t="shared" si="4"/>
        <v>32948825</v>
      </c>
      <c r="H37" s="176"/>
      <c r="I37" s="176"/>
      <c r="J37" s="176"/>
      <c r="K37" s="176"/>
      <c r="L37" s="176"/>
      <c r="M37" s="176"/>
      <c r="N37" s="176"/>
      <c r="O37" s="176"/>
      <c r="P37" s="176"/>
      <c r="Q37" s="176"/>
      <c r="R37" s="176"/>
      <c r="S37" s="176"/>
      <c r="T37" s="176"/>
      <c r="U37" s="176"/>
      <c r="V37" s="176"/>
      <c r="W37" s="176"/>
      <c r="X37" s="176"/>
      <c r="Y37" s="176"/>
      <c r="Z37" s="176"/>
    </row>
    <row r="38" spans="1:26" ht="15.75" customHeight="1" x14ac:dyDescent="0.25">
      <c r="A38" s="456"/>
      <c r="B38" s="461"/>
      <c r="C38" s="449"/>
      <c r="D38" s="55"/>
      <c r="E38" s="55"/>
      <c r="F38" s="55"/>
      <c r="G38" s="55"/>
      <c r="H38" s="178"/>
      <c r="I38" s="178"/>
      <c r="J38" s="178"/>
      <c r="K38" s="178"/>
      <c r="L38" s="178"/>
      <c r="M38" s="178"/>
      <c r="N38" s="178"/>
      <c r="O38" s="178"/>
      <c r="P38" s="178"/>
      <c r="Q38" s="178"/>
      <c r="R38" s="178"/>
      <c r="S38" s="178"/>
      <c r="T38" s="178"/>
      <c r="U38" s="178"/>
      <c r="V38" s="178"/>
      <c r="W38" s="178"/>
      <c r="X38" s="178"/>
      <c r="Y38" s="178"/>
      <c r="Z38" s="178"/>
    </row>
    <row r="39" spans="1:26" ht="15.75" customHeight="1" x14ac:dyDescent="0.25">
      <c r="A39" s="42" t="s">
        <v>391</v>
      </c>
      <c r="B39" s="41"/>
      <c r="C39" s="56"/>
      <c r="D39" s="43"/>
      <c r="E39" s="43"/>
      <c r="F39" s="43"/>
      <c r="G39" s="45"/>
    </row>
    <row r="40" spans="1:26" ht="15.75" customHeight="1" x14ac:dyDescent="0.25">
      <c r="A40" s="17" t="s">
        <v>642</v>
      </c>
      <c r="B40" s="41" t="s">
        <v>488</v>
      </c>
      <c r="C40" s="43"/>
      <c r="D40" s="43"/>
      <c r="E40" s="56"/>
      <c r="F40" s="43"/>
      <c r="G40" s="45"/>
    </row>
    <row r="41" spans="1:26" ht="15.75" customHeight="1" x14ac:dyDescent="0.25">
      <c r="A41" s="48" t="s">
        <v>393</v>
      </c>
      <c r="B41" s="41" t="s">
        <v>187</v>
      </c>
      <c r="C41" s="56">
        <v>30291.43</v>
      </c>
      <c r="D41" s="43">
        <v>20200</v>
      </c>
      <c r="E41" s="43">
        <f>+F41-D41</f>
        <v>29800</v>
      </c>
      <c r="F41" s="43">
        <v>50000</v>
      </c>
      <c r="G41" s="43">
        <v>50000</v>
      </c>
    </row>
    <row r="42" spans="1:26" ht="15.75" customHeight="1" x14ac:dyDescent="0.25">
      <c r="A42" s="17" t="s">
        <v>493</v>
      </c>
      <c r="B42" s="41"/>
      <c r="C42" s="56"/>
      <c r="D42" s="43"/>
      <c r="E42" s="26"/>
      <c r="F42" s="43"/>
      <c r="G42" s="45"/>
    </row>
    <row r="43" spans="1:26" ht="15.75" customHeight="1" x14ac:dyDescent="0.25">
      <c r="A43" s="48" t="s">
        <v>396</v>
      </c>
      <c r="B43" s="41" t="s">
        <v>191</v>
      </c>
      <c r="C43" s="43">
        <v>229171.56</v>
      </c>
      <c r="D43" s="43">
        <v>58902.84</v>
      </c>
      <c r="E43" s="43">
        <f>+F43-D43</f>
        <v>191097.16</v>
      </c>
      <c r="F43" s="43">
        <v>250000</v>
      </c>
      <c r="G43" s="43">
        <v>250000</v>
      </c>
    </row>
    <row r="44" spans="1:26" ht="15.75" customHeight="1" x14ac:dyDescent="0.25">
      <c r="A44" s="17" t="s">
        <v>499</v>
      </c>
      <c r="B44" s="41"/>
      <c r="C44" s="43"/>
      <c r="D44" s="43"/>
      <c r="E44" s="43"/>
      <c r="F44" s="43"/>
      <c r="G44" s="43"/>
    </row>
    <row r="45" spans="1:26" ht="15.75" customHeight="1" x14ac:dyDescent="0.25">
      <c r="A45" s="48" t="s">
        <v>398</v>
      </c>
      <c r="B45" s="41" t="s">
        <v>195</v>
      </c>
      <c r="C45" s="43">
        <v>413601.92</v>
      </c>
      <c r="D45" s="43">
        <v>285811.74</v>
      </c>
      <c r="E45" s="43">
        <f t="shared" ref="E45:E46" si="5">+F45-D45</f>
        <v>165008.26</v>
      </c>
      <c r="F45" s="43">
        <v>450820</v>
      </c>
      <c r="G45" s="43">
        <v>388698</v>
      </c>
    </row>
    <row r="46" spans="1:26" ht="15.75" customHeight="1" x14ac:dyDescent="0.25">
      <c r="A46" s="48" t="s">
        <v>402</v>
      </c>
      <c r="B46" s="41" t="s">
        <v>225</v>
      </c>
      <c r="C46" s="43">
        <v>81207.990000000005</v>
      </c>
      <c r="D46" s="43">
        <v>39340.959999999999</v>
      </c>
      <c r="E46" s="43">
        <f t="shared" si="5"/>
        <v>32088.04</v>
      </c>
      <c r="F46" s="43">
        <v>71429</v>
      </c>
      <c r="G46" s="43">
        <v>126372</v>
      </c>
    </row>
    <row r="47" spans="1:26" ht="15.75" customHeight="1" x14ac:dyDescent="0.25">
      <c r="A47" s="17" t="s">
        <v>503</v>
      </c>
      <c r="B47" s="41"/>
      <c r="C47" s="43"/>
      <c r="D47" s="43"/>
      <c r="E47" s="43"/>
      <c r="F47" s="43"/>
      <c r="G47" s="43"/>
    </row>
    <row r="48" spans="1:26" ht="15.75" customHeight="1" x14ac:dyDescent="0.25">
      <c r="A48" s="48" t="s">
        <v>405</v>
      </c>
      <c r="B48" s="41" t="s">
        <v>235</v>
      </c>
      <c r="C48" s="43">
        <v>42000</v>
      </c>
      <c r="D48" s="43">
        <v>22500</v>
      </c>
      <c r="E48" s="43">
        <f>+F48-D48</f>
        <v>31500</v>
      </c>
      <c r="F48" s="43">
        <v>54000</v>
      </c>
      <c r="G48" s="43">
        <f>(2000+2500)*12</f>
        <v>54000</v>
      </c>
    </row>
    <row r="49" spans="1:7" ht="15.75" customHeight="1" x14ac:dyDescent="0.25">
      <c r="A49" s="17" t="s">
        <v>424</v>
      </c>
      <c r="B49" s="172"/>
      <c r="C49" s="43"/>
      <c r="D49" s="43"/>
      <c r="E49" s="43"/>
      <c r="F49" s="43"/>
      <c r="G49" s="43"/>
    </row>
    <row r="50" spans="1:7" ht="15.75" customHeight="1" x14ac:dyDescent="0.25">
      <c r="A50" s="44" t="s">
        <v>424</v>
      </c>
      <c r="B50" s="41" t="s">
        <v>335</v>
      </c>
      <c r="C50" s="43">
        <v>52150</v>
      </c>
      <c r="D50" s="43">
        <v>0</v>
      </c>
      <c r="E50" s="43">
        <f>+F50-D50</f>
        <v>60000</v>
      </c>
      <c r="F50" s="43">
        <v>60000</v>
      </c>
      <c r="G50" s="43">
        <v>60000</v>
      </c>
    </row>
    <row r="51" spans="1:7" ht="15.75" customHeight="1" x14ac:dyDescent="0.25">
      <c r="A51" s="17" t="s">
        <v>2420</v>
      </c>
      <c r="B51" s="41"/>
      <c r="C51" s="43"/>
      <c r="D51" s="43"/>
      <c r="E51" s="43"/>
      <c r="F51" s="43"/>
      <c r="G51" s="43"/>
    </row>
    <row r="52" spans="1:7" ht="15.75" customHeight="1" x14ac:dyDescent="0.25">
      <c r="A52" s="42" t="s">
        <v>466</v>
      </c>
      <c r="B52" s="41"/>
      <c r="C52" s="54">
        <f t="shared" ref="C52:G52" si="6">SUM(C41:C50)</f>
        <v>848422.89999999991</v>
      </c>
      <c r="D52" s="54">
        <f t="shared" si="6"/>
        <v>426755.54</v>
      </c>
      <c r="E52" s="54">
        <f t="shared" si="6"/>
        <v>509493.46</v>
      </c>
      <c r="F52" s="54">
        <f t="shared" si="6"/>
        <v>936249</v>
      </c>
      <c r="G52" s="54">
        <f t="shared" si="6"/>
        <v>929070</v>
      </c>
    </row>
    <row r="53" spans="1:7" ht="15.75" customHeight="1" x14ac:dyDescent="0.25">
      <c r="A53" s="17"/>
      <c r="B53" s="41"/>
      <c r="C53" s="55"/>
      <c r="D53" s="55"/>
      <c r="E53" s="55"/>
      <c r="F53" s="55"/>
      <c r="G53" s="55"/>
    </row>
    <row r="54" spans="1:7" ht="15.75" customHeight="1" x14ac:dyDescent="0.25">
      <c r="A54" s="17" t="s">
        <v>467</v>
      </c>
      <c r="B54" s="41"/>
      <c r="C54" s="43">
        <f t="shared" ref="C54:G54" si="7">C37+C52</f>
        <v>25664050.970000003</v>
      </c>
      <c r="D54" s="43">
        <f t="shared" si="7"/>
        <v>13275840.309999999</v>
      </c>
      <c r="E54" s="43">
        <f t="shared" si="7"/>
        <v>18609258.690000001</v>
      </c>
      <c r="F54" s="43">
        <f t="shared" si="7"/>
        <v>31885099</v>
      </c>
      <c r="G54" s="43">
        <f t="shared" si="7"/>
        <v>33877895</v>
      </c>
    </row>
    <row r="55" spans="1:7" ht="15.75" customHeight="1" x14ac:dyDescent="0.25">
      <c r="A55" s="17"/>
      <c r="B55" s="41"/>
      <c r="C55" s="43"/>
      <c r="D55" s="43"/>
      <c r="E55" s="43"/>
      <c r="F55" s="43"/>
      <c r="G55" s="43"/>
    </row>
    <row r="56" spans="1:7" ht="15.75" customHeight="1" x14ac:dyDescent="0.25">
      <c r="A56" s="50" t="s">
        <v>487</v>
      </c>
      <c r="B56" s="133" t="s">
        <v>488</v>
      </c>
      <c r="C56" s="54">
        <f t="shared" ref="C56:G56" si="8">C54</f>
        <v>25664050.970000003</v>
      </c>
      <c r="D56" s="54">
        <f t="shared" si="8"/>
        <v>13275840.309999999</v>
      </c>
      <c r="E56" s="54">
        <f t="shared" si="8"/>
        <v>18609258.690000001</v>
      </c>
      <c r="F56" s="54">
        <f t="shared" si="8"/>
        <v>31885099</v>
      </c>
      <c r="G56" s="54">
        <f t="shared" si="8"/>
        <v>33877895</v>
      </c>
    </row>
    <row r="57" spans="1:7" ht="15.75" customHeight="1" x14ac:dyDescent="0.25">
      <c r="A57" s="24"/>
      <c r="B57" s="174"/>
      <c r="C57" s="26"/>
      <c r="D57" s="26"/>
      <c r="E57" s="26"/>
      <c r="F57" s="26"/>
      <c r="G57" s="26"/>
    </row>
    <row r="58" spans="1:7" ht="15.75" customHeight="1" x14ac:dyDescent="0.25">
      <c r="A58" s="24"/>
      <c r="B58" s="174"/>
      <c r="C58" s="24"/>
      <c r="D58" s="24"/>
      <c r="E58" s="24"/>
    </row>
    <row r="59" spans="1:7" ht="15.75" customHeight="1" x14ac:dyDescent="0.25">
      <c r="A59" s="24"/>
      <c r="B59" s="174"/>
      <c r="C59" s="24"/>
      <c r="D59" s="24"/>
      <c r="E59" s="24"/>
    </row>
    <row r="60" spans="1:7" ht="15.75" customHeight="1" x14ac:dyDescent="0.25">
      <c r="A60" s="24"/>
      <c r="B60" s="174"/>
      <c r="C60" s="24"/>
      <c r="D60" s="24"/>
      <c r="E60" s="24"/>
    </row>
    <row r="61" spans="1:7" ht="15.75" customHeight="1" x14ac:dyDescent="0.25">
      <c r="A61" s="24"/>
      <c r="B61" s="174"/>
      <c r="C61" s="24"/>
      <c r="D61" s="24"/>
      <c r="E61" s="24"/>
    </row>
    <row r="62" spans="1:7" ht="15.75" customHeight="1" x14ac:dyDescent="0.25">
      <c r="A62" s="24"/>
      <c r="B62" s="174"/>
      <c r="C62" s="24"/>
      <c r="D62" s="24"/>
      <c r="E62" s="24"/>
    </row>
    <row r="63" spans="1:7" ht="15.75" customHeight="1" x14ac:dyDescent="0.25">
      <c r="A63" s="24"/>
      <c r="B63" s="174"/>
      <c r="C63" s="24"/>
      <c r="D63" s="24"/>
      <c r="E63" s="24"/>
    </row>
    <row r="64" spans="1:7" ht="15.75" customHeight="1" x14ac:dyDescent="0.25">
      <c r="A64" s="24"/>
      <c r="B64" s="174"/>
      <c r="C64" s="24"/>
      <c r="D64" s="24"/>
      <c r="E64" s="24"/>
    </row>
    <row r="65" spans="1:5" ht="15.75" customHeight="1" x14ac:dyDescent="0.25">
      <c r="A65" s="24"/>
      <c r="B65" s="174"/>
      <c r="C65" s="24"/>
      <c r="D65" s="24"/>
      <c r="E65" s="24"/>
    </row>
    <row r="66" spans="1:5" ht="15.75" customHeight="1" x14ac:dyDescent="0.25">
      <c r="A66" s="24"/>
      <c r="B66" s="174"/>
      <c r="C66" s="24"/>
      <c r="D66" s="24"/>
      <c r="E66" s="24"/>
    </row>
    <row r="67" spans="1:5" ht="15.75" customHeight="1" x14ac:dyDescent="0.25">
      <c r="A67" s="24"/>
      <c r="B67" s="174"/>
      <c r="C67" s="24"/>
      <c r="D67" s="24"/>
      <c r="E67" s="24"/>
    </row>
    <row r="68" spans="1:5" ht="15.75" customHeight="1" x14ac:dyDescent="0.25">
      <c r="A68" s="24"/>
      <c r="B68" s="174"/>
      <c r="C68" s="24"/>
      <c r="D68" s="24"/>
      <c r="E68" s="24"/>
    </row>
    <row r="69" spans="1:5" ht="15.75" customHeight="1" x14ac:dyDescent="0.25">
      <c r="A69" s="24"/>
      <c r="B69" s="174"/>
      <c r="C69" s="24"/>
      <c r="D69" s="24"/>
      <c r="E69" s="24"/>
    </row>
    <row r="70" spans="1:5" ht="15.75" customHeight="1" x14ac:dyDescent="0.25">
      <c r="A70" s="24"/>
      <c r="B70" s="174"/>
      <c r="C70" s="24"/>
      <c r="D70" s="24"/>
      <c r="E70" s="24"/>
    </row>
    <row r="71" spans="1:5" ht="15.75" customHeight="1" x14ac:dyDescent="0.25">
      <c r="A71" s="24"/>
      <c r="B71" s="174"/>
      <c r="C71" s="24"/>
      <c r="D71" s="24"/>
      <c r="E71" s="24"/>
    </row>
    <row r="72" spans="1:5" ht="15.75" customHeight="1" x14ac:dyDescent="0.25">
      <c r="A72" s="24"/>
      <c r="B72" s="174"/>
      <c r="C72" s="24"/>
      <c r="D72" s="24"/>
      <c r="E72" s="24"/>
    </row>
    <row r="73" spans="1:5" ht="15.75" customHeight="1" x14ac:dyDescent="0.25">
      <c r="A73" s="24"/>
      <c r="B73" s="174"/>
      <c r="C73" s="24"/>
      <c r="D73" s="24"/>
      <c r="E73" s="24"/>
    </row>
    <row r="74" spans="1:5" ht="15.75" customHeight="1" x14ac:dyDescent="0.25">
      <c r="A74" s="24"/>
      <c r="B74" s="174"/>
      <c r="C74" s="24"/>
      <c r="D74" s="24"/>
      <c r="E74" s="24"/>
    </row>
    <row r="75" spans="1:5" ht="15.75" customHeight="1" x14ac:dyDescent="0.25">
      <c r="A75" s="24"/>
      <c r="B75" s="174"/>
      <c r="C75" s="24"/>
      <c r="D75" s="24"/>
      <c r="E75" s="24"/>
    </row>
    <row r="76" spans="1:5" ht="15.75" customHeight="1" x14ac:dyDescent="0.25">
      <c r="A76" s="24"/>
      <c r="B76" s="174"/>
      <c r="C76" s="24"/>
      <c r="D76" s="24"/>
      <c r="E76" s="24"/>
    </row>
    <row r="77" spans="1:5" ht="15.75" customHeight="1" x14ac:dyDescent="0.25">
      <c r="A77" s="24"/>
      <c r="B77" s="174"/>
      <c r="C77" s="24"/>
      <c r="D77" s="24"/>
      <c r="E77" s="24"/>
    </row>
    <row r="78" spans="1:5" ht="15.75" customHeight="1" x14ac:dyDescent="0.25">
      <c r="A78" s="24"/>
      <c r="B78" s="174"/>
      <c r="C78" s="24"/>
      <c r="D78" s="24"/>
      <c r="E78" s="24"/>
    </row>
    <row r="79" spans="1:5" ht="15.75" customHeight="1" x14ac:dyDescent="0.25">
      <c r="A79" s="24"/>
      <c r="B79" s="174"/>
      <c r="C79" s="24"/>
      <c r="D79" s="24"/>
      <c r="E79" s="24"/>
    </row>
    <row r="80" spans="1:5" ht="15.75" customHeight="1" x14ac:dyDescent="0.25">
      <c r="A80" s="24"/>
      <c r="B80" s="174"/>
      <c r="C80" s="24"/>
      <c r="D80" s="24"/>
      <c r="E80" s="24"/>
    </row>
    <row r="81" spans="1:5" ht="15.75" customHeight="1" x14ac:dyDescent="0.25">
      <c r="A81" s="24"/>
      <c r="B81" s="174"/>
      <c r="C81" s="24"/>
      <c r="D81" s="24"/>
      <c r="E81" s="24"/>
    </row>
    <row r="82" spans="1:5" ht="15.75" customHeight="1" x14ac:dyDescent="0.25">
      <c r="A82" s="24"/>
      <c r="B82" s="174"/>
      <c r="C82" s="24"/>
      <c r="D82" s="24"/>
      <c r="E82" s="24"/>
    </row>
    <row r="83" spans="1:5" ht="15.75" customHeight="1" x14ac:dyDescent="0.25">
      <c r="A83" s="24"/>
      <c r="B83" s="174"/>
      <c r="C83" s="24"/>
      <c r="D83" s="24"/>
      <c r="E83" s="24"/>
    </row>
    <row r="84" spans="1:5" ht="15.75" customHeight="1" x14ac:dyDescent="0.25">
      <c r="A84" s="24"/>
      <c r="B84" s="174"/>
      <c r="C84" s="24"/>
      <c r="D84" s="24"/>
      <c r="E84" s="24"/>
    </row>
    <row r="85" spans="1:5" ht="15.75" customHeight="1" x14ac:dyDescent="0.25">
      <c r="A85" s="24"/>
      <c r="B85" s="174"/>
      <c r="C85" s="24"/>
      <c r="D85" s="24"/>
      <c r="E85" s="24"/>
    </row>
    <row r="86" spans="1:5" ht="15.75" customHeight="1" x14ac:dyDescent="0.25">
      <c r="A86" s="24"/>
      <c r="B86" s="174"/>
      <c r="C86" s="24"/>
      <c r="D86" s="24"/>
      <c r="E86" s="24"/>
    </row>
    <row r="87" spans="1:5" ht="15.75" customHeight="1" x14ac:dyDescent="0.25">
      <c r="A87" s="24"/>
      <c r="B87" s="174"/>
      <c r="C87" s="24"/>
      <c r="D87" s="24"/>
      <c r="E87" s="24"/>
    </row>
    <row r="88" spans="1:5" ht="15.75" customHeight="1" x14ac:dyDescent="0.25">
      <c r="A88" s="24"/>
      <c r="B88" s="174"/>
      <c r="C88" s="24"/>
      <c r="D88" s="24"/>
      <c r="E88" s="24"/>
    </row>
    <row r="89" spans="1:5" ht="15.75" customHeight="1" x14ac:dyDescent="0.25">
      <c r="A89" s="24"/>
      <c r="B89" s="174"/>
      <c r="C89" s="24"/>
      <c r="D89" s="24"/>
      <c r="E89" s="24"/>
    </row>
    <row r="90" spans="1:5" ht="15.75" customHeight="1" x14ac:dyDescent="0.25">
      <c r="A90" s="24"/>
      <c r="B90" s="174"/>
      <c r="C90" s="24"/>
      <c r="D90" s="24"/>
      <c r="E90" s="24"/>
    </row>
    <row r="91" spans="1:5" ht="15.75" customHeight="1" x14ac:dyDescent="0.25">
      <c r="A91" s="24"/>
      <c r="B91" s="174"/>
      <c r="C91" s="24"/>
      <c r="D91" s="24"/>
      <c r="E91" s="24"/>
    </row>
    <row r="92" spans="1:5" ht="15.75" customHeight="1" x14ac:dyDescent="0.25">
      <c r="A92" s="24"/>
      <c r="B92" s="174"/>
      <c r="C92" s="24"/>
      <c r="D92" s="24"/>
      <c r="E92" s="24"/>
    </row>
    <row r="93" spans="1:5" ht="15.75" customHeight="1" x14ac:dyDescent="0.25">
      <c r="A93" s="24"/>
      <c r="B93" s="174"/>
      <c r="C93" s="24"/>
      <c r="D93" s="24"/>
      <c r="E93" s="24"/>
    </row>
    <row r="94" spans="1:5" ht="15.75" customHeight="1" x14ac:dyDescent="0.25">
      <c r="A94" s="24"/>
      <c r="B94" s="174"/>
      <c r="C94" s="24"/>
      <c r="D94" s="24"/>
      <c r="E94" s="24"/>
    </row>
    <row r="95" spans="1:5" ht="15.75" customHeight="1" x14ac:dyDescent="0.25">
      <c r="A95" s="24"/>
      <c r="B95" s="174"/>
      <c r="C95" s="24"/>
      <c r="D95" s="24"/>
      <c r="E95" s="24"/>
    </row>
    <row r="96" spans="1:5" ht="15.75" customHeight="1" x14ac:dyDescent="0.25">
      <c r="A96" s="24"/>
      <c r="B96" s="174"/>
      <c r="C96" s="24"/>
      <c r="D96" s="24"/>
      <c r="E96" s="24"/>
    </row>
    <row r="97" spans="1:5" ht="15.75" customHeight="1" x14ac:dyDescent="0.25">
      <c r="A97" s="24"/>
      <c r="B97" s="174"/>
      <c r="C97" s="24"/>
      <c r="D97" s="24"/>
      <c r="E97" s="24"/>
    </row>
    <row r="98" spans="1:5" ht="15.75" customHeight="1" x14ac:dyDescent="0.25">
      <c r="A98" s="24"/>
      <c r="B98" s="174"/>
      <c r="C98" s="24"/>
      <c r="D98" s="24"/>
      <c r="E98" s="24"/>
    </row>
    <row r="99" spans="1:5" ht="15.75" customHeight="1" x14ac:dyDescent="0.25">
      <c r="A99" s="24"/>
      <c r="B99" s="174"/>
      <c r="C99" s="24"/>
      <c r="D99" s="24"/>
      <c r="E99" s="24"/>
    </row>
    <row r="100" spans="1:5" ht="15.75" customHeight="1" x14ac:dyDescent="0.25">
      <c r="A100" s="24"/>
      <c r="B100" s="174"/>
      <c r="C100" s="24"/>
      <c r="D100" s="24"/>
      <c r="E100" s="24"/>
    </row>
    <row r="101" spans="1:5" ht="15.75" customHeight="1" x14ac:dyDescent="0.25">
      <c r="A101" s="24"/>
      <c r="B101" s="174"/>
      <c r="C101" s="24"/>
      <c r="D101" s="24"/>
      <c r="E101" s="24"/>
    </row>
    <row r="102" spans="1:5" ht="15.75" customHeight="1" x14ac:dyDescent="0.25">
      <c r="A102" s="24"/>
      <c r="B102" s="174"/>
      <c r="C102" s="24"/>
      <c r="D102" s="24"/>
      <c r="E102" s="24"/>
    </row>
    <row r="103" spans="1:5" ht="15.75" customHeight="1" x14ac:dyDescent="0.25">
      <c r="A103" s="24"/>
      <c r="B103" s="174"/>
      <c r="C103" s="24"/>
      <c r="D103" s="24"/>
      <c r="E103" s="24"/>
    </row>
    <row r="104" spans="1:5" ht="15.75" customHeight="1" x14ac:dyDescent="0.25">
      <c r="A104" s="24"/>
      <c r="B104" s="174"/>
      <c r="C104" s="24"/>
      <c r="D104" s="24"/>
      <c r="E104" s="24"/>
    </row>
    <row r="105" spans="1:5" ht="15.75" customHeight="1" x14ac:dyDescent="0.25">
      <c r="A105" s="24"/>
      <c r="B105" s="174"/>
      <c r="C105" s="24"/>
      <c r="D105" s="24"/>
      <c r="E105" s="24"/>
    </row>
    <row r="106" spans="1:5" ht="15.75" customHeight="1" x14ac:dyDescent="0.25">
      <c r="A106" s="24"/>
      <c r="B106" s="174"/>
      <c r="C106" s="24"/>
      <c r="D106" s="24"/>
      <c r="E106" s="24"/>
    </row>
    <row r="107" spans="1:5" ht="15.75" customHeight="1" x14ac:dyDescent="0.25">
      <c r="A107" s="24"/>
      <c r="B107" s="174"/>
      <c r="C107" s="24"/>
      <c r="D107" s="24"/>
      <c r="E107" s="24"/>
    </row>
    <row r="108" spans="1:5" ht="15.75" customHeight="1" x14ac:dyDescent="0.25">
      <c r="A108" s="24"/>
      <c r="B108" s="174"/>
      <c r="C108" s="24"/>
      <c r="D108" s="24"/>
      <c r="E108" s="24"/>
    </row>
    <row r="109" spans="1:5" ht="15.75" customHeight="1" x14ac:dyDescent="0.25">
      <c r="A109" s="24"/>
      <c r="B109" s="174"/>
      <c r="C109" s="24"/>
      <c r="D109" s="24"/>
      <c r="E109" s="24"/>
    </row>
    <row r="110" spans="1:5" ht="15.75" customHeight="1" x14ac:dyDescent="0.25">
      <c r="A110" s="24"/>
      <c r="B110" s="174"/>
      <c r="C110" s="24"/>
      <c r="D110" s="24"/>
      <c r="E110" s="24"/>
    </row>
    <row r="111" spans="1:5" ht="15.75" customHeight="1" x14ac:dyDescent="0.25">
      <c r="A111" s="24"/>
      <c r="B111" s="174"/>
      <c r="C111" s="24"/>
      <c r="D111" s="24"/>
      <c r="E111" s="24"/>
    </row>
    <row r="112" spans="1:5" ht="15.75" customHeight="1" x14ac:dyDescent="0.25">
      <c r="A112" s="24"/>
      <c r="B112" s="174"/>
      <c r="C112" s="24"/>
      <c r="D112" s="24"/>
      <c r="E112" s="24"/>
    </row>
    <row r="113" spans="1:5" ht="15.75" customHeight="1" x14ac:dyDescent="0.25">
      <c r="A113" s="24"/>
      <c r="B113" s="174"/>
      <c r="C113" s="24"/>
      <c r="D113" s="24"/>
      <c r="E113" s="24"/>
    </row>
    <row r="114" spans="1:5" ht="15.75" customHeight="1" x14ac:dyDescent="0.25">
      <c r="A114" s="24"/>
      <c r="B114" s="174"/>
      <c r="C114" s="24"/>
      <c r="D114" s="24"/>
      <c r="E114" s="24"/>
    </row>
    <row r="115" spans="1:5" ht="15.75" customHeight="1" x14ac:dyDescent="0.25">
      <c r="A115" s="24"/>
      <c r="B115" s="174"/>
      <c r="C115" s="24"/>
      <c r="D115" s="24"/>
      <c r="E115" s="24"/>
    </row>
    <row r="116" spans="1:5" ht="15.75" customHeight="1" x14ac:dyDescent="0.25">
      <c r="A116" s="24"/>
      <c r="B116" s="174"/>
      <c r="C116" s="24"/>
      <c r="D116" s="24"/>
      <c r="E116" s="24"/>
    </row>
    <row r="117" spans="1:5" ht="15.75" customHeight="1" x14ac:dyDescent="0.25">
      <c r="A117" s="24"/>
      <c r="B117" s="174"/>
      <c r="C117" s="24"/>
      <c r="D117" s="24"/>
      <c r="E117" s="24"/>
    </row>
    <row r="118" spans="1:5" ht="15.75" customHeight="1" x14ac:dyDescent="0.25">
      <c r="A118" s="24"/>
      <c r="B118" s="174"/>
      <c r="C118" s="24"/>
      <c r="D118" s="24"/>
      <c r="E118" s="24"/>
    </row>
    <row r="119" spans="1:5" ht="15.75" customHeight="1" x14ac:dyDescent="0.25">
      <c r="A119" s="24"/>
      <c r="B119" s="174"/>
      <c r="C119" s="24"/>
      <c r="D119" s="24"/>
      <c r="E119" s="24"/>
    </row>
    <row r="120" spans="1:5" ht="15.75" customHeight="1" x14ac:dyDescent="0.25">
      <c r="A120" s="24"/>
      <c r="B120" s="174"/>
      <c r="C120" s="24"/>
      <c r="D120" s="24"/>
      <c r="E120" s="24"/>
    </row>
    <row r="121" spans="1:5" ht="15.75" customHeight="1" x14ac:dyDescent="0.25">
      <c r="A121" s="24"/>
      <c r="B121" s="174"/>
      <c r="C121" s="24"/>
      <c r="D121" s="24"/>
      <c r="E121" s="24"/>
    </row>
    <row r="122" spans="1:5" ht="15.75" customHeight="1" x14ac:dyDescent="0.25">
      <c r="A122" s="24"/>
      <c r="B122" s="174"/>
      <c r="C122" s="24"/>
      <c r="D122" s="24"/>
      <c r="E122" s="24"/>
    </row>
    <row r="123" spans="1:5" ht="15.75" customHeight="1" x14ac:dyDescent="0.25">
      <c r="A123" s="24"/>
      <c r="B123" s="174"/>
      <c r="C123" s="24"/>
      <c r="D123" s="24"/>
      <c r="E123" s="24"/>
    </row>
    <row r="124" spans="1:5" ht="15.75" customHeight="1" x14ac:dyDescent="0.25">
      <c r="A124" s="24"/>
      <c r="B124" s="174"/>
      <c r="C124" s="24"/>
      <c r="D124" s="24"/>
      <c r="E124" s="24"/>
    </row>
    <row r="125" spans="1:5" ht="15.75" customHeight="1" x14ac:dyDescent="0.25">
      <c r="A125" s="24"/>
      <c r="B125" s="174"/>
      <c r="C125" s="24"/>
      <c r="D125" s="24"/>
      <c r="E125" s="24"/>
    </row>
    <row r="126" spans="1:5" ht="15.75" customHeight="1" x14ac:dyDescent="0.25">
      <c r="A126" s="24"/>
      <c r="B126" s="174"/>
      <c r="C126" s="24"/>
      <c r="D126" s="24"/>
      <c r="E126" s="24"/>
    </row>
    <row r="127" spans="1:5" ht="15.75" customHeight="1" x14ac:dyDescent="0.25">
      <c r="A127" s="24"/>
      <c r="B127" s="174"/>
      <c r="C127" s="24"/>
      <c r="D127" s="24"/>
      <c r="E127" s="24"/>
    </row>
    <row r="128" spans="1:5" ht="15.75" customHeight="1" x14ac:dyDescent="0.25">
      <c r="A128" s="24"/>
      <c r="B128" s="174"/>
      <c r="C128" s="24"/>
      <c r="D128" s="24"/>
      <c r="E128" s="24"/>
    </row>
    <row r="129" spans="1:5" ht="15.75" customHeight="1" x14ac:dyDescent="0.25">
      <c r="A129" s="24"/>
      <c r="B129" s="174"/>
      <c r="C129" s="24"/>
      <c r="D129" s="24"/>
      <c r="E129" s="24"/>
    </row>
    <row r="130" spans="1:5" ht="15.75" customHeight="1" x14ac:dyDescent="0.25">
      <c r="A130" s="24"/>
      <c r="B130" s="174"/>
      <c r="C130" s="24"/>
      <c r="D130" s="24"/>
      <c r="E130" s="24"/>
    </row>
    <row r="131" spans="1:5" ht="15.75" customHeight="1" x14ac:dyDescent="0.25">
      <c r="A131" s="24"/>
      <c r="B131" s="174"/>
      <c r="C131" s="24"/>
      <c r="D131" s="24"/>
      <c r="E131" s="24"/>
    </row>
    <row r="132" spans="1:5" ht="15.75" customHeight="1" x14ac:dyDescent="0.25">
      <c r="A132" s="24"/>
      <c r="B132" s="174"/>
      <c r="C132" s="24"/>
      <c r="D132" s="24"/>
      <c r="E132" s="24"/>
    </row>
    <row r="133" spans="1:5" ht="15.75" customHeight="1" x14ac:dyDescent="0.25">
      <c r="A133" s="24"/>
      <c r="B133" s="174"/>
      <c r="C133" s="24"/>
      <c r="D133" s="24"/>
      <c r="E133" s="24"/>
    </row>
    <row r="134" spans="1:5" ht="15.75" customHeight="1" x14ac:dyDescent="0.25">
      <c r="A134" s="24"/>
      <c r="B134" s="174"/>
      <c r="C134" s="24"/>
      <c r="D134" s="24"/>
      <c r="E134" s="24"/>
    </row>
    <row r="135" spans="1:5" ht="15.75" customHeight="1" x14ac:dyDescent="0.25">
      <c r="A135" s="24"/>
      <c r="B135" s="174"/>
      <c r="C135" s="24"/>
      <c r="D135" s="24"/>
      <c r="E135" s="24"/>
    </row>
    <row r="136" spans="1:5" ht="15.75" customHeight="1" x14ac:dyDescent="0.25">
      <c r="A136" s="24"/>
      <c r="B136" s="174"/>
      <c r="C136" s="24"/>
      <c r="D136" s="24"/>
      <c r="E136" s="24"/>
    </row>
    <row r="137" spans="1:5" ht="15.75" customHeight="1" x14ac:dyDescent="0.25">
      <c r="A137" s="24"/>
      <c r="B137" s="174"/>
      <c r="C137" s="24"/>
      <c r="D137" s="24"/>
      <c r="E137" s="24"/>
    </row>
    <row r="138" spans="1:5" ht="15.75" customHeight="1" x14ac:dyDescent="0.25">
      <c r="A138" s="24"/>
      <c r="B138" s="174"/>
      <c r="C138" s="24"/>
      <c r="D138" s="24"/>
      <c r="E138" s="24"/>
    </row>
    <row r="139" spans="1:5" ht="15.75" customHeight="1" x14ac:dyDescent="0.25">
      <c r="A139" s="24"/>
      <c r="B139" s="174"/>
      <c r="C139" s="24"/>
      <c r="D139" s="24"/>
      <c r="E139" s="24"/>
    </row>
    <row r="140" spans="1:5" ht="15.75" customHeight="1" x14ac:dyDescent="0.25">
      <c r="A140" s="24"/>
      <c r="B140" s="174"/>
      <c r="C140" s="24"/>
      <c r="D140" s="24"/>
      <c r="E140" s="24"/>
    </row>
    <row r="141" spans="1:5" ht="15.75" customHeight="1" x14ac:dyDescent="0.25">
      <c r="A141" s="24"/>
      <c r="B141" s="174"/>
      <c r="C141" s="24"/>
      <c r="D141" s="24"/>
      <c r="E141" s="24"/>
    </row>
    <row r="142" spans="1:5" ht="15.75" customHeight="1" x14ac:dyDescent="0.25">
      <c r="A142" s="24"/>
      <c r="B142" s="174"/>
      <c r="C142" s="24"/>
      <c r="D142" s="24"/>
      <c r="E142" s="24"/>
    </row>
    <row r="143" spans="1:5" ht="15.75" customHeight="1" x14ac:dyDescent="0.25">
      <c r="A143" s="24"/>
      <c r="B143" s="174"/>
      <c r="C143" s="24"/>
      <c r="D143" s="24"/>
      <c r="E143" s="24"/>
    </row>
    <row r="144" spans="1:5" ht="15.75" customHeight="1" x14ac:dyDescent="0.25">
      <c r="A144" s="24"/>
      <c r="B144" s="174"/>
      <c r="C144" s="24"/>
      <c r="D144" s="24"/>
      <c r="E144" s="24"/>
    </row>
    <row r="145" spans="1:5" ht="15.75" customHeight="1" x14ac:dyDescent="0.25">
      <c r="A145" s="24"/>
      <c r="B145" s="174"/>
      <c r="C145" s="24"/>
      <c r="D145" s="24"/>
      <c r="E145" s="24"/>
    </row>
    <row r="146" spans="1:5" ht="15.75" customHeight="1" x14ac:dyDescent="0.25">
      <c r="A146" s="24"/>
      <c r="B146" s="174"/>
      <c r="C146" s="24"/>
      <c r="D146" s="24"/>
      <c r="E146" s="24"/>
    </row>
    <row r="147" spans="1:5" ht="15.75" customHeight="1" x14ac:dyDescent="0.25">
      <c r="A147" s="24"/>
      <c r="B147" s="174"/>
      <c r="C147" s="24"/>
      <c r="D147" s="24"/>
      <c r="E147" s="24"/>
    </row>
    <row r="148" spans="1:5" ht="15.75" customHeight="1" x14ac:dyDescent="0.25">
      <c r="A148" s="24"/>
      <c r="B148" s="174"/>
      <c r="C148" s="24"/>
      <c r="D148" s="24"/>
      <c r="E148" s="24"/>
    </row>
    <row r="149" spans="1:5" ht="15.75" customHeight="1" x14ac:dyDescent="0.25">
      <c r="A149" s="24"/>
      <c r="B149" s="174"/>
      <c r="C149" s="24"/>
      <c r="D149" s="24"/>
      <c r="E149" s="24"/>
    </row>
    <row r="150" spans="1:5" ht="15.75" customHeight="1" x14ac:dyDescent="0.25">
      <c r="A150" s="24"/>
      <c r="B150" s="174"/>
      <c r="C150" s="24"/>
      <c r="D150" s="24"/>
      <c r="E150" s="24"/>
    </row>
    <row r="151" spans="1:5" ht="15.75" customHeight="1" x14ac:dyDescent="0.25">
      <c r="A151" s="24"/>
      <c r="B151" s="174"/>
      <c r="C151" s="24"/>
      <c r="D151" s="24"/>
      <c r="E151" s="24"/>
    </row>
    <row r="152" spans="1:5" ht="15.75" customHeight="1" x14ac:dyDescent="0.25">
      <c r="A152" s="24"/>
      <c r="B152" s="174"/>
      <c r="C152" s="24"/>
      <c r="D152" s="24"/>
      <c r="E152" s="24"/>
    </row>
    <row r="153" spans="1:5" ht="15.75" customHeight="1" x14ac:dyDescent="0.25">
      <c r="A153" s="24"/>
      <c r="B153" s="174"/>
      <c r="C153" s="24"/>
      <c r="D153" s="24"/>
      <c r="E153" s="24"/>
    </row>
    <row r="154" spans="1:5" ht="15.75" customHeight="1" x14ac:dyDescent="0.25">
      <c r="A154" s="24"/>
      <c r="B154" s="174"/>
      <c r="C154" s="24"/>
      <c r="D154" s="24"/>
      <c r="E154" s="24"/>
    </row>
    <row r="155" spans="1:5" ht="15.75" customHeight="1" x14ac:dyDescent="0.25">
      <c r="A155" s="24"/>
      <c r="B155" s="174"/>
      <c r="C155" s="24"/>
      <c r="D155" s="24"/>
      <c r="E155" s="24"/>
    </row>
    <row r="156" spans="1:5" ht="15.75" customHeight="1" x14ac:dyDescent="0.25">
      <c r="A156" s="24"/>
      <c r="B156" s="174"/>
      <c r="C156" s="24"/>
      <c r="D156" s="24"/>
      <c r="E156" s="24"/>
    </row>
    <row r="157" spans="1:5" ht="15.75" customHeight="1" x14ac:dyDescent="0.25">
      <c r="A157" s="24"/>
      <c r="B157" s="174"/>
      <c r="C157" s="24"/>
      <c r="D157" s="24"/>
      <c r="E157" s="24"/>
    </row>
    <row r="158" spans="1:5" ht="15.75" customHeight="1" x14ac:dyDescent="0.25">
      <c r="A158" s="24"/>
      <c r="B158" s="174"/>
      <c r="C158" s="24"/>
      <c r="D158" s="24"/>
      <c r="E158" s="24"/>
    </row>
    <row r="159" spans="1:5" ht="15.75" customHeight="1" x14ac:dyDescent="0.25">
      <c r="A159" s="24"/>
      <c r="B159" s="174"/>
      <c r="C159" s="24"/>
      <c r="D159" s="24"/>
      <c r="E159" s="24"/>
    </row>
    <row r="160" spans="1:5" ht="15.75" customHeight="1" x14ac:dyDescent="0.25">
      <c r="A160" s="24"/>
      <c r="B160" s="174"/>
      <c r="C160" s="24"/>
      <c r="D160" s="24"/>
      <c r="E160" s="24"/>
    </row>
    <row r="161" spans="1:5" ht="15.75" customHeight="1" x14ac:dyDescent="0.25">
      <c r="A161" s="24"/>
      <c r="B161" s="174"/>
      <c r="C161" s="24"/>
      <c r="D161" s="24"/>
      <c r="E161" s="24"/>
    </row>
    <row r="162" spans="1:5" ht="15.75" customHeight="1" x14ac:dyDescent="0.25">
      <c r="A162" s="24"/>
      <c r="B162" s="174"/>
      <c r="C162" s="24"/>
      <c r="D162" s="24"/>
      <c r="E162" s="24"/>
    </row>
    <row r="163" spans="1:5" ht="15.75" customHeight="1" x14ac:dyDescent="0.25">
      <c r="A163" s="24"/>
      <c r="B163" s="174"/>
      <c r="C163" s="24"/>
      <c r="D163" s="24"/>
      <c r="E163" s="24"/>
    </row>
    <row r="164" spans="1:5" ht="15.75" customHeight="1" x14ac:dyDescent="0.25">
      <c r="A164" s="24"/>
      <c r="B164" s="174"/>
      <c r="C164" s="24"/>
      <c r="D164" s="24"/>
      <c r="E164" s="24"/>
    </row>
    <row r="165" spans="1:5" ht="15.75" customHeight="1" x14ac:dyDescent="0.25">
      <c r="A165" s="24"/>
      <c r="B165" s="174"/>
      <c r="C165" s="24"/>
      <c r="D165" s="24"/>
      <c r="E165" s="24"/>
    </row>
    <row r="166" spans="1:5" ht="15.75" customHeight="1" x14ac:dyDescent="0.25">
      <c r="A166" s="24"/>
      <c r="B166" s="174"/>
      <c r="C166" s="24"/>
      <c r="D166" s="24"/>
      <c r="E166" s="24"/>
    </row>
    <row r="167" spans="1:5" ht="15.75" customHeight="1" x14ac:dyDescent="0.25">
      <c r="A167" s="24"/>
      <c r="B167" s="174"/>
      <c r="C167" s="24"/>
      <c r="D167" s="24"/>
      <c r="E167" s="24"/>
    </row>
    <row r="168" spans="1:5" ht="15.75" customHeight="1" x14ac:dyDescent="0.25">
      <c r="A168" s="24"/>
      <c r="B168" s="174"/>
      <c r="C168" s="24"/>
      <c r="D168" s="24"/>
      <c r="E168" s="24"/>
    </row>
    <row r="169" spans="1:5" ht="15.75" customHeight="1" x14ac:dyDescent="0.25">
      <c r="A169" s="24"/>
      <c r="B169" s="174"/>
      <c r="C169" s="24"/>
      <c r="D169" s="24"/>
      <c r="E169" s="24"/>
    </row>
    <row r="170" spans="1:5" ht="15.75" customHeight="1" x14ac:dyDescent="0.25">
      <c r="A170" s="24"/>
      <c r="B170" s="174"/>
      <c r="C170" s="24"/>
      <c r="D170" s="24"/>
      <c r="E170" s="24"/>
    </row>
    <row r="171" spans="1:5" ht="15.75" customHeight="1" x14ac:dyDescent="0.25">
      <c r="A171" s="24"/>
      <c r="B171" s="174"/>
      <c r="C171" s="24"/>
      <c r="D171" s="24"/>
      <c r="E171" s="24"/>
    </row>
    <row r="172" spans="1:5" ht="15.75" customHeight="1" x14ac:dyDescent="0.25">
      <c r="A172" s="24"/>
      <c r="B172" s="174"/>
      <c r="C172" s="24"/>
      <c r="D172" s="24"/>
      <c r="E172" s="24"/>
    </row>
    <row r="173" spans="1:5" ht="15.75" customHeight="1" x14ac:dyDescent="0.25">
      <c r="A173" s="24"/>
      <c r="B173" s="174"/>
      <c r="C173" s="24"/>
      <c r="D173" s="24"/>
      <c r="E173" s="24"/>
    </row>
    <row r="174" spans="1:5" ht="15.75" customHeight="1" x14ac:dyDescent="0.25">
      <c r="A174" s="24"/>
      <c r="B174" s="174"/>
      <c r="C174" s="24"/>
      <c r="D174" s="24"/>
      <c r="E174" s="24"/>
    </row>
    <row r="175" spans="1:5" ht="15.75" customHeight="1" x14ac:dyDescent="0.25">
      <c r="A175" s="24"/>
      <c r="B175" s="174"/>
      <c r="C175" s="24"/>
      <c r="D175" s="24"/>
      <c r="E175" s="24"/>
    </row>
    <row r="176" spans="1:5" ht="15.75" customHeight="1" x14ac:dyDescent="0.25">
      <c r="A176" s="24"/>
      <c r="B176" s="174"/>
      <c r="C176" s="24"/>
      <c r="D176" s="24"/>
      <c r="E176" s="24"/>
    </row>
    <row r="177" spans="1:5" ht="15.75" customHeight="1" x14ac:dyDescent="0.25">
      <c r="A177" s="24"/>
      <c r="B177" s="174"/>
      <c r="C177" s="24"/>
      <c r="D177" s="24"/>
      <c r="E177" s="24"/>
    </row>
    <row r="178" spans="1:5" ht="15.75" customHeight="1" x14ac:dyDescent="0.25">
      <c r="A178" s="24"/>
      <c r="B178" s="174"/>
      <c r="C178" s="24"/>
      <c r="D178" s="24"/>
      <c r="E178" s="24"/>
    </row>
    <row r="179" spans="1:5" ht="15.75" customHeight="1" x14ac:dyDescent="0.25">
      <c r="A179" s="24"/>
      <c r="B179" s="174"/>
      <c r="C179" s="24"/>
      <c r="D179" s="24"/>
      <c r="E179" s="24"/>
    </row>
    <row r="180" spans="1:5" ht="15.75" customHeight="1" x14ac:dyDescent="0.25">
      <c r="A180" s="24"/>
      <c r="B180" s="174"/>
      <c r="C180" s="24"/>
      <c r="D180" s="24"/>
      <c r="E180" s="24"/>
    </row>
    <row r="181" spans="1:5" ht="15.75" customHeight="1" x14ac:dyDescent="0.25">
      <c r="A181" s="24"/>
      <c r="B181" s="174"/>
      <c r="C181" s="24"/>
      <c r="D181" s="24"/>
      <c r="E181" s="24"/>
    </row>
    <row r="182" spans="1:5" ht="15.75" customHeight="1" x14ac:dyDescent="0.25">
      <c r="A182" s="24"/>
      <c r="B182" s="174"/>
      <c r="C182" s="24"/>
      <c r="D182" s="24"/>
      <c r="E182" s="24"/>
    </row>
    <row r="183" spans="1:5" ht="15.75" customHeight="1" x14ac:dyDescent="0.25">
      <c r="A183" s="24"/>
      <c r="B183" s="174"/>
      <c r="C183" s="24"/>
      <c r="D183" s="24"/>
      <c r="E183" s="24"/>
    </row>
    <row r="184" spans="1:5" ht="15.75" customHeight="1" x14ac:dyDescent="0.25">
      <c r="A184" s="24"/>
      <c r="B184" s="174"/>
      <c r="C184" s="24"/>
      <c r="D184" s="24"/>
      <c r="E184" s="24"/>
    </row>
    <row r="185" spans="1:5" ht="15.75" customHeight="1" x14ac:dyDescent="0.25">
      <c r="A185" s="24"/>
      <c r="B185" s="174"/>
      <c r="C185" s="24"/>
      <c r="D185" s="24"/>
      <c r="E185" s="24"/>
    </row>
    <row r="186" spans="1:5" ht="15.75" customHeight="1" x14ac:dyDescent="0.25">
      <c r="A186" s="24"/>
      <c r="B186" s="174"/>
      <c r="C186" s="24"/>
      <c r="D186" s="24"/>
      <c r="E186" s="24"/>
    </row>
    <row r="187" spans="1:5" ht="15.75" customHeight="1" x14ac:dyDescent="0.25">
      <c r="A187" s="24"/>
      <c r="B187" s="174"/>
      <c r="C187" s="24"/>
      <c r="D187" s="24"/>
      <c r="E187" s="24"/>
    </row>
    <row r="188" spans="1:5" ht="15.75" customHeight="1" x14ac:dyDescent="0.25">
      <c r="A188" s="24"/>
      <c r="B188" s="174"/>
      <c r="C188" s="24"/>
      <c r="D188" s="24"/>
      <c r="E188" s="24"/>
    </row>
    <row r="189" spans="1:5" ht="15.75" customHeight="1" x14ac:dyDescent="0.25">
      <c r="A189" s="24"/>
      <c r="B189" s="174"/>
      <c r="C189" s="24"/>
      <c r="D189" s="24"/>
      <c r="E189" s="24"/>
    </row>
    <row r="190" spans="1:5" ht="15.75" customHeight="1" x14ac:dyDescent="0.25">
      <c r="A190" s="24"/>
      <c r="B190" s="174"/>
      <c r="C190" s="24"/>
      <c r="D190" s="24"/>
      <c r="E190" s="24"/>
    </row>
    <row r="191" spans="1:5" ht="15.75" customHeight="1" x14ac:dyDescent="0.25">
      <c r="A191" s="24"/>
      <c r="B191" s="174"/>
      <c r="C191" s="24"/>
      <c r="D191" s="24"/>
      <c r="E191" s="24"/>
    </row>
    <row r="192" spans="1:5" ht="15.75" customHeight="1" x14ac:dyDescent="0.25">
      <c r="A192" s="24"/>
      <c r="B192" s="174"/>
      <c r="C192" s="24"/>
      <c r="D192" s="24"/>
      <c r="E192" s="24"/>
    </row>
    <row r="193" spans="1:5" ht="15.75" customHeight="1" x14ac:dyDescent="0.25">
      <c r="A193" s="24"/>
      <c r="B193" s="174"/>
      <c r="C193" s="24"/>
      <c r="D193" s="24"/>
      <c r="E193" s="24"/>
    </row>
    <row r="194" spans="1:5" ht="15.75" customHeight="1" x14ac:dyDescent="0.25">
      <c r="A194" s="24"/>
      <c r="B194" s="174"/>
      <c r="C194" s="24"/>
      <c r="D194" s="24"/>
      <c r="E194" s="24"/>
    </row>
    <row r="195" spans="1:5" ht="15.75" customHeight="1" x14ac:dyDescent="0.25">
      <c r="A195" s="24"/>
      <c r="B195" s="174"/>
      <c r="C195" s="24"/>
      <c r="D195" s="24"/>
      <c r="E195" s="24"/>
    </row>
    <row r="196" spans="1:5" ht="15.75" customHeight="1" x14ac:dyDescent="0.25">
      <c r="A196" s="24"/>
      <c r="B196" s="174"/>
      <c r="C196" s="24"/>
      <c r="D196" s="24"/>
      <c r="E196" s="24"/>
    </row>
    <row r="197" spans="1:5" ht="15.75" customHeight="1" x14ac:dyDescent="0.25">
      <c r="A197" s="24"/>
      <c r="B197" s="174"/>
      <c r="C197" s="24"/>
      <c r="D197" s="24"/>
      <c r="E197" s="24"/>
    </row>
    <row r="198" spans="1:5" ht="15.75" customHeight="1" x14ac:dyDescent="0.25">
      <c r="A198" s="24"/>
      <c r="B198" s="174"/>
      <c r="C198" s="24"/>
      <c r="D198" s="24"/>
      <c r="E198" s="24"/>
    </row>
    <row r="199" spans="1:5" ht="15.75" customHeight="1" x14ac:dyDescent="0.25">
      <c r="A199" s="24"/>
      <c r="B199" s="174"/>
      <c r="C199" s="24"/>
      <c r="D199" s="24"/>
      <c r="E199" s="24"/>
    </row>
    <row r="200" spans="1:5" ht="15.75" customHeight="1" x14ac:dyDescent="0.25">
      <c r="A200" s="24"/>
      <c r="B200" s="174"/>
      <c r="C200" s="24"/>
      <c r="D200" s="24"/>
      <c r="E200" s="24"/>
    </row>
    <row r="201" spans="1:5" ht="15.75" customHeight="1" x14ac:dyDescent="0.25">
      <c r="A201" s="24"/>
      <c r="B201" s="174"/>
      <c r="C201" s="24"/>
      <c r="D201" s="24"/>
      <c r="E201" s="24"/>
    </row>
    <row r="202" spans="1:5" ht="15.75" customHeight="1" x14ac:dyDescent="0.25">
      <c r="A202" s="24"/>
      <c r="B202" s="174"/>
      <c r="C202" s="24"/>
      <c r="D202" s="24"/>
      <c r="E202" s="24"/>
    </row>
    <row r="203" spans="1:5" ht="15.75" customHeight="1" x14ac:dyDescent="0.25">
      <c r="A203" s="24"/>
      <c r="B203" s="174"/>
      <c r="C203" s="24"/>
      <c r="D203" s="24"/>
      <c r="E203" s="24"/>
    </row>
    <row r="204" spans="1:5" ht="15.75" customHeight="1" x14ac:dyDescent="0.25">
      <c r="A204" s="24"/>
      <c r="B204" s="174"/>
      <c r="C204" s="24"/>
      <c r="D204" s="24"/>
      <c r="E204" s="24"/>
    </row>
    <row r="205" spans="1:5" ht="15.75" customHeight="1" x14ac:dyDescent="0.25">
      <c r="A205" s="24"/>
      <c r="B205" s="174"/>
      <c r="C205" s="24"/>
      <c r="D205" s="24"/>
      <c r="E205" s="24"/>
    </row>
    <row r="206" spans="1:5" ht="15.75" customHeight="1" x14ac:dyDescent="0.25">
      <c r="A206" s="24"/>
      <c r="B206" s="174"/>
      <c r="C206" s="24"/>
      <c r="D206" s="24"/>
      <c r="E206" s="24"/>
    </row>
    <row r="207" spans="1:5" ht="15.75" customHeight="1" x14ac:dyDescent="0.25">
      <c r="A207" s="24"/>
      <c r="B207" s="174"/>
      <c r="C207" s="24"/>
      <c r="D207" s="24"/>
      <c r="E207" s="24"/>
    </row>
    <row r="208" spans="1:5" ht="15.75" customHeight="1" x14ac:dyDescent="0.25">
      <c r="A208" s="24"/>
      <c r="B208" s="174"/>
      <c r="C208" s="24"/>
      <c r="D208" s="24"/>
      <c r="E208" s="24"/>
    </row>
    <row r="209" spans="1:5" ht="15.75" customHeight="1" x14ac:dyDescent="0.25">
      <c r="A209" s="24"/>
      <c r="B209" s="174"/>
      <c r="C209" s="24"/>
      <c r="D209" s="24"/>
      <c r="E209" s="24"/>
    </row>
    <row r="210" spans="1:5" ht="15.75" customHeight="1" x14ac:dyDescent="0.25">
      <c r="A210" s="24"/>
      <c r="B210" s="174"/>
      <c r="C210" s="24"/>
      <c r="D210" s="24"/>
      <c r="E210" s="24"/>
    </row>
    <row r="211" spans="1:5" ht="15.75" customHeight="1" x14ac:dyDescent="0.25">
      <c r="A211" s="24"/>
      <c r="B211" s="174"/>
      <c r="C211" s="24"/>
      <c r="D211" s="24"/>
      <c r="E211" s="24"/>
    </row>
    <row r="212" spans="1:5" ht="15.75" customHeight="1" x14ac:dyDescent="0.25">
      <c r="A212" s="24"/>
      <c r="B212" s="174"/>
      <c r="C212" s="24"/>
      <c r="D212" s="24"/>
      <c r="E212" s="24"/>
    </row>
    <row r="213" spans="1:5" ht="15.75" customHeight="1" x14ac:dyDescent="0.25">
      <c r="A213" s="24"/>
      <c r="B213" s="174"/>
      <c r="C213" s="24"/>
      <c r="D213" s="24"/>
      <c r="E213" s="24"/>
    </row>
    <row r="214" spans="1:5" ht="15.75" customHeight="1" x14ac:dyDescent="0.25">
      <c r="A214" s="24"/>
      <c r="B214" s="174"/>
      <c r="C214" s="24"/>
      <c r="D214" s="24"/>
      <c r="E214" s="24"/>
    </row>
    <row r="215" spans="1:5" ht="15.75" customHeight="1" x14ac:dyDescent="0.25">
      <c r="A215" s="24"/>
      <c r="B215" s="174"/>
      <c r="C215" s="24"/>
      <c r="D215" s="24"/>
      <c r="E215" s="24"/>
    </row>
    <row r="216" spans="1:5" ht="15.75" customHeight="1" x14ac:dyDescent="0.25">
      <c r="A216" s="24"/>
      <c r="B216" s="174"/>
      <c r="C216" s="24"/>
      <c r="D216" s="24"/>
      <c r="E216" s="24"/>
    </row>
    <row r="217" spans="1:5" ht="15.75" customHeight="1" x14ac:dyDescent="0.25">
      <c r="A217" s="24"/>
      <c r="B217" s="174"/>
      <c r="C217" s="24"/>
      <c r="D217" s="24"/>
      <c r="E217" s="24"/>
    </row>
    <row r="218" spans="1:5" ht="15.75" customHeight="1" x14ac:dyDescent="0.25">
      <c r="A218" s="24"/>
      <c r="B218" s="174"/>
      <c r="C218" s="24"/>
      <c r="D218" s="24"/>
      <c r="E218" s="24"/>
    </row>
    <row r="219" spans="1:5" ht="15.75" customHeight="1" x14ac:dyDescent="0.25">
      <c r="A219" s="24"/>
      <c r="B219" s="174"/>
      <c r="C219" s="24"/>
      <c r="D219" s="24"/>
      <c r="E219" s="24"/>
    </row>
    <row r="220" spans="1:5" ht="15.75" customHeight="1" x14ac:dyDescent="0.25">
      <c r="A220" s="24"/>
      <c r="B220" s="174"/>
      <c r="C220" s="24"/>
      <c r="D220" s="24"/>
      <c r="E220" s="24"/>
    </row>
    <row r="221" spans="1:5" ht="15.75" customHeight="1" x14ac:dyDescent="0.25">
      <c r="A221" s="24"/>
      <c r="B221" s="174"/>
      <c r="C221" s="24"/>
      <c r="D221" s="24"/>
      <c r="E221" s="24"/>
    </row>
    <row r="222" spans="1:5" ht="15.75" customHeight="1" x14ac:dyDescent="0.25">
      <c r="A222" s="24"/>
      <c r="B222" s="174"/>
      <c r="C222" s="24"/>
      <c r="D222" s="24"/>
      <c r="E222" s="24"/>
    </row>
    <row r="223" spans="1:5" ht="15.75" customHeight="1" x14ac:dyDescent="0.25">
      <c r="A223" s="24"/>
      <c r="B223" s="174"/>
      <c r="C223" s="24"/>
      <c r="D223" s="24"/>
      <c r="E223" s="24"/>
    </row>
    <row r="224" spans="1:5" ht="15.75" customHeight="1" x14ac:dyDescent="0.25">
      <c r="A224" s="24"/>
      <c r="B224" s="174"/>
      <c r="C224" s="24"/>
      <c r="D224" s="24"/>
      <c r="E224" s="24"/>
    </row>
    <row r="225" spans="1:5" ht="15.75" customHeight="1" x14ac:dyDescent="0.25">
      <c r="A225" s="24"/>
      <c r="B225" s="174"/>
      <c r="C225" s="24"/>
      <c r="D225" s="24"/>
      <c r="E225" s="24"/>
    </row>
    <row r="226" spans="1:5" ht="15.75" customHeight="1" x14ac:dyDescent="0.25">
      <c r="A226" s="24"/>
      <c r="B226" s="174"/>
      <c r="C226" s="24"/>
      <c r="D226" s="24"/>
      <c r="E226" s="24"/>
    </row>
    <row r="227" spans="1:5" ht="15.75" customHeight="1" x14ac:dyDescent="0.25">
      <c r="A227" s="24"/>
      <c r="B227" s="174"/>
      <c r="C227" s="24"/>
      <c r="D227" s="24"/>
      <c r="E227" s="24"/>
    </row>
    <row r="228" spans="1:5" ht="15.75" customHeight="1" x14ac:dyDescent="0.25">
      <c r="A228" s="24"/>
      <c r="B228" s="174"/>
      <c r="C228" s="24"/>
      <c r="D228" s="24"/>
      <c r="E228" s="24"/>
    </row>
    <row r="229" spans="1:5" ht="15.75" customHeight="1" x14ac:dyDescent="0.25">
      <c r="A229" s="24"/>
      <c r="B229" s="174"/>
      <c r="C229" s="24"/>
      <c r="D229" s="24"/>
      <c r="E229" s="24"/>
    </row>
    <row r="230" spans="1:5" ht="15.75" customHeight="1" x14ac:dyDescent="0.25">
      <c r="A230" s="24"/>
      <c r="B230" s="174"/>
      <c r="C230" s="24"/>
      <c r="D230" s="24"/>
      <c r="E230" s="24"/>
    </row>
    <row r="231" spans="1:5" ht="15.75" customHeight="1" x14ac:dyDescent="0.25">
      <c r="A231" s="24"/>
      <c r="B231" s="174"/>
      <c r="C231" s="24"/>
      <c r="D231" s="24"/>
      <c r="E231" s="24"/>
    </row>
    <row r="232" spans="1:5" ht="15.75" customHeight="1" x14ac:dyDescent="0.25">
      <c r="A232" s="24"/>
      <c r="B232" s="174"/>
      <c r="C232" s="24"/>
      <c r="D232" s="24"/>
      <c r="E232" s="24"/>
    </row>
    <row r="233" spans="1:5" ht="15.75" customHeight="1" x14ac:dyDescent="0.25">
      <c r="A233" s="24"/>
      <c r="B233" s="174"/>
      <c r="C233" s="24"/>
      <c r="D233" s="24"/>
      <c r="E233" s="24"/>
    </row>
    <row r="234" spans="1:5" ht="15.75" customHeight="1" x14ac:dyDescent="0.25">
      <c r="A234" s="24"/>
      <c r="B234" s="174"/>
      <c r="C234" s="24"/>
      <c r="D234" s="24"/>
      <c r="E234" s="24"/>
    </row>
    <row r="235" spans="1:5" ht="15.75" customHeight="1" x14ac:dyDescent="0.25">
      <c r="A235" s="24"/>
      <c r="B235" s="174"/>
      <c r="C235" s="24"/>
      <c r="D235" s="24"/>
      <c r="E235" s="24"/>
    </row>
    <row r="236" spans="1:5" ht="15.75" customHeight="1" x14ac:dyDescent="0.25">
      <c r="A236" s="24"/>
      <c r="B236" s="174"/>
      <c r="C236" s="24"/>
      <c r="D236" s="24"/>
      <c r="E236" s="24"/>
    </row>
    <row r="237" spans="1:5" ht="15.75" customHeight="1" x14ac:dyDescent="0.25">
      <c r="A237" s="24"/>
      <c r="B237" s="174"/>
      <c r="C237" s="24"/>
      <c r="D237" s="24"/>
      <c r="E237" s="24"/>
    </row>
    <row r="238" spans="1:5" ht="15.75" customHeight="1" x14ac:dyDescent="0.25">
      <c r="A238" s="24"/>
      <c r="B238" s="174"/>
      <c r="C238" s="24"/>
      <c r="D238" s="24"/>
      <c r="E238" s="24"/>
    </row>
    <row r="239" spans="1:5" ht="15.75" customHeight="1" x14ac:dyDescent="0.25">
      <c r="A239" s="24"/>
      <c r="B239" s="174"/>
      <c r="C239" s="24"/>
      <c r="D239" s="24"/>
      <c r="E239" s="24"/>
    </row>
    <row r="240" spans="1:5" ht="15.75" customHeight="1" x14ac:dyDescent="0.25">
      <c r="A240" s="24"/>
      <c r="B240" s="174"/>
      <c r="C240" s="24"/>
      <c r="D240" s="24"/>
      <c r="E240" s="24"/>
    </row>
    <row r="241" spans="1:5" ht="15.75" customHeight="1" x14ac:dyDescent="0.25">
      <c r="A241" s="24"/>
      <c r="B241" s="174"/>
      <c r="C241" s="24"/>
      <c r="D241" s="24"/>
      <c r="E241" s="24"/>
    </row>
    <row r="242" spans="1:5" ht="15.75" customHeight="1" x14ac:dyDescent="0.25">
      <c r="A242" s="24"/>
      <c r="B242" s="174"/>
      <c r="C242" s="24"/>
      <c r="D242" s="24"/>
      <c r="E242" s="24"/>
    </row>
    <row r="243" spans="1:5" ht="15.75" customHeight="1" x14ac:dyDescent="0.25">
      <c r="A243" s="24"/>
      <c r="B243" s="174"/>
      <c r="C243" s="24"/>
      <c r="D243" s="24"/>
      <c r="E243" s="24"/>
    </row>
    <row r="244" spans="1:5" ht="15.75" customHeight="1" x14ac:dyDescent="0.25">
      <c r="A244" s="24"/>
      <c r="B244" s="174"/>
      <c r="C244" s="24"/>
      <c r="D244" s="24"/>
      <c r="E244" s="24"/>
    </row>
    <row r="245" spans="1:5" ht="15.75" customHeight="1" x14ac:dyDescent="0.25">
      <c r="A245" s="24"/>
      <c r="B245" s="174"/>
      <c r="C245" s="24"/>
      <c r="D245" s="24"/>
      <c r="E245" s="24"/>
    </row>
    <row r="246" spans="1:5" ht="15.75" customHeight="1" x14ac:dyDescent="0.25">
      <c r="A246" s="24"/>
      <c r="B246" s="174"/>
      <c r="C246" s="24"/>
      <c r="D246" s="24"/>
      <c r="E246" s="24"/>
    </row>
    <row r="247" spans="1:5" ht="15.75" customHeight="1" x14ac:dyDescent="0.25">
      <c r="A247" s="24"/>
      <c r="B247" s="174"/>
      <c r="C247" s="24"/>
      <c r="D247" s="24"/>
      <c r="E247" s="24"/>
    </row>
    <row r="248" spans="1:5" ht="15.75" customHeight="1" x14ac:dyDescent="0.25">
      <c r="A248" s="24"/>
      <c r="B248" s="174"/>
      <c r="C248" s="24"/>
      <c r="D248" s="24"/>
      <c r="E248" s="24"/>
    </row>
    <row r="249" spans="1:5" ht="15.75" customHeight="1" x14ac:dyDescent="0.25">
      <c r="A249" s="24"/>
      <c r="B249" s="174"/>
      <c r="C249" s="24"/>
      <c r="D249" s="24"/>
      <c r="E249" s="24"/>
    </row>
    <row r="250" spans="1:5" ht="15.75" customHeight="1" x14ac:dyDescent="0.25">
      <c r="A250" s="24"/>
      <c r="B250" s="174"/>
      <c r="C250" s="24"/>
      <c r="D250" s="24"/>
      <c r="E250" s="24"/>
    </row>
    <row r="251" spans="1:5" ht="15.75" customHeight="1" x14ac:dyDescent="0.25">
      <c r="A251" s="24"/>
      <c r="B251" s="174"/>
      <c r="C251" s="24"/>
      <c r="D251" s="24"/>
      <c r="E251" s="24"/>
    </row>
    <row r="252" spans="1:5" ht="15.75" customHeight="1" x14ac:dyDescent="0.25">
      <c r="A252" s="24"/>
      <c r="B252" s="174"/>
      <c r="C252" s="24"/>
      <c r="D252" s="24"/>
      <c r="E252" s="24"/>
    </row>
    <row r="253" spans="1:5" ht="15.75" customHeight="1" x14ac:dyDescent="0.25">
      <c r="A253" s="24"/>
      <c r="B253" s="174"/>
      <c r="C253" s="24"/>
      <c r="D253" s="24"/>
      <c r="E253" s="24"/>
    </row>
    <row r="254" spans="1:5" ht="15.75" customHeight="1" x14ac:dyDescent="0.25">
      <c r="A254" s="24"/>
      <c r="B254" s="174"/>
      <c r="C254" s="24"/>
      <c r="D254" s="24"/>
      <c r="E254" s="24"/>
    </row>
    <row r="255" spans="1:5" ht="15.75" customHeight="1" x14ac:dyDescent="0.25"/>
    <row r="256" spans="1: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4"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1085"/>
  <sheetViews>
    <sheetView view="pageBreakPreview" zoomScale="115" zoomScaleNormal="100" zoomScaleSheetLayoutView="115" workbookViewId="0">
      <selection activeCell="A126" sqref="A126"/>
    </sheetView>
  </sheetViews>
  <sheetFormatPr defaultColWidth="14.42578125" defaultRowHeight="15" customHeight="1" x14ac:dyDescent="0.25"/>
  <cols>
    <col min="1" max="1" width="77.5703125" customWidth="1"/>
    <col min="2" max="2" width="15.7109375" customWidth="1"/>
    <col min="3" max="6" width="16.28515625" hidden="1" customWidth="1"/>
    <col min="7" max="7" width="16.28515625" customWidth="1"/>
    <col min="8" max="8" width="19.5703125" customWidth="1"/>
    <col min="9" max="9" width="14.28515625" customWidth="1"/>
    <col min="10" max="10" width="14" customWidth="1"/>
    <col min="11" max="26" width="10.28515625" customWidth="1"/>
  </cols>
  <sheetData>
    <row r="1" spans="1:26" ht="15.75" customHeight="1" x14ac:dyDescent="0.25">
      <c r="A1" s="9"/>
      <c r="B1" s="10"/>
      <c r="C1" s="11"/>
      <c r="D1" s="11"/>
      <c r="E1" s="11"/>
      <c r="F1" s="10"/>
      <c r="G1" s="13"/>
      <c r="H1" s="16"/>
      <c r="I1" s="15"/>
      <c r="J1" s="15"/>
      <c r="K1" s="15"/>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6"/>
      <c r="I2" s="15"/>
      <c r="J2" s="15"/>
      <c r="K2" s="15"/>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6"/>
      <c r="I3" s="15"/>
      <c r="J3" s="15"/>
      <c r="K3" s="15"/>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6"/>
      <c r="I4" s="15"/>
      <c r="J4" s="15"/>
      <c r="K4" s="15"/>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6"/>
      <c r="I5" s="15"/>
      <c r="J5" s="15"/>
      <c r="K5" s="15"/>
      <c r="L5" s="15"/>
      <c r="M5" s="15"/>
      <c r="N5" s="15"/>
      <c r="O5" s="15"/>
      <c r="P5" s="15"/>
      <c r="Q5" s="15"/>
      <c r="R5" s="15"/>
      <c r="S5" s="15"/>
      <c r="T5" s="15"/>
      <c r="U5" s="15"/>
      <c r="V5" s="15"/>
      <c r="W5" s="15"/>
      <c r="X5" s="15"/>
      <c r="Y5" s="15"/>
      <c r="Z5" s="15"/>
    </row>
    <row r="6" spans="1:26" ht="15.75" customHeight="1" x14ac:dyDescent="0.25">
      <c r="A6" s="17" t="s">
        <v>2421</v>
      </c>
      <c r="B6" s="24"/>
      <c r="C6" s="25"/>
      <c r="D6" s="25"/>
      <c r="E6" s="25"/>
      <c r="F6" s="24"/>
      <c r="G6" s="19"/>
      <c r="H6" s="16"/>
      <c r="I6" s="15"/>
      <c r="J6" s="15"/>
      <c r="K6" s="15"/>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6"/>
      <c r="I7" s="15"/>
      <c r="J7" s="15"/>
      <c r="K7" s="15"/>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6"/>
      <c r="I8" s="15"/>
      <c r="J8" s="15"/>
      <c r="K8" s="15"/>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6"/>
      <c r="I9" s="15"/>
      <c r="J9" s="15"/>
      <c r="K9" s="15"/>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6"/>
      <c r="I10" s="15"/>
      <c r="J10" s="15"/>
      <c r="K10" s="15"/>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6"/>
      <c r="I11" s="15"/>
      <c r="J11" s="15"/>
      <c r="K11" s="15"/>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6"/>
      <c r="I12" s="15"/>
      <c r="J12" s="15"/>
      <c r="K12" s="15"/>
      <c r="L12" s="15"/>
      <c r="M12" s="15"/>
      <c r="N12" s="15"/>
      <c r="O12" s="15"/>
      <c r="P12" s="15"/>
      <c r="Q12" s="15"/>
      <c r="R12" s="15"/>
      <c r="S12" s="15"/>
      <c r="T12" s="15"/>
      <c r="U12" s="15"/>
      <c r="V12" s="15"/>
      <c r="W12" s="15"/>
      <c r="X12" s="15"/>
      <c r="Y12" s="15"/>
      <c r="Z12" s="15"/>
    </row>
    <row r="13" spans="1:26" ht="15" customHeight="1" x14ac:dyDescent="0.25">
      <c r="A13" s="17" t="s">
        <v>364</v>
      </c>
      <c r="B13" s="172"/>
      <c r="C13" s="42"/>
      <c r="D13" s="42"/>
      <c r="E13" s="42"/>
      <c r="F13" s="42"/>
      <c r="G13" s="42"/>
      <c r="H13" s="40"/>
      <c r="J13" s="7"/>
    </row>
    <row r="14" spans="1:26" ht="15" customHeight="1" x14ac:dyDescent="0.25">
      <c r="A14" s="17" t="s">
        <v>365</v>
      </c>
      <c r="B14" s="172"/>
      <c r="C14" s="42"/>
      <c r="D14" s="42"/>
      <c r="E14" s="42"/>
      <c r="F14" s="42"/>
      <c r="G14" s="42"/>
      <c r="H14" s="40"/>
      <c r="J14" s="7"/>
    </row>
    <row r="15" spans="1:26" ht="15" customHeight="1" x14ac:dyDescent="0.25">
      <c r="A15" s="17" t="s">
        <v>366</v>
      </c>
      <c r="B15" s="172"/>
      <c r="C15" s="42"/>
      <c r="D15" s="42"/>
      <c r="E15" s="42"/>
      <c r="F15" s="42"/>
      <c r="G15" s="42"/>
      <c r="H15" s="40"/>
      <c r="J15" s="7"/>
    </row>
    <row r="16" spans="1:26" ht="15" customHeight="1" x14ac:dyDescent="0.25">
      <c r="A16" s="48" t="s">
        <v>367</v>
      </c>
      <c r="B16" s="41" t="s">
        <v>121</v>
      </c>
      <c r="C16" s="43">
        <v>11154526.470000001</v>
      </c>
      <c r="D16" s="43">
        <v>6249501.9400000004</v>
      </c>
      <c r="E16" s="43">
        <f>F16-D16</f>
        <v>9588038.0599999987</v>
      </c>
      <c r="F16" s="43">
        <v>15837540</v>
      </c>
      <c r="G16" s="43">
        <v>16540656</v>
      </c>
      <c r="H16" s="40"/>
      <c r="J16" s="7"/>
    </row>
    <row r="17" spans="1:10" ht="15" customHeight="1" x14ac:dyDescent="0.25">
      <c r="A17" s="17" t="s">
        <v>368</v>
      </c>
      <c r="B17" s="41"/>
      <c r="C17" s="43"/>
      <c r="D17" s="43"/>
      <c r="E17" s="43"/>
      <c r="F17" s="43"/>
      <c r="G17" s="43"/>
      <c r="H17" s="40"/>
      <c r="J17" s="7"/>
    </row>
    <row r="18" spans="1:10" ht="15" customHeight="1" x14ac:dyDescent="0.25">
      <c r="A18" s="48" t="s">
        <v>369</v>
      </c>
      <c r="B18" s="41" t="s">
        <v>125</v>
      </c>
      <c r="C18" s="291">
        <v>629411.18000000005</v>
      </c>
      <c r="D18" s="43">
        <v>360000</v>
      </c>
      <c r="E18" s="43">
        <f t="shared" ref="E18:E23" si="0">F18-D18</f>
        <v>528000</v>
      </c>
      <c r="F18" s="43">
        <v>888000</v>
      </c>
      <c r="G18" s="43">
        <v>888000</v>
      </c>
      <c r="H18" s="40"/>
      <c r="J18" s="7"/>
    </row>
    <row r="19" spans="1:10" ht="15" customHeight="1" x14ac:dyDescent="0.25">
      <c r="A19" s="48" t="s">
        <v>370</v>
      </c>
      <c r="B19" s="41" t="s">
        <v>127</v>
      </c>
      <c r="C19" s="291">
        <v>111625</v>
      </c>
      <c r="D19" s="43">
        <v>57000</v>
      </c>
      <c r="E19" s="43">
        <f t="shared" si="0"/>
        <v>159000</v>
      </c>
      <c r="F19" s="43">
        <v>216000</v>
      </c>
      <c r="G19" s="43">
        <v>216000</v>
      </c>
      <c r="H19" s="40"/>
      <c r="J19" s="7"/>
    </row>
    <row r="20" spans="1:10" ht="15" customHeight="1" x14ac:dyDescent="0.25">
      <c r="A20" s="48" t="s">
        <v>371</v>
      </c>
      <c r="B20" s="41" t="s">
        <v>372</v>
      </c>
      <c r="C20" s="291">
        <v>111625</v>
      </c>
      <c r="D20" s="43">
        <v>57000</v>
      </c>
      <c r="E20" s="43">
        <f t="shared" si="0"/>
        <v>159000</v>
      </c>
      <c r="F20" s="43">
        <v>216000</v>
      </c>
      <c r="G20" s="43">
        <v>216000</v>
      </c>
      <c r="H20" s="40"/>
      <c r="J20" s="7"/>
    </row>
    <row r="21" spans="1:10" ht="15" customHeight="1" x14ac:dyDescent="0.25">
      <c r="A21" s="48" t="s">
        <v>373</v>
      </c>
      <c r="B21" s="41" t="s">
        <v>131</v>
      </c>
      <c r="C21" s="43">
        <v>182000</v>
      </c>
      <c r="D21" s="43">
        <v>210000</v>
      </c>
      <c r="E21" s="43">
        <f t="shared" si="0"/>
        <v>49000</v>
      </c>
      <c r="F21" s="43">
        <v>259000</v>
      </c>
      <c r="G21" s="43">
        <v>259000</v>
      </c>
      <c r="H21" s="40"/>
      <c r="J21" s="7"/>
    </row>
    <row r="22" spans="1:10" ht="15" customHeight="1" x14ac:dyDescent="0.25">
      <c r="A22" s="48" t="s">
        <v>374</v>
      </c>
      <c r="B22" s="41" t="s">
        <v>151</v>
      </c>
      <c r="C22" s="43">
        <v>958407</v>
      </c>
      <c r="D22" s="43">
        <v>0</v>
      </c>
      <c r="E22" s="43">
        <f t="shared" si="0"/>
        <v>1319795</v>
      </c>
      <c r="F22" s="43">
        <v>1319795</v>
      </c>
      <c r="G22" s="43">
        <v>1378388</v>
      </c>
      <c r="H22" s="40"/>
      <c r="J22" s="7"/>
    </row>
    <row r="23" spans="1:10" ht="15" customHeight="1" x14ac:dyDescent="0.25">
      <c r="A23" s="48" t="s">
        <v>375</v>
      </c>
      <c r="B23" s="41" t="s">
        <v>153</v>
      </c>
      <c r="C23" s="43">
        <v>132500</v>
      </c>
      <c r="D23" s="43">
        <v>0</v>
      </c>
      <c r="E23" s="43">
        <f t="shared" si="0"/>
        <v>185000</v>
      </c>
      <c r="F23" s="43">
        <v>185000</v>
      </c>
      <c r="G23" s="43">
        <v>185000</v>
      </c>
      <c r="H23" s="40"/>
      <c r="J23" s="7"/>
    </row>
    <row r="24" spans="1:10" ht="15" customHeight="1" x14ac:dyDescent="0.25">
      <c r="A24" s="48" t="s">
        <v>376</v>
      </c>
      <c r="B24" s="41" t="s">
        <v>155</v>
      </c>
      <c r="C24" s="43"/>
      <c r="D24" s="43"/>
      <c r="E24" s="43"/>
      <c r="F24" s="43"/>
      <c r="G24" s="43"/>
      <c r="H24" s="40"/>
      <c r="J24" s="7"/>
    </row>
    <row r="25" spans="1:10" ht="15" customHeight="1" x14ac:dyDescent="0.25">
      <c r="A25" s="48" t="s">
        <v>377</v>
      </c>
      <c r="B25" s="41" t="s">
        <v>157</v>
      </c>
      <c r="C25" s="43">
        <v>5000</v>
      </c>
      <c r="D25" s="43">
        <v>35000</v>
      </c>
      <c r="E25" s="43">
        <f t="shared" ref="E25:E27" si="1">F25-D25</f>
        <v>25000</v>
      </c>
      <c r="F25" s="43">
        <v>60000</v>
      </c>
      <c r="G25" s="43">
        <v>30000</v>
      </c>
      <c r="H25" s="40"/>
      <c r="J25" s="7"/>
    </row>
    <row r="26" spans="1:10" ht="15" customHeight="1" x14ac:dyDescent="0.25">
      <c r="A26" s="48" t="s">
        <v>1227</v>
      </c>
      <c r="B26" s="41" t="s">
        <v>159</v>
      </c>
      <c r="C26" s="43"/>
      <c r="D26" s="43">
        <v>69000</v>
      </c>
      <c r="E26" s="43">
        <f t="shared" si="1"/>
        <v>42000</v>
      </c>
      <c r="F26" s="43">
        <v>111000</v>
      </c>
      <c r="G26" s="43">
        <v>0</v>
      </c>
      <c r="H26" s="40"/>
      <c r="J26" s="7"/>
    </row>
    <row r="27" spans="1:10" ht="15" customHeight="1" x14ac:dyDescent="0.25">
      <c r="A27" s="48" t="s">
        <v>379</v>
      </c>
      <c r="B27" s="41" t="s">
        <v>161</v>
      </c>
      <c r="C27" s="43">
        <v>833589</v>
      </c>
      <c r="D27" s="43">
        <v>1042299</v>
      </c>
      <c r="E27" s="43">
        <f t="shared" si="1"/>
        <v>277496</v>
      </c>
      <c r="F27" s="43">
        <v>1319795</v>
      </c>
      <c r="G27" s="43">
        <v>1378388</v>
      </c>
      <c r="H27" s="40"/>
      <c r="J27" s="7"/>
    </row>
    <row r="28" spans="1:10" ht="15" customHeight="1" x14ac:dyDescent="0.25">
      <c r="A28" s="17" t="s">
        <v>380</v>
      </c>
      <c r="B28" s="41"/>
      <c r="C28" s="43"/>
      <c r="D28" s="43"/>
      <c r="E28" s="43"/>
      <c r="F28" s="43"/>
      <c r="G28" s="43"/>
      <c r="H28" s="40"/>
      <c r="J28" s="7"/>
    </row>
    <row r="29" spans="1:10" ht="15" customHeight="1" x14ac:dyDescent="0.25">
      <c r="A29" s="48" t="s">
        <v>381</v>
      </c>
      <c r="B29" s="41" t="s">
        <v>165</v>
      </c>
      <c r="C29" s="43">
        <v>1339566.3500000001</v>
      </c>
      <c r="D29" s="43">
        <v>749940.22</v>
      </c>
      <c r="E29" s="43">
        <f t="shared" ref="E29:E32" si="2">F29-D29</f>
        <v>1150564.78</v>
      </c>
      <c r="F29" s="43">
        <v>1900505</v>
      </c>
      <c r="G29" s="43">
        <v>1984879</v>
      </c>
      <c r="H29" s="40"/>
      <c r="J29" s="7"/>
    </row>
    <row r="30" spans="1:10" ht="15" customHeight="1" x14ac:dyDescent="0.25">
      <c r="A30" s="48" t="s">
        <v>382</v>
      </c>
      <c r="B30" s="41" t="s">
        <v>167</v>
      </c>
      <c r="C30" s="43">
        <v>223261.04</v>
      </c>
      <c r="D30" s="43">
        <v>124990.04</v>
      </c>
      <c r="E30" s="43">
        <f t="shared" si="2"/>
        <v>191760.96000000002</v>
      </c>
      <c r="F30" s="43">
        <v>316751</v>
      </c>
      <c r="G30" s="43">
        <v>330814</v>
      </c>
      <c r="H30" s="40"/>
      <c r="J30" s="7"/>
    </row>
    <row r="31" spans="1:10" ht="15" customHeight="1" x14ac:dyDescent="0.25">
      <c r="A31" s="48" t="s">
        <v>383</v>
      </c>
      <c r="B31" s="41" t="s">
        <v>169</v>
      </c>
      <c r="C31" s="43">
        <v>273631.28999999998</v>
      </c>
      <c r="D31" s="43">
        <v>153066.20000000001</v>
      </c>
      <c r="E31" s="43">
        <f t="shared" si="2"/>
        <v>235950.8</v>
      </c>
      <c r="F31" s="43">
        <v>389017</v>
      </c>
      <c r="G31" s="43">
        <v>405065</v>
      </c>
      <c r="H31" s="40"/>
      <c r="J31" s="7"/>
    </row>
    <row r="32" spans="1:10" ht="15" customHeight="1" x14ac:dyDescent="0.25">
      <c r="A32" s="48" t="s">
        <v>384</v>
      </c>
      <c r="B32" s="41" t="s">
        <v>171</v>
      </c>
      <c r="C32" s="43">
        <v>31732.14</v>
      </c>
      <c r="D32" s="43">
        <v>18000</v>
      </c>
      <c r="E32" s="43">
        <f t="shared" si="2"/>
        <v>26400</v>
      </c>
      <c r="F32" s="43">
        <v>44400</v>
      </c>
      <c r="G32" s="43">
        <v>44400</v>
      </c>
      <c r="H32" s="40"/>
      <c r="J32" s="7"/>
    </row>
    <row r="33" spans="1:26" ht="15" customHeight="1" x14ac:dyDescent="0.25">
      <c r="A33" s="17" t="s">
        <v>624</v>
      </c>
      <c r="B33" s="41"/>
      <c r="C33" s="43"/>
      <c r="D33" s="43"/>
      <c r="E33" s="43"/>
      <c r="F33" s="43"/>
      <c r="G33" s="43"/>
      <c r="H33" s="40"/>
      <c r="J33" s="7"/>
    </row>
    <row r="34" spans="1:26" ht="15" customHeight="1" x14ac:dyDescent="0.25">
      <c r="A34" s="48" t="s">
        <v>387</v>
      </c>
      <c r="B34" s="41" t="s">
        <v>181</v>
      </c>
      <c r="C34" s="43">
        <v>244130.73</v>
      </c>
      <c r="D34" s="43">
        <v>160626.47</v>
      </c>
      <c r="E34" s="43">
        <f t="shared" ref="E34:E35" si="3">F34-D34</f>
        <v>475418.53</v>
      </c>
      <c r="F34" s="43">
        <v>636045</v>
      </c>
      <c r="G34" s="43">
        <v>664283</v>
      </c>
      <c r="H34" s="40"/>
      <c r="J34" s="7"/>
    </row>
    <row r="35" spans="1:26" ht="15" customHeight="1" x14ac:dyDescent="0.25">
      <c r="A35" s="48" t="s">
        <v>388</v>
      </c>
      <c r="B35" s="41" t="s">
        <v>183</v>
      </c>
      <c r="C35" s="43">
        <v>136500</v>
      </c>
      <c r="D35" s="43">
        <v>0</v>
      </c>
      <c r="E35" s="43">
        <f t="shared" si="3"/>
        <v>185000</v>
      </c>
      <c r="F35" s="43">
        <v>185000</v>
      </c>
      <c r="G35" s="43">
        <v>185000</v>
      </c>
      <c r="H35" s="40"/>
      <c r="J35" s="7"/>
    </row>
    <row r="36" spans="1:26" ht="15" customHeight="1" x14ac:dyDescent="0.25">
      <c r="A36" s="455" t="s">
        <v>1465</v>
      </c>
      <c r="B36" s="454"/>
      <c r="C36" s="473">
        <v>0</v>
      </c>
      <c r="D36" s="43">
        <v>0</v>
      </c>
      <c r="E36" s="43">
        <v>0</v>
      </c>
      <c r="F36" s="43">
        <v>0</v>
      </c>
      <c r="G36" s="43">
        <f>459263</f>
        <v>459263</v>
      </c>
      <c r="H36" s="60"/>
      <c r="I36" s="114"/>
      <c r="J36" s="7"/>
      <c r="K36" s="114"/>
      <c r="L36" s="114"/>
      <c r="M36" s="114"/>
      <c r="N36" s="114"/>
      <c r="O36" s="114"/>
      <c r="P36" s="114"/>
      <c r="Q36" s="114"/>
      <c r="R36" s="114"/>
      <c r="S36" s="114"/>
      <c r="T36" s="114"/>
      <c r="U36" s="114"/>
      <c r="V36" s="114"/>
      <c r="W36" s="114"/>
      <c r="X36" s="114"/>
      <c r="Y36" s="114"/>
      <c r="Z36" s="114"/>
    </row>
    <row r="37" spans="1:26" ht="15" customHeight="1" x14ac:dyDescent="0.25">
      <c r="A37" s="456" t="s">
        <v>390</v>
      </c>
      <c r="B37" s="454"/>
      <c r="C37" s="453">
        <f t="shared" ref="C37:G37" si="4">SUM(C16:C36)</f>
        <v>16367505.199999999</v>
      </c>
      <c r="D37" s="54">
        <f t="shared" si="4"/>
        <v>9286423.8699999992</v>
      </c>
      <c r="E37" s="54">
        <f t="shared" si="4"/>
        <v>14597424.129999999</v>
      </c>
      <c r="F37" s="54">
        <f t="shared" si="4"/>
        <v>23883848</v>
      </c>
      <c r="G37" s="54">
        <f t="shared" si="4"/>
        <v>25165136</v>
      </c>
      <c r="H37" s="177"/>
      <c r="I37" s="176"/>
      <c r="J37" s="194"/>
      <c r="K37" s="176"/>
      <c r="L37" s="176"/>
      <c r="M37" s="176"/>
      <c r="N37" s="176"/>
      <c r="O37" s="176"/>
      <c r="P37" s="176"/>
      <c r="Q37" s="176"/>
      <c r="R37" s="176"/>
      <c r="S37" s="176"/>
      <c r="T37" s="176"/>
      <c r="U37" s="176"/>
      <c r="V37" s="176"/>
      <c r="W37" s="176"/>
      <c r="X37" s="176"/>
      <c r="Y37" s="176"/>
      <c r="Z37" s="176"/>
    </row>
    <row r="38" spans="1:26" ht="15" customHeight="1" x14ac:dyDescent="0.25">
      <c r="A38" s="456"/>
      <c r="B38" s="454"/>
      <c r="C38" s="449"/>
      <c r="D38" s="55"/>
      <c r="E38" s="55"/>
      <c r="F38" s="55"/>
      <c r="G38" s="55"/>
      <c r="H38" s="179"/>
      <c r="I38" s="178"/>
      <c r="J38" s="195"/>
      <c r="K38" s="178"/>
      <c r="L38" s="178"/>
      <c r="M38" s="178"/>
      <c r="N38" s="178"/>
      <c r="O38" s="178"/>
      <c r="P38" s="178"/>
      <c r="Q38" s="178"/>
      <c r="R38" s="178"/>
      <c r="S38" s="178"/>
      <c r="T38" s="178"/>
      <c r="U38" s="178"/>
      <c r="V38" s="178"/>
      <c r="W38" s="178"/>
      <c r="X38" s="178"/>
      <c r="Y38" s="178"/>
      <c r="Z38" s="178"/>
    </row>
    <row r="39" spans="1:26" ht="15" customHeight="1" x14ac:dyDescent="0.25">
      <c r="A39" s="42" t="s">
        <v>391</v>
      </c>
      <c r="B39" s="41"/>
      <c r="C39" s="41"/>
      <c r="D39" s="26"/>
      <c r="E39" s="43"/>
      <c r="F39" s="41"/>
      <c r="G39" s="41"/>
      <c r="H39" s="40"/>
      <c r="J39" s="7"/>
    </row>
    <row r="40" spans="1:26" ht="15" customHeight="1" x14ac:dyDescent="0.25">
      <c r="A40" s="17" t="s">
        <v>642</v>
      </c>
      <c r="B40" s="41"/>
      <c r="C40" s="43"/>
      <c r="D40" s="43"/>
      <c r="E40" s="43"/>
      <c r="F40" s="43"/>
      <c r="G40" s="46" t="s">
        <v>488</v>
      </c>
      <c r="H40" s="40"/>
      <c r="J40" s="7"/>
    </row>
    <row r="41" spans="1:26" ht="15" customHeight="1" x14ac:dyDescent="0.25">
      <c r="A41" s="48" t="s">
        <v>393</v>
      </c>
      <c r="B41" s="20" t="s">
        <v>187</v>
      </c>
      <c r="C41" s="56">
        <v>841107.39</v>
      </c>
      <c r="D41" s="56">
        <v>548636.28</v>
      </c>
      <c r="E41" s="56">
        <f>F41-D41</f>
        <v>51363.719999999972</v>
      </c>
      <c r="F41" s="56">
        <v>600000</v>
      </c>
      <c r="G41" s="43">
        <v>1000000</v>
      </c>
      <c r="H41" s="147">
        <v>1000000</v>
      </c>
      <c r="J41" s="7"/>
    </row>
    <row r="42" spans="1:26" ht="15" customHeight="1" x14ac:dyDescent="0.25">
      <c r="A42" s="17" t="s">
        <v>493</v>
      </c>
      <c r="B42" s="20"/>
      <c r="C42" s="56"/>
      <c r="D42" s="56"/>
      <c r="E42" s="56"/>
      <c r="F42" s="56"/>
      <c r="G42" s="46"/>
      <c r="H42" s="40"/>
      <c r="J42" s="7"/>
    </row>
    <row r="43" spans="1:26" ht="15" customHeight="1" x14ac:dyDescent="0.25">
      <c r="A43" s="48" t="s">
        <v>396</v>
      </c>
      <c r="B43" s="41" t="s">
        <v>191</v>
      </c>
      <c r="C43" s="43">
        <v>1667296.99</v>
      </c>
      <c r="D43" s="43">
        <v>1387335.55</v>
      </c>
      <c r="E43" s="43">
        <f>F43-D43</f>
        <v>131014.44999999995</v>
      </c>
      <c r="F43" s="43">
        <v>1518350</v>
      </c>
      <c r="G43" s="43">
        <f>1803500-140000</f>
        <v>1663500</v>
      </c>
      <c r="H43" s="404">
        <f>SUM(H44:H54)</f>
        <v>1663500</v>
      </c>
      <c r="J43" s="7"/>
    </row>
    <row r="44" spans="1:26" ht="15" customHeight="1" x14ac:dyDescent="0.25">
      <c r="A44" s="74" t="s">
        <v>2422</v>
      </c>
      <c r="B44" s="41"/>
      <c r="C44" s="43"/>
      <c r="D44" s="43"/>
      <c r="E44" s="43"/>
      <c r="F44" s="43"/>
      <c r="G44" s="46"/>
      <c r="H44" s="147">
        <v>150000</v>
      </c>
      <c r="J44" s="7"/>
    </row>
    <row r="45" spans="1:26" ht="15" customHeight="1" x14ac:dyDescent="0.25">
      <c r="A45" s="74" t="s">
        <v>2423</v>
      </c>
      <c r="B45" s="41"/>
      <c r="C45" s="43"/>
      <c r="D45" s="43"/>
      <c r="E45" s="43"/>
      <c r="F45" s="43"/>
      <c r="G45" s="46"/>
      <c r="H45" s="147">
        <v>85000</v>
      </c>
      <c r="J45" s="7"/>
    </row>
    <row r="46" spans="1:26" ht="15" customHeight="1" x14ac:dyDescent="0.25">
      <c r="A46" s="74" t="s">
        <v>2424</v>
      </c>
      <c r="B46" s="41"/>
      <c r="C46" s="43"/>
      <c r="D46" s="43"/>
      <c r="E46" s="43"/>
      <c r="F46" s="43"/>
      <c r="G46" s="46"/>
      <c r="H46" s="40"/>
      <c r="J46" s="7"/>
    </row>
    <row r="47" spans="1:26" ht="15" customHeight="1" x14ac:dyDescent="0.25">
      <c r="A47" s="90" t="s">
        <v>2425</v>
      </c>
      <c r="B47" s="41"/>
      <c r="C47" s="43"/>
      <c r="D47" s="43"/>
      <c r="E47" s="43"/>
      <c r="F47" s="43"/>
      <c r="G47" s="46"/>
      <c r="H47" s="147">
        <f t="shared" ref="H47:H49" si="5">65500</f>
        <v>65500</v>
      </c>
      <c r="J47" s="7"/>
    </row>
    <row r="48" spans="1:26" ht="15" customHeight="1" x14ac:dyDescent="0.25">
      <c r="A48" s="74" t="s">
        <v>2426</v>
      </c>
      <c r="B48" s="41"/>
      <c r="C48" s="43"/>
      <c r="D48" s="43"/>
      <c r="E48" s="43"/>
      <c r="F48" s="43"/>
      <c r="G48" s="46"/>
      <c r="H48" s="147">
        <f t="shared" si="5"/>
        <v>65500</v>
      </c>
      <c r="J48" s="7"/>
    </row>
    <row r="49" spans="1:10" ht="15" customHeight="1" x14ac:dyDescent="0.25">
      <c r="A49" s="74" t="s">
        <v>2427</v>
      </c>
      <c r="B49" s="41"/>
      <c r="C49" s="43"/>
      <c r="D49" s="43"/>
      <c r="E49" s="43"/>
      <c r="F49" s="43"/>
      <c r="G49" s="46"/>
      <c r="H49" s="147">
        <f t="shared" si="5"/>
        <v>65500</v>
      </c>
      <c r="J49" s="7"/>
    </row>
    <row r="50" spans="1:10" ht="15" customHeight="1" x14ac:dyDescent="0.25">
      <c r="A50" s="696" t="s">
        <v>2428</v>
      </c>
      <c r="B50" s="437"/>
      <c r="C50" s="438"/>
      <c r="D50" s="438"/>
      <c r="E50" s="438"/>
      <c r="F50" s="438"/>
      <c r="G50" s="568"/>
      <c r="H50" s="147">
        <v>363000</v>
      </c>
      <c r="J50" s="7"/>
    </row>
    <row r="51" spans="1:10" ht="15" customHeight="1" x14ac:dyDescent="0.25">
      <c r="A51" s="696" t="s">
        <v>2429</v>
      </c>
      <c r="B51" s="437"/>
      <c r="C51" s="438"/>
      <c r="D51" s="438"/>
      <c r="E51" s="438"/>
      <c r="F51" s="438"/>
      <c r="G51" s="568"/>
      <c r="H51" s="147">
        <v>145000</v>
      </c>
      <c r="J51" s="7"/>
    </row>
    <row r="52" spans="1:10" ht="15" customHeight="1" x14ac:dyDescent="0.25">
      <c r="A52" s="627" t="s">
        <v>2430</v>
      </c>
      <c r="B52" s="437"/>
      <c r="C52" s="438"/>
      <c r="D52" s="438"/>
      <c r="E52" s="438"/>
      <c r="F52" s="438"/>
      <c r="G52" s="568"/>
      <c r="H52" s="147">
        <v>160000</v>
      </c>
      <c r="J52" s="7"/>
    </row>
    <row r="53" spans="1:10" ht="15" customHeight="1" x14ac:dyDescent="0.25">
      <c r="A53" s="627" t="s">
        <v>2431</v>
      </c>
      <c r="B53" s="437"/>
      <c r="C53" s="438"/>
      <c r="D53" s="438"/>
      <c r="E53" s="438"/>
      <c r="F53" s="438"/>
      <c r="G53" s="568"/>
      <c r="H53" s="147">
        <v>100000</v>
      </c>
      <c r="J53" s="7"/>
    </row>
    <row r="54" spans="1:10" ht="15" customHeight="1" x14ac:dyDescent="0.25">
      <c r="A54" s="696" t="s">
        <v>2432</v>
      </c>
      <c r="B54" s="437"/>
      <c r="C54" s="438"/>
      <c r="D54" s="438"/>
      <c r="E54" s="438"/>
      <c r="F54" s="438"/>
      <c r="G54" s="568"/>
      <c r="H54" s="147">
        <v>464000</v>
      </c>
      <c r="J54" s="7"/>
    </row>
    <row r="55" spans="1:10" ht="15" customHeight="1" x14ac:dyDescent="0.25">
      <c r="A55" s="446" t="s">
        <v>499</v>
      </c>
      <c r="B55" s="437"/>
      <c r="C55" s="438"/>
      <c r="D55" s="438"/>
      <c r="E55" s="438"/>
      <c r="F55" s="438"/>
      <c r="G55" s="568"/>
      <c r="H55" s="40"/>
      <c r="J55" s="7"/>
    </row>
    <row r="56" spans="1:10" ht="15" customHeight="1" x14ac:dyDescent="0.25">
      <c r="A56" s="583" t="s">
        <v>398</v>
      </c>
      <c r="B56" s="437" t="s">
        <v>195</v>
      </c>
      <c r="C56" s="438">
        <v>328681.58</v>
      </c>
      <c r="D56" s="438">
        <v>260156.26</v>
      </c>
      <c r="E56" s="438">
        <f t="shared" ref="E56:E57" si="6">F56-D56</f>
        <v>110873.73999999999</v>
      </c>
      <c r="F56" s="438">
        <v>371030</v>
      </c>
      <c r="G56" s="438">
        <v>371030</v>
      </c>
      <c r="H56" s="147">
        <v>371030</v>
      </c>
      <c r="J56" s="7"/>
    </row>
    <row r="57" spans="1:10" ht="15" customHeight="1" x14ac:dyDescent="0.25">
      <c r="A57" s="704" t="s">
        <v>400</v>
      </c>
      <c r="B57" s="437" t="s">
        <v>221</v>
      </c>
      <c r="C57" s="438">
        <v>279170</v>
      </c>
      <c r="D57" s="438">
        <v>365397</v>
      </c>
      <c r="E57" s="438">
        <f t="shared" si="6"/>
        <v>2000403</v>
      </c>
      <c r="F57" s="438">
        <v>2365800</v>
      </c>
      <c r="G57" s="438">
        <v>446700</v>
      </c>
      <c r="H57" s="40"/>
      <c r="J57" s="7"/>
    </row>
    <row r="58" spans="1:10" ht="15" customHeight="1" x14ac:dyDescent="0.25">
      <c r="A58" s="602" t="s">
        <v>2433</v>
      </c>
      <c r="B58" s="483"/>
      <c r="C58" s="457"/>
      <c r="D58" s="457"/>
      <c r="E58" s="457"/>
      <c r="F58" s="457"/>
      <c r="G58" s="457"/>
      <c r="H58" s="147">
        <v>30000</v>
      </c>
      <c r="J58" s="7"/>
    </row>
    <row r="59" spans="1:10" ht="15" customHeight="1" x14ac:dyDescent="0.25">
      <c r="A59" s="671" t="s">
        <v>2434</v>
      </c>
      <c r="B59" s="601"/>
      <c r="C59" s="448"/>
      <c r="D59" s="448"/>
      <c r="E59" s="448"/>
      <c r="F59" s="448"/>
      <c r="G59" s="448"/>
      <c r="H59" s="147">
        <v>16500</v>
      </c>
      <c r="J59" s="7"/>
    </row>
    <row r="60" spans="1:10" ht="15" customHeight="1" x14ac:dyDescent="0.25">
      <c r="A60" s="696" t="s">
        <v>2435</v>
      </c>
      <c r="B60" s="437"/>
      <c r="C60" s="438"/>
      <c r="D60" s="438"/>
      <c r="E60" s="438"/>
      <c r="F60" s="438"/>
      <c r="G60" s="438"/>
      <c r="H60" s="147">
        <v>30000</v>
      </c>
      <c r="J60" s="7"/>
    </row>
    <row r="61" spans="1:10" ht="15" customHeight="1" x14ac:dyDescent="0.25">
      <c r="A61" s="696" t="s">
        <v>2436</v>
      </c>
      <c r="B61" s="437"/>
      <c r="C61" s="438"/>
      <c r="D61" s="438"/>
      <c r="E61" s="438"/>
      <c r="F61" s="438"/>
      <c r="G61" s="438"/>
      <c r="H61" s="147">
        <v>177500</v>
      </c>
      <c r="J61" s="7"/>
    </row>
    <row r="62" spans="1:10" ht="15" customHeight="1" x14ac:dyDescent="0.25">
      <c r="A62" s="696" t="s">
        <v>2437</v>
      </c>
      <c r="B62" s="437"/>
      <c r="C62" s="438"/>
      <c r="D62" s="438"/>
      <c r="E62" s="438"/>
      <c r="F62" s="438"/>
      <c r="G62" s="438"/>
      <c r="H62" s="40"/>
      <c r="J62" s="7"/>
    </row>
    <row r="63" spans="1:10" ht="15" customHeight="1" x14ac:dyDescent="0.25">
      <c r="A63" s="696" t="s">
        <v>2438</v>
      </c>
      <c r="B63" s="437"/>
      <c r="C63" s="438"/>
      <c r="D63" s="438"/>
      <c r="E63" s="438"/>
      <c r="F63" s="438"/>
      <c r="G63" s="438"/>
      <c r="H63" s="147">
        <v>12600</v>
      </c>
      <c r="J63" s="7"/>
    </row>
    <row r="64" spans="1:10" ht="15" customHeight="1" x14ac:dyDescent="0.25">
      <c r="A64" s="696" t="s">
        <v>2439</v>
      </c>
      <c r="B64" s="437"/>
      <c r="C64" s="438"/>
      <c r="D64" s="438"/>
      <c r="E64" s="438"/>
      <c r="F64" s="438"/>
      <c r="G64" s="438"/>
      <c r="H64" s="147">
        <v>30000</v>
      </c>
      <c r="J64" s="7"/>
    </row>
    <row r="65" spans="1:26" ht="15" customHeight="1" x14ac:dyDescent="0.25">
      <c r="A65" s="705" t="s">
        <v>2440</v>
      </c>
      <c r="B65" s="566"/>
      <c r="C65" s="567"/>
      <c r="D65" s="567"/>
      <c r="E65" s="567"/>
      <c r="F65" s="567"/>
      <c r="G65" s="567"/>
      <c r="H65" s="147">
        <v>22000</v>
      </c>
      <c r="I65" s="405"/>
      <c r="J65" s="406"/>
      <c r="K65" s="405"/>
      <c r="L65" s="405"/>
      <c r="M65" s="405"/>
      <c r="N65" s="405"/>
      <c r="O65" s="405"/>
      <c r="P65" s="405"/>
      <c r="Q65" s="405"/>
      <c r="R65" s="405"/>
      <c r="S65" s="405"/>
      <c r="T65" s="405"/>
      <c r="U65" s="405"/>
      <c r="V65" s="405"/>
      <c r="W65" s="405"/>
      <c r="X65" s="405"/>
      <c r="Y65" s="405"/>
      <c r="Z65" s="405"/>
    </row>
    <row r="66" spans="1:26" ht="15" customHeight="1" x14ac:dyDescent="0.25">
      <c r="A66" s="696" t="s">
        <v>2441</v>
      </c>
      <c r="B66" s="437"/>
      <c r="C66" s="438"/>
      <c r="D66" s="438"/>
      <c r="E66" s="438"/>
      <c r="F66" s="438"/>
      <c r="G66" s="438"/>
      <c r="H66" s="147">
        <v>43500</v>
      </c>
      <c r="J66" s="7"/>
    </row>
    <row r="67" spans="1:26" ht="15" customHeight="1" x14ac:dyDescent="0.25">
      <c r="A67" s="696" t="s">
        <v>2442</v>
      </c>
      <c r="B67" s="437"/>
      <c r="C67" s="438"/>
      <c r="D67" s="438"/>
      <c r="E67" s="438"/>
      <c r="F67" s="438"/>
      <c r="G67" s="438"/>
      <c r="H67" s="147">
        <v>84600</v>
      </c>
      <c r="J67" s="7"/>
    </row>
    <row r="68" spans="1:26" ht="15" customHeight="1" x14ac:dyDescent="0.25">
      <c r="A68" s="704" t="s">
        <v>538</v>
      </c>
      <c r="B68" s="437" t="s">
        <v>223</v>
      </c>
      <c r="C68" s="438">
        <v>0</v>
      </c>
      <c r="D68" s="438">
        <v>0</v>
      </c>
      <c r="E68" s="438">
        <v>0</v>
      </c>
      <c r="F68" s="438">
        <v>0</v>
      </c>
      <c r="G68" s="438">
        <v>75000</v>
      </c>
      <c r="H68" s="40"/>
      <c r="J68" s="7"/>
    </row>
    <row r="69" spans="1:26" ht="15" customHeight="1" x14ac:dyDescent="0.25">
      <c r="A69" s="696" t="s">
        <v>2443</v>
      </c>
      <c r="B69" s="437"/>
      <c r="C69" s="438"/>
      <c r="D69" s="438"/>
      <c r="E69" s="438"/>
      <c r="F69" s="438"/>
      <c r="G69" s="438"/>
      <c r="H69" s="147">
        <v>45000</v>
      </c>
      <c r="J69" s="7"/>
    </row>
    <row r="70" spans="1:26" ht="15" customHeight="1" x14ac:dyDescent="0.25">
      <c r="A70" s="696" t="s">
        <v>2444</v>
      </c>
      <c r="B70" s="437"/>
      <c r="C70" s="438"/>
      <c r="D70" s="438"/>
      <c r="E70" s="438"/>
      <c r="F70" s="438"/>
      <c r="G70" s="438"/>
      <c r="H70" s="147">
        <v>30000</v>
      </c>
      <c r="J70" s="7"/>
    </row>
    <row r="71" spans="1:26" ht="15" customHeight="1" x14ac:dyDescent="0.25">
      <c r="A71" s="704" t="s">
        <v>2445</v>
      </c>
      <c r="B71" s="437" t="s">
        <v>225</v>
      </c>
      <c r="C71" s="438">
        <v>6974411.5499999998</v>
      </c>
      <c r="D71" s="438">
        <v>4397290.8499999996</v>
      </c>
      <c r="E71" s="438">
        <f>F71-D71</f>
        <v>3658941.1500000004</v>
      </c>
      <c r="F71" s="438">
        <v>8056232</v>
      </c>
      <c r="G71" s="438">
        <v>7703596</v>
      </c>
      <c r="H71" s="40"/>
      <c r="J71" s="7"/>
    </row>
    <row r="72" spans="1:26" ht="15" customHeight="1" x14ac:dyDescent="0.25">
      <c r="A72" s="696" t="s">
        <v>2446</v>
      </c>
      <c r="B72" s="437"/>
      <c r="C72" s="438"/>
      <c r="D72" s="438"/>
      <c r="E72" s="438"/>
      <c r="F72" s="438"/>
      <c r="G72" s="438"/>
      <c r="H72" s="147">
        <v>62000</v>
      </c>
      <c r="J72" s="7"/>
    </row>
    <row r="73" spans="1:26" ht="15" customHeight="1" x14ac:dyDescent="0.25">
      <c r="A73" s="468" t="s">
        <v>2447</v>
      </c>
      <c r="B73" s="454"/>
      <c r="C73" s="443"/>
      <c r="D73" s="443"/>
      <c r="E73" s="443"/>
      <c r="F73" s="443"/>
      <c r="G73" s="462"/>
      <c r="H73" s="147">
        <v>57408</v>
      </c>
      <c r="J73" s="7"/>
    </row>
    <row r="74" spans="1:26" ht="15" customHeight="1" x14ac:dyDescent="0.25">
      <c r="A74" s="468" t="s">
        <v>2448</v>
      </c>
      <c r="B74" s="454"/>
      <c r="C74" s="443"/>
      <c r="D74" s="443"/>
      <c r="E74" s="443"/>
      <c r="F74" s="443"/>
      <c r="G74" s="462"/>
      <c r="H74" s="147">
        <v>117608</v>
      </c>
      <c r="J74" s="7"/>
    </row>
    <row r="75" spans="1:26" ht="15" customHeight="1" x14ac:dyDescent="0.25">
      <c r="A75" s="696" t="s">
        <v>2449</v>
      </c>
      <c r="B75" s="437"/>
      <c r="C75" s="438"/>
      <c r="D75" s="438"/>
      <c r="E75" s="438"/>
      <c r="F75" s="438"/>
      <c r="G75" s="438"/>
      <c r="H75" s="147">
        <v>1500000</v>
      </c>
      <c r="J75" s="7"/>
    </row>
    <row r="76" spans="1:26" ht="15" customHeight="1" x14ac:dyDescent="0.25">
      <c r="A76" s="696" t="s">
        <v>2450</v>
      </c>
      <c r="B76" s="437"/>
      <c r="C76" s="438"/>
      <c r="D76" s="438"/>
      <c r="E76" s="438"/>
      <c r="F76" s="438"/>
      <c r="G76" s="438"/>
      <c r="H76" s="147">
        <v>1000000</v>
      </c>
      <c r="J76" s="7"/>
    </row>
    <row r="77" spans="1:26" ht="15" customHeight="1" x14ac:dyDescent="0.25">
      <c r="A77" s="696" t="s">
        <v>2451</v>
      </c>
      <c r="B77" s="437"/>
      <c r="C77" s="438"/>
      <c r="D77" s="438"/>
      <c r="E77" s="438"/>
      <c r="F77" s="438"/>
      <c r="G77" s="438"/>
      <c r="H77" s="147">
        <v>2900000</v>
      </c>
      <c r="J77" s="7"/>
    </row>
    <row r="78" spans="1:26" ht="15" customHeight="1" x14ac:dyDescent="0.25">
      <c r="A78" s="696" t="s">
        <v>2452</v>
      </c>
      <c r="B78" s="437"/>
      <c r="C78" s="438"/>
      <c r="D78" s="438"/>
      <c r="E78" s="438"/>
      <c r="F78" s="438"/>
      <c r="G78" s="438"/>
      <c r="H78" s="147">
        <v>1000000</v>
      </c>
      <c r="J78" s="7"/>
    </row>
    <row r="79" spans="1:26" ht="15" customHeight="1" x14ac:dyDescent="0.25">
      <c r="A79" s="696" t="s">
        <v>2453</v>
      </c>
      <c r="B79" s="437"/>
      <c r="C79" s="438"/>
      <c r="D79" s="438"/>
      <c r="E79" s="438"/>
      <c r="F79" s="438"/>
      <c r="G79" s="438"/>
      <c r="H79" s="147">
        <v>255000</v>
      </c>
      <c r="J79" s="7"/>
    </row>
    <row r="80" spans="1:26" ht="15" customHeight="1" x14ac:dyDescent="0.25">
      <c r="A80" s="696" t="s">
        <v>2454</v>
      </c>
      <c r="B80" s="437"/>
      <c r="C80" s="438"/>
      <c r="D80" s="438"/>
      <c r="E80" s="438"/>
      <c r="F80" s="438"/>
      <c r="G80" s="438"/>
      <c r="H80" s="147">
        <v>500000</v>
      </c>
      <c r="J80" s="7"/>
    </row>
    <row r="81" spans="1:10" ht="15" customHeight="1" x14ac:dyDescent="0.25">
      <c r="A81" s="696" t="s">
        <v>2455</v>
      </c>
      <c r="B81" s="437"/>
      <c r="C81" s="438"/>
      <c r="D81" s="438"/>
      <c r="E81" s="438"/>
      <c r="F81" s="438"/>
      <c r="G81" s="438"/>
      <c r="H81" s="147">
        <v>3080</v>
      </c>
      <c r="J81" s="7"/>
    </row>
    <row r="82" spans="1:10" ht="15" customHeight="1" x14ac:dyDescent="0.25">
      <c r="A82" s="696" t="s">
        <v>2456</v>
      </c>
      <c r="B82" s="437"/>
      <c r="C82" s="438"/>
      <c r="D82" s="438"/>
      <c r="E82" s="438"/>
      <c r="F82" s="438"/>
      <c r="G82" s="438"/>
      <c r="H82" s="40"/>
      <c r="J82" s="7"/>
    </row>
    <row r="83" spans="1:10" ht="15" customHeight="1" x14ac:dyDescent="0.25">
      <c r="A83" s="696" t="s">
        <v>2457</v>
      </c>
      <c r="B83" s="437"/>
      <c r="C83" s="438"/>
      <c r="D83" s="438"/>
      <c r="E83" s="438"/>
      <c r="F83" s="438"/>
      <c r="G83" s="438"/>
      <c r="H83" s="147">
        <v>209500</v>
      </c>
      <c r="J83" s="7"/>
    </row>
    <row r="84" spans="1:10" ht="15" customHeight="1" x14ac:dyDescent="0.25">
      <c r="A84" s="696" t="s">
        <v>2458</v>
      </c>
      <c r="B84" s="437"/>
      <c r="C84" s="438"/>
      <c r="D84" s="438"/>
      <c r="E84" s="438"/>
      <c r="F84" s="438"/>
      <c r="G84" s="438"/>
      <c r="H84" s="147">
        <v>99000</v>
      </c>
      <c r="J84" s="7"/>
    </row>
    <row r="85" spans="1:10" ht="15" customHeight="1" x14ac:dyDescent="0.25">
      <c r="A85" s="446" t="s">
        <v>503</v>
      </c>
      <c r="B85" s="437"/>
      <c r="C85" s="438"/>
      <c r="D85" s="438"/>
      <c r="E85" s="438"/>
      <c r="F85" s="438"/>
      <c r="G85" s="438"/>
      <c r="H85" s="40"/>
      <c r="J85" s="7"/>
    </row>
    <row r="86" spans="1:10" ht="15" customHeight="1" x14ac:dyDescent="0.25">
      <c r="A86" s="583" t="s">
        <v>1303</v>
      </c>
      <c r="B86" s="437" t="s">
        <v>231</v>
      </c>
      <c r="C86" s="438">
        <v>360</v>
      </c>
      <c r="D86" s="438">
        <v>0</v>
      </c>
      <c r="E86" s="438">
        <f t="shared" ref="E86:E89" si="7">F86-D86</f>
        <v>5000</v>
      </c>
      <c r="F86" s="438">
        <v>5000</v>
      </c>
      <c r="G86" s="438">
        <v>3000</v>
      </c>
      <c r="H86" s="147">
        <v>3000</v>
      </c>
      <c r="J86" s="7"/>
    </row>
    <row r="87" spans="1:10" ht="15" customHeight="1" x14ac:dyDescent="0.25">
      <c r="A87" s="583" t="s">
        <v>643</v>
      </c>
      <c r="B87" s="487" t="s">
        <v>233</v>
      </c>
      <c r="C87" s="473">
        <v>0</v>
      </c>
      <c r="D87" s="473">
        <v>0</v>
      </c>
      <c r="E87" s="473">
        <f t="shared" si="7"/>
        <v>30000</v>
      </c>
      <c r="F87" s="473">
        <v>30000</v>
      </c>
      <c r="G87" s="473">
        <v>30000</v>
      </c>
      <c r="H87" s="147">
        <v>30000</v>
      </c>
      <c r="J87" s="7"/>
    </row>
    <row r="88" spans="1:10" ht="15" customHeight="1" x14ac:dyDescent="0.25">
      <c r="A88" s="583" t="s">
        <v>405</v>
      </c>
      <c r="B88" s="437" t="s">
        <v>235</v>
      </c>
      <c r="C88" s="438">
        <v>24000</v>
      </c>
      <c r="D88" s="438">
        <v>12175</v>
      </c>
      <c r="E88" s="438">
        <f t="shared" si="7"/>
        <v>41825</v>
      </c>
      <c r="F88" s="438">
        <v>54000</v>
      </c>
      <c r="G88" s="438">
        <f>(2000+2500)*12</f>
        <v>54000</v>
      </c>
      <c r="H88" s="147">
        <v>54000</v>
      </c>
      <c r="J88" s="7"/>
    </row>
    <row r="89" spans="1:10" ht="15" customHeight="1" x14ac:dyDescent="0.25">
      <c r="A89" s="583" t="s">
        <v>504</v>
      </c>
      <c r="B89" s="487" t="s">
        <v>237</v>
      </c>
      <c r="C89" s="473">
        <v>18042.669999999998</v>
      </c>
      <c r="D89" s="473">
        <v>12256.31</v>
      </c>
      <c r="E89" s="473">
        <f t="shared" si="7"/>
        <v>16543.690000000002</v>
      </c>
      <c r="F89" s="473">
        <v>28800</v>
      </c>
      <c r="G89" s="567">
        <f>28800</f>
        <v>28800</v>
      </c>
      <c r="H89" s="40"/>
      <c r="J89" s="7"/>
    </row>
    <row r="90" spans="1:10" ht="15" customHeight="1" x14ac:dyDescent="0.25">
      <c r="A90" s="486" t="s">
        <v>511</v>
      </c>
      <c r="B90" s="437"/>
      <c r="C90" s="438"/>
      <c r="D90" s="438"/>
      <c r="E90" s="438"/>
      <c r="F90" s="438"/>
      <c r="G90" s="568"/>
      <c r="H90" s="40"/>
      <c r="J90" s="7"/>
    </row>
    <row r="91" spans="1:10" ht="15" customHeight="1" x14ac:dyDescent="0.25">
      <c r="A91" s="583" t="s">
        <v>415</v>
      </c>
      <c r="B91" s="437" t="s">
        <v>319</v>
      </c>
      <c r="C91" s="438">
        <v>3391012.5</v>
      </c>
      <c r="D91" s="484">
        <v>522000</v>
      </c>
      <c r="E91" s="438">
        <f t="shared" ref="E91:E93" si="8">F91-D91</f>
        <v>1546000</v>
      </c>
      <c r="F91" s="473">
        <v>2068000</v>
      </c>
      <c r="G91" s="438">
        <v>2068000</v>
      </c>
      <c r="H91" s="147">
        <v>2068000</v>
      </c>
      <c r="J91" s="7"/>
    </row>
    <row r="92" spans="1:10" ht="15" customHeight="1" x14ac:dyDescent="0.25">
      <c r="A92" s="583" t="s">
        <v>836</v>
      </c>
      <c r="B92" s="447" t="s">
        <v>327</v>
      </c>
      <c r="C92" s="484">
        <v>40320</v>
      </c>
      <c r="D92" s="438">
        <v>13440</v>
      </c>
      <c r="E92" s="443">
        <f t="shared" si="8"/>
        <v>36560</v>
      </c>
      <c r="F92" s="484">
        <v>50000</v>
      </c>
      <c r="G92" s="438">
        <v>50000</v>
      </c>
      <c r="H92" s="147">
        <v>50000</v>
      </c>
      <c r="J92" s="7"/>
    </row>
    <row r="93" spans="1:10" ht="15" customHeight="1" x14ac:dyDescent="0.25">
      <c r="A93" s="583" t="s">
        <v>424</v>
      </c>
      <c r="B93" s="447" t="s">
        <v>335</v>
      </c>
      <c r="C93" s="484">
        <v>22358755.75</v>
      </c>
      <c r="D93" s="438">
        <v>10187207.140000001</v>
      </c>
      <c r="E93" s="443">
        <f t="shared" si="8"/>
        <v>15288552.859999999</v>
      </c>
      <c r="F93" s="484">
        <v>25475760</v>
      </c>
      <c r="G93" s="438">
        <v>29784260</v>
      </c>
      <c r="H93" s="404">
        <f>SUM(H94:H104)</f>
        <v>11958500</v>
      </c>
      <c r="I93" s="40">
        <f>H93+K106+H131+H132</f>
        <v>29784260</v>
      </c>
      <c r="J93" s="7"/>
    </row>
    <row r="94" spans="1:10" ht="15" customHeight="1" x14ac:dyDescent="0.25">
      <c r="A94" s="627" t="s">
        <v>2459</v>
      </c>
      <c r="B94" s="447"/>
      <c r="C94" s="484"/>
      <c r="D94" s="438"/>
      <c r="E94" s="443"/>
      <c r="F94" s="484"/>
      <c r="G94" s="438"/>
      <c r="H94" s="147">
        <v>55500</v>
      </c>
      <c r="I94" s="26"/>
      <c r="J94" s="7"/>
    </row>
    <row r="95" spans="1:10" ht="15" customHeight="1" x14ac:dyDescent="0.25">
      <c r="A95" s="627" t="s">
        <v>2460</v>
      </c>
      <c r="B95" s="447"/>
      <c r="C95" s="484"/>
      <c r="D95" s="438"/>
      <c r="E95" s="443"/>
      <c r="F95" s="484"/>
      <c r="G95" s="438"/>
      <c r="H95" s="147">
        <v>74000</v>
      </c>
      <c r="I95" s="26"/>
      <c r="J95" s="7"/>
    </row>
    <row r="96" spans="1:10" ht="15" customHeight="1" x14ac:dyDescent="0.25">
      <c r="A96" s="696" t="s">
        <v>2461</v>
      </c>
      <c r="B96" s="447"/>
      <c r="C96" s="484"/>
      <c r="D96" s="438"/>
      <c r="E96" s="443"/>
      <c r="F96" s="484"/>
      <c r="G96" s="438"/>
      <c r="H96" s="147">
        <v>3429000</v>
      </c>
      <c r="I96" s="26"/>
      <c r="J96" s="7"/>
    </row>
    <row r="97" spans="1:11" ht="15" customHeight="1" x14ac:dyDescent="0.25">
      <c r="A97" s="696" t="s">
        <v>2462</v>
      </c>
      <c r="B97" s="447"/>
      <c r="C97" s="484"/>
      <c r="D97" s="438"/>
      <c r="E97" s="443"/>
      <c r="F97" s="484"/>
      <c r="G97" s="438"/>
      <c r="H97" s="147">
        <v>100000</v>
      </c>
      <c r="I97" s="26"/>
      <c r="J97" s="7"/>
    </row>
    <row r="98" spans="1:11" ht="15" customHeight="1" x14ac:dyDescent="0.25">
      <c r="A98" s="696" t="s">
        <v>2463</v>
      </c>
      <c r="B98" s="458"/>
      <c r="C98" s="642"/>
      <c r="D98" s="642"/>
      <c r="E98" s="642"/>
      <c r="F98" s="642"/>
      <c r="G98" s="706"/>
      <c r="H98" s="147">
        <v>100000</v>
      </c>
    </row>
    <row r="99" spans="1:11" ht="15" customHeight="1" x14ac:dyDescent="0.25">
      <c r="A99" s="696" t="s">
        <v>2464</v>
      </c>
      <c r="B99" s="447"/>
      <c r="C99" s="484"/>
      <c r="D99" s="438"/>
      <c r="E99" s="443"/>
      <c r="F99" s="484"/>
      <c r="G99" s="438"/>
      <c r="H99" s="147">
        <v>1000000</v>
      </c>
      <c r="I99" s="26"/>
      <c r="J99" s="7"/>
    </row>
    <row r="100" spans="1:11" ht="15" customHeight="1" x14ac:dyDescent="0.25">
      <c r="A100" s="696" t="s">
        <v>2465</v>
      </c>
      <c r="B100" s="447"/>
      <c r="C100" s="484"/>
      <c r="D100" s="438"/>
      <c r="E100" s="443"/>
      <c r="F100" s="484"/>
      <c r="G100" s="438"/>
      <c r="H100" s="147">
        <v>1000000</v>
      </c>
      <c r="I100" s="26"/>
      <c r="J100" s="7"/>
    </row>
    <row r="101" spans="1:11" ht="15" customHeight="1" x14ac:dyDescent="0.25">
      <c r="A101" s="696" t="s">
        <v>2466</v>
      </c>
      <c r="B101" s="447"/>
      <c r="C101" s="484"/>
      <c r="D101" s="438"/>
      <c r="E101" s="443"/>
      <c r="F101" s="484"/>
      <c r="G101" s="438"/>
      <c r="H101" s="147">
        <v>700000</v>
      </c>
      <c r="I101" s="26"/>
      <c r="J101" s="7"/>
    </row>
    <row r="102" spans="1:11" ht="15" customHeight="1" x14ac:dyDescent="0.25">
      <c r="A102" s="696" t="s">
        <v>2467</v>
      </c>
      <c r="B102" s="447"/>
      <c r="C102" s="484"/>
      <c r="D102" s="438"/>
      <c r="E102" s="443"/>
      <c r="F102" s="484"/>
      <c r="G102" s="438"/>
      <c r="H102" s="147">
        <v>2000000</v>
      </c>
      <c r="I102" s="26"/>
      <c r="J102" s="7"/>
    </row>
    <row r="103" spans="1:11" ht="15" customHeight="1" x14ac:dyDescent="0.25">
      <c r="A103" s="696" t="s">
        <v>2468</v>
      </c>
      <c r="B103" s="447"/>
      <c r="C103" s="484"/>
      <c r="D103" s="438"/>
      <c r="E103" s="443"/>
      <c r="F103" s="484"/>
      <c r="G103" s="438"/>
      <c r="H103" s="147">
        <v>1500000</v>
      </c>
      <c r="I103" s="26"/>
      <c r="J103" s="7"/>
    </row>
    <row r="104" spans="1:11" ht="15" customHeight="1" x14ac:dyDescent="0.25">
      <c r="A104" s="696" t="s">
        <v>2469</v>
      </c>
      <c r="B104" s="447"/>
      <c r="C104" s="484"/>
      <c r="D104" s="438"/>
      <c r="E104" s="443"/>
      <c r="F104" s="484"/>
      <c r="G104" s="438"/>
      <c r="H104" s="147">
        <v>2000000</v>
      </c>
      <c r="I104" s="26"/>
      <c r="J104" s="7"/>
    </row>
    <row r="105" spans="1:11" ht="15" customHeight="1" x14ac:dyDescent="0.25">
      <c r="A105" s="696" t="s">
        <v>648</v>
      </c>
      <c r="B105" s="447"/>
      <c r="C105" s="484"/>
      <c r="D105" s="438"/>
      <c r="E105" s="443"/>
      <c r="F105" s="484"/>
      <c r="G105" s="438"/>
      <c r="H105" s="40"/>
      <c r="I105" s="26"/>
      <c r="J105" s="7"/>
    </row>
    <row r="106" spans="1:11" ht="15" customHeight="1" x14ac:dyDescent="0.25">
      <c r="A106" s="707" t="s">
        <v>2470</v>
      </c>
      <c r="B106" s="447"/>
      <c r="C106" s="484"/>
      <c r="D106" s="438"/>
      <c r="E106" s="443"/>
      <c r="F106" s="484"/>
      <c r="G106" s="438"/>
      <c r="H106" s="40"/>
      <c r="I106" s="26"/>
      <c r="J106" s="7"/>
      <c r="K106" s="57">
        <f>SUM(K107:K129)</f>
        <v>16565760</v>
      </c>
    </row>
    <row r="107" spans="1:11" ht="15" customHeight="1" x14ac:dyDescent="0.25">
      <c r="A107" s="465" t="s">
        <v>2471</v>
      </c>
      <c r="B107" s="454"/>
      <c r="C107" s="443"/>
      <c r="D107" s="443"/>
      <c r="E107" s="443"/>
      <c r="F107" s="443"/>
      <c r="G107" s="462"/>
      <c r="H107" s="40">
        <v>1</v>
      </c>
      <c r="I107" s="26">
        <f t="shared" ref="I107:I109" si="9">12*22</f>
        <v>264</v>
      </c>
      <c r="J107" s="7">
        <f>678</f>
        <v>678</v>
      </c>
      <c r="K107" s="407">
        <f t="shared" ref="K107:K109" si="10">J107*I107*H107</f>
        <v>178992</v>
      </c>
    </row>
    <row r="108" spans="1:11" ht="15" customHeight="1" x14ac:dyDescent="0.25">
      <c r="A108" s="465" t="s">
        <v>2472</v>
      </c>
      <c r="B108" s="454"/>
      <c r="C108" s="443"/>
      <c r="D108" s="443"/>
      <c r="E108" s="443"/>
      <c r="F108" s="443"/>
      <c r="G108" s="462"/>
      <c r="H108" s="40">
        <v>2</v>
      </c>
      <c r="I108" s="26">
        <f t="shared" si="9"/>
        <v>264</v>
      </c>
      <c r="J108" s="7">
        <v>720</v>
      </c>
      <c r="K108" s="407">
        <f t="shared" si="10"/>
        <v>380160</v>
      </c>
    </row>
    <row r="109" spans="1:11" ht="15" customHeight="1" x14ac:dyDescent="0.25">
      <c r="A109" s="627" t="s">
        <v>2473</v>
      </c>
      <c r="B109" s="447"/>
      <c r="C109" s="484"/>
      <c r="D109" s="438"/>
      <c r="E109" s="443"/>
      <c r="F109" s="484"/>
      <c r="G109" s="438"/>
      <c r="H109" s="40">
        <v>1</v>
      </c>
      <c r="I109" s="26">
        <f t="shared" si="9"/>
        <v>264</v>
      </c>
      <c r="J109" s="7">
        <v>720</v>
      </c>
      <c r="K109" s="407">
        <f t="shared" si="10"/>
        <v>190080</v>
      </c>
    </row>
    <row r="110" spans="1:11" ht="15" customHeight="1" x14ac:dyDescent="0.25">
      <c r="A110" s="707" t="s">
        <v>2474</v>
      </c>
      <c r="B110" s="447"/>
      <c r="C110" s="484"/>
      <c r="D110" s="438"/>
      <c r="E110" s="443"/>
      <c r="F110" s="484"/>
      <c r="G110" s="438"/>
      <c r="H110" s="40"/>
      <c r="I110" s="26"/>
      <c r="J110" s="7"/>
    </row>
    <row r="111" spans="1:11" ht="15" customHeight="1" x14ac:dyDescent="0.25">
      <c r="A111" s="627" t="s">
        <v>2475</v>
      </c>
      <c r="B111" s="447"/>
      <c r="C111" s="484"/>
      <c r="D111" s="438"/>
      <c r="E111" s="443"/>
      <c r="F111" s="484"/>
      <c r="G111" s="438"/>
      <c r="H111" s="40">
        <v>1</v>
      </c>
      <c r="I111" s="26">
        <f t="shared" ref="I111:I114" si="11">26*12</f>
        <v>312</v>
      </c>
      <c r="J111" s="7">
        <v>720</v>
      </c>
      <c r="K111" s="407">
        <f t="shared" ref="K111:K114" si="12">J111*I111*H111</f>
        <v>224640</v>
      </c>
    </row>
    <row r="112" spans="1:11" ht="15" customHeight="1" x14ac:dyDescent="0.25">
      <c r="A112" s="627" t="s">
        <v>2476</v>
      </c>
      <c r="B112" s="447"/>
      <c r="C112" s="484"/>
      <c r="D112" s="438"/>
      <c r="E112" s="443"/>
      <c r="F112" s="484"/>
      <c r="G112" s="438"/>
      <c r="H112" s="40">
        <v>4</v>
      </c>
      <c r="I112" s="26">
        <f t="shared" si="11"/>
        <v>312</v>
      </c>
      <c r="J112" s="7">
        <v>678</v>
      </c>
      <c r="K112" s="407">
        <f t="shared" si="12"/>
        <v>846144</v>
      </c>
    </row>
    <row r="113" spans="1:11" ht="15" customHeight="1" x14ac:dyDescent="0.25">
      <c r="A113" s="627" t="s">
        <v>2477</v>
      </c>
      <c r="B113" s="447"/>
      <c r="C113" s="484"/>
      <c r="D113" s="438"/>
      <c r="E113" s="443"/>
      <c r="F113" s="484"/>
      <c r="G113" s="438"/>
      <c r="H113" s="40">
        <v>6</v>
      </c>
      <c r="I113" s="26">
        <f t="shared" si="11"/>
        <v>312</v>
      </c>
      <c r="J113" s="7">
        <v>678</v>
      </c>
      <c r="K113" s="407">
        <f t="shared" si="12"/>
        <v>1269216</v>
      </c>
    </row>
    <row r="114" spans="1:11" ht="15" customHeight="1" x14ac:dyDescent="0.25">
      <c r="A114" s="627" t="s">
        <v>2478</v>
      </c>
      <c r="B114" s="447"/>
      <c r="C114" s="484"/>
      <c r="D114" s="438"/>
      <c r="E114" s="443"/>
      <c r="F114" s="484"/>
      <c r="G114" s="438"/>
      <c r="H114" s="40">
        <v>2</v>
      </c>
      <c r="I114" s="26">
        <f t="shared" si="11"/>
        <v>312</v>
      </c>
      <c r="J114" s="7">
        <v>639</v>
      </c>
      <c r="K114" s="407">
        <f t="shared" si="12"/>
        <v>398736</v>
      </c>
    </row>
    <row r="115" spans="1:11" ht="15" customHeight="1" x14ac:dyDescent="0.25">
      <c r="A115" s="707" t="s">
        <v>2479</v>
      </c>
      <c r="B115" s="447"/>
      <c r="C115" s="484"/>
      <c r="D115" s="438"/>
      <c r="E115" s="443"/>
      <c r="F115" s="484"/>
      <c r="G115" s="438"/>
      <c r="H115" s="40"/>
      <c r="I115" s="26"/>
      <c r="J115" s="7"/>
    </row>
    <row r="116" spans="1:11" ht="15" customHeight="1" x14ac:dyDescent="0.25">
      <c r="A116" s="602" t="s">
        <v>2480</v>
      </c>
      <c r="B116" s="603"/>
      <c r="C116" s="618"/>
      <c r="D116" s="457"/>
      <c r="E116" s="77"/>
      <c r="F116" s="618"/>
      <c r="G116" s="457"/>
      <c r="H116" s="40">
        <v>3</v>
      </c>
      <c r="I116" s="26">
        <f>26*12</f>
        <v>312</v>
      </c>
      <c r="J116" s="7">
        <v>639</v>
      </c>
      <c r="K116" s="407">
        <f>J116*I116*H116</f>
        <v>598104</v>
      </c>
    </row>
    <row r="117" spans="1:11" ht="15" customHeight="1" x14ac:dyDescent="0.25">
      <c r="A117" s="708" t="s">
        <v>2456</v>
      </c>
      <c r="B117" s="539"/>
      <c r="C117" s="513"/>
      <c r="D117" s="448"/>
      <c r="E117" s="497"/>
      <c r="F117" s="513"/>
      <c r="G117" s="448"/>
      <c r="H117" s="40"/>
      <c r="I117" s="26"/>
      <c r="J117" s="7"/>
    </row>
    <row r="118" spans="1:11" ht="15" customHeight="1" x14ac:dyDescent="0.25">
      <c r="A118" s="627" t="s">
        <v>2481</v>
      </c>
      <c r="B118" s="447"/>
      <c r="C118" s="484"/>
      <c r="D118" s="438"/>
      <c r="E118" s="443"/>
      <c r="F118" s="484"/>
      <c r="G118" s="438"/>
      <c r="H118" s="40">
        <v>18</v>
      </c>
      <c r="I118" s="26">
        <f t="shared" ref="I118:I120" si="13">26*12</f>
        <v>312</v>
      </c>
      <c r="J118" s="7">
        <f t="shared" ref="J118:J119" si="14">678</f>
        <v>678</v>
      </c>
      <c r="K118" s="407">
        <f t="shared" ref="K118:K121" si="15">J118*I118*H118</f>
        <v>3807648</v>
      </c>
    </row>
    <row r="119" spans="1:11" ht="15" customHeight="1" x14ac:dyDescent="0.25">
      <c r="A119" s="627" t="s">
        <v>2482</v>
      </c>
      <c r="B119" s="447"/>
      <c r="C119" s="484"/>
      <c r="D119" s="438"/>
      <c r="E119" s="443"/>
      <c r="F119" s="484"/>
      <c r="G119" s="438"/>
      <c r="H119" s="40">
        <v>18</v>
      </c>
      <c r="I119" s="26">
        <f t="shared" si="13"/>
        <v>312</v>
      </c>
      <c r="J119" s="7">
        <f t="shared" si="14"/>
        <v>678</v>
      </c>
      <c r="K119" s="407">
        <f t="shared" si="15"/>
        <v>3807648</v>
      </c>
    </row>
    <row r="120" spans="1:11" ht="15" customHeight="1" x14ac:dyDescent="0.25">
      <c r="A120" s="90" t="s">
        <v>2483</v>
      </c>
      <c r="B120" s="20"/>
      <c r="C120" s="56"/>
      <c r="D120" s="43"/>
      <c r="E120" s="26"/>
      <c r="F120" s="56"/>
      <c r="G120" s="43"/>
      <c r="H120" s="40">
        <v>1</v>
      </c>
      <c r="I120" s="26">
        <f t="shared" si="13"/>
        <v>312</v>
      </c>
      <c r="J120" s="7">
        <v>720</v>
      </c>
      <c r="K120" s="407">
        <f t="shared" si="15"/>
        <v>224640</v>
      </c>
    </row>
    <row r="121" spans="1:11" ht="15" customHeight="1" x14ac:dyDescent="0.25">
      <c r="A121" s="90" t="s">
        <v>2484</v>
      </c>
      <c r="B121" s="20"/>
      <c r="C121" s="56"/>
      <c r="D121" s="43"/>
      <c r="E121" s="26"/>
      <c r="F121" s="56"/>
      <c r="G121" s="43"/>
      <c r="H121" s="40">
        <v>6</v>
      </c>
      <c r="I121" s="26">
        <f>22*12</f>
        <v>264</v>
      </c>
      <c r="J121" s="7">
        <v>678</v>
      </c>
      <c r="K121" s="407">
        <f t="shared" si="15"/>
        <v>1073952</v>
      </c>
    </row>
    <row r="122" spans="1:11" ht="15" customHeight="1" x14ac:dyDescent="0.25">
      <c r="A122" s="300" t="s">
        <v>2485</v>
      </c>
      <c r="B122" s="20"/>
      <c r="C122" s="56"/>
      <c r="D122" s="43"/>
      <c r="E122" s="26"/>
      <c r="F122" s="56"/>
      <c r="G122" s="43"/>
      <c r="H122" s="40"/>
      <c r="I122" s="26"/>
      <c r="J122" s="7"/>
    </row>
    <row r="123" spans="1:11" ht="15" customHeight="1" x14ac:dyDescent="0.25">
      <c r="A123" s="90" t="s">
        <v>2486</v>
      </c>
      <c r="B123" s="20"/>
      <c r="C123" s="56"/>
      <c r="D123" s="43"/>
      <c r="E123" s="26"/>
      <c r="F123" s="56"/>
      <c r="G123" s="43"/>
      <c r="H123" s="40">
        <v>13</v>
      </c>
      <c r="I123" s="26">
        <f>22*12</f>
        <v>264</v>
      </c>
      <c r="J123" s="7">
        <v>639</v>
      </c>
      <c r="K123" s="407">
        <f>J123*I123*H123</f>
        <v>2193048</v>
      </c>
    </row>
    <row r="124" spans="1:11" ht="15" customHeight="1" x14ac:dyDescent="0.25">
      <c r="A124" s="300" t="s">
        <v>2487</v>
      </c>
      <c r="B124" s="20"/>
      <c r="C124" s="56"/>
      <c r="D124" s="43"/>
      <c r="E124" s="26"/>
      <c r="F124" s="56"/>
      <c r="G124" s="43"/>
      <c r="H124" s="40"/>
      <c r="I124" s="26"/>
      <c r="J124" s="7"/>
    </row>
    <row r="125" spans="1:11" ht="15" customHeight="1" x14ac:dyDescent="0.25">
      <c r="A125" s="90" t="s">
        <v>2488</v>
      </c>
      <c r="B125" s="20"/>
      <c r="C125" s="56"/>
      <c r="D125" s="43"/>
      <c r="E125" s="26"/>
      <c r="F125" s="56"/>
      <c r="G125" s="43"/>
      <c r="H125" s="40">
        <v>2</v>
      </c>
      <c r="I125" s="26">
        <f>22*12</f>
        <v>264</v>
      </c>
      <c r="J125" s="7">
        <f>720</f>
        <v>720</v>
      </c>
      <c r="K125" s="407">
        <f>J125*I125*H125</f>
        <v>380160</v>
      </c>
    </row>
    <row r="126" spans="1:11" ht="15" customHeight="1" x14ac:dyDescent="0.25">
      <c r="A126" s="300" t="s">
        <v>2489</v>
      </c>
      <c r="B126" s="20"/>
      <c r="C126" s="56"/>
      <c r="D126" s="43"/>
      <c r="E126" s="26"/>
      <c r="F126" s="56"/>
      <c r="G126" s="43"/>
      <c r="H126" s="40"/>
      <c r="I126" s="26"/>
      <c r="J126" s="7"/>
    </row>
    <row r="127" spans="1:11" ht="15" customHeight="1" x14ac:dyDescent="0.25">
      <c r="A127" s="74" t="s">
        <v>2490</v>
      </c>
      <c r="B127" s="20"/>
      <c r="C127" s="56"/>
      <c r="D127" s="43"/>
      <c r="E127" s="26"/>
      <c r="F127" s="56"/>
      <c r="G127" s="43"/>
      <c r="H127" s="40">
        <v>3</v>
      </c>
      <c r="I127" s="26">
        <f>26*12</f>
        <v>312</v>
      </c>
      <c r="J127" s="7">
        <v>678</v>
      </c>
      <c r="K127" s="407">
        <f>J127*I127*H127</f>
        <v>634608</v>
      </c>
    </row>
    <row r="128" spans="1:11" ht="15" customHeight="1" x14ac:dyDescent="0.25">
      <c r="A128" s="300" t="s">
        <v>2491</v>
      </c>
      <c r="B128" s="20"/>
      <c r="C128" s="56"/>
      <c r="D128" s="43"/>
      <c r="E128" s="26"/>
      <c r="F128" s="56"/>
      <c r="G128" s="43"/>
      <c r="H128" s="40"/>
      <c r="I128" s="26"/>
      <c r="J128" s="7"/>
    </row>
    <row r="129" spans="1:26" ht="15" customHeight="1" x14ac:dyDescent="0.25">
      <c r="A129" s="74" t="s">
        <v>2492</v>
      </c>
      <c r="B129" s="20"/>
      <c r="C129" s="56"/>
      <c r="D129" s="43"/>
      <c r="E129" s="26"/>
      <c r="F129" s="56"/>
      <c r="G129" s="43"/>
      <c r="H129" s="40">
        <v>2</v>
      </c>
      <c r="I129" s="26">
        <v>678</v>
      </c>
      <c r="J129" s="7">
        <f>22*12</f>
        <v>264</v>
      </c>
      <c r="K129" s="407">
        <f>J129*I129*H129</f>
        <v>357984</v>
      </c>
    </row>
    <row r="130" spans="1:26" ht="15" customHeight="1" x14ac:dyDescent="0.25">
      <c r="A130" s="74" t="s">
        <v>2227</v>
      </c>
      <c r="B130" s="20"/>
      <c r="C130" s="56"/>
      <c r="D130" s="43"/>
      <c r="E130" s="26"/>
      <c r="F130" s="56"/>
      <c r="G130" s="43"/>
      <c r="H130" s="40"/>
      <c r="I130" s="26"/>
      <c r="J130" s="7"/>
    </row>
    <row r="131" spans="1:26" ht="15" customHeight="1" x14ac:dyDescent="0.25">
      <c r="A131" s="74" t="s">
        <v>2493</v>
      </c>
      <c r="B131" s="20"/>
      <c r="C131" s="56"/>
      <c r="D131" s="43"/>
      <c r="E131" s="26"/>
      <c r="F131" s="56"/>
      <c r="G131" s="43"/>
      <c r="H131" s="147">
        <v>120000</v>
      </c>
      <c r="I131" s="26"/>
      <c r="J131" s="7"/>
    </row>
    <row r="132" spans="1:26" ht="15" customHeight="1" x14ac:dyDescent="0.25">
      <c r="A132" s="468" t="s">
        <v>2494</v>
      </c>
      <c r="B132" s="454"/>
      <c r="C132" s="443"/>
      <c r="D132" s="43"/>
      <c r="E132" s="26"/>
      <c r="F132" s="56"/>
      <c r="G132" s="43"/>
      <c r="H132" s="147">
        <v>1140000</v>
      </c>
      <c r="I132" s="26"/>
      <c r="J132" s="7"/>
    </row>
    <row r="133" spans="1:26" ht="15" customHeight="1" x14ac:dyDescent="0.25">
      <c r="A133" s="456" t="s">
        <v>466</v>
      </c>
      <c r="B133" s="454"/>
      <c r="C133" s="453">
        <f t="shared" ref="C133:G133" si="16">SUM(C41:C93)</f>
        <v>35923158.43</v>
      </c>
      <c r="D133" s="54">
        <f t="shared" si="16"/>
        <v>17705894.390000001</v>
      </c>
      <c r="E133" s="54">
        <f t="shared" si="16"/>
        <v>22917077.609999999</v>
      </c>
      <c r="F133" s="54">
        <f t="shared" si="16"/>
        <v>40622972</v>
      </c>
      <c r="G133" s="54">
        <f t="shared" si="16"/>
        <v>43277886</v>
      </c>
      <c r="H133" s="40"/>
      <c r="I133" s="56"/>
      <c r="J133" s="7"/>
    </row>
    <row r="134" spans="1:26" ht="15" customHeight="1" x14ac:dyDescent="0.25">
      <c r="A134" s="456"/>
      <c r="B134" s="454"/>
      <c r="C134" s="449"/>
      <c r="D134" s="55"/>
      <c r="E134" s="55"/>
      <c r="F134" s="55"/>
      <c r="G134" s="55"/>
      <c r="H134" s="40"/>
      <c r="I134" s="7"/>
      <c r="J134" s="7"/>
    </row>
    <row r="135" spans="1:26" ht="15" customHeight="1" x14ac:dyDescent="0.25">
      <c r="A135" s="17" t="s">
        <v>467</v>
      </c>
      <c r="B135" s="41"/>
      <c r="C135" s="43">
        <f t="shared" ref="C135:G135" si="17">C37+C133</f>
        <v>52290663.629999995</v>
      </c>
      <c r="D135" s="43">
        <f t="shared" si="17"/>
        <v>26992318.259999998</v>
      </c>
      <c r="E135" s="43">
        <f t="shared" si="17"/>
        <v>37514501.739999995</v>
      </c>
      <c r="F135" s="43">
        <f t="shared" si="17"/>
        <v>64506820</v>
      </c>
      <c r="G135" s="43">
        <f t="shared" si="17"/>
        <v>68443022</v>
      </c>
      <c r="H135" s="40"/>
      <c r="J135" s="7"/>
    </row>
    <row r="136" spans="1:26" ht="15" customHeight="1" x14ac:dyDescent="0.25">
      <c r="A136" s="42"/>
      <c r="B136" s="42"/>
      <c r="C136" s="42"/>
      <c r="D136" s="26"/>
      <c r="E136" s="43"/>
      <c r="F136" s="42"/>
      <c r="G136" s="42"/>
      <c r="H136" s="40"/>
      <c r="J136" s="7"/>
    </row>
    <row r="137" spans="1:26" ht="15" customHeight="1" x14ac:dyDescent="0.25">
      <c r="A137" s="17" t="s">
        <v>529</v>
      </c>
      <c r="B137" s="41"/>
      <c r="C137" s="43"/>
      <c r="D137" s="43"/>
      <c r="E137" s="43"/>
      <c r="F137" s="43"/>
      <c r="G137" s="43"/>
      <c r="H137" s="40"/>
      <c r="J137" s="7"/>
    </row>
    <row r="138" spans="1:26" ht="15" customHeight="1" x14ac:dyDescent="0.25">
      <c r="A138" s="42" t="s">
        <v>541</v>
      </c>
      <c r="B138" s="395"/>
      <c r="C138" s="43"/>
      <c r="D138" s="43"/>
      <c r="E138" s="43"/>
      <c r="F138" s="43"/>
      <c r="G138" s="43"/>
      <c r="H138" s="40"/>
      <c r="J138" s="7"/>
    </row>
    <row r="139" spans="1:26" ht="15" customHeight="1" x14ac:dyDescent="0.25">
      <c r="A139" s="48" t="s">
        <v>786</v>
      </c>
      <c r="B139" s="172" t="s">
        <v>41</v>
      </c>
      <c r="C139" s="43">
        <v>0</v>
      </c>
      <c r="D139" s="43">
        <v>0</v>
      </c>
      <c r="E139" s="43">
        <v>0</v>
      </c>
      <c r="F139" s="43">
        <v>0</v>
      </c>
      <c r="G139" s="43">
        <f>137538+165238+155675</f>
        <v>458451</v>
      </c>
      <c r="H139" s="40"/>
      <c r="J139" s="7"/>
    </row>
    <row r="140" spans="1:26" ht="15" customHeight="1" x14ac:dyDescent="0.25">
      <c r="A140" s="125" t="s">
        <v>2495</v>
      </c>
      <c r="B140" s="395"/>
      <c r="C140" s="43"/>
      <c r="D140" s="43"/>
      <c r="E140" s="43"/>
      <c r="F140" s="43"/>
      <c r="G140" s="43"/>
      <c r="H140" s="40"/>
      <c r="J140" s="7"/>
    </row>
    <row r="141" spans="1:26" ht="15" customHeight="1" x14ac:dyDescent="0.25">
      <c r="A141" s="125" t="s">
        <v>2496</v>
      </c>
      <c r="B141" s="395"/>
      <c r="C141" s="43"/>
      <c r="D141" s="43"/>
      <c r="E141" s="43"/>
      <c r="F141" s="43"/>
      <c r="G141" s="43"/>
      <c r="H141" s="40"/>
      <c r="J141" s="7"/>
    </row>
    <row r="142" spans="1:26" ht="15" customHeight="1" x14ac:dyDescent="0.25">
      <c r="A142" s="125" t="s">
        <v>2497</v>
      </c>
      <c r="B142" s="395"/>
      <c r="C142" s="43"/>
      <c r="D142" s="43"/>
      <c r="E142" s="43"/>
      <c r="F142" s="43"/>
      <c r="G142" s="43"/>
      <c r="H142" s="40"/>
      <c r="J142" s="7"/>
    </row>
    <row r="143" spans="1:26" ht="15" customHeight="1" x14ac:dyDescent="0.25">
      <c r="A143" s="42" t="s">
        <v>476</v>
      </c>
      <c r="B143" s="395"/>
      <c r="C143" s="43"/>
      <c r="D143" s="43"/>
      <c r="E143" s="43"/>
      <c r="F143" s="43"/>
      <c r="G143" s="43"/>
      <c r="H143" s="40"/>
      <c r="J143" s="7"/>
    </row>
    <row r="144" spans="1:26" ht="15" customHeight="1" x14ac:dyDescent="0.25">
      <c r="A144" s="48" t="s">
        <v>639</v>
      </c>
      <c r="B144" s="41" t="s">
        <v>47</v>
      </c>
      <c r="C144" s="43">
        <v>933438</v>
      </c>
      <c r="D144" s="43">
        <v>139970</v>
      </c>
      <c r="E144" s="43">
        <f>F144-D144</f>
        <v>30</v>
      </c>
      <c r="F144" s="43">
        <v>140000</v>
      </c>
      <c r="G144" s="43">
        <v>504000</v>
      </c>
      <c r="H144" s="60"/>
      <c r="I144" s="114"/>
      <c r="J144" s="7"/>
      <c r="K144" s="114"/>
      <c r="L144" s="114"/>
      <c r="M144" s="114"/>
      <c r="N144" s="114"/>
      <c r="O144" s="114"/>
      <c r="P144" s="114"/>
      <c r="Q144" s="114"/>
      <c r="R144" s="114"/>
      <c r="S144" s="114"/>
      <c r="T144" s="114"/>
      <c r="U144" s="114"/>
      <c r="V144" s="114"/>
      <c r="W144" s="114"/>
      <c r="X144" s="114"/>
      <c r="Y144" s="114"/>
      <c r="Z144" s="114"/>
    </row>
    <row r="145" spans="1:10" ht="15" customHeight="1" x14ac:dyDescent="0.25">
      <c r="A145" s="300" t="s">
        <v>2498</v>
      </c>
      <c r="B145" s="41"/>
      <c r="C145" s="43"/>
      <c r="D145" s="43"/>
      <c r="E145" s="43"/>
      <c r="F145" s="43"/>
      <c r="G145" s="43"/>
      <c r="H145" s="99"/>
      <c r="J145" s="7"/>
    </row>
    <row r="146" spans="1:10" ht="15" customHeight="1" x14ac:dyDescent="0.25">
      <c r="A146" s="125" t="s">
        <v>2499</v>
      </c>
      <c r="B146" s="41"/>
      <c r="C146" s="43"/>
      <c r="D146" s="43"/>
      <c r="E146" s="43"/>
      <c r="F146" s="43"/>
      <c r="G146" s="43"/>
      <c r="H146" s="115">
        <v>52800</v>
      </c>
      <c r="J146" s="7"/>
    </row>
    <row r="147" spans="1:10" ht="15" customHeight="1" x14ac:dyDescent="0.25">
      <c r="A147" s="125" t="s">
        <v>2500</v>
      </c>
      <c r="B147" s="41"/>
      <c r="C147" s="43"/>
      <c r="D147" s="43"/>
      <c r="E147" s="43"/>
      <c r="F147" s="43"/>
      <c r="G147" s="43"/>
      <c r="H147" s="115">
        <v>60600</v>
      </c>
      <c r="J147" s="7"/>
    </row>
    <row r="148" spans="1:10" ht="15" customHeight="1" x14ac:dyDescent="0.25">
      <c r="A148" s="300" t="s">
        <v>2501</v>
      </c>
      <c r="B148" s="41"/>
      <c r="C148" s="43"/>
      <c r="D148" s="43"/>
      <c r="E148" s="43"/>
      <c r="F148" s="43"/>
      <c r="G148" s="43"/>
      <c r="H148" s="99"/>
      <c r="J148" s="7"/>
    </row>
    <row r="149" spans="1:10" ht="15" customHeight="1" x14ac:dyDescent="0.25">
      <c r="A149" s="125" t="s">
        <v>2500</v>
      </c>
      <c r="B149" s="41"/>
      <c r="C149" s="43"/>
      <c r="D149" s="43"/>
      <c r="E149" s="43"/>
      <c r="F149" s="43"/>
      <c r="G149" s="43"/>
      <c r="H149" s="115">
        <v>60600</v>
      </c>
      <c r="J149" s="7"/>
    </row>
    <row r="150" spans="1:10" ht="15" customHeight="1" x14ac:dyDescent="0.25">
      <c r="A150" s="300" t="s">
        <v>2470</v>
      </c>
      <c r="B150" s="41"/>
      <c r="C150" s="43"/>
      <c r="D150" s="43"/>
      <c r="E150" s="43"/>
      <c r="F150" s="43"/>
      <c r="G150" s="43"/>
      <c r="H150" s="99"/>
      <c r="J150" s="7"/>
    </row>
    <row r="151" spans="1:10" ht="15" customHeight="1" x14ac:dyDescent="0.25">
      <c r="A151" s="125" t="s">
        <v>2502</v>
      </c>
      <c r="B151" s="41"/>
      <c r="C151" s="43"/>
      <c r="D151" s="43"/>
      <c r="E151" s="43"/>
      <c r="F151" s="43"/>
      <c r="G151" s="43"/>
      <c r="H151" s="115">
        <v>330000</v>
      </c>
      <c r="J151" s="7"/>
    </row>
    <row r="152" spans="1:10" ht="15" customHeight="1" x14ac:dyDescent="0.25">
      <c r="A152" s="42" t="s">
        <v>1027</v>
      </c>
      <c r="B152" s="41"/>
      <c r="C152" s="43"/>
      <c r="D152" s="43"/>
      <c r="E152" s="43"/>
      <c r="F152" s="43"/>
      <c r="G152" s="43"/>
      <c r="H152" s="99"/>
      <c r="J152" s="7"/>
    </row>
    <row r="153" spans="1:10" ht="15" customHeight="1" x14ac:dyDescent="0.25">
      <c r="A153" s="48" t="s">
        <v>1337</v>
      </c>
      <c r="B153" s="41" t="s">
        <v>85</v>
      </c>
      <c r="C153" s="43">
        <v>0</v>
      </c>
      <c r="D153" s="43">
        <v>0</v>
      </c>
      <c r="E153" s="43">
        <v>0</v>
      </c>
      <c r="F153" s="43">
        <v>0</v>
      </c>
      <c r="G153" s="43">
        <v>400000</v>
      </c>
      <c r="H153" s="99"/>
      <c r="J153" s="7"/>
    </row>
    <row r="154" spans="1:10" ht="15" customHeight="1" x14ac:dyDescent="0.25">
      <c r="A154" s="125" t="s">
        <v>2503</v>
      </c>
      <c r="B154" s="41"/>
      <c r="C154" s="43"/>
      <c r="D154" s="43"/>
      <c r="E154" s="43"/>
      <c r="F154" s="43"/>
      <c r="G154" s="43"/>
      <c r="H154" s="99"/>
      <c r="J154" s="7"/>
    </row>
    <row r="155" spans="1:10" ht="15" customHeight="1" x14ac:dyDescent="0.25">
      <c r="A155" s="42" t="s">
        <v>2504</v>
      </c>
      <c r="B155" s="41"/>
      <c r="C155" s="54">
        <f>SUM(C139:C151)</f>
        <v>933438</v>
      </c>
      <c r="D155" s="54">
        <f>SUM(D139:D151)</f>
        <v>139970</v>
      </c>
      <c r="E155" s="54">
        <f>SUM(E139:E151)</f>
        <v>30</v>
      </c>
      <c r="F155" s="54">
        <f>SUM(F139:F151)</f>
        <v>140000</v>
      </c>
      <c r="G155" s="54">
        <f>SUM(G139:G154)</f>
        <v>1362451</v>
      </c>
      <c r="H155" s="138"/>
      <c r="J155" s="7"/>
    </row>
    <row r="156" spans="1:10" ht="15" customHeight="1" x14ac:dyDescent="0.25">
      <c r="A156" s="408"/>
      <c r="B156" s="408"/>
      <c r="C156" s="408"/>
      <c r="D156" s="26"/>
      <c r="E156" s="55"/>
      <c r="F156" s="408"/>
      <c r="G156" s="408"/>
      <c r="H156" s="184"/>
      <c r="J156" s="7"/>
    </row>
    <row r="157" spans="1:10" ht="15" customHeight="1" x14ac:dyDescent="0.25">
      <c r="A157" s="50" t="s">
        <v>487</v>
      </c>
      <c r="B157" s="51"/>
      <c r="C157" s="54">
        <f>+C135+C155</f>
        <v>53224101.629999995</v>
      </c>
      <c r="D157" s="54">
        <f>+D135+D155</f>
        <v>27132288.259999998</v>
      </c>
      <c r="E157" s="54">
        <f>+E135+E155</f>
        <v>37514531.739999995</v>
      </c>
      <c r="F157" s="54">
        <f>+F135+F155</f>
        <v>64646820</v>
      </c>
      <c r="G157" s="54">
        <f>+G135+G155</f>
        <v>69805473</v>
      </c>
      <c r="H157" s="40"/>
      <c r="J157" s="7"/>
    </row>
    <row r="158" spans="1:10" ht="15.75" customHeight="1" x14ac:dyDescent="0.25">
      <c r="A158" s="105"/>
      <c r="B158" s="104"/>
      <c r="C158" s="105"/>
      <c r="D158" s="105"/>
      <c r="E158" s="105"/>
      <c r="F158" s="178"/>
      <c r="G158" s="178"/>
      <c r="H158" s="40"/>
      <c r="J158" s="7"/>
    </row>
    <row r="159" spans="1:10" ht="15.75" customHeight="1" x14ac:dyDescent="0.25">
      <c r="A159" s="24"/>
      <c r="B159" s="25"/>
      <c r="C159" s="24"/>
      <c r="D159" s="24"/>
      <c r="E159" s="24"/>
      <c r="F159" s="114"/>
      <c r="G159" s="114"/>
      <c r="H159" s="40"/>
      <c r="J159" s="7"/>
    </row>
    <row r="160" spans="1:10" ht="15.75" customHeight="1" x14ac:dyDescent="0.25">
      <c r="A160" s="24"/>
      <c r="B160" s="25"/>
      <c r="C160" s="24"/>
      <c r="D160" s="24"/>
      <c r="E160" s="24"/>
      <c r="F160" s="114"/>
      <c r="G160" s="114"/>
      <c r="H160" s="40"/>
      <c r="J160" s="7"/>
    </row>
    <row r="161" spans="1:10" ht="15.75" customHeight="1" x14ac:dyDescent="0.25">
      <c r="A161" s="24"/>
      <c r="B161" s="25"/>
      <c r="C161" s="24"/>
      <c r="D161" s="24"/>
      <c r="E161" s="24"/>
      <c r="F161" s="114"/>
      <c r="G161" s="114"/>
      <c r="H161" s="40"/>
      <c r="J161" s="7"/>
    </row>
    <row r="162" spans="1:10" ht="15.75" customHeight="1" x14ac:dyDescent="0.25">
      <c r="A162" s="24"/>
      <c r="B162" s="25"/>
      <c r="C162" s="24"/>
      <c r="D162" s="24"/>
      <c r="E162" s="24"/>
      <c r="F162" s="114"/>
      <c r="G162" s="114"/>
      <c r="H162" s="40"/>
      <c r="J162" s="7"/>
    </row>
    <row r="163" spans="1:10" ht="15.75" customHeight="1" x14ac:dyDescent="0.25">
      <c r="A163" s="24"/>
      <c r="B163" s="25"/>
      <c r="C163" s="24"/>
      <c r="D163" s="24"/>
      <c r="E163" s="24"/>
      <c r="F163" s="114"/>
      <c r="G163" s="114"/>
      <c r="H163" s="40"/>
      <c r="J163" s="7"/>
    </row>
    <row r="164" spans="1:10" ht="15.75" customHeight="1" x14ac:dyDescent="0.25">
      <c r="A164" s="24"/>
      <c r="B164" s="25"/>
      <c r="C164" s="24"/>
      <c r="D164" s="24"/>
      <c r="E164" s="24"/>
      <c r="F164" s="114"/>
      <c r="G164" s="114"/>
      <c r="H164" s="40"/>
      <c r="J164" s="7"/>
    </row>
    <row r="165" spans="1:10" ht="15.75" customHeight="1" x14ac:dyDescent="0.25">
      <c r="A165" s="24"/>
      <c r="B165" s="25"/>
      <c r="C165" s="24"/>
      <c r="D165" s="24"/>
      <c r="E165" s="24"/>
      <c r="F165" s="114"/>
      <c r="G165" s="114"/>
      <c r="H165" s="40"/>
      <c r="J165" s="7"/>
    </row>
    <row r="166" spans="1:10" ht="15.75" customHeight="1" x14ac:dyDescent="0.25">
      <c r="A166" s="24"/>
      <c r="B166" s="25"/>
      <c r="C166" s="24"/>
      <c r="D166" s="24"/>
      <c r="E166" s="24"/>
      <c r="F166" s="114"/>
      <c r="G166" s="114"/>
      <c r="H166" s="40"/>
      <c r="J166" s="7"/>
    </row>
    <row r="167" spans="1:10" ht="15.75" customHeight="1" x14ac:dyDescent="0.25">
      <c r="A167" s="24"/>
      <c r="B167" s="25"/>
      <c r="C167" s="24"/>
      <c r="D167" s="24"/>
      <c r="E167" s="24"/>
      <c r="F167" s="114"/>
      <c r="G167" s="114"/>
      <c r="H167" s="40"/>
      <c r="J167" s="7"/>
    </row>
    <row r="168" spans="1:10" ht="15.75" customHeight="1" x14ac:dyDescent="0.25">
      <c r="A168" s="24"/>
      <c r="B168" s="25"/>
      <c r="C168" s="24"/>
      <c r="D168" s="24"/>
      <c r="E168" s="24"/>
      <c r="F168" s="114"/>
      <c r="G168" s="114"/>
      <c r="H168" s="40"/>
      <c r="J168" s="7"/>
    </row>
    <row r="169" spans="1:10" ht="15.75" customHeight="1" x14ac:dyDescent="0.25">
      <c r="A169" s="24"/>
      <c r="B169" s="25"/>
      <c r="C169" s="24"/>
      <c r="D169" s="24"/>
      <c r="E169" s="24"/>
      <c r="F169" s="114"/>
      <c r="G169" s="114"/>
      <c r="H169" s="40"/>
      <c r="J169" s="7"/>
    </row>
    <row r="170" spans="1:10" ht="15.75" customHeight="1" x14ac:dyDescent="0.25">
      <c r="A170" s="24"/>
      <c r="B170" s="25"/>
      <c r="C170" s="24"/>
      <c r="D170" s="24"/>
      <c r="E170" s="24"/>
      <c r="F170" s="114"/>
      <c r="G170" s="114"/>
      <c r="H170" s="40"/>
      <c r="J170" s="7"/>
    </row>
    <row r="171" spans="1:10" ht="15.75" customHeight="1" x14ac:dyDescent="0.25">
      <c r="A171" s="24"/>
      <c r="B171" s="25"/>
      <c r="C171" s="24"/>
      <c r="D171" s="24"/>
      <c r="E171" s="24"/>
      <c r="F171" s="114"/>
      <c r="G171" s="114"/>
      <c r="H171" s="40"/>
      <c r="J171" s="7"/>
    </row>
    <row r="172" spans="1:10" ht="15.75" customHeight="1" x14ac:dyDescent="0.25">
      <c r="A172" s="24"/>
      <c r="B172" s="25"/>
      <c r="C172" s="24"/>
      <c r="D172" s="24"/>
      <c r="E172" s="24"/>
      <c r="F172" s="114"/>
      <c r="G172" s="114"/>
      <c r="H172" s="40"/>
      <c r="J172" s="7"/>
    </row>
    <row r="173" spans="1:10" ht="15.75" customHeight="1" x14ac:dyDescent="0.25">
      <c r="A173" s="24"/>
      <c r="B173" s="25"/>
      <c r="C173" s="24"/>
      <c r="D173" s="24"/>
      <c r="E173" s="24"/>
      <c r="F173" s="114"/>
      <c r="G173" s="114"/>
      <c r="H173" s="40"/>
      <c r="J173" s="7"/>
    </row>
    <row r="174" spans="1:10" ht="15.75" customHeight="1" x14ac:dyDescent="0.25">
      <c r="A174" s="24"/>
      <c r="B174" s="25"/>
      <c r="C174" s="24"/>
      <c r="D174" s="24"/>
      <c r="E174" s="24"/>
      <c r="F174" s="114"/>
      <c r="G174" s="114"/>
      <c r="H174" s="40"/>
      <c r="J174" s="7"/>
    </row>
    <row r="175" spans="1:10" ht="15.75" customHeight="1" x14ac:dyDescent="0.25">
      <c r="A175" s="24"/>
      <c r="B175" s="25"/>
      <c r="C175" s="24"/>
      <c r="D175" s="24"/>
      <c r="E175" s="24"/>
      <c r="F175" s="114"/>
      <c r="G175" s="114"/>
      <c r="H175" s="40"/>
      <c r="J175" s="7"/>
    </row>
    <row r="176" spans="1:10" ht="15.75" customHeight="1" x14ac:dyDescent="0.25">
      <c r="A176" s="24"/>
      <c r="B176" s="25"/>
      <c r="C176" s="24"/>
      <c r="D176" s="24"/>
      <c r="E176" s="24"/>
      <c r="F176" s="114"/>
      <c r="G176" s="114"/>
      <c r="H176" s="40"/>
      <c r="J176" s="7"/>
    </row>
    <row r="177" spans="1:10" ht="15.75" customHeight="1" x14ac:dyDescent="0.25">
      <c r="A177" s="24"/>
      <c r="B177" s="25"/>
      <c r="C177" s="24"/>
      <c r="D177" s="24"/>
      <c r="E177" s="24"/>
      <c r="F177" s="114"/>
      <c r="G177" s="114"/>
      <c r="H177" s="40"/>
      <c r="J177" s="7"/>
    </row>
    <row r="178" spans="1:10" ht="15.75" customHeight="1" x14ac:dyDescent="0.25">
      <c r="A178" s="24"/>
      <c r="B178" s="25"/>
      <c r="C178" s="24"/>
      <c r="D178" s="24"/>
      <c r="E178" s="24"/>
      <c r="F178" s="114"/>
      <c r="G178" s="114"/>
      <c r="H178" s="40"/>
      <c r="J178" s="7"/>
    </row>
    <row r="179" spans="1:10" ht="15.75" customHeight="1" x14ac:dyDescent="0.25">
      <c r="A179" s="24"/>
      <c r="B179" s="25"/>
      <c r="C179" s="24"/>
      <c r="D179" s="24"/>
      <c r="E179" s="24"/>
      <c r="F179" s="114"/>
      <c r="G179" s="114"/>
      <c r="H179" s="40"/>
      <c r="J179" s="7"/>
    </row>
    <row r="180" spans="1:10" ht="15.75" customHeight="1" x14ac:dyDescent="0.25">
      <c r="A180" s="24"/>
      <c r="B180" s="25"/>
      <c r="C180" s="24"/>
      <c r="D180" s="24"/>
      <c r="E180" s="24"/>
      <c r="F180" s="114"/>
      <c r="G180" s="114"/>
      <c r="H180" s="40"/>
      <c r="J180" s="7"/>
    </row>
    <row r="181" spans="1:10" ht="15.75" customHeight="1" x14ac:dyDescent="0.25">
      <c r="A181" s="24"/>
      <c r="B181" s="25"/>
      <c r="C181" s="24"/>
      <c r="D181" s="24"/>
      <c r="E181" s="24"/>
      <c r="F181" s="114"/>
      <c r="G181" s="114"/>
      <c r="H181" s="40"/>
      <c r="J181" s="7"/>
    </row>
    <row r="182" spans="1:10" ht="15.75" customHeight="1" x14ac:dyDescent="0.25">
      <c r="A182" s="24"/>
      <c r="B182" s="25"/>
      <c r="C182" s="24"/>
      <c r="D182" s="24"/>
      <c r="E182" s="24"/>
      <c r="F182" s="114"/>
      <c r="G182" s="114"/>
      <c r="H182" s="40"/>
      <c r="J182" s="7"/>
    </row>
    <row r="183" spans="1:10" ht="15.75" customHeight="1" x14ac:dyDescent="0.25">
      <c r="A183" s="24"/>
      <c r="B183" s="25"/>
      <c r="C183" s="24"/>
      <c r="D183" s="24"/>
      <c r="E183" s="24"/>
      <c r="F183" s="114"/>
      <c r="G183" s="114"/>
      <c r="H183" s="40"/>
      <c r="J183" s="7"/>
    </row>
    <row r="184" spans="1:10" ht="15.75" customHeight="1" x14ac:dyDescent="0.25">
      <c r="A184" s="24"/>
      <c r="B184" s="25"/>
      <c r="C184" s="24"/>
      <c r="D184" s="24"/>
      <c r="E184" s="24"/>
      <c r="F184" s="114"/>
      <c r="G184" s="114"/>
      <c r="H184" s="40"/>
      <c r="J184" s="7"/>
    </row>
    <row r="185" spans="1:10" ht="15.75" customHeight="1" x14ac:dyDescent="0.25">
      <c r="A185" s="24"/>
      <c r="B185" s="25"/>
      <c r="C185" s="24"/>
      <c r="D185" s="24"/>
      <c r="E185" s="24"/>
      <c r="F185" s="114"/>
      <c r="G185" s="114"/>
      <c r="H185" s="40"/>
      <c r="J185" s="7"/>
    </row>
    <row r="186" spans="1:10" ht="15.75" customHeight="1" x14ac:dyDescent="0.25">
      <c r="A186" s="24"/>
      <c r="B186" s="25"/>
      <c r="C186" s="24"/>
      <c r="D186" s="24"/>
      <c r="E186" s="24"/>
      <c r="F186" s="114"/>
      <c r="G186" s="114"/>
      <c r="H186" s="40"/>
      <c r="J186" s="7"/>
    </row>
    <row r="187" spans="1:10" ht="15.75" customHeight="1" x14ac:dyDescent="0.25">
      <c r="A187" s="24"/>
      <c r="B187" s="25"/>
      <c r="C187" s="24"/>
      <c r="D187" s="24"/>
      <c r="E187" s="24"/>
      <c r="F187" s="114"/>
      <c r="G187" s="114"/>
      <c r="H187" s="40"/>
      <c r="J187" s="7"/>
    </row>
    <row r="188" spans="1:10" ht="15.75" customHeight="1" x14ac:dyDescent="0.25">
      <c r="A188" s="24"/>
      <c r="B188" s="25"/>
      <c r="C188" s="24"/>
      <c r="D188" s="24"/>
      <c r="E188" s="24"/>
      <c r="F188" s="114"/>
      <c r="G188" s="114"/>
      <c r="H188" s="40"/>
      <c r="J188" s="7"/>
    </row>
    <row r="189" spans="1:10" ht="15.75" customHeight="1" x14ac:dyDescent="0.25">
      <c r="A189" s="24"/>
      <c r="B189" s="25"/>
      <c r="C189" s="24"/>
      <c r="D189" s="24"/>
      <c r="E189" s="24"/>
      <c r="F189" s="114"/>
      <c r="G189" s="114"/>
      <c r="H189" s="40"/>
      <c r="J189" s="7"/>
    </row>
    <row r="190" spans="1:10" ht="15.75" customHeight="1" x14ac:dyDescent="0.25">
      <c r="A190" s="24"/>
      <c r="B190" s="25"/>
      <c r="C190" s="24"/>
      <c r="D190" s="24"/>
      <c r="E190" s="24"/>
      <c r="F190" s="114"/>
      <c r="G190" s="114"/>
      <c r="H190" s="40"/>
      <c r="J190" s="7"/>
    </row>
    <row r="191" spans="1:10" ht="15.75" customHeight="1" x14ac:dyDescent="0.25">
      <c r="A191" s="24"/>
      <c r="B191" s="25"/>
      <c r="C191" s="24"/>
      <c r="D191" s="24"/>
      <c r="E191" s="24"/>
      <c r="F191" s="114"/>
      <c r="G191" s="114"/>
      <c r="H191" s="40"/>
      <c r="J191" s="7"/>
    </row>
    <row r="192" spans="1:10" ht="15.75" customHeight="1" x14ac:dyDescent="0.25">
      <c r="A192" s="24"/>
      <c r="B192" s="25"/>
      <c r="C192" s="24"/>
      <c r="D192" s="24"/>
      <c r="E192" s="24"/>
      <c r="F192" s="114"/>
      <c r="G192" s="114"/>
      <c r="H192" s="40"/>
      <c r="J192" s="7"/>
    </row>
    <row r="193" spans="1:10" ht="15.75" customHeight="1" x14ac:dyDescent="0.25">
      <c r="A193" s="24"/>
      <c r="B193" s="25"/>
      <c r="C193" s="24"/>
      <c r="D193" s="24"/>
      <c r="E193" s="24"/>
      <c r="F193" s="114"/>
      <c r="G193" s="114"/>
      <c r="H193" s="40"/>
      <c r="J193" s="7"/>
    </row>
    <row r="194" spans="1:10" ht="15.75" customHeight="1" x14ac:dyDescent="0.25">
      <c r="A194" s="24"/>
      <c r="B194" s="25"/>
      <c r="C194" s="24"/>
      <c r="D194" s="24"/>
      <c r="E194" s="24"/>
      <c r="F194" s="114"/>
      <c r="G194" s="114"/>
      <c r="H194" s="40"/>
      <c r="J194" s="7"/>
    </row>
    <row r="195" spans="1:10" ht="15.75" customHeight="1" x14ac:dyDescent="0.25">
      <c r="A195" s="24"/>
      <c r="B195" s="25"/>
      <c r="C195" s="24"/>
      <c r="D195" s="24"/>
      <c r="E195" s="24"/>
      <c r="F195" s="114"/>
      <c r="G195" s="114"/>
      <c r="H195" s="40"/>
      <c r="J195" s="7"/>
    </row>
    <row r="196" spans="1:10" ht="15.75" customHeight="1" x14ac:dyDescent="0.25">
      <c r="A196" s="24"/>
      <c r="B196" s="25"/>
      <c r="C196" s="24"/>
      <c r="D196" s="24"/>
      <c r="E196" s="24"/>
      <c r="F196" s="114"/>
      <c r="G196" s="114"/>
      <c r="H196" s="40"/>
      <c r="J196" s="7"/>
    </row>
    <row r="197" spans="1:10" ht="15.75" customHeight="1" x14ac:dyDescent="0.25">
      <c r="A197" s="24"/>
      <c r="B197" s="25"/>
      <c r="C197" s="24"/>
      <c r="D197" s="24"/>
      <c r="E197" s="24"/>
      <c r="F197" s="114"/>
      <c r="G197" s="114"/>
      <c r="H197" s="40"/>
      <c r="J197" s="7"/>
    </row>
    <row r="198" spans="1:10" ht="15.75" customHeight="1" x14ac:dyDescent="0.25">
      <c r="A198" s="24"/>
      <c r="B198" s="25"/>
      <c r="C198" s="24"/>
      <c r="D198" s="24"/>
      <c r="E198" s="24"/>
      <c r="F198" s="114"/>
      <c r="G198" s="114"/>
      <c r="H198" s="40"/>
      <c r="J198" s="7"/>
    </row>
    <row r="199" spans="1:10" ht="15.75" customHeight="1" x14ac:dyDescent="0.25">
      <c r="A199" s="24"/>
      <c r="B199" s="25"/>
      <c r="C199" s="24"/>
      <c r="D199" s="24"/>
      <c r="E199" s="24"/>
      <c r="F199" s="114"/>
      <c r="G199" s="114"/>
      <c r="H199" s="40"/>
      <c r="J199" s="7"/>
    </row>
    <row r="200" spans="1:10" ht="15.75" customHeight="1" x14ac:dyDescent="0.25">
      <c r="A200" s="24"/>
      <c r="B200" s="25"/>
      <c r="C200" s="24"/>
      <c r="D200" s="24"/>
      <c r="E200" s="24"/>
      <c r="F200" s="114"/>
      <c r="G200" s="114"/>
      <c r="H200" s="40"/>
      <c r="J200" s="7"/>
    </row>
    <row r="201" spans="1:10" ht="15.75" customHeight="1" x14ac:dyDescent="0.25">
      <c r="A201" s="24"/>
      <c r="B201" s="25"/>
      <c r="C201" s="24"/>
      <c r="D201" s="24"/>
      <c r="E201" s="24"/>
      <c r="F201" s="114"/>
      <c r="G201" s="114"/>
      <c r="H201" s="40"/>
      <c r="J201" s="7"/>
    </row>
    <row r="202" spans="1:10" ht="15.75" customHeight="1" x14ac:dyDescent="0.25">
      <c r="A202" s="24"/>
      <c r="B202" s="25"/>
      <c r="C202" s="24"/>
      <c r="D202" s="24"/>
      <c r="E202" s="24"/>
      <c r="F202" s="114"/>
      <c r="G202" s="114"/>
      <c r="H202" s="40"/>
      <c r="J202" s="7"/>
    </row>
    <row r="203" spans="1:10" ht="15.75" customHeight="1" x14ac:dyDescent="0.25">
      <c r="A203" s="24"/>
      <c r="B203" s="25"/>
      <c r="C203" s="24"/>
      <c r="D203" s="24"/>
      <c r="E203" s="24"/>
      <c r="F203" s="114"/>
      <c r="G203" s="114"/>
      <c r="H203" s="40"/>
      <c r="J203" s="7"/>
    </row>
    <row r="204" spans="1:10" ht="15.75" customHeight="1" x14ac:dyDescent="0.25">
      <c r="A204" s="24"/>
      <c r="B204" s="25"/>
      <c r="C204" s="24"/>
      <c r="D204" s="24"/>
      <c r="E204" s="24"/>
      <c r="F204" s="114"/>
      <c r="G204" s="114"/>
      <c r="H204" s="40"/>
      <c r="J204" s="7"/>
    </row>
    <row r="205" spans="1:10" ht="15.75" customHeight="1" x14ac:dyDescent="0.25">
      <c r="A205" s="24"/>
      <c r="B205" s="25"/>
      <c r="C205" s="24"/>
      <c r="D205" s="24"/>
      <c r="E205" s="24"/>
      <c r="F205" s="114"/>
      <c r="G205" s="114"/>
      <c r="H205" s="40"/>
      <c r="J205" s="7"/>
    </row>
    <row r="206" spans="1:10" ht="15.75" customHeight="1" x14ac:dyDescent="0.25">
      <c r="A206" s="24"/>
      <c r="B206" s="25"/>
      <c r="C206" s="24"/>
      <c r="D206" s="24"/>
      <c r="E206" s="24"/>
      <c r="F206" s="114"/>
      <c r="G206" s="114"/>
      <c r="H206" s="40"/>
      <c r="J206" s="7"/>
    </row>
    <row r="207" spans="1:10" ht="15.75" customHeight="1" x14ac:dyDescent="0.25">
      <c r="A207" s="24"/>
      <c r="B207" s="25"/>
      <c r="C207" s="24"/>
      <c r="D207" s="24"/>
      <c r="E207" s="24"/>
      <c r="F207" s="114"/>
      <c r="G207" s="114"/>
      <c r="H207" s="40"/>
      <c r="J207" s="7"/>
    </row>
    <row r="208" spans="1:10" ht="15.75" customHeight="1" x14ac:dyDescent="0.25">
      <c r="A208" s="24"/>
      <c r="B208" s="25"/>
      <c r="C208" s="24"/>
      <c r="D208" s="24"/>
      <c r="E208" s="24"/>
      <c r="F208" s="114"/>
      <c r="G208" s="114"/>
      <c r="H208" s="40"/>
      <c r="J208" s="7"/>
    </row>
    <row r="209" spans="1:10" ht="15.75" customHeight="1" x14ac:dyDescent="0.25">
      <c r="A209" s="24"/>
      <c r="B209" s="25"/>
      <c r="C209" s="24"/>
      <c r="D209" s="24"/>
      <c r="E209" s="24"/>
      <c r="F209" s="114"/>
      <c r="G209" s="114"/>
      <c r="H209" s="40"/>
      <c r="J209" s="7"/>
    </row>
    <row r="210" spans="1:10" ht="15.75" customHeight="1" x14ac:dyDescent="0.25">
      <c r="A210" s="24"/>
      <c r="B210" s="25"/>
      <c r="C210" s="24"/>
      <c r="D210" s="24"/>
      <c r="E210" s="24"/>
      <c r="F210" s="114"/>
      <c r="G210" s="114"/>
      <c r="H210" s="40"/>
      <c r="J210" s="7"/>
    </row>
    <row r="211" spans="1:10" ht="15.75" customHeight="1" x14ac:dyDescent="0.25">
      <c r="A211" s="24"/>
      <c r="B211" s="25"/>
      <c r="C211" s="24"/>
      <c r="D211" s="24"/>
      <c r="E211" s="24"/>
      <c r="F211" s="114"/>
      <c r="G211" s="114"/>
      <c r="H211" s="40"/>
      <c r="J211" s="7"/>
    </row>
    <row r="212" spans="1:10" ht="15.75" customHeight="1" x14ac:dyDescent="0.25">
      <c r="A212" s="24"/>
      <c r="B212" s="25"/>
      <c r="C212" s="24"/>
      <c r="D212" s="24"/>
      <c r="E212" s="24"/>
      <c r="F212" s="114"/>
      <c r="G212" s="114"/>
      <c r="H212" s="40"/>
      <c r="J212" s="7"/>
    </row>
    <row r="213" spans="1:10" ht="15.75" customHeight="1" x14ac:dyDescent="0.25">
      <c r="A213" s="24"/>
      <c r="B213" s="25"/>
      <c r="C213" s="24"/>
      <c r="D213" s="24"/>
      <c r="E213" s="24"/>
      <c r="F213" s="114"/>
      <c r="G213" s="114"/>
      <c r="H213" s="40"/>
      <c r="J213" s="7"/>
    </row>
    <row r="214" spans="1:10" ht="15.75" customHeight="1" x14ac:dyDescent="0.25">
      <c r="A214" s="24"/>
      <c r="B214" s="25"/>
      <c r="C214" s="24"/>
      <c r="D214" s="24"/>
      <c r="E214" s="24"/>
      <c r="F214" s="114"/>
      <c r="G214" s="114"/>
      <c r="H214" s="40"/>
      <c r="J214" s="7"/>
    </row>
    <row r="215" spans="1:10" ht="15.75" customHeight="1" x14ac:dyDescent="0.25">
      <c r="A215" s="24"/>
      <c r="B215" s="25"/>
      <c r="C215" s="24"/>
      <c r="D215" s="24"/>
      <c r="E215" s="24"/>
      <c r="F215" s="114"/>
      <c r="G215" s="114"/>
      <c r="H215" s="40"/>
      <c r="J215" s="7"/>
    </row>
    <row r="216" spans="1:10" ht="15.75" customHeight="1" x14ac:dyDescent="0.25">
      <c r="A216" s="24"/>
      <c r="B216" s="25"/>
      <c r="C216" s="24"/>
      <c r="D216" s="24"/>
      <c r="E216" s="24"/>
      <c r="F216" s="114"/>
      <c r="G216" s="114"/>
      <c r="H216" s="40"/>
      <c r="J216" s="7"/>
    </row>
    <row r="217" spans="1:10" ht="15.75" customHeight="1" x14ac:dyDescent="0.25">
      <c r="A217" s="24"/>
      <c r="B217" s="25"/>
      <c r="C217" s="24"/>
      <c r="D217" s="24"/>
      <c r="E217" s="24"/>
      <c r="F217" s="114"/>
      <c r="G217" s="114"/>
      <c r="H217" s="40"/>
      <c r="J217" s="7"/>
    </row>
    <row r="218" spans="1:10" ht="15.75" customHeight="1" x14ac:dyDescent="0.25">
      <c r="A218" s="24"/>
      <c r="B218" s="25"/>
      <c r="C218" s="24"/>
      <c r="D218" s="24"/>
      <c r="E218" s="24"/>
      <c r="F218" s="114"/>
      <c r="G218" s="114"/>
      <c r="H218" s="40"/>
      <c r="J218" s="7"/>
    </row>
    <row r="219" spans="1:10" ht="15.75" customHeight="1" x14ac:dyDescent="0.25">
      <c r="A219" s="24"/>
      <c r="B219" s="25"/>
      <c r="C219" s="24"/>
      <c r="D219" s="24"/>
      <c r="E219" s="24"/>
      <c r="F219" s="114"/>
      <c r="G219" s="114"/>
      <c r="H219" s="40"/>
      <c r="J219" s="7"/>
    </row>
    <row r="220" spans="1:10" ht="15.75" customHeight="1" x14ac:dyDescent="0.25">
      <c r="A220" s="24"/>
      <c r="B220" s="25"/>
      <c r="C220" s="24"/>
      <c r="D220" s="24"/>
      <c r="E220" s="24"/>
      <c r="F220" s="114"/>
      <c r="G220" s="114"/>
      <c r="H220" s="40"/>
      <c r="J220" s="7"/>
    </row>
    <row r="221" spans="1:10" ht="15.75" customHeight="1" x14ac:dyDescent="0.25">
      <c r="A221" s="24"/>
      <c r="B221" s="25"/>
      <c r="C221" s="24"/>
      <c r="D221" s="24"/>
      <c r="E221" s="24"/>
      <c r="F221" s="114"/>
      <c r="G221" s="114"/>
      <c r="H221" s="40"/>
      <c r="J221" s="7"/>
    </row>
    <row r="222" spans="1:10" ht="15.75" customHeight="1" x14ac:dyDescent="0.25">
      <c r="A222" s="24"/>
      <c r="B222" s="25"/>
      <c r="C222" s="24"/>
      <c r="D222" s="24"/>
      <c r="E222" s="24"/>
      <c r="F222" s="114"/>
      <c r="G222" s="114"/>
      <c r="H222" s="40"/>
      <c r="J222" s="7"/>
    </row>
    <row r="223" spans="1:10" ht="15.75" customHeight="1" x14ac:dyDescent="0.25">
      <c r="A223" s="24"/>
      <c r="B223" s="25"/>
      <c r="C223" s="24"/>
      <c r="D223" s="24"/>
      <c r="E223" s="24"/>
      <c r="F223" s="114"/>
      <c r="G223" s="114"/>
      <c r="H223" s="40"/>
      <c r="J223" s="7"/>
    </row>
    <row r="224" spans="1:10" ht="15.75" customHeight="1" x14ac:dyDescent="0.25">
      <c r="A224" s="24"/>
      <c r="B224" s="25"/>
      <c r="C224" s="24"/>
      <c r="D224" s="24"/>
      <c r="E224" s="24"/>
      <c r="F224" s="114"/>
      <c r="G224" s="114"/>
      <c r="H224" s="40"/>
      <c r="J224" s="7"/>
    </row>
    <row r="225" spans="1:10" ht="15.75" customHeight="1" x14ac:dyDescent="0.25">
      <c r="A225" s="24"/>
      <c r="B225" s="25"/>
      <c r="C225" s="24"/>
      <c r="D225" s="24"/>
      <c r="E225" s="24"/>
      <c r="F225" s="114"/>
      <c r="G225" s="114"/>
      <c r="H225" s="40"/>
      <c r="J225" s="7"/>
    </row>
    <row r="226" spans="1:10" ht="15.75" customHeight="1" x14ac:dyDescent="0.25">
      <c r="A226" s="24"/>
      <c r="B226" s="25"/>
      <c r="C226" s="24"/>
      <c r="D226" s="24"/>
      <c r="E226" s="24"/>
      <c r="F226" s="114"/>
      <c r="G226" s="114"/>
      <c r="H226" s="40"/>
      <c r="J226" s="7"/>
    </row>
    <row r="227" spans="1:10" ht="15.75" customHeight="1" x14ac:dyDescent="0.25">
      <c r="A227" s="24"/>
      <c r="B227" s="25"/>
      <c r="C227" s="24"/>
      <c r="D227" s="24"/>
      <c r="E227" s="24"/>
      <c r="F227" s="114"/>
      <c r="G227" s="114"/>
      <c r="H227" s="40"/>
      <c r="J227" s="7"/>
    </row>
    <row r="228" spans="1:10" ht="15.75" customHeight="1" x14ac:dyDescent="0.25">
      <c r="A228" s="24"/>
      <c r="B228" s="25"/>
      <c r="C228" s="24"/>
      <c r="D228" s="24"/>
      <c r="E228" s="24"/>
      <c r="F228" s="114"/>
      <c r="G228" s="114"/>
      <c r="H228" s="40"/>
      <c r="J228" s="7"/>
    </row>
    <row r="229" spans="1:10" ht="15.75" customHeight="1" x14ac:dyDescent="0.25">
      <c r="A229" s="24"/>
      <c r="B229" s="25"/>
      <c r="C229" s="24"/>
      <c r="D229" s="24"/>
      <c r="E229" s="24"/>
      <c r="F229" s="114"/>
      <c r="G229" s="114"/>
      <c r="H229" s="40"/>
      <c r="J229" s="7"/>
    </row>
    <row r="230" spans="1:10" ht="15.75" customHeight="1" x14ac:dyDescent="0.25">
      <c r="A230" s="24"/>
      <c r="B230" s="25"/>
      <c r="C230" s="24"/>
      <c r="D230" s="24"/>
      <c r="E230" s="24"/>
      <c r="F230" s="114"/>
      <c r="G230" s="114"/>
      <c r="H230" s="40"/>
      <c r="J230" s="7"/>
    </row>
    <row r="231" spans="1:10" ht="15.75" customHeight="1" x14ac:dyDescent="0.25">
      <c r="A231" s="24"/>
      <c r="B231" s="25"/>
      <c r="C231" s="24"/>
      <c r="D231" s="24"/>
      <c r="E231" s="24"/>
      <c r="F231" s="114"/>
      <c r="G231" s="114"/>
      <c r="H231" s="40"/>
      <c r="J231" s="7"/>
    </row>
    <row r="232" spans="1:10" ht="15.75" customHeight="1" x14ac:dyDescent="0.25">
      <c r="A232" s="24"/>
      <c r="B232" s="25"/>
      <c r="C232" s="24"/>
      <c r="D232" s="24"/>
      <c r="E232" s="24"/>
      <c r="F232" s="114"/>
      <c r="G232" s="114"/>
      <c r="H232" s="40"/>
      <c r="J232" s="7"/>
    </row>
    <row r="233" spans="1:10" ht="15.75" customHeight="1" x14ac:dyDescent="0.25">
      <c r="A233" s="24"/>
      <c r="B233" s="25"/>
      <c r="C233" s="24"/>
      <c r="D233" s="24"/>
      <c r="E233" s="24"/>
      <c r="F233" s="114"/>
      <c r="G233" s="114"/>
      <c r="H233" s="40"/>
      <c r="J233" s="7"/>
    </row>
    <row r="234" spans="1:10" ht="15.75" customHeight="1" x14ac:dyDescent="0.25">
      <c r="A234" s="24"/>
      <c r="B234" s="25"/>
      <c r="C234" s="24"/>
      <c r="D234" s="24"/>
      <c r="E234" s="24"/>
      <c r="F234" s="114"/>
      <c r="G234" s="114"/>
      <c r="H234" s="40"/>
      <c r="J234" s="7"/>
    </row>
    <row r="235" spans="1:10" ht="15.75" customHeight="1" x14ac:dyDescent="0.25">
      <c r="A235" s="24"/>
      <c r="B235" s="25"/>
      <c r="C235" s="24"/>
      <c r="D235" s="24"/>
      <c r="E235" s="24"/>
      <c r="F235" s="114"/>
      <c r="G235" s="114"/>
      <c r="H235" s="40"/>
      <c r="J235" s="7"/>
    </row>
    <row r="236" spans="1:10" ht="15.75" customHeight="1" x14ac:dyDescent="0.25">
      <c r="A236" s="24"/>
      <c r="B236" s="25"/>
      <c r="C236" s="24"/>
      <c r="D236" s="24"/>
      <c r="E236" s="24"/>
      <c r="F236" s="114"/>
      <c r="G236" s="114"/>
      <c r="H236" s="40"/>
      <c r="J236" s="7"/>
    </row>
    <row r="237" spans="1:10" ht="15.75" customHeight="1" x14ac:dyDescent="0.25">
      <c r="A237" s="24"/>
      <c r="B237" s="25"/>
      <c r="C237" s="24"/>
      <c r="D237" s="24"/>
      <c r="E237" s="24"/>
      <c r="F237" s="114"/>
      <c r="G237" s="114"/>
      <c r="H237" s="40"/>
      <c r="J237" s="7"/>
    </row>
    <row r="238" spans="1:10" ht="15.75" customHeight="1" x14ac:dyDescent="0.25">
      <c r="A238" s="24"/>
      <c r="B238" s="25"/>
      <c r="C238" s="24"/>
      <c r="D238" s="24"/>
      <c r="E238" s="24"/>
      <c r="F238" s="114"/>
      <c r="G238" s="114"/>
      <c r="H238" s="40"/>
      <c r="J238" s="7"/>
    </row>
    <row r="239" spans="1:10" ht="15.75" customHeight="1" x14ac:dyDescent="0.25">
      <c r="A239" s="24"/>
      <c r="B239" s="25"/>
      <c r="C239" s="24"/>
      <c r="D239" s="24"/>
      <c r="E239" s="24"/>
      <c r="F239" s="114"/>
      <c r="G239" s="114"/>
      <c r="H239" s="40"/>
      <c r="J239" s="7"/>
    </row>
    <row r="240" spans="1:10" ht="15.75" customHeight="1" x14ac:dyDescent="0.25">
      <c r="A240" s="24"/>
      <c r="B240" s="25"/>
      <c r="C240" s="24"/>
      <c r="D240" s="24"/>
      <c r="E240" s="24"/>
      <c r="F240" s="114"/>
      <c r="G240" s="114"/>
      <c r="H240" s="40"/>
      <c r="J240" s="7"/>
    </row>
    <row r="241" spans="1:10" ht="15.75" customHeight="1" x14ac:dyDescent="0.25">
      <c r="A241" s="24"/>
      <c r="B241" s="25"/>
      <c r="C241" s="24"/>
      <c r="D241" s="24"/>
      <c r="E241" s="24"/>
      <c r="F241" s="114"/>
      <c r="G241" s="114"/>
      <c r="H241" s="40"/>
      <c r="J241" s="7"/>
    </row>
    <row r="242" spans="1:10" ht="15.75" customHeight="1" x14ac:dyDescent="0.25">
      <c r="A242" s="24"/>
      <c r="B242" s="25"/>
      <c r="C242" s="24"/>
      <c r="D242" s="24"/>
      <c r="E242" s="24"/>
      <c r="F242" s="114"/>
      <c r="G242" s="114"/>
      <c r="H242" s="40"/>
      <c r="J242" s="7"/>
    </row>
    <row r="243" spans="1:10" ht="15.75" customHeight="1" x14ac:dyDescent="0.25">
      <c r="A243" s="24"/>
      <c r="B243" s="25"/>
      <c r="C243" s="24"/>
      <c r="D243" s="24"/>
      <c r="E243" s="24"/>
      <c r="F243" s="114"/>
      <c r="G243" s="114"/>
      <c r="H243" s="40"/>
      <c r="J243" s="7"/>
    </row>
    <row r="244" spans="1:10" ht="15.75" customHeight="1" x14ac:dyDescent="0.25">
      <c r="A244" s="24"/>
      <c r="B244" s="25"/>
      <c r="C244" s="24"/>
      <c r="D244" s="24"/>
      <c r="E244" s="24"/>
      <c r="F244" s="114"/>
      <c r="G244" s="114"/>
      <c r="H244" s="40"/>
      <c r="J244" s="7"/>
    </row>
    <row r="245" spans="1:10" ht="15.75" customHeight="1" x14ac:dyDescent="0.25">
      <c r="A245" s="24"/>
      <c r="B245" s="25"/>
      <c r="C245" s="24"/>
      <c r="D245" s="24"/>
      <c r="E245" s="24"/>
      <c r="F245" s="114"/>
      <c r="G245" s="114"/>
      <c r="H245" s="40"/>
      <c r="J245" s="7"/>
    </row>
    <row r="246" spans="1:10" ht="15.75" customHeight="1" x14ac:dyDescent="0.25">
      <c r="A246" s="24"/>
      <c r="B246" s="25"/>
      <c r="C246" s="24"/>
      <c r="D246" s="24"/>
      <c r="E246" s="24"/>
      <c r="F246" s="114"/>
      <c r="G246" s="114"/>
      <c r="H246" s="40"/>
      <c r="J246" s="7"/>
    </row>
    <row r="247" spans="1:10" ht="15.75" customHeight="1" x14ac:dyDescent="0.25">
      <c r="A247" s="24"/>
      <c r="B247" s="25"/>
      <c r="C247" s="24"/>
      <c r="D247" s="24"/>
      <c r="E247" s="24"/>
      <c r="F247" s="114"/>
      <c r="G247" s="114"/>
      <c r="H247" s="40"/>
      <c r="J247" s="7"/>
    </row>
    <row r="248" spans="1:10" ht="15.75" customHeight="1" x14ac:dyDescent="0.25">
      <c r="A248" s="24"/>
      <c r="B248" s="25"/>
      <c r="C248" s="24"/>
      <c r="D248" s="24"/>
      <c r="E248" s="24"/>
      <c r="F248" s="114"/>
      <c r="G248" s="114"/>
      <c r="H248" s="40"/>
      <c r="J248" s="7"/>
    </row>
    <row r="249" spans="1:10" ht="15.75" customHeight="1" x14ac:dyDescent="0.25">
      <c r="A249" s="24"/>
      <c r="B249" s="25"/>
      <c r="C249" s="24"/>
      <c r="D249" s="24"/>
      <c r="E249" s="24"/>
      <c r="F249" s="114"/>
      <c r="G249" s="114"/>
      <c r="H249" s="40"/>
      <c r="J249" s="7"/>
    </row>
    <row r="250" spans="1:10" ht="15.75" customHeight="1" x14ac:dyDescent="0.25">
      <c r="A250" s="24"/>
      <c r="B250" s="25"/>
      <c r="C250" s="24"/>
      <c r="D250" s="24"/>
      <c r="E250" s="24"/>
      <c r="F250" s="114"/>
      <c r="G250" s="114"/>
      <c r="H250" s="40"/>
      <c r="J250" s="7"/>
    </row>
    <row r="251" spans="1:10" ht="15.75" customHeight="1" x14ac:dyDescent="0.25">
      <c r="A251" s="24"/>
      <c r="B251" s="25"/>
      <c r="C251" s="24"/>
      <c r="D251" s="24"/>
      <c r="E251" s="24"/>
      <c r="F251" s="114"/>
      <c r="G251" s="114"/>
      <c r="H251" s="40"/>
      <c r="J251" s="7"/>
    </row>
    <row r="252" spans="1:10" ht="15.75" customHeight="1" x14ac:dyDescent="0.25">
      <c r="A252" s="24"/>
      <c r="B252" s="25"/>
      <c r="C252" s="24"/>
      <c r="D252" s="24"/>
      <c r="E252" s="24"/>
      <c r="F252" s="114"/>
      <c r="G252" s="114"/>
      <c r="H252" s="40"/>
      <c r="J252" s="7"/>
    </row>
    <row r="253" spans="1:10" ht="15.75" customHeight="1" x14ac:dyDescent="0.25">
      <c r="A253" s="24"/>
      <c r="B253" s="25"/>
      <c r="C253" s="24"/>
      <c r="D253" s="24"/>
      <c r="E253" s="24"/>
      <c r="F253" s="114"/>
      <c r="G253" s="114"/>
      <c r="H253" s="40"/>
      <c r="J253" s="7"/>
    </row>
    <row r="254" spans="1:10" ht="15.75" customHeight="1" x14ac:dyDescent="0.25">
      <c r="A254" s="24"/>
      <c r="B254" s="25"/>
      <c r="C254" s="24"/>
      <c r="D254" s="24"/>
      <c r="E254" s="24"/>
      <c r="F254" s="114"/>
      <c r="G254" s="114"/>
      <c r="H254" s="40"/>
      <c r="J254" s="7"/>
    </row>
    <row r="255" spans="1:10" ht="15.75" customHeight="1" x14ac:dyDescent="0.25">
      <c r="A255" s="24"/>
      <c r="B255" s="25"/>
      <c r="C255" s="24"/>
      <c r="D255" s="24"/>
      <c r="E255" s="24"/>
      <c r="F255" s="114"/>
      <c r="G255" s="114"/>
      <c r="H255" s="40"/>
      <c r="J255" s="7"/>
    </row>
    <row r="256" spans="1:10" ht="15.75" customHeight="1" x14ac:dyDescent="0.25">
      <c r="A256" s="24"/>
      <c r="B256" s="25"/>
      <c r="C256" s="24"/>
      <c r="D256" s="24"/>
      <c r="E256" s="24"/>
      <c r="F256" s="114"/>
      <c r="G256" s="114"/>
      <c r="H256" s="40"/>
      <c r="J256" s="7"/>
    </row>
    <row r="257" spans="1:10" ht="15.75" customHeight="1" x14ac:dyDescent="0.25">
      <c r="A257" s="24"/>
      <c r="B257" s="25"/>
      <c r="C257" s="24"/>
      <c r="D257" s="24"/>
      <c r="E257" s="24"/>
      <c r="F257" s="114"/>
      <c r="G257" s="114"/>
      <c r="H257" s="40"/>
      <c r="J257" s="7"/>
    </row>
    <row r="258" spans="1:10" ht="15.75" customHeight="1" x14ac:dyDescent="0.25">
      <c r="A258" s="24"/>
      <c r="B258" s="25"/>
      <c r="C258" s="24"/>
      <c r="D258" s="24"/>
      <c r="E258" s="24"/>
      <c r="F258" s="114"/>
      <c r="G258" s="114"/>
      <c r="H258" s="40"/>
      <c r="J258" s="7"/>
    </row>
    <row r="259" spans="1:10" ht="15.75" customHeight="1" x14ac:dyDescent="0.25">
      <c r="A259" s="24"/>
      <c r="B259" s="25"/>
      <c r="C259" s="24"/>
      <c r="D259" s="24"/>
      <c r="E259" s="24"/>
      <c r="F259" s="114"/>
      <c r="G259" s="114"/>
      <c r="H259" s="40"/>
      <c r="J259" s="7"/>
    </row>
    <row r="260" spans="1:10" ht="15.75" customHeight="1" x14ac:dyDescent="0.25">
      <c r="A260" s="24"/>
      <c r="B260" s="25"/>
      <c r="C260" s="24"/>
      <c r="D260" s="24"/>
      <c r="E260" s="24"/>
      <c r="F260" s="114"/>
      <c r="G260" s="114"/>
      <c r="H260" s="40"/>
      <c r="J260" s="7"/>
    </row>
    <row r="261" spans="1:10" ht="15.75" customHeight="1" x14ac:dyDescent="0.25">
      <c r="A261" s="24"/>
      <c r="B261" s="25"/>
      <c r="C261" s="24"/>
      <c r="D261" s="24"/>
      <c r="E261" s="24"/>
      <c r="F261" s="114"/>
      <c r="G261" s="114"/>
      <c r="H261" s="40"/>
      <c r="J261" s="7"/>
    </row>
    <row r="262" spans="1:10" ht="15.75" customHeight="1" x14ac:dyDescent="0.25">
      <c r="A262" s="24"/>
      <c r="B262" s="25"/>
      <c r="C262" s="24"/>
      <c r="D262" s="24"/>
      <c r="E262" s="24"/>
      <c r="F262" s="114"/>
      <c r="G262" s="114"/>
      <c r="H262" s="40"/>
      <c r="J262" s="7"/>
    </row>
    <row r="263" spans="1:10" ht="15.75" customHeight="1" x14ac:dyDescent="0.25">
      <c r="A263" s="24"/>
      <c r="B263" s="25"/>
      <c r="C263" s="24"/>
      <c r="D263" s="24"/>
      <c r="E263" s="24"/>
      <c r="F263" s="114"/>
      <c r="G263" s="114"/>
      <c r="H263" s="40"/>
      <c r="J263" s="7"/>
    </row>
    <row r="264" spans="1:10" ht="15.75" customHeight="1" x14ac:dyDescent="0.25">
      <c r="A264" s="24"/>
      <c r="B264" s="25"/>
      <c r="C264" s="24"/>
      <c r="D264" s="24"/>
      <c r="E264" s="24"/>
      <c r="F264" s="114"/>
      <c r="G264" s="114"/>
      <c r="H264" s="40"/>
      <c r="J264" s="7"/>
    </row>
    <row r="265" spans="1:10" ht="15.75" customHeight="1" x14ac:dyDescent="0.25">
      <c r="A265" s="24"/>
      <c r="B265" s="25"/>
      <c r="C265" s="24"/>
      <c r="D265" s="24"/>
      <c r="E265" s="24"/>
      <c r="F265" s="114"/>
      <c r="G265" s="114"/>
      <c r="H265" s="40"/>
      <c r="J265" s="7"/>
    </row>
    <row r="266" spans="1:10" ht="15.75" customHeight="1" x14ac:dyDescent="0.25">
      <c r="A266" s="24"/>
      <c r="B266" s="25"/>
      <c r="C266" s="24"/>
      <c r="D266" s="24"/>
      <c r="E266" s="24"/>
      <c r="F266" s="114"/>
      <c r="G266" s="114"/>
      <c r="H266" s="40"/>
      <c r="J266" s="7"/>
    </row>
    <row r="267" spans="1:10" ht="15.75" customHeight="1" x14ac:dyDescent="0.25">
      <c r="A267" s="24"/>
      <c r="B267" s="25"/>
      <c r="C267" s="24"/>
      <c r="D267" s="24"/>
      <c r="E267" s="24"/>
      <c r="F267" s="114"/>
      <c r="G267" s="114"/>
      <c r="H267" s="40"/>
      <c r="J267" s="7"/>
    </row>
    <row r="268" spans="1:10" ht="15.75" customHeight="1" x14ac:dyDescent="0.25">
      <c r="A268" s="24"/>
      <c r="B268" s="25"/>
      <c r="C268" s="24"/>
      <c r="D268" s="24"/>
      <c r="E268" s="24"/>
      <c r="F268" s="114"/>
      <c r="G268" s="114"/>
      <c r="H268" s="40"/>
      <c r="J268" s="7"/>
    </row>
    <row r="269" spans="1:10" ht="15.75" customHeight="1" x14ac:dyDescent="0.25">
      <c r="A269" s="24"/>
      <c r="B269" s="25"/>
      <c r="C269" s="24"/>
      <c r="D269" s="24"/>
      <c r="E269" s="24"/>
      <c r="F269" s="114"/>
      <c r="G269" s="114"/>
      <c r="H269" s="40"/>
      <c r="J269" s="7"/>
    </row>
    <row r="270" spans="1:10" ht="15.75" customHeight="1" x14ac:dyDescent="0.25">
      <c r="A270" s="24"/>
      <c r="B270" s="25"/>
      <c r="C270" s="24"/>
      <c r="D270" s="24"/>
      <c r="E270" s="24"/>
      <c r="F270" s="114"/>
      <c r="G270" s="114"/>
      <c r="H270" s="40"/>
      <c r="J270" s="7"/>
    </row>
    <row r="271" spans="1:10" ht="15.75" customHeight="1" x14ac:dyDescent="0.25">
      <c r="A271" s="24"/>
      <c r="B271" s="25"/>
      <c r="C271" s="24"/>
      <c r="D271" s="24"/>
      <c r="E271" s="24"/>
      <c r="F271" s="114"/>
      <c r="G271" s="114"/>
      <c r="H271" s="40"/>
      <c r="J271" s="7"/>
    </row>
    <row r="272" spans="1:10" ht="15.75" customHeight="1" x14ac:dyDescent="0.25">
      <c r="A272" s="24"/>
      <c r="B272" s="25"/>
      <c r="C272" s="24"/>
      <c r="D272" s="24"/>
      <c r="E272" s="24"/>
      <c r="F272" s="114"/>
      <c r="G272" s="114"/>
      <c r="H272" s="40"/>
      <c r="J272" s="7"/>
    </row>
    <row r="273" spans="1:10" ht="15.75" customHeight="1" x14ac:dyDescent="0.25">
      <c r="A273" s="24"/>
      <c r="B273" s="25"/>
      <c r="C273" s="24"/>
      <c r="D273" s="24"/>
      <c r="E273" s="24"/>
      <c r="F273" s="114"/>
      <c r="G273" s="114"/>
      <c r="H273" s="40"/>
      <c r="J273" s="7"/>
    </row>
    <row r="274" spans="1:10" ht="15.75" customHeight="1" x14ac:dyDescent="0.25">
      <c r="A274" s="24"/>
      <c r="B274" s="25"/>
      <c r="C274" s="24"/>
      <c r="D274" s="24"/>
      <c r="E274" s="24"/>
      <c r="F274" s="114"/>
      <c r="G274" s="114"/>
      <c r="H274" s="40"/>
      <c r="J274" s="7"/>
    </row>
    <row r="275" spans="1:10" ht="15.75" customHeight="1" x14ac:dyDescent="0.25">
      <c r="A275" s="24"/>
      <c r="B275" s="25"/>
      <c r="C275" s="24"/>
      <c r="D275" s="24"/>
      <c r="E275" s="24"/>
      <c r="F275" s="114"/>
      <c r="G275" s="114"/>
      <c r="H275" s="40"/>
      <c r="J275" s="7"/>
    </row>
    <row r="276" spans="1:10" ht="15.75" customHeight="1" x14ac:dyDescent="0.25">
      <c r="A276" s="24"/>
      <c r="B276" s="25"/>
      <c r="C276" s="24"/>
      <c r="D276" s="24"/>
      <c r="E276" s="24"/>
      <c r="F276" s="114"/>
      <c r="G276" s="114"/>
      <c r="H276" s="40"/>
      <c r="J276" s="7"/>
    </row>
    <row r="277" spans="1:10" ht="15.75" customHeight="1" x14ac:dyDescent="0.25">
      <c r="A277" s="24"/>
      <c r="B277" s="25"/>
      <c r="C277" s="24"/>
      <c r="D277" s="24"/>
      <c r="E277" s="24"/>
      <c r="F277" s="114"/>
      <c r="G277" s="114"/>
      <c r="H277" s="40"/>
      <c r="J277" s="7"/>
    </row>
    <row r="278" spans="1:10" ht="15.75" customHeight="1" x14ac:dyDescent="0.25">
      <c r="A278" s="24"/>
      <c r="B278" s="25"/>
      <c r="C278" s="24"/>
      <c r="D278" s="24"/>
      <c r="E278" s="24"/>
      <c r="F278" s="114"/>
      <c r="G278" s="114"/>
      <c r="H278" s="40"/>
      <c r="J278" s="7"/>
    </row>
    <row r="279" spans="1:10" ht="15.75" customHeight="1" x14ac:dyDescent="0.25">
      <c r="A279" s="24"/>
      <c r="B279" s="25"/>
      <c r="C279" s="24"/>
      <c r="D279" s="24"/>
      <c r="E279" s="24"/>
      <c r="F279" s="114"/>
      <c r="G279" s="114"/>
      <c r="H279" s="40"/>
      <c r="J279" s="7"/>
    </row>
    <row r="280" spans="1:10" ht="15.75" customHeight="1" x14ac:dyDescent="0.25">
      <c r="A280" s="24"/>
      <c r="B280" s="25"/>
      <c r="C280" s="24"/>
      <c r="D280" s="24"/>
      <c r="E280" s="24"/>
      <c r="F280" s="114"/>
      <c r="G280" s="114"/>
      <c r="H280" s="40"/>
      <c r="J280" s="7"/>
    </row>
    <row r="281" spans="1:10" ht="15.75" customHeight="1" x14ac:dyDescent="0.25">
      <c r="A281" s="24"/>
      <c r="B281" s="25"/>
      <c r="C281" s="24"/>
      <c r="D281" s="24"/>
      <c r="E281" s="24"/>
      <c r="F281" s="114"/>
      <c r="G281" s="114"/>
      <c r="H281" s="40"/>
      <c r="J281" s="7"/>
    </row>
    <row r="282" spans="1:10" ht="15.75" customHeight="1" x14ac:dyDescent="0.25">
      <c r="A282" s="24"/>
      <c r="B282" s="25"/>
      <c r="C282" s="24"/>
      <c r="D282" s="24"/>
      <c r="E282" s="24"/>
      <c r="F282" s="114"/>
      <c r="G282" s="114"/>
      <c r="H282" s="40"/>
      <c r="J282" s="7"/>
    </row>
    <row r="283" spans="1:10" ht="15.75" customHeight="1" x14ac:dyDescent="0.25">
      <c r="A283" s="24"/>
      <c r="B283" s="25"/>
      <c r="C283" s="24"/>
      <c r="D283" s="24"/>
      <c r="E283" s="24"/>
      <c r="F283" s="114"/>
      <c r="G283" s="114"/>
      <c r="H283" s="40"/>
      <c r="J283" s="7"/>
    </row>
    <row r="284" spans="1:10" ht="15.75" customHeight="1" x14ac:dyDescent="0.25">
      <c r="A284" s="24"/>
      <c r="B284" s="25"/>
      <c r="C284" s="24"/>
      <c r="D284" s="24"/>
      <c r="E284" s="24"/>
      <c r="F284" s="114"/>
      <c r="G284" s="114"/>
      <c r="H284" s="40"/>
      <c r="J284" s="7"/>
    </row>
    <row r="285" spans="1:10" ht="15.75" customHeight="1" x14ac:dyDescent="0.25">
      <c r="A285" s="24"/>
      <c r="B285" s="25"/>
      <c r="C285" s="24"/>
      <c r="D285" s="24"/>
      <c r="E285" s="24"/>
      <c r="F285" s="114"/>
      <c r="G285" s="114"/>
      <c r="H285" s="40"/>
      <c r="J285" s="7"/>
    </row>
    <row r="286" spans="1:10" ht="15.75" customHeight="1" x14ac:dyDescent="0.25">
      <c r="A286" s="24"/>
      <c r="B286" s="25"/>
      <c r="C286" s="24"/>
      <c r="D286" s="24"/>
      <c r="E286" s="24"/>
      <c r="F286" s="114"/>
      <c r="G286" s="114"/>
      <c r="H286" s="40"/>
      <c r="J286" s="7"/>
    </row>
    <row r="287" spans="1:10" ht="15.75" customHeight="1" x14ac:dyDescent="0.25">
      <c r="A287" s="24"/>
      <c r="B287" s="25"/>
      <c r="C287" s="24"/>
      <c r="D287" s="24"/>
      <c r="E287" s="24"/>
      <c r="F287" s="114"/>
      <c r="G287" s="114"/>
      <c r="H287" s="40"/>
      <c r="J287" s="7"/>
    </row>
    <row r="288" spans="1:10" ht="15.75" customHeight="1" x14ac:dyDescent="0.25">
      <c r="A288" s="24"/>
      <c r="B288" s="25"/>
      <c r="C288" s="24"/>
      <c r="D288" s="24"/>
      <c r="E288" s="24"/>
      <c r="F288" s="114"/>
      <c r="G288" s="114"/>
      <c r="H288" s="40"/>
      <c r="J288" s="7"/>
    </row>
    <row r="289" spans="1:10" ht="15.75" customHeight="1" x14ac:dyDescent="0.25">
      <c r="A289" s="24"/>
      <c r="B289" s="25"/>
      <c r="C289" s="24"/>
      <c r="D289" s="24"/>
      <c r="E289" s="24"/>
      <c r="F289" s="114"/>
      <c r="G289" s="114"/>
      <c r="H289" s="40"/>
      <c r="J289" s="7"/>
    </row>
    <row r="290" spans="1:10" ht="15.75" customHeight="1" x14ac:dyDescent="0.25">
      <c r="A290" s="24"/>
      <c r="B290" s="25"/>
      <c r="C290" s="24"/>
      <c r="D290" s="24"/>
      <c r="E290" s="24"/>
      <c r="F290" s="114"/>
      <c r="G290" s="114"/>
      <c r="H290" s="40"/>
      <c r="J290" s="7"/>
    </row>
    <row r="291" spans="1:10" ht="15.75" customHeight="1" x14ac:dyDescent="0.25">
      <c r="A291" s="24"/>
      <c r="B291" s="25"/>
      <c r="C291" s="24"/>
      <c r="D291" s="24"/>
      <c r="E291" s="24"/>
      <c r="F291" s="114"/>
      <c r="G291" s="114"/>
      <c r="H291" s="40"/>
      <c r="J291" s="7"/>
    </row>
    <row r="292" spans="1:10" ht="15.75" customHeight="1" x14ac:dyDescent="0.25">
      <c r="A292" s="24"/>
      <c r="B292" s="25"/>
      <c r="C292" s="24"/>
      <c r="D292" s="24"/>
      <c r="E292" s="24"/>
      <c r="F292" s="114"/>
      <c r="G292" s="114"/>
      <c r="H292" s="40"/>
      <c r="J292" s="7"/>
    </row>
    <row r="293" spans="1:10" ht="15.75" customHeight="1" x14ac:dyDescent="0.25">
      <c r="A293" s="24"/>
      <c r="B293" s="25"/>
      <c r="C293" s="24"/>
      <c r="D293" s="24"/>
      <c r="E293" s="24"/>
      <c r="F293" s="114"/>
      <c r="G293" s="114"/>
      <c r="H293" s="40"/>
      <c r="J293" s="7"/>
    </row>
    <row r="294" spans="1:10" ht="15.75" customHeight="1" x14ac:dyDescent="0.25">
      <c r="A294" s="24"/>
      <c r="B294" s="25"/>
      <c r="C294" s="24"/>
      <c r="D294" s="24"/>
      <c r="E294" s="24"/>
      <c r="F294" s="114"/>
      <c r="G294" s="114"/>
      <c r="H294" s="40"/>
      <c r="J294" s="7"/>
    </row>
    <row r="295" spans="1:10" ht="15.75" customHeight="1" x14ac:dyDescent="0.25">
      <c r="A295" s="24"/>
      <c r="B295" s="25"/>
      <c r="C295" s="24"/>
      <c r="D295" s="24"/>
      <c r="E295" s="24"/>
      <c r="F295" s="114"/>
      <c r="G295" s="114"/>
      <c r="H295" s="40"/>
      <c r="J295" s="7"/>
    </row>
    <row r="296" spans="1:10" ht="15.75" customHeight="1" x14ac:dyDescent="0.25">
      <c r="A296" s="24"/>
      <c r="B296" s="25"/>
      <c r="C296" s="24"/>
      <c r="D296" s="24"/>
      <c r="E296" s="24"/>
      <c r="F296" s="114"/>
      <c r="G296" s="114"/>
      <c r="H296" s="40"/>
      <c r="J296" s="7"/>
    </row>
    <row r="297" spans="1:10" ht="15.75" customHeight="1" x14ac:dyDescent="0.25">
      <c r="A297" s="24"/>
      <c r="B297" s="25"/>
      <c r="C297" s="24"/>
      <c r="D297" s="24"/>
      <c r="E297" s="24"/>
      <c r="F297" s="114"/>
      <c r="G297" s="114"/>
      <c r="H297" s="40"/>
      <c r="J297" s="7"/>
    </row>
    <row r="298" spans="1:10" ht="15.75" customHeight="1" x14ac:dyDescent="0.25">
      <c r="A298" s="24"/>
      <c r="B298" s="25"/>
      <c r="C298" s="24"/>
      <c r="D298" s="24"/>
      <c r="E298" s="24"/>
      <c r="F298" s="114"/>
      <c r="G298" s="114"/>
      <c r="H298" s="40"/>
      <c r="J298" s="7"/>
    </row>
    <row r="299" spans="1:10" ht="15.75" customHeight="1" x14ac:dyDescent="0.25">
      <c r="A299" s="24"/>
      <c r="B299" s="25"/>
      <c r="C299" s="24"/>
      <c r="D299" s="24"/>
      <c r="E299" s="24"/>
      <c r="F299" s="114"/>
      <c r="G299" s="114"/>
      <c r="H299" s="40"/>
      <c r="J299" s="7"/>
    </row>
    <row r="300" spans="1:10" ht="15.75" customHeight="1" x14ac:dyDescent="0.25">
      <c r="A300" s="24"/>
      <c r="B300" s="25"/>
      <c r="C300" s="24"/>
      <c r="D300" s="24"/>
      <c r="E300" s="24"/>
      <c r="F300" s="114"/>
      <c r="G300" s="114"/>
      <c r="H300" s="40"/>
      <c r="J300" s="7"/>
    </row>
    <row r="301" spans="1:10" ht="15.75" customHeight="1" x14ac:dyDescent="0.25">
      <c r="A301" s="24"/>
      <c r="B301" s="25"/>
      <c r="C301" s="24"/>
      <c r="D301" s="24"/>
      <c r="E301" s="24"/>
      <c r="F301" s="114"/>
      <c r="G301" s="114"/>
      <c r="H301" s="40"/>
      <c r="J301" s="7"/>
    </row>
    <row r="302" spans="1:10" ht="15.75" customHeight="1" x14ac:dyDescent="0.25">
      <c r="A302" s="24"/>
      <c r="B302" s="25"/>
      <c r="C302" s="24"/>
      <c r="D302" s="24"/>
      <c r="E302" s="24"/>
      <c r="F302" s="114"/>
      <c r="G302" s="114"/>
      <c r="H302" s="40"/>
      <c r="J302" s="7"/>
    </row>
    <row r="303" spans="1:10" ht="15.75" customHeight="1" x14ac:dyDescent="0.25">
      <c r="A303" s="24"/>
      <c r="B303" s="25"/>
      <c r="C303" s="24"/>
      <c r="D303" s="24"/>
      <c r="E303" s="24"/>
      <c r="F303" s="114"/>
      <c r="G303" s="114"/>
      <c r="H303" s="40"/>
      <c r="J303" s="7"/>
    </row>
    <row r="304" spans="1:10" ht="15.75" customHeight="1" x14ac:dyDescent="0.25">
      <c r="A304" s="24"/>
      <c r="B304" s="25"/>
      <c r="C304" s="24"/>
      <c r="D304" s="24"/>
      <c r="E304" s="24"/>
      <c r="F304" s="114"/>
      <c r="G304" s="114"/>
      <c r="H304" s="40"/>
      <c r="J304" s="7"/>
    </row>
    <row r="305" spans="1:10" ht="15.75" customHeight="1" x14ac:dyDescent="0.25">
      <c r="A305" s="24"/>
      <c r="B305" s="25"/>
      <c r="C305" s="24"/>
      <c r="D305" s="24"/>
      <c r="E305" s="24"/>
      <c r="F305" s="114"/>
      <c r="G305" s="114"/>
      <c r="H305" s="40"/>
      <c r="J305" s="7"/>
    </row>
    <row r="306" spans="1:10" ht="15.75" customHeight="1" x14ac:dyDescent="0.25">
      <c r="A306" s="24"/>
      <c r="B306" s="25"/>
      <c r="C306" s="24"/>
      <c r="D306" s="24"/>
      <c r="E306" s="24"/>
      <c r="F306" s="114"/>
      <c r="G306" s="114"/>
      <c r="H306" s="40"/>
      <c r="J306" s="7"/>
    </row>
    <row r="307" spans="1:10" ht="15.75" customHeight="1" x14ac:dyDescent="0.25">
      <c r="A307" s="24"/>
      <c r="B307" s="25"/>
      <c r="C307" s="24"/>
      <c r="D307" s="24"/>
      <c r="E307" s="24"/>
      <c r="F307" s="114"/>
      <c r="G307" s="114"/>
      <c r="H307" s="40"/>
      <c r="J307" s="7"/>
    </row>
    <row r="308" spans="1:10" ht="15.75" customHeight="1" x14ac:dyDescent="0.25">
      <c r="A308" s="24"/>
      <c r="B308" s="25"/>
      <c r="C308" s="24"/>
      <c r="D308" s="24"/>
      <c r="E308" s="24"/>
      <c r="F308" s="114"/>
      <c r="G308" s="114"/>
      <c r="H308" s="40"/>
      <c r="J308" s="7"/>
    </row>
    <row r="309" spans="1:10" ht="15.75" customHeight="1" x14ac:dyDescent="0.25">
      <c r="A309" s="24"/>
      <c r="B309" s="25"/>
      <c r="C309" s="24"/>
      <c r="D309" s="24"/>
      <c r="E309" s="24"/>
      <c r="F309" s="114"/>
      <c r="G309" s="114"/>
      <c r="H309" s="40"/>
      <c r="J309" s="7"/>
    </row>
    <row r="310" spans="1:10" ht="15.75" customHeight="1" x14ac:dyDescent="0.25">
      <c r="A310" s="24"/>
      <c r="B310" s="25"/>
      <c r="C310" s="24"/>
      <c r="D310" s="24"/>
      <c r="E310" s="24"/>
      <c r="F310" s="114"/>
      <c r="G310" s="114"/>
      <c r="H310" s="40"/>
      <c r="J310" s="7"/>
    </row>
    <row r="311" spans="1:10" ht="15.75" customHeight="1" x14ac:dyDescent="0.25">
      <c r="A311" s="24"/>
      <c r="B311" s="25"/>
      <c r="C311" s="24"/>
      <c r="D311" s="24"/>
      <c r="E311" s="24"/>
      <c r="F311" s="114"/>
      <c r="G311" s="114"/>
      <c r="H311" s="40"/>
      <c r="J311" s="7"/>
    </row>
    <row r="312" spans="1:10" ht="15.75" customHeight="1" x14ac:dyDescent="0.25">
      <c r="A312" s="24"/>
      <c r="B312" s="25"/>
      <c r="C312" s="24"/>
      <c r="D312" s="24"/>
      <c r="E312" s="24"/>
      <c r="F312" s="114"/>
      <c r="G312" s="114"/>
      <c r="H312" s="40"/>
      <c r="J312" s="7"/>
    </row>
    <row r="313" spans="1:10" ht="15.75" customHeight="1" x14ac:dyDescent="0.25">
      <c r="A313" s="24"/>
      <c r="B313" s="25"/>
      <c r="C313" s="24"/>
      <c r="D313" s="24"/>
      <c r="E313" s="24"/>
      <c r="F313" s="114"/>
      <c r="G313" s="114"/>
      <c r="H313" s="40"/>
      <c r="J313" s="7"/>
    </row>
    <row r="314" spans="1:10" ht="15.75" customHeight="1" x14ac:dyDescent="0.25">
      <c r="A314" s="24"/>
      <c r="B314" s="25"/>
      <c r="C314" s="24"/>
      <c r="D314" s="24"/>
      <c r="E314" s="24"/>
      <c r="F314" s="114"/>
      <c r="G314" s="114"/>
      <c r="H314" s="40"/>
      <c r="J314" s="7"/>
    </row>
    <row r="315" spans="1:10" ht="15.75" customHeight="1" x14ac:dyDescent="0.25">
      <c r="A315" s="24"/>
      <c r="B315" s="25"/>
      <c r="C315" s="24"/>
      <c r="D315" s="24"/>
      <c r="E315" s="24"/>
      <c r="F315" s="114"/>
      <c r="G315" s="114"/>
      <c r="H315" s="40"/>
      <c r="J315" s="7"/>
    </row>
    <row r="316" spans="1:10" ht="15.75" customHeight="1" x14ac:dyDescent="0.25">
      <c r="A316" s="24"/>
      <c r="B316" s="25"/>
      <c r="C316" s="24"/>
      <c r="D316" s="24"/>
      <c r="E316" s="24"/>
      <c r="F316" s="114"/>
      <c r="G316" s="114"/>
      <c r="H316" s="40"/>
      <c r="J316" s="7"/>
    </row>
    <row r="317" spans="1:10" ht="15.75" customHeight="1" x14ac:dyDescent="0.25">
      <c r="A317" s="24"/>
      <c r="B317" s="25"/>
      <c r="C317" s="24"/>
      <c r="D317" s="24"/>
      <c r="E317" s="24"/>
      <c r="F317" s="114"/>
      <c r="G317" s="114"/>
      <c r="H317" s="40"/>
      <c r="J317" s="7"/>
    </row>
    <row r="318" spans="1:10" ht="15.75" customHeight="1" x14ac:dyDescent="0.25">
      <c r="A318" s="24"/>
      <c r="B318" s="25"/>
      <c r="C318" s="24"/>
      <c r="D318" s="24"/>
      <c r="E318" s="24"/>
      <c r="F318" s="114"/>
      <c r="G318" s="114"/>
      <c r="H318" s="40"/>
      <c r="J318" s="7"/>
    </row>
    <row r="319" spans="1:10" ht="15.75" customHeight="1" x14ac:dyDescent="0.25">
      <c r="A319" s="24"/>
      <c r="B319" s="25"/>
      <c r="C319" s="24"/>
      <c r="D319" s="24"/>
      <c r="E319" s="24"/>
      <c r="F319" s="114"/>
      <c r="G319" s="114"/>
      <c r="H319" s="40"/>
      <c r="J319" s="7"/>
    </row>
    <row r="320" spans="1:10" ht="15.75" customHeight="1" x14ac:dyDescent="0.25">
      <c r="A320" s="24"/>
      <c r="B320" s="25"/>
      <c r="C320" s="24"/>
      <c r="D320" s="24"/>
      <c r="E320" s="24"/>
      <c r="F320" s="114"/>
      <c r="G320" s="114"/>
      <c r="H320" s="40"/>
      <c r="J320" s="7"/>
    </row>
    <row r="321" spans="1:10" ht="15.75" customHeight="1" x14ac:dyDescent="0.25">
      <c r="A321" s="24"/>
      <c r="B321" s="25"/>
      <c r="C321" s="24"/>
      <c r="D321" s="24"/>
      <c r="E321" s="24"/>
      <c r="F321" s="114"/>
      <c r="G321" s="114"/>
      <c r="H321" s="40"/>
      <c r="J321" s="7"/>
    </row>
    <row r="322" spans="1:10" ht="15.75" customHeight="1" x14ac:dyDescent="0.25">
      <c r="A322" s="24"/>
      <c r="B322" s="25"/>
      <c r="C322" s="24"/>
      <c r="D322" s="24"/>
      <c r="E322" s="24"/>
      <c r="F322" s="114"/>
      <c r="G322" s="114"/>
      <c r="H322" s="40"/>
      <c r="J322" s="7"/>
    </row>
    <row r="323" spans="1:10" ht="15.75" customHeight="1" x14ac:dyDescent="0.25">
      <c r="A323" s="24"/>
      <c r="B323" s="25"/>
      <c r="C323" s="24"/>
      <c r="D323" s="24"/>
      <c r="E323" s="24"/>
      <c r="F323" s="114"/>
      <c r="G323" s="114"/>
      <c r="H323" s="40"/>
      <c r="J323" s="7"/>
    </row>
    <row r="324" spans="1:10" ht="15.75" customHeight="1" x14ac:dyDescent="0.25">
      <c r="A324" s="24"/>
      <c r="B324" s="25"/>
      <c r="C324" s="24"/>
      <c r="D324" s="24"/>
      <c r="E324" s="24"/>
      <c r="F324" s="114"/>
      <c r="G324" s="114"/>
      <c r="H324" s="40"/>
      <c r="J324" s="7"/>
    </row>
    <row r="325" spans="1:10" ht="15.75" customHeight="1" x14ac:dyDescent="0.25">
      <c r="A325" s="24"/>
      <c r="B325" s="25"/>
      <c r="C325" s="24"/>
      <c r="D325" s="24"/>
      <c r="E325" s="24"/>
      <c r="F325" s="114"/>
      <c r="G325" s="114"/>
      <c r="H325" s="40"/>
      <c r="J325" s="7"/>
    </row>
    <row r="326" spans="1:10" ht="15.75" customHeight="1" x14ac:dyDescent="0.25">
      <c r="A326" s="24"/>
      <c r="B326" s="25"/>
      <c r="C326" s="24"/>
      <c r="D326" s="24"/>
      <c r="E326" s="24"/>
      <c r="F326" s="114"/>
      <c r="G326" s="114"/>
      <c r="H326" s="40"/>
      <c r="J326" s="7"/>
    </row>
    <row r="327" spans="1:10" ht="15.75" customHeight="1" x14ac:dyDescent="0.25">
      <c r="A327" s="24"/>
      <c r="B327" s="25"/>
      <c r="C327" s="24"/>
      <c r="D327" s="24"/>
      <c r="E327" s="24"/>
      <c r="F327" s="114"/>
      <c r="G327" s="114"/>
      <c r="H327" s="40"/>
      <c r="J327" s="7"/>
    </row>
    <row r="328" spans="1:10" ht="15.75" customHeight="1" x14ac:dyDescent="0.25">
      <c r="A328" s="24"/>
      <c r="B328" s="25"/>
      <c r="C328" s="24"/>
      <c r="D328" s="24"/>
      <c r="E328" s="24"/>
      <c r="F328" s="114"/>
      <c r="G328" s="114"/>
      <c r="H328" s="40"/>
      <c r="J328" s="7"/>
    </row>
    <row r="329" spans="1:10" ht="15.75" customHeight="1" x14ac:dyDescent="0.25">
      <c r="A329" s="24"/>
      <c r="B329" s="25"/>
      <c r="C329" s="24"/>
      <c r="D329" s="24"/>
      <c r="E329" s="24"/>
      <c r="F329" s="114"/>
      <c r="G329" s="114"/>
      <c r="H329" s="40"/>
      <c r="J329" s="7"/>
    </row>
    <row r="330" spans="1:10" ht="15.75" customHeight="1" x14ac:dyDescent="0.25">
      <c r="A330" s="24"/>
      <c r="B330" s="25"/>
      <c r="C330" s="24"/>
      <c r="D330" s="24"/>
      <c r="E330" s="24"/>
      <c r="F330" s="114"/>
      <c r="G330" s="114"/>
      <c r="H330" s="40"/>
      <c r="J330" s="7"/>
    </row>
    <row r="331" spans="1:10" ht="15.75" customHeight="1" x14ac:dyDescent="0.25">
      <c r="A331" s="24"/>
      <c r="B331" s="25"/>
      <c r="C331" s="24"/>
      <c r="D331" s="24"/>
      <c r="E331" s="24"/>
      <c r="F331" s="114"/>
      <c r="G331" s="114"/>
      <c r="H331" s="40"/>
      <c r="J331" s="7"/>
    </row>
    <row r="332" spans="1:10" ht="15.75" customHeight="1" x14ac:dyDescent="0.25">
      <c r="A332" s="24"/>
      <c r="B332" s="25"/>
      <c r="C332" s="24"/>
      <c r="D332" s="24"/>
      <c r="E332" s="24"/>
      <c r="F332" s="114"/>
      <c r="G332" s="114"/>
      <c r="H332" s="40"/>
      <c r="J332" s="7"/>
    </row>
    <row r="333" spans="1:10" ht="15.75" customHeight="1" x14ac:dyDescent="0.25">
      <c r="A333" s="24"/>
      <c r="B333" s="25"/>
      <c r="C333" s="24"/>
      <c r="D333" s="24"/>
      <c r="E333" s="24"/>
      <c r="F333" s="114"/>
      <c r="G333" s="114"/>
      <c r="H333" s="40"/>
      <c r="J333" s="7"/>
    </row>
    <row r="334" spans="1:10" ht="15.75" customHeight="1" x14ac:dyDescent="0.25">
      <c r="A334" s="24"/>
      <c r="B334" s="25"/>
      <c r="C334" s="24"/>
      <c r="D334" s="24"/>
      <c r="E334" s="24"/>
      <c r="F334" s="114"/>
      <c r="G334" s="114"/>
      <c r="H334" s="40"/>
      <c r="J334" s="7"/>
    </row>
    <row r="335" spans="1:10" ht="15.75" customHeight="1" x14ac:dyDescent="0.25">
      <c r="A335" s="24"/>
      <c r="B335" s="25"/>
      <c r="C335" s="24"/>
      <c r="D335" s="24"/>
      <c r="E335" s="24"/>
      <c r="F335" s="114"/>
      <c r="G335" s="114"/>
      <c r="H335" s="40"/>
      <c r="J335" s="7"/>
    </row>
    <row r="336" spans="1:10" ht="15.75" customHeight="1" x14ac:dyDescent="0.25">
      <c r="A336" s="24"/>
      <c r="B336" s="25"/>
      <c r="C336" s="24"/>
      <c r="D336" s="24"/>
      <c r="E336" s="24"/>
      <c r="F336" s="114"/>
      <c r="G336" s="114"/>
      <c r="H336" s="40"/>
      <c r="J336" s="7"/>
    </row>
    <row r="337" spans="1:10" ht="15.75" customHeight="1" x14ac:dyDescent="0.25">
      <c r="A337" s="24"/>
      <c r="B337" s="25"/>
      <c r="C337" s="24"/>
      <c r="D337" s="24"/>
      <c r="E337" s="24"/>
      <c r="F337" s="114"/>
      <c r="G337" s="114"/>
      <c r="H337" s="40"/>
      <c r="J337" s="7"/>
    </row>
    <row r="338" spans="1:10" ht="15.75" customHeight="1" x14ac:dyDescent="0.25">
      <c r="A338" s="24"/>
      <c r="B338" s="25"/>
      <c r="C338" s="24"/>
      <c r="D338" s="24"/>
      <c r="E338" s="24"/>
      <c r="F338" s="114"/>
      <c r="G338" s="114"/>
      <c r="H338" s="40"/>
      <c r="J338" s="7"/>
    </row>
    <row r="339" spans="1:10" ht="15.75" customHeight="1" x14ac:dyDescent="0.25">
      <c r="A339" s="24"/>
      <c r="B339" s="25"/>
      <c r="C339" s="24"/>
      <c r="D339" s="24"/>
      <c r="E339" s="24"/>
      <c r="F339" s="114"/>
      <c r="G339" s="114"/>
      <c r="H339" s="40"/>
      <c r="J339" s="7"/>
    </row>
    <row r="340" spans="1:10" ht="15.75" customHeight="1" x14ac:dyDescent="0.25">
      <c r="A340" s="24"/>
      <c r="B340" s="25"/>
      <c r="C340" s="24"/>
      <c r="D340" s="24"/>
      <c r="E340" s="24"/>
      <c r="F340" s="114"/>
      <c r="G340" s="114"/>
      <c r="H340" s="40"/>
      <c r="J340" s="7"/>
    </row>
    <row r="341" spans="1:10" ht="15.75" customHeight="1" x14ac:dyDescent="0.25">
      <c r="A341" s="24"/>
      <c r="B341" s="25"/>
      <c r="C341" s="24"/>
      <c r="D341" s="24"/>
      <c r="E341" s="24"/>
      <c r="F341" s="114"/>
      <c r="G341" s="114"/>
      <c r="H341" s="40"/>
      <c r="J341" s="7"/>
    </row>
    <row r="342" spans="1:10" ht="15.75" customHeight="1" x14ac:dyDescent="0.25">
      <c r="A342" s="24"/>
      <c r="B342" s="25"/>
      <c r="C342" s="24"/>
      <c r="D342" s="24"/>
      <c r="E342" s="24"/>
      <c r="F342" s="114"/>
      <c r="G342" s="114"/>
      <c r="H342" s="40"/>
      <c r="J342" s="7"/>
    </row>
    <row r="343" spans="1:10" ht="15.75" customHeight="1" x14ac:dyDescent="0.25">
      <c r="A343" s="24"/>
      <c r="B343" s="25"/>
      <c r="C343" s="24"/>
      <c r="D343" s="24"/>
      <c r="E343" s="24"/>
      <c r="F343" s="114"/>
      <c r="G343" s="114"/>
      <c r="H343" s="40"/>
      <c r="J343" s="7"/>
    </row>
    <row r="344" spans="1:10" ht="15.75" customHeight="1" x14ac:dyDescent="0.25">
      <c r="A344" s="24"/>
      <c r="B344" s="25"/>
      <c r="C344" s="24"/>
      <c r="D344" s="24"/>
      <c r="E344" s="24"/>
      <c r="F344" s="114"/>
      <c r="G344" s="114"/>
      <c r="H344" s="40"/>
      <c r="J344" s="7"/>
    </row>
    <row r="345" spans="1:10" ht="15.75" customHeight="1" x14ac:dyDescent="0.25">
      <c r="A345" s="24"/>
      <c r="B345" s="25"/>
      <c r="C345" s="24"/>
      <c r="D345" s="24"/>
      <c r="E345" s="24"/>
      <c r="F345" s="114"/>
      <c r="G345" s="114"/>
      <c r="H345" s="40"/>
      <c r="J345" s="7"/>
    </row>
    <row r="346" spans="1:10" ht="15.75" customHeight="1" x14ac:dyDescent="0.25">
      <c r="A346" s="24"/>
      <c r="B346" s="25"/>
      <c r="C346" s="24"/>
      <c r="D346" s="24"/>
      <c r="E346" s="24"/>
      <c r="F346" s="114"/>
      <c r="G346" s="114"/>
      <c r="H346" s="40"/>
      <c r="J346" s="7"/>
    </row>
    <row r="347" spans="1:10" ht="15.75" customHeight="1" x14ac:dyDescent="0.25">
      <c r="A347" s="24"/>
      <c r="B347" s="25"/>
      <c r="C347" s="24"/>
      <c r="D347" s="24"/>
      <c r="E347" s="24"/>
      <c r="F347" s="114"/>
      <c r="G347" s="114"/>
      <c r="H347" s="40"/>
      <c r="J347" s="7"/>
    </row>
    <row r="348" spans="1:10" ht="15.75" customHeight="1" x14ac:dyDescent="0.25">
      <c r="A348" s="24"/>
      <c r="B348" s="25"/>
      <c r="C348" s="24"/>
      <c r="D348" s="24"/>
      <c r="E348" s="24"/>
      <c r="F348" s="114"/>
      <c r="G348" s="114"/>
      <c r="H348" s="40"/>
      <c r="J348" s="7"/>
    </row>
    <row r="349" spans="1:10" ht="15.75" customHeight="1" x14ac:dyDescent="0.25">
      <c r="A349" s="24"/>
      <c r="B349" s="25"/>
      <c r="C349" s="24"/>
      <c r="D349" s="24"/>
      <c r="E349" s="24"/>
      <c r="F349" s="114"/>
      <c r="G349" s="114"/>
      <c r="H349" s="40"/>
      <c r="J349" s="7"/>
    </row>
    <row r="350" spans="1:10" ht="15.75" customHeight="1" x14ac:dyDescent="0.25">
      <c r="A350" s="24"/>
      <c r="B350" s="25"/>
      <c r="C350" s="24"/>
      <c r="D350" s="24"/>
      <c r="E350" s="24"/>
      <c r="F350" s="114"/>
      <c r="G350" s="114"/>
      <c r="H350" s="40"/>
      <c r="J350" s="7"/>
    </row>
    <row r="351" spans="1:10" ht="15.75" customHeight="1" x14ac:dyDescent="0.25">
      <c r="A351" s="24"/>
      <c r="B351" s="25"/>
      <c r="C351" s="24"/>
      <c r="D351" s="24"/>
      <c r="E351" s="24"/>
      <c r="F351" s="114"/>
      <c r="G351" s="114"/>
      <c r="H351" s="40"/>
      <c r="J351" s="7"/>
    </row>
    <row r="352" spans="1:10" ht="15.75" customHeight="1" x14ac:dyDescent="0.25">
      <c r="A352" s="24"/>
      <c r="B352" s="25"/>
      <c r="C352" s="24"/>
      <c r="D352" s="24"/>
      <c r="E352" s="24"/>
      <c r="F352" s="114"/>
      <c r="G352" s="114"/>
      <c r="H352" s="40"/>
      <c r="J352" s="7"/>
    </row>
    <row r="353" spans="1:10" ht="15.75" customHeight="1" x14ac:dyDescent="0.25">
      <c r="A353" s="24"/>
      <c r="B353" s="25"/>
      <c r="C353" s="24"/>
      <c r="D353" s="24"/>
      <c r="E353" s="24"/>
      <c r="F353" s="114"/>
      <c r="G353" s="114"/>
      <c r="H353" s="40"/>
      <c r="J353" s="7"/>
    </row>
    <row r="354" spans="1:10" ht="15.75" customHeight="1" x14ac:dyDescent="0.25">
      <c r="A354" s="24"/>
      <c r="B354" s="25"/>
      <c r="C354" s="24"/>
      <c r="D354" s="24"/>
      <c r="E354" s="24"/>
      <c r="F354" s="114"/>
      <c r="G354" s="114"/>
      <c r="H354" s="40"/>
      <c r="J354" s="7"/>
    </row>
    <row r="355" spans="1:10" ht="15.75" customHeight="1" x14ac:dyDescent="0.25">
      <c r="A355" s="24"/>
      <c r="B355" s="25"/>
      <c r="C355" s="24"/>
      <c r="D355" s="24"/>
      <c r="E355" s="24"/>
      <c r="F355" s="114"/>
      <c r="G355" s="114"/>
      <c r="H355" s="40"/>
      <c r="J355" s="7"/>
    </row>
    <row r="356" spans="1:10" ht="15.75" customHeight="1" x14ac:dyDescent="0.25">
      <c r="A356" s="24"/>
      <c r="B356" s="25"/>
      <c r="C356" s="24"/>
      <c r="D356" s="24"/>
      <c r="E356" s="24"/>
      <c r="F356" s="114"/>
      <c r="G356" s="114"/>
      <c r="H356" s="40"/>
      <c r="J356" s="7"/>
    </row>
    <row r="357" spans="1:10" ht="15.75" customHeight="1" x14ac:dyDescent="0.25">
      <c r="H357" s="40"/>
    </row>
    <row r="358" spans="1:10" ht="15.75" customHeight="1" x14ac:dyDescent="0.25">
      <c r="H358" s="40"/>
    </row>
    <row r="359" spans="1:10" ht="15.75" customHeight="1" x14ac:dyDescent="0.25">
      <c r="H359" s="40"/>
    </row>
    <row r="360" spans="1:10" ht="15.75" customHeight="1" x14ac:dyDescent="0.25">
      <c r="H360" s="40"/>
    </row>
    <row r="361" spans="1:10" ht="15.75" customHeight="1" x14ac:dyDescent="0.25">
      <c r="H361" s="40"/>
    </row>
    <row r="362" spans="1:10" ht="15.75" customHeight="1" x14ac:dyDescent="0.25">
      <c r="H362" s="40"/>
    </row>
    <row r="363" spans="1:10" ht="15.75" customHeight="1" x14ac:dyDescent="0.25">
      <c r="H363" s="40"/>
    </row>
    <row r="364" spans="1:10" ht="15.75" customHeight="1" x14ac:dyDescent="0.25">
      <c r="H364" s="40"/>
    </row>
    <row r="365" spans="1:10" ht="15.75" customHeight="1" x14ac:dyDescent="0.25">
      <c r="H365" s="40"/>
    </row>
    <row r="366" spans="1:10" ht="15.75" customHeight="1" x14ac:dyDescent="0.25">
      <c r="H366" s="40"/>
    </row>
    <row r="367" spans="1:10" ht="15.75" customHeight="1" x14ac:dyDescent="0.25">
      <c r="H367" s="40"/>
    </row>
    <row r="368" spans="1:10" ht="15.75" customHeight="1" x14ac:dyDescent="0.25">
      <c r="H368" s="40"/>
    </row>
    <row r="369" spans="8:8" ht="15.75" customHeight="1" x14ac:dyDescent="0.25">
      <c r="H369" s="40"/>
    </row>
    <row r="370" spans="8:8" ht="15.75" customHeight="1" x14ac:dyDescent="0.25">
      <c r="H370" s="40"/>
    </row>
    <row r="371" spans="8:8" ht="15.75" customHeight="1" x14ac:dyDescent="0.25">
      <c r="H371" s="40"/>
    </row>
    <row r="372" spans="8:8" ht="15.75" customHeight="1" x14ac:dyDescent="0.25">
      <c r="H372" s="40"/>
    </row>
    <row r="373" spans="8:8" ht="15.75" customHeight="1" x14ac:dyDescent="0.25">
      <c r="H373" s="40"/>
    </row>
    <row r="374" spans="8:8" ht="15.75" customHeight="1" x14ac:dyDescent="0.25">
      <c r="H374" s="40"/>
    </row>
    <row r="375" spans="8:8" ht="15.75" customHeight="1" x14ac:dyDescent="0.25">
      <c r="H375" s="40"/>
    </row>
    <row r="376" spans="8:8" ht="15.75" customHeight="1" x14ac:dyDescent="0.25">
      <c r="H376" s="40"/>
    </row>
    <row r="377" spans="8:8" ht="15.75" customHeight="1" x14ac:dyDescent="0.25">
      <c r="H377" s="40"/>
    </row>
    <row r="378" spans="8:8" ht="15.75" customHeight="1" x14ac:dyDescent="0.25">
      <c r="H378" s="40"/>
    </row>
    <row r="379" spans="8:8" ht="15.75" customHeight="1" x14ac:dyDescent="0.25">
      <c r="H379" s="40"/>
    </row>
    <row r="380" spans="8:8" ht="15.75" customHeight="1" x14ac:dyDescent="0.25">
      <c r="H380" s="40"/>
    </row>
    <row r="381" spans="8:8" ht="15.75" customHeight="1" x14ac:dyDescent="0.25">
      <c r="H381" s="40"/>
    </row>
    <row r="382" spans="8:8" ht="15.75" customHeight="1" x14ac:dyDescent="0.25">
      <c r="H382" s="40"/>
    </row>
    <row r="383" spans="8:8" ht="15.75" customHeight="1" x14ac:dyDescent="0.25">
      <c r="H383" s="40"/>
    </row>
    <row r="384" spans="8:8" ht="15.75" customHeight="1" x14ac:dyDescent="0.25">
      <c r="H384" s="40"/>
    </row>
    <row r="385" spans="8:8" ht="15.75" customHeight="1" x14ac:dyDescent="0.25">
      <c r="H385" s="40"/>
    </row>
    <row r="386" spans="8:8" ht="15.75" customHeight="1" x14ac:dyDescent="0.25">
      <c r="H386" s="40"/>
    </row>
    <row r="387" spans="8:8" ht="15.75" customHeight="1" x14ac:dyDescent="0.25">
      <c r="H387" s="40"/>
    </row>
    <row r="388" spans="8:8" ht="15.75" customHeight="1" x14ac:dyDescent="0.25">
      <c r="H388" s="40"/>
    </row>
    <row r="389" spans="8:8" ht="15.75" customHeight="1" x14ac:dyDescent="0.25">
      <c r="H389" s="40"/>
    </row>
    <row r="390" spans="8:8" ht="15.75" customHeight="1" x14ac:dyDescent="0.25">
      <c r="H390" s="40"/>
    </row>
    <row r="391" spans="8:8" ht="15.75" customHeight="1" x14ac:dyDescent="0.25">
      <c r="H391" s="40"/>
    </row>
    <row r="392" spans="8:8" ht="15.75" customHeight="1" x14ac:dyDescent="0.25">
      <c r="H392" s="40"/>
    </row>
    <row r="393" spans="8:8" ht="15.75" customHeight="1" x14ac:dyDescent="0.25">
      <c r="H393" s="40"/>
    </row>
    <row r="394" spans="8:8" ht="15.75" customHeight="1" x14ac:dyDescent="0.25">
      <c r="H394" s="40"/>
    </row>
    <row r="395" spans="8:8" ht="15.75" customHeight="1" x14ac:dyDescent="0.25">
      <c r="H395" s="40"/>
    </row>
    <row r="396" spans="8:8" ht="15.75" customHeight="1" x14ac:dyDescent="0.25">
      <c r="H396" s="40"/>
    </row>
    <row r="397" spans="8:8" ht="15.75" customHeight="1" x14ac:dyDescent="0.25">
      <c r="H397" s="40"/>
    </row>
    <row r="398" spans="8:8" ht="15.75" customHeight="1" x14ac:dyDescent="0.25">
      <c r="H398" s="40"/>
    </row>
    <row r="399" spans="8:8" ht="15.75" customHeight="1" x14ac:dyDescent="0.25">
      <c r="H399" s="40"/>
    </row>
    <row r="400" spans="8:8" ht="15.75" customHeight="1" x14ac:dyDescent="0.25">
      <c r="H400" s="40"/>
    </row>
    <row r="401" spans="8:8" ht="15.75" customHeight="1" x14ac:dyDescent="0.25">
      <c r="H401" s="40"/>
    </row>
    <row r="402" spans="8:8" ht="15.75" customHeight="1" x14ac:dyDescent="0.25">
      <c r="H402" s="40"/>
    </row>
    <row r="403" spans="8:8" ht="15.75" customHeight="1" x14ac:dyDescent="0.25">
      <c r="H403" s="40"/>
    </row>
    <row r="404" spans="8:8" ht="15.75" customHeight="1" x14ac:dyDescent="0.25">
      <c r="H404" s="40"/>
    </row>
    <row r="405" spans="8:8" ht="15.75" customHeight="1" x14ac:dyDescent="0.25">
      <c r="H405" s="40"/>
    </row>
    <row r="406" spans="8:8" ht="15.75" customHeight="1" x14ac:dyDescent="0.25">
      <c r="H406" s="40"/>
    </row>
    <row r="407" spans="8:8" ht="15.75" customHeight="1" x14ac:dyDescent="0.25">
      <c r="H407" s="40"/>
    </row>
    <row r="408" spans="8:8" ht="15.75" customHeight="1" x14ac:dyDescent="0.25">
      <c r="H408" s="40"/>
    </row>
    <row r="409" spans="8:8" ht="15.75" customHeight="1" x14ac:dyDescent="0.25">
      <c r="H409" s="40"/>
    </row>
    <row r="410" spans="8:8" ht="15.75" customHeight="1" x14ac:dyDescent="0.25">
      <c r="H410" s="40"/>
    </row>
    <row r="411" spans="8:8" ht="15.75" customHeight="1" x14ac:dyDescent="0.25">
      <c r="H411" s="40"/>
    </row>
    <row r="412" spans="8:8" ht="15.75" customHeight="1" x14ac:dyDescent="0.25">
      <c r="H412" s="40"/>
    </row>
    <row r="413" spans="8:8" ht="15.75" customHeight="1" x14ac:dyDescent="0.25">
      <c r="H413" s="40"/>
    </row>
    <row r="414" spans="8:8" ht="15.75" customHeight="1" x14ac:dyDescent="0.25">
      <c r="H414" s="40"/>
    </row>
    <row r="415" spans="8:8" ht="15.75" customHeight="1" x14ac:dyDescent="0.25">
      <c r="H415" s="40"/>
    </row>
    <row r="416" spans="8:8" ht="15.75" customHeight="1" x14ac:dyDescent="0.25">
      <c r="H416" s="40"/>
    </row>
    <row r="417" spans="8:8" ht="15.75" customHeight="1" x14ac:dyDescent="0.25">
      <c r="H417" s="40"/>
    </row>
    <row r="418" spans="8:8" ht="15.75" customHeight="1" x14ac:dyDescent="0.25">
      <c r="H418" s="40"/>
    </row>
    <row r="419" spans="8:8" ht="15.75" customHeight="1" x14ac:dyDescent="0.25">
      <c r="H419" s="40"/>
    </row>
    <row r="420" spans="8:8" ht="15.75" customHeight="1" x14ac:dyDescent="0.25">
      <c r="H420" s="40"/>
    </row>
    <row r="421" spans="8:8" ht="15.75" customHeight="1" x14ac:dyDescent="0.25">
      <c r="H421" s="40"/>
    </row>
    <row r="422" spans="8:8" ht="15.75" customHeight="1" x14ac:dyDescent="0.25">
      <c r="H422" s="40"/>
    </row>
    <row r="423" spans="8:8" ht="15.75" customHeight="1" x14ac:dyDescent="0.25">
      <c r="H423" s="40"/>
    </row>
    <row r="424" spans="8:8" ht="15.75" customHeight="1" x14ac:dyDescent="0.25">
      <c r="H424" s="40"/>
    </row>
    <row r="425" spans="8:8" ht="15.75" customHeight="1" x14ac:dyDescent="0.25">
      <c r="H425" s="40"/>
    </row>
    <row r="426" spans="8:8" ht="15.75" customHeight="1" x14ac:dyDescent="0.25">
      <c r="H426" s="40"/>
    </row>
    <row r="427" spans="8:8" ht="15.75" customHeight="1" x14ac:dyDescent="0.25">
      <c r="H427" s="40"/>
    </row>
    <row r="428" spans="8:8" ht="15.75" customHeight="1" x14ac:dyDescent="0.25">
      <c r="H428" s="40"/>
    </row>
    <row r="429" spans="8:8" ht="15.75" customHeight="1" x14ac:dyDescent="0.25">
      <c r="H429" s="40"/>
    </row>
    <row r="430" spans="8:8" ht="15.75" customHeight="1" x14ac:dyDescent="0.25">
      <c r="H430" s="40"/>
    </row>
    <row r="431" spans="8:8" ht="15.75" customHeight="1" x14ac:dyDescent="0.25">
      <c r="H431" s="40"/>
    </row>
    <row r="432" spans="8:8" ht="15.75" customHeight="1" x14ac:dyDescent="0.25">
      <c r="H432" s="40"/>
    </row>
    <row r="433" spans="8:8" ht="15.75" customHeight="1" x14ac:dyDescent="0.25">
      <c r="H433" s="40"/>
    </row>
    <row r="434" spans="8:8" ht="15.75" customHeight="1" x14ac:dyDescent="0.25">
      <c r="H434" s="40"/>
    </row>
    <row r="435" spans="8:8" ht="15.75" customHeight="1" x14ac:dyDescent="0.25">
      <c r="H435" s="40"/>
    </row>
    <row r="436" spans="8:8" ht="15.75" customHeight="1" x14ac:dyDescent="0.25">
      <c r="H436" s="40"/>
    </row>
    <row r="437" spans="8:8" ht="15.75" customHeight="1" x14ac:dyDescent="0.25">
      <c r="H437" s="40"/>
    </row>
    <row r="438" spans="8:8" ht="15.75" customHeight="1" x14ac:dyDescent="0.25">
      <c r="H438" s="40"/>
    </row>
    <row r="439" spans="8:8" ht="15.75" customHeight="1" x14ac:dyDescent="0.25">
      <c r="H439" s="40"/>
    </row>
    <row r="440" spans="8:8" ht="15.75" customHeight="1" x14ac:dyDescent="0.25">
      <c r="H440" s="40"/>
    </row>
    <row r="441" spans="8:8" ht="15.75" customHeight="1" x14ac:dyDescent="0.25">
      <c r="H441" s="40"/>
    </row>
    <row r="442" spans="8:8" ht="15.75" customHeight="1" x14ac:dyDescent="0.25">
      <c r="H442" s="40"/>
    </row>
    <row r="443" spans="8:8" ht="15.75" customHeight="1" x14ac:dyDescent="0.25">
      <c r="H443" s="40"/>
    </row>
    <row r="444" spans="8:8" ht="15.75" customHeight="1" x14ac:dyDescent="0.25">
      <c r="H444" s="40"/>
    </row>
    <row r="445" spans="8:8" ht="15.75" customHeight="1" x14ac:dyDescent="0.25">
      <c r="H445" s="40"/>
    </row>
    <row r="446" spans="8:8" ht="15.75" customHeight="1" x14ac:dyDescent="0.25">
      <c r="H446" s="40"/>
    </row>
    <row r="447" spans="8:8" ht="15.75" customHeight="1" x14ac:dyDescent="0.25">
      <c r="H447" s="40"/>
    </row>
    <row r="448" spans="8:8" ht="15.75" customHeight="1" x14ac:dyDescent="0.25">
      <c r="H448" s="40"/>
    </row>
    <row r="449" spans="8:8" ht="15.75" customHeight="1" x14ac:dyDescent="0.25">
      <c r="H449" s="40"/>
    </row>
    <row r="450" spans="8:8" ht="15.75" customHeight="1" x14ac:dyDescent="0.25">
      <c r="H450" s="40"/>
    </row>
    <row r="451" spans="8:8" ht="15.75" customHeight="1" x14ac:dyDescent="0.25">
      <c r="H451" s="40"/>
    </row>
    <row r="452" spans="8:8" ht="15.75" customHeight="1" x14ac:dyDescent="0.25">
      <c r="H452" s="40"/>
    </row>
    <row r="453" spans="8:8" ht="15.75" customHeight="1" x14ac:dyDescent="0.25">
      <c r="H453" s="40"/>
    </row>
    <row r="454" spans="8:8" ht="15.75" customHeight="1" x14ac:dyDescent="0.25">
      <c r="H454" s="40"/>
    </row>
    <row r="455" spans="8:8" ht="15.75" customHeight="1" x14ac:dyDescent="0.25">
      <c r="H455" s="40"/>
    </row>
    <row r="456" spans="8:8" ht="15.75" customHeight="1" x14ac:dyDescent="0.25">
      <c r="H456" s="40"/>
    </row>
    <row r="457" spans="8:8" ht="15.75" customHeight="1" x14ac:dyDescent="0.25">
      <c r="H457" s="40"/>
    </row>
    <row r="458" spans="8:8" ht="15.75" customHeight="1" x14ac:dyDescent="0.25">
      <c r="H458" s="40"/>
    </row>
    <row r="459" spans="8:8" ht="15.75" customHeight="1" x14ac:dyDescent="0.25">
      <c r="H459" s="40"/>
    </row>
    <row r="460" spans="8:8" ht="15.75" customHeight="1" x14ac:dyDescent="0.25">
      <c r="H460" s="40"/>
    </row>
    <row r="461" spans="8:8" ht="15.75" customHeight="1" x14ac:dyDescent="0.25">
      <c r="H461" s="40"/>
    </row>
    <row r="462" spans="8:8" ht="15.75" customHeight="1" x14ac:dyDescent="0.25">
      <c r="H462" s="40"/>
    </row>
    <row r="463" spans="8:8" ht="15.75" customHeight="1" x14ac:dyDescent="0.25">
      <c r="H463" s="40"/>
    </row>
    <row r="464" spans="8:8" ht="15.75" customHeight="1" x14ac:dyDescent="0.25">
      <c r="H464" s="40"/>
    </row>
    <row r="465" spans="8:8" ht="15.75" customHeight="1" x14ac:dyDescent="0.25">
      <c r="H465" s="40"/>
    </row>
    <row r="466" spans="8:8" ht="15.75" customHeight="1" x14ac:dyDescent="0.25">
      <c r="H466" s="40"/>
    </row>
    <row r="467" spans="8:8" ht="15.75" customHeight="1" x14ac:dyDescent="0.25">
      <c r="H467" s="40"/>
    </row>
    <row r="468" spans="8:8" ht="15.75" customHeight="1" x14ac:dyDescent="0.25">
      <c r="H468" s="40"/>
    </row>
    <row r="469" spans="8:8" ht="15.75" customHeight="1" x14ac:dyDescent="0.25">
      <c r="H469" s="40"/>
    </row>
    <row r="470" spans="8:8" ht="15.75" customHeight="1" x14ac:dyDescent="0.25">
      <c r="H470" s="40"/>
    </row>
    <row r="471" spans="8:8" ht="15.75" customHeight="1" x14ac:dyDescent="0.25">
      <c r="H471" s="40"/>
    </row>
    <row r="472" spans="8:8" ht="15.75" customHeight="1" x14ac:dyDescent="0.25">
      <c r="H472" s="40"/>
    </row>
    <row r="473" spans="8:8" ht="15.75" customHeight="1" x14ac:dyDescent="0.25">
      <c r="H473" s="40"/>
    </row>
    <row r="474" spans="8:8" ht="15.75" customHeight="1" x14ac:dyDescent="0.25">
      <c r="H474" s="40"/>
    </row>
    <row r="475" spans="8:8" ht="15.75" customHeight="1" x14ac:dyDescent="0.25">
      <c r="H475" s="40"/>
    </row>
    <row r="476" spans="8:8" ht="15.75" customHeight="1" x14ac:dyDescent="0.25">
      <c r="H476" s="40"/>
    </row>
    <row r="477" spans="8:8" ht="15.75" customHeight="1" x14ac:dyDescent="0.25">
      <c r="H477" s="40"/>
    </row>
    <row r="478" spans="8:8" ht="15.75" customHeight="1" x14ac:dyDescent="0.25">
      <c r="H478" s="40"/>
    </row>
    <row r="479" spans="8:8" ht="15.75" customHeight="1" x14ac:dyDescent="0.25">
      <c r="H479" s="40"/>
    </row>
    <row r="480" spans="8:8" ht="15.75" customHeight="1" x14ac:dyDescent="0.25">
      <c r="H480" s="40"/>
    </row>
    <row r="481" spans="8:8" ht="15.75" customHeight="1" x14ac:dyDescent="0.25">
      <c r="H481" s="40"/>
    </row>
    <row r="482" spans="8:8" ht="15.75" customHeight="1" x14ac:dyDescent="0.25">
      <c r="H482" s="40"/>
    </row>
    <row r="483" spans="8:8" ht="15.75" customHeight="1" x14ac:dyDescent="0.25">
      <c r="H483" s="40"/>
    </row>
    <row r="484" spans="8:8" ht="15.75" customHeight="1" x14ac:dyDescent="0.25">
      <c r="H484" s="40"/>
    </row>
    <row r="485" spans="8:8" ht="15.75" customHeight="1" x14ac:dyDescent="0.25">
      <c r="H485" s="40"/>
    </row>
    <row r="486" spans="8:8" ht="15.75" customHeight="1" x14ac:dyDescent="0.25">
      <c r="H486" s="40"/>
    </row>
    <row r="487" spans="8:8" ht="15.75" customHeight="1" x14ac:dyDescent="0.25">
      <c r="H487" s="40"/>
    </row>
    <row r="488" spans="8:8" ht="15.75" customHeight="1" x14ac:dyDescent="0.25">
      <c r="H488" s="40"/>
    </row>
    <row r="489" spans="8:8" ht="15.75" customHeight="1" x14ac:dyDescent="0.25">
      <c r="H489" s="40"/>
    </row>
    <row r="490" spans="8:8" ht="15.75" customHeight="1" x14ac:dyDescent="0.25">
      <c r="H490" s="40"/>
    </row>
    <row r="491" spans="8:8" ht="15.75" customHeight="1" x14ac:dyDescent="0.25">
      <c r="H491" s="40"/>
    </row>
    <row r="492" spans="8:8" ht="15.75" customHeight="1" x14ac:dyDescent="0.25">
      <c r="H492" s="40"/>
    </row>
    <row r="493" spans="8:8" ht="15.75" customHeight="1" x14ac:dyDescent="0.25">
      <c r="H493" s="40"/>
    </row>
    <row r="494" spans="8:8" ht="15.75" customHeight="1" x14ac:dyDescent="0.25">
      <c r="H494" s="40"/>
    </row>
    <row r="495" spans="8:8" ht="15.75" customHeight="1" x14ac:dyDescent="0.25">
      <c r="H495" s="40"/>
    </row>
    <row r="496" spans="8:8" ht="15.75" customHeight="1" x14ac:dyDescent="0.25">
      <c r="H496" s="40"/>
    </row>
    <row r="497" spans="8:8" ht="15.75" customHeight="1" x14ac:dyDescent="0.25">
      <c r="H497" s="40"/>
    </row>
    <row r="498" spans="8:8" ht="15.75" customHeight="1" x14ac:dyDescent="0.25">
      <c r="H498" s="40"/>
    </row>
    <row r="499" spans="8:8" ht="15.75" customHeight="1" x14ac:dyDescent="0.25">
      <c r="H499" s="40"/>
    </row>
    <row r="500" spans="8:8" ht="15.75" customHeight="1" x14ac:dyDescent="0.25">
      <c r="H500" s="40"/>
    </row>
    <row r="501" spans="8:8" ht="15.75" customHeight="1" x14ac:dyDescent="0.25">
      <c r="H501" s="40"/>
    </row>
    <row r="502" spans="8:8" ht="15.75" customHeight="1" x14ac:dyDescent="0.25">
      <c r="H502" s="40"/>
    </row>
    <row r="503" spans="8:8" ht="15.75" customHeight="1" x14ac:dyDescent="0.25">
      <c r="H503" s="40"/>
    </row>
    <row r="504" spans="8:8" ht="15.75" customHeight="1" x14ac:dyDescent="0.25">
      <c r="H504" s="40"/>
    </row>
    <row r="505" spans="8:8" ht="15.75" customHeight="1" x14ac:dyDescent="0.25">
      <c r="H505" s="40"/>
    </row>
    <row r="506" spans="8:8" ht="15.75" customHeight="1" x14ac:dyDescent="0.25">
      <c r="H506" s="40"/>
    </row>
    <row r="507" spans="8:8" ht="15.75" customHeight="1" x14ac:dyDescent="0.25">
      <c r="H507" s="40"/>
    </row>
    <row r="508" spans="8:8" ht="15.75" customHeight="1" x14ac:dyDescent="0.25">
      <c r="H508" s="40"/>
    </row>
    <row r="509" spans="8:8" ht="15.75" customHeight="1" x14ac:dyDescent="0.25">
      <c r="H509" s="40"/>
    </row>
    <row r="510" spans="8:8" ht="15.75" customHeight="1" x14ac:dyDescent="0.25">
      <c r="H510" s="40"/>
    </row>
    <row r="511" spans="8:8" ht="15.75" customHeight="1" x14ac:dyDescent="0.25">
      <c r="H511" s="40"/>
    </row>
    <row r="512" spans="8:8" ht="15.75" customHeight="1" x14ac:dyDescent="0.25">
      <c r="H512" s="40"/>
    </row>
    <row r="513" spans="8:8" ht="15.75" customHeight="1" x14ac:dyDescent="0.25">
      <c r="H513" s="40"/>
    </row>
    <row r="514" spans="8:8" ht="15.75" customHeight="1" x14ac:dyDescent="0.25">
      <c r="H514" s="40"/>
    </row>
    <row r="515" spans="8:8" ht="15.75" customHeight="1" x14ac:dyDescent="0.25">
      <c r="H515" s="40"/>
    </row>
    <row r="516" spans="8:8" ht="15.75" customHeight="1" x14ac:dyDescent="0.25">
      <c r="H516" s="40"/>
    </row>
    <row r="517" spans="8:8" ht="15.75" customHeight="1" x14ac:dyDescent="0.25">
      <c r="H517" s="40"/>
    </row>
    <row r="518" spans="8:8" ht="15.75" customHeight="1" x14ac:dyDescent="0.25">
      <c r="H518" s="40"/>
    </row>
    <row r="519" spans="8:8" ht="15.75" customHeight="1" x14ac:dyDescent="0.25">
      <c r="H519" s="40"/>
    </row>
    <row r="520" spans="8:8" ht="15.75" customHeight="1" x14ac:dyDescent="0.25">
      <c r="H520" s="40"/>
    </row>
    <row r="521" spans="8:8" ht="15.75" customHeight="1" x14ac:dyDescent="0.25">
      <c r="H521" s="40"/>
    </row>
    <row r="522" spans="8:8" ht="15.75" customHeight="1" x14ac:dyDescent="0.25">
      <c r="H522" s="40"/>
    </row>
    <row r="523" spans="8:8" ht="15.75" customHeight="1" x14ac:dyDescent="0.25">
      <c r="H523" s="40"/>
    </row>
    <row r="524" spans="8:8" ht="15.75" customHeight="1" x14ac:dyDescent="0.25">
      <c r="H524" s="40"/>
    </row>
    <row r="525" spans="8:8" ht="15.75" customHeight="1" x14ac:dyDescent="0.25">
      <c r="H525" s="40"/>
    </row>
    <row r="526" spans="8:8" ht="15.75" customHeight="1" x14ac:dyDescent="0.25">
      <c r="H526" s="40"/>
    </row>
    <row r="527" spans="8:8" ht="15.75" customHeight="1" x14ac:dyDescent="0.25">
      <c r="H527" s="40"/>
    </row>
    <row r="528" spans="8:8" ht="15.75" customHeight="1" x14ac:dyDescent="0.25">
      <c r="H528" s="40"/>
    </row>
    <row r="529" spans="8:8" ht="15.75" customHeight="1" x14ac:dyDescent="0.25">
      <c r="H529" s="40"/>
    </row>
    <row r="530" spans="8:8" ht="15.75" customHeight="1" x14ac:dyDescent="0.25">
      <c r="H530" s="40"/>
    </row>
    <row r="531" spans="8:8" ht="15.75" customHeight="1" x14ac:dyDescent="0.25">
      <c r="H531" s="40"/>
    </row>
    <row r="532" spans="8:8" ht="15.75" customHeight="1" x14ac:dyDescent="0.25">
      <c r="H532" s="40"/>
    </row>
    <row r="533" spans="8:8" ht="15.75" customHeight="1" x14ac:dyDescent="0.25">
      <c r="H533" s="40"/>
    </row>
    <row r="534" spans="8:8" ht="15.75" customHeight="1" x14ac:dyDescent="0.25">
      <c r="H534" s="40"/>
    </row>
    <row r="535" spans="8:8" ht="15.75" customHeight="1" x14ac:dyDescent="0.25">
      <c r="H535" s="40"/>
    </row>
    <row r="536" spans="8:8" ht="15.75" customHeight="1" x14ac:dyDescent="0.25">
      <c r="H536" s="40"/>
    </row>
    <row r="537" spans="8:8" ht="15.75" customHeight="1" x14ac:dyDescent="0.25">
      <c r="H537" s="40"/>
    </row>
    <row r="538" spans="8:8" ht="15.75" customHeight="1" x14ac:dyDescent="0.25">
      <c r="H538" s="40"/>
    </row>
    <row r="539" spans="8:8" ht="15.75" customHeight="1" x14ac:dyDescent="0.25">
      <c r="H539" s="40"/>
    </row>
    <row r="540" spans="8:8" ht="15.75" customHeight="1" x14ac:dyDescent="0.25">
      <c r="H540" s="40"/>
    </row>
    <row r="541" spans="8:8" ht="15.75" customHeight="1" x14ac:dyDescent="0.25">
      <c r="H541" s="40"/>
    </row>
    <row r="542" spans="8:8" ht="15.75" customHeight="1" x14ac:dyDescent="0.25">
      <c r="H542" s="40"/>
    </row>
    <row r="543" spans="8:8" ht="15.75" customHeight="1" x14ac:dyDescent="0.25">
      <c r="H543" s="40"/>
    </row>
    <row r="544" spans="8:8" ht="15.75" customHeight="1" x14ac:dyDescent="0.25">
      <c r="H544" s="40"/>
    </row>
    <row r="545" spans="8:8" ht="15.75" customHeight="1" x14ac:dyDescent="0.25">
      <c r="H545" s="40"/>
    </row>
    <row r="546" spans="8:8" ht="15.75" customHeight="1" x14ac:dyDescent="0.25">
      <c r="H546" s="40"/>
    </row>
    <row r="547" spans="8:8" ht="15.75" customHeight="1" x14ac:dyDescent="0.25">
      <c r="H547" s="40"/>
    </row>
    <row r="548" spans="8:8" ht="15.75" customHeight="1" x14ac:dyDescent="0.25">
      <c r="H548" s="40"/>
    </row>
    <row r="549" spans="8:8" ht="15.75" customHeight="1" x14ac:dyDescent="0.25">
      <c r="H549" s="40"/>
    </row>
    <row r="550" spans="8:8" ht="15.75" customHeight="1" x14ac:dyDescent="0.25">
      <c r="H550" s="40"/>
    </row>
    <row r="551" spans="8:8" ht="15.75" customHeight="1" x14ac:dyDescent="0.25">
      <c r="H551" s="40"/>
    </row>
    <row r="552" spans="8:8" ht="15.75" customHeight="1" x14ac:dyDescent="0.25">
      <c r="H552" s="40"/>
    </row>
    <row r="553" spans="8:8" ht="15.75" customHeight="1" x14ac:dyDescent="0.25">
      <c r="H553" s="40"/>
    </row>
    <row r="554" spans="8:8" ht="15.75" customHeight="1" x14ac:dyDescent="0.25">
      <c r="H554" s="40"/>
    </row>
    <row r="555" spans="8:8" ht="15.75" customHeight="1" x14ac:dyDescent="0.25">
      <c r="H555" s="40"/>
    </row>
    <row r="556" spans="8:8" ht="15.75" customHeight="1" x14ac:dyDescent="0.25">
      <c r="H556" s="40"/>
    </row>
    <row r="557" spans="8:8" ht="15.75" customHeight="1" x14ac:dyDescent="0.25">
      <c r="H557" s="40"/>
    </row>
    <row r="558" spans="8:8" ht="15.75" customHeight="1" x14ac:dyDescent="0.25">
      <c r="H558" s="40"/>
    </row>
    <row r="559" spans="8:8" ht="15.75" customHeight="1" x14ac:dyDescent="0.25">
      <c r="H559" s="40"/>
    </row>
    <row r="560" spans="8:8" ht="15.75" customHeight="1" x14ac:dyDescent="0.25">
      <c r="H560" s="40"/>
    </row>
    <row r="561" spans="8:8" ht="15.75" customHeight="1" x14ac:dyDescent="0.25">
      <c r="H561" s="40"/>
    </row>
    <row r="562" spans="8:8" ht="15.75" customHeight="1" x14ac:dyDescent="0.25">
      <c r="H562" s="40"/>
    </row>
    <row r="563" spans="8:8" ht="15.75" customHeight="1" x14ac:dyDescent="0.25">
      <c r="H563" s="40"/>
    </row>
    <row r="564" spans="8:8" ht="15.75" customHeight="1" x14ac:dyDescent="0.25">
      <c r="H564" s="40"/>
    </row>
    <row r="565" spans="8:8" ht="15.75" customHeight="1" x14ac:dyDescent="0.25">
      <c r="H565" s="40"/>
    </row>
    <row r="566" spans="8:8" ht="15.75" customHeight="1" x14ac:dyDescent="0.25">
      <c r="H566" s="40"/>
    </row>
    <row r="567" spans="8:8" ht="15.75" customHeight="1" x14ac:dyDescent="0.25">
      <c r="H567" s="40"/>
    </row>
    <row r="568" spans="8:8" ht="15.75" customHeight="1" x14ac:dyDescent="0.25">
      <c r="H568" s="40"/>
    </row>
    <row r="569" spans="8:8" ht="15.75" customHeight="1" x14ac:dyDescent="0.25">
      <c r="H569" s="40"/>
    </row>
    <row r="570" spans="8:8" ht="15.75" customHeight="1" x14ac:dyDescent="0.25">
      <c r="H570" s="40"/>
    </row>
    <row r="571" spans="8:8" ht="15.75" customHeight="1" x14ac:dyDescent="0.25">
      <c r="H571" s="40"/>
    </row>
    <row r="572" spans="8:8" ht="15.75" customHeight="1" x14ac:dyDescent="0.25">
      <c r="H572" s="40"/>
    </row>
    <row r="573" spans="8:8" ht="15.75" customHeight="1" x14ac:dyDescent="0.25">
      <c r="H573" s="40"/>
    </row>
    <row r="574" spans="8:8" ht="15.75" customHeight="1" x14ac:dyDescent="0.25">
      <c r="H574" s="40"/>
    </row>
    <row r="575" spans="8:8" ht="15.75" customHeight="1" x14ac:dyDescent="0.25">
      <c r="H575" s="40"/>
    </row>
    <row r="576" spans="8:8" ht="15.75" customHeight="1" x14ac:dyDescent="0.25">
      <c r="H576" s="40"/>
    </row>
    <row r="577" spans="8:8" ht="15.75" customHeight="1" x14ac:dyDescent="0.25">
      <c r="H577" s="40"/>
    </row>
    <row r="578" spans="8:8" ht="15.75" customHeight="1" x14ac:dyDescent="0.25">
      <c r="H578" s="40"/>
    </row>
    <row r="579" spans="8:8" ht="15.75" customHeight="1" x14ac:dyDescent="0.25">
      <c r="H579" s="40"/>
    </row>
    <row r="580" spans="8:8" ht="15.75" customHeight="1" x14ac:dyDescent="0.25">
      <c r="H580" s="40"/>
    </row>
    <row r="581" spans="8:8" ht="15.75" customHeight="1" x14ac:dyDescent="0.25">
      <c r="H581" s="40"/>
    </row>
    <row r="582" spans="8:8" ht="15.75" customHeight="1" x14ac:dyDescent="0.25">
      <c r="H582" s="40"/>
    </row>
    <row r="583" spans="8:8" ht="15.75" customHeight="1" x14ac:dyDescent="0.25">
      <c r="H583" s="40"/>
    </row>
    <row r="584" spans="8:8" ht="15.75" customHeight="1" x14ac:dyDescent="0.25">
      <c r="H584" s="40"/>
    </row>
    <row r="585" spans="8:8" ht="15.75" customHeight="1" x14ac:dyDescent="0.25">
      <c r="H585" s="40"/>
    </row>
    <row r="586" spans="8:8" ht="15.75" customHeight="1" x14ac:dyDescent="0.25">
      <c r="H586" s="40"/>
    </row>
    <row r="587" spans="8:8" ht="15.75" customHeight="1" x14ac:dyDescent="0.25">
      <c r="H587" s="40"/>
    </row>
    <row r="588" spans="8:8" ht="15.75" customHeight="1" x14ac:dyDescent="0.25">
      <c r="H588" s="40"/>
    </row>
    <row r="589" spans="8:8" ht="15.75" customHeight="1" x14ac:dyDescent="0.25">
      <c r="H589" s="40"/>
    </row>
    <row r="590" spans="8:8" ht="15.75" customHeight="1" x14ac:dyDescent="0.25">
      <c r="H590" s="40"/>
    </row>
    <row r="591" spans="8:8" ht="15.75" customHeight="1" x14ac:dyDescent="0.25">
      <c r="H591" s="40"/>
    </row>
    <row r="592" spans="8:8" ht="15.75" customHeight="1" x14ac:dyDescent="0.25">
      <c r="H592" s="40"/>
    </row>
    <row r="593" spans="8:8" ht="15.75" customHeight="1" x14ac:dyDescent="0.25">
      <c r="H593" s="40"/>
    </row>
    <row r="594" spans="8:8" ht="15.75" customHeight="1" x14ac:dyDescent="0.25">
      <c r="H594" s="40"/>
    </row>
    <row r="595" spans="8:8" ht="15.75" customHeight="1" x14ac:dyDescent="0.25">
      <c r="H595" s="40"/>
    </row>
    <row r="596" spans="8:8" ht="15.75" customHeight="1" x14ac:dyDescent="0.25">
      <c r="H596" s="40"/>
    </row>
    <row r="597" spans="8:8" ht="15.75" customHeight="1" x14ac:dyDescent="0.25">
      <c r="H597" s="40"/>
    </row>
    <row r="598" spans="8:8" ht="15.75" customHeight="1" x14ac:dyDescent="0.25">
      <c r="H598" s="40"/>
    </row>
    <row r="599" spans="8:8" ht="15.75" customHeight="1" x14ac:dyDescent="0.25">
      <c r="H599" s="40"/>
    </row>
    <row r="600" spans="8:8" ht="15.75" customHeight="1" x14ac:dyDescent="0.25">
      <c r="H600" s="40"/>
    </row>
    <row r="601" spans="8:8" ht="15.75" customHeight="1" x14ac:dyDescent="0.25">
      <c r="H601" s="40"/>
    </row>
    <row r="602" spans="8:8" ht="15.75" customHeight="1" x14ac:dyDescent="0.25">
      <c r="H602" s="40"/>
    </row>
    <row r="603" spans="8:8" ht="15.75" customHeight="1" x14ac:dyDescent="0.25">
      <c r="H603" s="40"/>
    </row>
    <row r="604" spans="8:8" ht="15.75" customHeight="1" x14ac:dyDescent="0.25">
      <c r="H604" s="40"/>
    </row>
    <row r="605" spans="8:8" ht="15.75" customHeight="1" x14ac:dyDescent="0.25">
      <c r="H605" s="40"/>
    </row>
    <row r="606" spans="8:8" ht="15.75" customHeight="1" x14ac:dyDescent="0.25">
      <c r="H606" s="40"/>
    </row>
    <row r="607" spans="8:8" ht="15.75" customHeight="1" x14ac:dyDescent="0.25">
      <c r="H607" s="40"/>
    </row>
    <row r="608" spans="8:8" ht="15.75" customHeight="1" x14ac:dyDescent="0.25">
      <c r="H608" s="40"/>
    </row>
    <row r="609" spans="8:8" ht="15.75" customHeight="1" x14ac:dyDescent="0.25">
      <c r="H609" s="40"/>
    </row>
    <row r="610" spans="8:8" ht="15.75" customHeight="1" x14ac:dyDescent="0.25">
      <c r="H610" s="40"/>
    </row>
    <row r="611" spans="8:8" ht="15.75" customHeight="1" x14ac:dyDescent="0.25">
      <c r="H611" s="40"/>
    </row>
    <row r="612" spans="8:8" ht="15.75" customHeight="1" x14ac:dyDescent="0.25">
      <c r="H612" s="40"/>
    </row>
    <row r="613" spans="8:8" ht="15.75" customHeight="1" x14ac:dyDescent="0.25">
      <c r="H613" s="40"/>
    </row>
    <row r="614" spans="8:8" ht="15.75" customHeight="1" x14ac:dyDescent="0.25">
      <c r="H614" s="40"/>
    </row>
    <row r="615" spans="8:8" ht="15.75" customHeight="1" x14ac:dyDescent="0.25">
      <c r="H615" s="40"/>
    </row>
    <row r="616" spans="8:8" ht="15.75" customHeight="1" x14ac:dyDescent="0.25">
      <c r="H616" s="40"/>
    </row>
    <row r="617" spans="8:8" ht="15.75" customHeight="1" x14ac:dyDescent="0.25">
      <c r="H617" s="40"/>
    </row>
    <row r="618" spans="8:8" ht="15.75" customHeight="1" x14ac:dyDescent="0.25">
      <c r="H618" s="40"/>
    </row>
    <row r="619" spans="8:8" ht="15.75" customHeight="1" x14ac:dyDescent="0.25">
      <c r="H619" s="40"/>
    </row>
    <row r="620" spans="8:8" ht="15.75" customHeight="1" x14ac:dyDescent="0.25">
      <c r="H620" s="40"/>
    </row>
    <row r="621" spans="8:8" ht="15.75" customHeight="1" x14ac:dyDescent="0.25">
      <c r="H621" s="40"/>
    </row>
    <row r="622" spans="8:8" ht="15.75" customHeight="1" x14ac:dyDescent="0.25">
      <c r="H622" s="40"/>
    </row>
    <row r="623" spans="8:8" ht="15.75" customHeight="1" x14ac:dyDescent="0.25">
      <c r="H623" s="40"/>
    </row>
    <row r="624" spans="8:8" ht="15.75" customHeight="1" x14ac:dyDescent="0.25">
      <c r="H624" s="40"/>
    </row>
    <row r="625" spans="8:8" ht="15.75" customHeight="1" x14ac:dyDescent="0.25">
      <c r="H625" s="40"/>
    </row>
    <row r="626" spans="8:8" ht="15.75" customHeight="1" x14ac:dyDescent="0.25">
      <c r="H626" s="40"/>
    </row>
    <row r="627" spans="8:8" ht="15.75" customHeight="1" x14ac:dyDescent="0.25">
      <c r="H627" s="40"/>
    </row>
    <row r="628" spans="8:8" ht="15.75" customHeight="1" x14ac:dyDescent="0.25">
      <c r="H628" s="40"/>
    </row>
    <row r="629" spans="8:8" ht="15.75" customHeight="1" x14ac:dyDescent="0.25">
      <c r="H629" s="40"/>
    </row>
    <row r="630" spans="8:8" ht="15.75" customHeight="1" x14ac:dyDescent="0.25">
      <c r="H630" s="40"/>
    </row>
    <row r="631" spans="8:8" ht="15.75" customHeight="1" x14ac:dyDescent="0.25">
      <c r="H631" s="40"/>
    </row>
    <row r="632" spans="8:8" ht="15.75" customHeight="1" x14ac:dyDescent="0.25">
      <c r="H632" s="40"/>
    </row>
    <row r="633" spans="8:8" ht="15.75" customHeight="1" x14ac:dyDescent="0.25">
      <c r="H633" s="40"/>
    </row>
    <row r="634" spans="8:8" ht="15.75" customHeight="1" x14ac:dyDescent="0.25">
      <c r="H634" s="40"/>
    </row>
    <row r="635" spans="8:8" ht="15.75" customHeight="1" x14ac:dyDescent="0.25">
      <c r="H635" s="40"/>
    </row>
    <row r="636" spans="8:8" ht="15.75" customHeight="1" x14ac:dyDescent="0.25">
      <c r="H636" s="40"/>
    </row>
    <row r="637" spans="8:8" ht="15.75" customHeight="1" x14ac:dyDescent="0.25">
      <c r="H637" s="40"/>
    </row>
    <row r="638" spans="8:8" ht="15.75" customHeight="1" x14ac:dyDescent="0.25">
      <c r="H638" s="40"/>
    </row>
    <row r="639" spans="8:8" ht="15.75" customHeight="1" x14ac:dyDescent="0.25">
      <c r="H639" s="40"/>
    </row>
    <row r="640" spans="8:8" ht="15.75" customHeight="1" x14ac:dyDescent="0.25">
      <c r="H640" s="40"/>
    </row>
    <row r="641" spans="8:8" ht="15.75" customHeight="1" x14ac:dyDescent="0.25">
      <c r="H641" s="40"/>
    </row>
    <row r="642" spans="8:8" ht="15.75" customHeight="1" x14ac:dyDescent="0.25">
      <c r="H642" s="40"/>
    </row>
    <row r="643" spans="8:8" ht="15.75" customHeight="1" x14ac:dyDescent="0.25">
      <c r="H643" s="40"/>
    </row>
    <row r="644" spans="8:8" ht="15.75" customHeight="1" x14ac:dyDescent="0.25">
      <c r="H644" s="40"/>
    </row>
    <row r="645" spans="8:8" ht="15.75" customHeight="1" x14ac:dyDescent="0.25">
      <c r="H645" s="40"/>
    </row>
    <row r="646" spans="8:8" ht="15.75" customHeight="1" x14ac:dyDescent="0.25">
      <c r="H646" s="40"/>
    </row>
    <row r="647" spans="8:8" ht="15.75" customHeight="1" x14ac:dyDescent="0.25">
      <c r="H647" s="40"/>
    </row>
    <row r="648" spans="8:8" ht="15.75" customHeight="1" x14ac:dyDescent="0.25">
      <c r="H648" s="40"/>
    </row>
    <row r="649" spans="8:8" ht="15.75" customHeight="1" x14ac:dyDescent="0.25">
      <c r="H649" s="40"/>
    </row>
    <row r="650" spans="8:8" ht="15.75" customHeight="1" x14ac:dyDescent="0.25">
      <c r="H650" s="40"/>
    </row>
    <row r="651" spans="8:8" ht="15.75" customHeight="1" x14ac:dyDescent="0.25">
      <c r="H651" s="40"/>
    </row>
    <row r="652" spans="8:8" ht="15.75" customHeight="1" x14ac:dyDescent="0.25">
      <c r="H652" s="40"/>
    </row>
    <row r="653" spans="8:8" ht="15.75" customHeight="1" x14ac:dyDescent="0.25">
      <c r="H653" s="40"/>
    </row>
    <row r="654" spans="8:8" ht="15.75" customHeight="1" x14ac:dyDescent="0.25">
      <c r="H654" s="40"/>
    </row>
    <row r="655" spans="8:8" ht="15.75" customHeight="1" x14ac:dyDescent="0.25">
      <c r="H655" s="40"/>
    </row>
    <row r="656" spans="8:8" ht="15.75" customHeight="1" x14ac:dyDescent="0.25">
      <c r="H656" s="40"/>
    </row>
    <row r="657" spans="8:8" ht="15.75" customHeight="1" x14ac:dyDescent="0.25">
      <c r="H657" s="40"/>
    </row>
    <row r="658" spans="8:8" ht="15.75" customHeight="1" x14ac:dyDescent="0.25">
      <c r="H658" s="40"/>
    </row>
    <row r="659" spans="8:8" ht="15.75" customHeight="1" x14ac:dyDescent="0.25">
      <c r="H659" s="40"/>
    </row>
    <row r="660" spans="8:8" ht="15.75" customHeight="1" x14ac:dyDescent="0.25">
      <c r="H660" s="40"/>
    </row>
    <row r="661" spans="8:8" ht="15.75" customHeight="1" x14ac:dyDescent="0.25">
      <c r="H661" s="40"/>
    </row>
    <row r="662" spans="8:8" ht="15.75" customHeight="1" x14ac:dyDescent="0.25">
      <c r="H662" s="40"/>
    </row>
    <row r="663" spans="8:8" ht="15.75" customHeight="1" x14ac:dyDescent="0.25">
      <c r="H663" s="40"/>
    </row>
    <row r="664" spans="8:8" ht="15.75" customHeight="1" x14ac:dyDescent="0.25">
      <c r="H664" s="40"/>
    </row>
    <row r="665" spans="8:8" ht="15.75" customHeight="1" x14ac:dyDescent="0.25">
      <c r="H665" s="40"/>
    </row>
    <row r="666" spans="8:8" ht="15.75" customHeight="1" x14ac:dyDescent="0.25">
      <c r="H666" s="40"/>
    </row>
    <row r="667" spans="8:8" ht="15.75" customHeight="1" x14ac:dyDescent="0.25">
      <c r="H667" s="40"/>
    </row>
    <row r="668" spans="8:8" ht="15.75" customHeight="1" x14ac:dyDescent="0.25">
      <c r="H668" s="40"/>
    </row>
    <row r="669" spans="8:8" ht="15.75" customHeight="1" x14ac:dyDescent="0.25">
      <c r="H669" s="40"/>
    </row>
    <row r="670" spans="8:8" ht="15.75" customHeight="1" x14ac:dyDescent="0.25">
      <c r="H670" s="40"/>
    </row>
    <row r="671" spans="8:8" ht="15.75" customHeight="1" x14ac:dyDescent="0.25">
      <c r="H671" s="40"/>
    </row>
    <row r="672" spans="8:8" ht="15.75" customHeight="1" x14ac:dyDescent="0.25">
      <c r="H672" s="40"/>
    </row>
    <row r="673" spans="8:8" ht="15.75" customHeight="1" x14ac:dyDescent="0.25">
      <c r="H673" s="40"/>
    </row>
    <row r="674" spans="8:8" ht="15.75" customHeight="1" x14ac:dyDescent="0.25">
      <c r="H674" s="40"/>
    </row>
    <row r="675" spans="8:8" ht="15.75" customHeight="1" x14ac:dyDescent="0.25">
      <c r="H675" s="40"/>
    </row>
    <row r="676" spans="8:8" ht="15.75" customHeight="1" x14ac:dyDescent="0.25">
      <c r="H676" s="40"/>
    </row>
    <row r="677" spans="8:8" ht="15.75" customHeight="1" x14ac:dyDescent="0.25">
      <c r="H677" s="40"/>
    </row>
    <row r="678" spans="8:8" ht="15.75" customHeight="1" x14ac:dyDescent="0.25">
      <c r="H678" s="40"/>
    </row>
    <row r="679" spans="8:8" ht="15.75" customHeight="1" x14ac:dyDescent="0.25">
      <c r="H679" s="40"/>
    </row>
    <row r="680" spans="8:8" ht="15.75" customHeight="1" x14ac:dyDescent="0.25">
      <c r="H680" s="40"/>
    </row>
    <row r="681" spans="8:8" ht="15.75" customHeight="1" x14ac:dyDescent="0.25">
      <c r="H681" s="40"/>
    </row>
    <row r="682" spans="8:8" ht="15.75" customHeight="1" x14ac:dyDescent="0.25">
      <c r="H682" s="40"/>
    </row>
    <row r="683" spans="8:8" ht="15.75" customHeight="1" x14ac:dyDescent="0.25">
      <c r="H683" s="40"/>
    </row>
    <row r="684" spans="8:8" ht="15.75" customHeight="1" x14ac:dyDescent="0.25">
      <c r="H684" s="40"/>
    </row>
    <row r="685" spans="8:8" ht="15.75" customHeight="1" x14ac:dyDescent="0.25">
      <c r="H685" s="40"/>
    </row>
    <row r="686" spans="8:8" ht="15.75" customHeight="1" x14ac:dyDescent="0.25">
      <c r="H686" s="40"/>
    </row>
    <row r="687" spans="8:8" ht="15.75" customHeight="1" x14ac:dyDescent="0.25">
      <c r="H687" s="40"/>
    </row>
    <row r="688" spans="8:8" ht="15.75" customHeight="1" x14ac:dyDescent="0.25">
      <c r="H688" s="40"/>
    </row>
    <row r="689" spans="8:8" ht="15.75" customHeight="1" x14ac:dyDescent="0.25">
      <c r="H689" s="40"/>
    </row>
    <row r="690" spans="8:8" ht="15.75" customHeight="1" x14ac:dyDescent="0.25">
      <c r="H690" s="40"/>
    </row>
    <row r="691" spans="8:8" ht="15.75" customHeight="1" x14ac:dyDescent="0.25">
      <c r="H691" s="40"/>
    </row>
    <row r="692" spans="8:8" ht="15.75" customHeight="1" x14ac:dyDescent="0.25">
      <c r="H692" s="40"/>
    </row>
    <row r="693" spans="8:8" ht="15.75" customHeight="1" x14ac:dyDescent="0.25">
      <c r="H693" s="40"/>
    </row>
    <row r="694" spans="8:8" ht="15.75" customHeight="1" x14ac:dyDescent="0.25">
      <c r="H694" s="40"/>
    </row>
    <row r="695" spans="8:8" ht="15.75" customHeight="1" x14ac:dyDescent="0.25">
      <c r="H695" s="40"/>
    </row>
    <row r="696" spans="8:8" ht="15.75" customHeight="1" x14ac:dyDescent="0.25">
      <c r="H696" s="40"/>
    </row>
    <row r="697" spans="8:8" ht="15.75" customHeight="1" x14ac:dyDescent="0.25">
      <c r="H697" s="40"/>
    </row>
    <row r="698" spans="8:8" ht="15.75" customHeight="1" x14ac:dyDescent="0.25">
      <c r="H698" s="40"/>
    </row>
    <row r="699" spans="8:8" ht="15.75" customHeight="1" x14ac:dyDescent="0.25">
      <c r="H699" s="40"/>
    </row>
    <row r="700" spans="8:8" ht="15.75" customHeight="1" x14ac:dyDescent="0.25">
      <c r="H700" s="40"/>
    </row>
    <row r="701" spans="8:8" ht="15.75" customHeight="1" x14ac:dyDescent="0.25">
      <c r="H701" s="40"/>
    </row>
    <row r="702" spans="8:8" ht="15.75" customHeight="1" x14ac:dyDescent="0.25">
      <c r="H702" s="40"/>
    </row>
    <row r="703" spans="8:8" ht="15.75" customHeight="1" x14ac:dyDescent="0.25">
      <c r="H703" s="40"/>
    </row>
    <row r="704" spans="8:8" ht="15.75" customHeight="1" x14ac:dyDescent="0.25">
      <c r="H704" s="40"/>
    </row>
    <row r="705" spans="8:8" ht="15.75" customHeight="1" x14ac:dyDescent="0.25">
      <c r="H705" s="40"/>
    </row>
    <row r="706" spans="8:8" ht="15.75" customHeight="1" x14ac:dyDescent="0.25">
      <c r="H706" s="40"/>
    </row>
    <row r="707" spans="8:8" ht="15.75" customHeight="1" x14ac:dyDescent="0.25">
      <c r="H707" s="40"/>
    </row>
    <row r="708" spans="8:8" ht="15.75" customHeight="1" x14ac:dyDescent="0.25">
      <c r="H708" s="40"/>
    </row>
    <row r="709" spans="8:8" ht="15.75" customHeight="1" x14ac:dyDescent="0.25">
      <c r="H709" s="40"/>
    </row>
    <row r="710" spans="8:8" ht="15.75" customHeight="1" x14ac:dyDescent="0.25">
      <c r="H710" s="40"/>
    </row>
    <row r="711" spans="8:8" ht="15.75" customHeight="1" x14ac:dyDescent="0.25">
      <c r="H711" s="40"/>
    </row>
    <row r="712" spans="8:8" ht="15.75" customHeight="1" x14ac:dyDescent="0.25">
      <c r="H712" s="40"/>
    </row>
    <row r="713" spans="8:8" ht="15.75" customHeight="1" x14ac:dyDescent="0.25">
      <c r="H713" s="40"/>
    </row>
    <row r="714" spans="8:8" ht="15.75" customHeight="1" x14ac:dyDescent="0.25">
      <c r="H714" s="40"/>
    </row>
    <row r="715" spans="8:8" ht="15.75" customHeight="1" x14ac:dyDescent="0.25">
      <c r="H715" s="40"/>
    </row>
    <row r="716" spans="8:8" ht="15.75" customHeight="1" x14ac:dyDescent="0.25">
      <c r="H716" s="40"/>
    </row>
    <row r="717" spans="8:8" ht="15.75" customHeight="1" x14ac:dyDescent="0.25">
      <c r="H717" s="40"/>
    </row>
    <row r="718" spans="8:8" ht="15.75" customHeight="1" x14ac:dyDescent="0.25">
      <c r="H718" s="40"/>
    </row>
    <row r="719" spans="8:8" ht="15.75" customHeight="1" x14ac:dyDescent="0.25">
      <c r="H719" s="40"/>
    </row>
    <row r="720" spans="8:8" ht="15.75" customHeight="1" x14ac:dyDescent="0.25">
      <c r="H720" s="40"/>
    </row>
    <row r="721" spans="8:8" ht="15.75" customHeight="1" x14ac:dyDescent="0.25">
      <c r="H721" s="40"/>
    </row>
    <row r="722" spans="8:8" ht="15.75" customHeight="1" x14ac:dyDescent="0.25">
      <c r="H722" s="40"/>
    </row>
    <row r="723" spans="8:8" ht="15.75" customHeight="1" x14ac:dyDescent="0.25">
      <c r="H723" s="40"/>
    </row>
    <row r="724" spans="8:8" ht="15.75" customHeight="1" x14ac:dyDescent="0.25">
      <c r="H724" s="40"/>
    </row>
    <row r="725" spans="8:8" ht="15.75" customHeight="1" x14ac:dyDescent="0.25">
      <c r="H725" s="40"/>
    </row>
    <row r="726" spans="8:8" ht="15.75" customHeight="1" x14ac:dyDescent="0.25">
      <c r="H726" s="40"/>
    </row>
    <row r="727" spans="8:8" ht="15.75" customHeight="1" x14ac:dyDescent="0.25">
      <c r="H727" s="40"/>
    </row>
    <row r="728" spans="8:8" ht="15.75" customHeight="1" x14ac:dyDescent="0.25">
      <c r="H728" s="40"/>
    </row>
    <row r="729" spans="8:8" ht="15.75" customHeight="1" x14ac:dyDescent="0.25">
      <c r="H729" s="40"/>
    </row>
    <row r="730" spans="8:8" ht="15.75" customHeight="1" x14ac:dyDescent="0.25">
      <c r="H730" s="40"/>
    </row>
    <row r="731" spans="8:8" ht="15.75" customHeight="1" x14ac:dyDescent="0.25">
      <c r="H731" s="40"/>
    </row>
    <row r="732" spans="8:8" ht="15.75" customHeight="1" x14ac:dyDescent="0.25">
      <c r="H732" s="40"/>
    </row>
    <row r="733" spans="8:8" ht="15.75" customHeight="1" x14ac:dyDescent="0.25">
      <c r="H733" s="40"/>
    </row>
    <row r="734" spans="8:8" ht="15.75" customHeight="1" x14ac:dyDescent="0.25">
      <c r="H734" s="40"/>
    </row>
    <row r="735" spans="8:8" ht="15.75" customHeight="1" x14ac:dyDescent="0.25">
      <c r="H735" s="40"/>
    </row>
    <row r="736" spans="8:8" ht="15.75" customHeight="1" x14ac:dyDescent="0.25">
      <c r="H736" s="40"/>
    </row>
    <row r="737" spans="8:8" ht="15.75" customHeight="1" x14ac:dyDescent="0.25">
      <c r="H737" s="40"/>
    </row>
    <row r="738" spans="8:8" ht="15.75" customHeight="1" x14ac:dyDescent="0.25">
      <c r="H738" s="40"/>
    </row>
    <row r="739" spans="8:8" ht="15.75" customHeight="1" x14ac:dyDescent="0.25">
      <c r="H739" s="40"/>
    </row>
    <row r="740" spans="8:8" ht="15.75" customHeight="1" x14ac:dyDescent="0.25">
      <c r="H740" s="40"/>
    </row>
    <row r="741" spans="8:8" ht="15.75" customHeight="1" x14ac:dyDescent="0.25">
      <c r="H741" s="40"/>
    </row>
    <row r="742" spans="8:8" ht="15.75" customHeight="1" x14ac:dyDescent="0.25">
      <c r="H742" s="40"/>
    </row>
    <row r="743" spans="8:8" ht="15.75" customHeight="1" x14ac:dyDescent="0.25">
      <c r="H743" s="40"/>
    </row>
    <row r="744" spans="8:8" ht="15.75" customHeight="1" x14ac:dyDescent="0.25">
      <c r="H744" s="40"/>
    </row>
    <row r="745" spans="8:8" ht="15.75" customHeight="1" x14ac:dyDescent="0.25">
      <c r="H745" s="40"/>
    </row>
    <row r="746" spans="8:8" ht="15.75" customHeight="1" x14ac:dyDescent="0.25">
      <c r="H746" s="40"/>
    </row>
    <row r="747" spans="8:8" ht="15.75" customHeight="1" x14ac:dyDescent="0.25">
      <c r="H747" s="40"/>
    </row>
    <row r="748" spans="8:8" ht="15.75" customHeight="1" x14ac:dyDescent="0.25">
      <c r="H748" s="40"/>
    </row>
    <row r="749" spans="8:8" ht="15.75" customHeight="1" x14ac:dyDescent="0.25">
      <c r="H749" s="40"/>
    </row>
    <row r="750" spans="8:8" ht="15.75" customHeight="1" x14ac:dyDescent="0.25">
      <c r="H750" s="40"/>
    </row>
    <row r="751" spans="8:8" ht="15.75" customHeight="1" x14ac:dyDescent="0.25">
      <c r="H751" s="40"/>
    </row>
    <row r="752" spans="8:8" ht="15.75" customHeight="1" x14ac:dyDescent="0.25">
      <c r="H752" s="40"/>
    </row>
    <row r="753" spans="8:8" ht="15.75" customHeight="1" x14ac:dyDescent="0.25">
      <c r="H753" s="40"/>
    </row>
    <row r="754" spans="8:8" ht="15.75" customHeight="1" x14ac:dyDescent="0.25">
      <c r="H754" s="40"/>
    </row>
    <row r="755" spans="8:8" ht="15.75" customHeight="1" x14ac:dyDescent="0.25">
      <c r="H755" s="40"/>
    </row>
    <row r="756" spans="8:8" ht="15.75" customHeight="1" x14ac:dyDescent="0.25">
      <c r="H756" s="40"/>
    </row>
    <row r="757" spans="8:8" ht="15.75" customHeight="1" x14ac:dyDescent="0.25">
      <c r="H757" s="40"/>
    </row>
    <row r="758" spans="8:8" ht="15.75" customHeight="1" x14ac:dyDescent="0.25">
      <c r="H758" s="40"/>
    </row>
    <row r="759" spans="8:8" ht="15.75" customHeight="1" x14ac:dyDescent="0.25">
      <c r="H759" s="40"/>
    </row>
    <row r="760" spans="8:8" ht="15.75" customHeight="1" x14ac:dyDescent="0.25">
      <c r="H760" s="40"/>
    </row>
    <row r="761" spans="8:8" ht="15.75" customHeight="1" x14ac:dyDescent="0.25">
      <c r="H761" s="40"/>
    </row>
    <row r="762" spans="8:8" ht="15.75" customHeight="1" x14ac:dyDescent="0.25">
      <c r="H762" s="40"/>
    </row>
    <row r="763" spans="8:8" ht="15.75" customHeight="1" x14ac:dyDescent="0.25">
      <c r="H763" s="40"/>
    </row>
    <row r="764" spans="8:8" ht="15.75" customHeight="1" x14ac:dyDescent="0.25">
      <c r="H764" s="40"/>
    </row>
    <row r="765" spans="8:8" ht="15.75" customHeight="1" x14ac:dyDescent="0.25">
      <c r="H765" s="40"/>
    </row>
    <row r="766" spans="8:8" ht="15.75" customHeight="1" x14ac:dyDescent="0.25">
      <c r="H766" s="40"/>
    </row>
    <row r="767" spans="8:8" ht="15.75" customHeight="1" x14ac:dyDescent="0.25">
      <c r="H767" s="40"/>
    </row>
    <row r="768" spans="8:8" ht="15.75" customHeight="1" x14ac:dyDescent="0.25">
      <c r="H768" s="40"/>
    </row>
    <row r="769" spans="8:8" ht="15.75" customHeight="1" x14ac:dyDescent="0.25">
      <c r="H769" s="40"/>
    </row>
    <row r="770" spans="8:8" ht="15.75" customHeight="1" x14ac:dyDescent="0.25">
      <c r="H770" s="40"/>
    </row>
    <row r="771" spans="8:8" ht="15.75" customHeight="1" x14ac:dyDescent="0.25">
      <c r="H771" s="40"/>
    </row>
    <row r="772" spans="8:8" ht="15.75" customHeight="1" x14ac:dyDescent="0.25">
      <c r="H772" s="40"/>
    </row>
    <row r="773" spans="8:8" ht="15.75" customHeight="1" x14ac:dyDescent="0.25">
      <c r="H773" s="40"/>
    </row>
    <row r="774" spans="8:8" ht="15.75" customHeight="1" x14ac:dyDescent="0.25">
      <c r="H774" s="40"/>
    </row>
    <row r="775" spans="8:8" ht="15.75" customHeight="1" x14ac:dyDescent="0.25">
      <c r="H775" s="40"/>
    </row>
    <row r="776" spans="8:8" ht="15.75" customHeight="1" x14ac:dyDescent="0.25">
      <c r="H776" s="40"/>
    </row>
    <row r="777" spans="8:8" ht="15.75" customHeight="1" x14ac:dyDescent="0.25">
      <c r="H777" s="40"/>
    </row>
    <row r="778" spans="8:8" ht="15.75" customHeight="1" x14ac:dyDescent="0.25">
      <c r="H778" s="40"/>
    </row>
    <row r="779" spans="8:8" ht="15.75" customHeight="1" x14ac:dyDescent="0.25">
      <c r="H779" s="40"/>
    </row>
    <row r="780" spans="8:8" ht="15.75" customHeight="1" x14ac:dyDescent="0.25">
      <c r="H780" s="40"/>
    </row>
    <row r="781" spans="8:8" ht="15.75" customHeight="1" x14ac:dyDescent="0.25">
      <c r="H781" s="40"/>
    </row>
    <row r="782" spans="8:8" ht="15.75" customHeight="1" x14ac:dyDescent="0.25">
      <c r="H782" s="40"/>
    </row>
    <row r="783" spans="8:8" ht="15.75" customHeight="1" x14ac:dyDescent="0.25">
      <c r="H783" s="40"/>
    </row>
    <row r="784" spans="8:8" ht="15.75" customHeight="1" x14ac:dyDescent="0.25">
      <c r="H784" s="40"/>
    </row>
    <row r="785" spans="8:8" ht="15.75" customHeight="1" x14ac:dyDescent="0.25">
      <c r="H785" s="40"/>
    </row>
    <row r="786" spans="8:8" ht="15.75" customHeight="1" x14ac:dyDescent="0.25">
      <c r="H786" s="40"/>
    </row>
    <row r="787" spans="8:8" ht="15.75" customHeight="1" x14ac:dyDescent="0.25">
      <c r="H787" s="40"/>
    </row>
    <row r="788" spans="8:8" ht="15.75" customHeight="1" x14ac:dyDescent="0.25">
      <c r="H788" s="40"/>
    </row>
    <row r="789" spans="8:8" ht="15.75" customHeight="1" x14ac:dyDescent="0.25">
      <c r="H789" s="40"/>
    </row>
    <row r="790" spans="8:8" ht="15.75" customHeight="1" x14ac:dyDescent="0.25">
      <c r="H790" s="40"/>
    </row>
    <row r="791" spans="8:8" ht="15.75" customHeight="1" x14ac:dyDescent="0.25">
      <c r="H791" s="40"/>
    </row>
    <row r="792" spans="8:8" ht="15.75" customHeight="1" x14ac:dyDescent="0.25">
      <c r="H792" s="40"/>
    </row>
    <row r="793" spans="8:8" ht="15.75" customHeight="1" x14ac:dyDescent="0.25">
      <c r="H793" s="40"/>
    </row>
    <row r="794" spans="8:8" ht="15.75" customHeight="1" x14ac:dyDescent="0.25">
      <c r="H794" s="40"/>
    </row>
    <row r="795" spans="8:8" ht="15.75" customHeight="1" x14ac:dyDescent="0.25">
      <c r="H795" s="40"/>
    </row>
    <row r="796" spans="8:8" ht="15.75" customHeight="1" x14ac:dyDescent="0.25">
      <c r="H796" s="40"/>
    </row>
    <row r="797" spans="8:8" ht="15.75" customHeight="1" x14ac:dyDescent="0.25">
      <c r="H797" s="40"/>
    </row>
    <row r="798" spans="8:8" ht="15.75" customHeight="1" x14ac:dyDescent="0.25">
      <c r="H798" s="40"/>
    </row>
    <row r="799" spans="8:8" ht="15.75" customHeight="1" x14ac:dyDescent="0.25">
      <c r="H799" s="40"/>
    </row>
    <row r="800" spans="8:8" ht="15.75" customHeight="1" x14ac:dyDescent="0.25">
      <c r="H800" s="40"/>
    </row>
    <row r="801" spans="8:8" ht="15.75" customHeight="1" x14ac:dyDescent="0.25">
      <c r="H801" s="40"/>
    </row>
    <row r="802" spans="8:8" ht="15.75" customHeight="1" x14ac:dyDescent="0.25">
      <c r="H802" s="40"/>
    </row>
    <row r="803" spans="8:8" ht="15.75" customHeight="1" x14ac:dyDescent="0.25">
      <c r="H803" s="40"/>
    </row>
    <row r="804" spans="8:8" ht="15.75" customHeight="1" x14ac:dyDescent="0.25">
      <c r="H804" s="40"/>
    </row>
    <row r="805" spans="8:8" ht="15.75" customHeight="1" x14ac:dyDescent="0.25">
      <c r="H805" s="40"/>
    </row>
    <row r="806" spans="8:8" ht="15.75" customHeight="1" x14ac:dyDescent="0.25">
      <c r="H806" s="40"/>
    </row>
    <row r="807" spans="8:8" ht="15.75" customHeight="1" x14ac:dyDescent="0.25">
      <c r="H807" s="40"/>
    </row>
    <row r="808" spans="8:8" ht="15.75" customHeight="1" x14ac:dyDescent="0.25">
      <c r="H808" s="40"/>
    </row>
    <row r="809" spans="8:8" ht="15.75" customHeight="1" x14ac:dyDescent="0.25">
      <c r="H809" s="40"/>
    </row>
    <row r="810" spans="8:8" ht="15.75" customHeight="1" x14ac:dyDescent="0.25">
      <c r="H810" s="40"/>
    </row>
    <row r="811" spans="8:8" ht="15.75" customHeight="1" x14ac:dyDescent="0.25">
      <c r="H811" s="40"/>
    </row>
    <row r="812" spans="8:8" ht="15.75" customHeight="1" x14ac:dyDescent="0.25">
      <c r="H812" s="40"/>
    </row>
    <row r="813" spans="8:8" ht="15.75" customHeight="1" x14ac:dyDescent="0.25">
      <c r="H813" s="40"/>
    </row>
    <row r="814" spans="8:8" ht="15.75" customHeight="1" x14ac:dyDescent="0.25">
      <c r="H814" s="40"/>
    </row>
    <row r="815" spans="8:8" ht="15.75" customHeight="1" x14ac:dyDescent="0.25">
      <c r="H815" s="40"/>
    </row>
    <row r="816" spans="8:8" ht="15.75" customHeight="1" x14ac:dyDescent="0.25">
      <c r="H816" s="40"/>
    </row>
    <row r="817" spans="8:8" ht="15.75" customHeight="1" x14ac:dyDescent="0.25">
      <c r="H817" s="40"/>
    </row>
    <row r="818" spans="8:8" ht="15.75" customHeight="1" x14ac:dyDescent="0.25">
      <c r="H818" s="40"/>
    </row>
    <row r="819" spans="8:8" ht="15.75" customHeight="1" x14ac:dyDescent="0.25">
      <c r="H819" s="40"/>
    </row>
    <row r="820" spans="8:8" ht="15.75" customHeight="1" x14ac:dyDescent="0.25">
      <c r="H820" s="40"/>
    </row>
    <row r="821" spans="8:8" ht="15.75" customHeight="1" x14ac:dyDescent="0.25">
      <c r="H821" s="40"/>
    </row>
    <row r="822" spans="8:8" ht="15.75" customHeight="1" x14ac:dyDescent="0.25">
      <c r="H822" s="40"/>
    </row>
    <row r="823" spans="8:8" ht="15.75" customHeight="1" x14ac:dyDescent="0.25">
      <c r="H823" s="40"/>
    </row>
    <row r="824" spans="8:8" ht="15.75" customHeight="1" x14ac:dyDescent="0.25">
      <c r="H824" s="40"/>
    </row>
    <row r="825" spans="8:8" ht="15.75" customHeight="1" x14ac:dyDescent="0.25">
      <c r="H825" s="40"/>
    </row>
    <row r="826" spans="8:8" ht="15.75" customHeight="1" x14ac:dyDescent="0.25">
      <c r="H826" s="40"/>
    </row>
    <row r="827" spans="8:8" ht="15.75" customHeight="1" x14ac:dyDescent="0.25">
      <c r="H827" s="40"/>
    </row>
    <row r="828" spans="8:8" ht="15.75" customHeight="1" x14ac:dyDescent="0.25">
      <c r="H828" s="40"/>
    </row>
    <row r="829" spans="8:8" ht="15.75" customHeight="1" x14ac:dyDescent="0.25">
      <c r="H829" s="40"/>
    </row>
    <row r="830" spans="8:8" ht="15.75" customHeight="1" x14ac:dyDescent="0.25">
      <c r="H830" s="40"/>
    </row>
    <row r="831" spans="8:8" ht="15.75" customHeight="1" x14ac:dyDescent="0.25">
      <c r="H831" s="40"/>
    </row>
    <row r="832" spans="8:8" ht="15.75" customHeight="1" x14ac:dyDescent="0.25">
      <c r="H832" s="40"/>
    </row>
    <row r="833" spans="8:8" ht="15.75" customHeight="1" x14ac:dyDescent="0.25">
      <c r="H833" s="40"/>
    </row>
    <row r="834" spans="8:8" ht="15.75" customHeight="1" x14ac:dyDescent="0.25">
      <c r="H834" s="40"/>
    </row>
    <row r="835" spans="8:8" ht="15.75" customHeight="1" x14ac:dyDescent="0.25">
      <c r="H835" s="40"/>
    </row>
    <row r="836" spans="8:8" ht="15.75" customHeight="1" x14ac:dyDescent="0.25">
      <c r="H836" s="40"/>
    </row>
    <row r="837" spans="8:8" ht="15.75" customHeight="1" x14ac:dyDescent="0.25">
      <c r="H837" s="40"/>
    </row>
    <row r="838" spans="8:8" ht="15.75" customHeight="1" x14ac:dyDescent="0.25">
      <c r="H838" s="40"/>
    </row>
    <row r="839" spans="8:8" ht="15.75" customHeight="1" x14ac:dyDescent="0.25">
      <c r="H839" s="40"/>
    </row>
    <row r="840" spans="8:8" ht="15.75" customHeight="1" x14ac:dyDescent="0.25">
      <c r="H840" s="40"/>
    </row>
    <row r="841" spans="8:8" ht="15.75" customHeight="1" x14ac:dyDescent="0.25">
      <c r="H841" s="40"/>
    </row>
    <row r="842" spans="8:8" ht="15.75" customHeight="1" x14ac:dyDescent="0.25">
      <c r="H842" s="40"/>
    </row>
    <row r="843" spans="8:8" ht="15.75" customHeight="1" x14ac:dyDescent="0.25">
      <c r="H843" s="40"/>
    </row>
    <row r="844" spans="8:8" ht="15.75" customHeight="1" x14ac:dyDescent="0.25">
      <c r="H844" s="40"/>
    </row>
    <row r="845" spans="8:8" ht="15.75" customHeight="1" x14ac:dyDescent="0.25">
      <c r="H845" s="40"/>
    </row>
    <row r="846" spans="8:8" ht="15.75" customHeight="1" x14ac:dyDescent="0.25">
      <c r="H846" s="40"/>
    </row>
    <row r="847" spans="8:8" ht="15.75" customHeight="1" x14ac:dyDescent="0.25">
      <c r="H847" s="40"/>
    </row>
    <row r="848" spans="8:8" ht="15.75" customHeight="1" x14ac:dyDescent="0.25">
      <c r="H848" s="40"/>
    </row>
    <row r="849" spans="8:8" ht="15.75" customHeight="1" x14ac:dyDescent="0.25">
      <c r="H849" s="40"/>
    </row>
    <row r="850" spans="8:8" ht="15.75" customHeight="1" x14ac:dyDescent="0.25">
      <c r="H850" s="40"/>
    </row>
    <row r="851" spans="8:8" ht="15.75" customHeight="1" x14ac:dyDescent="0.25">
      <c r="H851" s="40"/>
    </row>
    <row r="852" spans="8:8" ht="15.75" customHeight="1" x14ac:dyDescent="0.25">
      <c r="H852" s="40"/>
    </row>
    <row r="853" spans="8:8" ht="15.75" customHeight="1" x14ac:dyDescent="0.25">
      <c r="H853" s="40"/>
    </row>
    <row r="854" spans="8:8" ht="15.75" customHeight="1" x14ac:dyDescent="0.25">
      <c r="H854" s="40"/>
    </row>
    <row r="855" spans="8:8" ht="15.75" customHeight="1" x14ac:dyDescent="0.25">
      <c r="H855" s="40"/>
    </row>
    <row r="856" spans="8:8" ht="15.75" customHeight="1" x14ac:dyDescent="0.25">
      <c r="H856" s="40"/>
    </row>
    <row r="857" spans="8:8" ht="15.75" customHeight="1" x14ac:dyDescent="0.25">
      <c r="H857" s="40"/>
    </row>
    <row r="858" spans="8:8" ht="15.75" customHeight="1" x14ac:dyDescent="0.25">
      <c r="H858" s="40"/>
    </row>
    <row r="859" spans="8:8" ht="15.75" customHeight="1" x14ac:dyDescent="0.25">
      <c r="H859" s="40"/>
    </row>
    <row r="860" spans="8:8" ht="15.75" customHeight="1" x14ac:dyDescent="0.25">
      <c r="H860" s="40"/>
    </row>
    <row r="861" spans="8:8" ht="15.75" customHeight="1" x14ac:dyDescent="0.25">
      <c r="H861" s="40"/>
    </row>
    <row r="862" spans="8:8" ht="15.75" customHeight="1" x14ac:dyDescent="0.25">
      <c r="H862" s="40"/>
    </row>
    <row r="863" spans="8:8" ht="15.75" customHeight="1" x14ac:dyDescent="0.25">
      <c r="H863" s="40"/>
    </row>
    <row r="864" spans="8:8" ht="15.75" customHeight="1" x14ac:dyDescent="0.25">
      <c r="H864" s="40"/>
    </row>
    <row r="865" spans="8:8" ht="15.75" customHeight="1" x14ac:dyDescent="0.25">
      <c r="H865" s="40"/>
    </row>
    <row r="866" spans="8:8" ht="15.75" customHeight="1" x14ac:dyDescent="0.25">
      <c r="H866" s="40"/>
    </row>
    <row r="867" spans="8:8" ht="15.75" customHeight="1" x14ac:dyDescent="0.25">
      <c r="H867" s="40"/>
    </row>
    <row r="868" spans="8:8" ht="15.75" customHeight="1" x14ac:dyDescent="0.25">
      <c r="H868" s="40"/>
    </row>
    <row r="869" spans="8:8" ht="15.75" customHeight="1" x14ac:dyDescent="0.25">
      <c r="H869" s="40"/>
    </row>
    <row r="870" spans="8:8" ht="15.75" customHeight="1" x14ac:dyDescent="0.25">
      <c r="H870" s="40"/>
    </row>
    <row r="871" spans="8:8" ht="15.75" customHeight="1" x14ac:dyDescent="0.25">
      <c r="H871" s="40"/>
    </row>
    <row r="872" spans="8:8" ht="15.75" customHeight="1" x14ac:dyDescent="0.25">
      <c r="H872" s="40"/>
    </row>
    <row r="873" spans="8:8" ht="15.75" customHeight="1" x14ac:dyDescent="0.25">
      <c r="H873" s="40"/>
    </row>
    <row r="874" spans="8:8" ht="15.75" customHeight="1" x14ac:dyDescent="0.25">
      <c r="H874" s="40"/>
    </row>
    <row r="875" spans="8:8" ht="15.75" customHeight="1" x14ac:dyDescent="0.25">
      <c r="H875" s="40"/>
    </row>
    <row r="876" spans="8:8" ht="15.75" customHeight="1" x14ac:dyDescent="0.25">
      <c r="H876" s="40"/>
    </row>
    <row r="877" spans="8:8" ht="15.75" customHeight="1" x14ac:dyDescent="0.25">
      <c r="H877" s="40"/>
    </row>
    <row r="878" spans="8:8" ht="15.75" customHeight="1" x14ac:dyDescent="0.25">
      <c r="H878" s="40"/>
    </row>
    <row r="879" spans="8:8" ht="15.75" customHeight="1" x14ac:dyDescent="0.25">
      <c r="H879" s="40"/>
    </row>
    <row r="880" spans="8:8" ht="15.75" customHeight="1" x14ac:dyDescent="0.25">
      <c r="H880" s="40"/>
    </row>
    <row r="881" spans="8:8" ht="15.75" customHeight="1" x14ac:dyDescent="0.25">
      <c r="H881" s="40"/>
    </row>
    <row r="882" spans="8:8" ht="15.75" customHeight="1" x14ac:dyDescent="0.25">
      <c r="H882" s="40"/>
    </row>
    <row r="883" spans="8:8" ht="15.75" customHeight="1" x14ac:dyDescent="0.25">
      <c r="H883" s="40"/>
    </row>
    <row r="884" spans="8:8" ht="15.75" customHeight="1" x14ac:dyDescent="0.25">
      <c r="H884" s="40"/>
    </row>
    <row r="885" spans="8:8" ht="15.75" customHeight="1" x14ac:dyDescent="0.25">
      <c r="H885" s="40"/>
    </row>
    <row r="886" spans="8:8" ht="15.75" customHeight="1" x14ac:dyDescent="0.25">
      <c r="H886" s="40"/>
    </row>
    <row r="887" spans="8:8" ht="15.75" customHeight="1" x14ac:dyDescent="0.25">
      <c r="H887" s="40"/>
    </row>
    <row r="888" spans="8:8" ht="15.75" customHeight="1" x14ac:dyDescent="0.25">
      <c r="H888" s="40"/>
    </row>
    <row r="889" spans="8:8" ht="15.75" customHeight="1" x14ac:dyDescent="0.25">
      <c r="H889" s="40"/>
    </row>
    <row r="890" spans="8:8" ht="15.75" customHeight="1" x14ac:dyDescent="0.25">
      <c r="H890" s="40"/>
    </row>
    <row r="891" spans="8:8" ht="15.75" customHeight="1" x14ac:dyDescent="0.25">
      <c r="H891" s="40"/>
    </row>
    <row r="892" spans="8:8" ht="15.75" customHeight="1" x14ac:dyDescent="0.25">
      <c r="H892" s="40"/>
    </row>
    <row r="893" spans="8:8" ht="15.75" customHeight="1" x14ac:dyDescent="0.25">
      <c r="H893" s="40"/>
    </row>
    <row r="894" spans="8:8" ht="15.75" customHeight="1" x14ac:dyDescent="0.25">
      <c r="H894" s="40"/>
    </row>
    <row r="895" spans="8:8" ht="15.75" customHeight="1" x14ac:dyDescent="0.25">
      <c r="H895" s="40"/>
    </row>
    <row r="896" spans="8:8" ht="15.75" customHeight="1" x14ac:dyDescent="0.25">
      <c r="H896" s="40"/>
    </row>
    <row r="897" spans="8:8" ht="15.75" customHeight="1" x14ac:dyDescent="0.25">
      <c r="H897" s="40"/>
    </row>
    <row r="898" spans="8:8" ht="15.75" customHeight="1" x14ac:dyDescent="0.25">
      <c r="H898" s="40"/>
    </row>
    <row r="899" spans="8:8" ht="15.75" customHeight="1" x14ac:dyDescent="0.25">
      <c r="H899" s="40"/>
    </row>
    <row r="900" spans="8:8" ht="15.75" customHeight="1" x14ac:dyDescent="0.25">
      <c r="H900" s="40"/>
    </row>
    <row r="901" spans="8:8" ht="15.75" customHeight="1" x14ac:dyDescent="0.25">
      <c r="H901" s="40"/>
    </row>
    <row r="902" spans="8:8" ht="15.75" customHeight="1" x14ac:dyDescent="0.25">
      <c r="H902" s="40"/>
    </row>
    <row r="903" spans="8:8" ht="15.75" customHeight="1" x14ac:dyDescent="0.25">
      <c r="H903" s="40"/>
    </row>
    <row r="904" spans="8:8" ht="15.75" customHeight="1" x14ac:dyDescent="0.25">
      <c r="H904" s="40"/>
    </row>
    <row r="905" spans="8:8" ht="15.75" customHeight="1" x14ac:dyDescent="0.25">
      <c r="H905" s="40"/>
    </row>
    <row r="906" spans="8:8" ht="15.75" customHeight="1" x14ac:dyDescent="0.25">
      <c r="H906" s="40"/>
    </row>
    <row r="907" spans="8:8" ht="15.75" customHeight="1" x14ac:dyDescent="0.25">
      <c r="H907" s="40"/>
    </row>
    <row r="908" spans="8:8" ht="15.75" customHeight="1" x14ac:dyDescent="0.25">
      <c r="H908" s="40"/>
    </row>
    <row r="909" spans="8:8" ht="15.75" customHeight="1" x14ac:dyDescent="0.25">
      <c r="H909" s="40"/>
    </row>
    <row r="910" spans="8:8" ht="15.75" customHeight="1" x14ac:dyDescent="0.25">
      <c r="H910" s="40"/>
    </row>
    <row r="911" spans="8:8" ht="15.75" customHeight="1" x14ac:dyDescent="0.25">
      <c r="H911" s="40"/>
    </row>
    <row r="912" spans="8:8" ht="15.75" customHeight="1" x14ac:dyDescent="0.25">
      <c r="H912" s="40"/>
    </row>
    <row r="913" spans="8:8" ht="15.75" customHeight="1" x14ac:dyDescent="0.25">
      <c r="H913" s="40"/>
    </row>
    <row r="914" spans="8:8" ht="15.75" customHeight="1" x14ac:dyDescent="0.25">
      <c r="H914" s="40"/>
    </row>
    <row r="915" spans="8:8" ht="15.75" customHeight="1" x14ac:dyDescent="0.25">
      <c r="H915" s="40"/>
    </row>
    <row r="916" spans="8:8" ht="15.75" customHeight="1" x14ac:dyDescent="0.25">
      <c r="H916" s="40"/>
    </row>
    <row r="917" spans="8:8" ht="15.75" customHeight="1" x14ac:dyDescent="0.25">
      <c r="H917" s="40"/>
    </row>
    <row r="918" spans="8:8" ht="15.75" customHeight="1" x14ac:dyDescent="0.25">
      <c r="H918" s="40"/>
    </row>
    <row r="919" spans="8:8" ht="15.75" customHeight="1" x14ac:dyDescent="0.25">
      <c r="H919" s="40"/>
    </row>
    <row r="920" spans="8:8" ht="15.75" customHeight="1" x14ac:dyDescent="0.25">
      <c r="H920" s="40"/>
    </row>
    <row r="921" spans="8:8" ht="15.75" customHeight="1" x14ac:dyDescent="0.25">
      <c r="H921" s="40"/>
    </row>
    <row r="922" spans="8:8" ht="15.75" customHeight="1" x14ac:dyDescent="0.25">
      <c r="H922" s="40"/>
    </row>
    <row r="923" spans="8:8" ht="15.75" customHeight="1" x14ac:dyDescent="0.25">
      <c r="H923" s="40"/>
    </row>
    <row r="924" spans="8:8" ht="15.75" customHeight="1" x14ac:dyDescent="0.25">
      <c r="H924" s="40"/>
    </row>
    <row r="925" spans="8:8" ht="15.75" customHeight="1" x14ac:dyDescent="0.25">
      <c r="H925" s="40"/>
    </row>
    <row r="926" spans="8:8" ht="15.75" customHeight="1" x14ac:dyDescent="0.25">
      <c r="H926" s="40"/>
    </row>
    <row r="927" spans="8:8" ht="15.75" customHeight="1" x14ac:dyDescent="0.25">
      <c r="H927" s="40"/>
    </row>
    <row r="928" spans="8:8" ht="15.75" customHeight="1" x14ac:dyDescent="0.25">
      <c r="H928" s="40"/>
    </row>
    <row r="929" spans="8:8" ht="15.75" customHeight="1" x14ac:dyDescent="0.25">
      <c r="H929" s="40"/>
    </row>
    <row r="930" spans="8:8" ht="15.75" customHeight="1" x14ac:dyDescent="0.25">
      <c r="H930" s="40"/>
    </row>
    <row r="931" spans="8:8" ht="15.75" customHeight="1" x14ac:dyDescent="0.25">
      <c r="H931" s="40"/>
    </row>
    <row r="932" spans="8:8" ht="15.75" customHeight="1" x14ac:dyDescent="0.25">
      <c r="H932" s="40"/>
    </row>
    <row r="933" spans="8:8" ht="15.75" customHeight="1" x14ac:dyDescent="0.25">
      <c r="H933" s="40"/>
    </row>
    <row r="934" spans="8:8" ht="15.75" customHeight="1" x14ac:dyDescent="0.25">
      <c r="H934" s="40"/>
    </row>
    <row r="935" spans="8:8" ht="15.75" customHeight="1" x14ac:dyDescent="0.25">
      <c r="H935" s="40"/>
    </row>
    <row r="936" spans="8:8" ht="15.75" customHeight="1" x14ac:dyDescent="0.25">
      <c r="H936" s="40"/>
    </row>
    <row r="937" spans="8:8" ht="15.75" customHeight="1" x14ac:dyDescent="0.25">
      <c r="H937" s="40"/>
    </row>
    <row r="938" spans="8:8" ht="15.75" customHeight="1" x14ac:dyDescent="0.25">
      <c r="H938" s="40"/>
    </row>
    <row r="939" spans="8:8" ht="15.75" customHeight="1" x14ac:dyDescent="0.25">
      <c r="H939" s="40"/>
    </row>
    <row r="940" spans="8:8" ht="15.75" customHeight="1" x14ac:dyDescent="0.25">
      <c r="H940" s="40"/>
    </row>
    <row r="941" spans="8:8" ht="15.75" customHeight="1" x14ac:dyDescent="0.25">
      <c r="H941" s="40"/>
    </row>
    <row r="942" spans="8:8" ht="15.75" customHeight="1" x14ac:dyDescent="0.25">
      <c r="H942" s="40"/>
    </row>
    <row r="943" spans="8:8" ht="15.75" customHeight="1" x14ac:dyDescent="0.25">
      <c r="H943" s="40"/>
    </row>
    <row r="944" spans="8:8" ht="15.75" customHeight="1" x14ac:dyDescent="0.25">
      <c r="H944" s="40"/>
    </row>
    <row r="945" spans="8:8" ht="15.75" customHeight="1" x14ac:dyDescent="0.25">
      <c r="H945" s="40"/>
    </row>
    <row r="946" spans="8:8" ht="15.75" customHeight="1" x14ac:dyDescent="0.25">
      <c r="H946" s="40"/>
    </row>
    <row r="947" spans="8:8" ht="15.75" customHeight="1" x14ac:dyDescent="0.25">
      <c r="H947" s="40"/>
    </row>
    <row r="948" spans="8:8" ht="15.75" customHeight="1" x14ac:dyDescent="0.25">
      <c r="H948" s="40"/>
    </row>
    <row r="949" spans="8:8" ht="15.75" customHeight="1" x14ac:dyDescent="0.25">
      <c r="H949" s="40"/>
    </row>
    <row r="950" spans="8:8" ht="15.75" customHeight="1" x14ac:dyDescent="0.25">
      <c r="H950" s="40"/>
    </row>
    <row r="951" spans="8:8" ht="15.75" customHeight="1" x14ac:dyDescent="0.25">
      <c r="H951" s="40"/>
    </row>
    <row r="952" spans="8:8" ht="15.75" customHeight="1" x14ac:dyDescent="0.25">
      <c r="H952" s="40"/>
    </row>
    <row r="953" spans="8:8" ht="15.75" customHeight="1" x14ac:dyDescent="0.25">
      <c r="H953" s="40"/>
    </row>
    <row r="954" spans="8:8" ht="15.75" customHeight="1" x14ac:dyDescent="0.25">
      <c r="H954" s="40"/>
    </row>
    <row r="955" spans="8:8" ht="15.75" customHeight="1" x14ac:dyDescent="0.25">
      <c r="H955" s="40"/>
    </row>
    <row r="956" spans="8:8" ht="15.75" customHeight="1" x14ac:dyDescent="0.25">
      <c r="H956" s="40"/>
    </row>
    <row r="957" spans="8:8" ht="15.75" customHeight="1" x14ac:dyDescent="0.25">
      <c r="H957" s="40"/>
    </row>
    <row r="958" spans="8:8" ht="15.75" customHeight="1" x14ac:dyDescent="0.25">
      <c r="H958" s="40"/>
    </row>
    <row r="959" spans="8:8" ht="15.75" customHeight="1" x14ac:dyDescent="0.25">
      <c r="H959" s="40"/>
    </row>
    <row r="960" spans="8:8" ht="15.75" customHeight="1" x14ac:dyDescent="0.25">
      <c r="H960" s="40"/>
    </row>
    <row r="961" spans="8:8" ht="15.75" customHeight="1" x14ac:dyDescent="0.25">
      <c r="H961" s="40"/>
    </row>
    <row r="962" spans="8:8" ht="15.75" customHeight="1" x14ac:dyDescent="0.25">
      <c r="H962" s="40"/>
    </row>
    <row r="963" spans="8:8" ht="15.75" customHeight="1" x14ac:dyDescent="0.25">
      <c r="H963" s="40"/>
    </row>
    <row r="964" spans="8:8" ht="15.75" customHeight="1" x14ac:dyDescent="0.25">
      <c r="H964" s="40"/>
    </row>
    <row r="965" spans="8:8" ht="15.75" customHeight="1" x14ac:dyDescent="0.25">
      <c r="H965" s="40"/>
    </row>
    <row r="966" spans="8:8" ht="15.75" customHeight="1" x14ac:dyDescent="0.25">
      <c r="H966" s="40"/>
    </row>
    <row r="967" spans="8:8" ht="15.75" customHeight="1" x14ac:dyDescent="0.25">
      <c r="H967" s="40"/>
    </row>
    <row r="968" spans="8:8" ht="15.75" customHeight="1" x14ac:dyDescent="0.25">
      <c r="H968" s="40"/>
    </row>
    <row r="969" spans="8:8" ht="15.75" customHeight="1" x14ac:dyDescent="0.25">
      <c r="H969" s="40"/>
    </row>
    <row r="970" spans="8:8" ht="15.75" customHeight="1" x14ac:dyDescent="0.25">
      <c r="H970" s="40"/>
    </row>
    <row r="971" spans="8:8" ht="15.75" customHeight="1" x14ac:dyDescent="0.25">
      <c r="H971" s="40"/>
    </row>
    <row r="972" spans="8:8" ht="15.75" customHeight="1" x14ac:dyDescent="0.25">
      <c r="H972" s="40"/>
    </row>
    <row r="973" spans="8:8" ht="15.75" customHeight="1" x14ac:dyDescent="0.25">
      <c r="H973" s="40"/>
    </row>
    <row r="974" spans="8:8" ht="15.75" customHeight="1" x14ac:dyDescent="0.25">
      <c r="H974" s="40"/>
    </row>
    <row r="975" spans="8:8" ht="15.75" customHeight="1" x14ac:dyDescent="0.25">
      <c r="H975" s="40"/>
    </row>
    <row r="976" spans="8:8" ht="15.75" customHeight="1" x14ac:dyDescent="0.25">
      <c r="H976" s="40"/>
    </row>
    <row r="977" spans="8:8" ht="15.75" customHeight="1" x14ac:dyDescent="0.25">
      <c r="H977" s="40"/>
    </row>
    <row r="978" spans="8:8" ht="15.75" customHeight="1" x14ac:dyDescent="0.25">
      <c r="H978" s="40"/>
    </row>
    <row r="979" spans="8:8" ht="15.75" customHeight="1" x14ac:dyDescent="0.25">
      <c r="H979" s="40"/>
    </row>
    <row r="980" spans="8:8" ht="15.75" customHeight="1" x14ac:dyDescent="0.25">
      <c r="H980" s="40"/>
    </row>
    <row r="981" spans="8:8" ht="15.75" customHeight="1" x14ac:dyDescent="0.25">
      <c r="H981" s="40"/>
    </row>
    <row r="982" spans="8:8" ht="15.75" customHeight="1" x14ac:dyDescent="0.25">
      <c r="H982" s="40"/>
    </row>
    <row r="983" spans="8:8" ht="15.75" customHeight="1" x14ac:dyDescent="0.25">
      <c r="H983" s="40"/>
    </row>
    <row r="984" spans="8:8" ht="15.75" customHeight="1" x14ac:dyDescent="0.25">
      <c r="H984" s="40"/>
    </row>
    <row r="985" spans="8:8" ht="15.75" customHeight="1" x14ac:dyDescent="0.25">
      <c r="H985" s="40"/>
    </row>
    <row r="986" spans="8:8" ht="15.75" customHeight="1" x14ac:dyDescent="0.25">
      <c r="H986" s="40"/>
    </row>
    <row r="987" spans="8:8" ht="15.75" customHeight="1" x14ac:dyDescent="0.25">
      <c r="H987" s="40"/>
    </row>
    <row r="988" spans="8:8" ht="15.75" customHeight="1" x14ac:dyDescent="0.25">
      <c r="H988" s="40"/>
    </row>
    <row r="989" spans="8:8" ht="15.75" customHeight="1" x14ac:dyDescent="0.25">
      <c r="H989" s="40"/>
    </row>
    <row r="990" spans="8:8" ht="15.75" customHeight="1" x14ac:dyDescent="0.25">
      <c r="H990" s="40"/>
    </row>
    <row r="991" spans="8:8" ht="15.75" customHeight="1" x14ac:dyDescent="0.25">
      <c r="H991" s="40"/>
    </row>
    <row r="992" spans="8:8" ht="15.75" customHeight="1" x14ac:dyDescent="0.25">
      <c r="H992" s="40"/>
    </row>
    <row r="993" spans="8:8" ht="15.75" customHeight="1" x14ac:dyDescent="0.25">
      <c r="H993" s="40"/>
    </row>
    <row r="994" spans="8:8" ht="15.75" customHeight="1" x14ac:dyDescent="0.25">
      <c r="H994" s="40"/>
    </row>
    <row r="995" spans="8:8" ht="15.75" customHeight="1" x14ac:dyDescent="0.25">
      <c r="H995" s="40"/>
    </row>
    <row r="996" spans="8:8" ht="15.75" customHeight="1" x14ac:dyDescent="0.25">
      <c r="H996" s="40"/>
    </row>
    <row r="997" spans="8:8" ht="15.75" customHeight="1" x14ac:dyDescent="0.25">
      <c r="H997" s="40"/>
    </row>
    <row r="998" spans="8:8" ht="15.75" customHeight="1" x14ac:dyDescent="0.25">
      <c r="H998" s="40"/>
    </row>
    <row r="999" spans="8:8" ht="15.75" customHeight="1" x14ac:dyDescent="0.25">
      <c r="H999" s="40"/>
    </row>
    <row r="1000" spans="8:8" ht="15.75" customHeight="1" x14ac:dyDescent="0.25">
      <c r="H1000" s="40"/>
    </row>
    <row r="1001" spans="8:8" ht="15.75" customHeight="1" x14ac:dyDescent="0.25">
      <c r="H1001" s="40"/>
    </row>
    <row r="1002" spans="8:8" ht="15.75" customHeight="1" x14ac:dyDescent="0.25">
      <c r="H1002" s="40"/>
    </row>
    <row r="1003" spans="8:8" ht="15.75" customHeight="1" x14ac:dyDescent="0.25">
      <c r="H1003" s="40"/>
    </row>
    <row r="1004" spans="8:8" ht="15.75" customHeight="1" x14ac:dyDescent="0.25">
      <c r="H1004" s="40"/>
    </row>
    <row r="1005" spans="8:8" ht="15.75" customHeight="1" x14ac:dyDescent="0.25">
      <c r="H1005" s="40"/>
    </row>
    <row r="1006" spans="8:8" ht="15.75" customHeight="1" x14ac:dyDescent="0.25">
      <c r="H1006" s="40"/>
    </row>
    <row r="1007" spans="8:8" ht="15.75" customHeight="1" x14ac:dyDescent="0.25">
      <c r="H1007" s="40"/>
    </row>
    <row r="1008" spans="8:8" ht="15.75" customHeight="1" x14ac:dyDescent="0.25">
      <c r="H1008" s="40"/>
    </row>
    <row r="1009" spans="8:8" ht="15.75" customHeight="1" x14ac:dyDescent="0.25">
      <c r="H1009" s="40"/>
    </row>
    <row r="1010" spans="8:8" ht="15.75" customHeight="1" x14ac:dyDescent="0.25">
      <c r="H1010" s="40"/>
    </row>
    <row r="1011" spans="8:8" ht="15.75" customHeight="1" x14ac:dyDescent="0.25">
      <c r="H1011" s="40"/>
    </row>
    <row r="1012" spans="8:8" ht="15.75" customHeight="1" x14ac:dyDescent="0.25">
      <c r="H1012" s="40"/>
    </row>
    <row r="1013" spans="8:8" ht="15.75" customHeight="1" x14ac:dyDescent="0.25">
      <c r="H1013" s="40"/>
    </row>
    <row r="1014" spans="8:8" ht="15.75" customHeight="1" x14ac:dyDescent="0.25">
      <c r="H1014" s="40"/>
    </row>
    <row r="1015" spans="8:8" ht="15.75" customHeight="1" x14ac:dyDescent="0.25">
      <c r="H1015" s="40"/>
    </row>
    <row r="1016" spans="8:8" ht="15.75" customHeight="1" x14ac:dyDescent="0.25">
      <c r="H1016" s="40"/>
    </row>
    <row r="1017" spans="8:8" ht="15.75" customHeight="1" x14ac:dyDescent="0.25">
      <c r="H1017" s="40"/>
    </row>
    <row r="1018" spans="8:8" ht="15.75" customHeight="1" x14ac:dyDescent="0.25">
      <c r="H1018" s="40"/>
    </row>
    <row r="1019" spans="8:8" ht="15.75" customHeight="1" x14ac:dyDescent="0.25">
      <c r="H1019" s="40"/>
    </row>
    <row r="1020" spans="8:8" ht="15.75" customHeight="1" x14ac:dyDescent="0.25">
      <c r="H1020" s="40"/>
    </row>
    <row r="1021" spans="8:8" ht="15.75" customHeight="1" x14ac:dyDescent="0.25">
      <c r="H1021" s="40"/>
    </row>
    <row r="1022" spans="8:8" ht="15.75" customHeight="1" x14ac:dyDescent="0.25">
      <c r="H1022" s="40"/>
    </row>
    <row r="1023" spans="8:8" ht="15.75" customHeight="1" x14ac:dyDescent="0.25">
      <c r="H1023" s="40"/>
    </row>
    <row r="1024" spans="8:8" ht="15.75" customHeight="1" x14ac:dyDescent="0.25">
      <c r="H1024" s="40"/>
    </row>
    <row r="1025" spans="8:8" ht="15.75" customHeight="1" x14ac:dyDescent="0.25">
      <c r="H1025" s="40"/>
    </row>
    <row r="1026" spans="8:8" ht="15.75" customHeight="1" x14ac:dyDescent="0.25">
      <c r="H1026" s="40"/>
    </row>
    <row r="1027" spans="8:8" ht="15.75" customHeight="1" x14ac:dyDescent="0.25">
      <c r="H1027" s="40"/>
    </row>
    <row r="1028" spans="8:8" ht="15.75" customHeight="1" x14ac:dyDescent="0.25">
      <c r="H1028" s="40"/>
    </row>
    <row r="1029" spans="8:8" ht="15.75" customHeight="1" x14ac:dyDescent="0.25">
      <c r="H1029" s="40"/>
    </row>
    <row r="1030" spans="8:8" ht="15.75" customHeight="1" x14ac:dyDescent="0.25">
      <c r="H1030" s="40"/>
    </row>
    <row r="1031" spans="8:8" ht="15.75" customHeight="1" x14ac:dyDescent="0.25">
      <c r="H1031" s="40"/>
    </row>
    <row r="1032" spans="8:8" ht="15.75" customHeight="1" x14ac:dyDescent="0.25">
      <c r="H1032" s="40"/>
    </row>
    <row r="1033" spans="8:8" ht="15.75" customHeight="1" x14ac:dyDescent="0.25">
      <c r="H1033" s="40"/>
    </row>
    <row r="1034" spans="8:8" ht="15.75" customHeight="1" x14ac:dyDescent="0.25">
      <c r="H1034" s="40"/>
    </row>
    <row r="1035" spans="8:8" ht="15.75" customHeight="1" x14ac:dyDescent="0.25">
      <c r="H1035" s="40"/>
    </row>
    <row r="1036" spans="8:8" ht="15.75" customHeight="1" x14ac:dyDescent="0.25">
      <c r="H1036" s="40"/>
    </row>
    <row r="1037" spans="8:8" ht="15.75" customHeight="1" x14ac:dyDescent="0.25">
      <c r="H1037" s="40"/>
    </row>
    <row r="1038" spans="8:8" ht="15.75" customHeight="1" x14ac:dyDescent="0.25">
      <c r="H1038" s="40"/>
    </row>
    <row r="1039" spans="8:8" ht="15.75" customHeight="1" x14ac:dyDescent="0.25">
      <c r="H1039" s="40"/>
    </row>
    <row r="1040" spans="8:8" ht="15.75" customHeight="1" x14ac:dyDescent="0.25">
      <c r="H1040" s="40"/>
    </row>
    <row r="1041" spans="8:8" ht="15.75" customHeight="1" x14ac:dyDescent="0.25">
      <c r="H1041" s="40"/>
    </row>
    <row r="1042" spans="8:8" ht="15.75" customHeight="1" x14ac:dyDescent="0.25">
      <c r="H1042" s="40"/>
    </row>
    <row r="1043" spans="8:8" ht="15.75" customHeight="1" x14ac:dyDescent="0.25">
      <c r="H1043" s="40"/>
    </row>
    <row r="1044" spans="8:8" ht="15.75" customHeight="1" x14ac:dyDescent="0.25">
      <c r="H1044" s="40"/>
    </row>
    <row r="1045" spans="8:8" ht="15.75" customHeight="1" x14ac:dyDescent="0.25">
      <c r="H1045" s="40"/>
    </row>
    <row r="1046" spans="8:8" ht="15.75" customHeight="1" x14ac:dyDescent="0.25">
      <c r="H1046" s="40"/>
    </row>
    <row r="1047" spans="8:8" ht="15.75" customHeight="1" x14ac:dyDescent="0.25">
      <c r="H1047" s="40"/>
    </row>
    <row r="1048" spans="8:8" ht="15.75" customHeight="1" x14ac:dyDescent="0.25">
      <c r="H1048" s="40"/>
    </row>
    <row r="1049" spans="8:8" ht="15.75" customHeight="1" x14ac:dyDescent="0.25">
      <c r="H1049" s="40"/>
    </row>
    <row r="1050" spans="8:8" ht="15.75" customHeight="1" x14ac:dyDescent="0.25">
      <c r="H1050" s="40"/>
    </row>
    <row r="1051" spans="8:8" ht="15.75" customHeight="1" x14ac:dyDescent="0.25">
      <c r="H1051" s="40"/>
    </row>
    <row r="1052" spans="8:8" ht="15.75" customHeight="1" x14ac:dyDescent="0.25">
      <c r="H1052" s="40"/>
    </row>
    <row r="1053" spans="8:8" ht="15.75" customHeight="1" x14ac:dyDescent="0.25">
      <c r="H1053" s="40"/>
    </row>
    <row r="1054" spans="8:8" ht="15.75" customHeight="1" x14ac:dyDescent="0.25">
      <c r="H1054" s="40"/>
    </row>
    <row r="1055" spans="8:8" ht="15.75" customHeight="1" x14ac:dyDescent="0.25">
      <c r="H1055" s="40"/>
    </row>
    <row r="1056" spans="8:8" ht="15.75" customHeight="1" x14ac:dyDescent="0.25">
      <c r="H1056" s="40"/>
    </row>
    <row r="1057" spans="8:8" ht="15.75" customHeight="1" x14ac:dyDescent="0.25">
      <c r="H1057" s="40"/>
    </row>
    <row r="1058" spans="8:8" ht="15.75" customHeight="1" x14ac:dyDescent="0.25">
      <c r="H1058" s="40"/>
    </row>
    <row r="1059" spans="8:8" ht="15.75" customHeight="1" x14ac:dyDescent="0.25">
      <c r="H1059" s="40"/>
    </row>
    <row r="1060" spans="8:8" ht="15.75" customHeight="1" x14ac:dyDescent="0.25">
      <c r="H1060" s="40"/>
    </row>
    <row r="1061" spans="8:8" ht="15.75" customHeight="1" x14ac:dyDescent="0.25">
      <c r="H1061" s="40"/>
    </row>
    <row r="1062" spans="8:8" ht="15.75" customHeight="1" x14ac:dyDescent="0.25">
      <c r="H1062" s="40"/>
    </row>
    <row r="1063" spans="8:8" ht="15.75" customHeight="1" x14ac:dyDescent="0.25">
      <c r="H1063" s="40"/>
    </row>
    <row r="1064" spans="8:8" ht="15.75" customHeight="1" x14ac:dyDescent="0.25">
      <c r="H1064" s="40"/>
    </row>
    <row r="1065" spans="8:8" ht="15.75" customHeight="1" x14ac:dyDescent="0.25">
      <c r="H1065" s="40"/>
    </row>
    <row r="1066" spans="8:8" ht="15.75" customHeight="1" x14ac:dyDescent="0.25">
      <c r="H1066" s="40"/>
    </row>
    <row r="1067" spans="8:8" ht="15.75" customHeight="1" x14ac:dyDescent="0.25">
      <c r="H1067" s="40"/>
    </row>
    <row r="1068" spans="8:8" ht="15.75" customHeight="1" x14ac:dyDescent="0.25">
      <c r="H1068" s="40"/>
    </row>
    <row r="1069" spans="8:8" ht="15.75" customHeight="1" x14ac:dyDescent="0.25">
      <c r="H1069" s="40"/>
    </row>
    <row r="1070" spans="8:8" ht="15.75" customHeight="1" x14ac:dyDescent="0.25">
      <c r="H1070" s="40"/>
    </row>
    <row r="1071" spans="8:8" ht="15.75" customHeight="1" x14ac:dyDescent="0.25">
      <c r="H1071" s="40"/>
    </row>
    <row r="1072" spans="8:8" ht="15.75" customHeight="1" x14ac:dyDescent="0.25">
      <c r="H1072" s="40"/>
    </row>
    <row r="1073" spans="8:8" ht="15.75" customHeight="1" x14ac:dyDescent="0.25">
      <c r="H1073" s="40"/>
    </row>
    <row r="1074" spans="8:8" ht="15.75" customHeight="1" x14ac:dyDescent="0.25">
      <c r="H1074" s="40"/>
    </row>
    <row r="1075" spans="8:8" ht="15.75" customHeight="1" x14ac:dyDescent="0.25">
      <c r="H1075" s="40"/>
    </row>
    <row r="1076" spans="8:8" ht="15.75" customHeight="1" x14ac:dyDescent="0.25">
      <c r="H1076" s="40"/>
    </row>
    <row r="1077" spans="8:8" ht="15.75" customHeight="1" x14ac:dyDescent="0.25">
      <c r="H1077" s="40"/>
    </row>
    <row r="1078" spans="8:8" ht="15.75" customHeight="1" x14ac:dyDescent="0.25">
      <c r="H1078" s="40"/>
    </row>
    <row r="1079" spans="8:8" ht="15.75" customHeight="1" x14ac:dyDescent="0.25">
      <c r="H1079" s="40"/>
    </row>
    <row r="1080" spans="8:8" ht="15.75" customHeight="1" x14ac:dyDescent="0.25">
      <c r="H1080" s="40"/>
    </row>
    <row r="1081" spans="8:8" ht="15.75" customHeight="1" x14ac:dyDescent="0.25">
      <c r="H1081" s="40"/>
    </row>
    <row r="1082" spans="8:8" ht="15.75" customHeight="1" x14ac:dyDescent="0.25">
      <c r="H1082" s="40"/>
    </row>
    <row r="1083" spans="8:8" ht="15.75" customHeight="1" x14ac:dyDescent="0.25">
      <c r="H1083" s="40"/>
    </row>
    <row r="1084" spans="8:8" ht="15.75" customHeight="1" x14ac:dyDescent="0.25">
      <c r="H1084" s="40"/>
    </row>
    <row r="1085" spans="8:8" ht="15.75" customHeight="1" x14ac:dyDescent="0.25">
      <c r="H1085"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6" fitToHeight="0" orientation="portrait" r:id="rId1"/>
  <rowBreaks count="1" manualBreakCount="1">
    <brk id="116"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K836"/>
  <sheetViews>
    <sheetView view="pageBreakPreview" zoomScale="115" zoomScaleNormal="100" zoomScaleSheetLayoutView="115" workbookViewId="0">
      <selection activeCell="A115" sqref="A115"/>
    </sheetView>
  </sheetViews>
  <sheetFormatPr defaultColWidth="14.42578125" defaultRowHeight="15" customHeight="1" x14ac:dyDescent="0.25"/>
  <cols>
    <col min="1" max="1" width="76.42578125" customWidth="1"/>
    <col min="2" max="2" width="14.42578125" customWidth="1"/>
    <col min="3" max="6" width="16.85546875" hidden="1" customWidth="1"/>
    <col min="7" max="11" width="16.85546875" customWidth="1"/>
    <col min="12" max="12" width="13.140625" customWidth="1"/>
    <col min="13" max="26" width="10.28515625" customWidth="1"/>
  </cols>
  <sheetData>
    <row r="1" spans="1:11" ht="15.75" customHeight="1" x14ac:dyDescent="0.25">
      <c r="A1" s="9"/>
      <c r="B1" s="104"/>
      <c r="C1" s="105"/>
      <c r="D1" s="105"/>
      <c r="E1" s="105"/>
      <c r="F1" s="10"/>
      <c r="G1" s="180"/>
      <c r="H1" s="7"/>
      <c r="I1" s="7"/>
      <c r="J1" s="7"/>
      <c r="K1" s="7"/>
    </row>
    <row r="2" spans="1:11" ht="15.75" customHeight="1" x14ac:dyDescent="0.25">
      <c r="A2" s="17" t="s">
        <v>489</v>
      </c>
      <c r="B2" s="25"/>
      <c r="C2" s="24"/>
      <c r="D2" s="24"/>
      <c r="E2" s="24"/>
      <c r="F2" s="15"/>
      <c r="G2" s="181"/>
      <c r="H2" s="7"/>
      <c r="I2" s="7"/>
      <c r="J2" s="7"/>
      <c r="K2" s="7"/>
    </row>
    <row r="3" spans="1:11" ht="15.75" customHeight="1" x14ac:dyDescent="0.25">
      <c r="A3" s="17"/>
      <c r="B3" s="25"/>
      <c r="C3" s="24"/>
      <c r="D3" s="24"/>
      <c r="E3" s="24"/>
      <c r="F3" s="15"/>
      <c r="G3" s="181"/>
      <c r="H3" s="7"/>
      <c r="I3" s="7"/>
      <c r="J3" s="7"/>
      <c r="K3" s="7"/>
    </row>
    <row r="4" spans="1:11" ht="15.75" customHeight="1" x14ac:dyDescent="0.25">
      <c r="A4" s="225" t="s">
        <v>2505</v>
      </c>
      <c r="B4" s="25"/>
      <c r="C4" s="26"/>
      <c r="D4" s="26"/>
      <c r="E4" s="26"/>
      <c r="F4" s="14"/>
      <c r="G4" s="181"/>
      <c r="H4" s="7"/>
      <c r="I4" s="7"/>
      <c r="J4" s="7"/>
      <c r="K4" s="7"/>
    </row>
    <row r="5" spans="1:11" ht="15.75" customHeight="1" x14ac:dyDescent="0.25">
      <c r="A5" s="108"/>
      <c r="B5" s="25"/>
      <c r="C5" s="26"/>
      <c r="D5" s="26"/>
      <c r="E5" s="26"/>
      <c r="F5" s="14"/>
      <c r="G5" s="181"/>
      <c r="H5" s="7"/>
      <c r="I5" s="7"/>
      <c r="J5" s="7"/>
      <c r="K5" s="7"/>
    </row>
    <row r="6" spans="1:11" ht="15.75" customHeight="1" x14ac:dyDescent="0.25">
      <c r="A6" s="865" t="s">
        <v>352</v>
      </c>
      <c r="B6" s="866"/>
      <c r="C6" s="866"/>
      <c r="D6" s="866"/>
      <c r="E6" s="866"/>
      <c r="F6" s="866"/>
      <c r="G6" s="867"/>
      <c r="H6" s="7"/>
      <c r="I6" s="7"/>
      <c r="J6" s="7"/>
      <c r="K6" s="7"/>
    </row>
    <row r="7" spans="1:11" ht="15.75" customHeight="1" x14ac:dyDescent="0.25">
      <c r="A7" s="868" t="s">
        <v>1194</v>
      </c>
      <c r="B7" s="857" t="s">
        <v>354</v>
      </c>
      <c r="C7" s="870" t="s">
        <v>355</v>
      </c>
      <c r="D7" s="872" t="s">
        <v>356</v>
      </c>
      <c r="E7" s="873"/>
      <c r="F7" s="874"/>
      <c r="G7" s="857" t="s">
        <v>357</v>
      </c>
      <c r="H7" s="7"/>
      <c r="I7" s="7"/>
      <c r="J7" s="7"/>
      <c r="K7" s="7"/>
    </row>
    <row r="8" spans="1:11" ht="15.75" customHeight="1" x14ac:dyDescent="0.25">
      <c r="A8" s="858"/>
      <c r="B8" s="858"/>
      <c r="C8" s="871"/>
      <c r="D8" s="28" t="s">
        <v>358</v>
      </c>
      <c r="E8" s="29" t="s">
        <v>359</v>
      </c>
      <c r="F8" s="875" t="s">
        <v>360</v>
      </c>
      <c r="G8" s="858"/>
      <c r="H8" s="7"/>
      <c r="I8" s="7"/>
      <c r="J8" s="7"/>
      <c r="K8" s="7"/>
    </row>
    <row r="9" spans="1:11" ht="15.75" customHeight="1" x14ac:dyDescent="0.25">
      <c r="A9" s="858"/>
      <c r="B9" s="858"/>
      <c r="C9" s="30" t="s">
        <v>361</v>
      </c>
      <c r="D9" s="31" t="s">
        <v>361</v>
      </c>
      <c r="E9" s="32" t="s">
        <v>362</v>
      </c>
      <c r="F9" s="860"/>
      <c r="G9" s="442" t="s">
        <v>2669</v>
      </c>
      <c r="H9" s="7"/>
      <c r="I9" s="7"/>
      <c r="J9" s="7"/>
      <c r="K9" s="7"/>
    </row>
    <row r="10" spans="1:11" ht="15.75" customHeight="1" x14ac:dyDescent="0.25">
      <c r="A10" s="869"/>
      <c r="B10" s="869"/>
      <c r="C10" s="33">
        <v>2024</v>
      </c>
      <c r="D10" s="34">
        <v>2025</v>
      </c>
      <c r="E10" s="35">
        <v>2025</v>
      </c>
      <c r="F10" s="34">
        <v>2025</v>
      </c>
      <c r="G10" s="36" t="s">
        <v>2668</v>
      </c>
      <c r="H10" s="7"/>
      <c r="I10" s="7"/>
      <c r="J10" s="7"/>
      <c r="K10" s="7"/>
    </row>
    <row r="11" spans="1:11" ht="15.75" customHeight="1" x14ac:dyDescent="0.25">
      <c r="A11" s="17" t="s">
        <v>364</v>
      </c>
      <c r="B11" s="172"/>
      <c r="C11" s="42"/>
      <c r="D11" s="42"/>
      <c r="E11" s="42"/>
      <c r="F11" s="42"/>
      <c r="G11" s="42"/>
      <c r="H11" s="7"/>
      <c r="I11" s="7"/>
      <c r="J11" s="7"/>
      <c r="K11" s="7"/>
    </row>
    <row r="12" spans="1:11" ht="15.75" customHeight="1" x14ac:dyDescent="0.25">
      <c r="A12" s="42" t="s">
        <v>391</v>
      </c>
      <c r="B12" s="172"/>
      <c r="C12" s="42"/>
      <c r="D12" s="42"/>
      <c r="E12" s="42"/>
      <c r="F12" s="42"/>
      <c r="G12" s="42"/>
      <c r="H12" s="7"/>
      <c r="I12" s="7"/>
      <c r="J12" s="7"/>
      <c r="K12" s="7"/>
    </row>
    <row r="13" spans="1:11" ht="15.75" customHeight="1" x14ac:dyDescent="0.25">
      <c r="A13" s="17" t="s">
        <v>493</v>
      </c>
      <c r="B13" s="41"/>
      <c r="C13" s="41"/>
      <c r="D13" s="41"/>
      <c r="E13" s="20"/>
      <c r="F13" s="41"/>
      <c r="G13" s="49"/>
      <c r="H13" s="7"/>
      <c r="I13" s="7"/>
      <c r="J13" s="7"/>
      <c r="K13" s="7"/>
    </row>
    <row r="14" spans="1:11" ht="15.75" customHeight="1" x14ac:dyDescent="0.25">
      <c r="A14" s="48" t="s">
        <v>396</v>
      </c>
      <c r="B14" s="41" t="s">
        <v>191</v>
      </c>
      <c r="C14" s="43">
        <v>0</v>
      </c>
      <c r="D14" s="26">
        <v>0</v>
      </c>
      <c r="E14" s="43">
        <v>0</v>
      </c>
      <c r="F14" s="43">
        <v>0</v>
      </c>
      <c r="G14" s="43">
        <f>995000+140000</f>
        <v>1135000</v>
      </c>
      <c r="H14" s="7"/>
      <c r="I14" s="7"/>
      <c r="J14" s="7"/>
      <c r="K14" s="7"/>
    </row>
    <row r="15" spans="1:11" ht="15.75" customHeight="1" x14ac:dyDescent="0.25">
      <c r="A15" s="74" t="s">
        <v>2506</v>
      </c>
      <c r="B15" s="41"/>
      <c r="C15" s="43"/>
      <c r="D15" s="175"/>
      <c r="E15" s="43"/>
      <c r="F15" s="43"/>
      <c r="G15" s="43"/>
      <c r="H15" s="409">
        <v>995000</v>
      </c>
      <c r="I15" s="7"/>
      <c r="J15" s="7"/>
      <c r="K15" s="7"/>
    </row>
    <row r="16" spans="1:11" ht="15" customHeight="1" x14ac:dyDescent="0.25">
      <c r="A16" s="74" t="s">
        <v>2507</v>
      </c>
      <c r="B16" s="41"/>
      <c r="C16" s="43"/>
      <c r="D16" s="43"/>
      <c r="E16" s="43"/>
      <c r="F16" s="43"/>
      <c r="G16" s="46"/>
      <c r="H16" s="147">
        <v>140000</v>
      </c>
      <c r="J16" s="7"/>
    </row>
    <row r="17" spans="1:11" ht="15.75" customHeight="1" x14ac:dyDescent="0.25">
      <c r="A17" s="17" t="s">
        <v>499</v>
      </c>
      <c r="B17" s="41"/>
      <c r="C17" s="43"/>
      <c r="D17" s="175"/>
      <c r="E17" s="43"/>
      <c r="F17" s="43"/>
      <c r="G17" s="43"/>
      <c r="H17" s="7"/>
      <c r="I17" s="7"/>
      <c r="J17" s="7"/>
      <c r="K17" s="7"/>
    </row>
    <row r="18" spans="1:11" ht="15.75" customHeight="1" x14ac:dyDescent="0.25">
      <c r="A18" s="48" t="s">
        <v>400</v>
      </c>
      <c r="B18" s="41" t="s">
        <v>221</v>
      </c>
      <c r="C18" s="43">
        <v>0</v>
      </c>
      <c r="D18" s="175">
        <v>0</v>
      </c>
      <c r="E18" s="43">
        <v>0</v>
      </c>
      <c r="F18" s="43">
        <v>0</v>
      </c>
      <c r="G18" s="43">
        <v>297400</v>
      </c>
      <c r="H18" s="409">
        <v>297400</v>
      </c>
      <c r="I18" s="7"/>
      <c r="J18" s="7"/>
      <c r="K18" s="7"/>
    </row>
    <row r="19" spans="1:11" ht="15.75" customHeight="1" x14ac:dyDescent="0.25">
      <c r="A19" s="48" t="s">
        <v>538</v>
      </c>
      <c r="B19" s="41" t="s">
        <v>223</v>
      </c>
      <c r="C19" s="43">
        <v>0</v>
      </c>
      <c r="D19" s="175">
        <v>0</v>
      </c>
      <c r="E19" s="43">
        <v>0</v>
      </c>
      <c r="F19" s="43">
        <v>0</v>
      </c>
      <c r="G19" s="43">
        <f>(30000*29)</f>
        <v>870000</v>
      </c>
      <c r="H19" s="409">
        <v>870000</v>
      </c>
      <c r="I19" s="7"/>
      <c r="J19" s="7"/>
      <c r="K19" s="7"/>
    </row>
    <row r="20" spans="1:11" ht="15.75" customHeight="1" x14ac:dyDescent="0.25">
      <c r="A20" s="146" t="s">
        <v>2508</v>
      </c>
      <c r="B20" s="41"/>
      <c r="C20" s="43"/>
      <c r="D20" s="175"/>
      <c r="E20" s="43"/>
      <c r="F20" s="43"/>
      <c r="G20" s="43"/>
      <c r="H20" s="7"/>
      <c r="I20" s="7"/>
      <c r="J20" s="7"/>
      <c r="K20" s="7"/>
    </row>
    <row r="21" spans="1:11" ht="15.75" customHeight="1" x14ac:dyDescent="0.25">
      <c r="A21" s="48" t="s">
        <v>504</v>
      </c>
      <c r="B21" s="41" t="s">
        <v>237</v>
      </c>
      <c r="C21" s="43">
        <v>0</v>
      </c>
      <c r="D21" s="175">
        <v>0</v>
      </c>
      <c r="E21" s="43">
        <v>0</v>
      </c>
      <c r="F21" s="43">
        <v>0</v>
      </c>
      <c r="G21" s="43">
        <v>48000</v>
      </c>
      <c r="H21" s="7"/>
      <c r="I21" s="7"/>
      <c r="J21" s="7"/>
      <c r="K21" s="7"/>
    </row>
    <row r="22" spans="1:11" ht="15.75" customHeight="1" x14ac:dyDescent="0.25">
      <c r="A22" s="146" t="s">
        <v>424</v>
      </c>
      <c r="B22" s="41"/>
      <c r="C22" s="43"/>
      <c r="D22" s="175"/>
      <c r="E22" s="43"/>
      <c r="F22" s="43"/>
      <c r="G22" s="43"/>
      <c r="H22" s="7"/>
      <c r="I22" s="7"/>
      <c r="J22" s="7"/>
      <c r="K22" s="7"/>
    </row>
    <row r="23" spans="1:11" ht="15.75" customHeight="1" x14ac:dyDescent="0.25">
      <c r="A23" s="74" t="s">
        <v>424</v>
      </c>
      <c r="B23" s="41" t="s">
        <v>335</v>
      </c>
      <c r="C23" s="43">
        <v>0</v>
      </c>
      <c r="D23" s="26">
        <v>0</v>
      </c>
      <c r="E23" s="43">
        <v>0</v>
      </c>
      <c r="F23" s="43">
        <v>0</v>
      </c>
      <c r="G23" s="43">
        <v>10156264</v>
      </c>
      <c r="H23" s="7"/>
      <c r="I23" s="7"/>
      <c r="J23" s="7"/>
      <c r="K23" s="7"/>
    </row>
    <row r="24" spans="1:11" ht="15.75" customHeight="1" x14ac:dyDescent="0.25">
      <c r="A24" s="74" t="s">
        <v>2509</v>
      </c>
      <c r="B24" s="20"/>
      <c r="C24" s="56"/>
      <c r="D24" s="43"/>
      <c r="E24" s="26"/>
      <c r="F24" s="56"/>
      <c r="G24" s="43"/>
      <c r="H24" s="147">
        <v>200000</v>
      </c>
      <c r="I24" s="26"/>
      <c r="J24" s="7"/>
    </row>
    <row r="25" spans="1:11" ht="31.5" x14ac:dyDescent="0.25">
      <c r="A25" s="90" t="s">
        <v>2510</v>
      </c>
      <c r="B25" s="41"/>
      <c r="C25" s="43"/>
      <c r="D25" s="26"/>
      <c r="E25" s="43"/>
      <c r="F25" s="43"/>
      <c r="G25" s="43"/>
      <c r="H25" s="147">
        <v>100000</v>
      </c>
      <c r="I25" s="7"/>
      <c r="J25" s="7"/>
      <c r="K25" s="7"/>
    </row>
    <row r="26" spans="1:11" ht="15.75" customHeight="1" x14ac:dyDescent="0.25">
      <c r="A26" s="74" t="s">
        <v>2511</v>
      </c>
      <c r="B26" s="41"/>
      <c r="C26" s="43"/>
      <c r="D26" s="26"/>
      <c r="E26" s="43"/>
      <c r="F26" s="43"/>
      <c r="G26" s="43"/>
      <c r="H26" s="147">
        <v>100000</v>
      </c>
      <c r="I26" s="7"/>
      <c r="J26" s="7"/>
      <c r="K26" s="7"/>
    </row>
    <row r="27" spans="1:11" ht="15.75" customHeight="1" x14ac:dyDescent="0.25">
      <c r="A27" s="74" t="s">
        <v>2512</v>
      </c>
      <c r="B27" s="41"/>
      <c r="C27" s="43"/>
      <c r="D27" s="26"/>
      <c r="E27" s="43"/>
      <c r="F27" s="43"/>
      <c r="G27" s="43"/>
      <c r="H27" s="147">
        <v>154000</v>
      </c>
      <c r="I27" s="7"/>
      <c r="J27" s="7"/>
      <c r="K27" s="7"/>
    </row>
    <row r="28" spans="1:11" ht="15.75" customHeight="1" x14ac:dyDescent="0.25">
      <c r="A28" s="74" t="s">
        <v>2513</v>
      </c>
      <c r="B28" s="41"/>
      <c r="C28" s="43"/>
      <c r="D28" s="26"/>
      <c r="E28" s="43"/>
      <c r="F28" s="43"/>
      <c r="G28" s="43"/>
      <c r="H28" s="147">
        <v>500000</v>
      </c>
      <c r="I28" s="7"/>
      <c r="J28" s="7"/>
      <c r="K28" s="7"/>
    </row>
    <row r="29" spans="1:11" ht="15.75" customHeight="1" x14ac:dyDescent="0.25">
      <c r="A29" s="74" t="s">
        <v>2514</v>
      </c>
      <c r="B29" s="41"/>
      <c r="C29" s="43"/>
      <c r="D29" s="26"/>
      <c r="E29" s="43"/>
      <c r="F29" s="43"/>
      <c r="G29" s="43"/>
      <c r="H29" s="409">
        <v>690000</v>
      </c>
      <c r="I29" s="7"/>
      <c r="J29" s="7"/>
      <c r="K29" s="7"/>
    </row>
    <row r="30" spans="1:11" ht="15.75" customHeight="1" x14ac:dyDescent="0.25">
      <c r="A30" s="74" t="s">
        <v>2515</v>
      </c>
      <c r="B30" s="41"/>
      <c r="C30" s="43"/>
      <c r="D30" s="26"/>
      <c r="E30" s="43"/>
      <c r="F30" s="43"/>
      <c r="G30" s="43"/>
      <c r="H30" s="147">
        <v>175000</v>
      </c>
      <c r="I30" s="7"/>
      <c r="J30" s="7"/>
      <c r="K30" s="7"/>
    </row>
    <row r="31" spans="1:11" ht="15.75" customHeight="1" x14ac:dyDescent="0.25">
      <c r="A31" s="74" t="s">
        <v>2516</v>
      </c>
      <c r="B31" s="41"/>
      <c r="C31" s="43"/>
      <c r="D31" s="26"/>
      <c r="E31" s="43"/>
      <c r="F31" s="43"/>
      <c r="G31" s="43"/>
      <c r="H31" s="147">
        <v>2000000</v>
      </c>
      <c r="I31" s="7"/>
      <c r="J31" s="7"/>
      <c r="K31" s="7"/>
    </row>
    <row r="32" spans="1:11" ht="15.75" customHeight="1" x14ac:dyDescent="0.25">
      <c r="A32" s="74" t="s">
        <v>2517</v>
      </c>
      <c r="B32" s="41"/>
      <c r="C32" s="43"/>
      <c r="D32" s="26"/>
      <c r="E32" s="43"/>
      <c r="F32" s="43"/>
      <c r="G32" s="43"/>
      <c r="H32" s="147">
        <v>1000000</v>
      </c>
      <c r="I32" s="7"/>
      <c r="J32" s="7"/>
      <c r="K32" s="7"/>
    </row>
    <row r="33" spans="1:11" ht="15.75" customHeight="1" x14ac:dyDescent="0.25">
      <c r="A33" s="74" t="s">
        <v>2518</v>
      </c>
      <c r="B33" s="41"/>
      <c r="C33" s="43"/>
      <c r="D33" s="26"/>
      <c r="E33" s="43"/>
      <c r="F33" s="43"/>
      <c r="G33" s="43"/>
      <c r="H33" s="147">
        <v>395000</v>
      </c>
      <c r="I33" s="7"/>
      <c r="J33" s="7"/>
      <c r="K33" s="7"/>
    </row>
    <row r="34" spans="1:11" ht="15.75" customHeight="1" x14ac:dyDescent="0.25">
      <c r="A34" s="74" t="s">
        <v>2519</v>
      </c>
      <c r="B34" s="41"/>
      <c r="C34" s="43"/>
      <c r="D34" s="26"/>
      <c r="E34" s="43"/>
      <c r="F34" s="43"/>
      <c r="G34" s="43"/>
      <c r="H34" s="147">
        <v>250000</v>
      </c>
      <c r="I34" s="7"/>
      <c r="J34" s="7"/>
      <c r="K34" s="7"/>
    </row>
    <row r="35" spans="1:11" ht="15.75" customHeight="1" x14ac:dyDescent="0.25">
      <c r="A35" s="468" t="s">
        <v>2520</v>
      </c>
      <c r="B35" s="454"/>
      <c r="C35" s="443"/>
      <c r="D35" s="443"/>
      <c r="E35" s="443"/>
      <c r="F35" s="443"/>
      <c r="G35" s="462"/>
      <c r="H35" s="147">
        <v>300000</v>
      </c>
      <c r="I35" s="7"/>
      <c r="J35" s="7"/>
      <c r="K35" s="7"/>
    </row>
    <row r="36" spans="1:11" ht="15.75" customHeight="1" x14ac:dyDescent="0.25">
      <c r="A36" s="468" t="s">
        <v>2521</v>
      </c>
      <c r="B36" s="454"/>
      <c r="C36" s="443"/>
      <c r="D36" s="443"/>
      <c r="E36" s="443"/>
      <c r="F36" s="443"/>
      <c r="G36" s="462"/>
      <c r="H36" s="147">
        <v>37000</v>
      </c>
      <c r="I36" s="7"/>
      <c r="J36" s="7"/>
      <c r="K36" s="7"/>
    </row>
    <row r="37" spans="1:11" ht="15.75" customHeight="1" x14ac:dyDescent="0.25">
      <c r="A37" s="125" t="s">
        <v>2522</v>
      </c>
      <c r="B37" s="41"/>
      <c r="C37" s="43"/>
      <c r="D37" s="26"/>
      <c r="E37" s="43"/>
      <c r="F37" s="484"/>
      <c r="G37" s="462"/>
      <c r="H37" s="7">
        <v>100000</v>
      </c>
      <c r="I37" s="7"/>
      <c r="J37" s="7"/>
      <c r="K37" s="7"/>
    </row>
    <row r="38" spans="1:11" ht="15.75" customHeight="1" x14ac:dyDescent="0.25">
      <c r="A38" s="74" t="s">
        <v>648</v>
      </c>
      <c r="B38" s="41"/>
      <c r="C38" s="43"/>
      <c r="D38" s="26"/>
      <c r="E38" s="43"/>
      <c r="F38" s="43"/>
      <c r="G38" s="43"/>
      <c r="H38" s="7"/>
      <c r="I38" s="7"/>
      <c r="J38" s="7"/>
      <c r="K38" s="7"/>
    </row>
    <row r="39" spans="1:11" ht="15.75" x14ac:dyDescent="0.25">
      <c r="A39" s="300" t="s">
        <v>2523</v>
      </c>
      <c r="B39" s="41"/>
      <c r="C39" s="43"/>
      <c r="D39" s="26"/>
      <c r="E39" s="43"/>
      <c r="F39" s="43"/>
      <c r="G39" s="43"/>
      <c r="H39" s="7"/>
      <c r="I39" s="7"/>
      <c r="J39" s="7"/>
      <c r="K39" s="7"/>
    </row>
    <row r="40" spans="1:11" ht="31.5" x14ac:dyDescent="0.25">
      <c r="A40" s="90" t="s">
        <v>2524</v>
      </c>
      <c r="B40" s="41"/>
      <c r="C40" s="43"/>
      <c r="D40" s="26"/>
      <c r="E40" s="43"/>
      <c r="F40" s="43"/>
      <c r="G40" s="43"/>
      <c r="H40" s="7">
        <v>8</v>
      </c>
      <c r="I40" s="7">
        <f>22*12</f>
        <v>264</v>
      </c>
      <c r="J40" s="7">
        <f>678</f>
        <v>678</v>
      </c>
      <c r="K40" s="409">
        <f>J40*H40*I40</f>
        <v>1431936</v>
      </c>
    </row>
    <row r="41" spans="1:11" ht="15.75" customHeight="1" x14ac:dyDescent="0.25">
      <c r="A41" s="300" t="s">
        <v>2525</v>
      </c>
      <c r="B41" s="20"/>
      <c r="C41" s="56"/>
      <c r="D41" s="43"/>
      <c r="E41" s="26"/>
      <c r="F41" s="56"/>
      <c r="G41" s="43"/>
      <c r="H41" s="40"/>
      <c r="I41" s="26"/>
      <c r="J41" s="7"/>
    </row>
    <row r="42" spans="1:11" ht="31.5" x14ac:dyDescent="0.25">
      <c r="A42" s="90" t="s">
        <v>2526</v>
      </c>
      <c r="B42" s="20"/>
      <c r="C42" s="56"/>
      <c r="D42" s="43"/>
      <c r="E42" s="26"/>
      <c r="F42" s="56"/>
      <c r="G42" s="43"/>
      <c r="H42" s="40">
        <v>9</v>
      </c>
      <c r="I42" s="26">
        <v>264</v>
      </c>
      <c r="J42" s="7">
        <v>639</v>
      </c>
      <c r="K42" s="407">
        <f>J42*I42*H42</f>
        <v>1518264</v>
      </c>
    </row>
    <row r="43" spans="1:11" ht="15.75" customHeight="1" x14ac:dyDescent="0.25">
      <c r="A43" s="300" t="s">
        <v>2527</v>
      </c>
      <c r="B43" s="41"/>
      <c r="C43" s="43"/>
      <c r="D43" s="26"/>
      <c r="E43" s="43"/>
      <c r="F43" s="43"/>
      <c r="G43" s="43"/>
      <c r="H43" s="7"/>
      <c r="I43" s="7"/>
      <c r="J43" s="7"/>
      <c r="K43" s="7"/>
    </row>
    <row r="44" spans="1:11" ht="31.5" x14ac:dyDescent="0.25">
      <c r="A44" s="90" t="s">
        <v>2528</v>
      </c>
      <c r="B44" s="41"/>
      <c r="C44" s="43"/>
      <c r="D44" s="26"/>
      <c r="E44" s="43"/>
      <c r="F44" s="43"/>
      <c r="G44" s="43"/>
      <c r="H44" s="7">
        <v>2</v>
      </c>
      <c r="I44" s="26">
        <v>264</v>
      </c>
      <c r="J44" s="7">
        <f>678</f>
        <v>678</v>
      </c>
      <c r="K44" s="407">
        <f>J44*I44*H44</f>
        <v>357984</v>
      </c>
    </row>
    <row r="45" spans="1:11" ht="15.75" customHeight="1" x14ac:dyDescent="0.25">
      <c r="A45" s="300" t="s">
        <v>2529</v>
      </c>
      <c r="B45" s="41"/>
      <c r="C45" s="43"/>
      <c r="D45" s="26"/>
      <c r="E45" s="43"/>
      <c r="F45" s="43"/>
      <c r="G45" s="43"/>
      <c r="H45" s="7"/>
      <c r="I45" s="7"/>
      <c r="J45" s="7"/>
      <c r="K45" s="7"/>
    </row>
    <row r="46" spans="1:11" ht="31.5" x14ac:dyDescent="0.25">
      <c r="A46" s="441" t="s">
        <v>2530</v>
      </c>
      <c r="B46" s="41"/>
      <c r="C46" s="43"/>
      <c r="D46" s="26"/>
      <c r="E46" s="43"/>
      <c r="F46" s="43"/>
      <c r="G46" s="43"/>
      <c r="H46" s="7">
        <v>1</v>
      </c>
      <c r="I46" s="7">
        <f t="shared" ref="I46:I48" si="0">26*12</f>
        <v>312</v>
      </c>
      <c r="J46" s="7">
        <v>639</v>
      </c>
      <c r="K46" s="407">
        <f t="shared" ref="K46:K48" si="1">J46*I46*H46</f>
        <v>199368</v>
      </c>
    </row>
    <row r="47" spans="1:11" ht="31.5" x14ac:dyDescent="0.25">
      <c r="A47" s="441" t="s">
        <v>2531</v>
      </c>
      <c r="B47" s="41"/>
      <c r="C47" s="43"/>
      <c r="D47" s="26"/>
      <c r="E47" s="43"/>
      <c r="F47" s="43"/>
      <c r="G47" s="43"/>
      <c r="H47" s="7">
        <v>2</v>
      </c>
      <c r="I47" s="7">
        <f t="shared" si="0"/>
        <v>312</v>
      </c>
      <c r="J47" s="7">
        <v>678</v>
      </c>
      <c r="K47" s="407">
        <f t="shared" si="1"/>
        <v>423072</v>
      </c>
    </row>
    <row r="48" spans="1:11" ht="31.5" x14ac:dyDescent="0.25">
      <c r="A48" s="441" t="s">
        <v>2532</v>
      </c>
      <c r="B48" s="41"/>
      <c r="C48" s="43"/>
      <c r="D48" s="26"/>
      <c r="E48" s="43"/>
      <c r="F48" s="43"/>
      <c r="G48" s="43"/>
      <c r="H48" s="7">
        <v>1</v>
      </c>
      <c r="I48" s="7">
        <f t="shared" si="0"/>
        <v>312</v>
      </c>
      <c r="J48" s="7">
        <v>720</v>
      </c>
      <c r="K48" s="407">
        <f t="shared" si="1"/>
        <v>224640</v>
      </c>
    </row>
    <row r="49" spans="1:11" ht="15.75" customHeight="1" x14ac:dyDescent="0.25">
      <c r="A49" s="606" t="s">
        <v>466</v>
      </c>
      <c r="B49" s="483"/>
      <c r="C49" s="54">
        <f t="shared" ref="C49:G49" si="2">SUM(C12:C44)</f>
        <v>0</v>
      </c>
      <c r="D49" s="54">
        <f t="shared" si="2"/>
        <v>0</v>
      </c>
      <c r="E49" s="54">
        <f t="shared" si="2"/>
        <v>0</v>
      </c>
      <c r="F49" s="54">
        <f t="shared" si="2"/>
        <v>0</v>
      </c>
      <c r="G49" s="54">
        <f t="shared" si="2"/>
        <v>12506664</v>
      </c>
      <c r="H49" s="7"/>
      <c r="I49" s="7"/>
      <c r="J49" s="7"/>
      <c r="K49" s="7"/>
    </row>
    <row r="50" spans="1:11" ht="15.75" customHeight="1" x14ac:dyDescent="0.25">
      <c r="A50" s="599"/>
      <c r="B50" s="601"/>
      <c r="C50" s="448"/>
      <c r="D50" s="448"/>
      <c r="E50" s="448"/>
      <c r="F50" s="448"/>
      <c r="G50" s="448"/>
      <c r="H50" s="7"/>
      <c r="I50" s="7"/>
      <c r="J50" s="7"/>
      <c r="K50" s="7"/>
    </row>
    <row r="51" spans="1:11" ht="15.75" customHeight="1" x14ac:dyDescent="0.25">
      <c r="A51" s="17" t="s">
        <v>467</v>
      </c>
      <c r="B51" s="41"/>
      <c r="C51" s="43">
        <f t="shared" ref="C51:G51" si="3">C49</f>
        <v>0</v>
      </c>
      <c r="D51" s="43">
        <f t="shared" si="3"/>
        <v>0</v>
      </c>
      <c r="E51" s="43">
        <f t="shared" si="3"/>
        <v>0</v>
      </c>
      <c r="F51" s="43">
        <f t="shared" si="3"/>
        <v>0</v>
      </c>
      <c r="G51" s="43">
        <f t="shared" si="3"/>
        <v>12506664</v>
      </c>
      <c r="H51" s="7"/>
      <c r="I51" s="7"/>
      <c r="J51" s="7"/>
      <c r="K51" s="7"/>
    </row>
    <row r="52" spans="1:11" ht="15.75" customHeight="1" x14ac:dyDescent="0.25">
      <c r="A52" s="17"/>
      <c r="B52" s="41"/>
      <c r="C52" s="43"/>
      <c r="D52" s="43"/>
      <c r="E52" s="43"/>
      <c r="F52" s="43"/>
      <c r="G52" s="43"/>
      <c r="H52" s="7"/>
      <c r="I52" s="7"/>
      <c r="J52" s="7"/>
      <c r="K52" s="7"/>
    </row>
    <row r="53" spans="1:11" ht="15.75" customHeight="1" x14ac:dyDescent="0.25">
      <c r="A53" s="17" t="s">
        <v>529</v>
      </c>
      <c r="B53" s="41"/>
      <c r="C53" s="43"/>
      <c r="D53" s="43"/>
      <c r="E53" s="43"/>
      <c r="F53" s="43"/>
      <c r="G53" s="43"/>
      <c r="H53" s="7"/>
      <c r="I53" s="7"/>
      <c r="J53" s="7"/>
      <c r="K53" s="7"/>
    </row>
    <row r="54" spans="1:11" ht="15.75" customHeight="1" x14ac:dyDescent="0.25">
      <c r="A54" s="410" t="s">
        <v>2356</v>
      </c>
      <c r="B54" s="191"/>
      <c r="C54" s="66"/>
      <c r="D54" s="66"/>
      <c r="E54" s="66"/>
      <c r="F54" s="66"/>
      <c r="G54" s="66"/>
      <c r="H54" s="7"/>
      <c r="I54" s="7"/>
      <c r="J54" s="7"/>
      <c r="K54" s="7"/>
    </row>
    <row r="55" spans="1:11" ht="15.75" customHeight="1" x14ac:dyDescent="0.25">
      <c r="A55" s="411" t="s">
        <v>2533</v>
      </c>
      <c r="B55" s="191" t="s">
        <v>17</v>
      </c>
      <c r="C55" s="66">
        <v>0</v>
      </c>
      <c r="D55" s="66">
        <v>0</v>
      </c>
      <c r="E55" s="66">
        <v>0</v>
      </c>
      <c r="F55" s="66">
        <v>0</v>
      </c>
      <c r="G55" s="66">
        <v>150000</v>
      </c>
      <c r="H55" s="7"/>
      <c r="I55" s="7"/>
      <c r="J55" s="7"/>
      <c r="K55" s="7"/>
    </row>
    <row r="56" spans="1:11" ht="15.75" customHeight="1" x14ac:dyDescent="0.25">
      <c r="A56" s="125" t="s">
        <v>2534</v>
      </c>
      <c r="B56" s="191"/>
      <c r="C56" s="66"/>
      <c r="D56" s="66"/>
      <c r="E56" s="66"/>
      <c r="F56" s="66"/>
      <c r="G56" s="66"/>
      <c r="H56" s="7"/>
      <c r="I56" s="7"/>
      <c r="J56" s="7"/>
      <c r="K56" s="7"/>
    </row>
    <row r="57" spans="1:11" ht="15.75" customHeight="1" x14ac:dyDescent="0.25">
      <c r="A57" s="42" t="s">
        <v>476</v>
      </c>
      <c r="B57" s="41"/>
      <c r="C57" s="43"/>
      <c r="D57" s="43"/>
      <c r="E57" s="43"/>
      <c r="F57" s="43"/>
      <c r="G57" s="43"/>
      <c r="H57" s="7"/>
      <c r="I57" s="7"/>
      <c r="J57" s="7"/>
      <c r="K57" s="7"/>
    </row>
    <row r="58" spans="1:11" ht="15.75" customHeight="1" x14ac:dyDescent="0.25">
      <c r="A58" s="411" t="s">
        <v>477</v>
      </c>
      <c r="B58" s="191" t="s">
        <v>45</v>
      </c>
      <c r="C58" s="66">
        <v>0</v>
      </c>
      <c r="D58" s="66">
        <v>0</v>
      </c>
      <c r="E58" s="66">
        <v>0</v>
      </c>
      <c r="F58" s="66">
        <v>0</v>
      </c>
      <c r="G58" s="66">
        <f>260000+30000</f>
        <v>290000</v>
      </c>
      <c r="H58" s="7"/>
      <c r="I58" s="7"/>
      <c r="J58" s="7"/>
      <c r="K58" s="7"/>
    </row>
    <row r="59" spans="1:11" ht="30" customHeight="1" x14ac:dyDescent="0.25">
      <c r="A59" s="441" t="s">
        <v>2535</v>
      </c>
      <c r="B59" s="330"/>
      <c r="C59" s="66"/>
      <c r="D59" s="75"/>
      <c r="E59" s="66"/>
      <c r="F59" s="75"/>
      <c r="G59" s="66"/>
      <c r="H59" s="7"/>
      <c r="I59" s="7"/>
      <c r="J59" s="7"/>
      <c r="K59" s="7"/>
    </row>
    <row r="60" spans="1:11" ht="15.75" customHeight="1" x14ac:dyDescent="0.25">
      <c r="A60" s="48" t="s">
        <v>639</v>
      </c>
      <c r="B60" s="25" t="s">
        <v>47</v>
      </c>
      <c r="C60" s="43">
        <v>0</v>
      </c>
      <c r="D60" s="26">
        <v>0</v>
      </c>
      <c r="E60" s="43">
        <v>0</v>
      </c>
      <c r="F60" s="26">
        <v>0</v>
      </c>
      <c r="G60" s="43">
        <f>110000+108000</f>
        <v>218000</v>
      </c>
      <c r="H60" s="7"/>
      <c r="I60" s="7"/>
      <c r="J60" s="7"/>
      <c r="K60" s="7"/>
    </row>
    <row r="61" spans="1:11" ht="15.75" customHeight="1" x14ac:dyDescent="0.25">
      <c r="A61" s="300" t="s">
        <v>2523</v>
      </c>
      <c r="B61" s="41"/>
      <c r="C61" s="43"/>
      <c r="D61" s="43"/>
      <c r="E61" s="43"/>
      <c r="F61" s="43"/>
      <c r="G61" s="43"/>
      <c r="H61" s="7"/>
      <c r="I61" s="7"/>
      <c r="J61" s="7"/>
      <c r="K61" s="7"/>
    </row>
    <row r="62" spans="1:11" ht="15.75" customHeight="1" x14ac:dyDescent="0.25">
      <c r="A62" s="74" t="s">
        <v>2536</v>
      </c>
      <c r="B62" s="41"/>
      <c r="C62" s="43"/>
      <c r="D62" s="43"/>
      <c r="E62" s="43"/>
      <c r="F62" s="43"/>
      <c r="G62" s="43"/>
      <c r="H62" s="7" t="s">
        <v>2537</v>
      </c>
      <c r="I62" s="7"/>
      <c r="J62" s="7"/>
      <c r="K62" s="7"/>
    </row>
    <row r="63" spans="1:11" ht="15.75" customHeight="1" x14ac:dyDescent="0.25">
      <c r="A63" s="74" t="s">
        <v>2538</v>
      </c>
      <c r="B63" s="41"/>
      <c r="C63" s="43"/>
      <c r="D63" s="43"/>
      <c r="E63" s="43"/>
      <c r="F63" s="43"/>
      <c r="G63" s="43"/>
      <c r="H63" s="7"/>
      <c r="I63" s="7"/>
      <c r="J63" s="7"/>
      <c r="K63" s="7"/>
    </row>
    <row r="64" spans="1:11" ht="15.75" customHeight="1" x14ac:dyDescent="0.25">
      <c r="A64" s="48" t="s">
        <v>546</v>
      </c>
      <c r="B64" s="41" t="s">
        <v>52</v>
      </c>
      <c r="C64" s="43">
        <v>0</v>
      </c>
      <c r="D64" s="43">
        <v>0</v>
      </c>
      <c r="E64" s="43">
        <v>0</v>
      </c>
      <c r="F64" s="43">
        <v>0</v>
      </c>
      <c r="G64" s="43">
        <v>55000</v>
      </c>
      <c r="H64" s="7"/>
      <c r="I64" s="7"/>
      <c r="J64" s="7"/>
      <c r="K64" s="7"/>
    </row>
    <row r="65" spans="1:11" ht="15.75" customHeight="1" x14ac:dyDescent="0.25">
      <c r="A65" s="300" t="s">
        <v>2523</v>
      </c>
      <c r="B65" s="41"/>
      <c r="C65" s="43"/>
      <c r="D65" s="43"/>
      <c r="E65" s="43"/>
      <c r="F65" s="43"/>
      <c r="G65" s="43"/>
      <c r="H65" s="7"/>
      <c r="I65" s="7"/>
      <c r="J65" s="7"/>
      <c r="K65" s="7"/>
    </row>
    <row r="66" spans="1:11" ht="15.75" customHeight="1" x14ac:dyDescent="0.25">
      <c r="A66" s="468" t="s">
        <v>2539</v>
      </c>
      <c r="B66" s="454"/>
      <c r="C66" s="443"/>
      <c r="D66" s="443"/>
      <c r="E66" s="443"/>
      <c r="F66" s="443"/>
      <c r="G66" s="462"/>
      <c r="H66" s="7"/>
      <c r="I66" s="7"/>
      <c r="J66" s="7"/>
      <c r="K66" s="7"/>
    </row>
    <row r="67" spans="1:11" ht="15.75" customHeight="1" x14ac:dyDescent="0.25">
      <c r="A67" s="596" t="s">
        <v>1027</v>
      </c>
      <c r="B67" s="560"/>
      <c r="C67" s="561"/>
      <c r="D67" s="561"/>
      <c r="E67" s="561"/>
      <c r="F67" s="561"/>
      <c r="G67" s="463"/>
      <c r="H67" s="7"/>
      <c r="I67" s="7"/>
      <c r="J67" s="7"/>
      <c r="K67" s="7"/>
    </row>
    <row r="68" spans="1:11" ht="15.75" customHeight="1" x14ac:dyDescent="0.25">
      <c r="A68" s="411" t="s">
        <v>1337</v>
      </c>
      <c r="B68" s="191" t="s">
        <v>85</v>
      </c>
      <c r="C68" s="66">
        <v>0</v>
      </c>
      <c r="D68" s="66">
        <v>0</v>
      </c>
      <c r="E68" s="66">
        <v>0</v>
      </c>
      <c r="F68" s="66">
        <v>0</v>
      </c>
      <c r="G68" s="66">
        <v>100000</v>
      </c>
      <c r="H68" s="7"/>
      <c r="I68" s="7"/>
      <c r="J68" s="7"/>
      <c r="K68" s="7"/>
    </row>
    <row r="69" spans="1:11" ht="15.75" customHeight="1" x14ac:dyDescent="0.25">
      <c r="A69" s="125" t="s">
        <v>2540</v>
      </c>
      <c r="B69" s="191"/>
      <c r="C69" s="66"/>
      <c r="D69" s="66"/>
      <c r="E69" s="66"/>
      <c r="F69" s="66"/>
      <c r="G69" s="66"/>
      <c r="H69" s="7"/>
      <c r="I69" s="7"/>
      <c r="J69" s="7"/>
      <c r="K69" s="7"/>
    </row>
    <row r="70" spans="1:11" ht="15.75" customHeight="1" x14ac:dyDescent="0.25">
      <c r="A70" s="42" t="s">
        <v>2504</v>
      </c>
      <c r="B70" s="41"/>
      <c r="C70" s="54">
        <f t="shared" ref="C70:G70" si="4">SUM(C55:C69)</f>
        <v>0</v>
      </c>
      <c r="D70" s="54">
        <f t="shared" si="4"/>
        <v>0</v>
      </c>
      <c r="E70" s="54">
        <f t="shared" si="4"/>
        <v>0</v>
      </c>
      <c r="F70" s="54">
        <f t="shared" si="4"/>
        <v>0</v>
      </c>
      <c r="G70" s="54">
        <f t="shared" si="4"/>
        <v>813000</v>
      </c>
      <c r="H70" s="7"/>
      <c r="I70" s="7"/>
      <c r="J70" s="7"/>
      <c r="K70" s="7"/>
    </row>
    <row r="71" spans="1:11" ht="15.75" customHeight="1" x14ac:dyDescent="0.25">
      <c r="A71" s="408"/>
      <c r="B71" s="408"/>
      <c r="C71" s="408"/>
      <c r="D71" s="26"/>
      <c r="E71" s="55"/>
      <c r="F71" s="408"/>
      <c r="G71" s="408"/>
      <c r="H71" s="7"/>
      <c r="I71" s="7"/>
      <c r="J71" s="7"/>
      <c r="K71" s="7"/>
    </row>
    <row r="72" spans="1:11" ht="15.75" customHeight="1" x14ac:dyDescent="0.25">
      <c r="A72" s="50" t="s">
        <v>487</v>
      </c>
      <c r="B72" s="51"/>
      <c r="C72" s="54">
        <f t="shared" ref="C72:G72" si="5">C70+C51</f>
        <v>0</v>
      </c>
      <c r="D72" s="54">
        <f t="shared" si="5"/>
        <v>0</v>
      </c>
      <c r="E72" s="54">
        <f t="shared" si="5"/>
        <v>0</v>
      </c>
      <c r="F72" s="54">
        <f t="shared" si="5"/>
        <v>0</v>
      </c>
      <c r="G72" s="54">
        <f t="shared" si="5"/>
        <v>13319664</v>
      </c>
      <c r="H72" s="7"/>
      <c r="I72" s="7"/>
      <c r="J72" s="7"/>
      <c r="K72" s="7"/>
    </row>
    <row r="73" spans="1:11" ht="15.75" customHeight="1" x14ac:dyDescent="0.25">
      <c r="A73" s="24"/>
      <c r="B73" s="25"/>
      <c r="C73" s="24"/>
      <c r="D73" s="24"/>
      <c r="E73" s="24"/>
      <c r="F73" s="114"/>
      <c r="G73" s="14"/>
      <c r="H73" s="7"/>
      <c r="I73" s="7"/>
      <c r="J73" s="7"/>
      <c r="K73" s="7"/>
    </row>
    <row r="74" spans="1:11" ht="15.75" customHeight="1" x14ac:dyDescent="0.25">
      <c r="A74" s="24"/>
      <c r="B74" s="25"/>
      <c r="C74" s="24"/>
      <c r="D74" s="24"/>
      <c r="E74" s="24"/>
      <c r="F74" s="114"/>
      <c r="G74" s="14"/>
      <c r="H74" s="7"/>
      <c r="I74" s="7"/>
      <c r="J74" s="7"/>
      <c r="K74" s="7"/>
    </row>
    <row r="75" spans="1:11" ht="15.75" customHeight="1" x14ac:dyDescent="0.25">
      <c r="A75" s="24"/>
      <c r="B75" s="25"/>
      <c r="C75" s="24"/>
      <c r="D75" s="24"/>
      <c r="E75" s="24"/>
      <c r="F75" s="114"/>
      <c r="G75" s="14"/>
      <c r="H75" s="7"/>
      <c r="I75" s="7"/>
      <c r="J75" s="7"/>
      <c r="K75" s="7"/>
    </row>
    <row r="76" spans="1:11" ht="15.75" customHeight="1" x14ac:dyDescent="0.25">
      <c r="A76" s="24"/>
      <c r="B76" s="25"/>
      <c r="C76" s="24"/>
      <c r="D76" s="24"/>
      <c r="E76" s="24"/>
      <c r="F76" s="114"/>
      <c r="G76" s="14"/>
      <c r="H76" s="7"/>
      <c r="I76" s="7"/>
      <c r="J76" s="7"/>
      <c r="K76" s="7"/>
    </row>
    <row r="77" spans="1:11" ht="15.75" customHeight="1" x14ac:dyDescent="0.25">
      <c r="A77" s="24"/>
      <c r="B77" s="25"/>
      <c r="C77" s="24"/>
      <c r="D77" s="24"/>
      <c r="E77" s="24"/>
      <c r="F77" s="114"/>
      <c r="G77" s="14"/>
      <c r="H77" s="7"/>
      <c r="I77" s="7"/>
      <c r="J77" s="7"/>
      <c r="K77" s="7"/>
    </row>
    <row r="78" spans="1:11" ht="15.75" customHeight="1" x14ac:dyDescent="0.25">
      <c r="A78" s="24"/>
      <c r="B78" s="25"/>
      <c r="C78" s="24"/>
      <c r="D78" s="24"/>
      <c r="E78" s="24"/>
      <c r="F78" s="114"/>
      <c r="G78" s="14"/>
      <c r="H78" s="7"/>
      <c r="I78" s="7"/>
      <c r="J78" s="7"/>
      <c r="K78" s="7"/>
    </row>
    <row r="79" spans="1:11" ht="15.75" customHeight="1" x14ac:dyDescent="0.25">
      <c r="A79" s="24"/>
      <c r="B79" s="25"/>
      <c r="C79" s="24"/>
      <c r="D79" s="24"/>
      <c r="E79" s="24"/>
      <c r="F79" s="114"/>
      <c r="G79" s="14"/>
      <c r="H79" s="7"/>
      <c r="I79" s="7"/>
      <c r="J79" s="7"/>
      <c r="K79" s="7"/>
    </row>
    <row r="80" spans="1:11" ht="15.75" customHeight="1" x14ac:dyDescent="0.25">
      <c r="A80" s="24"/>
      <c r="B80" s="25"/>
      <c r="C80" s="24"/>
      <c r="D80" s="24"/>
      <c r="E80" s="24"/>
      <c r="F80" s="114"/>
      <c r="G80" s="14"/>
      <c r="H80" s="7"/>
      <c r="I80" s="7"/>
      <c r="J80" s="7"/>
      <c r="K80" s="7"/>
    </row>
    <row r="81" spans="1:11" ht="15.75" customHeight="1" x14ac:dyDescent="0.25">
      <c r="A81" s="24"/>
      <c r="B81" s="25"/>
      <c r="C81" s="24"/>
      <c r="D81" s="24"/>
      <c r="E81" s="24"/>
      <c r="F81" s="114"/>
      <c r="G81" s="14"/>
      <c r="H81" s="7"/>
      <c r="I81" s="7"/>
      <c r="J81" s="7"/>
      <c r="K81" s="7"/>
    </row>
    <row r="82" spans="1:11" ht="15.75" customHeight="1" x14ac:dyDescent="0.25">
      <c r="A82" s="24"/>
      <c r="B82" s="25"/>
      <c r="C82" s="24"/>
      <c r="D82" s="24"/>
      <c r="E82" s="24"/>
      <c r="F82" s="114"/>
      <c r="G82" s="14"/>
      <c r="H82" s="7"/>
      <c r="I82" s="7"/>
      <c r="J82" s="7"/>
      <c r="K82" s="7"/>
    </row>
    <row r="83" spans="1:11" ht="15.75" customHeight="1" x14ac:dyDescent="0.25">
      <c r="A83" s="24"/>
      <c r="B83" s="25"/>
      <c r="C83" s="24"/>
      <c r="D83" s="24"/>
      <c r="E83" s="24"/>
      <c r="F83" s="114"/>
      <c r="G83" s="14"/>
      <c r="H83" s="7"/>
      <c r="I83" s="7"/>
      <c r="J83" s="7"/>
      <c r="K83" s="7"/>
    </row>
    <row r="84" spans="1:11" ht="15.75" customHeight="1" x14ac:dyDescent="0.25">
      <c r="A84" s="24"/>
      <c r="B84" s="25"/>
      <c r="C84" s="24"/>
      <c r="D84" s="24"/>
      <c r="E84" s="24"/>
      <c r="F84" s="114"/>
      <c r="G84" s="14"/>
      <c r="H84" s="7"/>
      <c r="I84" s="7"/>
      <c r="J84" s="7"/>
      <c r="K84" s="7"/>
    </row>
    <row r="85" spans="1:11" ht="15.75" customHeight="1" x14ac:dyDescent="0.25">
      <c r="A85" s="24"/>
      <c r="B85" s="25"/>
      <c r="C85" s="24"/>
      <c r="D85" s="24"/>
      <c r="E85" s="24"/>
      <c r="F85" s="114"/>
      <c r="G85" s="14"/>
      <c r="H85" s="7"/>
      <c r="I85" s="7"/>
      <c r="J85" s="7"/>
      <c r="K85" s="7"/>
    </row>
    <row r="86" spans="1:11" ht="15.75" customHeight="1" x14ac:dyDescent="0.25">
      <c r="A86" s="24"/>
      <c r="B86" s="25"/>
      <c r="C86" s="24"/>
      <c r="D86" s="24"/>
      <c r="E86" s="24"/>
      <c r="F86" s="114"/>
      <c r="G86" s="14"/>
      <c r="H86" s="7"/>
      <c r="I86" s="7"/>
      <c r="J86" s="7"/>
      <c r="K86" s="7"/>
    </row>
    <row r="87" spans="1:11" ht="15.75" customHeight="1" x14ac:dyDescent="0.25">
      <c r="A87" s="24"/>
      <c r="B87" s="25"/>
      <c r="C87" s="24"/>
      <c r="D87" s="24"/>
      <c r="E87" s="24"/>
      <c r="F87" s="114"/>
      <c r="G87" s="14"/>
      <c r="H87" s="7"/>
      <c r="I87" s="7"/>
      <c r="J87" s="7"/>
      <c r="K87" s="7"/>
    </row>
    <row r="88" spans="1:11" ht="15.75" customHeight="1" x14ac:dyDescent="0.25">
      <c r="A88" s="24"/>
      <c r="B88" s="25"/>
      <c r="C88" s="24"/>
      <c r="D88" s="24"/>
      <c r="E88" s="24"/>
      <c r="F88" s="114"/>
      <c r="G88" s="14"/>
      <c r="H88" s="7"/>
      <c r="I88" s="7"/>
      <c r="J88" s="7"/>
      <c r="K88" s="7"/>
    </row>
    <row r="89" spans="1:11" ht="15.75" customHeight="1" x14ac:dyDescent="0.25">
      <c r="A89" s="24"/>
      <c r="B89" s="25"/>
      <c r="C89" s="24"/>
      <c r="D89" s="24"/>
      <c r="E89" s="24"/>
      <c r="F89" s="114"/>
      <c r="G89" s="14"/>
      <c r="H89" s="7"/>
      <c r="I89" s="7"/>
      <c r="J89" s="7"/>
      <c r="K89" s="7"/>
    </row>
    <row r="90" spans="1:11" ht="15.75" customHeight="1" x14ac:dyDescent="0.25">
      <c r="A90" s="24"/>
      <c r="B90" s="25"/>
      <c r="C90" s="24"/>
      <c r="D90" s="24"/>
      <c r="E90" s="24"/>
      <c r="F90" s="114"/>
      <c r="G90" s="14"/>
      <c r="H90" s="7"/>
      <c r="I90" s="7"/>
      <c r="J90" s="7"/>
      <c r="K90" s="7"/>
    </row>
    <row r="91" spans="1:11" ht="15.75" customHeight="1" x14ac:dyDescent="0.25">
      <c r="A91" s="24"/>
      <c r="B91" s="25"/>
      <c r="C91" s="24"/>
      <c r="D91" s="24"/>
      <c r="E91" s="24"/>
      <c r="F91" s="114"/>
      <c r="G91" s="14"/>
      <c r="H91" s="7"/>
      <c r="I91" s="7"/>
      <c r="J91" s="7"/>
      <c r="K91" s="7"/>
    </row>
    <row r="92" spans="1:11" ht="15.75" customHeight="1" x14ac:dyDescent="0.25">
      <c r="A92" s="24"/>
      <c r="B92" s="25"/>
      <c r="C92" s="24"/>
      <c r="D92" s="24"/>
      <c r="E92" s="24"/>
      <c r="F92" s="114"/>
      <c r="G92" s="14"/>
      <c r="H92" s="7"/>
      <c r="I92" s="7"/>
      <c r="J92" s="7"/>
      <c r="K92" s="7"/>
    </row>
    <row r="93" spans="1:11" ht="15.75" customHeight="1" x14ac:dyDescent="0.25">
      <c r="A93" s="24"/>
      <c r="B93" s="25"/>
      <c r="C93" s="24"/>
      <c r="D93" s="24"/>
      <c r="E93" s="24"/>
      <c r="F93" s="114"/>
      <c r="G93" s="14"/>
      <c r="H93" s="7"/>
      <c r="I93" s="7"/>
      <c r="J93" s="7"/>
      <c r="K93" s="7"/>
    </row>
    <row r="94" spans="1:11" ht="15.75" customHeight="1" x14ac:dyDescent="0.25">
      <c r="A94" s="24"/>
      <c r="B94" s="25"/>
      <c r="C94" s="24"/>
      <c r="D94" s="24"/>
      <c r="E94" s="24"/>
      <c r="F94" s="114"/>
      <c r="G94" s="14"/>
      <c r="H94" s="7"/>
      <c r="I94" s="7"/>
      <c r="J94" s="7"/>
      <c r="K94" s="7"/>
    </row>
    <row r="95" spans="1:11" ht="15.75" customHeight="1" x14ac:dyDescent="0.25">
      <c r="A95" s="24"/>
      <c r="B95" s="25"/>
      <c r="C95" s="24"/>
      <c r="D95" s="24"/>
      <c r="E95" s="24"/>
      <c r="F95" s="114"/>
      <c r="G95" s="14"/>
      <c r="H95" s="7"/>
      <c r="I95" s="7"/>
      <c r="J95" s="7"/>
      <c r="K95" s="7"/>
    </row>
    <row r="96" spans="1:11" ht="15.75" customHeight="1" x14ac:dyDescent="0.25">
      <c r="A96" s="24"/>
      <c r="B96" s="25"/>
      <c r="C96" s="24"/>
      <c r="D96" s="24"/>
      <c r="E96" s="24"/>
      <c r="F96" s="114"/>
      <c r="G96" s="14"/>
      <c r="H96" s="7"/>
      <c r="I96" s="7"/>
      <c r="J96" s="7"/>
      <c r="K96" s="7"/>
    </row>
    <row r="97" spans="1:11" ht="15.75" customHeight="1" x14ac:dyDescent="0.25">
      <c r="A97" s="24"/>
      <c r="B97" s="25"/>
      <c r="C97" s="24"/>
      <c r="D97" s="24"/>
      <c r="E97" s="24"/>
      <c r="F97" s="114"/>
      <c r="G97" s="14"/>
      <c r="H97" s="7"/>
      <c r="I97" s="7"/>
      <c r="J97" s="7"/>
      <c r="K97" s="7"/>
    </row>
    <row r="98" spans="1:11" ht="15.75" customHeight="1" x14ac:dyDescent="0.25">
      <c r="A98" s="24"/>
      <c r="B98" s="25"/>
      <c r="C98" s="24"/>
      <c r="D98" s="24"/>
      <c r="E98" s="24"/>
      <c r="F98" s="114"/>
      <c r="G98" s="14"/>
      <c r="H98" s="7"/>
      <c r="I98" s="7"/>
      <c r="J98" s="7"/>
      <c r="K98" s="7"/>
    </row>
    <row r="99" spans="1:11" ht="15.75" customHeight="1" x14ac:dyDescent="0.25">
      <c r="A99" s="24"/>
      <c r="B99" s="25"/>
      <c r="C99" s="24"/>
      <c r="D99" s="24"/>
      <c r="E99" s="24"/>
      <c r="F99" s="114"/>
      <c r="G99" s="14"/>
      <c r="H99" s="7"/>
      <c r="I99" s="7"/>
      <c r="J99" s="7"/>
      <c r="K99" s="7"/>
    </row>
    <row r="100" spans="1:11" ht="15.75" customHeight="1" x14ac:dyDescent="0.25">
      <c r="A100" s="24"/>
      <c r="B100" s="25"/>
      <c r="C100" s="24"/>
      <c r="D100" s="24"/>
      <c r="E100" s="24"/>
      <c r="F100" s="114"/>
      <c r="G100" s="14"/>
      <c r="H100" s="7"/>
      <c r="I100" s="7"/>
      <c r="J100" s="7"/>
      <c r="K100" s="7"/>
    </row>
    <row r="101" spans="1:11" ht="15.75" customHeight="1" x14ac:dyDescent="0.25">
      <c r="A101" s="24"/>
      <c r="B101" s="25"/>
      <c r="C101" s="24"/>
      <c r="D101" s="24"/>
      <c r="E101" s="24"/>
      <c r="F101" s="114"/>
      <c r="G101" s="14"/>
      <c r="H101" s="7"/>
      <c r="I101" s="7"/>
      <c r="J101" s="7"/>
      <c r="K101" s="7"/>
    </row>
    <row r="102" spans="1:11" ht="15.75" customHeight="1" x14ac:dyDescent="0.25">
      <c r="A102" s="24"/>
      <c r="B102" s="25"/>
      <c r="C102" s="24"/>
      <c r="D102" s="24"/>
      <c r="E102" s="24"/>
      <c r="F102" s="114"/>
      <c r="G102" s="14"/>
      <c r="H102" s="7"/>
      <c r="I102" s="7"/>
      <c r="J102" s="7"/>
      <c r="K102" s="7"/>
    </row>
    <row r="103" spans="1:11" ht="15.75" customHeight="1" x14ac:dyDescent="0.25">
      <c r="A103" s="24"/>
      <c r="B103" s="25"/>
      <c r="C103" s="24"/>
      <c r="D103" s="24"/>
      <c r="E103" s="24"/>
      <c r="F103" s="114"/>
      <c r="G103" s="14"/>
      <c r="H103" s="7"/>
      <c r="I103" s="7"/>
      <c r="J103" s="7"/>
      <c r="K103" s="7"/>
    </row>
    <row r="104" spans="1:11" ht="15.75" customHeight="1" x14ac:dyDescent="0.25">
      <c r="A104" s="24"/>
      <c r="B104" s="25"/>
      <c r="C104" s="24"/>
      <c r="D104" s="24"/>
      <c r="E104" s="24"/>
      <c r="F104" s="114"/>
      <c r="G104" s="14"/>
      <c r="H104" s="7"/>
      <c r="I104" s="7"/>
      <c r="J104" s="7"/>
      <c r="K104" s="7"/>
    </row>
    <row r="105" spans="1:11" ht="15.75" customHeight="1" x14ac:dyDescent="0.25">
      <c r="A105" s="24"/>
      <c r="B105" s="25"/>
      <c r="C105" s="24"/>
      <c r="D105" s="24"/>
      <c r="E105" s="24"/>
      <c r="F105" s="114"/>
      <c r="G105" s="14"/>
      <c r="H105" s="7"/>
      <c r="I105" s="7"/>
      <c r="J105" s="7"/>
      <c r="K105" s="7"/>
    </row>
    <row r="106" spans="1:11" ht="15.75" customHeight="1" x14ac:dyDescent="0.25">
      <c r="A106" s="24"/>
      <c r="B106" s="25"/>
      <c r="C106" s="24"/>
      <c r="D106" s="24"/>
      <c r="E106" s="24"/>
      <c r="F106" s="114"/>
      <c r="G106" s="14"/>
      <c r="H106" s="7"/>
      <c r="I106" s="7"/>
      <c r="J106" s="7"/>
      <c r="K106" s="7"/>
    </row>
    <row r="107" spans="1:11" ht="15.75" customHeight="1" x14ac:dyDescent="0.25">
      <c r="A107" s="24"/>
      <c r="B107" s="25"/>
      <c r="C107" s="24"/>
      <c r="D107" s="24"/>
      <c r="E107" s="24"/>
      <c r="F107" s="114"/>
      <c r="G107" s="14"/>
      <c r="H107" s="7"/>
      <c r="I107" s="7"/>
      <c r="J107" s="7"/>
      <c r="K107" s="7"/>
    </row>
    <row r="108" spans="1:11" ht="15.75" customHeight="1" x14ac:dyDescent="0.25">
      <c r="A108" s="24"/>
      <c r="B108" s="25"/>
      <c r="C108" s="24"/>
      <c r="D108" s="24"/>
      <c r="E108" s="24"/>
      <c r="F108" s="114"/>
      <c r="G108" s="14"/>
      <c r="H108" s="7"/>
      <c r="I108" s="7"/>
      <c r="J108" s="7"/>
      <c r="K108" s="7"/>
    </row>
    <row r="109" spans="1:11" ht="15.75" customHeight="1" x14ac:dyDescent="0.25">
      <c r="A109" s="24"/>
      <c r="B109" s="25"/>
      <c r="C109" s="24"/>
      <c r="D109" s="24"/>
      <c r="E109" s="24"/>
      <c r="F109" s="114"/>
      <c r="G109" s="14"/>
      <c r="H109" s="7"/>
      <c r="I109" s="7"/>
      <c r="J109" s="7"/>
      <c r="K109" s="7"/>
    </row>
    <row r="110" spans="1:11" ht="15.75" customHeight="1" x14ac:dyDescent="0.25">
      <c r="A110" s="24"/>
      <c r="B110" s="25"/>
      <c r="C110" s="24"/>
      <c r="D110" s="24"/>
      <c r="E110" s="24"/>
      <c r="F110" s="114"/>
      <c r="G110" s="14"/>
      <c r="H110" s="7"/>
      <c r="I110" s="7"/>
      <c r="J110" s="7"/>
      <c r="K110" s="7"/>
    </row>
    <row r="111" spans="1:11" ht="15.75" customHeight="1" x14ac:dyDescent="0.25">
      <c r="A111" s="24"/>
      <c r="B111" s="25"/>
      <c r="C111" s="24"/>
      <c r="D111" s="24"/>
      <c r="E111" s="24"/>
      <c r="F111" s="114"/>
      <c r="G111" s="14"/>
      <c r="H111" s="7"/>
      <c r="I111" s="7"/>
      <c r="J111" s="7"/>
      <c r="K111" s="7"/>
    </row>
    <row r="112" spans="1:11" ht="15.75" customHeight="1" x14ac:dyDescent="0.25">
      <c r="A112" s="24"/>
      <c r="B112" s="25"/>
      <c r="C112" s="24"/>
      <c r="D112" s="24"/>
      <c r="E112" s="24"/>
      <c r="F112" s="114"/>
      <c r="G112" s="14"/>
      <c r="H112" s="7"/>
      <c r="I112" s="7"/>
      <c r="J112" s="7"/>
      <c r="K112" s="7"/>
    </row>
    <row r="113" spans="1:11" ht="15.75" customHeight="1" x14ac:dyDescent="0.25">
      <c r="A113" s="24"/>
      <c r="B113" s="25"/>
      <c r="C113" s="24"/>
      <c r="D113" s="24"/>
      <c r="E113" s="24"/>
      <c r="F113" s="114"/>
      <c r="G113" s="14"/>
      <c r="H113" s="7"/>
      <c r="I113" s="7"/>
      <c r="J113" s="7"/>
      <c r="K113" s="7"/>
    </row>
    <row r="114" spans="1:11" ht="15.75" customHeight="1" x14ac:dyDescent="0.25">
      <c r="A114" s="24"/>
      <c r="B114" s="25"/>
      <c r="C114" s="24"/>
      <c r="D114" s="24"/>
      <c r="E114" s="24"/>
      <c r="F114" s="114"/>
      <c r="G114" s="14"/>
      <c r="H114" s="7"/>
      <c r="I114" s="7"/>
      <c r="J114" s="7"/>
      <c r="K114" s="7"/>
    </row>
    <row r="115" spans="1:11" ht="15.75" customHeight="1" x14ac:dyDescent="0.25">
      <c r="A115" s="24"/>
      <c r="B115" s="25"/>
      <c r="C115" s="24"/>
      <c r="D115" s="24"/>
      <c r="E115" s="24"/>
      <c r="F115" s="114"/>
      <c r="G115" s="14"/>
      <c r="H115" s="7"/>
      <c r="I115" s="7"/>
      <c r="J115" s="7"/>
      <c r="K115" s="7"/>
    </row>
    <row r="116" spans="1:11" ht="15.75" customHeight="1" x14ac:dyDescent="0.25">
      <c r="A116" s="24"/>
      <c r="B116" s="25"/>
      <c r="C116" s="24"/>
      <c r="D116" s="24"/>
      <c r="E116" s="24"/>
      <c r="F116" s="114"/>
      <c r="G116" s="14"/>
      <c r="H116" s="7"/>
      <c r="I116" s="7"/>
      <c r="J116" s="7"/>
      <c r="K116" s="7"/>
    </row>
    <row r="117" spans="1:11" ht="15.75" customHeight="1" x14ac:dyDescent="0.25">
      <c r="A117" s="24"/>
      <c r="B117" s="25"/>
      <c r="C117" s="24"/>
      <c r="D117" s="24"/>
      <c r="E117" s="24"/>
      <c r="F117" s="114"/>
      <c r="G117" s="14"/>
      <c r="H117" s="7"/>
      <c r="I117" s="7"/>
      <c r="J117" s="7"/>
      <c r="K117" s="7"/>
    </row>
    <row r="118" spans="1:11" ht="15.75" customHeight="1" x14ac:dyDescent="0.25">
      <c r="A118" s="24"/>
      <c r="B118" s="25"/>
      <c r="C118" s="24"/>
      <c r="D118" s="24"/>
      <c r="E118" s="24"/>
      <c r="F118" s="114"/>
      <c r="G118" s="14"/>
      <c r="H118" s="7"/>
      <c r="I118" s="7"/>
      <c r="J118" s="7"/>
      <c r="K118" s="7"/>
    </row>
    <row r="119" spans="1:11" ht="15.75" customHeight="1" x14ac:dyDescent="0.25">
      <c r="A119" s="24"/>
      <c r="B119" s="25"/>
      <c r="C119" s="24"/>
      <c r="D119" s="24"/>
      <c r="E119" s="24"/>
      <c r="F119" s="114"/>
      <c r="G119" s="14"/>
      <c r="H119" s="7"/>
      <c r="I119" s="7"/>
      <c r="J119" s="7"/>
      <c r="K119" s="7"/>
    </row>
    <row r="120" spans="1:11" ht="15.75" customHeight="1" x14ac:dyDescent="0.25">
      <c r="A120" s="24"/>
      <c r="B120" s="25"/>
      <c r="C120" s="24"/>
      <c r="D120" s="24"/>
      <c r="E120" s="24"/>
      <c r="F120" s="114"/>
      <c r="G120" s="14"/>
      <c r="H120" s="7"/>
      <c r="I120" s="7"/>
      <c r="J120" s="7"/>
      <c r="K120" s="7"/>
    </row>
    <row r="121" spans="1:11" ht="15.75" customHeight="1" x14ac:dyDescent="0.25">
      <c r="A121" s="24"/>
      <c r="B121" s="25"/>
      <c r="C121" s="24"/>
      <c r="D121" s="24"/>
      <c r="E121" s="24"/>
      <c r="F121" s="114"/>
      <c r="G121" s="14"/>
      <c r="H121" s="7"/>
      <c r="I121" s="7"/>
      <c r="J121" s="7"/>
      <c r="K121" s="7"/>
    </row>
    <row r="122" spans="1:11" ht="15.75" customHeight="1" x14ac:dyDescent="0.25">
      <c r="A122" s="24"/>
      <c r="B122" s="25"/>
      <c r="C122" s="24"/>
      <c r="D122" s="24"/>
      <c r="E122" s="24"/>
      <c r="F122" s="114"/>
      <c r="G122" s="14"/>
      <c r="H122" s="7"/>
      <c r="I122" s="7"/>
      <c r="J122" s="7"/>
      <c r="K122" s="7"/>
    </row>
    <row r="123" spans="1:11" ht="15.75" customHeight="1" x14ac:dyDescent="0.25">
      <c r="A123" s="24"/>
      <c r="B123" s="25"/>
      <c r="C123" s="24"/>
      <c r="D123" s="24"/>
      <c r="E123" s="24"/>
      <c r="F123" s="114"/>
      <c r="G123" s="14"/>
      <c r="H123" s="7"/>
      <c r="I123" s="7"/>
      <c r="J123" s="7"/>
      <c r="K123" s="7"/>
    </row>
    <row r="124" spans="1:11" ht="15.75" customHeight="1" x14ac:dyDescent="0.25">
      <c r="A124" s="24"/>
      <c r="B124" s="25"/>
      <c r="C124" s="24"/>
      <c r="D124" s="24"/>
      <c r="E124" s="24"/>
      <c r="F124" s="114"/>
      <c r="G124" s="14"/>
      <c r="H124" s="7"/>
      <c r="I124" s="7"/>
      <c r="J124" s="7"/>
      <c r="K124" s="7"/>
    </row>
    <row r="125" spans="1:11" ht="15.75" customHeight="1" x14ac:dyDescent="0.25">
      <c r="A125" s="24"/>
      <c r="B125" s="25"/>
      <c r="C125" s="24"/>
      <c r="D125" s="24"/>
      <c r="E125" s="24"/>
      <c r="F125" s="114"/>
      <c r="G125" s="14"/>
      <c r="H125" s="7"/>
      <c r="I125" s="7"/>
      <c r="J125" s="7"/>
      <c r="K125" s="7"/>
    </row>
    <row r="126" spans="1:11" ht="15.75" customHeight="1" x14ac:dyDescent="0.25">
      <c r="A126" s="24"/>
      <c r="B126" s="25"/>
      <c r="C126" s="24"/>
      <c r="D126" s="24"/>
      <c r="E126" s="24"/>
      <c r="F126" s="114"/>
      <c r="G126" s="14"/>
      <c r="H126" s="7"/>
      <c r="I126" s="7"/>
      <c r="J126" s="7"/>
      <c r="K126" s="7"/>
    </row>
    <row r="127" spans="1:11" ht="15.75" customHeight="1" x14ac:dyDescent="0.25">
      <c r="A127" s="24"/>
      <c r="B127" s="25"/>
      <c r="C127" s="24"/>
      <c r="D127" s="24"/>
      <c r="E127" s="24"/>
      <c r="F127" s="114"/>
      <c r="G127" s="14"/>
      <c r="H127" s="7"/>
      <c r="I127" s="7"/>
      <c r="J127" s="7"/>
      <c r="K127" s="7"/>
    </row>
    <row r="128" spans="1:11" ht="15.75" customHeight="1" x14ac:dyDescent="0.25">
      <c r="A128" s="24"/>
      <c r="B128" s="25"/>
      <c r="C128" s="24"/>
      <c r="D128" s="24"/>
      <c r="E128" s="24"/>
      <c r="F128" s="114"/>
      <c r="G128" s="14"/>
      <c r="H128" s="7"/>
      <c r="I128" s="7"/>
      <c r="J128" s="7"/>
      <c r="K128" s="7"/>
    </row>
    <row r="129" spans="1:11" ht="15.75" customHeight="1" x14ac:dyDescent="0.25">
      <c r="A129" s="24"/>
      <c r="B129" s="25"/>
      <c r="C129" s="24"/>
      <c r="D129" s="24"/>
      <c r="E129" s="24"/>
      <c r="F129" s="114"/>
      <c r="G129" s="14"/>
      <c r="H129" s="7"/>
      <c r="I129" s="7"/>
      <c r="J129" s="7"/>
      <c r="K129" s="7"/>
    </row>
    <row r="130" spans="1:11" ht="15.75" customHeight="1" x14ac:dyDescent="0.25">
      <c r="A130" s="24"/>
      <c r="B130" s="25"/>
      <c r="C130" s="24"/>
      <c r="D130" s="24"/>
      <c r="E130" s="24"/>
      <c r="F130" s="114"/>
      <c r="G130" s="14"/>
      <c r="H130" s="7"/>
      <c r="I130" s="7"/>
      <c r="J130" s="7"/>
      <c r="K130" s="7"/>
    </row>
    <row r="131" spans="1:11" ht="15.75" customHeight="1" x14ac:dyDescent="0.25">
      <c r="A131" s="24"/>
      <c r="B131" s="25"/>
      <c r="C131" s="24"/>
      <c r="D131" s="24"/>
      <c r="E131" s="24"/>
      <c r="F131" s="114"/>
      <c r="G131" s="14"/>
      <c r="H131" s="7"/>
      <c r="I131" s="7"/>
      <c r="J131" s="7"/>
      <c r="K131" s="7"/>
    </row>
    <row r="132" spans="1:11" ht="15.75" customHeight="1" x14ac:dyDescent="0.25">
      <c r="A132" s="24"/>
      <c r="B132" s="25"/>
      <c r="C132" s="24"/>
      <c r="D132" s="24"/>
      <c r="E132" s="24"/>
      <c r="F132" s="114"/>
      <c r="G132" s="14"/>
      <c r="H132" s="7"/>
      <c r="I132" s="7"/>
      <c r="J132" s="7"/>
      <c r="K132" s="7"/>
    </row>
    <row r="133" spans="1:11" ht="15.75" customHeight="1" x14ac:dyDescent="0.25">
      <c r="A133" s="24"/>
      <c r="B133" s="25"/>
      <c r="C133" s="24"/>
      <c r="D133" s="24"/>
      <c r="E133" s="24"/>
      <c r="F133" s="114"/>
      <c r="G133" s="14"/>
      <c r="H133" s="7"/>
      <c r="I133" s="7"/>
      <c r="J133" s="7"/>
      <c r="K133" s="7"/>
    </row>
    <row r="134" spans="1:11" ht="15.75" customHeight="1" x14ac:dyDescent="0.25">
      <c r="A134" s="24"/>
      <c r="B134" s="25"/>
      <c r="C134" s="24"/>
      <c r="D134" s="24"/>
      <c r="E134" s="24"/>
      <c r="F134" s="114"/>
      <c r="G134" s="14"/>
      <c r="H134" s="7"/>
      <c r="I134" s="7"/>
      <c r="J134" s="7"/>
      <c r="K134" s="7"/>
    </row>
    <row r="135" spans="1:11" ht="15.75" customHeight="1" x14ac:dyDescent="0.25">
      <c r="A135" s="24"/>
      <c r="B135" s="25"/>
      <c r="C135" s="24"/>
      <c r="D135" s="24"/>
      <c r="E135" s="24"/>
      <c r="F135" s="114"/>
      <c r="G135" s="14"/>
      <c r="H135" s="7"/>
      <c r="I135" s="7"/>
      <c r="J135" s="7"/>
      <c r="K135" s="7"/>
    </row>
    <row r="136" spans="1:11" ht="15.75" customHeight="1" x14ac:dyDescent="0.25">
      <c r="A136" s="24"/>
      <c r="B136" s="25"/>
      <c r="C136" s="24"/>
      <c r="D136" s="24"/>
      <c r="E136" s="24"/>
      <c r="F136" s="114"/>
      <c r="G136" s="14"/>
      <c r="H136" s="7"/>
      <c r="I136" s="7"/>
      <c r="J136" s="7"/>
      <c r="K136" s="7"/>
    </row>
    <row r="137" spans="1:11" ht="15.75" customHeight="1" x14ac:dyDescent="0.25">
      <c r="A137" s="24"/>
      <c r="B137" s="25"/>
      <c r="C137" s="24"/>
      <c r="D137" s="24"/>
      <c r="E137" s="24"/>
      <c r="F137" s="114"/>
      <c r="G137" s="14"/>
      <c r="H137" s="7"/>
      <c r="I137" s="7"/>
      <c r="J137" s="7"/>
      <c r="K137" s="7"/>
    </row>
    <row r="138" spans="1:11" ht="15.75" customHeight="1" x14ac:dyDescent="0.25">
      <c r="A138" s="24"/>
      <c r="B138" s="25"/>
      <c r="C138" s="24"/>
      <c r="D138" s="24"/>
      <c r="E138" s="24"/>
      <c r="F138" s="114"/>
      <c r="G138" s="14"/>
      <c r="H138" s="7"/>
      <c r="I138" s="7"/>
      <c r="J138" s="7"/>
      <c r="K138" s="7"/>
    </row>
    <row r="139" spans="1:11" ht="15.75" customHeight="1" x14ac:dyDescent="0.25">
      <c r="A139" s="24"/>
      <c r="B139" s="25"/>
      <c r="C139" s="24"/>
      <c r="D139" s="24"/>
      <c r="E139" s="24"/>
      <c r="F139" s="114"/>
      <c r="G139" s="14"/>
      <c r="H139" s="7"/>
      <c r="I139" s="7"/>
      <c r="J139" s="7"/>
      <c r="K139" s="7"/>
    </row>
    <row r="140" spans="1:11" ht="15.75" customHeight="1" x14ac:dyDescent="0.25">
      <c r="A140" s="24"/>
      <c r="B140" s="25"/>
      <c r="C140" s="24"/>
      <c r="D140" s="24"/>
      <c r="E140" s="24"/>
      <c r="F140" s="114"/>
      <c r="G140" s="14"/>
      <c r="H140" s="7"/>
      <c r="I140" s="7"/>
      <c r="J140" s="7"/>
      <c r="K140" s="7"/>
    </row>
    <row r="141" spans="1:11" ht="15.75" customHeight="1" x14ac:dyDescent="0.25">
      <c r="A141" s="24"/>
      <c r="B141" s="25"/>
      <c r="C141" s="24"/>
      <c r="D141" s="24"/>
      <c r="E141" s="24"/>
      <c r="F141" s="114"/>
      <c r="G141" s="14"/>
      <c r="H141" s="7"/>
      <c r="I141" s="7"/>
      <c r="J141" s="7"/>
      <c r="K141" s="7"/>
    </row>
    <row r="142" spans="1:11" ht="15.75" customHeight="1" x14ac:dyDescent="0.25">
      <c r="A142" s="24"/>
      <c r="B142" s="25"/>
      <c r="C142" s="24"/>
      <c r="D142" s="24"/>
      <c r="E142" s="24"/>
      <c r="F142" s="114"/>
      <c r="G142" s="14"/>
      <c r="H142" s="7"/>
      <c r="I142" s="7"/>
      <c r="J142" s="7"/>
      <c r="K142" s="7"/>
    </row>
    <row r="143" spans="1:11" ht="15.75" customHeight="1" x14ac:dyDescent="0.25">
      <c r="A143" s="24"/>
      <c r="B143" s="25"/>
      <c r="C143" s="24"/>
      <c r="D143" s="24"/>
      <c r="E143" s="24"/>
      <c r="F143" s="114"/>
      <c r="G143" s="14"/>
      <c r="H143" s="7"/>
      <c r="I143" s="7"/>
      <c r="J143" s="7"/>
      <c r="K143" s="7"/>
    </row>
    <row r="144" spans="1:11" ht="15.75" customHeight="1" x14ac:dyDescent="0.25">
      <c r="A144" s="24"/>
      <c r="B144" s="25"/>
      <c r="C144" s="24"/>
      <c r="D144" s="24"/>
      <c r="E144" s="24"/>
      <c r="F144" s="114"/>
      <c r="G144" s="14"/>
      <c r="H144" s="7"/>
      <c r="I144" s="7"/>
      <c r="J144" s="7"/>
      <c r="K144" s="7"/>
    </row>
    <row r="145" spans="1:11" ht="15.75" customHeight="1" x14ac:dyDescent="0.25">
      <c r="A145" s="24"/>
      <c r="B145" s="25"/>
      <c r="C145" s="24"/>
      <c r="D145" s="24"/>
      <c r="E145" s="24"/>
      <c r="F145" s="114"/>
      <c r="G145" s="14"/>
      <c r="H145" s="7"/>
      <c r="I145" s="7"/>
      <c r="J145" s="7"/>
      <c r="K145" s="7"/>
    </row>
    <row r="146" spans="1:11" ht="15.75" customHeight="1" x14ac:dyDescent="0.25">
      <c r="A146" s="24"/>
      <c r="B146" s="25"/>
      <c r="C146" s="24"/>
      <c r="D146" s="24"/>
      <c r="E146" s="24"/>
      <c r="F146" s="114"/>
      <c r="G146" s="14"/>
      <c r="H146" s="7"/>
      <c r="I146" s="7"/>
      <c r="J146" s="7"/>
      <c r="K146" s="7"/>
    </row>
    <row r="147" spans="1:11" ht="15.75" customHeight="1" x14ac:dyDescent="0.25">
      <c r="A147" s="24"/>
      <c r="B147" s="25"/>
      <c r="C147" s="24"/>
      <c r="D147" s="24"/>
      <c r="E147" s="24"/>
      <c r="F147" s="114"/>
      <c r="G147" s="14"/>
      <c r="H147" s="7"/>
      <c r="I147" s="7"/>
      <c r="J147" s="7"/>
      <c r="K147" s="7"/>
    </row>
    <row r="148" spans="1:11" ht="15.75" customHeight="1" x14ac:dyDescent="0.25">
      <c r="A148" s="24"/>
      <c r="B148" s="25"/>
      <c r="C148" s="24"/>
      <c r="D148" s="24"/>
      <c r="E148" s="24"/>
      <c r="F148" s="114"/>
      <c r="G148" s="14"/>
      <c r="H148" s="7"/>
      <c r="I148" s="7"/>
      <c r="J148" s="7"/>
      <c r="K148" s="7"/>
    </row>
    <row r="149" spans="1:11" ht="15.75" customHeight="1" x14ac:dyDescent="0.25">
      <c r="A149" s="24"/>
      <c r="B149" s="25"/>
      <c r="C149" s="24"/>
      <c r="D149" s="24"/>
      <c r="E149" s="24"/>
      <c r="F149" s="114"/>
      <c r="G149" s="14"/>
      <c r="H149" s="7"/>
      <c r="I149" s="7"/>
      <c r="J149" s="7"/>
      <c r="K149" s="7"/>
    </row>
    <row r="150" spans="1:11" ht="15.75" customHeight="1" x14ac:dyDescent="0.25">
      <c r="A150" s="24"/>
      <c r="B150" s="25"/>
      <c r="C150" s="24"/>
      <c r="D150" s="24"/>
      <c r="E150" s="24"/>
      <c r="F150" s="114"/>
      <c r="G150" s="14"/>
      <c r="H150" s="7"/>
      <c r="I150" s="7"/>
      <c r="J150" s="7"/>
      <c r="K150" s="7"/>
    </row>
    <row r="151" spans="1:11" ht="15.75" customHeight="1" x14ac:dyDescent="0.25">
      <c r="A151" s="24"/>
      <c r="B151" s="25"/>
      <c r="C151" s="24"/>
      <c r="D151" s="24"/>
      <c r="E151" s="24"/>
      <c r="F151" s="114"/>
      <c r="G151" s="14"/>
      <c r="H151" s="7"/>
      <c r="I151" s="7"/>
      <c r="J151" s="7"/>
      <c r="K151" s="7"/>
    </row>
    <row r="152" spans="1:11" ht="15.75" customHeight="1" x14ac:dyDescent="0.25">
      <c r="A152" s="24"/>
      <c r="B152" s="25"/>
      <c r="C152" s="24"/>
      <c r="D152" s="24"/>
      <c r="E152" s="24"/>
      <c r="F152" s="114"/>
      <c r="G152" s="14"/>
      <c r="H152" s="7"/>
      <c r="I152" s="7"/>
      <c r="J152" s="7"/>
      <c r="K152" s="7"/>
    </row>
    <row r="153" spans="1:11" ht="15.75" customHeight="1" x14ac:dyDescent="0.25">
      <c r="A153" s="24"/>
      <c r="B153" s="25"/>
      <c r="C153" s="24"/>
      <c r="D153" s="24"/>
      <c r="E153" s="24"/>
      <c r="F153" s="114"/>
      <c r="G153" s="14"/>
      <c r="H153" s="7"/>
      <c r="I153" s="7"/>
      <c r="J153" s="7"/>
      <c r="K153" s="7"/>
    </row>
    <row r="154" spans="1:11" ht="15.75" customHeight="1" x14ac:dyDescent="0.25">
      <c r="A154" s="24"/>
      <c r="B154" s="25"/>
      <c r="C154" s="24"/>
      <c r="D154" s="24"/>
      <c r="E154" s="24"/>
      <c r="F154" s="114"/>
      <c r="G154" s="14"/>
      <c r="H154" s="7"/>
      <c r="I154" s="7"/>
      <c r="J154" s="7"/>
      <c r="K154" s="7"/>
    </row>
    <row r="155" spans="1:11" ht="15.75" customHeight="1" x14ac:dyDescent="0.25">
      <c r="A155" s="24"/>
      <c r="B155" s="25"/>
      <c r="C155" s="24"/>
      <c r="D155" s="24"/>
      <c r="E155" s="24"/>
      <c r="F155" s="114"/>
      <c r="G155" s="14"/>
      <c r="H155" s="7"/>
      <c r="I155" s="7"/>
      <c r="J155" s="7"/>
      <c r="K155" s="7"/>
    </row>
    <row r="156" spans="1:11" ht="15.75" customHeight="1" x14ac:dyDescent="0.25">
      <c r="A156" s="24"/>
      <c r="B156" s="25"/>
      <c r="C156" s="24"/>
      <c r="D156" s="24"/>
      <c r="E156" s="24"/>
      <c r="F156" s="114"/>
      <c r="G156" s="14"/>
      <c r="H156" s="7"/>
      <c r="I156" s="7"/>
      <c r="J156" s="7"/>
      <c r="K156" s="7"/>
    </row>
    <row r="157" spans="1:11" ht="15.75" customHeight="1" x14ac:dyDescent="0.25">
      <c r="A157" s="24"/>
      <c r="B157" s="25"/>
      <c r="C157" s="24"/>
      <c r="D157" s="24"/>
      <c r="E157" s="24"/>
      <c r="F157" s="114"/>
      <c r="G157" s="14"/>
      <c r="H157" s="7"/>
      <c r="I157" s="7"/>
      <c r="J157" s="7"/>
      <c r="K157" s="7"/>
    </row>
    <row r="158" spans="1:11" ht="15.75" customHeight="1" x14ac:dyDescent="0.25">
      <c r="A158" s="24"/>
      <c r="B158" s="25"/>
      <c r="C158" s="24"/>
      <c r="D158" s="24"/>
      <c r="E158" s="24"/>
      <c r="F158" s="114"/>
      <c r="G158" s="14"/>
      <c r="H158" s="7"/>
      <c r="I158" s="7"/>
      <c r="J158" s="7"/>
      <c r="K158" s="7"/>
    </row>
    <row r="159" spans="1:11" ht="15.75" customHeight="1" x14ac:dyDescent="0.25">
      <c r="A159" s="24"/>
      <c r="B159" s="25"/>
      <c r="C159" s="24"/>
      <c r="D159" s="24"/>
      <c r="E159" s="24"/>
      <c r="F159" s="114"/>
      <c r="G159" s="14"/>
      <c r="H159" s="7"/>
      <c r="I159" s="7"/>
      <c r="J159" s="7"/>
      <c r="K159" s="7"/>
    </row>
    <row r="160" spans="1:11" ht="15.75" customHeight="1" x14ac:dyDescent="0.25">
      <c r="A160" s="24"/>
      <c r="B160" s="25"/>
      <c r="C160" s="24"/>
      <c r="D160" s="24"/>
      <c r="E160" s="24"/>
      <c r="F160" s="114"/>
      <c r="G160" s="14"/>
      <c r="H160" s="7"/>
      <c r="I160" s="7"/>
      <c r="J160" s="7"/>
      <c r="K160" s="7"/>
    </row>
    <row r="161" spans="1:11" ht="15.75" customHeight="1" x14ac:dyDescent="0.25">
      <c r="A161" s="24"/>
      <c r="B161" s="25"/>
      <c r="C161" s="24"/>
      <c r="D161" s="24"/>
      <c r="E161" s="24"/>
      <c r="F161" s="114"/>
      <c r="G161" s="14"/>
      <c r="H161" s="7"/>
      <c r="I161" s="7"/>
      <c r="J161" s="7"/>
      <c r="K161" s="7"/>
    </row>
    <row r="162" spans="1:11" ht="15.75" customHeight="1" x14ac:dyDescent="0.25">
      <c r="A162" s="24"/>
      <c r="B162" s="25"/>
      <c r="C162" s="24"/>
      <c r="D162" s="24"/>
      <c r="E162" s="24"/>
      <c r="F162" s="114"/>
      <c r="G162" s="14"/>
      <c r="H162" s="7"/>
      <c r="I162" s="7"/>
      <c r="J162" s="7"/>
      <c r="K162" s="7"/>
    </row>
    <row r="163" spans="1:11" ht="15.75" customHeight="1" x14ac:dyDescent="0.25">
      <c r="A163" s="24"/>
      <c r="B163" s="25"/>
      <c r="C163" s="24"/>
      <c r="D163" s="24"/>
      <c r="E163" s="24"/>
      <c r="F163" s="114"/>
      <c r="G163" s="14"/>
      <c r="H163" s="7"/>
      <c r="I163" s="7"/>
      <c r="J163" s="7"/>
      <c r="K163" s="7"/>
    </row>
    <row r="164" spans="1:11" ht="15.75" customHeight="1" x14ac:dyDescent="0.25">
      <c r="A164" s="24"/>
      <c r="B164" s="25"/>
      <c r="C164" s="24"/>
      <c r="D164" s="24"/>
      <c r="E164" s="24"/>
      <c r="F164" s="114"/>
      <c r="G164" s="14"/>
      <c r="H164" s="7"/>
      <c r="I164" s="7"/>
      <c r="J164" s="7"/>
      <c r="K164" s="7"/>
    </row>
    <row r="165" spans="1:11" ht="15.75" customHeight="1" x14ac:dyDescent="0.25">
      <c r="A165" s="24"/>
      <c r="B165" s="25"/>
      <c r="C165" s="24"/>
      <c r="D165" s="24"/>
      <c r="E165" s="24"/>
      <c r="F165" s="114"/>
      <c r="G165" s="14"/>
      <c r="H165" s="7"/>
      <c r="I165" s="7"/>
      <c r="J165" s="7"/>
      <c r="K165" s="7"/>
    </row>
    <row r="166" spans="1:11" ht="15.75" customHeight="1" x14ac:dyDescent="0.25">
      <c r="A166" s="24"/>
      <c r="B166" s="25"/>
      <c r="C166" s="24"/>
      <c r="D166" s="24"/>
      <c r="E166" s="24"/>
      <c r="F166" s="114"/>
      <c r="G166" s="14"/>
      <c r="H166" s="7"/>
      <c r="I166" s="7"/>
      <c r="J166" s="7"/>
      <c r="K166" s="7"/>
    </row>
    <row r="167" spans="1:11" ht="15.75" customHeight="1" x14ac:dyDescent="0.25">
      <c r="A167" s="24"/>
      <c r="B167" s="25"/>
      <c r="C167" s="24"/>
      <c r="D167" s="24"/>
      <c r="E167" s="24"/>
      <c r="F167" s="114"/>
      <c r="G167" s="14"/>
      <c r="H167" s="7"/>
      <c r="I167" s="7"/>
      <c r="J167" s="7"/>
      <c r="K167" s="7"/>
    </row>
    <row r="168" spans="1:11" ht="15.75" customHeight="1" x14ac:dyDescent="0.25">
      <c r="A168" s="24"/>
      <c r="B168" s="25"/>
      <c r="C168" s="24"/>
      <c r="D168" s="24"/>
      <c r="E168" s="24"/>
      <c r="F168" s="114"/>
      <c r="G168" s="14"/>
      <c r="H168" s="7"/>
      <c r="I168" s="7"/>
      <c r="J168" s="7"/>
      <c r="K168" s="7"/>
    </row>
    <row r="169" spans="1:11" ht="15.75" customHeight="1" x14ac:dyDescent="0.25">
      <c r="A169" s="24"/>
      <c r="B169" s="25"/>
      <c r="C169" s="24"/>
      <c r="D169" s="24"/>
      <c r="E169" s="24"/>
      <c r="F169" s="114"/>
      <c r="G169" s="14"/>
      <c r="H169" s="7"/>
      <c r="I169" s="7"/>
      <c r="J169" s="7"/>
      <c r="K169" s="7"/>
    </row>
    <row r="170" spans="1:11" ht="15.75" customHeight="1" x14ac:dyDescent="0.25">
      <c r="A170" s="24"/>
      <c r="B170" s="25"/>
      <c r="C170" s="24"/>
      <c r="D170" s="24"/>
      <c r="E170" s="24"/>
      <c r="F170" s="114"/>
      <c r="G170" s="14"/>
      <c r="H170" s="7"/>
      <c r="I170" s="7"/>
      <c r="J170" s="7"/>
      <c r="K170" s="7"/>
    </row>
    <row r="171" spans="1:11" ht="15.75" customHeight="1" x14ac:dyDescent="0.25">
      <c r="A171" s="24"/>
      <c r="B171" s="25"/>
      <c r="C171" s="24"/>
      <c r="D171" s="24"/>
      <c r="E171" s="24"/>
      <c r="F171" s="114"/>
      <c r="G171" s="14"/>
      <c r="H171" s="7"/>
      <c r="I171" s="7"/>
      <c r="J171" s="7"/>
      <c r="K171" s="7"/>
    </row>
    <row r="172" spans="1:11" ht="15.75" customHeight="1" x14ac:dyDescent="0.25">
      <c r="A172" s="24"/>
      <c r="B172" s="25"/>
      <c r="C172" s="24"/>
      <c r="D172" s="24"/>
      <c r="E172" s="24"/>
      <c r="F172" s="114"/>
      <c r="G172" s="14"/>
      <c r="H172" s="7"/>
      <c r="I172" s="7"/>
      <c r="J172" s="7"/>
      <c r="K172" s="7"/>
    </row>
    <row r="173" spans="1:11" ht="15.75" customHeight="1" x14ac:dyDescent="0.25">
      <c r="A173" s="24"/>
      <c r="B173" s="25"/>
      <c r="C173" s="24"/>
      <c r="D173" s="24"/>
      <c r="E173" s="24"/>
      <c r="F173" s="114"/>
      <c r="G173" s="14"/>
      <c r="H173" s="7"/>
      <c r="I173" s="7"/>
      <c r="J173" s="7"/>
      <c r="K173" s="7"/>
    </row>
    <row r="174" spans="1:11" ht="15.75" customHeight="1" x14ac:dyDescent="0.25">
      <c r="A174" s="24"/>
      <c r="B174" s="25"/>
      <c r="C174" s="24"/>
      <c r="D174" s="24"/>
      <c r="E174" s="24"/>
      <c r="F174" s="114"/>
      <c r="G174" s="14"/>
      <c r="H174" s="7"/>
      <c r="I174" s="7"/>
      <c r="J174" s="7"/>
      <c r="K174" s="7"/>
    </row>
    <row r="175" spans="1:11" ht="15.75" customHeight="1" x14ac:dyDescent="0.25">
      <c r="A175" s="24"/>
      <c r="B175" s="25"/>
      <c r="C175" s="24"/>
      <c r="D175" s="24"/>
      <c r="E175" s="24"/>
      <c r="F175" s="114"/>
      <c r="G175" s="14"/>
      <c r="H175" s="7"/>
      <c r="I175" s="7"/>
      <c r="J175" s="7"/>
      <c r="K175" s="7"/>
    </row>
    <row r="176" spans="1:11" ht="15.75" customHeight="1" x14ac:dyDescent="0.25">
      <c r="A176" s="24"/>
      <c r="B176" s="25"/>
      <c r="C176" s="24"/>
      <c r="D176" s="24"/>
      <c r="E176" s="24"/>
      <c r="F176" s="114"/>
      <c r="G176" s="14"/>
      <c r="H176" s="7"/>
      <c r="I176" s="7"/>
      <c r="J176" s="7"/>
      <c r="K176" s="7"/>
    </row>
    <row r="177" spans="1:11" ht="15.75" customHeight="1" x14ac:dyDescent="0.25">
      <c r="A177" s="24"/>
      <c r="B177" s="25"/>
      <c r="C177" s="24"/>
      <c r="D177" s="24"/>
      <c r="E177" s="24"/>
      <c r="F177" s="114"/>
      <c r="G177" s="14"/>
      <c r="H177" s="7"/>
      <c r="I177" s="7"/>
      <c r="J177" s="7"/>
      <c r="K177" s="7"/>
    </row>
    <row r="178" spans="1:11" ht="15.75" customHeight="1" x14ac:dyDescent="0.25">
      <c r="A178" s="24"/>
      <c r="B178" s="25"/>
      <c r="C178" s="24"/>
      <c r="D178" s="24"/>
      <c r="E178" s="24"/>
      <c r="F178" s="114"/>
      <c r="G178" s="14"/>
      <c r="H178" s="7"/>
      <c r="I178" s="7"/>
      <c r="J178" s="7"/>
      <c r="K178" s="7"/>
    </row>
    <row r="179" spans="1:11" ht="15.75" customHeight="1" x14ac:dyDescent="0.25">
      <c r="A179" s="24"/>
      <c r="B179" s="25"/>
      <c r="C179" s="24"/>
      <c r="D179" s="24"/>
      <c r="E179" s="24"/>
      <c r="F179" s="114"/>
      <c r="G179" s="14"/>
      <c r="H179" s="7"/>
      <c r="I179" s="7"/>
      <c r="J179" s="7"/>
      <c r="K179" s="7"/>
    </row>
    <row r="180" spans="1:11" ht="15.75" customHeight="1" x14ac:dyDescent="0.25">
      <c r="A180" s="24"/>
      <c r="B180" s="25"/>
      <c r="C180" s="24"/>
      <c r="D180" s="24"/>
      <c r="E180" s="24"/>
      <c r="F180" s="114"/>
      <c r="G180" s="14"/>
      <c r="H180" s="7"/>
      <c r="I180" s="7"/>
      <c r="J180" s="7"/>
      <c r="K180" s="7"/>
    </row>
    <row r="181" spans="1:11" ht="15.75" customHeight="1" x14ac:dyDescent="0.25">
      <c r="A181" s="24"/>
      <c r="B181" s="25"/>
      <c r="C181" s="24"/>
      <c r="D181" s="24"/>
      <c r="E181" s="24"/>
      <c r="F181" s="114"/>
      <c r="G181" s="14"/>
      <c r="H181" s="7"/>
      <c r="I181" s="7"/>
      <c r="J181" s="7"/>
      <c r="K181" s="7"/>
    </row>
    <row r="182" spans="1:11" ht="15.75" customHeight="1" x14ac:dyDescent="0.25">
      <c r="A182" s="24"/>
      <c r="B182" s="25"/>
      <c r="C182" s="24"/>
      <c r="D182" s="24"/>
      <c r="E182" s="24"/>
      <c r="F182" s="114"/>
      <c r="G182" s="14"/>
      <c r="H182" s="7"/>
      <c r="I182" s="7"/>
      <c r="J182" s="7"/>
      <c r="K182" s="7"/>
    </row>
    <row r="183" spans="1:11" ht="15.75" customHeight="1" x14ac:dyDescent="0.25"/>
    <row r="184" spans="1:11" ht="15.75" customHeight="1" x14ac:dyDescent="0.25"/>
    <row r="185" spans="1:11" ht="15.75" customHeight="1" x14ac:dyDescent="0.25"/>
    <row r="186" spans="1:11" ht="15.75" customHeight="1" x14ac:dyDescent="0.25"/>
    <row r="187" spans="1:11" ht="15.75" customHeight="1" x14ac:dyDescent="0.25"/>
    <row r="188" spans="1:11" ht="15.75" customHeight="1" x14ac:dyDescent="0.25"/>
    <row r="189" spans="1:11" ht="15.75" customHeight="1" x14ac:dyDescent="0.25"/>
    <row r="190" spans="1:11" ht="15.75" customHeight="1" x14ac:dyDescent="0.25"/>
    <row r="191" spans="1:11" ht="15.75" customHeight="1" x14ac:dyDescent="0.25"/>
    <row r="192" spans="1:11"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sheetData>
  <mergeCells count="7">
    <mergeCell ref="A6:G6"/>
    <mergeCell ref="A7:A10"/>
    <mergeCell ref="B7:B10"/>
    <mergeCell ref="C7:C8"/>
    <mergeCell ref="D7:F7"/>
    <mergeCell ref="G7:G8"/>
    <mergeCell ref="F8:F9"/>
  </mergeCells>
  <pageMargins left="0.39370078740157483" right="0.39370078740157483" top="0.39370078740157483" bottom="0.39370078740157483" header="0" footer="0"/>
  <pageSetup paperSize="9" scale="8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68"/>
  <sheetViews>
    <sheetView view="pageBreakPreview" zoomScale="130" zoomScaleNormal="100" zoomScaleSheetLayoutView="130" workbookViewId="0">
      <selection activeCell="A111" sqref="A111"/>
    </sheetView>
  </sheetViews>
  <sheetFormatPr defaultColWidth="14.42578125" defaultRowHeight="15" customHeight="1" x14ac:dyDescent="0.25"/>
  <cols>
    <col min="1" max="1" width="73" customWidth="1"/>
    <col min="2" max="2" width="17.140625" customWidth="1"/>
    <col min="3" max="6" width="17.42578125" hidden="1" customWidth="1"/>
    <col min="7" max="7" width="17.42578125" customWidth="1"/>
    <col min="8" max="8" width="15.7109375" customWidth="1"/>
    <col min="9" max="9" width="14" customWidth="1"/>
    <col min="10" max="10" width="10.28515625" customWidth="1"/>
    <col min="11" max="11" width="11.5703125" customWidth="1"/>
    <col min="12"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2541</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I13" s="7"/>
      <c r="J13" s="7"/>
      <c r="K13" s="40"/>
    </row>
    <row r="14" spans="1:26" ht="15.75" customHeight="1" x14ac:dyDescent="0.25">
      <c r="A14" s="17" t="s">
        <v>365</v>
      </c>
      <c r="B14" s="172"/>
      <c r="C14" s="42"/>
      <c r="D14" s="42"/>
      <c r="E14" s="42"/>
      <c r="F14" s="42"/>
      <c r="G14" s="42"/>
      <c r="H14" s="7"/>
      <c r="I14" s="7"/>
      <c r="J14" s="7"/>
      <c r="K14" s="40"/>
    </row>
    <row r="15" spans="1:26" ht="15.75" customHeight="1" x14ac:dyDescent="0.25">
      <c r="A15" s="17" t="s">
        <v>366</v>
      </c>
      <c r="B15" s="172"/>
      <c r="C15" s="42"/>
      <c r="D15" s="42"/>
      <c r="E15" s="42"/>
      <c r="F15" s="42"/>
      <c r="G15" s="42"/>
      <c r="H15" s="7"/>
      <c r="I15" s="7"/>
      <c r="J15" s="7"/>
      <c r="K15" s="40"/>
    </row>
    <row r="16" spans="1:26" ht="15.75" customHeight="1" x14ac:dyDescent="0.25">
      <c r="A16" s="48" t="s">
        <v>367</v>
      </c>
      <c r="B16" s="41" t="s">
        <v>121</v>
      </c>
      <c r="C16" s="43">
        <v>3386152.04</v>
      </c>
      <c r="D16" s="43">
        <v>1447680</v>
      </c>
      <c r="E16" s="43">
        <f>F16-D16</f>
        <v>2138617</v>
      </c>
      <c r="F16" s="43">
        <v>3586297</v>
      </c>
      <c r="G16" s="43">
        <v>3976716</v>
      </c>
      <c r="H16" s="7"/>
      <c r="I16" s="7"/>
      <c r="J16" s="7"/>
      <c r="K16" s="40"/>
    </row>
    <row r="17" spans="1:26" ht="15.75" customHeight="1" x14ac:dyDescent="0.25">
      <c r="A17" s="17" t="s">
        <v>368</v>
      </c>
      <c r="B17" s="172"/>
      <c r="C17" s="43"/>
      <c r="D17" s="43"/>
      <c r="E17" s="43"/>
      <c r="F17" s="43"/>
      <c r="G17" s="43"/>
      <c r="H17" s="7"/>
      <c r="I17" s="7"/>
      <c r="J17" s="7"/>
      <c r="K17" s="40"/>
    </row>
    <row r="18" spans="1:26" ht="15.75" customHeight="1" x14ac:dyDescent="0.25">
      <c r="A18" s="48" t="s">
        <v>369</v>
      </c>
      <c r="B18" s="41" t="s">
        <v>125</v>
      </c>
      <c r="C18" s="43">
        <v>336000</v>
      </c>
      <c r="D18" s="43">
        <v>132000</v>
      </c>
      <c r="E18" s="43">
        <f t="shared" ref="E18:E21" si="0">F18-D18</f>
        <v>252000</v>
      </c>
      <c r="F18" s="43">
        <v>384000</v>
      </c>
      <c r="G18" s="43">
        <v>384000</v>
      </c>
      <c r="H18" s="14"/>
      <c r="I18" s="14"/>
      <c r="J18" s="14"/>
      <c r="K18" s="16"/>
      <c r="L18" s="15"/>
      <c r="M18" s="15"/>
      <c r="N18" s="15"/>
      <c r="O18" s="15"/>
      <c r="P18" s="15"/>
      <c r="Q18" s="15"/>
      <c r="R18" s="15"/>
      <c r="S18" s="15"/>
      <c r="T18" s="15"/>
      <c r="U18" s="15"/>
      <c r="V18" s="15"/>
      <c r="W18" s="15"/>
      <c r="X18" s="15"/>
      <c r="Y18" s="15"/>
      <c r="Z18" s="15"/>
    </row>
    <row r="19" spans="1:26" ht="15.75" customHeight="1" x14ac:dyDescent="0.25">
      <c r="A19" s="48" t="s">
        <v>373</v>
      </c>
      <c r="B19" s="41" t="s">
        <v>131</v>
      </c>
      <c r="C19" s="43">
        <v>98000</v>
      </c>
      <c r="D19" s="43">
        <v>77000</v>
      </c>
      <c r="E19" s="43">
        <f t="shared" si="0"/>
        <v>35000</v>
      </c>
      <c r="F19" s="43">
        <v>112000</v>
      </c>
      <c r="G19" s="43">
        <v>112000</v>
      </c>
      <c r="H19" s="14"/>
      <c r="I19" s="14"/>
      <c r="J19" s="14"/>
      <c r="K19" s="16"/>
      <c r="L19" s="15"/>
      <c r="M19" s="15"/>
      <c r="N19" s="15"/>
      <c r="O19" s="15"/>
      <c r="P19" s="15"/>
      <c r="Q19" s="15"/>
      <c r="R19" s="15"/>
      <c r="S19" s="15"/>
      <c r="T19" s="15"/>
      <c r="U19" s="15"/>
      <c r="V19" s="15"/>
      <c r="W19" s="15"/>
      <c r="X19" s="15"/>
      <c r="Y19" s="15"/>
      <c r="Z19" s="15"/>
    </row>
    <row r="20" spans="1:26" ht="15.75" customHeight="1" x14ac:dyDescent="0.25">
      <c r="A20" s="48" t="s">
        <v>374</v>
      </c>
      <c r="B20" s="41" t="s">
        <v>151</v>
      </c>
      <c r="C20" s="43">
        <v>288972</v>
      </c>
      <c r="D20" s="43">
        <v>0</v>
      </c>
      <c r="E20" s="43">
        <f t="shared" si="0"/>
        <v>320125</v>
      </c>
      <c r="F20" s="43">
        <v>320125</v>
      </c>
      <c r="G20" s="43">
        <v>331393</v>
      </c>
      <c r="H20" s="14"/>
      <c r="I20" s="14"/>
      <c r="J20" s="14"/>
      <c r="K20" s="16"/>
      <c r="L20" s="15"/>
      <c r="M20" s="15"/>
      <c r="N20" s="15"/>
      <c r="O20" s="15"/>
      <c r="P20" s="15"/>
      <c r="Q20" s="15"/>
      <c r="R20" s="15"/>
      <c r="S20" s="15"/>
      <c r="T20" s="15"/>
      <c r="U20" s="15"/>
      <c r="V20" s="15"/>
      <c r="W20" s="15"/>
      <c r="X20" s="15"/>
      <c r="Y20" s="15"/>
      <c r="Z20" s="15"/>
    </row>
    <row r="21" spans="1:26" ht="15.75" customHeight="1" x14ac:dyDescent="0.25">
      <c r="A21" s="48" t="s">
        <v>375</v>
      </c>
      <c r="B21" s="41" t="s">
        <v>153</v>
      </c>
      <c r="C21" s="43">
        <v>70000</v>
      </c>
      <c r="D21" s="43">
        <v>0</v>
      </c>
      <c r="E21" s="43">
        <f t="shared" si="0"/>
        <v>80000</v>
      </c>
      <c r="F21" s="43">
        <v>80000</v>
      </c>
      <c r="G21" s="43">
        <v>80000</v>
      </c>
      <c r="H21" s="14"/>
      <c r="I21" s="14"/>
      <c r="J21" s="14"/>
      <c r="K21" s="16"/>
      <c r="L21" s="15"/>
      <c r="M21" s="15"/>
      <c r="N21" s="15"/>
      <c r="O21" s="15"/>
      <c r="P21" s="15"/>
      <c r="Q21" s="15"/>
      <c r="R21" s="15"/>
      <c r="S21" s="15"/>
      <c r="T21" s="15"/>
      <c r="U21" s="15"/>
      <c r="V21" s="15"/>
      <c r="W21" s="15"/>
      <c r="X21" s="15"/>
      <c r="Y21" s="15"/>
      <c r="Z21" s="15"/>
    </row>
    <row r="22" spans="1:26" ht="15.75" customHeight="1" x14ac:dyDescent="0.25">
      <c r="A22" s="48" t="s">
        <v>376</v>
      </c>
      <c r="B22" s="41" t="s">
        <v>155</v>
      </c>
      <c r="C22" s="43"/>
      <c r="D22" s="43"/>
      <c r="E22" s="43"/>
      <c r="F22" s="43"/>
      <c r="G22" s="43"/>
      <c r="H22" s="14"/>
      <c r="I22" s="14"/>
      <c r="J22" s="14"/>
      <c r="K22" s="16"/>
      <c r="L22" s="15"/>
      <c r="M22" s="15"/>
      <c r="N22" s="15"/>
      <c r="O22" s="15"/>
      <c r="P22" s="15"/>
      <c r="Q22" s="15"/>
      <c r="R22" s="15"/>
      <c r="S22" s="15"/>
      <c r="T22" s="15"/>
      <c r="U22" s="15"/>
      <c r="V22" s="15"/>
      <c r="W22" s="15"/>
      <c r="X22" s="15"/>
      <c r="Y22" s="15"/>
      <c r="Z22" s="15"/>
    </row>
    <row r="23" spans="1:26" ht="15.75" customHeight="1" x14ac:dyDescent="0.25">
      <c r="A23" s="48" t="s">
        <v>377</v>
      </c>
      <c r="B23" s="41" t="s">
        <v>157</v>
      </c>
      <c r="C23" s="43"/>
      <c r="D23" s="43">
        <v>0</v>
      </c>
      <c r="E23" s="43">
        <f t="shared" ref="E23:E25" si="1">F23-D23</f>
        <v>0</v>
      </c>
      <c r="F23" s="43">
        <v>0</v>
      </c>
      <c r="G23" s="43">
        <v>5000</v>
      </c>
      <c r="H23" s="14"/>
      <c r="I23" s="14"/>
      <c r="J23" s="14"/>
      <c r="K23" s="16"/>
      <c r="L23" s="15"/>
      <c r="M23" s="15"/>
      <c r="N23" s="15"/>
      <c r="O23" s="15"/>
      <c r="P23" s="15"/>
      <c r="Q23" s="15"/>
      <c r="R23" s="15"/>
      <c r="S23" s="15"/>
      <c r="T23" s="15"/>
      <c r="U23" s="15"/>
      <c r="V23" s="15"/>
      <c r="W23" s="15"/>
      <c r="X23" s="15"/>
      <c r="Y23" s="15"/>
      <c r="Z23" s="15"/>
    </row>
    <row r="24" spans="1:26" ht="15.75" customHeight="1" x14ac:dyDescent="0.25">
      <c r="A24" s="48" t="s">
        <v>1227</v>
      </c>
      <c r="B24" s="41" t="s">
        <v>159</v>
      </c>
      <c r="C24" s="43"/>
      <c r="D24" s="43">
        <v>33000</v>
      </c>
      <c r="E24" s="43">
        <f t="shared" si="1"/>
        <v>15000</v>
      </c>
      <c r="F24" s="43">
        <v>48000</v>
      </c>
      <c r="G24" s="43">
        <v>0</v>
      </c>
      <c r="H24" s="14"/>
      <c r="I24" s="14"/>
      <c r="J24" s="14"/>
      <c r="K24" s="16"/>
      <c r="L24" s="15"/>
      <c r="M24" s="15"/>
      <c r="N24" s="15"/>
      <c r="O24" s="15"/>
      <c r="P24" s="15"/>
      <c r="Q24" s="15"/>
      <c r="R24" s="15"/>
      <c r="S24" s="15"/>
      <c r="T24" s="15"/>
      <c r="U24" s="15"/>
      <c r="V24" s="15"/>
      <c r="W24" s="15"/>
      <c r="X24" s="15"/>
      <c r="Y24" s="15"/>
      <c r="Z24" s="15"/>
    </row>
    <row r="25" spans="1:26" ht="15.75" customHeight="1" x14ac:dyDescent="0.25">
      <c r="A25" s="48" t="s">
        <v>379</v>
      </c>
      <c r="B25" s="41" t="s">
        <v>161</v>
      </c>
      <c r="C25" s="43">
        <v>277183</v>
      </c>
      <c r="D25" s="43">
        <v>241280</v>
      </c>
      <c r="E25" s="43">
        <f t="shared" si="1"/>
        <v>78845</v>
      </c>
      <c r="F25" s="43">
        <v>320125</v>
      </c>
      <c r="G25" s="43">
        <v>331393</v>
      </c>
      <c r="H25" s="14"/>
      <c r="I25" s="14"/>
      <c r="J25" s="14"/>
      <c r="K25" s="16"/>
      <c r="L25" s="15"/>
      <c r="M25" s="15"/>
      <c r="N25" s="15"/>
      <c r="O25" s="15"/>
      <c r="P25" s="15"/>
      <c r="Q25" s="15"/>
      <c r="R25" s="15"/>
      <c r="S25" s="15"/>
      <c r="T25" s="15"/>
      <c r="U25" s="15"/>
      <c r="V25" s="15"/>
      <c r="W25" s="15"/>
      <c r="X25" s="15"/>
      <c r="Y25" s="15"/>
      <c r="Z25" s="15"/>
    </row>
    <row r="26" spans="1:26" ht="15.75" customHeight="1" x14ac:dyDescent="0.25">
      <c r="A26" s="17" t="s">
        <v>2542</v>
      </c>
      <c r="B26" s="41"/>
      <c r="C26" s="43"/>
      <c r="D26" s="43"/>
      <c r="E26" s="43"/>
      <c r="F26" s="43"/>
      <c r="G26" s="43"/>
      <c r="H26" s="14"/>
      <c r="I26" s="14"/>
      <c r="J26" s="14"/>
      <c r="K26" s="16"/>
      <c r="L26" s="15"/>
      <c r="M26" s="15"/>
      <c r="N26" s="15"/>
      <c r="O26" s="15"/>
      <c r="P26" s="15"/>
      <c r="Q26" s="15"/>
      <c r="R26" s="15"/>
      <c r="S26" s="15"/>
      <c r="T26" s="15"/>
      <c r="U26" s="15"/>
      <c r="V26" s="15"/>
      <c r="W26" s="15"/>
      <c r="X26" s="15"/>
      <c r="Y26" s="15"/>
      <c r="Z26" s="15"/>
    </row>
    <row r="27" spans="1:26" ht="15.75" customHeight="1" x14ac:dyDescent="0.25">
      <c r="A27" s="48" t="s">
        <v>381</v>
      </c>
      <c r="B27" s="41" t="s">
        <v>165</v>
      </c>
      <c r="C27" s="43">
        <v>406338.23</v>
      </c>
      <c r="D27" s="43">
        <v>173721.60000000001</v>
      </c>
      <c r="E27" s="43">
        <f t="shared" ref="E27:E30" si="2">F27-D27</f>
        <v>287258.40000000002</v>
      </c>
      <c r="F27" s="43">
        <v>460980</v>
      </c>
      <c r="G27" s="43">
        <v>477206</v>
      </c>
      <c r="H27" s="14"/>
      <c r="I27" s="14"/>
      <c r="J27" s="14"/>
      <c r="K27" s="16"/>
      <c r="L27" s="15"/>
      <c r="M27" s="15"/>
      <c r="N27" s="15"/>
      <c r="O27" s="15"/>
      <c r="P27" s="15"/>
      <c r="Q27" s="15"/>
      <c r="R27" s="15"/>
      <c r="S27" s="15"/>
      <c r="T27" s="15"/>
      <c r="U27" s="15"/>
      <c r="V27" s="15"/>
      <c r="W27" s="15"/>
      <c r="X27" s="15"/>
      <c r="Y27" s="15"/>
      <c r="Z27" s="15"/>
    </row>
    <row r="28" spans="1:26" ht="15.75" customHeight="1" x14ac:dyDescent="0.25">
      <c r="A28" s="48" t="s">
        <v>382</v>
      </c>
      <c r="B28" s="41" t="s">
        <v>167</v>
      </c>
      <c r="C28" s="43">
        <v>67723.05</v>
      </c>
      <c r="D28" s="43">
        <v>28953.599999999999</v>
      </c>
      <c r="E28" s="43">
        <f t="shared" si="2"/>
        <v>47876.4</v>
      </c>
      <c r="F28" s="43">
        <v>76830</v>
      </c>
      <c r="G28" s="43">
        <v>79535</v>
      </c>
      <c r="H28" s="14"/>
      <c r="I28" s="14"/>
      <c r="J28" s="14"/>
      <c r="K28" s="16"/>
      <c r="L28" s="15"/>
      <c r="M28" s="15"/>
      <c r="N28" s="15"/>
      <c r="O28" s="15"/>
      <c r="P28" s="15"/>
      <c r="Q28" s="15"/>
      <c r="R28" s="15"/>
      <c r="S28" s="15"/>
      <c r="T28" s="15"/>
      <c r="U28" s="15"/>
      <c r="V28" s="15"/>
      <c r="W28" s="15"/>
      <c r="X28" s="15"/>
      <c r="Y28" s="15"/>
      <c r="Z28" s="15"/>
    </row>
    <row r="29" spans="1:26" ht="15.75" customHeight="1" x14ac:dyDescent="0.25">
      <c r="A29" s="48" t="s">
        <v>383</v>
      </c>
      <c r="B29" s="41" t="s">
        <v>169</v>
      </c>
      <c r="C29" s="43">
        <v>84654.21</v>
      </c>
      <c r="D29" s="43">
        <v>36192.120000000003</v>
      </c>
      <c r="E29" s="43">
        <f t="shared" si="2"/>
        <v>59853.88</v>
      </c>
      <c r="F29" s="43">
        <v>96046</v>
      </c>
      <c r="G29" s="43">
        <v>99425</v>
      </c>
      <c r="H29" s="14"/>
      <c r="I29" s="14"/>
      <c r="J29" s="14"/>
      <c r="K29" s="16"/>
      <c r="L29" s="15"/>
      <c r="M29" s="15"/>
      <c r="N29" s="15"/>
      <c r="O29" s="15"/>
      <c r="P29" s="15"/>
      <c r="Q29" s="15"/>
      <c r="R29" s="15"/>
      <c r="S29" s="15"/>
      <c r="T29" s="15"/>
      <c r="U29" s="15"/>
      <c r="V29" s="15"/>
      <c r="W29" s="15"/>
      <c r="X29" s="15"/>
      <c r="Y29" s="15"/>
      <c r="Z29" s="15"/>
    </row>
    <row r="30" spans="1:26" ht="15.75" customHeight="1" x14ac:dyDescent="0.25">
      <c r="A30" s="48" t="s">
        <v>384</v>
      </c>
      <c r="B30" s="41" t="s">
        <v>171</v>
      </c>
      <c r="C30" s="43">
        <v>16800</v>
      </c>
      <c r="D30" s="43">
        <v>6600</v>
      </c>
      <c r="E30" s="43">
        <f t="shared" si="2"/>
        <v>12600</v>
      </c>
      <c r="F30" s="43">
        <v>19200</v>
      </c>
      <c r="G30" s="43">
        <v>19200</v>
      </c>
      <c r="H30" s="14"/>
      <c r="I30" s="14"/>
      <c r="J30" s="14"/>
      <c r="K30" s="16"/>
      <c r="L30" s="15"/>
      <c r="M30" s="15"/>
      <c r="N30" s="15"/>
      <c r="O30" s="15"/>
      <c r="P30" s="15"/>
      <c r="Q30" s="15"/>
      <c r="R30" s="15"/>
      <c r="S30" s="15"/>
      <c r="T30" s="15"/>
      <c r="U30" s="15"/>
      <c r="V30" s="15"/>
      <c r="W30" s="15"/>
      <c r="X30" s="15"/>
      <c r="Y30" s="15"/>
      <c r="Z30" s="15"/>
    </row>
    <row r="31" spans="1:26" ht="15.75" customHeight="1" x14ac:dyDescent="0.25">
      <c r="A31" s="17" t="s">
        <v>385</v>
      </c>
      <c r="B31" s="41"/>
      <c r="C31" s="43"/>
      <c r="D31" s="43"/>
      <c r="E31" s="43"/>
      <c r="F31" s="43"/>
      <c r="G31" s="43"/>
      <c r="H31" s="14"/>
      <c r="I31" s="14"/>
      <c r="J31" s="14"/>
      <c r="K31" s="16"/>
      <c r="L31" s="15"/>
      <c r="M31" s="15"/>
      <c r="N31" s="15"/>
      <c r="O31" s="15"/>
      <c r="P31" s="15"/>
      <c r="Q31" s="15"/>
      <c r="R31" s="15"/>
      <c r="S31" s="15"/>
      <c r="T31" s="15"/>
      <c r="U31" s="15"/>
      <c r="V31" s="15"/>
      <c r="W31" s="15"/>
      <c r="X31" s="15"/>
      <c r="Y31" s="15"/>
      <c r="Z31" s="15"/>
    </row>
    <row r="32" spans="1:26" ht="15.75" customHeight="1" x14ac:dyDescent="0.25">
      <c r="A32" s="48" t="s">
        <v>386</v>
      </c>
      <c r="B32" s="41" t="s">
        <v>179</v>
      </c>
      <c r="C32" s="43">
        <v>630102.73</v>
      </c>
      <c r="D32" s="43">
        <v>0</v>
      </c>
      <c r="E32" s="43">
        <f t="shared" ref="E32:E34" si="3">F32-D32</f>
        <v>107972</v>
      </c>
      <c r="F32" s="43">
        <v>107972</v>
      </c>
      <c r="G32" s="43">
        <v>0</v>
      </c>
      <c r="H32" s="14"/>
      <c r="I32" s="14"/>
      <c r="J32" s="14"/>
      <c r="K32" s="16"/>
      <c r="L32" s="15"/>
      <c r="M32" s="15"/>
      <c r="N32" s="15"/>
      <c r="O32" s="15"/>
      <c r="P32" s="15"/>
      <c r="Q32" s="15"/>
      <c r="R32" s="15"/>
      <c r="S32" s="15"/>
      <c r="T32" s="15"/>
      <c r="U32" s="15"/>
      <c r="V32" s="15"/>
      <c r="W32" s="15"/>
      <c r="X32" s="15"/>
      <c r="Y32" s="15"/>
      <c r="Z32" s="15"/>
    </row>
    <row r="33" spans="1:26" ht="15.75" customHeight="1" x14ac:dyDescent="0.25">
      <c r="A33" s="48" t="s">
        <v>387</v>
      </c>
      <c r="B33" s="41" t="s">
        <v>181</v>
      </c>
      <c r="C33" s="43">
        <v>117010.42</v>
      </c>
      <c r="D33" s="43">
        <v>385044.26</v>
      </c>
      <c r="E33" s="43">
        <f t="shared" si="3"/>
        <v>24435.739999999991</v>
      </c>
      <c r="F33" s="43">
        <v>409480</v>
      </c>
      <c r="G33" s="43">
        <v>159708</v>
      </c>
      <c r="H33" s="14"/>
      <c r="I33" s="14"/>
      <c r="J33" s="14"/>
      <c r="K33" s="16"/>
      <c r="L33" s="15"/>
      <c r="M33" s="15"/>
      <c r="N33" s="15"/>
      <c r="O33" s="15"/>
      <c r="P33" s="15"/>
      <c r="Q33" s="15"/>
      <c r="R33" s="15"/>
      <c r="S33" s="15"/>
      <c r="T33" s="15"/>
      <c r="U33" s="15"/>
      <c r="V33" s="15"/>
      <c r="W33" s="15"/>
      <c r="X33" s="15"/>
      <c r="Y33" s="15"/>
      <c r="Z33" s="15"/>
    </row>
    <row r="34" spans="1:26" ht="15.75" customHeight="1" x14ac:dyDescent="0.25">
      <c r="A34" s="48" t="s">
        <v>388</v>
      </c>
      <c r="B34" s="41" t="s">
        <v>183</v>
      </c>
      <c r="C34" s="43">
        <v>70000</v>
      </c>
      <c r="D34" s="43">
        <v>0</v>
      </c>
      <c r="E34" s="43">
        <f t="shared" si="3"/>
        <v>80000</v>
      </c>
      <c r="F34" s="43">
        <v>80000</v>
      </c>
      <c r="G34" s="43">
        <v>80000</v>
      </c>
      <c r="H34" s="14"/>
      <c r="I34" s="14"/>
      <c r="J34" s="14"/>
      <c r="K34" s="16"/>
      <c r="L34" s="15"/>
      <c r="M34" s="15"/>
      <c r="N34" s="15"/>
      <c r="O34" s="15"/>
      <c r="P34" s="15"/>
      <c r="Q34" s="15"/>
      <c r="R34" s="15"/>
      <c r="S34" s="15"/>
      <c r="T34" s="15"/>
      <c r="U34" s="15"/>
      <c r="V34" s="15"/>
      <c r="W34" s="15"/>
      <c r="X34" s="15"/>
      <c r="Y34" s="15"/>
      <c r="Z34" s="15"/>
    </row>
    <row r="35" spans="1:26" ht="31.5" x14ac:dyDescent="0.25">
      <c r="A35" s="117" t="s">
        <v>389</v>
      </c>
      <c r="B35" s="41"/>
      <c r="C35" s="45">
        <v>0</v>
      </c>
      <c r="D35" s="43">
        <v>0</v>
      </c>
      <c r="E35" s="43">
        <v>0</v>
      </c>
      <c r="F35" s="43">
        <v>0</v>
      </c>
      <c r="G35" s="43">
        <f>101531</f>
        <v>101531</v>
      </c>
      <c r="H35" s="14"/>
      <c r="I35" s="14"/>
      <c r="J35" s="14"/>
      <c r="K35" s="16"/>
      <c r="L35" s="15"/>
      <c r="M35" s="15"/>
      <c r="N35" s="15"/>
      <c r="O35" s="15"/>
      <c r="P35" s="15"/>
      <c r="Q35" s="15"/>
      <c r="R35" s="15"/>
      <c r="S35" s="15"/>
      <c r="T35" s="15"/>
      <c r="U35" s="15"/>
      <c r="V35" s="15"/>
      <c r="W35" s="15"/>
      <c r="X35" s="15"/>
      <c r="Y35" s="15"/>
      <c r="Z35" s="15"/>
    </row>
    <row r="36" spans="1:26" ht="15.75" customHeight="1" x14ac:dyDescent="0.25">
      <c r="A36" s="456" t="s">
        <v>632</v>
      </c>
      <c r="B36" s="454"/>
      <c r="C36" s="453">
        <f t="shared" ref="C36:G36" si="4">SUM(C16:C35)</f>
        <v>5848935.6799999997</v>
      </c>
      <c r="D36" s="54">
        <f t="shared" si="4"/>
        <v>2561471.58</v>
      </c>
      <c r="E36" s="54">
        <f t="shared" si="4"/>
        <v>3539583.42</v>
      </c>
      <c r="F36" s="54">
        <f t="shared" si="4"/>
        <v>6101055</v>
      </c>
      <c r="G36" s="54">
        <f t="shared" si="4"/>
        <v>6237107</v>
      </c>
      <c r="H36" s="193"/>
      <c r="I36" s="193"/>
      <c r="J36" s="193"/>
      <c r="K36" s="203"/>
      <c r="L36" s="232"/>
      <c r="M36" s="232"/>
      <c r="N36" s="232"/>
      <c r="O36" s="232"/>
      <c r="P36" s="232"/>
      <c r="Q36" s="232"/>
      <c r="R36" s="232"/>
      <c r="S36" s="232"/>
      <c r="T36" s="232"/>
      <c r="U36" s="232"/>
      <c r="V36" s="232"/>
      <c r="W36" s="232"/>
      <c r="X36" s="232"/>
      <c r="Y36" s="232"/>
      <c r="Z36" s="232"/>
    </row>
    <row r="37" spans="1:26" ht="15.75" customHeight="1" x14ac:dyDescent="0.25">
      <c r="A37" s="456"/>
      <c r="B37" s="454"/>
      <c r="C37" s="449"/>
      <c r="D37" s="55"/>
      <c r="E37" s="55"/>
      <c r="F37" s="55"/>
      <c r="G37" s="55"/>
      <c r="H37" s="12"/>
      <c r="I37" s="12"/>
      <c r="J37" s="12"/>
      <c r="K37" s="282"/>
      <c r="L37" s="10"/>
      <c r="M37" s="10"/>
      <c r="N37" s="10"/>
      <c r="O37" s="10"/>
      <c r="P37" s="10"/>
      <c r="Q37" s="10"/>
      <c r="R37" s="10"/>
      <c r="S37" s="10"/>
      <c r="T37" s="10"/>
      <c r="U37" s="10"/>
      <c r="V37" s="10"/>
      <c r="W37" s="10"/>
      <c r="X37" s="10"/>
      <c r="Y37" s="10"/>
      <c r="Z37" s="10"/>
    </row>
    <row r="38" spans="1:26" ht="15.75" customHeight="1" x14ac:dyDescent="0.25">
      <c r="A38" s="42" t="s">
        <v>391</v>
      </c>
      <c r="B38" s="41"/>
      <c r="C38" s="43"/>
      <c r="D38" s="43"/>
      <c r="E38" s="43"/>
      <c r="F38" s="43"/>
      <c r="G38" s="43"/>
      <c r="H38" s="14"/>
      <c r="I38" s="14"/>
      <c r="J38" s="14"/>
      <c r="K38" s="16"/>
      <c r="L38" s="15"/>
      <c r="M38" s="15"/>
      <c r="N38" s="15"/>
      <c r="O38" s="15"/>
      <c r="P38" s="15"/>
      <c r="Q38" s="15"/>
      <c r="R38" s="15"/>
      <c r="S38" s="15"/>
      <c r="T38" s="15"/>
      <c r="U38" s="15"/>
      <c r="V38" s="15"/>
      <c r="W38" s="15"/>
      <c r="X38" s="15"/>
      <c r="Y38" s="15"/>
      <c r="Z38" s="15"/>
    </row>
    <row r="39" spans="1:26" ht="15.75" customHeight="1" x14ac:dyDescent="0.25">
      <c r="A39" s="17" t="s">
        <v>392</v>
      </c>
      <c r="B39" s="41"/>
      <c r="C39" s="43"/>
      <c r="D39" s="56"/>
      <c r="E39" s="43"/>
      <c r="F39" s="43"/>
      <c r="G39" s="43"/>
      <c r="H39" s="14"/>
      <c r="I39" s="14"/>
      <c r="J39" s="14"/>
      <c r="K39" s="16"/>
      <c r="L39" s="15"/>
      <c r="M39" s="15"/>
      <c r="N39" s="15"/>
      <c r="O39" s="15"/>
      <c r="P39" s="15"/>
      <c r="Q39" s="15"/>
      <c r="R39" s="15"/>
      <c r="S39" s="15"/>
      <c r="T39" s="15"/>
      <c r="U39" s="15"/>
      <c r="V39" s="15"/>
      <c r="W39" s="15"/>
      <c r="X39" s="15"/>
      <c r="Y39" s="15"/>
      <c r="Z39" s="15"/>
    </row>
    <row r="40" spans="1:26" ht="15.75" customHeight="1" x14ac:dyDescent="0.25">
      <c r="A40" s="48" t="s">
        <v>393</v>
      </c>
      <c r="B40" s="25" t="s">
        <v>187</v>
      </c>
      <c r="C40" s="43">
        <v>0</v>
      </c>
      <c r="D40" s="26">
        <v>0</v>
      </c>
      <c r="E40" s="43">
        <f>F40-D40</f>
        <v>100000</v>
      </c>
      <c r="F40" s="26">
        <v>100000</v>
      </c>
      <c r="G40" s="43">
        <v>100000</v>
      </c>
      <c r="H40" s="14">
        <v>100000</v>
      </c>
      <c r="I40" s="14"/>
      <c r="J40" s="14"/>
      <c r="K40" s="16"/>
      <c r="L40" s="15"/>
      <c r="M40" s="15"/>
      <c r="N40" s="15"/>
      <c r="O40" s="15"/>
      <c r="P40" s="15"/>
      <c r="Q40" s="15"/>
      <c r="R40" s="15"/>
      <c r="S40" s="15"/>
      <c r="T40" s="15"/>
      <c r="U40" s="15"/>
      <c r="V40" s="15"/>
      <c r="W40" s="15"/>
      <c r="X40" s="15"/>
      <c r="Y40" s="15"/>
      <c r="Z40" s="15"/>
    </row>
    <row r="41" spans="1:26" ht="15.75" customHeight="1" x14ac:dyDescent="0.25">
      <c r="A41" s="42" t="s">
        <v>499</v>
      </c>
      <c r="B41" s="25"/>
      <c r="C41" s="56"/>
      <c r="D41" s="43"/>
      <c r="E41" s="43"/>
      <c r="F41" s="26"/>
      <c r="G41" s="43"/>
      <c r="H41" s="14"/>
      <c r="I41" s="14"/>
      <c r="J41" s="14"/>
      <c r="K41" s="16"/>
      <c r="L41" s="15"/>
      <c r="M41" s="15"/>
      <c r="N41" s="15"/>
      <c r="O41" s="15"/>
      <c r="P41" s="15"/>
      <c r="Q41" s="15"/>
      <c r="R41" s="15"/>
      <c r="S41" s="15"/>
      <c r="T41" s="15"/>
      <c r="U41" s="15"/>
      <c r="V41" s="15"/>
      <c r="W41" s="15"/>
      <c r="X41" s="15"/>
      <c r="Y41" s="15"/>
      <c r="Z41" s="15"/>
    </row>
    <row r="42" spans="1:26" ht="15.75" customHeight="1" x14ac:dyDescent="0.25">
      <c r="A42" s="48" t="s">
        <v>398</v>
      </c>
      <c r="B42" s="41" t="s">
        <v>195</v>
      </c>
      <c r="C42" s="43">
        <v>221190</v>
      </c>
      <c r="D42" s="43">
        <v>140165</v>
      </c>
      <c r="E42" s="43">
        <f>F42-D42</f>
        <v>140165</v>
      </c>
      <c r="F42" s="43">
        <v>280330</v>
      </c>
      <c r="G42" s="43">
        <v>439508</v>
      </c>
      <c r="H42" s="14">
        <v>439508</v>
      </c>
      <c r="I42" s="14"/>
      <c r="J42" s="14"/>
      <c r="K42" s="16"/>
      <c r="L42" s="15"/>
      <c r="M42" s="15"/>
      <c r="N42" s="15"/>
      <c r="O42" s="15"/>
      <c r="P42" s="15"/>
      <c r="Q42" s="15"/>
      <c r="R42" s="15"/>
      <c r="S42" s="15"/>
      <c r="T42" s="15"/>
      <c r="U42" s="15"/>
      <c r="V42" s="15"/>
      <c r="W42" s="15"/>
      <c r="X42" s="15"/>
      <c r="Y42" s="15"/>
      <c r="Z42" s="15"/>
    </row>
    <row r="43" spans="1:26" ht="15.75" customHeight="1" x14ac:dyDescent="0.25">
      <c r="A43" s="370" t="s">
        <v>400</v>
      </c>
      <c r="B43" s="41" t="s">
        <v>221</v>
      </c>
      <c r="C43" s="43">
        <v>0</v>
      </c>
      <c r="D43" s="43">
        <v>0</v>
      </c>
      <c r="E43" s="43">
        <v>0</v>
      </c>
      <c r="F43" s="43">
        <v>0</v>
      </c>
      <c r="G43" s="43">
        <v>745692</v>
      </c>
      <c r="H43" s="14">
        <v>745692</v>
      </c>
      <c r="I43" s="14"/>
      <c r="J43" s="14"/>
      <c r="K43" s="16"/>
      <c r="L43" s="15"/>
      <c r="M43" s="15"/>
      <c r="N43" s="15"/>
      <c r="O43" s="15"/>
      <c r="P43" s="15"/>
      <c r="Q43" s="15"/>
      <c r="R43" s="15"/>
      <c r="S43" s="15"/>
      <c r="T43" s="15"/>
      <c r="U43" s="15"/>
      <c r="V43" s="15"/>
      <c r="W43" s="15"/>
      <c r="X43" s="15"/>
      <c r="Y43" s="15"/>
      <c r="Z43" s="15"/>
    </row>
    <row r="44" spans="1:26" ht="15.75" customHeight="1" x14ac:dyDescent="0.25">
      <c r="A44" s="48" t="s">
        <v>402</v>
      </c>
      <c r="B44" s="41" t="s">
        <v>225</v>
      </c>
      <c r="C44" s="43">
        <v>691804</v>
      </c>
      <c r="D44" s="43">
        <v>0</v>
      </c>
      <c r="E44" s="43">
        <f>F44-D44</f>
        <v>535240</v>
      </c>
      <c r="F44" s="43">
        <v>535240</v>
      </c>
      <c r="G44" s="43">
        <v>412076</v>
      </c>
      <c r="H44" s="14">
        <v>412076</v>
      </c>
      <c r="I44" s="14"/>
      <c r="J44" s="14"/>
      <c r="K44" s="16"/>
      <c r="L44" s="15"/>
      <c r="M44" s="15"/>
      <c r="N44" s="15"/>
      <c r="O44" s="15"/>
      <c r="P44" s="15"/>
      <c r="Q44" s="15"/>
      <c r="R44" s="15"/>
      <c r="S44" s="15"/>
      <c r="T44" s="15"/>
      <c r="U44" s="15"/>
      <c r="V44" s="15"/>
      <c r="W44" s="15"/>
      <c r="X44" s="15"/>
      <c r="Y44" s="15"/>
      <c r="Z44" s="15"/>
    </row>
    <row r="45" spans="1:26" ht="15.75" customHeight="1" x14ac:dyDescent="0.25">
      <c r="A45" s="42" t="s">
        <v>2543</v>
      </c>
      <c r="B45" s="41"/>
      <c r="C45" s="43"/>
      <c r="D45" s="43"/>
      <c r="E45" s="43"/>
      <c r="F45" s="43"/>
      <c r="G45" s="43"/>
      <c r="H45" s="14"/>
      <c r="I45" s="14"/>
      <c r="J45" s="14"/>
      <c r="K45" s="16"/>
      <c r="L45" s="15"/>
      <c r="M45" s="15"/>
      <c r="N45" s="15"/>
      <c r="O45" s="15"/>
      <c r="P45" s="15"/>
      <c r="Q45" s="15"/>
      <c r="R45" s="15"/>
      <c r="S45" s="15"/>
      <c r="T45" s="15"/>
      <c r="U45" s="15"/>
      <c r="V45" s="15"/>
      <c r="W45" s="15"/>
      <c r="X45" s="15"/>
      <c r="Y45" s="15"/>
      <c r="Z45" s="15"/>
    </row>
    <row r="46" spans="1:26" ht="15.75" customHeight="1" x14ac:dyDescent="0.25">
      <c r="A46" s="48" t="s">
        <v>814</v>
      </c>
      <c r="B46" s="41" t="s">
        <v>227</v>
      </c>
      <c r="C46" s="43">
        <v>748966.98</v>
      </c>
      <c r="D46" s="43">
        <v>352468.15</v>
      </c>
      <c r="E46" s="43">
        <f t="shared" ref="E46:E47" si="5">F46-D46</f>
        <v>247531.84999999998</v>
      </c>
      <c r="F46" s="43">
        <v>600000</v>
      </c>
      <c r="G46" s="43">
        <v>800000</v>
      </c>
      <c r="H46" s="14">
        <v>800000</v>
      </c>
      <c r="I46" s="14"/>
      <c r="J46" s="14"/>
      <c r="K46" s="16"/>
      <c r="L46" s="15"/>
      <c r="M46" s="15"/>
      <c r="N46" s="15"/>
      <c r="O46" s="15"/>
      <c r="P46" s="15"/>
      <c r="Q46" s="15"/>
      <c r="R46" s="15"/>
      <c r="S46" s="15"/>
      <c r="T46" s="15"/>
      <c r="U46" s="15"/>
      <c r="V46" s="15"/>
      <c r="W46" s="15"/>
      <c r="X46" s="15"/>
      <c r="Y46" s="15"/>
      <c r="Z46" s="15"/>
    </row>
    <row r="47" spans="1:26" ht="15.75" customHeight="1" x14ac:dyDescent="0.25">
      <c r="A47" s="48" t="s">
        <v>815</v>
      </c>
      <c r="B47" s="41" t="s">
        <v>229</v>
      </c>
      <c r="C47" s="43">
        <v>6335542.25</v>
      </c>
      <c r="D47" s="43">
        <v>3260810.13</v>
      </c>
      <c r="E47" s="43">
        <f t="shared" si="5"/>
        <v>4739189.87</v>
      </c>
      <c r="F47" s="43">
        <v>8000000</v>
      </c>
      <c r="G47" s="43">
        <v>9450000</v>
      </c>
      <c r="H47" s="14">
        <v>10000000</v>
      </c>
      <c r="I47" s="14"/>
      <c r="J47" s="14"/>
      <c r="K47" s="16"/>
      <c r="L47" s="15"/>
      <c r="M47" s="15"/>
      <c r="N47" s="15"/>
      <c r="O47" s="15"/>
      <c r="P47" s="15"/>
      <c r="Q47" s="15"/>
      <c r="R47" s="15"/>
      <c r="S47" s="15"/>
      <c r="T47" s="15"/>
      <c r="U47" s="15"/>
      <c r="V47" s="15"/>
      <c r="W47" s="15"/>
      <c r="X47" s="15"/>
      <c r="Y47" s="15"/>
      <c r="Z47" s="15"/>
    </row>
    <row r="48" spans="1:26" ht="15.75" customHeight="1" x14ac:dyDescent="0.25">
      <c r="A48" s="17" t="s">
        <v>503</v>
      </c>
      <c r="B48" s="41"/>
      <c r="C48" s="43"/>
      <c r="D48" s="43"/>
      <c r="E48" s="43"/>
      <c r="F48" s="43"/>
      <c r="G48" s="43"/>
      <c r="H48" s="14"/>
      <c r="I48" s="14"/>
      <c r="J48" s="14"/>
      <c r="K48" s="16"/>
      <c r="L48" s="15"/>
      <c r="M48" s="15"/>
      <c r="N48" s="15"/>
      <c r="O48" s="15"/>
      <c r="P48" s="15"/>
      <c r="Q48" s="15"/>
      <c r="R48" s="15"/>
      <c r="S48" s="15"/>
      <c r="T48" s="15"/>
      <c r="U48" s="15"/>
      <c r="V48" s="15"/>
      <c r="W48" s="15"/>
      <c r="X48" s="15"/>
      <c r="Y48" s="15"/>
      <c r="Z48" s="15"/>
    </row>
    <row r="49" spans="1:26" ht="15.75" customHeight="1" x14ac:dyDescent="0.25">
      <c r="A49" s="48" t="s">
        <v>643</v>
      </c>
      <c r="B49" s="41" t="s">
        <v>233</v>
      </c>
      <c r="C49" s="43">
        <v>40776.239999999998</v>
      </c>
      <c r="D49" s="43">
        <v>20388.12</v>
      </c>
      <c r="E49" s="43">
        <f>F49-D49</f>
        <v>20611.88</v>
      </c>
      <c r="F49" s="43">
        <v>41000</v>
      </c>
      <c r="G49" s="43">
        <v>63000</v>
      </c>
      <c r="H49" s="14">
        <v>63000</v>
      </c>
      <c r="I49" s="14"/>
      <c r="J49" s="14"/>
      <c r="K49" s="16"/>
      <c r="L49" s="15"/>
      <c r="M49" s="15"/>
      <c r="N49" s="15"/>
      <c r="O49" s="15"/>
      <c r="P49" s="15"/>
      <c r="Q49" s="15"/>
      <c r="R49" s="15"/>
      <c r="S49" s="15"/>
      <c r="T49" s="15"/>
      <c r="U49" s="15"/>
      <c r="V49" s="15"/>
      <c r="W49" s="15"/>
      <c r="X49" s="15"/>
      <c r="Y49" s="15"/>
      <c r="Z49" s="15"/>
    </row>
    <row r="50" spans="1:26" ht="15.75" customHeight="1" x14ac:dyDescent="0.25">
      <c r="A50" s="17" t="s">
        <v>506</v>
      </c>
      <c r="B50" s="41"/>
      <c r="C50" s="43"/>
      <c r="D50" s="43"/>
      <c r="E50" s="43"/>
      <c r="F50" s="43"/>
      <c r="G50" s="43"/>
      <c r="H50" s="14"/>
      <c r="I50" s="14"/>
      <c r="J50" s="14"/>
      <c r="K50" s="16"/>
      <c r="L50" s="15"/>
      <c r="M50" s="15"/>
      <c r="N50" s="15"/>
      <c r="O50" s="15"/>
      <c r="P50" s="15"/>
      <c r="Q50" s="15"/>
      <c r="R50" s="15"/>
      <c r="S50" s="15"/>
      <c r="T50" s="15"/>
      <c r="U50" s="15"/>
      <c r="V50" s="15"/>
      <c r="W50" s="15"/>
      <c r="X50" s="15"/>
      <c r="Y50" s="15"/>
      <c r="Z50" s="15"/>
    </row>
    <row r="51" spans="1:26" ht="15.75" customHeight="1" x14ac:dyDescent="0.25">
      <c r="A51" s="48" t="s">
        <v>725</v>
      </c>
      <c r="B51" s="41" t="s">
        <v>283</v>
      </c>
      <c r="C51" s="43">
        <v>555869</v>
      </c>
      <c r="D51" s="43">
        <v>0</v>
      </c>
      <c r="E51" s="43">
        <f>F51-D51</f>
        <v>800000</v>
      </c>
      <c r="F51" s="43">
        <v>800000</v>
      </c>
      <c r="G51" s="43">
        <f t="shared" ref="G51:H51" si="6">400000+247544</f>
        <v>647544</v>
      </c>
      <c r="H51" s="14">
        <f t="shared" si="6"/>
        <v>647544</v>
      </c>
      <c r="I51" s="14"/>
      <c r="J51" s="14"/>
      <c r="K51" s="16"/>
      <c r="L51" s="15"/>
      <c r="M51" s="15"/>
      <c r="N51" s="15"/>
      <c r="O51" s="15"/>
      <c r="P51" s="15"/>
      <c r="Q51" s="15"/>
      <c r="R51" s="15"/>
      <c r="S51" s="15"/>
      <c r="T51" s="15"/>
      <c r="U51" s="15"/>
      <c r="V51" s="15"/>
      <c r="W51" s="15"/>
      <c r="X51" s="15"/>
      <c r="Y51" s="15"/>
      <c r="Z51" s="15"/>
    </row>
    <row r="52" spans="1:26" ht="15.75" customHeight="1" x14ac:dyDescent="0.25">
      <c r="A52" s="17" t="s">
        <v>511</v>
      </c>
      <c r="B52" s="41"/>
      <c r="C52" s="43"/>
      <c r="D52" s="43"/>
      <c r="E52" s="43"/>
      <c r="F52" s="43"/>
      <c r="G52" s="43"/>
      <c r="H52" s="14"/>
      <c r="I52" s="14"/>
      <c r="J52" s="14"/>
      <c r="K52" s="16"/>
      <c r="L52" s="15"/>
      <c r="M52" s="15"/>
      <c r="N52" s="15"/>
      <c r="O52" s="15"/>
      <c r="P52" s="15"/>
      <c r="Q52" s="15"/>
      <c r="R52" s="15"/>
      <c r="S52" s="15"/>
      <c r="T52" s="15"/>
      <c r="U52" s="15"/>
      <c r="V52" s="15"/>
      <c r="W52" s="15"/>
      <c r="X52" s="15"/>
      <c r="Y52" s="15"/>
      <c r="Z52" s="15"/>
    </row>
    <row r="53" spans="1:26" ht="15.75" customHeight="1" x14ac:dyDescent="0.25">
      <c r="A53" s="48" t="s">
        <v>424</v>
      </c>
      <c r="B53" s="41" t="s">
        <v>335</v>
      </c>
      <c r="C53" s="43">
        <v>10458536.75</v>
      </c>
      <c r="D53" s="43">
        <v>4662552</v>
      </c>
      <c r="E53" s="43">
        <f>F53-D53</f>
        <v>6566728</v>
      </c>
      <c r="F53" s="43">
        <v>11229280</v>
      </c>
      <c r="G53" s="43">
        <v>25205880</v>
      </c>
      <c r="H53" s="26">
        <f>SUM(H54:H57)</f>
        <v>912000</v>
      </c>
      <c r="I53" s="26">
        <f>H53+SUM(K60:K88)</f>
        <v>25205880</v>
      </c>
      <c r="J53" s="14">
        <f>G53-I53</f>
        <v>0</v>
      </c>
      <c r="K53" s="16"/>
      <c r="L53" s="15"/>
      <c r="M53" s="15"/>
      <c r="N53" s="15"/>
      <c r="O53" s="15"/>
      <c r="P53" s="15"/>
      <c r="Q53" s="15"/>
      <c r="R53" s="15"/>
      <c r="S53" s="15"/>
      <c r="T53" s="15"/>
      <c r="U53" s="15"/>
      <c r="V53" s="15"/>
      <c r="W53" s="15"/>
      <c r="X53" s="15"/>
      <c r="Y53" s="15"/>
      <c r="Z53" s="15"/>
    </row>
    <row r="54" spans="1:26" ht="15.75" customHeight="1" x14ac:dyDescent="0.25">
      <c r="A54" s="74" t="s">
        <v>2544</v>
      </c>
      <c r="B54" s="41"/>
      <c r="C54" s="43"/>
      <c r="D54" s="43"/>
      <c r="E54" s="43"/>
      <c r="F54" s="43"/>
      <c r="G54" s="43"/>
      <c r="H54" s="14">
        <v>200000</v>
      </c>
      <c r="I54" s="14"/>
      <c r="J54" s="14"/>
      <c r="K54" s="99">
        <f>SUM(K58:K88)</f>
        <v>24293880</v>
      </c>
      <c r="L54" s="15"/>
      <c r="M54" s="15"/>
      <c r="N54" s="15"/>
      <c r="O54" s="15"/>
      <c r="P54" s="15"/>
      <c r="Q54" s="15"/>
      <c r="R54" s="15"/>
      <c r="S54" s="15"/>
      <c r="T54" s="15"/>
      <c r="U54" s="15"/>
      <c r="V54" s="15"/>
      <c r="W54" s="15"/>
      <c r="X54" s="15"/>
      <c r="Y54" s="15"/>
      <c r="Z54" s="15"/>
    </row>
    <row r="55" spans="1:26" ht="15.75" customHeight="1" x14ac:dyDescent="0.25">
      <c r="A55" s="602" t="s">
        <v>2545</v>
      </c>
      <c r="B55" s="483"/>
      <c r="C55" s="457"/>
      <c r="D55" s="457"/>
      <c r="E55" s="457"/>
      <c r="F55" s="457"/>
      <c r="G55" s="457"/>
      <c r="H55" s="14">
        <v>201000</v>
      </c>
      <c r="I55" s="14"/>
      <c r="J55" s="14"/>
      <c r="K55" s="16"/>
      <c r="L55" s="15"/>
      <c r="M55" s="15"/>
      <c r="N55" s="15"/>
      <c r="O55" s="15"/>
      <c r="P55" s="15"/>
      <c r="Q55" s="15"/>
      <c r="R55" s="15"/>
      <c r="S55" s="15"/>
      <c r="T55" s="15"/>
      <c r="U55" s="15"/>
      <c r="V55" s="15"/>
      <c r="W55" s="15"/>
      <c r="X55" s="15"/>
      <c r="Y55" s="15"/>
      <c r="Z55" s="15"/>
    </row>
    <row r="56" spans="1:26" ht="15.75" customHeight="1" x14ac:dyDescent="0.25">
      <c r="A56" s="671" t="s">
        <v>2546</v>
      </c>
      <c r="B56" s="601"/>
      <c r="C56" s="448"/>
      <c r="D56" s="448"/>
      <c r="E56" s="448"/>
      <c r="F56" s="448"/>
      <c r="G56" s="448"/>
      <c r="H56" s="14">
        <v>400000</v>
      </c>
      <c r="I56" s="14"/>
      <c r="J56" s="14"/>
      <c r="K56" s="16"/>
      <c r="L56" s="15"/>
      <c r="M56" s="15"/>
      <c r="N56" s="15"/>
      <c r="O56" s="15"/>
      <c r="P56" s="15"/>
      <c r="Q56" s="15"/>
      <c r="R56" s="15"/>
      <c r="S56" s="15"/>
      <c r="T56" s="15"/>
      <c r="U56" s="15"/>
      <c r="V56" s="15"/>
      <c r="W56" s="15"/>
      <c r="X56" s="15"/>
      <c r="Y56" s="15"/>
      <c r="Z56" s="15"/>
    </row>
    <row r="57" spans="1:26" ht="15.75" customHeight="1" x14ac:dyDescent="0.25">
      <c r="A57" s="74" t="s">
        <v>2547</v>
      </c>
      <c r="B57" s="41"/>
      <c r="C57" s="43"/>
      <c r="D57" s="43"/>
      <c r="E57" s="43"/>
      <c r="F57" s="43"/>
      <c r="G57" s="43"/>
      <c r="H57" s="14">
        <v>111000</v>
      </c>
      <c r="I57" s="14"/>
      <c r="J57" s="14"/>
      <c r="K57" s="16"/>
      <c r="L57" s="15"/>
      <c r="M57" s="15"/>
      <c r="N57" s="15"/>
      <c r="O57" s="15"/>
      <c r="P57" s="15"/>
      <c r="Q57" s="15"/>
      <c r="R57" s="15"/>
      <c r="S57" s="15"/>
      <c r="T57" s="15"/>
      <c r="U57" s="15"/>
      <c r="V57" s="15"/>
      <c r="W57" s="15"/>
      <c r="X57" s="15"/>
      <c r="Y57" s="15"/>
      <c r="Z57" s="15"/>
    </row>
    <row r="58" spans="1:26" ht="15.75" customHeight="1" x14ac:dyDescent="0.25">
      <c r="A58" s="74" t="s">
        <v>648</v>
      </c>
      <c r="B58" s="41"/>
      <c r="C58" s="43"/>
      <c r="D58" s="43"/>
      <c r="E58" s="43"/>
      <c r="F58" s="43"/>
      <c r="G58" s="43"/>
      <c r="H58" s="14"/>
      <c r="I58" s="14"/>
      <c r="J58" s="14"/>
      <c r="K58" s="16"/>
      <c r="L58" s="15"/>
      <c r="M58" s="15"/>
      <c r="N58" s="15"/>
      <c r="O58" s="15"/>
      <c r="P58" s="15"/>
      <c r="Q58" s="15"/>
      <c r="R58" s="15"/>
      <c r="S58" s="15"/>
      <c r="T58" s="15"/>
      <c r="U58" s="15"/>
      <c r="V58" s="15"/>
      <c r="W58" s="15"/>
      <c r="X58" s="15"/>
      <c r="Y58" s="15"/>
      <c r="Z58" s="15"/>
    </row>
    <row r="59" spans="1:26" ht="15.75" customHeight="1" x14ac:dyDescent="0.25">
      <c r="A59" s="412" t="s">
        <v>2548</v>
      </c>
      <c r="B59" s="41"/>
      <c r="C59" s="43"/>
      <c r="D59" s="43"/>
      <c r="E59" s="43"/>
      <c r="F59" s="43"/>
      <c r="G59" s="43"/>
      <c r="H59" s="14"/>
      <c r="I59" s="14"/>
      <c r="J59" s="14"/>
      <c r="K59" s="16"/>
      <c r="L59" s="15"/>
      <c r="M59" s="15"/>
      <c r="N59" s="15"/>
      <c r="O59" s="15"/>
      <c r="P59" s="15"/>
      <c r="Q59" s="15"/>
      <c r="R59" s="15"/>
      <c r="S59" s="15"/>
      <c r="T59" s="15"/>
      <c r="U59" s="15"/>
      <c r="V59" s="15"/>
      <c r="W59" s="15"/>
      <c r="X59" s="15"/>
      <c r="Y59" s="15"/>
      <c r="Z59" s="15"/>
    </row>
    <row r="60" spans="1:26" ht="31.5" x14ac:dyDescent="0.25">
      <c r="A60" s="90" t="s">
        <v>2531</v>
      </c>
      <c r="B60" s="41"/>
      <c r="C60" s="43"/>
      <c r="D60" s="43"/>
      <c r="E60" s="43"/>
      <c r="F60" s="43"/>
      <c r="G60" s="43"/>
      <c r="H60" s="14">
        <v>2</v>
      </c>
      <c r="I60" s="14">
        <v>678</v>
      </c>
      <c r="J60" s="14">
        <f t="shared" ref="J60:J62" si="7">26*12</f>
        <v>312</v>
      </c>
      <c r="K60" s="16">
        <f t="shared" ref="K60:K62" si="8">J60*I60*H60</f>
        <v>423072</v>
      </c>
      <c r="L60" s="15"/>
      <c r="M60" s="15"/>
      <c r="N60" s="15"/>
      <c r="O60" s="15"/>
      <c r="P60" s="15"/>
      <c r="Q60" s="15"/>
      <c r="R60" s="15"/>
      <c r="S60" s="15"/>
      <c r="T60" s="15"/>
      <c r="U60" s="15"/>
      <c r="V60" s="15"/>
      <c r="W60" s="15"/>
      <c r="X60" s="15"/>
      <c r="Y60" s="15"/>
      <c r="Z60" s="15"/>
    </row>
    <row r="61" spans="1:26" ht="31.5" x14ac:dyDescent="0.25">
      <c r="A61" s="90" t="s">
        <v>2549</v>
      </c>
      <c r="B61" s="41"/>
      <c r="C61" s="43"/>
      <c r="D61" s="43"/>
      <c r="E61" s="43"/>
      <c r="F61" s="43"/>
      <c r="G61" s="43"/>
      <c r="H61" s="14">
        <v>5</v>
      </c>
      <c r="I61" s="14">
        <v>639</v>
      </c>
      <c r="J61" s="14">
        <f t="shared" si="7"/>
        <v>312</v>
      </c>
      <c r="K61" s="16">
        <f t="shared" si="8"/>
        <v>996840</v>
      </c>
      <c r="L61" s="15"/>
      <c r="M61" s="15"/>
      <c r="N61" s="15"/>
      <c r="O61" s="15"/>
      <c r="P61" s="15"/>
      <c r="Q61" s="15"/>
      <c r="R61" s="15"/>
      <c r="S61" s="15"/>
      <c r="T61" s="15"/>
      <c r="U61" s="15"/>
      <c r="V61" s="15"/>
      <c r="W61" s="15"/>
      <c r="X61" s="15"/>
      <c r="Y61" s="15"/>
      <c r="Z61" s="15"/>
    </row>
    <row r="62" spans="1:26" ht="15.75" customHeight="1" x14ac:dyDescent="0.25">
      <c r="A62" s="74" t="s">
        <v>2550</v>
      </c>
      <c r="B62" s="41"/>
      <c r="C62" s="43"/>
      <c r="D62" s="43"/>
      <c r="E62" s="43"/>
      <c r="F62" s="43"/>
      <c r="G62" s="43"/>
      <c r="H62" s="14">
        <v>1</v>
      </c>
      <c r="I62" s="14">
        <v>678</v>
      </c>
      <c r="J62" s="14">
        <f t="shared" si="7"/>
        <v>312</v>
      </c>
      <c r="K62" s="16">
        <f t="shared" si="8"/>
        <v>211536</v>
      </c>
      <c r="L62" s="15"/>
      <c r="M62" s="15"/>
      <c r="N62" s="15"/>
      <c r="O62" s="15"/>
      <c r="P62" s="15"/>
      <c r="Q62" s="15"/>
      <c r="R62" s="15"/>
      <c r="S62" s="15"/>
      <c r="T62" s="15"/>
      <c r="U62" s="15"/>
      <c r="V62" s="15"/>
      <c r="W62" s="15"/>
      <c r="X62" s="15"/>
      <c r="Y62" s="15"/>
      <c r="Z62" s="15"/>
    </row>
    <row r="63" spans="1:26" ht="15.75" customHeight="1" x14ac:dyDescent="0.25">
      <c r="A63" s="412" t="s">
        <v>2551</v>
      </c>
      <c r="B63" s="41"/>
      <c r="C63" s="43"/>
      <c r="D63" s="43"/>
      <c r="E63" s="43"/>
      <c r="F63" s="43"/>
      <c r="G63" s="43"/>
      <c r="H63" s="14"/>
      <c r="I63" s="14"/>
      <c r="J63" s="14"/>
      <c r="K63" s="16"/>
      <c r="L63" s="15"/>
      <c r="M63" s="15"/>
      <c r="N63" s="15"/>
      <c r="O63" s="15"/>
      <c r="P63" s="15"/>
      <c r="Q63" s="15"/>
      <c r="R63" s="15"/>
      <c r="S63" s="15"/>
      <c r="T63" s="15"/>
      <c r="U63" s="15"/>
      <c r="V63" s="15"/>
      <c r="W63" s="15"/>
      <c r="X63" s="15"/>
      <c r="Y63" s="15"/>
      <c r="Z63" s="15"/>
    </row>
    <row r="64" spans="1:26" ht="31.5" x14ac:dyDescent="0.25">
      <c r="A64" s="90" t="s">
        <v>2531</v>
      </c>
      <c r="B64" s="41"/>
      <c r="C64" s="43"/>
      <c r="D64" s="43"/>
      <c r="E64" s="43"/>
      <c r="F64" s="43"/>
      <c r="G64" s="43"/>
      <c r="H64" s="14">
        <v>2</v>
      </c>
      <c r="I64" s="14">
        <v>678</v>
      </c>
      <c r="J64" s="14">
        <f t="shared" ref="J64:J66" si="9">26*12</f>
        <v>312</v>
      </c>
      <c r="K64" s="16">
        <f t="shared" ref="K64:K66" si="10">J64*I64*H64</f>
        <v>423072</v>
      </c>
      <c r="L64" s="15"/>
      <c r="M64" s="15"/>
      <c r="N64" s="15"/>
      <c r="O64" s="15"/>
      <c r="P64" s="15"/>
      <c r="Q64" s="15"/>
      <c r="R64" s="15"/>
      <c r="S64" s="15"/>
      <c r="T64" s="15"/>
      <c r="U64" s="15"/>
      <c r="V64" s="15"/>
      <c r="W64" s="15"/>
      <c r="X64" s="15"/>
      <c r="Y64" s="15"/>
      <c r="Z64" s="15"/>
    </row>
    <row r="65" spans="1:26" ht="31.5" x14ac:dyDescent="0.25">
      <c r="A65" s="90" t="s">
        <v>2549</v>
      </c>
      <c r="B65" s="41"/>
      <c r="C65" s="43"/>
      <c r="D65" s="43"/>
      <c r="E65" s="43"/>
      <c r="F65" s="43"/>
      <c r="G65" s="43"/>
      <c r="H65" s="14">
        <v>5</v>
      </c>
      <c r="I65" s="14">
        <v>639</v>
      </c>
      <c r="J65" s="14">
        <f t="shared" si="9"/>
        <v>312</v>
      </c>
      <c r="K65" s="16">
        <f t="shared" si="10"/>
        <v>996840</v>
      </c>
      <c r="L65" s="15"/>
      <c r="M65" s="15"/>
      <c r="N65" s="15"/>
      <c r="O65" s="15"/>
      <c r="P65" s="15"/>
      <c r="Q65" s="15"/>
      <c r="R65" s="15"/>
      <c r="S65" s="15"/>
      <c r="T65" s="15"/>
      <c r="U65" s="15"/>
      <c r="V65" s="15"/>
      <c r="W65" s="15"/>
      <c r="X65" s="15"/>
      <c r="Y65" s="15"/>
      <c r="Z65" s="15"/>
    </row>
    <row r="66" spans="1:26" ht="15.75" x14ac:dyDescent="0.25">
      <c r="A66" s="74" t="s">
        <v>2550</v>
      </c>
      <c r="B66" s="41"/>
      <c r="C66" s="43"/>
      <c r="D66" s="43"/>
      <c r="E66" s="43"/>
      <c r="F66" s="43"/>
      <c r="G66" s="43"/>
      <c r="H66" s="14">
        <v>1</v>
      </c>
      <c r="I66" s="14">
        <v>678</v>
      </c>
      <c r="J66" s="14">
        <f t="shared" si="9"/>
        <v>312</v>
      </c>
      <c r="K66" s="16">
        <f t="shared" si="10"/>
        <v>211536</v>
      </c>
      <c r="L66" s="15"/>
      <c r="M66" s="15"/>
      <c r="N66" s="15"/>
      <c r="O66" s="15"/>
      <c r="P66" s="15"/>
      <c r="Q66" s="15"/>
      <c r="R66" s="15"/>
      <c r="S66" s="15"/>
      <c r="T66" s="15"/>
      <c r="U66" s="15"/>
      <c r="V66" s="15"/>
      <c r="W66" s="15"/>
      <c r="X66" s="15"/>
      <c r="Y66" s="15"/>
      <c r="Z66" s="15"/>
    </row>
    <row r="67" spans="1:26" ht="15.75" customHeight="1" x14ac:dyDescent="0.25">
      <c r="A67" s="412" t="s">
        <v>2552</v>
      </c>
      <c r="B67" s="41"/>
      <c r="C67" s="43"/>
      <c r="D67" s="43"/>
      <c r="E67" s="43"/>
      <c r="F67" s="43"/>
      <c r="G67" s="43"/>
      <c r="H67" s="14"/>
      <c r="I67" s="14"/>
      <c r="J67" s="14"/>
      <c r="K67" s="16"/>
      <c r="L67" s="15"/>
      <c r="M67" s="15"/>
      <c r="N67" s="15"/>
      <c r="O67" s="15"/>
      <c r="P67" s="15"/>
      <c r="Q67" s="15"/>
      <c r="R67" s="15"/>
      <c r="S67" s="15"/>
      <c r="T67" s="15"/>
      <c r="U67" s="15"/>
      <c r="V67" s="15"/>
      <c r="W67" s="15"/>
      <c r="X67" s="15"/>
      <c r="Y67" s="15"/>
      <c r="Z67" s="15"/>
    </row>
    <row r="68" spans="1:26" ht="15.75" customHeight="1" x14ac:dyDescent="0.25">
      <c r="A68" s="74" t="s">
        <v>2553</v>
      </c>
      <c r="B68" s="41"/>
      <c r="C68" s="43"/>
      <c r="D68" s="43"/>
      <c r="E68" s="43"/>
      <c r="F68" s="43"/>
      <c r="G68" s="43"/>
      <c r="H68" s="14">
        <v>3</v>
      </c>
      <c r="I68" s="14">
        <v>765</v>
      </c>
      <c r="J68" s="14">
        <f t="shared" ref="J68:J72" si="11">26*12</f>
        <v>312</v>
      </c>
      <c r="K68" s="16">
        <f t="shared" ref="K68:K72" si="12">J68*I68*H68</f>
        <v>716040</v>
      </c>
      <c r="L68" s="15"/>
      <c r="M68" s="15"/>
      <c r="N68" s="15"/>
      <c r="O68" s="15"/>
      <c r="P68" s="15"/>
      <c r="Q68" s="15"/>
      <c r="R68" s="15"/>
      <c r="S68" s="15"/>
      <c r="T68" s="15"/>
      <c r="U68" s="15"/>
      <c r="V68" s="15"/>
      <c r="W68" s="15"/>
      <c r="X68" s="15"/>
      <c r="Y68" s="15"/>
      <c r="Z68" s="15"/>
    </row>
    <row r="69" spans="1:26" ht="15.75" customHeight="1" x14ac:dyDescent="0.25">
      <c r="A69" s="696" t="s">
        <v>2554</v>
      </c>
      <c r="B69" s="437"/>
      <c r="C69" s="438"/>
      <c r="D69" s="438"/>
      <c r="E69" s="438"/>
      <c r="F69" s="438"/>
      <c r="G69" s="438"/>
      <c r="H69" s="14">
        <v>1</v>
      </c>
      <c r="I69" s="14">
        <v>765</v>
      </c>
      <c r="J69" s="14">
        <f t="shared" si="11"/>
        <v>312</v>
      </c>
      <c r="K69" s="16">
        <f t="shared" si="12"/>
        <v>238680</v>
      </c>
      <c r="L69" s="15"/>
      <c r="M69" s="15"/>
      <c r="N69" s="15"/>
      <c r="O69" s="15"/>
      <c r="P69" s="15"/>
      <c r="Q69" s="15"/>
      <c r="R69" s="15"/>
      <c r="S69" s="15"/>
      <c r="T69" s="15"/>
      <c r="U69" s="15"/>
      <c r="V69" s="15"/>
      <c r="W69" s="15"/>
      <c r="X69" s="15"/>
      <c r="Y69" s="15"/>
      <c r="Z69" s="15"/>
    </row>
    <row r="70" spans="1:26" ht="31.5" x14ac:dyDescent="0.25">
      <c r="A70" s="627" t="s">
        <v>2555</v>
      </c>
      <c r="B70" s="437"/>
      <c r="C70" s="438"/>
      <c r="D70" s="438"/>
      <c r="E70" s="438"/>
      <c r="F70" s="438"/>
      <c r="G70" s="438"/>
      <c r="H70" s="14">
        <v>13</v>
      </c>
      <c r="I70" s="14">
        <v>678</v>
      </c>
      <c r="J70" s="14">
        <f t="shared" si="11"/>
        <v>312</v>
      </c>
      <c r="K70" s="16">
        <f t="shared" si="12"/>
        <v>2749968</v>
      </c>
      <c r="L70" s="15"/>
      <c r="M70" s="15"/>
      <c r="N70" s="15"/>
      <c r="O70" s="15"/>
      <c r="P70" s="15"/>
      <c r="Q70" s="15"/>
      <c r="R70" s="15"/>
      <c r="S70" s="15"/>
      <c r="T70" s="15"/>
      <c r="U70" s="15"/>
      <c r="V70" s="15"/>
      <c r="W70" s="15"/>
      <c r="X70" s="15"/>
      <c r="Y70" s="15"/>
      <c r="Z70" s="15"/>
    </row>
    <row r="71" spans="1:26" ht="31.5" x14ac:dyDescent="0.25">
      <c r="A71" s="90" t="s">
        <v>2556</v>
      </c>
      <c r="B71" s="41"/>
      <c r="C71" s="43"/>
      <c r="D71" s="43"/>
      <c r="E71" s="43"/>
      <c r="F71" s="43"/>
      <c r="G71" s="43"/>
      <c r="H71" s="14">
        <v>3</v>
      </c>
      <c r="I71" s="14">
        <v>639</v>
      </c>
      <c r="J71" s="14">
        <f t="shared" si="11"/>
        <v>312</v>
      </c>
      <c r="K71" s="16">
        <f t="shared" si="12"/>
        <v>598104</v>
      </c>
      <c r="L71" s="15"/>
      <c r="M71" s="15"/>
      <c r="N71" s="15"/>
      <c r="O71" s="15"/>
      <c r="P71" s="15"/>
      <c r="Q71" s="15"/>
      <c r="R71" s="15"/>
      <c r="S71" s="15"/>
      <c r="T71" s="15"/>
      <c r="U71" s="15"/>
      <c r="V71" s="15"/>
      <c r="W71" s="15"/>
      <c r="X71" s="15"/>
      <c r="Y71" s="15"/>
      <c r="Z71" s="15"/>
    </row>
    <row r="72" spans="1:26" ht="15.75" customHeight="1" x14ac:dyDescent="0.25">
      <c r="A72" s="74" t="s">
        <v>2557</v>
      </c>
      <c r="B72" s="41"/>
      <c r="C72" s="43"/>
      <c r="D72" s="43"/>
      <c r="E72" s="43"/>
      <c r="F72" s="43"/>
      <c r="G72" s="43"/>
      <c r="H72" s="14">
        <v>7</v>
      </c>
      <c r="I72" s="14">
        <v>678</v>
      </c>
      <c r="J72" s="14">
        <f t="shared" si="11"/>
        <v>312</v>
      </c>
      <c r="K72" s="16">
        <f t="shared" si="12"/>
        <v>1480752</v>
      </c>
      <c r="L72" s="15"/>
      <c r="M72" s="15"/>
      <c r="N72" s="15"/>
      <c r="O72" s="15"/>
      <c r="P72" s="15"/>
      <c r="Q72" s="15"/>
      <c r="R72" s="15"/>
      <c r="S72" s="15"/>
      <c r="T72" s="15"/>
      <c r="U72" s="15"/>
      <c r="V72" s="15"/>
      <c r="W72" s="15"/>
      <c r="X72" s="15"/>
      <c r="Y72" s="15"/>
      <c r="Z72" s="15"/>
    </row>
    <row r="73" spans="1:26" ht="15.75" customHeight="1" x14ac:dyDescent="0.25">
      <c r="A73" s="412" t="s">
        <v>2558</v>
      </c>
      <c r="B73" s="41"/>
      <c r="C73" s="43"/>
      <c r="D73" s="43"/>
      <c r="E73" s="43"/>
      <c r="F73" s="43"/>
      <c r="G73" s="43"/>
      <c r="H73" s="14"/>
      <c r="I73" s="14"/>
      <c r="J73" s="14"/>
      <c r="K73" s="16"/>
      <c r="L73" s="15"/>
      <c r="M73" s="15"/>
      <c r="N73" s="15"/>
      <c r="O73" s="15"/>
      <c r="P73" s="15"/>
      <c r="Q73" s="15"/>
      <c r="R73" s="15"/>
      <c r="S73" s="15"/>
      <c r="T73" s="15"/>
      <c r="U73" s="15"/>
      <c r="V73" s="15"/>
      <c r="W73" s="15"/>
      <c r="X73" s="15"/>
      <c r="Y73" s="15"/>
      <c r="Z73" s="15"/>
    </row>
    <row r="74" spans="1:26" ht="31.5" x14ac:dyDescent="0.25">
      <c r="A74" s="90" t="s">
        <v>2559</v>
      </c>
      <c r="B74" s="41"/>
      <c r="C74" s="43"/>
      <c r="D74" s="43"/>
      <c r="E74" s="43"/>
      <c r="F74" s="43"/>
      <c r="G74" s="43"/>
      <c r="H74" s="14">
        <v>3</v>
      </c>
      <c r="I74" s="14">
        <v>765</v>
      </c>
      <c r="J74" s="14">
        <f t="shared" ref="J74:J78" si="13">26*12</f>
        <v>312</v>
      </c>
      <c r="K74" s="16">
        <f t="shared" ref="K74:K78" si="14">J74*I74*H74</f>
        <v>716040</v>
      </c>
      <c r="L74" s="15"/>
      <c r="M74" s="15"/>
      <c r="N74" s="15"/>
      <c r="O74" s="15"/>
      <c r="P74" s="15"/>
      <c r="Q74" s="15"/>
      <c r="R74" s="15"/>
      <c r="S74" s="15"/>
      <c r="T74" s="15"/>
      <c r="U74" s="15"/>
      <c r="V74" s="15"/>
      <c r="W74" s="15"/>
      <c r="X74" s="15"/>
      <c r="Y74" s="15"/>
      <c r="Z74" s="15"/>
    </row>
    <row r="75" spans="1:26" ht="15.75" customHeight="1" x14ac:dyDescent="0.25">
      <c r="A75" s="74" t="s">
        <v>2554</v>
      </c>
      <c r="B75" s="41"/>
      <c r="C75" s="43"/>
      <c r="D75" s="43"/>
      <c r="E75" s="43"/>
      <c r="F75" s="43"/>
      <c r="G75" s="43"/>
      <c r="H75" s="14">
        <v>1</v>
      </c>
      <c r="I75" s="14">
        <v>765</v>
      </c>
      <c r="J75" s="14">
        <f t="shared" si="13"/>
        <v>312</v>
      </c>
      <c r="K75" s="16">
        <f t="shared" si="14"/>
        <v>238680</v>
      </c>
      <c r="L75" s="15"/>
      <c r="M75" s="15"/>
      <c r="N75" s="15"/>
      <c r="O75" s="15"/>
      <c r="P75" s="15"/>
      <c r="Q75" s="15"/>
      <c r="R75" s="15"/>
      <c r="S75" s="15"/>
      <c r="T75" s="15"/>
      <c r="U75" s="15"/>
      <c r="V75" s="15"/>
      <c r="W75" s="15"/>
      <c r="X75" s="15"/>
      <c r="Y75" s="15"/>
      <c r="Z75" s="15"/>
    </row>
    <row r="76" spans="1:26" ht="31.5" x14ac:dyDescent="0.25">
      <c r="A76" s="90" t="s">
        <v>2560</v>
      </c>
      <c r="B76" s="41"/>
      <c r="C76" s="43"/>
      <c r="D76" s="43"/>
      <c r="E76" s="43"/>
      <c r="F76" s="43"/>
      <c r="G76" s="43"/>
      <c r="H76" s="14">
        <v>18</v>
      </c>
      <c r="I76" s="14">
        <v>678</v>
      </c>
      <c r="J76" s="14">
        <f t="shared" si="13"/>
        <v>312</v>
      </c>
      <c r="K76" s="16">
        <f t="shared" si="14"/>
        <v>3807648</v>
      </c>
      <c r="L76" s="15"/>
      <c r="M76" s="15"/>
      <c r="N76" s="15"/>
      <c r="O76" s="15"/>
      <c r="P76" s="15"/>
      <c r="Q76" s="15"/>
      <c r="R76" s="15"/>
      <c r="S76" s="15"/>
      <c r="T76" s="15"/>
      <c r="U76" s="15"/>
      <c r="V76" s="15"/>
      <c r="W76" s="15"/>
      <c r="X76" s="15"/>
      <c r="Y76" s="15"/>
      <c r="Z76" s="15"/>
    </row>
    <row r="77" spans="1:26" ht="31.5" x14ac:dyDescent="0.25">
      <c r="A77" s="90" t="s">
        <v>2561</v>
      </c>
      <c r="B77" s="41"/>
      <c r="C77" s="43"/>
      <c r="D77" s="43"/>
      <c r="E77" s="43"/>
      <c r="F77" s="43"/>
      <c r="G77" s="43"/>
      <c r="H77" s="14">
        <v>7</v>
      </c>
      <c r="I77" s="14">
        <v>639</v>
      </c>
      <c r="J77" s="14">
        <f t="shared" si="13"/>
        <v>312</v>
      </c>
      <c r="K77" s="16">
        <f t="shared" si="14"/>
        <v>1395576</v>
      </c>
      <c r="L77" s="15"/>
      <c r="M77" s="15"/>
      <c r="N77" s="15"/>
      <c r="O77" s="15"/>
      <c r="P77" s="15"/>
      <c r="Q77" s="15"/>
      <c r="R77" s="15"/>
      <c r="S77" s="15"/>
      <c r="T77" s="15"/>
      <c r="U77" s="15"/>
      <c r="V77" s="15"/>
      <c r="W77" s="15"/>
      <c r="X77" s="15"/>
      <c r="Y77" s="15"/>
      <c r="Z77" s="15"/>
    </row>
    <row r="78" spans="1:26" ht="15.75" customHeight="1" x14ac:dyDescent="0.25">
      <c r="A78" s="74" t="s">
        <v>462</v>
      </c>
      <c r="B78" s="41"/>
      <c r="C78" s="43"/>
      <c r="D78" s="43"/>
      <c r="E78" s="43"/>
      <c r="F78" s="43"/>
      <c r="G78" s="43"/>
      <c r="H78" s="14">
        <v>8</v>
      </c>
      <c r="I78" s="14">
        <v>678</v>
      </c>
      <c r="J78" s="14">
        <f t="shared" si="13"/>
        <v>312</v>
      </c>
      <c r="K78" s="16">
        <f t="shared" si="14"/>
        <v>1692288</v>
      </c>
      <c r="L78" s="15"/>
      <c r="M78" s="15"/>
      <c r="N78" s="15"/>
      <c r="O78" s="15"/>
      <c r="P78" s="15"/>
      <c r="Q78" s="15"/>
      <c r="R78" s="15"/>
      <c r="S78" s="15"/>
      <c r="T78" s="15"/>
      <c r="U78" s="15"/>
      <c r="V78" s="15"/>
      <c r="W78" s="15"/>
      <c r="X78" s="15"/>
      <c r="Y78" s="15"/>
      <c r="Z78" s="15"/>
    </row>
    <row r="79" spans="1:26" ht="15.75" customHeight="1" x14ac:dyDescent="0.25">
      <c r="A79" s="412" t="s">
        <v>2562</v>
      </c>
      <c r="B79" s="41"/>
      <c r="C79" s="43"/>
      <c r="D79" s="43"/>
      <c r="E79" s="43"/>
      <c r="F79" s="43"/>
      <c r="G79" s="43"/>
      <c r="H79" s="14"/>
      <c r="I79" s="14"/>
      <c r="J79" s="14"/>
      <c r="K79" s="16"/>
      <c r="L79" s="15"/>
      <c r="M79" s="15"/>
      <c r="N79" s="15"/>
      <c r="O79" s="15"/>
      <c r="P79" s="15"/>
      <c r="Q79" s="15"/>
      <c r="R79" s="15"/>
      <c r="S79" s="15"/>
      <c r="T79" s="15"/>
      <c r="U79" s="15"/>
      <c r="V79" s="15"/>
      <c r="W79" s="15"/>
      <c r="X79" s="15"/>
      <c r="Y79" s="15"/>
      <c r="Z79" s="15"/>
    </row>
    <row r="80" spans="1:26" ht="31.5" x14ac:dyDescent="0.25">
      <c r="A80" s="90" t="s">
        <v>2531</v>
      </c>
      <c r="B80" s="41"/>
      <c r="C80" s="43"/>
      <c r="D80" s="43"/>
      <c r="E80" s="43"/>
      <c r="F80" s="43"/>
      <c r="G80" s="43"/>
      <c r="H80" s="14">
        <v>2</v>
      </c>
      <c r="I80" s="14">
        <v>678</v>
      </c>
      <c r="J80" s="14">
        <f t="shared" ref="J80:J82" si="15">26*12</f>
        <v>312</v>
      </c>
      <c r="K80" s="16">
        <f t="shared" ref="K80:K82" si="16">J80*I80*H80</f>
        <v>423072</v>
      </c>
      <c r="L80" s="15"/>
      <c r="M80" s="15"/>
      <c r="N80" s="15"/>
      <c r="O80" s="15"/>
      <c r="P80" s="15"/>
      <c r="Q80" s="15"/>
      <c r="R80" s="15"/>
      <c r="S80" s="15"/>
      <c r="T80" s="15"/>
      <c r="U80" s="15"/>
      <c r="V80" s="15"/>
      <c r="W80" s="15"/>
      <c r="X80" s="15"/>
      <c r="Y80" s="15"/>
      <c r="Z80" s="15"/>
    </row>
    <row r="81" spans="1:26" ht="31.5" x14ac:dyDescent="0.25">
      <c r="A81" s="90" t="s">
        <v>2530</v>
      </c>
      <c r="B81" s="41"/>
      <c r="C81" s="43"/>
      <c r="D81" s="43"/>
      <c r="E81" s="43"/>
      <c r="F81" s="43"/>
      <c r="G81" s="43"/>
      <c r="H81" s="14">
        <v>1</v>
      </c>
      <c r="I81" s="14">
        <v>639</v>
      </c>
      <c r="J81" s="14">
        <f t="shared" si="15"/>
        <v>312</v>
      </c>
      <c r="K81" s="16">
        <f t="shared" si="16"/>
        <v>199368</v>
      </c>
      <c r="L81" s="15"/>
      <c r="M81" s="15"/>
      <c r="N81" s="15"/>
      <c r="O81" s="15"/>
      <c r="P81" s="15"/>
      <c r="Q81" s="15"/>
      <c r="R81" s="15"/>
      <c r="S81" s="15"/>
      <c r="T81" s="15"/>
      <c r="U81" s="15"/>
      <c r="V81" s="15"/>
      <c r="W81" s="15"/>
      <c r="X81" s="15"/>
      <c r="Y81" s="15"/>
      <c r="Z81" s="15"/>
    </row>
    <row r="82" spans="1:26" ht="15.75" customHeight="1" x14ac:dyDescent="0.25">
      <c r="A82" s="74" t="s">
        <v>2550</v>
      </c>
      <c r="B82" s="41"/>
      <c r="C82" s="43"/>
      <c r="D82" s="43"/>
      <c r="E82" s="43"/>
      <c r="F82" s="43"/>
      <c r="G82" s="43"/>
      <c r="H82" s="14">
        <v>1</v>
      </c>
      <c r="I82" s="14">
        <v>678</v>
      </c>
      <c r="J82" s="14">
        <f t="shared" si="15"/>
        <v>312</v>
      </c>
      <c r="K82" s="16">
        <f t="shared" si="16"/>
        <v>211536</v>
      </c>
      <c r="L82" s="15"/>
      <c r="M82" s="15"/>
      <c r="N82" s="15"/>
      <c r="O82" s="15"/>
      <c r="P82" s="15"/>
      <c r="Q82" s="15"/>
      <c r="R82" s="15"/>
      <c r="S82" s="15"/>
      <c r="T82" s="15"/>
      <c r="U82" s="15"/>
      <c r="V82" s="15"/>
      <c r="W82" s="15"/>
      <c r="X82" s="15"/>
      <c r="Y82" s="15"/>
      <c r="Z82" s="15"/>
    </row>
    <row r="83" spans="1:26" ht="15.75" customHeight="1" x14ac:dyDescent="0.25">
      <c r="A83" s="412" t="s">
        <v>2563</v>
      </c>
      <c r="B83" s="41"/>
      <c r="C83" s="43"/>
      <c r="D83" s="43"/>
      <c r="E83" s="43"/>
      <c r="F83" s="43"/>
      <c r="G83" s="43"/>
      <c r="H83" s="14"/>
      <c r="I83" s="14"/>
      <c r="J83" s="14"/>
      <c r="K83" s="16"/>
      <c r="L83" s="15"/>
      <c r="M83" s="15"/>
      <c r="N83" s="15"/>
      <c r="O83" s="15"/>
      <c r="P83" s="15"/>
      <c r="Q83" s="15"/>
      <c r="R83" s="15"/>
      <c r="S83" s="15"/>
      <c r="T83" s="15"/>
      <c r="U83" s="15"/>
      <c r="V83" s="15"/>
      <c r="W83" s="15"/>
      <c r="X83" s="15"/>
      <c r="Y83" s="15"/>
      <c r="Z83" s="15"/>
    </row>
    <row r="84" spans="1:26" ht="31.5" x14ac:dyDescent="0.25">
      <c r="A84" s="90" t="s">
        <v>2564</v>
      </c>
      <c r="B84" s="41"/>
      <c r="C84" s="43"/>
      <c r="D84" s="43"/>
      <c r="E84" s="43"/>
      <c r="F84" s="43"/>
      <c r="G84" s="43"/>
      <c r="H84" s="14">
        <v>1</v>
      </c>
      <c r="I84" s="14">
        <v>765</v>
      </c>
      <c r="J84" s="14">
        <f t="shared" ref="J84:J88" si="17">26*12</f>
        <v>312</v>
      </c>
      <c r="K84" s="16">
        <f t="shared" ref="K84:K88" si="18">J84*I84*H84</f>
        <v>238680</v>
      </c>
      <c r="L84" s="15"/>
      <c r="M84" s="15"/>
      <c r="N84" s="15"/>
      <c r="O84" s="15"/>
      <c r="P84" s="15"/>
      <c r="Q84" s="15"/>
      <c r="R84" s="15"/>
      <c r="S84" s="15"/>
      <c r="T84" s="15"/>
      <c r="U84" s="15"/>
      <c r="V84" s="15"/>
      <c r="W84" s="15"/>
      <c r="X84" s="15"/>
      <c r="Y84" s="15"/>
      <c r="Z84" s="15"/>
    </row>
    <row r="85" spans="1:26" ht="15.75" customHeight="1" x14ac:dyDescent="0.25">
      <c r="A85" s="74" t="s">
        <v>2554</v>
      </c>
      <c r="B85" s="41"/>
      <c r="C85" s="43"/>
      <c r="D85" s="43"/>
      <c r="E85" s="43"/>
      <c r="F85" s="43"/>
      <c r="G85" s="43"/>
      <c r="H85" s="14">
        <v>1</v>
      </c>
      <c r="I85" s="14">
        <v>765</v>
      </c>
      <c r="J85" s="14">
        <f t="shared" si="17"/>
        <v>312</v>
      </c>
      <c r="K85" s="16">
        <f t="shared" si="18"/>
        <v>238680</v>
      </c>
      <c r="L85" s="15"/>
      <c r="M85" s="15"/>
      <c r="N85" s="15"/>
      <c r="O85" s="15"/>
      <c r="P85" s="15"/>
      <c r="Q85" s="15"/>
      <c r="R85" s="15"/>
      <c r="S85" s="15"/>
      <c r="T85" s="15"/>
      <c r="U85" s="15"/>
      <c r="V85" s="15"/>
      <c r="W85" s="15"/>
      <c r="X85" s="15"/>
      <c r="Y85" s="15"/>
      <c r="Z85" s="15"/>
    </row>
    <row r="86" spans="1:26" ht="31.5" x14ac:dyDescent="0.25">
      <c r="A86" s="90" t="s">
        <v>2565</v>
      </c>
      <c r="B86" s="41"/>
      <c r="C86" s="43"/>
      <c r="D86" s="43"/>
      <c r="E86" s="43"/>
      <c r="F86" s="43"/>
      <c r="G86" s="43"/>
      <c r="H86" s="14">
        <v>17</v>
      </c>
      <c r="I86" s="14">
        <v>678</v>
      </c>
      <c r="J86" s="14">
        <f t="shared" si="17"/>
        <v>312</v>
      </c>
      <c r="K86" s="16">
        <f t="shared" si="18"/>
        <v>3596112</v>
      </c>
      <c r="L86" s="15"/>
      <c r="M86" s="15"/>
      <c r="N86" s="15"/>
      <c r="O86" s="15"/>
      <c r="P86" s="15"/>
      <c r="Q86" s="15"/>
      <c r="R86" s="15"/>
      <c r="S86" s="15"/>
      <c r="T86" s="15"/>
      <c r="U86" s="15"/>
      <c r="V86" s="15"/>
      <c r="W86" s="15"/>
      <c r="X86" s="15"/>
      <c r="Y86" s="15"/>
      <c r="Z86" s="15"/>
    </row>
    <row r="87" spans="1:26" ht="31.5" x14ac:dyDescent="0.25">
      <c r="A87" s="90" t="s">
        <v>2566</v>
      </c>
      <c r="B87" s="41"/>
      <c r="C87" s="43"/>
      <c r="D87" s="43"/>
      <c r="E87" s="43"/>
      <c r="F87" s="43"/>
      <c r="G87" s="43"/>
      <c r="H87" s="14">
        <v>4</v>
      </c>
      <c r="I87" s="14">
        <v>639</v>
      </c>
      <c r="J87" s="14">
        <f t="shared" si="17"/>
        <v>312</v>
      </c>
      <c r="K87" s="16">
        <f t="shared" si="18"/>
        <v>797472</v>
      </c>
      <c r="L87" s="15"/>
      <c r="M87" s="15"/>
      <c r="N87" s="15"/>
      <c r="O87" s="15"/>
      <c r="P87" s="15"/>
      <c r="Q87" s="15"/>
      <c r="R87" s="15"/>
      <c r="S87" s="15"/>
      <c r="T87" s="15"/>
      <c r="U87" s="15"/>
      <c r="V87" s="15"/>
      <c r="W87" s="15"/>
      <c r="X87" s="15"/>
      <c r="Y87" s="15"/>
      <c r="Z87" s="15"/>
    </row>
    <row r="88" spans="1:26" ht="15.75" customHeight="1" x14ac:dyDescent="0.25">
      <c r="A88" s="74" t="s">
        <v>462</v>
      </c>
      <c r="B88" s="41"/>
      <c r="C88" s="43"/>
      <c r="D88" s="43"/>
      <c r="E88" s="43"/>
      <c r="F88" s="43"/>
      <c r="G88" s="43"/>
      <c r="H88" s="14">
        <v>8</v>
      </c>
      <c r="I88" s="14">
        <v>678</v>
      </c>
      <c r="J88" s="14">
        <f t="shared" si="17"/>
        <v>312</v>
      </c>
      <c r="K88" s="16">
        <f t="shared" si="18"/>
        <v>1692288</v>
      </c>
      <c r="L88" s="15"/>
      <c r="M88" s="15"/>
      <c r="N88" s="15"/>
      <c r="O88" s="15"/>
      <c r="P88" s="15"/>
      <c r="Q88" s="15"/>
      <c r="R88" s="15"/>
      <c r="S88" s="15"/>
      <c r="T88" s="15"/>
      <c r="U88" s="15"/>
      <c r="V88" s="15"/>
      <c r="W88" s="15"/>
      <c r="X88" s="15"/>
      <c r="Y88" s="15"/>
      <c r="Z88" s="15"/>
    </row>
    <row r="89" spans="1:26" ht="15.75" customHeight="1" x14ac:dyDescent="0.25">
      <c r="A89" s="42" t="s">
        <v>466</v>
      </c>
      <c r="B89" s="41"/>
      <c r="C89" s="54">
        <f>SUM(C40:C53)</f>
        <v>19052685.219999999</v>
      </c>
      <c r="D89" s="54">
        <f>SUM(D37:D53)</f>
        <v>8436383.4000000004</v>
      </c>
      <c r="E89" s="54">
        <f t="shared" ref="E89:F89" si="19">SUM(E40:E53)</f>
        <v>13149466.6</v>
      </c>
      <c r="F89" s="54">
        <f t="shared" si="19"/>
        <v>21585850</v>
      </c>
      <c r="G89" s="54">
        <f>SUM(G40:G88)</f>
        <v>37863700</v>
      </c>
      <c r="H89" s="14"/>
      <c r="I89" s="14"/>
      <c r="J89" s="14"/>
      <c r="K89" s="16"/>
      <c r="L89" s="15"/>
      <c r="M89" s="15"/>
      <c r="N89" s="15"/>
      <c r="O89" s="15"/>
      <c r="P89" s="15"/>
      <c r="Q89" s="15"/>
      <c r="R89" s="15"/>
      <c r="S89" s="15"/>
      <c r="T89" s="15"/>
      <c r="U89" s="15"/>
      <c r="V89" s="15"/>
      <c r="W89" s="15"/>
      <c r="X89" s="15"/>
      <c r="Y89" s="15"/>
      <c r="Z89" s="15"/>
    </row>
    <row r="90" spans="1:26" ht="15.75" customHeight="1" x14ac:dyDescent="0.25">
      <c r="A90" s="17"/>
      <c r="B90" s="41"/>
      <c r="C90" s="55"/>
      <c r="D90" s="55"/>
      <c r="E90" s="55"/>
      <c r="F90" s="55"/>
      <c r="G90" s="55"/>
      <c r="H90" s="14"/>
      <c r="I90" s="14"/>
      <c r="J90" s="14"/>
      <c r="K90" s="16"/>
      <c r="L90" s="15"/>
      <c r="M90" s="15"/>
      <c r="N90" s="15"/>
      <c r="O90" s="15"/>
      <c r="P90" s="15"/>
      <c r="Q90" s="15"/>
      <c r="R90" s="15"/>
      <c r="S90" s="15"/>
      <c r="T90" s="15"/>
      <c r="U90" s="15"/>
      <c r="V90" s="15"/>
      <c r="W90" s="15"/>
      <c r="X90" s="15"/>
      <c r="Y90" s="15"/>
      <c r="Z90" s="15"/>
    </row>
    <row r="91" spans="1:26" ht="15.75" customHeight="1" x14ac:dyDescent="0.25">
      <c r="A91" s="42" t="s">
        <v>467</v>
      </c>
      <c r="B91" s="49"/>
      <c r="C91" s="45">
        <f t="shared" ref="C91:G91" si="20">C36+C89</f>
        <v>24901620.899999999</v>
      </c>
      <c r="D91" s="43">
        <f t="shared" si="20"/>
        <v>10997854.98</v>
      </c>
      <c r="E91" s="43">
        <f t="shared" si="20"/>
        <v>16689050.02</v>
      </c>
      <c r="F91" s="45">
        <f t="shared" si="20"/>
        <v>27686905</v>
      </c>
      <c r="G91" s="45">
        <f t="shared" si="20"/>
        <v>44100807</v>
      </c>
      <c r="H91" s="14"/>
      <c r="I91" s="14"/>
      <c r="J91" s="14"/>
      <c r="K91" s="16"/>
      <c r="L91" s="15"/>
      <c r="M91" s="15"/>
      <c r="N91" s="15"/>
      <c r="O91" s="15"/>
      <c r="P91" s="15"/>
      <c r="Q91" s="15"/>
      <c r="R91" s="15"/>
      <c r="S91" s="15"/>
      <c r="T91" s="15"/>
      <c r="U91" s="15"/>
      <c r="V91" s="15"/>
      <c r="W91" s="15"/>
      <c r="X91" s="15"/>
      <c r="Y91" s="15"/>
      <c r="Z91" s="15"/>
    </row>
    <row r="92" spans="1:26" ht="15.75" customHeight="1" x14ac:dyDescent="0.25">
      <c r="A92" s="42"/>
      <c r="B92" s="20"/>
      <c r="C92" s="56"/>
      <c r="D92" s="43"/>
      <c r="E92" s="43"/>
      <c r="F92" s="26"/>
      <c r="G92" s="43"/>
      <c r="H92" s="14"/>
      <c r="I92" s="14"/>
      <c r="J92" s="14"/>
      <c r="K92" s="16"/>
      <c r="L92" s="15"/>
      <c r="M92" s="15"/>
      <c r="N92" s="15"/>
      <c r="O92" s="15"/>
      <c r="P92" s="15"/>
      <c r="Q92" s="15"/>
      <c r="R92" s="15"/>
      <c r="S92" s="15"/>
      <c r="T92" s="15"/>
      <c r="U92" s="15"/>
      <c r="V92" s="15"/>
      <c r="W92" s="15"/>
      <c r="X92" s="15"/>
      <c r="Y92" s="15"/>
      <c r="Z92" s="15"/>
    </row>
    <row r="93" spans="1:26" ht="15.75" customHeight="1" x14ac:dyDescent="0.25">
      <c r="A93" s="160" t="s">
        <v>487</v>
      </c>
      <c r="B93" s="133" t="s">
        <v>488</v>
      </c>
      <c r="C93" s="413">
        <f t="shared" ref="C93:G93" si="21">C91</f>
        <v>24901620.899999999</v>
      </c>
      <c r="D93" s="413">
        <f t="shared" si="21"/>
        <v>10997854.98</v>
      </c>
      <c r="E93" s="413">
        <f t="shared" si="21"/>
        <v>16689050.02</v>
      </c>
      <c r="F93" s="413">
        <f t="shared" si="21"/>
        <v>27686905</v>
      </c>
      <c r="G93" s="413">
        <f t="shared" si="21"/>
        <v>44100807</v>
      </c>
      <c r="H93" s="7"/>
      <c r="I93" s="7"/>
      <c r="J93" s="7"/>
      <c r="K93" s="40"/>
    </row>
    <row r="94" spans="1:26" ht="15.75" customHeight="1" x14ac:dyDescent="0.25">
      <c r="A94" s="24"/>
      <c r="B94" s="174"/>
      <c r="C94" s="24"/>
      <c r="D94" s="24"/>
      <c r="E94" s="24"/>
      <c r="H94" s="7"/>
      <c r="I94" s="7"/>
      <c r="J94" s="7"/>
      <c r="K94" s="40"/>
    </row>
    <row r="95" spans="1:26" ht="15.75" customHeight="1" x14ac:dyDescent="0.25">
      <c r="A95" s="24"/>
      <c r="B95" s="174"/>
      <c r="C95" s="24"/>
      <c r="D95" s="24"/>
      <c r="E95" s="24"/>
      <c r="H95" s="7"/>
      <c r="I95" s="7"/>
      <c r="J95" s="7"/>
      <c r="K95" s="40"/>
    </row>
    <row r="96" spans="1:26" ht="15.75" customHeight="1" x14ac:dyDescent="0.25">
      <c r="A96" s="9"/>
      <c r="B96" s="104"/>
      <c r="C96" s="105"/>
      <c r="D96" s="105"/>
      <c r="E96" s="105"/>
      <c r="F96" s="10"/>
      <c r="G96" s="180"/>
      <c r="H96" s="7"/>
      <c r="I96" s="7"/>
      <c r="J96" s="7"/>
      <c r="K96" s="40"/>
    </row>
    <row r="97" spans="1:11" ht="15.75" customHeight="1" x14ac:dyDescent="0.25">
      <c r="A97" s="17" t="s">
        <v>489</v>
      </c>
      <c r="B97" s="25"/>
      <c r="C97" s="24"/>
      <c r="D97" s="24"/>
      <c r="E97" s="24"/>
      <c r="F97" s="15"/>
      <c r="G97" s="181"/>
      <c r="H97" s="7"/>
      <c r="I97" s="7"/>
      <c r="J97" s="7"/>
      <c r="K97" s="40"/>
    </row>
    <row r="98" spans="1:11" ht="15.75" customHeight="1" x14ac:dyDescent="0.25">
      <c r="A98" s="17"/>
      <c r="B98" s="25"/>
      <c r="C98" s="24"/>
      <c r="D98" s="24"/>
      <c r="E98" s="24"/>
      <c r="F98" s="15"/>
      <c r="G98" s="181"/>
      <c r="H98" s="7"/>
      <c r="I98" s="7"/>
      <c r="J98" s="7"/>
      <c r="K98" s="40"/>
    </row>
    <row r="99" spans="1:11" ht="15.75" customHeight="1" x14ac:dyDescent="0.25">
      <c r="A99" s="225" t="s">
        <v>2567</v>
      </c>
      <c r="B99" s="25"/>
      <c r="C99" s="26"/>
      <c r="D99" s="26"/>
      <c r="E99" s="26"/>
      <c r="F99" s="14"/>
      <c r="G99" s="181"/>
      <c r="H99" s="7"/>
      <c r="I99" s="7"/>
      <c r="J99" s="7"/>
      <c r="K99" s="40"/>
    </row>
    <row r="100" spans="1:11" ht="15.75" customHeight="1" x14ac:dyDescent="0.25">
      <c r="A100" s="108"/>
      <c r="B100" s="25"/>
      <c r="C100" s="26"/>
      <c r="D100" s="26"/>
      <c r="E100" s="26"/>
      <c r="F100" s="14"/>
      <c r="G100" s="181"/>
      <c r="H100" s="7"/>
      <c r="I100" s="7"/>
      <c r="J100" s="7"/>
      <c r="K100" s="40"/>
    </row>
    <row r="101" spans="1:11" ht="15.75" customHeight="1" x14ac:dyDescent="0.25">
      <c r="A101" s="865" t="s">
        <v>352</v>
      </c>
      <c r="B101" s="866"/>
      <c r="C101" s="866"/>
      <c r="D101" s="866"/>
      <c r="E101" s="866"/>
      <c r="F101" s="866"/>
      <c r="G101" s="867"/>
      <c r="H101" s="7"/>
      <c r="I101" s="7"/>
      <c r="J101" s="7"/>
      <c r="K101" s="40"/>
    </row>
    <row r="102" spans="1:11" ht="15.75" customHeight="1" x14ac:dyDescent="0.25">
      <c r="A102" s="868" t="s">
        <v>1194</v>
      </c>
      <c r="B102" s="857" t="s">
        <v>354</v>
      </c>
      <c r="C102" s="870" t="s">
        <v>355</v>
      </c>
      <c r="D102" s="872" t="s">
        <v>356</v>
      </c>
      <c r="E102" s="873"/>
      <c r="F102" s="874"/>
      <c r="G102" s="857" t="s">
        <v>357</v>
      </c>
      <c r="H102" s="7"/>
      <c r="I102" s="7"/>
      <c r="J102" s="7"/>
      <c r="K102" s="40"/>
    </row>
    <row r="103" spans="1:11" ht="15.75" customHeight="1" x14ac:dyDescent="0.25">
      <c r="A103" s="858"/>
      <c r="B103" s="858"/>
      <c r="C103" s="871"/>
      <c r="D103" s="28" t="s">
        <v>358</v>
      </c>
      <c r="E103" s="29" t="s">
        <v>359</v>
      </c>
      <c r="F103" s="875" t="s">
        <v>360</v>
      </c>
      <c r="G103" s="858"/>
      <c r="H103" s="7"/>
      <c r="I103" s="7"/>
      <c r="J103" s="7"/>
      <c r="K103" s="40"/>
    </row>
    <row r="104" spans="1:11" ht="15.75" customHeight="1" x14ac:dyDescent="0.25">
      <c r="A104" s="858"/>
      <c r="B104" s="858"/>
      <c r="C104" s="30" t="s">
        <v>361</v>
      </c>
      <c r="D104" s="31" t="s">
        <v>361</v>
      </c>
      <c r="E104" s="32" t="s">
        <v>362</v>
      </c>
      <c r="F104" s="860"/>
      <c r="G104" s="442" t="s">
        <v>2669</v>
      </c>
      <c r="H104" s="7"/>
      <c r="I104" s="7"/>
      <c r="J104" s="7"/>
      <c r="K104" s="40"/>
    </row>
    <row r="105" spans="1:11" ht="15.75" customHeight="1" x14ac:dyDescent="0.25">
      <c r="A105" s="869"/>
      <c r="B105" s="869"/>
      <c r="C105" s="33">
        <v>2024</v>
      </c>
      <c r="D105" s="34">
        <v>2025</v>
      </c>
      <c r="E105" s="35">
        <v>2025</v>
      </c>
      <c r="F105" s="34">
        <v>2025</v>
      </c>
      <c r="G105" s="36" t="s">
        <v>2668</v>
      </c>
      <c r="H105" s="7"/>
      <c r="I105" s="7"/>
      <c r="J105" s="7"/>
      <c r="K105" s="40"/>
    </row>
    <row r="106" spans="1:11" ht="15.75" customHeight="1" x14ac:dyDescent="0.25">
      <c r="A106" s="17" t="s">
        <v>2568</v>
      </c>
      <c r="B106" s="41"/>
      <c r="C106" s="43"/>
      <c r="D106" s="43"/>
      <c r="E106" s="43"/>
      <c r="F106" s="43"/>
      <c r="G106" s="43"/>
      <c r="H106" s="7"/>
      <c r="I106" s="7"/>
      <c r="J106" s="7"/>
      <c r="K106" s="40"/>
    </row>
    <row r="107" spans="1:11" ht="15.75" customHeight="1" x14ac:dyDescent="0.25">
      <c r="A107" s="410" t="s">
        <v>541</v>
      </c>
      <c r="B107" s="191"/>
      <c r="C107" s="66"/>
      <c r="D107" s="66"/>
      <c r="E107" s="66"/>
      <c r="F107" s="66"/>
      <c r="G107" s="66"/>
      <c r="H107" s="7"/>
      <c r="I107" s="7"/>
      <c r="J107" s="7"/>
      <c r="K107" s="40"/>
    </row>
    <row r="108" spans="1:11" ht="15.75" customHeight="1" x14ac:dyDescent="0.25">
      <c r="A108" s="411" t="s">
        <v>533</v>
      </c>
      <c r="B108" s="191" t="s">
        <v>41</v>
      </c>
      <c r="C108" s="66">
        <v>0</v>
      </c>
      <c r="D108" s="66">
        <v>0</v>
      </c>
      <c r="E108" s="66">
        <v>0</v>
      </c>
      <c r="F108" s="66">
        <v>0</v>
      </c>
      <c r="G108" s="66">
        <v>64240</v>
      </c>
      <c r="H108" s="7"/>
      <c r="I108" s="7"/>
      <c r="J108" s="7"/>
      <c r="K108" s="40"/>
    </row>
    <row r="109" spans="1:11" ht="15.75" customHeight="1" x14ac:dyDescent="0.25">
      <c r="A109" s="125" t="s">
        <v>2569</v>
      </c>
      <c r="B109" s="191"/>
      <c r="C109" s="66"/>
      <c r="D109" s="66"/>
      <c r="E109" s="66"/>
      <c r="F109" s="66"/>
      <c r="G109" s="66"/>
      <c r="H109" s="7"/>
      <c r="I109" s="7"/>
      <c r="J109" s="7"/>
      <c r="K109" s="40"/>
    </row>
    <row r="110" spans="1:11" ht="15.75" customHeight="1" x14ac:dyDescent="0.25">
      <c r="A110" s="42" t="s">
        <v>570</v>
      </c>
      <c r="B110" s="41"/>
      <c r="C110" s="43"/>
      <c r="D110" s="43"/>
      <c r="E110" s="43"/>
      <c r="F110" s="43"/>
      <c r="G110" s="43"/>
      <c r="H110" s="7"/>
      <c r="I110" s="7"/>
      <c r="J110" s="7"/>
      <c r="K110" s="40"/>
    </row>
    <row r="111" spans="1:11" ht="15.75" customHeight="1" x14ac:dyDescent="0.25">
      <c r="A111" s="411" t="s">
        <v>1051</v>
      </c>
      <c r="B111" s="191" t="s">
        <v>45</v>
      </c>
      <c r="C111" s="66">
        <v>0</v>
      </c>
      <c r="D111" s="66">
        <v>0</v>
      </c>
      <c r="E111" s="66">
        <v>0</v>
      </c>
      <c r="F111" s="66">
        <v>0</v>
      </c>
      <c r="G111" s="66">
        <v>3440000</v>
      </c>
      <c r="H111" s="7"/>
      <c r="I111" s="7"/>
      <c r="J111" s="7"/>
      <c r="K111" s="40"/>
    </row>
    <row r="112" spans="1:11" ht="15.75" customHeight="1" x14ac:dyDescent="0.25">
      <c r="A112" s="125" t="s">
        <v>2570</v>
      </c>
      <c r="B112" s="330"/>
      <c r="C112" s="66"/>
      <c r="D112" s="75"/>
      <c r="E112" s="66"/>
      <c r="F112" s="75"/>
      <c r="G112" s="66"/>
      <c r="H112" s="7"/>
      <c r="I112" s="7"/>
      <c r="J112" s="7"/>
      <c r="K112" s="40"/>
    </row>
    <row r="113" spans="1:11" ht="15.75" customHeight="1" x14ac:dyDescent="0.25">
      <c r="A113" s="42" t="s">
        <v>2504</v>
      </c>
      <c r="B113" s="41"/>
      <c r="C113" s="54">
        <f t="shared" ref="C113:G113" si="22">SUM(C108:C112)</f>
        <v>0</v>
      </c>
      <c r="D113" s="54">
        <f t="shared" si="22"/>
        <v>0</v>
      </c>
      <c r="E113" s="54">
        <f t="shared" si="22"/>
        <v>0</v>
      </c>
      <c r="F113" s="54">
        <f t="shared" si="22"/>
        <v>0</v>
      </c>
      <c r="G113" s="54">
        <f t="shared" si="22"/>
        <v>3504240</v>
      </c>
      <c r="H113" s="7"/>
      <c r="I113" s="7"/>
      <c r="J113" s="7"/>
      <c r="K113" s="40"/>
    </row>
    <row r="114" spans="1:11" ht="15.75" customHeight="1" x14ac:dyDescent="0.25">
      <c r="A114" s="408"/>
      <c r="B114" s="408"/>
      <c r="C114" s="408"/>
      <c r="D114" s="26"/>
      <c r="E114" s="55"/>
      <c r="F114" s="408"/>
      <c r="G114" s="408"/>
      <c r="H114" s="7"/>
      <c r="I114" s="7"/>
      <c r="J114" s="7"/>
      <c r="K114" s="40"/>
    </row>
    <row r="115" spans="1:11" ht="15.75" customHeight="1" x14ac:dyDescent="0.25">
      <c r="A115" s="50" t="s">
        <v>487</v>
      </c>
      <c r="B115" s="51"/>
      <c r="C115" s="54">
        <f t="shared" ref="C115:G115" si="23">C113</f>
        <v>0</v>
      </c>
      <c r="D115" s="54">
        <f t="shared" si="23"/>
        <v>0</v>
      </c>
      <c r="E115" s="54">
        <f t="shared" si="23"/>
        <v>0</v>
      </c>
      <c r="F115" s="54">
        <f t="shared" si="23"/>
        <v>0</v>
      </c>
      <c r="G115" s="54">
        <f t="shared" si="23"/>
        <v>3504240</v>
      </c>
      <c r="H115" s="7"/>
      <c r="I115" s="7"/>
      <c r="J115" s="7"/>
      <c r="K115" s="40"/>
    </row>
    <row r="116" spans="1:11" ht="15.75" customHeight="1" x14ac:dyDescent="0.25">
      <c r="A116" s="24"/>
      <c r="B116" s="25"/>
      <c r="C116" s="24"/>
      <c r="D116" s="24"/>
      <c r="E116" s="24"/>
      <c r="F116" s="114"/>
      <c r="G116" s="14"/>
      <c r="H116" s="7"/>
      <c r="I116" s="7"/>
      <c r="J116" s="7"/>
      <c r="K116" s="40"/>
    </row>
    <row r="117" spans="1:11" ht="15.75" customHeight="1" x14ac:dyDescent="0.25">
      <c r="A117" s="24"/>
      <c r="B117" s="174"/>
      <c r="C117" s="24"/>
      <c r="D117" s="24"/>
      <c r="E117" s="24"/>
      <c r="H117" s="7"/>
      <c r="I117" s="7"/>
      <c r="J117" s="7"/>
      <c r="K117" s="40"/>
    </row>
    <row r="118" spans="1:11" ht="15.75" customHeight="1" x14ac:dyDescent="0.25">
      <c r="A118" s="24"/>
      <c r="B118" s="174"/>
      <c r="C118" s="24"/>
      <c r="D118" s="24"/>
      <c r="E118" s="24"/>
      <c r="H118" s="7"/>
      <c r="I118" s="7"/>
      <c r="J118" s="7"/>
      <c r="K118" s="40"/>
    </row>
    <row r="119" spans="1:11" ht="15.75" customHeight="1" x14ac:dyDescent="0.25">
      <c r="A119" s="24"/>
      <c r="B119" s="174"/>
      <c r="C119" s="24"/>
      <c r="D119" s="24"/>
      <c r="E119" s="24"/>
      <c r="H119" s="7"/>
      <c r="I119" s="7"/>
      <c r="J119" s="7"/>
      <c r="K119" s="40"/>
    </row>
    <row r="120" spans="1:11" ht="15.75" customHeight="1" x14ac:dyDescent="0.25">
      <c r="A120" s="24"/>
      <c r="B120" s="174"/>
      <c r="C120" s="24"/>
      <c r="D120" s="24"/>
      <c r="E120" s="24"/>
      <c r="H120" s="7"/>
      <c r="I120" s="7"/>
      <c r="J120" s="7"/>
      <c r="K120" s="40"/>
    </row>
    <row r="121" spans="1:11" ht="15.75" customHeight="1" x14ac:dyDescent="0.25">
      <c r="A121" s="24"/>
      <c r="B121" s="174"/>
      <c r="C121" s="24"/>
      <c r="D121" s="24"/>
      <c r="E121" s="24"/>
      <c r="H121" s="7"/>
      <c r="I121" s="7"/>
      <c r="J121" s="7"/>
      <c r="K121" s="40"/>
    </row>
    <row r="122" spans="1:11" ht="15.75" customHeight="1" x14ac:dyDescent="0.25">
      <c r="A122" s="24"/>
      <c r="B122" s="174"/>
      <c r="C122" s="24"/>
      <c r="D122" s="24"/>
      <c r="E122" s="24"/>
      <c r="H122" s="7"/>
      <c r="I122" s="7"/>
      <c r="J122" s="7"/>
      <c r="K122" s="40"/>
    </row>
    <row r="123" spans="1:11" ht="15.75" customHeight="1" x14ac:dyDescent="0.25">
      <c r="A123" s="24"/>
      <c r="B123" s="174"/>
      <c r="C123" s="24"/>
      <c r="D123" s="24"/>
      <c r="E123" s="24"/>
      <c r="H123" s="7"/>
      <c r="I123" s="7"/>
      <c r="J123" s="7"/>
      <c r="K123" s="40"/>
    </row>
    <row r="124" spans="1:11" ht="15.75" customHeight="1" x14ac:dyDescent="0.25">
      <c r="A124" s="24"/>
      <c r="B124" s="174"/>
      <c r="C124" s="24"/>
      <c r="D124" s="24"/>
      <c r="E124" s="24"/>
      <c r="H124" s="7"/>
      <c r="I124" s="7"/>
      <c r="J124" s="7"/>
      <c r="K124" s="40"/>
    </row>
    <row r="125" spans="1:11" ht="15.75" customHeight="1" x14ac:dyDescent="0.25">
      <c r="A125" s="24"/>
      <c r="B125" s="174"/>
      <c r="C125" s="24"/>
      <c r="D125" s="24"/>
      <c r="E125" s="24"/>
      <c r="H125" s="7"/>
      <c r="I125" s="7"/>
      <c r="J125" s="7"/>
      <c r="K125" s="40"/>
    </row>
    <row r="126" spans="1:11" ht="15.75" customHeight="1" x14ac:dyDescent="0.25">
      <c r="A126" s="24"/>
      <c r="B126" s="174"/>
      <c r="C126" s="24"/>
      <c r="D126" s="24"/>
      <c r="E126" s="24"/>
      <c r="H126" s="7"/>
      <c r="I126" s="7"/>
      <c r="J126" s="7"/>
      <c r="K126" s="40"/>
    </row>
    <row r="127" spans="1:11" ht="15.75" customHeight="1" x14ac:dyDescent="0.25">
      <c r="A127" s="24"/>
      <c r="B127" s="174"/>
      <c r="C127" s="24"/>
      <c r="D127" s="24"/>
      <c r="E127" s="24"/>
      <c r="H127" s="7"/>
      <c r="I127" s="7"/>
      <c r="J127" s="7"/>
      <c r="K127" s="40"/>
    </row>
    <row r="128" spans="1:11" ht="15.75" customHeight="1" x14ac:dyDescent="0.25">
      <c r="A128" s="24"/>
      <c r="B128" s="174"/>
      <c r="C128" s="24"/>
      <c r="D128" s="24"/>
      <c r="E128" s="24"/>
      <c r="H128" s="7"/>
      <c r="I128" s="7"/>
      <c r="J128" s="7"/>
      <c r="K128" s="40"/>
    </row>
    <row r="129" spans="1:11" ht="15.75" customHeight="1" x14ac:dyDescent="0.25">
      <c r="A129" s="24"/>
      <c r="B129" s="174"/>
      <c r="C129" s="24"/>
      <c r="D129" s="24"/>
      <c r="E129" s="24"/>
      <c r="H129" s="7"/>
      <c r="I129" s="7"/>
      <c r="J129" s="7"/>
      <c r="K129" s="40"/>
    </row>
    <row r="130" spans="1:11" ht="15.75" customHeight="1" x14ac:dyDescent="0.25">
      <c r="A130" s="24"/>
      <c r="B130" s="174"/>
      <c r="C130" s="24"/>
      <c r="D130" s="24"/>
      <c r="E130" s="24"/>
      <c r="H130" s="7"/>
      <c r="I130" s="7"/>
      <c r="J130" s="7"/>
      <c r="K130" s="40"/>
    </row>
    <row r="131" spans="1:11" ht="15.75" customHeight="1" x14ac:dyDescent="0.25">
      <c r="A131" s="24"/>
      <c r="B131" s="174"/>
      <c r="C131" s="24"/>
      <c r="D131" s="24"/>
      <c r="E131" s="24"/>
      <c r="H131" s="7"/>
      <c r="I131" s="7"/>
      <c r="J131" s="7"/>
      <c r="K131" s="40"/>
    </row>
    <row r="132" spans="1:11" ht="15.75" customHeight="1" x14ac:dyDescent="0.25">
      <c r="A132" s="24"/>
      <c r="B132" s="174"/>
      <c r="C132" s="24"/>
      <c r="D132" s="24"/>
      <c r="E132" s="24"/>
      <c r="H132" s="7"/>
      <c r="I132" s="7"/>
      <c r="J132" s="7"/>
      <c r="K132" s="40"/>
    </row>
    <row r="133" spans="1:11" ht="15.75" customHeight="1" x14ac:dyDescent="0.25">
      <c r="A133" s="24"/>
      <c r="B133" s="174"/>
      <c r="C133" s="24"/>
      <c r="D133" s="24"/>
      <c r="E133" s="24"/>
      <c r="H133" s="7"/>
      <c r="I133" s="7"/>
      <c r="J133" s="7"/>
      <c r="K133" s="40"/>
    </row>
    <row r="134" spans="1:11" ht="15.75" customHeight="1" x14ac:dyDescent="0.25">
      <c r="A134" s="24"/>
      <c r="B134" s="174"/>
      <c r="C134" s="24"/>
      <c r="D134" s="24"/>
      <c r="E134" s="24"/>
      <c r="H134" s="7"/>
      <c r="I134" s="7"/>
      <c r="J134" s="7"/>
      <c r="K134" s="40"/>
    </row>
    <row r="135" spans="1:11" ht="15.75" customHeight="1" x14ac:dyDescent="0.25">
      <c r="A135" s="24"/>
      <c r="B135" s="174"/>
      <c r="C135" s="24"/>
      <c r="D135" s="24"/>
      <c r="E135" s="24"/>
      <c r="H135" s="7"/>
      <c r="I135" s="7"/>
      <c r="J135" s="7"/>
      <c r="K135" s="40"/>
    </row>
    <row r="136" spans="1:11" ht="15.75" customHeight="1" x14ac:dyDescent="0.25">
      <c r="A136" s="24"/>
      <c r="B136" s="174"/>
      <c r="C136" s="24"/>
      <c r="D136" s="24"/>
      <c r="E136" s="24"/>
      <c r="H136" s="7"/>
      <c r="I136" s="7"/>
      <c r="J136" s="7"/>
      <c r="K136" s="40"/>
    </row>
    <row r="137" spans="1:11" ht="15.75" customHeight="1" x14ac:dyDescent="0.25">
      <c r="A137" s="24"/>
      <c r="B137" s="174"/>
      <c r="C137" s="24"/>
      <c r="D137" s="24"/>
      <c r="E137" s="24"/>
      <c r="H137" s="7"/>
      <c r="I137" s="7"/>
      <c r="J137" s="7"/>
      <c r="K137" s="40"/>
    </row>
    <row r="138" spans="1:11" ht="15.75" customHeight="1" x14ac:dyDescent="0.25">
      <c r="A138" s="24"/>
      <c r="B138" s="174"/>
      <c r="C138" s="24"/>
      <c r="D138" s="24"/>
      <c r="E138" s="24"/>
      <c r="H138" s="7"/>
      <c r="I138" s="7"/>
      <c r="J138" s="7"/>
      <c r="K138" s="40"/>
    </row>
    <row r="139" spans="1:11" ht="15.75" customHeight="1" x14ac:dyDescent="0.25">
      <c r="A139" s="24"/>
      <c r="B139" s="174"/>
      <c r="C139" s="24"/>
      <c r="D139" s="24"/>
      <c r="E139" s="24"/>
      <c r="H139" s="7"/>
      <c r="I139" s="7"/>
      <c r="J139" s="7"/>
      <c r="K139" s="40"/>
    </row>
    <row r="140" spans="1:11" ht="15.75" customHeight="1" x14ac:dyDescent="0.25">
      <c r="A140" s="24"/>
      <c r="B140" s="174"/>
      <c r="C140" s="24"/>
      <c r="D140" s="24"/>
      <c r="E140" s="24"/>
      <c r="H140" s="7"/>
      <c r="I140" s="7"/>
      <c r="J140" s="7"/>
      <c r="K140" s="40"/>
    </row>
    <row r="141" spans="1:11" ht="15.75" customHeight="1" x14ac:dyDescent="0.25">
      <c r="A141" s="24"/>
      <c r="B141" s="174"/>
      <c r="C141" s="24"/>
      <c r="D141" s="24"/>
      <c r="E141" s="24"/>
      <c r="H141" s="7"/>
      <c r="I141" s="7"/>
      <c r="J141" s="7"/>
      <c r="K141" s="40"/>
    </row>
    <row r="142" spans="1:11" ht="15.75" customHeight="1" x14ac:dyDescent="0.25">
      <c r="A142" s="24"/>
      <c r="B142" s="174"/>
      <c r="C142" s="24"/>
      <c r="D142" s="24"/>
      <c r="E142" s="24"/>
      <c r="H142" s="7"/>
      <c r="I142" s="7"/>
      <c r="J142" s="7"/>
      <c r="K142" s="40"/>
    </row>
    <row r="143" spans="1:11" ht="15.75" customHeight="1" x14ac:dyDescent="0.25">
      <c r="A143" s="24"/>
      <c r="B143" s="174"/>
      <c r="C143" s="24"/>
      <c r="D143" s="24"/>
      <c r="E143" s="24"/>
      <c r="H143" s="7"/>
      <c r="I143" s="7"/>
      <c r="J143" s="7"/>
      <c r="K143" s="40"/>
    </row>
    <row r="144" spans="1:11" ht="15.75" customHeight="1" x14ac:dyDescent="0.25">
      <c r="A144" s="24"/>
      <c r="B144" s="174"/>
      <c r="C144" s="24"/>
      <c r="D144" s="24"/>
      <c r="E144" s="24"/>
      <c r="H144" s="7"/>
      <c r="I144" s="7"/>
      <c r="J144" s="7"/>
      <c r="K144" s="40"/>
    </row>
    <row r="145" spans="1:11" ht="15.75" customHeight="1" x14ac:dyDescent="0.25">
      <c r="A145" s="24"/>
      <c r="B145" s="174"/>
      <c r="C145" s="24"/>
      <c r="D145" s="24"/>
      <c r="E145" s="24"/>
      <c r="H145" s="7"/>
      <c r="I145" s="7"/>
      <c r="J145" s="7"/>
      <c r="K145" s="40"/>
    </row>
    <row r="146" spans="1:11" ht="15.75" customHeight="1" x14ac:dyDescent="0.25">
      <c r="A146" s="24"/>
      <c r="B146" s="174"/>
      <c r="C146" s="24"/>
      <c r="D146" s="24"/>
      <c r="E146" s="24"/>
      <c r="H146" s="7"/>
      <c r="I146" s="7"/>
      <c r="J146" s="7"/>
      <c r="K146" s="40"/>
    </row>
    <row r="147" spans="1:11" ht="15.75" customHeight="1" x14ac:dyDescent="0.25">
      <c r="A147" s="24"/>
      <c r="B147" s="174"/>
      <c r="C147" s="24"/>
      <c r="D147" s="24"/>
      <c r="E147" s="24"/>
      <c r="H147" s="7"/>
      <c r="I147" s="7"/>
      <c r="J147" s="7"/>
      <c r="K147" s="40"/>
    </row>
    <row r="148" spans="1:11" ht="15.75" customHeight="1" x14ac:dyDescent="0.25">
      <c r="A148" s="24"/>
      <c r="B148" s="174"/>
      <c r="C148" s="24"/>
      <c r="D148" s="24"/>
      <c r="E148" s="24"/>
      <c r="H148" s="7"/>
      <c r="I148" s="7"/>
      <c r="J148" s="7"/>
      <c r="K148" s="40"/>
    </row>
    <row r="149" spans="1:11" ht="15.75" customHeight="1" x14ac:dyDescent="0.25">
      <c r="A149" s="24"/>
      <c r="B149" s="174"/>
      <c r="C149" s="24"/>
      <c r="D149" s="24"/>
      <c r="E149" s="24"/>
      <c r="H149" s="7"/>
      <c r="I149" s="7"/>
      <c r="J149" s="7"/>
      <c r="K149" s="40"/>
    </row>
    <row r="150" spans="1:11" ht="15.75" customHeight="1" x14ac:dyDescent="0.25">
      <c r="A150" s="24"/>
      <c r="B150" s="174"/>
      <c r="C150" s="24"/>
      <c r="D150" s="24"/>
      <c r="E150" s="24"/>
      <c r="H150" s="7"/>
      <c r="I150" s="7"/>
      <c r="J150" s="7"/>
      <c r="K150" s="40"/>
    </row>
    <row r="151" spans="1:11" ht="15.75" customHeight="1" x14ac:dyDescent="0.25">
      <c r="A151" s="24"/>
      <c r="B151" s="174"/>
      <c r="C151" s="24"/>
      <c r="D151" s="24"/>
      <c r="E151" s="24"/>
      <c r="H151" s="7"/>
      <c r="I151" s="7"/>
      <c r="J151" s="7"/>
      <c r="K151" s="40"/>
    </row>
    <row r="152" spans="1:11" ht="15.75" customHeight="1" x14ac:dyDescent="0.25">
      <c r="A152" s="24"/>
      <c r="B152" s="174"/>
      <c r="C152" s="24"/>
      <c r="D152" s="24"/>
      <c r="E152" s="24"/>
      <c r="H152" s="7"/>
      <c r="I152" s="7"/>
      <c r="J152" s="7"/>
      <c r="K152" s="40"/>
    </row>
    <row r="153" spans="1:11" ht="15.75" customHeight="1" x14ac:dyDescent="0.25">
      <c r="A153" s="24"/>
      <c r="B153" s="174"/>
      <c r="C153" s="24"/>
      <c r="D153" s="24"/>
      <c r="E153" s="24"/>
      <c r="H153" s="7"/>
      <c r="I153" s="7"/>
      <c r="J153" s="7"/>
      <c r="K153" s="40"/>
    </row>
    <row r="154" spans="1:11" ht="15.75" customHeight="1" x14ac:dyDescent="0.25">
      <c r="A154" s="24"/>
      <c r="B154" s="174"/>
      <c r="C154" s="24"/>
      <c r="D154" s="24"/>
      <c r="E154" s="24"/>
      <c r="H154" s="7"/>
      <c r="I154" s="7"/>
      <c r="J154" s="7"/>
      <c r="K154" s="40"/>
    </row>
    <row r="155" spans="1:11" ht="15.75" customHeight="1" x14ac:dyDescent="0.25">
      <c r="A155" s="24"/>
      <c r="B155" s="174"/>
      <c r="C155" s="24"/>
      <c r="D155" s="24"/>
      <c r="E155" s="24"/>
      <c r="H155" s="7"/>
      <c r="I155" s="7"/>
      <c r="J155" s="7"/>
      <c r="K155" s="40"/>
    </row>
    <row r="156" spans="1:11" ht="15.75" customHeight="1" x14ac:dyDescent="0.25">
      <c r="A156" s="24"/>
      <c r="B156" s="174"/>
      <c r="C156" s="24"/>
      <c r="D156" s="24"/>
      <c r="E156" s="24"/>
      <c r="H156" s="7"/>
      <c r="I156" s="7"/>
      <c r="J156" s="7"/>
      <c r="K156" s="40"/>
    </row>
    <row r="157" spans="1:11" ht="15.75" customHeight="1" x14ac:dyDescent="0.25">
      <c r="A157" s="24"/>
      <c r="B157" s="174"/>
      <c r="C157" s="24"/>
      <c r="D157" s="24"/>
      <c r="E157" s="24"/>
      <c r="H157" s="7"/>
      <c r="I157" s="7"/>
      <c r="J157" s="7"/>
      <c r="K157" s="40"/>
    </row>
    <row r="158" spans="1:11" ht="15.75" customHeight="1" x14ac:dyDescent="0.25">
      <c r="A158" s="24"/>
      <c r="B158" s="174"/>
      <c r="C158" s="24"/>
      <c r="D158" s="24"/>
      <c r="E158" s="24"/>
      <c r="H158" s="7"/>
      <c r="I158" s="7"/>
      <c r="J158" s="7"/>
      <c r="K158" s="40"/>
    </row>
    <row r="159" spans="1:11" ht="15.75" customHeight="1" x14ac:dyDescent="0.25">
      <c r="A159" s="24"/>
      <c r="B159" s="174"/>
      <c r="C159" s="24"/>
      <c r="D159" s="24"/>
      <c r="E159" s="24"/>
      <c r="H159" s="7"/>
      <c r="I159" s="7"/>
      <c r="J159" s="7"/>
      <c r="K159" s="40"/>
    </row>
    <row r="160" spans="1:11" ht="15.75" customHeight="1" x14ac:dyDescent="0.25">
      <c r="A160" s="24"/>
      <c r="B160" s="174"/>
      <c r="C160" s="24"/>
      <c r="D160" s="24"/>
      <c r="E160" s="24"/>
      <c r="H160" s="7"/>
      <c r="I160" s="7"/>
      <c r="J160" s="7"/>
      <c r="K160" s="40"/>
    </row>
    <row r="161" spans="1:11" ht="15.75" customHeight="1" x14ac:dyDescent="0.25">
      <c r="A161" s="24"/>
      <c r="B161" s="174"/>
      <c r="C161" s="24"/>
      <c r="D161" s="24"/>
      <c r="E161" s="24"/>
      <c r="H161" s="7"/>
      <c r="I161" s="7"/>
      <c r="J161" s="7"/>
      <c r="K161" s="40"/>
    </row>
    <row r="162" spans="1:11" ht="15.75" customHeight="1" x14ac:dyDescent="0.25">
      <c r="A162" s="24"/>
      <c r="B162" s="174"/>
      <c r="C162" s="24"/>
      <c r="D162" s="24"/>
      <c r="E162" s="24"/>
      <c r="H162" s="7"/>
      <c r="I162" s="7"/>
      <c r="J162" s="7"/>
      <c r="K162" s="40"/>
    </row>
    <row r="163" spans="1:11" ht="15.75" customHeight="1" x14ac:dyDescent="0.25">
      <c r="A163" s="24"/>
      <c r="B163" s="174"/>
      <c r="C163" s="24"/>
      <c r="D163" s="24"/>
      <c r="E163" s="24"/>
      <c r="H163" s="7"/>
      <c r="I163" s="7"/>
      <c r="J163" s="7"/>
      <c r="K163" s="40"/>
    </row>
    <row r="164" spans="1:11" ht="15.75" customHeight="1" x14ac:dyDescent="0.25">
      <c r="A164" s="24"/>
      <c r="B164" s="174"/>
      <c r="C164" s="24"/>
      <c r="D164" s="24"/>
      <c r="E164" s="24"/>
      <c r="H164" s="7"/>
      <c r="I164" s="7"/>
      <c r="J164" s="7"/>
      <c r="K164" s="40"/>
    </row>
    <row r="165" spans="1:11" ht="15.75" customHeight="1" x14ac:dyDescent="0.25">
      <c r="A165" s="24"/>
      <c r="B165" s="174"/>
      <c r="C165" s="24"/>
      <c r="D165" s="24"/>
      <c r="E165" s="24"/>
      <c r="H165" s="7"/>
      <c r="I165" s="7"/>
      <c r="J165" s="7"/>
      <c r="K165" s="40"/>
    </row>
    <row r="166" spans="1:11" ht="15.75" customHeight="1" x14ac:dyDescent="0.25">
      <c r="A166" s="24"/>
      <c r="B166" s="174"/>
      <c r="C166" s="24"/>
      <c r="D166" s="24"/>
      <c r="E166" s="24"/>
      <c r="H166" s="7"/>
      <c r="I166" s="7"/>
      <c r="J166" s="7"/>
      <c r="K166" s="40"/>
    </row>
    <row r="167" spans="1:11" ht="15.75" customHeight="1" x14ac:dyDescent="0.25">
      <c r="A167" s="24"/>
      <c r="B167" s="174"/>
      <c r="C167" s="24"/>
      <c r="D167" s="24"/>
      <c r="E167" s="24"/>
      <c r="H167" s="7"/>
      <c r="I167" s="7"/>
      <c r="J167" s="7"/>
      <c r="K167" s="40"/>
    </row>
    <row r="168" spans="1:11" ht="15.75" customHeight="1" x14ac:dyDescent="0.25">
      <c r="A168" s="24"/>
      <c r="B168" s="174"/>
      <c r="C168" s="24"/>
      <c r="D168" s="24"/>
      <c r="E168" s="24"/>
      <c r="H168" s="7"/>
      <c r="I168" s="7"/>
      <c r="J168" s="7"/>
      <c r="K168" s="40"/>
    </row>
    <row r="169" spans="1:11" ht="15.75" customHeight="1" x14ac:dyDescent="0.25">
      <c r="A169" s="24"/>
      <c r="B169" s="174"/>
      <c r="C169" s="24"/>
      <c r="D169" s="24"/>
      <c r="E169" s="24"/>
      <c r="H169" s="7"/>
      <c r="I169" s="7"/>
      <c r="J169" s="7"/>
      <c r="K169" s="40"/>
    </row>
    <row r="170" spans="1:11" ht="15.75" customHeight="1" x14ac:dyDescent="0.25">
      <c r="A170" s="24"/>
      <c r="B170" s="174"/>
      <c r="C170" s="24"/>
      <c r="D170" s="24"/>
      <c r="E170" s="24"/>
      <c r="H170" s="7"/>
      <c r="I170" s="7"/>
      <c r="J170" s="7"/>
      <c r="K170" s="40"/>
    </row>
    <row r="171" spans="1:11" ht="15.75" customHeight="1" x14ac:dyDescent="0.25">
      <c r="A171" s="24"/>
      <c r="B171" s="174"/>
      <c r="C171" s="24"/>
      <c r="D171" s="24"/>
      <c r="E171" s="24"/>
      <c r="H171" s="7"/>
      <c r="I171" s="7"/>
      <c r="J171" s="7"/>
      <c r="K171" s="40"/>
    </row>
    <row r="172" spans="1:11" ht="15.75" customHeight="1" x14ac:dyDescent="0.25">
      <c r="A172" s="24"/>
      <c r="B172" s="174"/>
      <c r="C172" s="24"/>
      <c r="D172" s="24"/>
      <c r="E172" s="24"/>
      <c r="H172" s="7"/>
      <c r="I172" s="7"/>
      <c r="J172" s="7"/>
      <c r="K172" s="40"/>
    </row>
    <row r="173" spans="1:11" ht="15.75" customHeight="1" x14ac:dyDescent="0.25">
      <c r="A173" s="24"/>
      <c r="B173" s="174"/>
      <c r="C173" s="24"/>
      <c r="D173" s="24"/>
      <c r="E173" s="24"/>
      <c r="H173" s="7"/>
      <c r="I173" s="7"/>
      <c r="J173" s="7"/>
      <c r="K173" s="40"/>
    </row>
    <row r="174" spans="1:11" ht="15.75" customHeight="1" x14ac:dyDescent="0.25">
      <c r="A174" s="24"/>
      <c r="B174" s="174"/>
      <c r="C174" s="24"/>
      <c r="D174" s="24"/>
      <c r="E174" s="24"/>
      <c r="H174" s="7"/>
      <c r="I174" s="7"/>
      <c r="J174" s="7"/>
      <c r="K174" s="40"/>
    </row>
    <row r="175" spans="1:11" ht="15.75" customHeight="1" x14ac:dyDescent="0.25">
      <c r="A175" s="24"/>
      <c r="B175" s="174"/>
      <c r="C175" s="24"/>
      <c r="D175" s="24"/>
      <c r="E175" s="24"/>
      <c r="H175" s="7"/>
      <c r="I175" s="7"/>
      <c r="J175" s="7"/>
      <c r="K175" s="40"/>
    </row>
    <row r="176" spans="1:11" ht="15.75" customHeight="1" x14ac:dyDescent="0.25">
      <c r="A176" s="24"/>
      <c r="B176" s="174"/>
      <c r="C176" s="24"/>
      <c r="D176" s="24"/>
      <c r="E176" s="24"/>
      <c r="H176" s="7"/>
      <c r="I176" s="7"/>
      <c r="J176" s="7"/>
      <c r="K176" s="40"/>
    </row>
    <row r="177" spans="1:11" ht="15.75" customHeight="1" x14ac:dyDescent="0.25">
      <c r="A177" s="24"/>
      <c r="B177" s="174"/>
      <c r="C177" s="24"/>
      <c r="D177" s="24"/>
      <c r="E177" s="24"/>
      <c r="H177" s="7"/>
      <c r="I177" s="7"/>
      <c r="J177" s="7"/>
      <c r="K177" s="40"/>
    </row>
    <row r="178" spans="1:11" ht="15.75" customHeight="1" x14ac:dyDescent="0.25">
      <c r="A178" s="24"/>
      <c r="B178" s="174"/>
      <c r="C178" s="24"/>
      <c r="D178" s="24"/>
      <c r="E178" s="24"/>
      <c r="H178" s="7"/>
      <c r="I178" s="7"/>
      <c r="J178" s="7"/>
      <c r="K178" s="40"/>
    </row>
    <row r="179" spans="1:11" ht="15.75" customHeight="1" x14ac:dyDescent="0.25">
      <c r="A179" s="24"/>
      <c r="B179" s="174"/>
      <c r="C179" s="24"/>
      <c r="D179" s="24"/>
      <c r="E179" s="24"/>
      <c r="H179" s="7"/>
      <c r="I179" s="7"/>
      <c r="J179" s="7"/>
      <c r="K179" s="40"/>
    </row>
    <row r="180" spans="1:11" ht="15.75" customHeight="1" x14ac:dyDescent="0.25">
      <c r="A180" s="24"/>
      <c r="B180" s="174"/>
      <c r="C180" s="24"/>
      <c r="D180" s="24"/>
      <c r="E180" s="24"/>
      <c r="H180" s="7"/>
      <c r="I180" s="7"/>
      <c r="J180" s="7"/>
      <c r="K180" s="40"/>
    </row>
    <row r="181" spans="1:11" ht="15.75" customHeight="1" x14ac:dyDescent="0.25">
      <c r="A181" s="24"/>
      <c r="B181" s="174"/>
      <c r="C181" s="24"/>
      <c r="D181" s="24"/>
      <c r="E181" s="24"/>
      <c r="H181" s="7"/>
      <c r="I181" s="7"/>
      <c r="J181" s="7"/>
      <c r="K181" s="40"/>
    </row>
    <row r="182" spans="1:11" ht="15.75" customHeight="1" x14ac:dyDescent="0.25">
      <c r="A182" s="24"/>
      <c r="B182" s="174"/>
      <c r="C182" s="24"/>
      <c r="D182" s="24"/>
      <c r="E182" s="24"/>
      <c r="H182" s="7"/>
      <c r="I182" s="7"/>
      <c r="J182" s="7"/>
      <c r="K182" s="40"/>
    </row>
    <row r="183" spans="1:11" ht="15.75" customHeight="1" x14ac:dyDescent="0.25">
      <c r="A183" s="24"/>
      <c r="B183" s="174"/>
      <c r="C183" s="24"/>
      <c r="D183" s="24"/>
      <c r="E183" s="24"/>
      <c r="H183" s="7"/>
      <c r="I183" s="7"/>
      <c r="J183" s="7"/>
      <c r="K183" s="40"/>
    </row>
    <row r="184" spans="1:11" ht="15.75" customHeight="1" x14ac:dyDescent="0.25">
      <c r="A184" s="24"/>
      <c r="B184" s="174"/>
      <c r="C184" s="24"/>
      <c r="D184" s="24"/>
      <c r="E184" s="24"/>
      <c r="H184" s="7"/>
      <c r="I184" s="7"/>
      <c r="J184" s="7"/>
      <c r="K184" s="40"/>
    </row>
    <row r="185" spans="1:11" ht="15.75" customHeight="1" x14ac:dyDescent="0.25">
      <c r="A185" s="24"/>
      <c r="B185" s="174"/>
      <c r="C185" s="24"/>
      <c r="D185" s="24"/>
      <c r="E185" s="24"/>
      <c r="H185" s="7"/>
      <c r="I185" s="7"/>
      <c r="J185" s="7"/>
      <c r="K185" s="40"/>
    </row>
    <row r="186" spans="1:11" ht="15.75" customHeight="1" x14ac:dyDescent="0.25">
      <c r="A186" s="24"/>
      <c r="B186" s="174"/>
      <c r="C186" s="24"/>
      <c r="D186" s="24"/>
      <c r="E186" s="24"/>
      <c r="H186" s="7"/>
      <c r="I186" s="7"/>
      <c r="J186" s="7"/>
      <c r="K186" s="40"/>
    </row>
    <row r="187" spans="1:11" ht="15.75" customHeight="1" x14ac:dyDescent="0.25">
      <c r="A187" s="24"/>
      <c r="B187" s="174"/>
      <c r="C187" s="24"/>
      <c r="D187" s="24"/>
      <c r="E187" s="24"/>
      <c r="H187" s="7"/>
      <c r="I187" s="7"/>
      <c r="J187" s="7"/>
      <c r="K187" s="40"/>
    </row>
    <row r="188" spans="1:11" ht="15.75" customHeight="1" x14ac:dyDescent="0.25">
      <c r="A188" s="24"/>
      <c r="B188" s="174"/>
      <c r="C188" s="24"/>
      <c r="D188" s="24"/>
      <c r="E188" s="24"/>
      <c r="H188" s="7"/>
      <c r="I188" s="7"/>
      <c r="J188" s="7"/>
      <c r="K188" s="40"/>
    </row>
    <row r="189" spans="1:11" ht="15.75" customHeight="1" x14ac:dyDescent="0.25">
      <c r="A189" s="24"/>
      <c r="B189" s="174"/>
      <c r="C189" s="24"/>
      <c r="D189" s="24"/>
      <c r="E189" s="24"/>
      <c r="H189" s="7"/>
      <c r="I189" s="7"/>
      <c r="J189" s="7"/>
      <c r="K189" s="40"/>
    </row>
    <row r="190" spans="1:11" ht="15.75" customHeight="1" x14ac:dyDescent="0.25">
      <c r="A190" s="24"/>
      <c r="B190" s="174"/>
      <c r="C190" s="24"/>
      <c r="D190" s="24"/>
      <c r="E190" s="24"/>
      <c r="H190" s="7"/>
      <c r="I190" s="7"/>
      <c r="J190" s="7"/>
      <c r="K190" s="40"/>
    </row>
    <row r="191" spans="1:11" ht="15.75" customHeight="1" x14ac:dyDescent="0.25">
      <c r="A191" s="24"/>
      <c r="B191" s="174"/>
      <c r="C191" s="24"/>
      <c r="D191" s="24"/>
      <c r="E191" s="24"/>
      <c r="H191" s="7"/>
      <c r="I191" s="7"/>
      <c r="J191" s="7"/>
      <c r="K191" s="40"/>
    </row>
    <row r="192" spans="1:11" ht="15.75" customHeight="1" x14ac:dyDescent="0.25">
      <c r="A192" s="24"/>
      <c r="B192" s="174"/>
      <c r="C192" s="24"/>
      <c r="D192" s="24"/>
      <c r="E192" s="24"/>
      <c r="H192" s="7"/>
      <c r="I192" s="7"/>
      <c r="J192" s="7"/>
      <c r="K192" s="40"/>
    </row>
    <row r="193" spans="1:11" ht="15.75" customHeight="1" x14ac:dyDescent="0.25">
      <c r="A193" s="24"/>
      <c r="B193" s="174"/>
      <c r="C193" s="24"/>
      <c r="D193" s="24"/>
      <c r="E193" s="24"/>
      <c r="H193" s="7"/>
      <c r="I193" s="7"/>
      <c r="J193" s="7"/>
      <c r="K193" s="40"/>
    </row>
    <row r="194" spans="1:11" ht="15.75" customHeight="1" x14ac:dyDescent="0.25">
      <c r="A194" s="24"/>
      <c r="B194" s="174"/>
      <c r="C194" s="24"/>
      <c r="D194" s="24"/>
      <c r="E194" s="24"/>
      <c r="H194" s="7"/>
      <c r="I194" s="7"/>
      <c r="J194" s="7"/>
      <c r="K194" s="40"/>
    </row>
    <row r="195" spans="1:11" ht="15.75" customHeight="1" x14ac:dyDescent="0.25">
      <c r="A195" s="24"/>
      <c r="B195" s="174"/>
      <c r="C195" s="24"/>
      <c r="D195" s="24"/>
      <c r="E195" s="24"/>
      <c r="H195" s="7"/>
      <c r="I195" s="7"/>
      <c r="J195" s="7"/>
      <c r="K195" s="40"/>
    </row>
    <row r="196" spans="1:11" ht="15.75" customHeight="1" x14ac:dyDescent="0.25">
      <c r="A196" s="24"/>
      <c r="B196" s="174"/>
      <c r="C196" s="24"/>
      <c r="D196" s="24"/>
      <c r="E196" s="24"/>
      <c r="H196" s="7"/>
      <c r="I196" s="7"/>
      <c r="J196" s="7"/>
      <c r="K196" s="40"/>
    </row>
    <row r="197" spans="1:11" ht="15.75" customHeight="1" x14ac:dyDescent="0.25">
      <c r="A197" s="24"/>
      <c r="B197" s="174"/>
      <c r="C197" s="24"/>
      <c r="D197" s="24"/>
      <c r="E197" s="24"/>
      <c r="H197" s="7"/>
      <c r="I197" s="7"/>
      <c r="J197" s="7"/>
      <c r="K197" s="40"/>
    </row>
    <row r="198" spans="1:11" ht="15.75" customHeight="1" x14ac:dyDescent="0.25">
      <c r="A198" s="24"/>
      <c r="B198" s="174"/>
      <c r="C198" s="24"/>
      <c r="D198" s="24"/>
      <c r="E198" s="24"/>
      <c r="H198" s="7"/>
      <c r="I198" s="7"/>
      <c r="J198" s="7"/>
      <c r="K198" s="40"/>
    </row>
    <row r="199" spans="1:11" ht="15.75" customHeight="1" x14ac:dyDescent="0.25">
      <c r="A199" s="24"/>
      <c r="B199" s="174"/>
      <c r="C199" s="24"/>
      <c r="D199" s="24"/>
      <c r="E199" s="24"/>
      <c r="H199" s="7"/>
      <c r="I199" s="7"/>
      <c r="J199" s="7"/>
      <c r="K199" s="40"/>
    </row>
    <row r="200" spans="1:11" ht="15.75" customHeight="1" x14ac:dyDescent="0.25">
      <c r="A200" s="24"/>
      <c r="B200" s="174"/>
      <c r="C200" s="24"/>
      <c r="D200" s="24"/>
      <c r="E200" s="24"/>
      <c r="H200" s="7"/>
      <c r="I200" s="7"/>
      <c r="J200" s="7"/>
      <c r="K200" s="40"/>
    </row>
    <row r="201" spans="1:11" ht="15.75" customHeight="1" x14ac:dyDescent="0.25">
      <c r="A201" s="24"/>
      <c r="B201" s="174"/>
      <c r="C201" s="24"/>
      <c r="D201" s="24"/>
      <c r="E201" s="24"/>
      <c r="H201" s="7"/>
      <c r="I201" s="7"/>
      <c r="J201" s="7"/>
      <c r="K201" s="40"/>
    </row>
    <row r="202" spans="1:11" ht="15.75" customHeight="1" x14ac:dyDescent="0.25">
      <c r="A202" s="24"/>
      <c r="B202" s="174"/>
      <c r="C202" s="24"/>
      <c r="D202" s="24"/>
      <c r="E202" s="24"/>
      <c r="H202" s="7"/>
      <c r="I202" s="7"/>
      <c r="J202" s="7"/>
      <c r="K202" s="40"/>
    </row>
    <row r="203" spans="1:11" ht="15.75" customHeight="1" x14ac:dyDescent="0.25">
      <c r="A203" s="24"/>
      <c r="B203" s="174"/>
      <c r="C203" s="24"/>
      <c r="D203" s="24"/>
      <c r="E203" s="24"/>
      <c r="H203" s="7"/>
      <c r="I203" s="7"/>
      <c r="J203" s="7"/>
      <c r="K203" s="40"/>
    </row>
    <row r="204" spans="1:11" ht="15.75" customHeight="1" x14ac:dyDescent="0.25">
      <c r="A204" s="24"/>
      <c r="B204" s="174"/>
      <c r="C204" s="24"/>
      <c r="D204" s="24"/>
      <c r="E204" s="24"/>
      <c r="H204" s="7"/>
      <c r="I204" s="7"/>
      <c r="J204" s="7"/>
      <c r="K204" s="40"/>
    </row>
    <row r="205" spans="1:11" ht="15.75" customHeight="1" x14ac:dyDescent="0.25">
      <c r="A205" s="24"/>
      <c r="B205" s="174"/>
      <c r="C205" s="24"/>
      <c r="D205" s="24"/>
      <c r="E205" s="24"/>
      <c r="H205" s="7"/>
      <c r="I205" s="7"/>
      <c r="J205" s="7"/>
      <c r="K205" s="40"/>
    </row>
    <row r="206" spans="1:11" ht="15.75" customHeight="1" x14ac:dyDescent="0.25">
      <c r="A206" s="24"/>
      <c r="B206" s="174"/>
      <c r="C206" s="24"/>
      <c r="D206" s="24"/>
      <c r="E206" s="24"/>
      <c r="H206" s="7"/>
      <c r="I206" s="7"/>
      <c r="J206" s="7"/>
      <c r="K206" s="40"/>
    </row>
    <row r="207" spans="1:11" ht="15.75" customHeight="1" x14ac:dyDescent="0.25">
      <c r="A207" s="24"/>
      <c r="B207" s="174"/>
      <c r="C207" s="24"/>
      <c r="D207" s="24"/>
      <c r="E207" s="24"/>
      <c r="H207" s="7"/>
      <c r="I207" s="7"/>
      <c r="J207" s="7"/>
      <c r="K207" s="40"/>
    </row>
    <row r="208" spans="1:11" ht="15.75" customHeight="1" x14ac:dyDescent="0.25">
      <c r="A208" s="24"/>
      <c r="B208" s="174"/>
      <c r="C208" s="24"/>
      <c r="D208" s="24"/>
      <c r="E208" s="24"/>
      <c r="H208" s="7"/>
      <c r="I208" s="7"/>
      <c r="J208" s="7"/>
      <c r="K208" s="40"/>
    </row>
    <row r="209" spans="1:11" ht="15.75" customHeight="1" x14ac:dyDescent="0.25">
      <c r="A209" s="24"/>
      <c r="B209" s="174"/>
      <c r="C209" s="24"/>
      <c r="D209" s="24"/>
      <c r="E209" s="24"/>
      <c r="H209" s="7"/>
      <c r="I209" s="7"/>
      <c r="J209" s="7"/>
      <c r="K209" s="40"/>
    </row>
    <row r="210" spans="1:11" ht="15.75" customHeight="1" x14ac:dyDescent="0.25">
      <c r="A210" s="24"/>
      <c r="B210" s="174"/>
      <c r="C210" s="24"/>
      <c r="D210" s="24"/>
      <c r="E210" s="24"/>
      <c r="H210" s="7"/>
      <c r="I210" s="7"/>
      <c r="J210" s="7"/>
      <c r="K210" s="40"/>
    </row>
    <row r="211" spans="1:11" ht="15.75" customHeight="1" x14ac:dyDescent="0.25">
      <c r="A211" s="24"/>
      <c r="B211" s="174"/>
      <c r="C211" s="24"/>
      <c r="D211" s="24"/>
      <c r="E211" s="24"/>
      <c r="H211" s="7"/>
      <c r="I211" s="7"/>
      <c r="J211" s="7"/>
      <c r="K211" s="40"/>
    </row>
    <row r="212" spans="1:11" ht="15.75" customHeight="1" x14ac:dyDescent="0.25">
      <c r="A212" s="24"/>
      <c r="B212" s="174"/>
      <c r="C212" s="24"/>
      <c r="D212" s="24"/>
      <c r="E212" s="24"/>
      <c r="H212" s="7"/>
      <c r="I212" s="7"/>
      <c r="J212" s="7"/>
      <c r="K212" s="40"/>
    </row>
    <row r="213" spans="1:11" ht="15.75" customHeight="1" x14ac:dyDescent="0.25">
      <c r="A213" s="24"/>
      <c r="B213" s="174"/>
      <c r="C213" s="24"/>
      <c r="D213" s="24"/>
      <c r="E213" s="24"/>
      <c r="H213" s="7"/>
      <c r="I213" s="7"/>
      <c r="J213" s="7"/>
      <c r="K213" s="40"/>
    </row>
    <row r="214" spans="1:11" ht="15.75" customHeight="1" x14ac:dyDescent="0.25">
      <c r="A214" s="24"/>
      <c r="B214" s="174"/>
      <c r="C214" s="24"/>
      <c r="D214" s="24"/>
      <c r="E214" s="24"/>
      <c r="H214" s="7"/>
      <c r="I214" s="7"/>
      <c r="J214" s="7"/>
      <c r="K214" s="40"/>
    </row>
    <row r="215" spans="1:11" ht="15.75" customHeight="1" x14ac:dyDescent="0.25">
      <c r="A215" s="24"/>
      <c r="B215" s="174"/>
      <c r="C215" s="24"/>
      <c r="D215" s="24"/>
      <c r="E215" s="24"/>
      <c r="H215" s="7"/>
      <c r="I215" s="7"/>
      <c r="J215" s="7"/>
      <c r="K215" s="40"/>
    </row>
    <row r="216" spans="1:11" ht="15.75" customHeight="1" x14ac:dyDescent="0.25">
      <c r="A216" s="24"/>
      <c r="B216" s="174"/>
      <c r="C216" s="24"/>
      <c r="D216" s="24"/>
      <c r="E216" s="24"/>
      <c r="H216" s="7"/>
      <c r="I216" s="7"/>
      <c r="J216" s="7"/>
      <c r="K216" s="40"/>
    </row>
    <row r="217" spans="1:11" ht="15.75" customHeight="1" x14ac:dyDescent="0.25">
      <c r="A217" s="24"/>
      <c r="B217" s="174"/>
      <c r="C217" s="24"/>
      <c r="D217" s="24"/>
      <c r="E217" s="24"/>
      <c r="H217" s="7"/>
      <c r="I217" s="7"/>
      <c r="J217" s="7"/>
      <c r="K217" s="40"/>
    </row>
    <row r="218" spans="1:11" ht="15.75" customHeight="1" x14ac:dyDescent="0.25">
      <c r="A218" s="24"/>
      <c r="B218" s="174"/>
      <c r="C218" s="24"/>
      <c r="D218" s="24"/>
      <c r="E218" s="24"/>
      <c r="H218" s="7"/>
      <c r="I218" s="7"/>
      <c r="J218" s="7"/>
      <c r="K218" s="40"/>
    </row>
    <row r="219" spans="1:11" ht="15.75" customHeight="1" x14ac:dyDescent="0.25">
      <c r="A219" s="24"/>
      <c r="B219" s="174"/>
      <c r="C219" s="24"/>
      <c r="D219" s="24"/>
      <c r="E219" s="24"/>
      <c r="H219" s="7"/>
      <c r="I219" s="7"/>
      <c r="J219" s="7"/>
      <c r="K219" s="40"/>
    </row>
    <row r="220" spans="1:11" ht="15.75" customHeight="1" x14ac:dyDescent="0.25">
      <c r="A220" s="24"/>
      <c r="B220" s="174"/>
      <c r="C220" s="24"/>
      <c r="D220" s="24"/>
      <c r="E220" s="24"/>
      <c r="H220" s="7"/>
      <c r="I220" s="7"/>
      <c r="J220" s="7"/>
      <c r="K220" s="40"/>
    </row>
    <row r="221" spans="1:11" ht="15.75" customHeight="1" x14ac:dyDescent="0.25">
      <c r="A221" s="24"/>
      <c r="B221" s="174"/>
      <c r="C221" s="24"/>
      <c r="D221" s="24"/>
      <c r="E221" s="24"/>
      <c r="H221" s="7"/>
      <c r="I221" s="7"/>
      <c r="J221" s="7"/>
      <c r="K221" s="40"/>
    </row>
    <row r="222" spans="1:11" ht="15.75" customHeight="1" x14ac:dyDescent="0.25">
      <c r="A222" s="24"/>
      <c r="B222" s="174"/>
      <c r="C222" s="24"/>
      <c r="D222" s="24"/>
      <c r="E222" s="24"/>
      <c r="H222" s="7"/>
      <c r="I222" s="7"/>
      <c r="J222" s="7"/>
      <c r="K222" s="40"/>
    </row>
    <row r="223" spans="1:11" ht="15.75" customHeight="1" x14ac:dyDescent="0.25">
      <c r="A223" s="24"/>
      <c r="B223" s="174"/>
      <c r="C223" s="24"/>
      <c r="D223" s="24"/>
      <c r="E223" s="24"/>
      <c r="H223" s="7"/>
      <c r="I223" s="7"/>
      <c r="J223" s="7"/>
      <c r="K223" s="40"/>
    </row>
    <row r="224" spans="1:11" ht="15.75" customHeight="1" x14ac:dyDescent="0.25">
      <c r="A224" s="24"/>
      <c r="B224" s="174"/>
      <c r="C224" s="24"/>
      <c r="D224" s="24"/>
      <c r="E224" s="24"/>
      <c r="H224" s="7"/>
      <c r="I224" s="7"/>
      <c r="J224" s="7"/>
      <c r="K224" s="40"/>
    </row>
    <row r="225" spans="1:11" ht="15.75" customHeight="1" x14ac:dyDescent="0.25">
      <c r="A225" s="24"/>
      <c r="B225" s="174"/>
      <c r="C225" s="24"/>
      <c r="D225" s="24"/>
      <c r="E225" s="24"/>
      <c r="H225" s="7"/>
      <c r="I225" s="7"/>
      <c r="J225" s="7"/>
      <c r="K225" s="40"/>
    </row>
    <row r="226" spans="1:11" ht="15.75" customHeight="1" x14ac:dyDescent="0.25">
      <c r="A226" s="24"/>
      <c r="B226" s="174"/>
      <c r="C226" s="24"/>
      <c r="D226" s="24"/>
      <c r="E226" s="24"/>
      <c r="H226" s="7"/>
      <c r="I226" s="7"/>
      <c r="J226" s="7"/>
      <c r="K226" s="40"/>
    </row>
    <row r="227" spans="1:11" ht="15.75" customHeight="1" x14ac:dyDescent="0.25">
      <c r="A227" s="24"/>
      <c r="B227" s="174"/>
      <c r="C227" s="24"/>
      <c r="D227" s="24"/>
      <c r="E227" s="24"/>
      <c r="H227" s="7"/>
      <c r="I227" s="7"/>
      <c r="J227" s="7"/>
      <c r="K227" s="40"/>
    </row>
    <row r="228" spans="1:11" ht="15.75" customHeight="1" x14ac:dyDescent="0.25">
      <c r="A228" s="24"/>
      <c r="B228" s="174"/>
      <c r="C228" s="24"/>
      <c r="D228" s="24"/>
      <c r="E228" s="24"/>
      <c r="H228" s="7"/>
      <c r="I228" s="7"/>
      <c r="J228" s="7"/>
      <c r="K228" s="40"/>
    </row>
    <row r="229" spans="1:11" ht="15.75" customHeight="1" x14ac:dyDescent="0.25">
      <c r="A229" s="24"/>
      <c r="B229" s="174"/>
      <c r="C229" s="24"/>
      <c r="D229" s="24"/>
      <c r="E229" s="24"/>
      <c r="H229" s="7"/>
      <c r="I229" s="7"/>
      <c r="J229" s="7"/>
      <c r="K229" s="40"/>
    </row>
    <row r="230" spans="1:11" ht="15.75" customHeight="1" x14ac:dyDescent="0.25">
      <c r="A230" s="24"/>
      <c r="B230" s="174"/>
      <c r="C230" s="24"/>
      <c r="D230" s="24"/>
      <c r="E230" s="24"/>
      <c r="H230" s="7"/>
      <c r="I230" s="7"/>
      <c r="J230" s="7"/>
      <c r="K230" s="40"/>
    </row>
    <row r="231" spans="1:11" ht="15.75" customHeight="1" x14ac:dyDescent="0.25">
      <c r="A231" s="24"/>
      <c r="B231" s="174"/>
      <c r="C231" s="24"/>
      <c r="D231" s="24"/>
      <c r="E231" s="24"/>
      <c r="H231" s="7"/>
      <c r="I231" s="7"/>
      <c r="J231" s="7"/>
      <c r="K231" s="40"/>
    </row>
    <row r="232" spans="1:11" ht="15.75" customHeight="1" x14ac:dyDescent="0.25">
      <c r="K232" s="40"/>
    </row>
    <row r="233" spans="1:11" ht="15.75" customHeight="1" x14ac:dyDescent="0.25">
      <c r="K233" s="40"/>
    </row>
    <row r="234" spans="1:11" ht="15.75" customHeight="1" x14ac:dyDescent="0.25">
      <c r="K234" s="40"/>
    </row>
    <row r="235" spans="1:11" ht="15.75" customHeight="1" x14ac:dyDescent="0.25">
      <c r="K235" s="40"/>
    </row>
    <row r="236" spans="1:11" ht="15.75" customHeight="1" x14ac:dyDescent="0.25">
      <c r="K236" s="40"/>
    </row>
    <row r="237" spans="1:11" ht="15.75" customHeight="1" x14ac:dyDescent="0.25">
      <c r="K237" s="40"/>
    </row>
    <row r="238" spans="1:11" ht="15.75" customHeight="1" x14ac:dyDescent="0.25">
      <c r="K238" s="40"/>
    </row>
    <row r="239" spans="1:11" ht="15.75" customHeight="1" x14ac:dyDescent="0.25">
      <c r="K239" s="40"/>
    </row>
    <row r="240" spans="1:11" ht="15.75" customHeight="1" x14ac:dyDescent="0.25">
      <c r="K240" s="40"/>
    </row>
    <row r="241" spans="11:11" ht="15.75" customHeight="1" x14ac:dyDescent="0.25">
      <c r="K241" s="40"/>
    </row>
    <row r="242" spans="11:11" ht="15.75" customHeight="1" x14ac:dyDescent="0.25">
      <c r="K242" s="40"/>
    </row>
    <row r="243" spans="11:11" ht="15.75" customHeight="1" x14ac:dyDescent="0.25">
      <c r="K243" s="40"/>
    </row>
    <row r="244" spans="11:11" ht="15.75" customHeight="1" x14ac:dyDescent="0.25">
      <c r="K244" s="40"/>
    </row>
    <row r="245" spans="11:11" ht="15.75" customHeight="1" x14ac:dyDescent="0.25">
      <c r="K245" s="40"/>
    </row>
    <row r="246" spans="11:11" ht="15.75" customHeight="1" x14ac:dyDescent="0.25">
      <c r="K246" s="40"/>
    </row>
    <row r="247" spans="11:11" ht="15.75" customHeight="1" x14ac:dyDescent="0.25">
      <c r="K247" s="40"/>
    </row>
    <row r="248" spans="11:11" ht="15.75" customHeight="1" x14ac:dyDescent="0.25">
      <c r="K248" s="40"/>
    </row>
    <row r="249" spans="11:11" ht="15.75" customHeight="1" x14ac:dyDescent="0.25">
      <c r="K249" s="40"/>
    </row>
    <row r="250" spans="11:11" ht="15.75" customHeight="1" x14ac:dyDescent="0.25">
      <c r="K250" s="40"/>
    </row>
    <row r="251" spans="11:11" ht="15.75" customHeight="1" x14ac:dyDescent="0.25">
      <c r="K251" s="40"/>
    </row>
    <row r="252" spans="11:11" ht="15.75" customHeight="1" x14ac:dyDescent="0.25">
      <c r="K252" s="40"/>
    </row>
    <row r="253" spans="11:11" ht="15.75" customHeight="1" x14ac:dyDescent="0.25">
      <c r="K253" s="40"/>
    </row>
    <row r="254" spans="11:11" ht="15.75" customHeight="1" x14ac:dyDescent="0.25">
      <c r="K254" s="40"/>
    </row>
    <row r="255" spans="11:11" ht="15.75" customHeight="1" x14ac:dyDescent="0.25">
      <c r="K255" s="40"/>
    </row>
    <row r="256" spans="11:11" ht="15.75" customHeight="1" x14ac:dyDescent="0.25">
      <c r="K256" s="40"/>
    </row>
    <row r="257" spans="11:11" ht="15.75" customHeight="1" x14ac:dyDescent="0.25">
      <c r="K257" s="40"/>
    </row>
    <row r="258" spans="11:11" ht="15.75" customHeight="1" x14ac:dyDescent="0.25">
      <c r="K258" s="40"/>
    </row>
    <row r="259" spans="11:11" ht="15.75" customHeight="1" x14ac:dyDescent="0.25">
      <c r="K259" s="40"/>
    </row>
    <row r="260" spans="11:11" ht="15.75" customHeight="1" x14ac:dyDescent="0.25">
      <c r="K260" s="40"/>
    </row>
    <row r="261" spans="11:11" ht="15.75" customHeight="1" x14ac:dyDescent="0.25">
      <c r="K261" s="40"/>
    </row>
    <row r="262" spans="11:11" ht="15.75" customHeight="1" x14ac:dyDescent="0.25">
      <c r="K262" s="40"/>
    </row>
    <row r="263" spans="11:11" ht="15.75" customHeight="1" x14ac:dyDescent="0.25">
      <c r="K263" s="40"/>
    </row>
    <row r="264" spans="11:11" ht="15.75" customHeight="1" x14ac:dyDescent="0.25">
      <c r="K264" s="40"/>
    </row>
    <row r="265" spans="11:11" ht="15.75" customHeight="1" x14ac:dyDescent="0.25">
      <c r="K265" s="40"/>
    </row>
    <row r="266" spans="11:11" ht="15.75" customHeight="1" x14ac:dyDescent="0.25">
      <c r="K266" s="40"/>
    </row>
    <row r="267" spans="11:11" ht="15.75" customHeight="1" x14ac:dyDescent="0.25">
      <c r="K267" s="40"/>
    </row>
    <row r="268" spans="11:11" ht="15.75" customHeight="1" x14ac:dyDescent="0.25">
      <c r="K268" s="40"/>
    </row>
    <row r="269" spans="11:11" ht="15.75" customHeight="1" x14ac:dyDescent="0.25">
      <c r="K269" s="40"/>
    </row>
    <row r="270" spans="11:11" ht="15.75" customHeight="1" x14ac:dyDescent="0.25">
      <c r="K270" s="40"/>
    </row>
    <row r="271" spans="11:11" ht="15.75" customHeight="1" x14ac:dyDescent="0.25">
      <c r="K271" s="40"/>
    </row>
    <row r="272" spans="11:11" ht="15.75" customHeight="1" x14ac:dyDescent="0.25">
      <c r="K272" s="40"/>
    </row>
    <row r="273" spans="11:11" ht="15.75" customHeight="1" x14ac:dyDescent="0.25">
      <c r="K273" s="40"/>
    </row>
    <row r="274" spans="11:11" ht="15.75" customHeight="1" x14ac:dyDescent="0.25">
      <c r="K274" s="40"/>
    </row>
    <row r="275" spans="11:11" ht="15.75" customHeight="1" x14ac:dyDescent="0.25">
      <c r="K275" s="40"/>
    </row>
    <row r="276" spans="11:11" ht="15.75" customHeight="1" x14ac:dyDescent="0.25">
      <c r="K276" s="40"/>
    </row>
    <row r="277" spans="11:11" ht="15.75" customHeight="1" x14ac:dyDescent="0.25">
      <c r="K277" s="40"/>
    </row>
    <row r="278" spans="11:11" ht="15.75" customHeight="1" x14ac:dyDescent="0.25">
      <c r="K278" s="40"/>
    </row>
    <row r="279" spans="11:11" ht="15.75" customHeight="1" x14ac:dyDescent="0.25">
      <c r="K279" s="40"/>
    </row>
    <row r="280" spans="11:11" ht="15.75" customHeight="1" x14ac:dyDescent="0.25">
      <c r="K280" s="40"/>
    </row>
    <row r="281" spans="11:11" ht="15.75" customHeight="1" x14ac:dyDescent="0.25">
      <c r="K281" s="40"/>
    </row>
    <row r="282" spans="11:11" ht="15.75" customHeight="1" x14ac:dyDescent="0.25">
      <c r="K282" s="40"/>
    </row>
    <row r="283" spans="11:11" ht="15.75" customHeight="1" x14ac:dyDescent="0.25">
      <c r="K283" s="40"/>
    </row>
    <row r="284" spans="11:11" ht="15.75" customHeight="1" x14ac:dyDescent="0.25">
      <c r="K284" s="40"/>
    </row>
    <row r="285" spans="11:11" ht="15.75" customHeight="1" x14ac:dyDescent="0.25">
      <c r="K285" s="40"/>
    </row>
    <row r="286" spans="11:11" ht="15.75" customHeight="1" x14ac:dyDescent="0.25">
      <c r="K286" s="40"/>
    </row>
    <row r="287" spans="11:11" ht="15.75" customHeight="1" x14ac:dyDescent="0.25">
      <c r="K287" s="40"/>
    </row>
    <row r="288" spans="1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sheetData>
  <mergeCells count="16">
    <mergeCell ref="A3:G3"/>
    <mergeCell ref="A4:G4"/>
    <mergeCell ref="A8:G8"/>
    <mergeCell ref="A9:A12"/>
    <mergeCell ref="B9:B12"/>
    <mergeCell ref="C9:C10"/>
    <mergeCell ref="D9:F9"/>
    <mergeCell ref="G9:G10"/>
    <mergeCell ref="F10:F11"/>
    <mergeCell ref="A101:G101"/>
    <mergeCell ref="A102:A105"/>
    <mergeCell ref="B102:B105"/>
    <mergeCell ref="C102:C103"/>
    <mergeCell ref="D102:F102"/>
    <mergeCell ref="G102:G103"/>
    <mergeCell ref="F103:F104"/>
  </mergeCells>
  <pageMargins left="0.39370078740157483" right="0.39370078740157483" top="0.39370078740157483" bottom="0.39370078740157483" header="0" footer="0"/>
  <pageSetup paperSize="9" scale="88" fitToHeight="0" orientation="portrait" r:id="rId1"/>
  <rowBreaks count="1" manualBreakCount="1">
    <brk id="94" max="6"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96"/>
  <sheetViews>
    <sheetView view="pageBreakPreview" topLeftCell="A49" zoomScale="130" zoomScaleNormal="100" zoomScaleSheetLayoutView="130" workbookViewId="0">
      <selection activeCell="A60" sqref="A60"/>
    </sheetView>
  </sheetViews>
  <sheetFormatPr defaultColWidth="14.42578125" defaultRowHeight="15" customHeight="1" x14ac:dyDescent="0.25"/>
  <cols>
    <col min="1" max="1" width="72.28515625" customWidth="1"/>
    <col min="2" max="2" width="17.28515625" customWidth="1"/>
    <col min="3" max="6" width="16.7109375" hidden="1" customWidth="1"/>
    <col min="7" max="7" width="16.7109375" customWidth="1"/>
    <col min="8" max="9" width="14" customWidth="1"/>
    <col min="10" max="11" width="12.28515625" customWidth="1"/>
    <col min="12"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2571</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75" customHeight="1" x14ac:dyDescent="0.25">
      <c r="A13" s="17" t="s">
        <v>364</v>
      </c>
      <c r="B13" s="172"/>
      <c r="C13" s="42"/>
      <c r="D13" s="42"/>
      <c r="E13" s="42"/>
      <c r="F13" s="42"/>
      <c r="G13" s="42"/>
      <c r="H13" s="7"/>
      <c r="K13" s="40"/>
    </row>
    <row r="14" spans="1:26" ht="15.75" customHeight="1" x14ac:dyDescent="0.25">
      <c r="A14" s="17" t="s">
        <v>365</v>
      </c>
      <c r="B14" s="172"/>
      <c r="C14" s="42"/>
      <c r="D14" s="42"/>
      <c r="E14" s="42"/>
      <c r="F14" s="42"/>
      <c r="G14" s="42"/>
      <c r="H14" s="7"/>
      <c r="K14" s="40"/>
    </row>
    <row r="15" spans="1:26" ht="15.75" customHeight="1" x14ac:dyDescent="0.25">
      <c r="A15" s="17" t="s">
        <v>366</v>
      </c>
      <c r="B15" s="172"/>
      <c r="C15" s="42"/>
      <c r="D15" s="42"/>
      <c r="E15" s="42"/>
      <c r="F15" s="42"/>
      <c r="G15" s="42"/>
      <c r="H15" s="7"/>
      <c r="K15" s="40"/>
    </row>
    <row r="16" spans="1:26" ht="15.75" customHeight="1" x14ac:dyDescent="0.25">
      <c r="A16" s="48" t="s">
        <v>367</v>
      </c>
      <c r="B16" s="41" t="s">
        <v>121</v>
      </c>
      <c r="C16" s="43">
        <v>1770704.33</v>
      </c>
      <c r="D16" s="43">
        <v>742650</v>
      </c>
      <c r="E16" s="43">
        <f>F16-D16</f>
        <v>2259810</v>
      </c>
      <c r="F16" s="43">
        <v>3002460</v>
      </c>
      <c r="G16" s="43">
        <v>3149280</v>
      </c>
      <c r="H16" s="7"/>
      <c r="I16" s="7"/>
      <c r="K16" s="40"/>
    </row>
    <row r="17" spans="1:11" ht="15.75" customHeight="1" x14ac:dyDescent="0.25">
      <c r="A17" s="17" t="s">
        <v>368</v>
      </c>
      <c r="B17" s="41"/>
      <c r="C17" s="43"/>
      <c r="D17" s="43"/>
      <c r="E17" s="43"/>
      <c r="F17" s="43"/>
      <c r="G17" s="43"/>
      <c r="H17" s="7"/>
      <c r="I17" s="7"/>
      <c r="K17" s="40"/>
    </row>
    <row r="18" spans="1:11" ht="15.75" customHeight="1" x14ac:dyDescent="0.25">
      <c r="A18" s="48" t="s">
        <v>369</v>
      </c>
      <c r="B18" s="41" t="s">
        <v>125</v>
      </c>
      <c r="C18" s="43">
        <v>115133.33</v>
      </c>
      <c r="D18" s="43">
        <v>48000</v>
      </c>
      <c r="E18" s="43">
        <f t="shared" ref="E18:E22" si="0">F18-D18</f>
        <v>144000</v>
      </c>
      <c r="F18" s="43">
        <v>192000</v>
      </c>
      <c r="G18" s="43">
        <v>192000</v>
      </c>
      <c r="H18" s="7"/>
      <c r="I18" s="7"/>
      <c r="K18" s="40"/>
    </row>
    <row r="19" spans="1:11" ht="15.75" customHeight="1" x14ac:dyDescent="0.25">
      <c r="A19" s="48" t="s">
        <v>373</v>
      </c>
      <c r="B19" s="41" t="s">
        <v>131</v>
      </c>
      <c r="C19" s="43">
        <v>35000</v>
      </c>
      <c r="D19" s="43">
        <v>28000</v>
      </c>
      <c r="E19" s="43">
        <f t="shared" si="0"/>
        <v>28000</v>
      </c>
      <c r="F19" s="43">
        <v>56000</v>
      </c>
      <c r="G19" s="43">
        <v>56000</v>
      </c>
      <c r="H19" s="7"/>
      <c r="I19" s="7"/>
      <c r="K19" s="40"/>
    </row>
    <row r="20" spans="1:11" ht="15.75" customHeight="1" x14ac:dyDescent="0.25">
      <c r="A20" s="48" t="s">
        <v>690</v>
      </c>
      <c r="B20" s="41" t="s">
        <v>149</v>
      </c>
      <c r="C20" s="43">
        <v>267014.17</v>
      </c>
      <c r="D20" s="43">
        <v>84084.27</v>
      </c>
      <c r="E20" s="43">
        <f t="shared" si="0"/>
        <v>379839.73</v>
      </c>
      <c r="F20" s="43">
        <v>463924</v>
      </c>
      <c r="G20" s="43">
        <v>486610</v>
      </c>
      <c r="H20" s="7"/>
      <c r="I20" s="7"/>
      <c r="K20" s="40"/>
    </row>
    <row r="21" spans="1:11" ht="15.75" customHeight="1" x14ac:dyDescent="0.25">
      <c r="A21" s="48" t="s">
        <v>374</v>
      </c>
      <c r="B21" s="41" t="s">
        <v>151</v>
      </c>
      <c r="C21" s="43">
        <v>152111.79999999999</v>
      </c>
      <c r="D21" s="43">
        <v>0</v>
      </c>
      <c r="E21" s="43">
        <f t="shared" si="0"/>
        <v>250205</v>
      </c>
      <c r="F21" s="43">
        <v>250205</v>
      </c>
      <c r="G21" s="43">
        <v>262440</v>
      </c>
      <c r="H21" s="7"/>
      <c r="I21" s="7"/>
      <c r="K21" s="40"/>
    </row>
    <row r="22" spans="1:11" ht="15.75" customHeight="1" x14ac:dyDescent="0.25">
      <c r="A22" s="48" t="s">
        <v>375</v>
      </c>
      <c r="B22" s="41" t="s">
        <v>153</v>
      </c>
      <c r="C22" s="43">
        <v>23000</v>
      </c>
      <c r="D22" s="43">
        <v>0</v>
      </c>
      <c r="E22" s="43">
        <f t="shared" si="0"/>
        <v>40000</v>
      </c>
      <c r="F22" s="43">
        <v>40000</v>
      </c>
      <c r="G22" s="43">
        <v>40000</v>
      </c>
      <c r="H22" s="7"/>
      <c r="I22" s="7"/>
      <c r="K22" s="40"/>
    </row>
    <row r="23" spans="1:11" ht="15.75" customHeight="1" x14ac:dyDescent="0.25">
      <c r="A23" s="48" t="s">
        <v>376</v>
      </c>
      <c r="B23" s="41" t="s">
        <v>155</v>
      </c>
      <c r="C23" s="43"/>
      <c r="D23" s="43"/>
      <c r="E23" s="43"/>
      <c r="F23" s="43"/>
      <c r="G23" s="43"/>
      <c r="H23" s="7"/>
      <c r="I23" s="7"/>
      <c r="K23" s="40"/>
    </row>
    <row r="24" spans="1:11" ht="15.75" customHeight="1" x14ac:dyDescent="0.25">
      <c r="A24" s="48" t="s">
        <v>377</v>
      </c>
      <c r="B24" s="41" t="s">
        <v>157</v>
      </c>
      <c r="C24" s="43"/>
      <c r="D24" s="43">
        <v>5000</v>
      </c>
      <c r="E24" s="43">
        <f t="shared" ref="E24:E26" si="1">F24-D24</f>
        <v>0</v>
      </c>
      <c r="F24" s="43">
        <v>5000</v>
      </c>
      <c r="G24" s="43">
        <v>5000</v>
      </c>
      <c r="H24" s="56"/>
      <c r="I24" s="7"/>
      <c r="J24" s="7"/>
      <c r="K24" s="40"/>
    </row>
    <row r="25" spans="1:11" ht="15.75" customHeight="1" x14ac:dyDescent="0.25">
      <c r="A25" s="48" t="s">
        <v>1227</v>
      </c>
      <c r="B25" s="41" t="s">
        <v>159</v>
      </c>
      <c r="C25" s="43"/>
      <c r="D25" s="43">
        <v>12000</v>
      </c>
      <c r="E25" s="43">
        <f t="shared" si="1"/>
        <v>12000</v>
      </c>
      <c r="F25" s="43">
        <v>24000</v>
      </c>
      <c r="G25" s="43">
        <v>0</v>
      </c>
      <c r="H25" s="56"/>
      <c r="I25" s="7"/>
      <c r="J25" s="7"/>
      <c r="K25" s="40"/>
    </row>
    <row r="26" spans="1:11" ht="15.75" customHeight="1" x14ac:dyDescent="0.25">
      <c r="A26" s="48" t="s">
        <v>379</v>
      </c>
      <c r="B26" s="41" t="s">
        <v>161</v>
      </c>
      <c r="C26" s="43">
        <v>180581</v>
      </c>
      <c r="D26" s="43">
        <v>123775</v>
      </c>
      <c r="E26" s="43">
        <f t="shared" si="1"/>
        <v>126430</v>
      </c>
      <c r="F26" s="43">
        <v>250205</v>
      </c>
      <c r="G26" s="43">
        <v>262440</v>
      </c>
      <c r="H26" s="56"/>
      <c r="I26" s="7"/>
      <c r="K26" s="40"/>
    </row>
    <row r="27" spans="1:11" ht="15.75" customHeight="1" x14ac:dyDescent="0.25">
      <c r="A27" s="17" t="s">
        <v>380</v>
      </c>
      <c r="B27" s="41"/>
      <c r="C27" s="43"/>
      <c r="D27" s="43"/>
      <c r="E27" s="43"/>
      <c r="F27" s="43"/>
      <c r="G27" s="43"/>
      <c r="H27" s="7"/>
      <c r="I27" s="7"/>
      <c r="K27" s="40"/>
    </row>
    <row r="28" spans="1:11" ht="15.75" customHeight="1" x14ac:dyDescent="0.25">
      <c r="A28" s="48" t="s">
        <v>381</v>
      </c>
      <c r="B28" s="41" t="s">
        <v>165</v>
      </c>
      <c r="C28" s="414">
        <v>212484.52</v>
      </c>
      <c r="D28" s="414">
        <v>89118</v>
      </c>
      <c r="E28" s="43">
        <f t="shared" ref="E28:E31" si="2">F28-D28</f>
        <v>271178</v>
      </c>
      <c r="F28" s="43">
        <v>360296</v>
      </c>
      <c r="G28" s="43">
        <v>377914</v>
      </c>
      <c r="H28" s="7"/>
      <c r="I28" s="7"/>
      <c r="K28" s="40"/>
    </row>
    <row r="29" spans="1:11" ht="15.75" customHeight="1" x14ac:dyDescent="0.25">
      <c r="A29" s="48" t="s">
        <v>382</v>
      </c>
      <c r="B29" s="41" t="s">
        <v>167</v>
      </c>
      <c r="C29" s="43">
        <v>35414.080000000002</v>
      </c>
      <c r="D29" s="43">
        <v>14853</v>
      </c>
      <c r="E29" s="43">
        <f t="shared" si="2"/>
        <v>45197</v>
      </c>
      <c r="F29" s="43">
        <v>60050</v>
      </c>
      <c r="G29" s="43">
        <v>62986</v>
      </c>
      <c r="H29" s="7"/>
      <c r="I29" s="7"/>
      <c r="K29" s="40"/>
    </row>
    <row r="30" spans="1:11" ht="15.75" customHeight="1" x14ac:dyDescent="0.25">
      <c r="A30" s="48" t="s">
        <v>383</v>
      </c>
      <c r="B30" s="41" t="s">
        <v>169</v>
      </c>
      <c r="C30" s="43">
        <v>44267.7</v>
      </c>
      <c r="D30" s="43">
        <v>18566.28</v>
      </c>
      <c r="E30" s="43">
        <f t="shared" si="2"/>
        <v>56499.72</v>
      </c>
      <c r="F30" s="43">
        <v>75066</v>
      </c>
      <c r="G30" s="43">
        <v>78736</v>
      </c>
      <c r="H30" s="7"/>
      <c r="I30" s="7"/>
      <c r="K30" s="40"/>
    </row>
    <row r="31" spans="1:11" ht="15.75" customHeight="1" x14ac:dyDescent="0.25">
      <c r="A31" s="48" t="s">
        <v>384</v>
      </c>
      <c r="B31" s="41" t="s">
        <v>171</v>
      </c>
      <c r="C31" s="43">
        <v>5800</v>
      </c>
      <c r="D31" s="43">
        <v>2400</v>
      </c>
      <c r="E31" s="43">
        <f t="shared" si="2"/>
        <v>7200</v>
      </c>
      <c r="F31" s="43">
        <v>9600</v>
      </c>
      <c r="G31" s="43">
        <v>9600</v>
      </c>
      <c r="H31" s="7"/>
      <c r="I31" s="7"/>
      <c r="K31" s="40"/>
    </row>
    <row r="32" spans="1:11" ht="15.75" customHeight="1" x14ac:dyDescent="0.25">
      <c r="A32" s="17" t="s">
        <v>624</v>
      </c>
      <c r="B32" s="41"/>
      <c r="C32" s="43"/>
      <c r="D32" s="43"/>
      <c r="E32" s="43"/>
      <c r="F32" s="43"/>
      <c r="G32" s="43"/>
      <c r="H32" s="7"/>
      <c r="I32" s="7"/>
      <c r="K32" s="40"/>
    </row>
    <row r="33" spans="1:26" ht="15.75" customHeight="1" x14ac:dyDescent="0.25">
      <c r="A33" s="48" t="s">
        <v>386</v>
      </c>
      <c r="B33" s="41" t="s">
        <v>179</v>
      </c>
      <c r="C33" s="43">
        <v>269761.39</v>
      </c>
      <c r="D33" s="43">
        <v>0</v>
      </c>
      <c r="E33" s="43">
        <f t="shared" ref="E33:E35" si="3">F33-D33</f>
        <v>0</v>
      </c>
      <c r="F33" s="43"/>
      <c r="G33" s="43">
        <v>0</v>
      </c>
      <c r="H33" s="7"/>
      <c r="I33" s="7"/>
      <c r="K33" s="40"/>
    </row>
    <row r="34" spans="1:26" ht="15.75" customHeight="1" x14ac:dyDescent="0.25">
      <c r="A34" s="48" t="s">
        <v>387</v>
      </c>
      <c r="B34" s="41" t="s">
        <v>181</v>
      </c>
      <c r="C34" s="43">
        <v>44480.89</v>
      </c>
      <c r="D34" s="43">
        <v>7413.96</v>
      </c>
      <c r="E34" s="43">
        <f t="shared" si="3"/>
        <v>113167.03999999999</v>
      </c>
      <c r="F34" s="43">
        <v>120581</v>
      </c>
      <c r="G34" s="43">
        <v>126477</v>
      </c>
      <c r="H34" s="7"/>
      <c r="I34" s="7"/>
      <c r="J34" s="7"/>
      <c r="K34" s="40"/>
    </row>
    <row r="35" spans="1:26" ht="15.75" customHeight="1" x14ac:dyDescent="0.25">
      <c r="A35" s="48" t="s">
        <v>388</v>
      </c>
      <c r="B35" s="41" t="s">
        <v>183</v>
      </c>
      <c r="C35" s="43">
        <v>20000</v>
      </c>
      <c r="D35" s="43">
        <v>0</v>
      </c>
      <c r="E35" s="43">
        <f t="shared" si="3"/>
        <v>40000</v>
      </c>
      <c r="F35" s="43">
        <v>40000</v>
      </c>
      <c r="G35" s="43">
        <v>40000</v>
      </c>
      <c r="H35" s="7"/>
      <c r="I35" s="7"/>
      <c r="K35" s="40"/>
    </row>
    <row r="36" spans="1:26" ht="31.5" x14ac:dyDescent="0.25">
      <c r="A36" s="117" t="s">
        <v>1465</v>
      </c>
      <c r="B36" s="172"/>
      <c r="C36" s="43">
        <v>0</v>
      </c>
      <c r="D36" s="43">
        <v>0</v>
      </c>
      <c r="E36" s="43">
        <v>0</v>
      </c>
      <c r="F36" s="43">
        <v>0</v>
      </c>
      <c r="G36" s="43">
        <v>96884</v>
      </c>
      <c r="H36" s="7"/>
      <c r="I36" s="114"/>
      <c r="J36" s="114"/>
      <c r="K36" s="60"/>
      <c r="L36" s="114"/>
      <c r="M36" s="114"/>
      <c r="N36" s="114"/>
      <c r="O36" s="114"/>
      <c r="P36" s="114"/>
      <c r="Q36" s="114"/>
      <c r="R36" s="114"/>
      <c r="S36" s="114"/>
      <c r="T36" s="114"/>
      <c r="U36" s="114"/>
      <c r="V36" s="114"/>
      <c r="W36" s="114"/>
      <c r="X36" s="114"/>
      <c r="Y36" s="114"/>
      <c r="Z36" s="114"/>
    </row>
    <row r="37" spans="1:26" ht="15.75" customHeight="1" x14ac:dyDescent="0.25">
      <c r="A37" s="446" t="s">
        <v>390</v>
      </c>
      <c r="B37" s="558"/>
      <c r="C37" s="54">
        <f t="shared" ref="C37:G37" si="4">SUM(C16:C36)</f>
        <v>3175753.2100000004</v>
      </c>
      <c r="D37" s="54">
        <f t="shared" si="4"/>
        <v>1175860.51</v>
      </c>
      <c r="E37" s="54">
        <f t="shared" si="4"/>
        <v>3773526.49</v>
      </c>
      <c r="F37" s="54">
        <f t="shared" si="4"/>
        <v>4949387</v>
      </c>
      <c r="G37" s="54">
        <f t="shared" si="4"/>
        <v>5246367</v>
      </c>
      <c r="H37" s="194"/>
      <c r="I37" s="176"/>
      <c r="J37" s="176"/>
      <c r="K37" s="177"/>
      <c r="L37" s="176"/>
      <c r="M37" s="176"/>
      <c r="N37" s="176"/>
      <c r="O37" s="176"/>
      <c r="P37" s="176"/>
      <c r="Q37" s="176"/>
      <c r="R37" s="176"/>
      <c r="S37" s="176"/>
      <c r="T37" s="176"/>
      <c r="U37" s="176"/>
      <c r="V37" s="176"/>
      <c r="W37" s="176"/>
      <c r="X37" s="176"/>
      <c r="Y37" s="176"/>
      <c r="Z37" s="176"/>
    </row>
    <row r="38" spans="1:26" ht="15.75" customHeight="1" x14ac:dyDescent="0.25">
      <c r="A38" s="486"/>
      <c r="B38" s="558"/>
      <c r="C38" s="39"/>
      <c r="D38" s="55"/>
      <c r="E38" s="55"/>
      <c r="F38" s="55"/>
      <c r="G38" s="55"/>
      <c r="H38" s="195"/>
      <c r="I38" s="178"/>
      <c r="J38" s="178"/>
      <c r="K38" s="179"/>
      <c r="L38" s="178"/>
      <c r="M38" s="178"/>
      <c r="N38" s="178"/>
      <c r="O38" s="178"/>
      <c r="P38" s="178"/>
      <c r="Q38" s="178"/>
      <c r="R38" s="178"/>
      <c r="S38" s="178"/>
      <c r="T38" s="178"/>
      <c r="U38" s="178"/>
      <c r="V38" s="178"/>
      <c r="W38" s="178"/>
      <c r="X38" s="178"/>
      <c r="Y38" s="178"/>
      <c r="Z38" s="178"/>
    </row>
    <row r="39" spans="1:26" ht="15.75" customHeight="1" x14ac:dyDescent="0.25">
      <c r="A39" s="42" t="s">
        <v>391</v>
      </c>
      <c r="B39" s="49"/>
      <c r="C39" s="45"/>
      <c r="D39" s="45"/>
      <c r="E39" s="45"/>
      <c r="F39" s="45"/>
      <c r="G39" s="45"/>
      <c r="H39" s="7"/>
      <c r="K39" s="40"/>
    </row>
    <row r="40" spans="1:26" ht="15.75" customHeight="1" x14ac:dyDescent="0.25">
      <c r="A40" s="17" t="s">
        <v>493</v>
      </c>
      <c r="B40" s="41"/>
      <c r="C40" s="43"/>
      <c r="D40" s="43"/>
      <c r="E40" s="45"/>
      <c r="F40" s="43"/>
      <c r="G40" s="43"/>
      <c r="H40" s="7"/>
      <c r="K40" s="40"/>
    </row>
    <row r="41" spans="1:26" ht="15.75" customHeight="1" x14ac:dyDescent="0.25">
      <c r="A41" s="48" t="s">
        <v>396</v>
      </c>
      <c r="B41" s="20" t="s">
        <v>191</v>
      </c>
      <c r="C41" s="56">
        <v>36650</v>
      </c>
      <c r="D41" s="43">
        <v>36475</v>
      </c>
      <c r="E41" s="43">
        <f>F41-D41</f>
        <v>525</v>
      </c>
      <c r="F41" s="26">
        <v>37000</v>
      </c>
      <c r="G41" s="43">
        <v>46500</v>
      </c>
      <c r="H41" s="7">
        <v>46500</v>
      </c>
      <c r="K41" s="40"/>
    </row>
    <row r="42" spans="1:26" ht="15.75" customHeight="1" x14ac:dyDescent="0.25">
      <c r="A42" s="17" t="s">
        <v>499</v>
      </c>
      <c r="B42" s="20"/>
      <c r="C42" s="56"/>
      <c r="D42" s="43"/>
      <c r="E42" s="43"/>
      <c r="F42" s="56"/>
      <c r="G42" s="43"/>
      <c r="H42" s="7"/>
      <c r="K42" s="40"/>
    </row>
    <row r="43" spans="1:26" ht="15.75" customHeight="1" x14ac:dyDescent="0.25">
      <c r="A43" s="48" t="s">
        <v>398</v>
      </c>
      <c r="B43" s="41" t="s">
        <v>195</v>
      </c>
      <c r="C43" s="43">
        <v>63336</v>
      </c>
      <c r="D43" s="56">
        <v>34524.86</v>
      </c>
      <c r="E43" s="43">
        <f t="shared" ref="E43:E46" si="5">F43-D43</f>
        <v>48479.14</v>
      </c>
      <c r="F43" s="43">
        <v>83004</v>
      </c>
      <c r="G43" s="43">
        <v>82815</v>
      </c>
      <c r="H43" s="7">
        <v>82815</v>
      </c>
      <c r="K43" s="40"/>
    </row>
    <row r="44" spans="1:26" ht="15.75" customHeight="1" x14ac:dyDescent="0.25">
      <c r="A44" s="48" t="s">
        <v>399</v>
      </c>
      <c r="B44" s="49" t="s">
        <v>211</v>
      </c>
      <c r="C44" s="45">
        <v>2997542.5</v>
      </c>
      <c r="D44" s="45">
        <v>653059.18999999994</v>
      </c>
      <c r="E44" s="45">
        <f t="shared" si="5"/>
        <v>1882321.81</v>
      </c>
      <c r="F44" s="45">
        <v>2535381</v>
      </c>
      <c r="G44" s="43">
        <v>2535445</v>
      </c>
      <c r="H44" s="7">
        <v>2535445</v>
      </c>
      <c r="K44" s="40"/>
    </row>
    <row r="45" spans="1:26" ht="15.75" customHeight="1" x14ac:dyDescent="0.25">
      <c r="A45" s="48" t="s">
        <v>400</v>
      </c>
      <c r="B45" s="49" t="s">
        <v>221</v>
      </c>
      <c r="C45" s="45">
        <v>0</v>
      </c>
      <c r="D45" s="45">
        <v>112460</v>
      </c>
      <c r="E45" s="45">
        <f t="shared" si="5"/>
        <v>240</v>
      </c>
      <c r="F45" s="45">
        <v>112700</v>
      </c>
      <c r="G45" s="43">
        <v>111200</v>
      </c>
      <c r="H45" s="7">
        <v>111200</v>
      </c>
      <c r="K45" s="40"/>
    </row>
    <row r="46" spans="1:26" ht="15.75" customHeight="1" x14ac:dyDescent="0.25">
      <c r="A46" s="48" t="s">
        <v>402</v>
      </c>
      <c r="B46" s="49" t="s">
        <v>225</v>
      </c>
      <c r="C46" s="45">
        <v>394462.77</v>
      </c>
      <c r="D46" s="45">
        <v>273771.14</v>
      </c>
      <c r="E46" s="45">
        <f t="shared" si="5"/>
        <v>277632.86</v>
      </c>
      <c r="F46" s="45">
        <v>551404</v>
      </c>
      <c r="G46" s="43">
        <v>551594</v>
      </c>
      <c r="H46" s="7">
        <v>551594</v>
      </c>
      <c r="K46" s="40"/>
    </row>
    <row r="47" spans="1:26" ht="15.75" customHeight="1" x14ac:dyDescent="0.25">
      <c r="A47" s="42" t="s">
        <v>813</v>
      </c>
      <c r="B47" s="41"/>
      <c r="C47" s="43"/>
      <c r="D47" s="43"/>
      <c r="E47" s="43"/>
      <c r="F47" s="43"/>
      <c r="G47" s="43"/>
      <c r="H47" s="7"/>
      <c r="K47" s="40"/>
    </row>
    <row r="48" spans="1:26" ht="15.75" customHeight="1" x14ac:dyDescent="0.25">
      <c r="A48" s="48" t="s">
        <v>814</v>
      </c>
      <c r="B48" s="41" t="s">
        <v>227</v>
      </c>
      <c r="C48" s="43">
        <v>106270.6</v>
      </c>
      <c r="D48" s="43">
        <v>39908.6</v>
      </c>
      <c r="E48" s="43">
        <f t="shared" ref="E48:E49" si="6">F48-D48</f>
        <v>80091.399999999994</v>
      </c>
      <c r="F48" s="43">
        <v>120000</v>
      </c>
      <c r="G48" s="43">
        <v>120000</v>
      </c>
      <c r="H48" s="7">
        <v>120000</v>
      </c>
      <c r="K48" s="40"/>
    </row>
    <row r="49" spans="1:11" ht="15.75" customHeight="1" x14ac:dyDescent="0.25">
      <c r="A49" s="48" t="s">
        <v>815</v>
      </c>
      <c r="B49" s="41" t="s">
        <v>229</v>
      </c>
      <c r="C49" s="43">
        <v>623920.31999999995</v>
      </c>
      <c r="D49" s="43">
        <v>241395.06</v>
      </c>
      <c r="E49" s="43">
        <f t="shared" si="6"/>
        <v>1198604.94</v>
      </c>
      <c r="F49" s="43">
        <v>1440000</v>
      </c>
      <c r="G49" s="43">
        <v>1440000</v>
      </c>
      <c r="H49" s="7">
        <v>1440000</v>
      </c>
      <c r="K49" s="40"/>
    </row>
    <row r="50" spans="1:11" ht="15.75" customHeight="1" x14ac:dyDescent="0.25">
      <c r="A50" s="17" t="s">
        <v>503</v>
      </c>
      <c r="B50" s="41"/>
      <c r="C50" s="45"/>
      <c r="D50" s="45"/>
      <c r="E50" s="45"/>
      <c r="F50" s="45"/>
      <c r="G50" s="43"/>
      <c r="H50" s="7"/>
      <c r="K50" s="40"/>
    </row>
    <row r="51" spans="1:11" ht="15.75" customHeight="1" x14ac:dyDescent="0.25">
      <c r="A51" s="48" t="s">
        <v>504</v>
      </c>
      <c r="B51" s="41" t="s">
        <v>237</v>
      </c>
      <c r="C51" s="45">
        <v>0</v>
      </c>
      <c r="D51" s="26">
        <v>5483.32</v>
      </c>
      <c r="E51" s="43">
        <f>F51-D51</f>
        <v>24516.68</v>
      </c>
      <c r="F51" s="45">
        <v>30000</v>
      </c>
      <c r="G51" s="43">
        <v>30000</v>
      </c>
      <c r="H51" s="7">
        <v>30000</v>
      </c>
      <c r="K51" s="40"/>
    </row>
    <row r="52" spans="1:11" ht="15.75" customHeight="1" x14ac:dyDescent="0.25">
      <c r="A52" s="17" t="s">
        <v>2572</v>
      </c>
      <c r="B52" s="20"/>
      <c r="C52" s="43"/>
      <c r="D52" s="26"/>
      <c r="E52" s="43"/>
      <c r="F52" s="45"/>
      <c r="G52" s="43"/>
      <c r="H52" s="7"/>
      <c r="K52" s="40"/>
    </row>
    <row r="53" spans="1:11" ht="15.75" customHeight="1" x14ac:dyDescent="0.25">
      <c r="A53" s="48" t="s">
        <v>2573</v>
      </c>
      <c r="B53" s="25" t="s">
        <v>283</v>
      </c>
      <c r="C53" s="43">
        <v>0</v>
      </c>
      <c r="D53" s="26">
        <v>0</v>
      </c>
      <c r="E53" s="43">
        <v>0</v>
      </c>
      <c r="F53" s="26">
        <v>0</v>
      </c>
      <c r="G53" s="43">
        <v>500000</v>
      </c>
      <c r="H53" s="7">
        <v>500000</v>
      </c>
      <c r="K53" s="40"/>
    </row>
    <row r="54" spans="1:11" ht="15.75" customHeight="1" x14ac:dyDescent="0.25">
      <c r="A54" s="597" t="s">
        <v>838</v>
      </c>
      <c r="B54" s="224" t="s">
        <v>285</v>
      </c>
      <c r="C54" s="457">
        <v>245534.5</v>
      </c>
      <c r="D54" s="77">
        <v>123558.5</v>
      </c>
      <c r="E54" s="457">
        <f t="shared" ref="E54:E55" si="7">F54-D54</f>
        <v>126441.5</v>
      </c>
      <c r="F54" s="77">
        <v>250000</v>
      </c>
      <c r="G54" s="457">
        <v>250000</v>
      </c>
      <c r="H54" s="7">
        <v>250000</v>
      </c>
      <c r="K54" s="40"/>
    </row>
    <row r="55" spans="1:11" ht="15.75" customHeight="1" x14ac:dyDescent="0.25">
      <c r="A55" s="615" t="s">
        <v>817</v>
      </c>
      <c r="B55" s="709" t="s">
        <v>287</v>
      </c>
      <c r="C55" s="448">
        <v>351915.5</v>
      </c>
      <c r="D55" s="497">
        <v>174859</v>
      </c>
      <c r="E55" s="448">
        <f t="shared" si="7"/>
        <v>179387</v>
      </c>
      <c r="F55" s="497">
        <v>354246</v>
      </c>
      <c r="G55" s="448">
        <v>354246</v>
      </c>
      <c r="H55" s="7">
        <v>354246</v>
      </c>
      <c r="K55" s="40"/>
    </row>
    <row r="56" spans="1:11" ht="15.75" customHeight="1" x14ac:dyDescent="0.25">
      <c r="A56" s="17" t="s">
        <v>511</v>
      </c>
      <c r="B56" s="20"/>
      <c r="C56" s="43"/>
      <c r="D56" s="26"/>
      <c r="E56" s="43"/>
      <c r="F56" s="26"/>
      <c r="G56" s="43"/>
      <c r="H56" s="7"/>
      <c r="K56" s="40"/>
    </row>
    <row r="57" spans="1:11" ht="15.75" customHeight="1" x14ac:dyDescent="0.25">
      <c r="A57" s="48" t="s">
        <v>424</v>
      </c>
      <c r="B57" s="41" t="s">
        <v>335</v>
      </c>
      <c r="C57" s="43">
        <v>6965138</v>
      </c>
      <c r="D57" s="56">
        <v>2824677</v>
      </c>
      <c r="E57" s="43">
        <f>F57-D57</f>
        <v>4420523</v>
      </c>
      <c r="F57" s="45">
        <v>7245200</v>
      </c>
      <c r="G57" s="43">
        <v>10361612</v>
      </c>
      <c r="H57" s="7"/>
      <c r="I57" s="415">
        <f>G57-SUM(K60:K68)-H58</f>
        <v>0</v>
      </c>
      <c r="K57" s="40"/>
    </row>
    <row r="58" spans="1:11" ht="15.75" customHeight="1" x14ac:dyDescent="0.25">
      <c r="A58" s="74" t="s">
        <v>2574</v>
      </c>
      <c r="B58" s="41"/>
      <c r="C58" s="43"/>
      <c r="D58" s="56"/>
      <c r="E58" s="43"/>
      <c r="F58" s="45"/>
      <c r="G58" s="43"/>
      <c r="H58" s="7">
        <v>20000</v>
      </c>
      <c r="K58" s="40">
        <f>SUM(K60:K68)+H58</f>
        <v>10361612</v>
      </c>
    </row>
    <row r="59" spans="1:11" ht="15.75" customHeight="1" x14ac:dyDescent="0.25">
      <c r="A59" s="74" t="s">
        <v>648</v>
      </c>
      <c r="B59" s="41"/>
      <c r="C59" s="43"/>
      <c r="D59" s="56"/>
      <c r="E59" s="43"/>
      <c r="F59" s="45"/>
      <c r="G59" s="43"/>
      <c r="H59" s="7"/>
      <c r="K59" s="40"/>
    </row>
    <row r="60" spans="1:11" ht="15.75" customHeight="1" x14ac:dyDescent="0.25">
      <c r="A60" s="74" t="s">
        <v>1710</v>
      </c>
      <c r="B60" s="41"/>
      <c r="C60" s="43"/>
      <c r="D60" s="56"/>
      <c r="E60" s="43"/>
      <c r="F60" s="45"/>
      <c r="G60" s="43"/>
      <c r="H60" s="7">
        <v>1</v>
      </c>
      <c r="I60" s="57">
        <v>678</v>
      </c>
      <c r="J60" s="57">
        <f>22*12</f>
        <v>264</v>
      </c>
      <c r="K60" s="40">
        <f t="shared" ref="K60:K68" si="8">J60*I60*H60</f>
        <v>178992</v>
      </c>
    </row>
    <row r="61" spans="1:11" ht="47.25" x14ac:dyDescent="0.25">
      <c r="A61" s="90" t="s">
        <v>2575</v>
      </c>
      <c r="B61" s="41"/>
      <c r="C61" s="43"/>
      <c r="D61" s="56"/>
      <c r="E61" s="43"/>
      <c r="F61" s="45"/>
      <c r="G61" s="43"/>
      <c r="H61" s="7">
        <v>35</v>
      </c>
      <c r="I61" s="57">
        <v>639</v>
      </c>
      <c r="J61" s="57">
        <f t="shared" ref="J61:J67" si="9">26*12</f>
        <v>312</v>
      </c>
      <c r="K61" s="40">
        <f t="shared" si="8"/>
        <v>6977880</v>
      </c>
    </row>
    <row r="62" spans="1:11" ht="31.5" x14ac:dyDescent="0.25">
      <c r="A62" s="90" t="s">
        <v>2576</v>
      </c>
      <c r="B62" s="41"/>
      <c r="C62" s="43"/>
      <c r="D62" s="56"/>
      <c r="E62" s="43"/>
      <c r="F62" s="45"/>
      <c r="G62" s="43"/>
      <c r="H62" s="7">
        <v>2</v>
      </c>
      <c r="I62" s="57">
        <v>678</v>
      </c>
      <c r="J62" s="57">
        <f t="shared" si="9"/>
        <v>312</v>
      </c>
      <c r="K62" s="40">
        <f t="shared" si="8"/>
        <v>423072</v>
      </c>
    </row>
    <row r="63" spans="1:11" ht="15.75" x14ac:dyDescent="0.25">
      <c r="A63" s="74" t="s">
        <v>2577</v>
      </c>
      <c r="B63" s="41"/>
      <c r="C63" s="43"/>
      <c r="D63" s="56"/>
      <c r="E63" s="43"/>
      <c r="F63" s="45"/>
      <c r="G63" s="43"/>
      <c r="H63" s="7">
        <v>1</v>
      </c>
      <c r="I63" s="57">
        <v>765</v>
      </c>
      <c r="J63" s="57">
        <f t="shared" si="9"/>
        <v>312</v>
      </c>
      <c r="K63" s="40">
        <f t="shared" si="8"/>
        <v>238680</v>
      </c>
    </row>
    <row r="64" spans="1:11" ht="15.75" customHeight="1" x14ac:dyDescent="0.25">
      <c r="A64" s="74" t="s">
        <v>2578</v>
      </c>
      <c r="B64" s="41"/>
      <c r="C64" s="43"/>
      <c r="D64" s="56"/>
      <c r="E64" s="43"/>
      <c r="F64" s="45"/>
      <c r="G64" s="43"/>
      <c r="H64" s="7">
        <v>2</v>
      </c>
      <c r="I64" s="57">
        <v>765</v>
      </c>
      <c r="J64" s="57">
        <f t="shared" si="9"/>
        <v>312</v>
      </c>
      <c r="K64" s="40">
        <f t="shared" si="8"/>
        <v>477360</v>
      </c>
    </row>
    <row r="65" spans="1:11" ht="15.75" customHeight="1" x14ac:dyDescent="0.25">
      <c r="A65" s="74" t="s">
        <v>2579</v>
      </c>
      <c r="B65" s="41"/>
      <c r="C65" s="43"/>
      <c r="D65" s="56"/>
      <c r="E65" s="43"/>
      <c r="F65" s="45"/>
      <c r="G65" s="43"/>
      <c r="H65" s="7">
        <v>1</v>
      </c>
      <c r="I65" s="57">
        <v>765</v>
      </c>
      <c r="J65" s="57">
        <f t="shared" si="9"/>
        <v>312</v>
      </c>
      <c r="K65" s="40">
        <f t="shared" si="8"/>
        <v>238680</v>
      </c>
    </row>
    <row r="66" spans="1:11" ht="15.75" customHeight="1" x14ac:dyDescent="0.25">
      <c r="A66" s="74" t="s">
        <v>2554</v>
      </c>
      <c r="B66" s="41"/>
      <c r="C66" s="43"/>
      <c r="D66" s="56"/>
      <c r="E66" s="43"/>
      <c r="F66" s="45"/>
      <c r="G66" s="43"/>
      <c r="H66" s="7">
        <v>1</v>
      </c>
      <c r="I66" s="57">
        <v>765</v>
      </c>
      <c r="J66" s="57">
        <f t="shared" si="9"/>
        <v>312</v>
      </c>
      <c r="K66" s="40">
        <f t="shared" si="8"/>
        <v>238680</v>
      </c>
    </row>
    <row r="67" spans="1:11" ht="15.75" customHeight="1" x14ac:dyDescent="0.25">
      <c r="A67" s="74" t="s">
        <v>2580</v>
      </c>
      <c r="B67" s="41"/>
      <c r="C67" s="43"/>
      <c r="D67" s="56"/>
      <c r="E67" s="43"/>
      <c r="F67" s="45"/>
      <c r="G67" s="43"/>
      <c r="H67" s="7">
        <v>6</v>
      </c>
      <c r="I67" s="57">
        <v>678</v>
      </c>
      <c r="J67" s="57">
        <f t="shared" si="9"/>
        <v>312</v>
      </c>
      <c r="K67" s="40">
        <f t="shared" si="8"/>
        <v>1269216</v>
      </c>
    </row>
    <row r="68" spans="1:11" ht="31.5" x14ac:dyDescent="0.25">
      <c r="A68" s="90" t="s">
        <v>2581</v>
      </c>
      <c r="B68" s="41"/>
      <c r="C68" s="43"/>
      <c r="D68" s="56"/>
      <c r="E68" s="43"/>
      <c r="F68" s="45"/>
      <c r="G68" s="43"/>
      <c r="H68" s="7">
        <v>6</v>
      </c>
      <c r="I68" s="57">
        <v>639</v>
      </c>
      <c r="J68" s="57">
        <f>26*3</f>
        <v>78</v>
      </c>
      <c r="K68" s="40">
        <f t="shared" si="8"/>
        <v>299052</v>
      </c>
    </row>
    <row r="69" spans="1:11" ht="15.75" customHeight="1" x14ac:dyDescent="0.25">
      <c r="A69" s="42" t="s">
        <v>466</v>
      </c>
      <c r="B69" s="41"/>
      <c r="C69" s="54">
        <f t="shared" ref="C69:G69" si="10">SUM(C41:C57)</f>
        <v>11784770.190000001</v>
      </c>
      <c r="D69" s="97">
        <f t="shared" si="10"/>
        <v>4520171.67</v>
      </c>
      <c r="E69" s="54">
        <f t="shared" si="10"/>
        <v>8238763.3300000001</v>
      </c>
      <c r="F69" s="79">
        <f t="shared" si="10"/>
        <v>12758935</v>
      </c>
      <c r="G69" s="54">
        <f t="shared" si="10"/>
        <v>16383412</v>
      </c>
      <c r="H69" s="7"/>
      <c r="K69" s="40"/>
    </row>
    <row r="70" spans="1:11" ht="15.75" customHeight="1" x14ac:dyDescent="0.25">
      <c r="A70" s="17"/>
      <c r="B70" s="41"/>
      <c r="C70" s="43"/>
      <c r="D70" s="43"/>
      <c r="E70" s="43"/>
      <c r="F70" s="43"/>
      <c r="G70" s="43"/>
      <c r="H70" s="7"/>
      <c r="K70" s="40"/>
    </row>
    <row r="71" spans="1:11" ht="15.75" customHeight="1" x14ac:dyDescent="0.25">
      <c r="A71" s="17" t="s">
        <v>467</v>
      </c>
      <c r="B71" s="41"/>
      <c r="C71" s="43">
        <f t="shared" ref="C71:G71" si="11">C37+C69</f>
        <v>14960523.400000002</v>
      </c>
      <c r="D71" s="43">
        <f t="shared" si="11"/>
        <v>5696032.1799999997</v>
      </c>
      <c r="E71" s="43">
        <f t="shared" si="11"/>
        <v>12012289.82</v>
      </c>
      <c r="F71" s="43">
        <f t="shared" si="11"/>
        <v>17708322</v>
      </c>
      <c r="G71" s="43">
        <f t="shared" si="11"/>
        <v>21629779</v>
      </c>
      <c r="H71" s="7"/>
      <c r="K71" s="40"/>
    </row>
    <row r="72" spans="1:11" ht="15.75" customHeight="1" x14ac:dyDescent="0.25">
      <c r="A72" s="446"/>
      <c r="B72" s="437"/>
      <c r="C72" s="438"/>
      <c r="D72" s="438"/>
      <c r="E72" s="438"/>
      <c r="F72" s="438"/>
      <c r="G72" s="438"/>
      <c r="H72" s="7"/>
      <c r="K72" s="40"/>
    </row>
    <row r="73" spans="1:11" ht="15.75" customHeight="1" x14ac:dyDescent="0.25">
      <c r="A73" s="486" t="s">
        <v>529</v>
      </c>
      <c r="B73" s="437"/>
      <c r="C73" s="438"/>
      <c r="D73" s="438"/>
      <c r="E73" s="438"/>
      <c r="F73" s="438"/>
      <c r="G73" s="438"/>
      <c r="H73" s="7"/>
      <c r="K73" s="40"/>
    </row>
    <row r="74" spans="1:11" ht="15.75" customHeight="1" x14ac:dyDescent="0.25">
      <c r="A74" s="42" t="s">
        <v>673</v>
      </c>
      <c r="B74" s="23"/>
      <c r="C74" s="43"/>
      <c r="D74" s="43"/>
      <c r="E74" s="43"/>
      <c r="F74" s="43"/>
      <c r="G74" s="43"/>
      <c r="H74" s="7"/>
      <c r="K74" s="40"/>
    </row>
    <row r="75" spans="1:11" ht="15.75" customHeight="1" x14ac:dyDescent="0.25">
      <c r="A75" s="48" t="s">
        <v>479</v>
      </c>
      <c r="B75" s="49" t="s">
        <v>47</v>
      </c>
      <c r="C75" s="45">
        <v>0</v>
      </c>
      <c r="D75" s="43">
        <v>0</v>
      </c>
      <c r="E75" s="43">
        <v>0</v>
      </c>
      <c r="F75" s="43">
        <v>0</v>
      </c>
      <c r="G75" s="43">
        <v>52800</v>
      </c>
      <c r="H75" s="7"/>
      <c r="K75" s="40"/>
    </row>
    <row r="76" spans="1:11" ht="15.75" customHeight="1" x14ac:dyDescent="0.25">
      <c r="A76" s="48" t="s">
        <v>2582</v>
      </c>
      <c r="B76" s="49"/>
      <c r="C76" s="45"/>
      <c r="D76" s="43"/>
      <c r="E76" s="43"/>
      <c r="F76" s="43"/>
      <c r="G76" s="43"/>
      <c r="H76" s="7"/>
      <c r="K76" s="40"/>
    </row>
    <row r="77" spans="1:11" ht="15.75" customHeight="1" x14ac:dyDescent="0.25">
      <c r="A77" s="48" t="s">
        <v>564</v>
      </c>
      <c r="B77" s="49" t="s">
        <v>74</v>
      </c>
      <c r="C77" s="45">
        <v>158380</v>
      </c>
      <c r="D77" s="43">
        <v>0</v>
      </c>
      <c r="E77" s="43">
        <f t="shared" ref="E77" si="12">F77-D77</f>
        <v>0</v>
      </c>
      <c r="F77" s="43">
        <v>0</v>
      </c>
      <c r="G77" s="43">
        <v>60000</v>
      </c>
      <c r="H77" s="7"/>
      <c r="K77" s="40"/>
    </row>
    <row r="78" spans="1:11" ht="15.75" customHeight="1" x14ac:dyDescent="0.25">
      <c r="A78" s="48" t="s">
        <v>2583</v>
      </c>
      <c r="B78" s="49"/>
      <c r="C78" s="45"/>
      <c r="D78" s="43"/>
      <c r="E78" s="43"/>
      <c r="F78" s="43"/>
      <c r="G78" s="43"/>
      <c r="H78" s="7"/>
      <c r="K78" s="40"/>
    </row>
    <row r="79" spans="1:11" ht="15.75" customHeight="1" x14ac:dyDescent="0.25">
      <c r="A79" s="42" t="s">
        <v>929</v>
      </c>
      <c r="B79" s="49"/>
      <c r="C79" s="54">
        <f>SUM(C75:C78)</f>
        <v>158380</v>
      </c>
      <c r="D79" s="54">
        <f>SUM(D75:D78)</f>
        <v>0</v>
      </c>
      <c r="E79" s="54">
        <f>SUM(E75:E78)</f>
        <v>0</v>
      </c>
      <c r="F79" s="54">
        <f>SUM(F75:F78)</f>
        <v>0</v>
      </c>
      <c r="G79" s="54">
        <f>SUM(G75:G78)</f>
        <v>112800</v>
      </c>
      <c r="H79" s="7"/>
      <c r="K79" s="40"/>
    </row>
    <row r="80" spans="1:11" ht="15.75" customHeight="1" x14ac:dyDescent="0.25">
      <c r="A80" s="42"/>
      <c r="B80" s="20"/>
      <c r="C80" s="56"/>
      <c r="D80" s="56"/>
      <c r="E80" s="43"/>
      <c r="F80" s="26"/>
      <c r="G80" s="43"/>
      <c r="H80" s="7"/>
      <c r="K80" s="40"/>
    </row>
    <row r="81" spans="1:11" ht="15.75" customHeight="1" x14ac:dyDescent="0.25">
      <c r="A81" s="160" t="s">
        <v>487</v>
      </c>
      <c r="B81" s="133" t="s">
        <v>488</v>
      </c>
      <c r="C81" s="413">
        <f>C71+C79</f>
        <v>15118903.400000002</v>
      </c>
      <c r="D81" s="413">
        <f>D71+D79</f>
        <v>5696032.1799999997</v>
      </c>
      <c r="E81" s="413">
        <f>E71+E79</f>
        <v>12012289.82</v>
      </c>
      <c r="F81" s="413">
        <f>F71+F79</f>
        <v>17708322</v>
      </c>
      <c r="G81" s="413">
        <f>G71+G79</f>
        <v>21742579</v>
      </c>
      <c r="H81" s="7"/>
      <c r="K81" s="40"/>
    </row>
    <row r="82" spans="1:11" ht="15.75" customHeight="1" x14ac:dyDescent="0.25">
      <c r="A82" s="24"/>
      <c r="B82" s="174"/>
      <c r="C82" s="26"/>
      <c r="D82" s="26"/>
      <c r="E82" s="26"/>
      <c r="F82" s="26"/>
      <c r="G82" s="26"/>
      <c r="H82" s="7"/>
      <c r="K82" s="40"/>
    </row>
    <row r="83" spans="1:11" ht="15.75" customHeight="1" x14ac:dyDescent="0.25">
      <c r="A83" s="24"/>
      <c r="B83" s="174"/>
      <c r="C83" s="24"/>
      <c r="D83" s="24"/>
      <c r="E83" s="24"/>
      <c r="H83" s="7"/>
      <c r="K83" s="40"/>
    </row>
    <row r="84" spans="1:11" ht="15.75" customHeight="1" x14ac:dyDescent="0.25">
      <c r="A84" s="24"/>
      <c r="B84" s="174"/>
      <c r="C84" s="24"/>
      <c r="D84" s="24"/>
      <c r="E84" s="24"/>
      <c r="H84" s="7"/>
      <c r="K84" s="40"/>
    </row>
    <row r="85" spans="1:11" ht="15.75" customHeight="1" x14ac:dyDescent="0.25">
      <c r="A85" s="24"/>
      <c r="B85" s="174"/>
      <c r="C85" s="24"/>
      <c r="D85" s="24"/>
      <c r="E85" s="24"/>
      <c r="H85" s="7"/>
      <c r="K85" s="40"/>
    </row>
    <row r="86" spans="1:11" ht="15.75" customHeight="1" x14ac:dyDescent="0.25">
      <c r="A86" s="24"/>
      <c r="B86" s="174"/>
      <c r="C86" s="24"/>
      <c r="D86" s="24"/>
      <c r="E86" s="24"/>
      <c r="H86" s="7"/>
      <c r="K86" s="40"/>
    </row>
    <row r="87" spans="1:11" ht="15.75" customHeight="1" x14ac:dyDescent="0.25">
      <c r="A87" s="24"/>
      <c r="B87" s="174"/>
      <c r="C87" s="24"/>
      <c r="D87" s="24"/>
      <c r="E87" s="24"/>
      <c r="H87" s="7"/>
      <c r="K87" s="40"/>
    </row>
    <row r="88" spans="1:11" ht="15.75" customHeight="1" x14ac:dyDescent="0.25">
      <c r="A88" s="24"/>
      <c r="B88" s="174"/>
      <c r="C88" s="24"/>
      <c r="D88" s="24"/>
      <c r="E88" s="24"/>
      <c r="H88" s="7"/>
      <c r="K88" s="40"/>
    </row>
    <row r="89" spans="1:11" ht="15.75" customHeight="1" x14ac:dyDescent="0.25">
      <c r="A89" s="24"/>
      <c r="B89" s="174"/>
      <c r="C89" s="24"/>
      <c r="D89" s="24"/>
      <c r="E89" s="24"/>
      <c r="H89" s="7"/>
      <c r="K89" s="40"/>
    </row>
    <row r="90" spans="1:11" ht="15.75" customHeight="1" x14ac:dyDescent="0.25">
      <c r="A90" s="24"/>
      <c r="B90" s="174"/>
      <c r="C90" s="24"/>
      <c r="D90" s="24"/>
      <c r="E90" s="24"/>
      <c r="H90" s="7"/>
      <c r="K90" s="40"/>
    </row>
    <row r="91" spans="1:11" ht="15.75" customHeight="1" x14ac:dyDescent="0.25">
      <c r="A91" s="24"/>
      <c r="B91" s="174"/>
      <c r="C91" s="24"/>
      <c r="D91" s="24"/>
      <c r="E91" s="24"/>
      <c r="H91" s="7"/>
      <c r="K91" s="40"/>
    </row>
    <row r="92" spans="1:11" ht="15.75" customHeight="1" x14ac:dyDescent="0.25">
      <c r="A92" s="24"/>
      <c r="B92" s="174"/>
      <c r="C92" s="24"/>
      <c r="D92" s="24"/>
      <c r="E92" s="24"/>
      <c r="H92" s="7"/>
      <c r="K92" s="40"/>
    </row>
    <row r="93" spans="1:11" ht="15.75" customHeight="1" x14ac:dyDescent="0.25">
      <c r="A93" s="24"/>
      <c r="B93" s="174"/>
      <c r="C93" s="24"/>
      <c r="D93" s="24"/>
      <c r="E93" s="24"/>
      <c r="H93" s="7"/>
      <c r="K93" s="40"/>
    </row>
    <row r="94" spans="1:11" ht="15.75" customHeight="1" x14ac:dyDescent="0.25">
      <c r="A94" s="24"/>
      <c r="B94" s="174"/>
      <c r="C94" s="24"/>
      <c r="D94" s="24"/>
      <c r="E94" s="24"/>
      <c r="H94" s="7"/>
      <c r="K94" s="40"/>
    </row>
    <row r="95" spans="1:11" ht="15.75" customHeight="1" x14ac:dyDescent="0.25">
      <c r="A95" s="24"/>
      <c r="B95" s="174"/>
      <c r="C95" s="24"/>
      <c r="D95" s="24"/>
      <c r="E95" s="24"/>
      <c r="H95" s="7"/>
      <c r="K95" s="40"/>
    </row>
    <row r="96" spans="1:11" ht="15.75" customHeight="1" x14ac:dyDescent="0.25">
      <c r="A96" s="24"/>
      <c r="B96" s="174"/>
      <c r="C96" s="24"/>
      <c r="D96" s="24"/>
      <c r="E96" s="24"/>
      <c r="H96" s="7"/>
      <c r="K96" s="40"/>
    </row>
    <row r="97" spans="1:11" ht="15.75" customHeight="1" x14ac:dyDescent="0.25">
      <c r="A97" s="24"/>
      <c r="B97" s="174"/>
      <c r="C97" s="24"/>
      <c r="D97" s="24"/>
      <c r="E97" s="24"/>
      <c r="H97" s="7"/>
      <c r="K97" s="40"/>
    </row>
    <row r="98" spans="1:11" ht="15.75" customHeight="1" x14ac:dyDescent="0.25">
      <c r="A98" s="24"/>
      <c r="B98" s="174"/>
      <c r="C98" s="24"/>
      <c r="D98" s="24"/>
      <c r="E98" s="24"/>
      <c r="H98" s="7"/>
      <c r="K98" s="40"/>
    </row>
    <row r="99" spans="1:11" ht="15.75" customHeight="1" x14ac:dyDescent="0.25">
      <c r="A99" s="24"/>
      <c r="B99" s="174"/>
      <c r="C99" s="24"/>
      <c r="D99" s="24"/>
      <c r="E99" s="24"/>
      <c r="H99" s="7"/>
      <c r="K99" s="40"/>
    </row>
    <row r="100" spans="1:11" ht="15.75" customHeight="1" x14ac:dyDescent="0.25">
      <c r="A100" s="24"/>
      <c r="B100" s="174"/>
      <c r="C100" s="24"/>
      <c r="D100" s="24"/>
      <c r="E100" s="24"/>
      <c r="H100" s="7"/>
      <c r="K100" s="40"/>
    </row>
    <row r="101" spans="1:11" ht="15.75" customHeight="1" x14ac:dyDescent="0.25">
      <c r="A101" s="24"/>
      <c r="B101" s="174"/>
      <c r="C101" s="24"/>
      <c r="D101" s="24"/>
      <c r="E101" s="24"/>
      <c r="H101" s="7"/>
      <c r="K101" s="40"/>
    </row>
    <row r="102" spans="1:11" ht="15.75" customHeight="1" x14ac:dyDescent="0.25">
      <c r="A102" s="24"/>
      <c r="B102" s="174"/>
      <c r="C102" s="24"/>
      <c r="D102" s="24"/>
      <c r="E102" s="24"/>
      <c r="H102" s="7"/>
      <c r="K102" s="40"/>
    </row>
    <row r="103" spans="1:11" ht="15.75" customHeight="1" x14ac:dyDescent="0.25">
      <c r="A103" s="24"/>
      <c r="B103" s="174"/>
      <c r="C103" s="24"/>
      <c r="D103" s="24"/>
      <c r="E103" s="24"/>
      <c r="H103" s="7"/>
      <c r="K103" s="40"/>
    </row>
    <row r="104" spans="1:11" ht="15.75" customHeight="1" x14ac:dyDescent="0.25">
      <c r="A104" s="24"/>
      <c r="B104" s="174"/>
      <c r="C104" s="24"/>
      <c r="D104" s="24"/>
      <c r="E104" s="24"/>
      <c r="H104" s="7"/>
      <c r="K104" s="40"/>
    </row>
    <row r="105" spans="1:11" ht="15.75" customHeight="1" x14ac:dyDescent="0.25">
      <c r="A105" s="24"/>
      <c r="B105" s="174"/>
      <c r="C105" s="24"/>
      <c r="D105" s="24"/>
      <c r="E105" s="24"/>
      <c r="H105" s="7"/>
      <c r="K105" s="40"/>
    </row>
    <row r="106" spans="1:11" ht="15.75" customHeight="1" x14ac:dyDescent="0.25">
      <c r="A106" s="24"/>
      <c r="B106" s="174"/>
      <c r="C106" s="24"/>
      <c r="D106" s="24"/>
      <c r="E106" s="24"/>
      <c r="H106" s="7"/>
      <c r="K106" s="40"/>
    </row>
    <row r="107" spans="1:11" ht="15.75" customHeight="1" x14ac:dyDescent="0.25">
      <c r="A107" s="24"/>
      <c r="B107" s="174"/>
      <c r="C107" s="24"/>
      <c r="D107" s="24"/>
      <c r="E107" s="24"/>
      <c r="H107" s="7"/>
      <c r="K107" s="40"/>
    </row>
    <row r="108" spans="1:11" ht="15.75" customHeight="1" x14ac:dyDescent="0.25">
      <c r="A108" s="24"/>
      <c r="B108" s="174"/>
      <c r="C108" s="24"/>
      <c r="D108" s="24"/>
      <c r="E108" s="24"/>
      <c r="H108" s="7"/>
      <c r="K108" s="40"/>
    </row>
    <row r="109" spans="1:11" ht="15.75" customHeight="1" x14ac:dyDescent="0.25">
      <c r="A109" s="24"/>
      <c r="B109" s="174"/>
      <c r="C109" s="24"/>
      <c r="D109" s="24"/>
      <c r="E109" s="24"/>
      <c r="H109" s="7"/>
      <c r="K109" s="40"/>
    </row>
    <row r="110" spans="1:11" ht="15.75" customHeight="1" x14ac:dyDescent="0.25">
      <c r="A110" s="24"/>
      <c r="B110" s="174"/>
      <c r="C110" s="24"/>
      <c r="D110" s="24"/>
      <c r="E110" s="24"/>
      <c r="H110" s="7"/>
      <c r="K110" s="40"/>
    </row>
    <row r="111" spans="1:11" ht="15.75" customHeight="1" x14ac:dyDescent="0.25">
      <c r="A111" s="24"/>
      <c r="B111" s="174"/>
      <c r="C111" s="24"/>
      <c r="D111" s="24"/>
      <c r="E111" s="24"/>
      <c r="H111" s="7"/>
      <c r="K111" s="40"/>
    </row>
    <row r="112" spans="1:11" ht="15.75" customHeight="1" x14ac:dyDescent="0.25">
      <c r="A112" s="24"/>
      <c r="B112" s="174"/>
      <c r="C112" s="24"/>
      <c r="D112" s="24"/>
      <c r="E112" s="24"/>
      <c r="H112" s="7"/>
      <c r="K112" s="40"/>
    </row>
    <row r="113" spans="1:11" ht="15.75" customHeight="1" x14ac:dyDescent="0.25">
      <c r="A113" s="24"/>
      <c r="B113" s="174"/>
      <c r="C113" s="24"/>
      <c r="D113" s="24"/>
      <c r="E113" s="24"/>
      <c r="H113" s="7"/>
      <c r="K113" s="40"/>
    </row>
    <row r="114" spans="1:11" ht="15.75" customHeight="1" x14ac:dyDescent="0.25">
      <c r="A114" s="24"/>
      <c r="B114" s="174"/>
      <c r="C114" s="24"/>
      <c r="D114" s="24"/>
      <c r="E114" s="24"/>
      <c r="H114" s="7"/>
      <c r="K114" s="40"/>
    </row>
    <row r="115" spans="1:11" ht="15.75" customHeight="1" x14ac:dyDescent="0.25">
      <c r="A115" s="24"/>
      <c r="B115" s="174"/>
      <c r="C115" s="24"/>
      <c r="D115" s="24"/>
      <c r="E115" s="24"/>
      <c r="H115" s="7"/>
      <c r="K115" s="40"/>
    </row>
    <row r="116" spans="1:11" ht="15.75" customHeight="1" x14ac:dyDescent="0.25">
      <c r="A116" s="24"/>
      <c r="B116" s="174"/>
      <c r="C116" s="24"/>
      <c r="D116" s="24"/>
      <c r="E116" s="24"/>
      <c r="H116" s="7"/>
      <c r="K116" s="40"/>
    </row>
    <row r="117" spans="1:11" ht="15.75" customHeight="1" x14ac:dyDescent="0.25">
      <c r="A117" s="24"/>
      <c r="B117" s="174"/>
      <c r="C117" s="24"/>
      <c r="D117" s="24"/>
      <c r="E117" s="24"/>
      <c r="H117" s="7"/>
      <c r="K117" s="40"/>
    </row>
    <row r="118" spans="1:11" ht="15.75" customHeight="1" x14ac:dyDescent="0.25">
      <c r="A118" s="24"/>
      <c r="B118" s="174"/>
      <c r="C118" s="24"/>
      <c r="D118" s="24"/>
      <c r="E118" s="24"/>
      <c r="H118" s="7"/>
      <c r="K118" s="40"/>
    </row>
    <row r="119" spans="1:11" ht="15.75" customHeight="1" x14ac:dyDescent="0.25">
      <c r="A119" s="24"/>
      <c r="B119" s="174"/>
      <c r="C119" s="24"/>
      <c r="D119" s="24"/>
      <c r="E119" s="24"/>
      <c r="H119" s="7"/>
      <c r="K119" s="40"/>
    </row>
    <row r="120" spans="1:11" ht="15.75" customHeight="1" x14ac:dyDescent="0.25">
      <c r="A120" s="24"/>
      <c r="B120" s="174"/>
      <c r="C120" s="24"/>
      <c r="D120" s="24"/>
      <c r="E120" s="24"/>
      <c r="H120" s="7"/>
      <c r="K120" s="40"/>
    </row>
    <row r="121" spans="1:11" ht="15.75" customHeight="1" x14ac:dyDescent="0.25">
      <c r="A121" s="24"/>
      <c r="B121" s="174"/>
      <c r="C121" s="24"/>
      <c r="D121" s="24"/>
      <c r="E121" s="24"/>
      <c r="H121" s="7"/>
      <c r="K121" s="40"/>
    </row>
    <row r="122" spans="1:11" ht="15.75" customHeight="1" x14ac:dyDescent="0.25">
      <c r="A122" s="24"/>
      <c r="B122" s="174"/>
      <c r="C122" s="24"/>
      <c r="D122" s="24"/>
      <c r="E122" s="24"/>
      <c r="H122" s="7"/>
      <c r="K122" s="40"/>
    </row>
    <row r="123" spans="1:11" ht="15.75" customHeight="1" x14ac:dyDescent="0.25">
      <c r="A123" s="24"/>
      <c r="B123" s="174"/>
      <c r="C123" s="24"/>
      <c r="D123" s="24"/>
      <c r="E123" s="24"/>
      <c r="H123" s="7"/>
      <c r="K123" s="40"/>
    </row>
    <row r="124" spans="1:11" ht="15.75" customHeight="1" x14ac:dyDescent="0.25">
      <c r="A124" s="24"/>
      <c r="B124" s="174"/>
      <c r="C124" s="24"/>
      <c r="D124" s="24"/>
      <c r="E124" s="24"/>
      <c r="H124" s="7"/>
      <c r="K124" s="40"/>
    </row>
    <row r="125" spans="1:11" ht="15.75" customHeight="1" x14ac:dyDescent="0.25">
      <c r="A125" s="24"/>
      <c r="B125" s="174"/>
      <c r="C125" s="24"/>
      <c r="D125" s="24"/>
      <c r="E125" s="24"/>
      <c r="H125" s="7"/>
      <c r="K125" s="40"/>
    </row>
    <row r="126" spans="1:11" ht="15.75" customHeight="1" x14ac:dyDescent="0.25">
      <c r="A126" s="24"/>
      <c r="B126" s="174"/>
      <c r="C126" s="24"/>
      <c r="D126" s="24"/>
      <c r="E126" s="24"/>
      <c r="H126" s="7"/>
      <c r="K126" s="40"/>
    </row>
    <row r="127" spans="1:11" ht="15.75" customHeight="1" x14ac:dyDescent="0.25">
      <c r="A127" s="24"/>
      <c r="B127" s="174"/>
      <c r="C127" s="24"/>
      <c r="D127" s="24"/>
      <c r="E127" s="24"/>
      <c r="H127" s="7"/>
      <c r="K127" s="40"/>
    </row>
    <row r="128" spans="1:11" ht="15.75" customHeight="1" x14ac:dyDescent="0.25">
      <c r="A128" s="24"/>
      <c r="B128" s="174"/>
      <c r="C128" s="24"/>
      <c r="D128" s="24"/>
      <c r="E128" s="24"/>
      <c r="H128" s="7"/>
      <c r="K128" s="40"/>
    </row>
    <row r="129" spans="1:11" ht="15.75" customHeight="1" x14ac:dyDescent="0.25">
      <c r="A129" s="24"/>
      <c r="B129" s="174"/>
      <c r="C129" s="24"/>
      <c r="D129" s="24"/>
      <c r="E129" s="24"/>
      <c r="H129" s="7"/>
      <c r="K129" s="40"/>
    </row>
    <row r="130" spans="1:11" ht="15.75" customHeight="1" x14ac:dyDescent="0.25">
      <c r="A130" s="24"/>
      <c r="B130" s="174"/>
      <c r="C130" s="24"/>
      <c r="D130" s="24"/>
      <c r="E130" s="24"/>
      <c r="H130" s="7"/>
      <c r="K130" s="40"/>
    </row>
    <row r="131" spans="1:11" ht="15.75" customHeight="1" x14ac:dyDescent="0.25">
      <c r="A131" s="24"/>
      <c r="B131" s="174"/>
      <c r="C131" s="24"/>
      <c r="D131" s="24"/>
      <c r="E131" s="24"/>
      <c r="H131" s="7"/>
      <c r="K131" s="40"/>
    </row>
    <row r="132" spans="1:11" ht="15.75" customHeight="1" x14ac:dyDescent="0.25">
      <c r="A132" s="24"/>
      <c r="B132" s="174"/>
      <c r="C132" s="24"/>
      <c r="D132" s="24"/>
      <c r="E132" s="24"/>
      <c r="H132" s="7"/>
      <c r="K132" s="40"/>
    </row>
    <row r="133" spans="1:11" ht="15.75" customHeight="1" x14ac:dyDescent="0.25">
      <c r="A133" s="24"/>
      <c r="B133" s="174"/>
      <c r="C133" s="24"/>
      <c r="D133" s="24"/>
      <c r="E133" s="24"/>
      <c r="H133" s="7"/>
      <c r="K133" s="40"/>
    </row>
    <row r="134" spans="1:11" ht="15.75" customHeight="1" x14ac:dyDescent="0.25">
      <c r="A134" s="24"/>
      <c r="B134" s="174"/>
      <c r="C134" s="24"/>
      <c r="D134" s="24"/>
      <c r="E134" s="24"/>
      <c r="H134" s="7"/>
      <c r="K134" s="40"/>
    </row>
    <row r="135" spans="1:11" ht="15.75" customHeight="1" x14ac:dyDescent="0.25">
      <c r="A135" s="24"/>
      <c r="B135" s="174"/>
      <c r="C135" s="24"/>
      <c r="D135" s="24"/>
      <c r="E135" s="24"/>
      <c r="H135" s="7"/>
      <c r="K135" s="40"/>
    </row>
    <row r="136" spans="1:11" ht="15.75" customHeight="1" x14ac:dyDescent="0.25">
      <c r="A136" s="24"/>
      <c r="B136" s="174"/>
      <c r="C136" s="24"/>
      <c r="D136" s="24"/>
      <c r="E136" s="24"/>
      <c r="H136" s="7"/>
      <c r="K136" s="40"/>
    </row>
    <row r="137" spans="1:11" ht="15.75" customHeight="1" x14ac:dyDescent="0.25">
      <c r="A137" s="24"/>
      <c r="B137" s="174"/>
      <c r="C137" s="24"/>
      <c r="D137" s="24"/>
      <c r="E137" s="24"/>
      <c r="H137" s="7"/>
      <c r="K137" s="40"/>
    </row>
    <row r="138" spans="1:11" ht="15.75" customHeight="1" x14ac:dyDescent="0.25">
      <c r="A138" s="24"/>
      <c r="B138" s="174"/>
      <c r="C138" s="24"/>
      <c r="D138" s="24"/>
      <c r="E138" s="24"/>
      <c r="H138" s="7"/>
      <c r="K138" s="40"/>
    </row>
    <row r="139" spans="1:11" ht="15.75" customHeight="1" x14ac:dyDescent="0.25">
      <c r="A139" s="24"/>
      <c r="B139" s="174"/>
      <c r="C139" s="24"/>
      <c r="D139" s="24"/>
      <c r="E139" s="24"/>
      <c r="H139" s="7"/>
      <c r="K139" s="40"/>
    </row>
    <row r="140" spans="1:11" ht="15.75" customHeight="1" x14ac:dyDescent="0.25">
      <c r="A140" s="24"/>
      <c r="B140" s="174"/>
      <c r="C140" s="24"/>
      <c r="D140" s="24"/>
      <c r="E140" s="24"/>
      <c r="H140" s="7"/>
      <c r="K140" s="40"/>
    </row>
    <row r="141" spans="1:11" ht="15.75" customHeight="1" x14ac:dyDescent="0.25">
      <c r="A141" s="24"/>
      <c r="B141" s="174"/>
      <c r="C141" s="24"/>
      <c r="D141" s="24"/>
      <c r="E141" s="24"/>
      <c r="H141" s="7"/>
      <c r="K141" s="40"/>
    </row>
    <row r="142" spans="1:11" ht="15.75" customHeight="1" x14ac:dyDescent="0.25">
      <c r="A142" s="24"/>
      <c r="B142" s="174"/>
      <c r="C142" s="24"/>
      <c r="D142" s="24"/>
      <c r="E142" s="24"/>
      <c r="H142" s="7"/>
      <c r="K142" s="40"/>
    </row>
    <row r="143" spans="1:11" ht="15.75" customHeight="1" x14ac:dyDescent="0.25">
      <c r="A143" s="24"/>
      <c r="B143" s="174"/>
      <c r="C143" s="24"/>
      <c r="D143" s="24"/>
      <c r="E143" s="24"/>
      <c r="H143" s="7"/>
      <c r="K143" s="40"/>
    </row>
    <row r="144" spans="1:11" ht="15.75" customHeight="1" x14ac:dyDescent="0.25">
      <c r="A144" s="24"/>
      <c r="B144" s="174"/>
      <c r="C144" s="24"/>
      <c r="D144" s="24"/>
      <c r="E144" s="24"/>
      <c r="H144" s="7"/>
      <c r="K144" s="40"/>
    </row>
    <row r="145" spans="1:11" ht="15.75" customHeight="1" x14ac:dyDescent="0.25">
      <c r="A145" s="24"/>
      <c r="B145" s="174"/>
      <c r="C145" s="24"/>
      <c r="D145" s="24"/>
      <c r="E145" s="24"/>
      <c r="H145" s="7"/>
      <c r="K145" s="40"/>
    </row>
    <row r="146" spans="1:11" ht="15.75" customHeight="1" x14ac:dyDescent="0.25">
      <c r="A146" s="24"/>
      <c r="B146" s="174"/>
      <c r="C146" s="24"/>
      <c r="D146" s="24"/>
      <c r="E146" s="24"/>
      <c r="H146" s="7"/>
      <c r="K146" s="40"/>
    </row>
    <row r="147" spans="1:11" ht="15.75" customHeight="1" x14ac:dyDescent="0.25">
      <c r="A147" s="24"/>
      <c r="B147" s="174"/>
      <c r="C147" s="24"/>
      <c r="D147" s="24"/>
      <c r="E147" s="24"/>
      <c r="H147" s="7"/>
      <c r="K147" s="40"/>
    </row>
    <row r="148" spans="1:11" ht="15.75" customHeight="1" x14ac:dyDescent="0.25">
      <c r="A148" s="24"/>
      <c r="B148" s="174"/>
      <c r="C148" s="24"/>
      <c r="D148" s="24"/>
      <c r="E148" s="24"/>
      <c r="H148" s="7"/>
      <c r="K148" s="40"/>
    </row>
    <row r="149" spans="1:11" ht="15.75" customHeight="1" x14ac:dyDescent="0.25">
      <c r="A149" s="24"/>
      <c r="B149" s="174"/>
      <c r="C149" s="24"/>
      <c r="D149" s="24"/>
      <c r="E149" s="24"/>
      <c r="H149" s="7"/>
      <c r="K149" s="40"/>
    </row>
    <row r="150" spans="1:11" ht="15.75" customHeight="1" x14ac:dyDescent="0.25">
      <c r="A150" s="24"/>
      <c r="B150" s="174"/>
      <c r="C150" s="24"/>
      <c r="D150" s="24"/>
      <c r="E150" s="24"/>
      <c r="H150" s="7"/>
      <c r="K150" s="40"/>
    </row>
    <row r="151" spans="1:11" ht="15.75" customHeight="1" x14ac:dyDescent="0.25">
      <c r="A151" s="24"/>
      <c r="B151" s="174"/>
      <c r="C151" s="24"/>
      <c r="D151" s="24"/>
      <c r="E151" s="24"/>
      <c r="H151" s="7"/>
      <c r="K151" s="40"/>
    </row>
    <row r="152" spans="1:11" ht="15.75" customHeight="1" x14ac:dyDescent="0.25">
      <c r="A152" s="24"/>
      <c r="B152" s="174"/>
      <c r="C152" s="24"/>
      <c r="D152" s="24"/>
      <c r="E152" s="24"/>
      <c r="H152" s="7"/>
      <c r="K152" s="40"/>
    </row>
    <row r="153" spans="1:11" ht="15.75" customHeight="1" x14ac:dyDescent="0.25">
      <c r="A153" s="24"/>
      <c r="B153" s="174"/>
      <c r="C153" s="24"/>
      <c r="D153" s="24"/>
      <c r="E153" s="24"/>
      <c r="H153" s="7"/>
      <c r="K153" s="40"/>
    </row>
    <row r="154" spans="1:11" ht="15.75" customHeight="1" x14ac:dyDescent="0.25">
      <c r="A154" s="24"/>
      <c r="B154" s="174"/>
      <c r="C154" s="24"/>
      <c r="D154" s="24"/>
      <c r="E154" s="24"/>
      <c r="H154" s="7"/>
      <c r="K154" s="40"/>
    </row>
    <row r="155" spans="1:11" ht="15.75" customHeight="1" x14ac:dyDescent="0.25">
      <c r="A155" s="24"/>
      <c r="B155" s="174"/>
      <c r="C155" s="24"/>
      <c r="D155" s="24"/>
      <c r="E155" s="24"/>
      <c r="H155" s="7"/>
      <c r="K155" s="40"/>
    </row>
    <row r="156" spans="1:11" ht="15.75" customHeight="1" x14ac:dyDescent="0.25">
      <c r="A156" s="24"/>
      <c r="B156" s="174"/>
      <c r="C156" s="24"/>
      <c r="D156" s="24"/>
      <c r="E156" s="24"/>
      <c r="H156" s="7"/>
      <c r="K156" s="40"/>
    </row>
    <row r="157" spans="1:11" ht="15.75" customHeight="1" x14ac:dyDescent="0.25">
      <c r="A157" s="24"/>
      <c r="B157" s="174"/>
      <c r="C157" s="24"/>
      <c r="D157" s="24"/>
      <c r="E157" s="24"/>
      <c r="H157" s="7"/>
      <c r="K157" s="40"/>
    </row>
    <row r="158" spans="1:11" ht="15.75" customHeight="1" x14ac:dyDescent="0.25">
      <c r="A158" s="24"/>
      <c r="B158" s="174"/>
      <c r="C158" s="24"/>
      <c r="D158" s="24"/>
      <c r="E158" s="24"/>
      <c r="H158" s="7"/>
      <c r="K158" s="40"/>
    </row>
    <row r="159" spans="1:11" ht="15.75" customHeight="1" x14ac:dyDescent="0.25">
      <c r="A159" s="24"/>
      <c r="B159" s="174"/>
      <c r="C159" s="24"/>
      <c r="D159" s="24"/>
      <c r="E159" s="24"/>
      <c r="H159" s="7"/>
      <c r="K159" s="40"/>
    </row>
    <row r="160" spans="1:11" ht="15.75" customHeight="1" x14ac:dyDescent="0.25">
      <c r="A160" s="24"/>
      <c r="B160" s="174"/>
      <c r="C160" s="24"/>
      <c r="D160" s="24"/>
      <c r="E160" s="24"/>
      <c r="H160" s="7"/>
      <c r="K160" s="40"/>
    </row>
    <row r="161" spans="1:11" ht="15.75" customHeight="1" x14ac:dyDescent="0.25">
      <c r="A161" s="24"/>
      <c r="B161" s="174"/>
      <c r="C161" s="24"/>
      <c r="D161" s="24"/>
      <c r="E161" s="24"/>
      <c r="H161" s="7"/>
      <c r="K161" s="40"/>
    </row>
    <row r="162" spans="1:11" ht="15.75" customHeight="1" x14ac:dyDescent="0.25">
      <c r="A162" s="24"/>
      <c r="B162" s="174"/>
      <c r="C162" s="24"/>
      <c r="D162" s="24"/>
      <c r="E162" s="24"/>
      <c r="H162" s="7"/>
      <c r="K162" s="40"/>
    </row>
    <row r="163" spans="1:11" ht="15.75" customHeight="1" x14ac:dyDescent="0.25">
      <c r="A163" s="24"/>
      <c r="B163" s="174"/>
      <c r="C163" s="24"/>
      <c r="D163" s="24"/>
      <c r="E163" s="24"/>
      <c r="H163" s="7"/>
      <c r="K163" s="40"/>
    </row>
    <row r="164" spans="1:11" ht="15.75" customHeight="1" x14ac:dyDescent="0.25">
      <c r="A164" s="24"/>
      <c r="B164" s="174"/>
      <c r="C164" s="24"/>
      <c r="D164" s="24"/>
      <c r="E164" s="24"/>
      <c r="H164" s="7"/>
      <c r="K164" s="40"/>
    </row>
    <row r="165" spans="1:11" ht="15.75" customHeight="1" x14ac:dyDescent="0.25">
      <c r="A165" s="24"/>
      <c r="B165" s="174"/>
      <c r="C165" s="24"/>
      <c r="D165" s="24"/>
      <c r="E165" s="24"/>
      <c r="H165" s="7"/>
      <c r="K165" s="40"/>
    </row>
    <row r="166" spans="1:11" ht="15.75" customHeight="1" x14ac:dyDescent="0.25">
      <c r="A166" s="24"/>
      <c r="B166" s="174"/>
      <c r="C166" s="24"/>
      <c r="D166" s="24"/>
      <c r="E166" s="24"/>
      <c r="H166" s="7"/>
      <c r="K166" s="40"/>
    </row>
    <row r="167" spans="1:11" ht="15.75" customHeight="1" x14ac:dyDescent="0.25">
      <c r="A167" s="24"/>
      <c r="B167" s="174"/>
      <c r="C167" s="24"/>
      <c r="D167" s="24"/>
      <c r="E167" s="24"/>
      <c r="H167" s="7"/>
      <c r="K167" s="40"/>
    </row>
    <row r="168" spans="1:11" ht="15.75" customHeight="1" x14ac:dyDescent="0.25">
      <c r="A168" s="24"/>
      <c r="B168" s="174"/>
      <c r="C168" s="24"/>
      <c r="D168" s="24"/>
      <c r="E168" s="24"/>
      <c r="H168" s="7"/>
      <c r="K168" s="40"/>
    </row>
    <row r="169" spans="1:11" ht="15.75" customHeight="1" x14ac:dyDescent="0.25">
      <c r="A169" s="24"/>
      <c r="B169" s="174"/>
      <c r="C169" s="24"/>
      <c r="D169" s="24"/>
      <c r="E169" s="24"/>
      <c r="H169" s="7"/>
      <c r="K169" s="40"/>
    </row>
    <row r="170" spans="1:11" ht="15.75" customHeight="1" x14ac:dyDescent="0.25">
      <c r="A170" s="24"/>
      <c r="B170" s="174"/>
      <c r="C170" s="24"/>
      <c r="D170" s="24"/>
      <c r="E170" s="24"/>
      <c r="H170" s="7"/>
      <c r="K170" s="40"/>
    </row>
    <row r="171" spans="1:11" ht="15.75" customHeight="1" x14ac:dyDescent="0.25">
      <c r="A171" s="24"/>
      <c r="B171" s="174"/>
      <c r="C171" s="24"/>
      <c r="D171" s="24"/>
      <c r="E171" s="24"/>
      <c r="H171" s="7"/>
      <c r="K171" s="40"/>
    </row>
    <row r="172" spans="1:11" ht="15.75" customHeight="1" x14ac:dyDescent="0.25">
      <c r="A172" s="24"/>
      <c r="B172" s="174"/>
      <c r="C172" s="24"/>
      <c r="D172" s="24"/>
      <c r="E172" s="24"/>
      <c r="H172" s="7"/>
      <c r="K172" s="40"/>
    </row>
    <row r="173" spans="1:11" ht="15.75" customHeight="1" x14ac:dyDescent="0.25">
      <c r="A173" s="24"/>
      <c r="B173" s="174"/>
      <c r="C173" s="24"/>
      <c r="D173" s="24"/>
      <c r="E173" s="24"/>
      <c r="H173" s="7"/>
      <c r="K173" s="40"/>
    </row>
    <row r="174" spans="1:11" ht="15.75" customHeight="1" x14ac:dyDescent="0.25">
      <c r="A174" s="24"/>
      <c r="B174" s="174"/>
      <c r="C174" s="24"/>
      <c r="D174" s="24"/>
      <c r="E174" s="24"/>
      <c r="H174" s="7"/>
      <c r="K174" s="40"/>
    </row>
    <row r="175" spans="1:11" ht="15.75" customHeight="1" x14ac:dyDescent="0.25">
      <c r="A175" s="24"/>
      <c r="B175" s="174"/>
      <c r="C175" s="24"/>
      <c r="D175" s="24"/>
      <c r="E175" s="24"/>
      <c r="H175" s="7"/>
      <c r="K175" s="40"/>
    </row>
    <row r="176" spans="1:11" ht="15.75" customHeight="1" x14ac:dyDescent="0.25">
      <c r="A176" s="24"/>
      <c r="B176" s="174"/>
      <c r="C176" s="24"/>
      <c r="D176" s="24"/>
      <c r="E176" s="24"/>
      <c r="H176" s="7"/>
      <c r="K176" s="40"/>
    </row>
    <row r="177" spans="1:11" ht="15.75" customHeight="1" x14ac:dyDescent="0.25">
      <c r="A177" s="24"/>
      <c r="B177" s="174"/>
      <c r="C177" s="24"/>
      <c r="D177" s="24"/>
      <c r="E177" s="24"/>
      <c r="H177" s="7"/>
      <c r="K177" s="40"/>
    </row>
    <row r="178" spans="1:11" ht="15.75" customHeight="1" x14ac:dyDescent="0.25">
      <c r="A178" s="24"/>
      <c r="B178" s="174"/>
      <c r="C178" s="24"/>
      <c r="D178" s="24"/>
      <c r="E178" s="24"/>
      <c r="H178" s="7"/>
      <c r="K178" s="40"/>
    </row>
    <row r="179" spans="1:11" ht="15.75" customHeight="1" x14ac:dyDescent="0.25">
      <c r="A179" s="24"/>
      <c r="B179" s="174"/>
      <c r="C179" s="24"/>
      <c r="D179" s="24"/>
      <c r="E179" s="24"/>
      <c r="H179" s="7"/>
      <c r="K179" s="40"/>
    </row>
    <row r="180" spans="1:11" ht="15.75" customHeight="1" x14ac:dyDescent="0.25">
      <c r="A180" s="24"/>
      <c r="B180" s="174"/>
      <c r="C180" s="24"/>
      <c r="D180" s="24"/>
      <c r="E180" s="24"/>
      <c r="H180" s="7"/>
      <c r="K180" s="40"/>
    </row>
    <row r="181" spans="1:11" ht="15.75" customHeight="1" x14ac:dyDescent="0.25">
      <c r="A181" s="24"/>
      <c r="B181" s="174"/>
      <c r="C181" s="24"/>
      <c r="D181" s="24"/>
      <c r="E181" s="24"/>
      <c r="H181" s="7"/>
      <c r="K181" s="40"/>
    </row>
    <row r="182" spans="1:11" ht="15.75" customHeight="1" x14ac:dyDescent="0.25">
      <c r="A182" s="24"/>
      <c r="B182" s="174"/>
      <c r="C182" s="24"/>
      <c r="D182" s="24"/>
      <c r="E182" s="24"/>
      <c r="H182" s="7"/>
      <c r="K182" s="40"/>
    </row>
    <row r="183" spans="1:11" ht="15.75" customHeight="1" x14ac:dyDescent="0.25">
      <c r="A183" s="24"/>
      <c r="B183" s="174"/>
      <c r="C183" s="24"/>
      <c r="D183" s="24"/>
      <c r="E183" s="24"/>
      <c r="H183" s="7"/>
      <c r="K183" s="40"/>
    </row>
    <row r="184" spans="1:11" ht="15.75" customHeight="1" x14ac:dyDescent="0.25">
      <c r="A184" s="24"/>
      <c r="B184" s="174"/>
      <c r="C184" s="24"/>
      <c r="D184" s="24"/>
      <c r="E184" s="24"/>
      <c r="H184" s="7"/>
      <c r="K184" s="40"/>
    </row>
    <row r="185" spans="1:11" ht="15.75" customHeight="1" x14ac:dyDescent="0.25">
      <c r="A185" s="24"/>
      <c r="B185" s="174"/>
      <c r="C185" s="24"/>
      <c r="D185" s="24"/>
      <c r="E185" s="24"/>
      <c r="H185" s="7"/>
      <c r="K185" s="40"/>
    </row>
    <row r="186" spans="1:11" ht="15.75" customHeight="1" x14ac:dyDescent="0.25">
      <c r="A186" s="24"/>
      <c r="B186" s="174"/>
      <c r="C186" s="24"/>
      <c r="D186" s="24"/>
      <c r="E186" s="24"/>
      <c r="H186" s="7"/>
      <c r="K186" s="40"/>
    </row>
    <row r="187" spans="1:11" ht="15.75" customHeight="1" x14ac:dyDescent="0.25">
      <c r="A187" s="24"/>
      <c r="B187" s="174"/>
      <c r="C187" s="24"/>
      <c r="D187" s="24"/>
      <c r="E187" s="24"/>
      <c r="H187" s="7"/>
      <c r="K187" s="40"/>
    </row>
    <row r="188" spans="1:11" ht="15.75" customHeight="1" x14ac:dyDescent="0.25">
      <c r="A188" s="24"/>
      <c r="B188" s="174"/>
      <c r="C188" s="24"/>
      <c r="D188" s="24"/>
      <c r="E188" s="24"/>
      <c r="H188" s="7"/>
      <c r="K188" s="40"/>
    </row>
    <row r="189" spans="1:11" ht="15.75" customHeight="1" x14ac:dyDescent="0.25">
      <c r="A189" s="24"/>
      <c r="B189" s="174"/>
      <c r="C189" s="24"/>
      <c r="D189" s="24"/>
      <c r="E189" s="24"/>
      <c r="H189" s="7"/>
      <c r="K189" s="40"/>
    </row>
    <row r="190" spans="1:11" ht="15.75" customHeight="1" x14ac:dyDescent="0.25">
      <c r="A190" s="24"/>
      <c r="B190" s="174"/>
      <c r="C190" s="24"/>
      <c r="D190" s="24"/>
      <c r="E190" s="24"/>
      <c r="H190" s="7"/>
      <c r="K190" s="40"/>
    </row>
    <row r="191" spans="1:11" ht="15.75" customHeight="1" x14ac:dyDescent="0.25">
      <c r="A191" s="24"/>
      <c r="B191" s="174"/>
      <c r="C191" s="24"/>
      <c r="D191" s="24"/>
      <c r="E191" s="24"/>
      <c r="H191" s="7"/>
      <c r="K191" s="40"/>
    </row>
    <row r="192" spans="1:11" ht="15.75" customHeight="1" x14ac:dyDescent="0.25">
      <c r="A192" s="24"/>
      <c r="B192" s="174"/>
      <c r="C192" s="24"/>
      <c r="D192" s="24"/>
      <c r="E192" s="24"/>
      <c r="H192" s="7"/>
      <c r="K192" s="40"/>
    </row>
    <row r="193" spans="1:11" ht="15.75" customHeight="1" x14ac:dyDescent="0.25">
      <c r="A193" s="24"/>
      <c r="B193" s="174"/>
      <c r="C193" s="24"/>
      <c r="D193" s="24"/>
      <c r="E193" s="24"/>
      <c r="H193" s="7"/>
      <c r="K193" s="40"/>
    </row>
    <row r="194" spans="1:11" ht="15.75" customHeight="1" x14ac:dyDescent="0.25">
      <c r="A194" s="24"/>
      <c r="B194" s="174"/>
      <c r="C194" s="24"/>
      <c r="D194" s="24"/>
      <c r="E194" s="24"/>
      <c r="H194" s="7"/>
      <c r="K194" s="40"/>
    </row>
    <row r="195" spans="1:11" ht="15.75" customHeight="1" x14ac:dyDescent="0.25">
      <c r="A195" s="24"/>
      <c r="B195" s="174"/>
      <c r="C195" s="24"/>
      <c r="D195" s="24"/>
      <c r="E195" s="24"/>
      <c r="H195" s="7"/>
      <c r="K195" s="40"/>
    </row>
    <row r="196" spans="1:11" ht="15.75" customHeight="1" x14ac:dyDescent="0.25">
      <c r="A196" s="24"/>
      <c r="B196" s="174"/>
      <c r="C196" s="24"/>
      <c r="D196" s="24"/>
      <c r="E196" s="24"/>
      <c r="H196" s="7"/>
      <c r="K196" s="40"/>
    </row>
    <row r="197" spans="1:11" ht="15.75" customHeight="1" x14ac:dyDescent="0.25">
      <c r="A197" s="24"/>
      <c r="B197" s="174"/>
      <c r="C197" s="24"/>
      <c r="D197" s="24"/>
      <c r="E197" s="24"/>
      <c r="H197" s="7"/>
      <c r="K197" s="40"/>
    </row>
    <row r="198" spans="1:11" ht="15.75" customHeight="1" x14ac:dyDescent="0.25">
      <c r="A198" s="24"/>
      <c r="B198" s="174"/>
      <c r="C198" s="24"/>
      <c r="D198" s="24"/>
      <c r="E198" s="24"/>
      <c r="H198" s="7"/>
      <c r="K198" s="40"/>
    </row>
    <row r="199" spans="1:11" ht="15.75" customHeight="1" x14ac:dyDescent="0.25">
      <c r="A199" s="24"/>
      <c r="B199" s="174"/>
      <c r="C199" s="24"/>
      <c r="D199" s="24"/>
      <c r="E199" s="24"/>
      <c r="H199" s="7"/>
      <c r="K199" s="40"/>
    </row>
    <row r="200" spans="1:11" ht="15.75" customHeight="1" x14ac:dyDescent="0.25">
      <c r="A200" s="24"/>
      <c r="B200" s="174"/>
      <c r="C200" s="24"/>
      <c r="D200" s="24"/>
      <c r="E200" s="24"/>
      <c r="H200" s="7"/>
      <c r="K200" s="40"/>
    </row>
    <row r="201" spans="1:11" ht="15.75" customHeight="1" x14ac:dyDescent="0.25">
      <c r="A201" s="24"/>
      <c r="B201" s="174"/>
      <c r="C201" s="24"/>
      <c r="D201" s="24"/>
      <c r="E201" s="24"/>
      <c r="H201" s="7"/>
      <c r="K201" s="40"/>
    </row>
    <row r="202" spans="1:11" ht="15.75" customHeight="1" x14ac:dyDescent="0.25">
      <c r="A202" s="24"/>
      <c r="B202" s="174"/>
      <c r="C202" s="24"/>
      <c r="D202" s="24"/>
      <c r="E202" s="24"/>
      <c r="H202" s="7"/>
      <c r="K202" s="40"/>
    </row>
    <row r="203" spans="1:11" ht="15.75" customHeight="1" x14ac:dyDescent="0.25">
      <c r="A203" s="24"/>
      <c r="B203" s="174"/>
      <c r="C203" s="24"/>
      <c r="D203" s="24"/>
      <c r="E203" s="24"/>
      <c r="H203" s="7"/>
      <c r="K203" s="40"/>
    </row>
    <row r="204" spans="1:11" ht="15.75" customHeight="1" x14ac:dyDescent="0.25">
      <c r="A204" s="24"/>
      <c r="B204" s="174"/>
      <c r="C204" s="24"/>
      <c r="D204" s="24"/>
      <c r="E204" s="24"/>
      <c r="H204" s="7"/>
      <c r="K204" s="40"/>
    </row>
    <row r="205" spans="1:11" ht="15.75" customHeight="1" x14ac:dyDescent="0.25">
      <c r="A205" s="24"/>
      <c r="B205" s="174"/>
      <c r="C205" s="24"/>
      <c r="D205" s="24"/>
      <c r="E205" s="24"/>
      <c r="H205" s="7"/>
      <c r="K205" s="40"/>
    </row>
    <row r="206" spans="1:11" ht="15.75" customHeight="1" x14ac:dyDescent="0.25">
      <c r="A206" s="24"/>
      <c r="B206" s="174"/>
      <c r="C206" s="24"/>
      <c r="D206" s="24"/>
      <c r="E206" s="24"/>
      <c r="H206" s="7"/>
      <c r="K206" s="40"/>
    </row>
    <row r="207" spans="1:11" ht="15.75" customHeight="1" x14ac:dyDescent="0.25">
      <c r="A207" s="24"/>
      <c r="B207" s="174"/>
      <c r="C207" s="24"/>
      <c r="D207" s="24"/>
      <c r="E207" s="24"/>
      <c r="H207" s="7"/>
      <c r="K207" s="40"/>
    </row>
    <row r="208" spans="1:11" ht="15.75" customHeight="1" x14ac:dyDescent="0.25">
      <c r="A208" s="24"/>
      <c r="B208" s="174"/>
      <c r="C208" s="24"/>
      <c r="D208" s="24"/>
      <c r="E208" s="24"/>
      <c r="H208" s="7"/>
      <c r="K208" s="40"/>
    </row>
    <row r="209" spans="1:11" ht="15.75" customHeight="1" x14ac:dyDescent="0.25">
      <c r="A209" s="24"/>
      <c r="B209" s="174"/>
      <c r="C209" s="24"/>
      <c r="D209" s="24"/>
      <c r="E209" s="24"/>
      <c r="H209" s="7"/>
      <c r="K209" s="40"/>
    </row>
    <row r="210" spans="1:11" ht="15.75" customHeight="1" x14ac:dyDescent="0.25">
      <c r="A210" s="24"/>
      <c r="B210" s="174"/>
      <c r="C210" s="24"/>
      <c r="D210" s="24"/>
      <c r="E210" s="24"/>
      <c r="H210" s="7"/>
      <c r="K210" s="40"/>
    </row>
    <row r="211" spans="1:11" ht="15.75" customHeight="1" x14ac:dyDescent="0.25">
      <c r="A211" s="24"/>
      <c r="B211" s="174"/>
      <c r="C211" s="24"/>
      <c r="D211" s="24"/>
      <c r="E211" s="24"/>
      <c r="H211" s="7"/>
      <c r="K211" s="40"/>
    </row>
    <row r="212" spans="1:11" ht="15.75" customHeight="1" x14ac:dyDescent="0.25">
      <c r="A212" s="24"/>
      <c r="B212" s="174"/>
      <c r="C212" s="24"/>
      <c r="D212" s="24"/>
      <c r="E212" s="24"/>
      <c r="H212" s="7"/>
      <c r="K212" s="40"/>
    </row>
    <row r="213" spans="1:11" ht="15.75" customHeight="1" x14ac:dyDescent="0.25">
      <c r="A213" s="24"/>
      <c r="B213" s="174"/>
      <c r="C213" s="24"/>
      <c r="D213" s="24"/>
      <c r="E213" s="24"/>
      <c r="H213" s="7"/>
      <c r="K213" s="40"/>
    </row>
    <row r="214" spans="1:11" ht="15.75" customHeight="1" x14ac:dyDescent="0.25">
      <c r="A214" s="24"/>
      <c r="B214" s="174"/>
      <c r="C214" s="24"/>
      <c r="D214" s="24"/>
      <c r="E214" s="24"/>
      <c r="H214" s="7"/>
      <c r="K214" s="40"/>
    </row>
    <row r="215" spans="1:11" ht="15.75" customHeight="1" x14ac:dyDescent="0.25">
      <c r="A215" s="24"/>
      <c r="B215" s="174"/>
      <c r="C215" s="24"/>
      <c r="D215" s="24"/>
      <c r="E215" s="24"/>
      <c r="H215" s="7"/>
      <c r="K215" s="40"/>
    </row>
    <row r="216" spans="1:11" ht="15.75" customHeight="1" x14ac:dyDescent="0.25">
      <c r="A216" s="24"/>
      <c r="B216" s="174"/>
      <c r="C216" s="24"/>
      <c r="D216" s="24"/>
      <c r="E216" s="24"/>
      <c r="H216" s="7"/>
      <c r="K216" s="40"/>
    </row>
    <row r="217" spans="1:11" ht="15.75" customHeight="1" x14ac:dyDescent="0.25">
      <c r="A217" s="24"/>
      <c r="B217" s="174"/>
      <c r="C217" s="24"/>
      <c r="D217" s="24"/>
      <c r="E217" s="24"/>
      <c r="H217" s="7"/>
      <c r="K217" s="40"/>
    </row>
    <row r="218" spans="1:11" ht="15.75" customHeight="1" x14ac:dyDescent="0.25">
      <c r="A218" s="24"/>
      <c r="B218" s="174"/>
      <c r="C218" s="24"/>
      <c r="D218" s="24"/>
      <c r="E218" s="24"/>
      <c r="H218" s="7"/>
      <c r="K218" s="40"/>
    </row>
    <row r="219" spans="1:11" ht="15.75" customHeight="1" x14ac:dyDescent="0.25">
      <c r="A219" s="24"/>
      <c r="B219" s="174"/>
      <c r="C219" s="24"/>
      <c r="D219" s="24"/>
      <c r="E219" s="24"/>
      <c r="H219" s="7"/>
      <c r="K219" s="40"/>
    </row>
    <row r="220" spans="1:11" ht="15.75" customHeight="1" x14ac:dyDescent="0.25">
      <c r="A220" s="24"/>
      <c r="B220" s="174"/>
      <c r="C220" s="24"/>
      <c r="D220" s="24"/>
      <c r="E220" s="24"/>
      <c r="H220" s="7"/>
      <c r="K220" s="40"/>
    </row>
    <row r="221" spans="1:11" ht="15.75" customHeight="1" x14ac:dyDescent="0.25">
      <c r="A221" s="24"/>
      <c r="B221" s="174"/>
      <c r="C221" s="24"/>
      <c r="D221" s="24"/>
      <c r="E221" s="24"/>
      <c r="H221" s="7"/>
      <c r="K221" s="40"/>
    </row>
    <row r="222" spans="1:11" ht="15.75" customHeight="1" x14ac:dyDescent="0.25">
      <c r="A222" s="24"/>
      <c r="B222" s="174"/>
      <c r="C222" s="24"/>
      <c r="D222" s="24"/>
      <c r="E222" s="24"/>
      <c r="H222" s="7"/>
      <c r="K222" s="40"/>
    </row>
    <row r="223" spans="1:11" ht="15.75" customHeight="1" x14ac:dyDescent="0.25">
      <c r="A223" s="24"/>
      <c r="B223" s="174"/>
      <c r="C223" s="24"/>
      <c r="D223" s="24"/>
      <c r="E223" s="24"/>
      <c r="H223" s="7"/>
      <c r="K223" s="40"/>
    </row>
    <row r="224" spans="1:11" ht="15.75" customHeight="1" x14ac:dyDescent="0.25">
      <c r="A224" s="24"/>
      <c r="B224" s="174"/>
      <c r="C224" s="24"/>
      <c r="D224" s="24"/>
      <c r="E224" s="24"/>
      <c r="H224" s="7"/>
      <c r="K224" s="40"/>
    </row>
    <row r="225" spans="1:11" ht="15.75" customHeight="1" x14ac:dyDescent="0.25">
      <c r="A225" s="24"/>
      <c r="B225" s="174"/>
      <c r="C225" s="24"/>
      <c r="D225" s="24"/>
      <c r="E225" s="24"/>
      <c r="H225" s="7"/>
      <c r="K225" s="40"/>
    </row>
    <row r="226" spans="1:11" ht="15.75" customHeight="1" x14ac:dyDescent="0.25">
      <c r="A226" s="24"/>
      <c r="B226" s="174"/>
      <c r="C226" s="24"/>
      <c r="D226" s="24"/>
      <c r="E226" s="24"/>
      <c r="H226" s="7"/>
      <c r="K226" s="40"/>
    </row>
    <row r="227" spans="1:11" ht="15.75" customHeight="1" x14ac:dyDescent="0.25">
      <c r="A227" s="24"/>
      <c r="B227" s="174"/>
      <c r="C227" s="24"/>
      <c r="D227" s="24"/>
      <c r="E227" s="24"/>
      <c r="H227" s="7"/>
      <c r="K227" s="40"/>
    </row>
    <row r="228" spans="1:11" ht="15.75" customHeight="1" x14ac:dyDescent="0.25">
      <c r="A228" s="24"/>
      <c r="B228" s="174"/>
      <c r="C228" s="24"/>
      <c r="D228" s="24"/>
      <c r="E228" s="24"/>
      <c r="H228" s="7"/>
      <c r="K228" s="40"/>
    </row>
    <row r="229" spans="1:11" ht="15.75" customHeight="1" x14ac:dyDescent="0.25">
      <c r="A229" s="24"/>
      <c r="B229" s="174"/>
      <c r="C229" s="24"/>
      <c r="D229" s="24"/>
      <c r="E229" s="24"/>
      <c r="H229" s="7"/>
      <c r="K229" s="40"/>
    </row>
    <row r="230" spans="1:11" ht="15.75" customHeight="1" x14ac:dyDescent="0.25">
      <c r="A230" s="24"/>
      <c r="B230" s="174"/>
      <c r="C230" s="24"/>
      <c r="D230" s="24"/>
      <c r="E230" s="24"/>
      <c r="H230" s="7"/>
      <c r="K230" s="40"/>
    </row>
    <row r="231" spans="1:11" ht="15.75" customHeight="1" x14ac:dyDescent="0.25">
      <c r="A231" s="24"/>
      <c r="B231" s="174"/>
      <c r="C231" s="24"/>
      <c r="D231" s="24"/>
      <c r="E231" s="24"/>
      <c r="H231" s="7"/>
      <c r="K231" s="40"/>
    </row>
    <row r="232" spans="1:11" ht="15.75" customHeight="1" x14ac:dyDescent="0.25">
      <c r="A232" s="24"/>
      <c r="B232" s="174"/>
      <c r="C232" s="24"/>
      <c r="D232" s="24"/>
      <c r="E232" s="24"/>
      <c r="H232" s="7"/>
      <c r="K232" s="40"/>
    </row>
    <row r="233" spans="1:11" ht="15.75" customHeight="1" x14ac:dyDescent="0.25">
      <c r="A233" s="24"/>
      <c r="B233" s="174"/>
      <c r="C233" s="24"/>
      <c r="D233" s="24"/>
      <c r="E233" s="24"/>
      <c r="H233" s="7"/>
      <c r="K233" s="40"/>
    </row>
    <row r="234" spans="1:11" ht="15.75" customHeight="1" x14ac:dyDescent="0.25">
      <c r="A234" s="24"/>
      <c r="B234" s="174"/>
      <c r="C234" s="24"/>
      <c r="D234" s="24"/>
      <c r="E234" s="24"/>
      <c r="H234" s="7"/>
      <c r="K234" s="40"/>
    </row>
    <row r="235" spans="1:11" ht="15.75" customHeight="1" x14ac:dyDescent="0.25">
      <c r="A235" s="24"/>
      <c r="B235" s="174"/>
      <c r="C235" s="24"/>
      <c r="D235" s="24"/>
      <c r="E235" s="24"/>
      <c r="H235" s="7"/>
      <c r="K235" s="40"/>
    </row>
    <row r="236" spans="1:11" ht="15.75" customHeight="1" x14ac:dyDescent="0.25">
      <c r="A236" s="24"/>
      <c r="B236" s="174"/>
      <c r="C236" s="24"/>
      <c r="D236" s="24"/>
      <c r="E236" s="24"/>
      <c r="H236" s="7"/>
      <c r="K236" s="40"/>
    </row>
    <row r="237" spans="1:11" ht="15.75" customHeight="1" x14ac:dyDescent="0.25">
      <c r="A237" s="24"/>
      <c r="B237" s="174"/>
      <c r="C237" s="24"/>
      <c r="D237" s="24"/>
      <c r="E237" s="24"/>
      <c r="H237" s="7"/>
      <c r="K237" s="40"/>
    </row>
    <row r="238" spans="1:11" ht="15.75" customHeight="1" x14ac:dyDescent="0.25">
      <c r="A238" s="24"/>
      <c r="B238" s="174"/>
      <c r="C238" s="24"/>
      <c r="D238" s="24"/>
      <c r="E238" s="24"/>
      <c r="H238" s="7"/>
      <c r="K238" s="40"/>
    </row>
    <row r="239" spans="1:11" ht="15.75" customHeight="1" x14ac:dyDescent="0.25">
      <c r="A239" s="24"/>
      <c r="B239" s="174"/>
      <c r="C239" s="24"/>
      <c r="D239" s="24"/>
      <c r="E239" s="24"/>
      <c r="H239" s="7"/>
      <c r="K239" s="40"/>
    </row>
    <row r="240" spans="1:11" ht="15.75" customHeight="1" x14ac:dyDescent="0.25">
      <c r="A240" s="24"/>
      <c r="B240" s="174"/>
      <c r="C240" s="24"/>
      <c r="D240" s="24"/>
      <c r="E240" s="24"/>
      <c r="H240" s="7"/>
      <c r="K240" s="40"/>
    </row>
    <row r="241" spans="1:11" ht="15.75" customHeight="1" x14ac:dyDescent="0.25">
      <c r="A241" s="24"/>
      <c r="B241" s="174"/>
      <c r="C241" s="24"/>
      <c r="D241" s="24"/>
      <c r="E241" s="24"/>
      <c r="H241" s="7"/>
      <c r="K241" s="40"/>
    </row>
    <row r="242" spans="1:11" ht="15.75" customHeight="1" x14ac:dyDescent="0.25">
      <c r="A242" s="24"/>
      <c r="B242" s="174"/>
      <c r="C242" s="24"/>
      <c r="D242" s="24"/>
      <c r="E242" s="24"/>
      <c r="H242" s="7"/>
      <c r="K242" s="40"/>
    </row>
    <row r="243" spans="1:11" ht="15.75" customHeight="1" x14ac:dyDescent="0.25">
      <c r="A243" s="24"/>
      <c r="B243" s="174"/>
      <c r="C243" s="24"/>
      <c r="D243" s="24"/>
      <c r="E243" s="24"/>
      <c r="H243" s="7"/>
      <c r="K243" s="40"/>
    </row>
    <row r="244" spans="1:11" ht="15.75" customHeight="1" x14ac:dyDescent="0.25">
      <c r="A244" s="24"/>
      <c r="B244" s="174"/>
      <c r="C244" s="24"/>
      <c r="D244" s="24"/>
      <c r="E244" s="24"/>
      <c r="H244" s="7"/>
      <c r="K244" s="40"/>
    </row>
    <row r="245" spans="1:11" ht="15.75" customHeight="1" x14ac:dyDescent="0.25">
      <c r="A245" s="24"/>
      <c r="B245" s="174"/>
      <c r="C245" s="24"/>
      <c r="D245" s="24"/>
      <c r="E245" s="24"/>
      <c r="H245" s="7"/>
      <c r="K245" s="40"/>
    </row>
    <row r="246" spans="1:11" ht="15.75" customHeight="1" x14ac:dyDescent="0.25">
      <c r="A246" s="24"/>
      <c r="B246" s="174"/>
      <c r="C246" s="24"/>
      <c r="D246" s="24"/>
      <c r="E246" s="24"/>
      <c r="H246" s="7"/>
      <c r="K246" s="40"/>
    </row>
    <row r="247" spans="1:11" ht="15.75" customHeight="1" x14ac:dyDescent="0.25">
      <c r="A247" s="24"/>
      <c r="B247" s="174"/>
      <c r="C247" s="24"/>
      <c r="D247" s="24"/>
      <c r="E247" s="24"/>
      <c r="H247" s="7"/>
      <c r="K247" s="40"/>
    </row>
    <row r="248" spans="1:11" ht="15.75" customHeight="1" x14ac:dyDescent="0.25">
      <c r="A248" s="24"/>
      <c r="B248" s="174"/>
      <c r="C248" s="24"/>
      <c r="D248" s="24"/>
      <c r="E248" s="24"/>
      <c r="H248" s="7"/>
      <c r="K248" s="40"/>
    </row>
    <row r="249" spans="1:11" ht="15.75" customHeight="1" x14ac:dyDescent="0.25">
      <c r="A249" s="24"/>
      <c r="B249" s="174"/>
      <c r="C249" s="24"/>
      <c r="D249" s="24"/>
      <c r="E249" s="24"/>
      <c r="H249" s="7"/>
      <c r="K249" s="40"/>
    </row>
    <row r="250" spans="1:11" ht="15.75" customHeight="1" x14ac:dyDescent="0.25">
      <c r="A250" s="24"/>
      <c r="B250" s="174"/>
      <c r="C250" s="24"/>
      <c r="D250" s="24"/>
      <c r="E250" s="24"/>
      <c r="H250" s="7"/>
      <c r="K250" s="40"/>
    </row>
    <row r="251" spans="1:11" ht="15.75" customHeight="1" x14ac:dyDescent="0.25">
      <c r="A251" s="24"/>
      <c r="B251" s="174"/>
      <c r="C251" s="24"/>
      <c r="D251" s="24"/>
      <c r="E251" s="24"/>
      <c r="H251" s="7"/>
      <c r="K251" s="40"/>
    </row>
    <row r="252" spans="1:11" ht="15.75" customHeight="1" x14ac:dyDescent="0.25">
      <c r="A252" s="24"/>
      <c r="B252" s="174"/>
      <c r="C252" s="24"/>
      <c r="D252" s="24"/>
      <c r="E252" s="24"/>
      <c r="H252" s="7"/>
      <c r="K252" s="40"/>
    </row>
    <row r="253" spans="1:11" ht="15.75" customHeight="1" x14ac:dyDescent="0.25">
      <c r="A253" s="24"/>
      <c r="B253" s="174"/>
      <c r="C253" s="24"/>
      <c r="D253" s="24"/>
      <c r="E253" s="24"/>
      <c r="H253" s="7"/>
      <c r="K253" s="40"/>
    </row>
    <row r="254" spans="1:11" ht="15.75" customHeight="1" x14ac:dyDescent="0.25">
      <c r="A254" s="24"/>
      <c r="B254" s="174"/>
      <c r="C254" s="24"/>
      <c r="D254" s="24"/>
      <c r="E254" s="24"/>
      <c r="H254" s="7"/>
      <c r="K254" s="40"/>
    </row>
    <row r="255" spans="1:11" ht="15.75" customHeight="1" x14ac:dyDescent="0.25">
      <c r="A255" s="24"/>
      <c r="B255" s="174"/>
      <c r="C255" s="24"/>
      <c r="D255" s="24"/>
      <c r="E255" s="24"/>
      <c r="H255" s="7"/>
      <c r="K255" s="40"/>
    </row>
    <row r="256" spans="1:11" ht="15.75" customHeight="1" x14ac:dyDescent="0.25">
      <c r="A256" s="24"/>
      <c r="B256" s="174"/>
      <c r="C256" s="24"/>
      <c r="D256" s="24"/>
      <c r="E256" s="24"/>
      <c r="H256" s="7"/>
      <c r="K256" s="40"/>
    </row>
    <row r="257" spans="1:11" ht="15.75" customHeight="1" x14ac:dyDescent="0.25">
      <c r="A257" s="24"/>
      <c r="B257" s="174"/>
      <c r="C257" s="24"/>
      <c r="D257" s="24"/>
      <c r="E257" s="24"/>
      <c r="H257" s="7"/>
      <c r="K257" s="40"/>
    </row>
    <row r="258" spans="1:11" ht="15.75" customHeight="1" x14ac:dyDescent="0.25">
      <c r="A258" s="24"/>
      <c r="B258" s="174"/>
      <c r="C258" s="24"/>
      <c r="D258" s="24"/>
      <c r="E258" s="24"/>
      <c r="H258" s="7"/>
      <c r="K258" s="40"/>
    </row>
    <row r="259" spans="1:11" ht="15.75" customHeight="1" x14ac:dyDescent="0.25">
      <c r="A259" s="24"/>
      <c r="B259" s="174"/>
      <c r="C259" s="24"/>
      <c r="D259" s="24"/>
      <c r="E259" s="24"/>
      <c r="H259" s="7"/>
      <c r="K259" s="40"/>
    </row>
    <row r="260" spans="1:11" ht="15.75" customHeight="1" x14ac:dyDescent="0.25">
      <c r="A260" s="24"/>
      <c r="B260" s="174"/>
      <c r="C260" s="24"/>
      <c r="D260" s="24"/>
      <c r="E260" s="24"/>
      <c r="H260" s="7"/>
      <c r="K260" s="40"/>
    </row>
    <row r="261" spans="1:11" ht="15.75" customHeight="1" x14ac:dyDescent="0.25">
      <c r="A261" s="24"/>
      <c r="B261" s="174"/>
      <c r="C261" s="24"/>
      <c r="D261" s="24"/>
      <c r="E261" s="24"/>
      <c r="H261" s="7"/>
      <c r="K261" s="40"/>
    </row>
    <row r="262" spans="1:11" ht="15.75" customHeight="1" x14ac:dyDescent="0.25">
      <c r="A262" s="24"/>
      <c r="B262" s="174"/>
      <c r="C262" s="24"/>
      <c r="D262" s="24"/>
      <c r="E262" s="24"/>
      <c r="H262" s="7"/>
      <c r="K262" s="40"/>
    </row>
    <row r="263" spans="1:11" ht="15.75" customHeight="1" x14ac:dyDescent="0.25">
      <c r="A263" s="24"/>
      <c r="B263" s="174"/>
      <c r="C263" s="24"/>
      <c r="D263" s="24"/>
      <c r="E263" s="24"/>
      <c r="H263" s="7"/>
      <c r="K263" s="40"/>
    </row>
    <row r="264" spans="1:11" ht="15.75" customHeight="1" x14ac:dyDescent="0.25">
      <c r="A264" s="24"/>
      <c r="B264" s="174"/>
      <c r="C264" s="24"/>
      <c r="D264" s="24"/>
      <c r="E264" s="24"/>
      <c r="H264" s="7"/>
      <c r="K264" s="40"/>
    </row>
    <row r="265" spans="1:11" ht="15.75" customHeight="1" x14ac:dyDescent="0.25">
      <c r="A265" s="24"/>
      <c r="B265" s="174"/>
      <c r="C265" s="24"/>
      <c r="D265" s="24"/>
      <c r="E265" s="24"/>
      <c r="H265" s="7"/>
      <c r="K265" s="40"/>
    </row>
    <row r="266" spans="1:11" ht="15.75" customHeight="1" x14ac:dyDescent="0.25">
      <c r="A266" s="24"/>
      <c r="B266" s="174"/>
      <c r="C266" s="24"/>
      <c r="D266" s="24"/>
      <c r="E266" s="24"/>
      <c r="H266" s="7"/>
      <c r="K266" s="40"/>
    </row>
    <row r="267" spans="1:11" ht="15.75" customHeight="1" x14ac:dyDescent="0.25">
      <c r="A267" s="24"/>
      <c r="B267" s="174"/>
      <c r="C267" s="24"/>
      <c r="D267" s="24"/>
      <c r="E267" s="24"/>
      <c r="H267" s="7"/>
      <c r="K267" s="40"/>
    </row>
    <row r="268" spans="1:11" ht="15.75" customHeight="1" x14ac:dyDescent="0.25">
      <c r="A268" s="24"/>
      <c r="B268" s="174"/>
      <c r="C268" s="24"/>
      <c r="D268" s="24"/>
      <c r="E268" s="24"/>
      <c r="H268" s="7"/>
      <c r="K268" s="40"/>
    </row>
    <row r="269" spans="1:11" ht="15.75" customHeight="1" x14ac:dyDescent="0.25">
      <c r="A269" s="24"/>
      <c r="B269" s="174"/>
      <c r="C269" s="24"/>
      <c r="D269" s="24"/>
      <c r="E269" s="24"/>
      <c r="H269" s="7"/>
      <c r="K269" s="40"/>
    </row>
    <row r="270" spans="1:11" ht="15.75" customHeight="1" x14ac:dyDescent="0.25">
      <c r="A270" s="24"/>
      <c r="B270" s="174"/>
      <c r="C270" s="24"/>
      <c r="D270" s="24"/>
      <c r="E270" s="24"/>
      <c r="H270" s="7"/>
      <c r="K270" s="40"/>
    </row>
    <row r="271" spans="1:11" ht="15.75" customHeight="1" x14ac:dyDescent="0.25">
      <c r="A271" s="24"/>
      <c r="B271" s="174"/>
      <c r="C271" s="24"/>
      <c r="D271" s="24"/>
      <c r="E271" s="24"/>
      <c r="H271" s="7"/>
      <c r="K271" s="40"/>
    </row>
    <row r="272" spans="1:11" ht="15.75" customHeight="1" x14ac:dyDescent="0.25">
      <c r="A272" s="24"/>
      <c r="B272" s="174"/>
      <c r="C272" s="24"/>
      <c r="D272" s="24"/>
      <c r="E272" s="24"/>
      <c r="H272" s="7"/>
      <c r="K272" s="40"/>
    </row>
    <row r="273" spans="1:11" ht="15.75" customHeight="1" x14ac:dyDescent="0.25">
      <c r="A273" s="24"/>
      <c r="B273" s="174"/>
      <c r="C273" s="24"/>
      <c r="D273" s="24"/>
      <c r="E273" s="24"/>
      <c r="H273" s="7"/>
      <c r="K273" s="40"/>
    </row>
    <row r="274" spans="1:11" ht="15.75" customHeight="1" x14ac:dyDescent="0.25">
      <c r="A274" s="24"/>
      <c r="B274" s="174"/>
      <c r="C274" s="24"/>
      <c r="D274" s="24"/>
      <c r="E274" s="24"/>
      <c r="H274" s="7"/>
      <c r="K274" s="40"/>
    </row>
    <row r="275" spans="1:11" ht="15.75" customHeight="1" x14ac:dyDescent="0.25">
      <c r="A275" s="24"/>
      <c r="B275" s="174"/>
      <c r="C275" s="24"/>
      <c r="D275" s="24"/>
      <c r="E275" s="24"/>
      <c r="H275" s="7"/>
      <c r="K275" s="40"/>
    </row>
    <row r="276" spans="1:11" ht="15.75" customHeight="1" x14ac:dyDescent="0.25">
      <c r="A276" s="24"/>
      <c r="B276" s="174"/>
      <c r="C276" s="24"/>
      <c r="D276" s="24"/>
      <c r="E276" s="24"/>
      <c r="H276" s="7"/>
      <c r="K276" s="40"/>
    </row>
    <row r="277" spans="1:11" ht="15.75" customHeight="1" x14ac:dyDescent="0.25">
      <c r="K277" s="40"/>
    </row>
    <row r="278" spans="1:11" ht="15.75" customHeight="1" x14ac:dyDescent="0.25">
      <c r="K278" s="40"/>
    </row>
    <row r="279" spans="1:11" ht="15.75" customHeight="1" x14ac:dyDescent="0.25">
      <c r="K279" s="40"/>
    </row>
    <row r="280" spans="1:11" ht="15.75" customHeight="1" x14ac:dyDescent="0.25">
      <c r="K280" s="40"/>
    </row>
    <row r="281" spans="1:11" ht="15.75" customHeight="1" x14ac:dyDescent="0.25">
      <c r="K281" s="40"/>
    </row>
    <row r="282" spans="1:11" ht="15.75" customHeight="1" x14ac:dyDescent="0.25">
      <c r="K282" s="40"/>
    </row>
    <row r="283" spans="1:11" ht="15.75" customHeight="1" x14ac:dyDescent="0.25">
      <c r="K283" s="40"/>
    </row>
    <row r="284" spans="1:11" ht="15.75" customHeight="1" x14ac:dyDescent="0.25">
      <c r="K284" s="40"/>
    </row>
    <row r="285" spans="1:11" ht="15.75" customHeight="1" x14ac:dyDescent="0.25">
      <c r="K285" s="40"/>
    </row>
    <row r="286" spans="1:11" ht="15.75" customHeight="1" x14ac:dyDescent="0.25">
      <c r="K286" s="40"/>
    </row>
    <row r="287" spans="1:11" ht="15.75" customHeight="1" x14ac:dyDescent="0.25">
      <c r="K287" s="40"/>
    </row>
    <row r="288" spans="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89"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89"/>
  <sheetViews>
    <sheetView view="pageBreakPreview" zoomScale="145" zoomScaleNormal="100" zoomScaleSheetLayoutView="145" workbookViewId="0">
      <selection activeCell="A16" sqref="A16"/>
    </sheetView>
  </sheetViews>
  <sheetFormatPr defaultColWidth="14.42578125" defaultRowHeight="15" customHeight="1" x14ac:dyDescent="0.25"/>
  <cols>
    <col min="1" max="1" width="71.42578125" customWidth="1"/>
    <col min="2" max="2" width="14" customWidth="1"/>
    <col min="3" max="6" width="16.85546875" hidden="1" customWidth="1"/>
    <col min="7" max="7" width="16.85546875" customWidth="1"/>
    <col min="8" max="8" width="15.7109375" customWidth="1"/>
    <col min="9" max="10" width="10.28515625" customWidth="1"/>
    <col min="11" max="11" width="13.28515625" customWidth="1"/>
    <col min="12" max="26" width="10.28515625" customWidth="1"/>
  </cols>
  <sheetData>
    <row r="1" spans="1:26" ht="15.75" customHeight="1" x14ac:dyDescent="0.25">
      <c r="A1" s="9"/>
      <c r="B1" s="10"/>
      <c r="C1" s="11"/>
      <c r="D1" s="11"/>
      <c r="E1" s="11"/>
      <c r="F1" s="10"/>
      <c r="G1" s="13"/>
      <c r="H1" s="14"/>
      <c r="I1" s="15"/>
      <c r="J1" s="15"/>
      <c r="K1" s="16"/>
      <c r="L1" s="15"/>
      <c r="M1" s="15"/>
      <c r="N1" s="15"/>
      <c r="O1" s="15"/>
      <c r="P1" s="15"/>
      <c r="Q1" s="15"/>
      <c r="R1" s="15"/>
      <c r="S1" s="15"/>
      <c r="T1" s="15"/>
      <c r="U1" s="15"/>
      <c r="V1" s="15"/>
      <c r="W1" s="15"/>
      <c r="X1" s="15"/>
      <c r="Y1" s="15"/>
      <c r="Z1" s="15"/>
    </row>
    <row r="2" spans="1:26" ht="15.75" customHeight="1" x14ac:dyDescent="0.25">
      <c r="A2" s="17"/>
      <c r="B2" s="15"/>
      <c r="C2" s="18"/>
      <c r="D2" s="18"/>
      <c r="E2" s="18"/>
      <c r="F2" s="15"/>
      <c r="G2" s="19"/>
      <c r="H2" s="14"/>
      <c r="I2" s="15"/>
      <c r="J2" s="15"/>
      <c r="K2" s="16"/>
      <c r="L2" s="15"/>
      <c r="M2" s="15"/>
      <c r="N2" s="15"/>
      <c r="O2" s="15"/>
      <c r="P2" s="15"/>
      <c r="Q2" s="15"/>
      <c r="R2" s="15"/>
      <c r="S2" s="15"/>
      <c r="T2" s="15"/>
      <c r="U2" s="15"/>
      <c r="V2" s="15"/>
      <c r="W2" s="15"/>
      <c r="X2" s="15"/>
      <c r="Y2" s="15"/>
      <c r="Z2" s="15"/>
    </row>
    <row r="3" spans="1:26" ht="15.75"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c r="Z3" s="15"/>
    </row>
    <row r="4" spans="1:26" ht="15.75"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c r="Z4" s="15"/>
    </row>
    <row r="5" spans="1:26" ht="15.75"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c r="Z5" s="15"/>
    </row>
    <row r="6" spans="1:26" ht="15.75" customHeight="1" x14ac:dyDescent="0.25">
      <c r="A6" s="17" t="s">
        <v>2584</v>
      </c>
      <c r="B6" s="24"/>
      <c r="C6" s="25"/>
      <c r="D6" s="25"/>
      <c r="E6" s="25"/>
      <c r="F6" s="24"/>
      <c r="G6" s="19"/>
      <c r="H6" s="14"/>
      <c r="I6" s="15"/>
      <c r="J6" s="15"/>
      <c r="K6" s="16"/>
      <c r="L6" s="15"/>
      <c r="M6" s="15"/>
      <c r="N6" s="15"/>
      <c r="O6" s="15"/>
      <c r="P6" s="15"/>
      <c r="Q6" s="15"/>
      <c r="R6" s="15"/>
      <c r="S6" s="15"/>
      <c r="T6" s="15"/>
      <c r="U6" s="15"/>
      <c r="V6" s="15"/>
      <c r="W6" s="15"/>
      <c r="X6" s="15"/>
      <c r="Y6" s="15"/>
      <c r="Z6" s="15"/>
    </row>
    <row r="7" spans="1:26" ht="15.75"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c r="Z7" s="15"/>
    </row>
    <row r="8" spans="1:26" ht="15.75"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c r="Z8" s="15"/>
    </row>
    <row r="9" spans="1:26"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c r="Z9" s="15"/>
    </row>
    <row r="10" spans="1:26"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c r="Z10" s="15"/>
    </row>
    <row r="11" spans="1:26" ht="15.75" customHeight="1" x14ac:dyDescent="0.25">
      <c r="A11" s="858"/>
      <c r="B11" s="858"/>
      <c r="C11" s="30" t="s">
        <v>361</v>
      </c>
      <c r="D11" s="31" t="s">
        <v>361</v>
      </c>
      <c r="E11" s="32" t="s">
        <v>362</v>
      </c>
      <c r="F11" s="860"/>
      <c r="G11" s="442" t="s">
        <v>2669</v>
      </c>
      <c r="H11" s="15"/>
      <c r="I11" s="15"/>
      <c r="J11" s="15"/>
      <c r="K11" s="16"/>
      <c r="L11" s="15"/>
      <c r="M11" s="15"/>
      <c r="N11" s="15"/>
      <c r="O11" s="15"/>
      <c r="P11" s="15"/>
      <c r="Q11" s="15"/>
      <c r="R11" s="15"/>
      <c r="S11" s="15"/>
      <c r="T11" s="15"/>
      <c r="U11" s="15"/>
      <c r="V11" s="15"/>
      <c r="W11" s="15"/>
      <c r="X11" s="15"/>
      <c r="Y11" s="15"/>
      <c r="Z11" s="15"/>
    </row>
    <row r="12" spans="1:26"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c r="Z12" s="15"/>
    </row>
    <row r="13" spans="1:26" ht="15" customHeight="1" x14ac:dyDescent="0.25">
      <c r="A13" s="17" t="s">
        <v>364</v>
      </c>
      <c r="B13" s="41"/>
      <c r="C13" s="42"/>
      <c r="D13" s="42"/>
      <c r="E13" s="42"/>
      <c r="F13" s="42"/>
      <c r="G13" s="42"/>
      <c r="K13" s="40"/>
    </row>
    <row r="14" spans="1:26" ht="15" customHeight="1" x14ac:dyDescent="0.25">
      <c r="A14" s="42" t="s">
        <v>491</v>
      </c>
      <c r="B14" s="49"/>
      <c r="C14" s="43"/>
      <c r="D14" s="43"/>
      <c r="E14" s="43"/>
      <c r="F14" s="43"/>
      <c r="G14" s="43"/>
      <c r="K14" s="40"/>
    </row>
    <row r="15" spans="1:26" ht="15.75" customHeight="1" x14ac:dyDescent="0.25">
      <c r="A15" s="42" t="s">
        <v>493</v>
      </c>
      <c r="B15" s="41"/>
      <c r="C15" s="43"/>
      <c r="D15" s="43"/>
      <c r="E15" s="43"/>
      <c r="F15" s="43"/>
      <c r="G15" s="43"/>
      <c r="K15" s="40"/>
    </row>
    <row r="16" spans="1:26" ht="15.75" customHeight="1" x14ac:dyDescent="0.25">
      <c r="A16" s="44" t="s">
        <v>396</v>
      </c>
      <c r="B16" s="41" t="s">
        <v>191</v>
      </c>
      <c r="C16" s="43">
        <v>30798.240000000002</v>
      </c>
      <c r="D16" s="43">
        <v>0</v>
      </c>
      <c r="E16" s="43">
        <f>F16-D16</f>
        <v>0</v>
      </c>
      <c r="F16" s="43"/>
      <c r="G16" s="43">
        <v>0</v>
      </c>
      <c r="K16" s="40"/>
    </row>
    <row r="17" spans="1:26" ht="15.75" customHeight="1" x14ac:dyDescent="0.25">
      <c r="A17" s="17" t="s">
        <v>499</v>
      </c>
      <c r="B17" s="41"/>
      <c r="C17" s="43"/>
      <c r="D17" s="43"/>
      <c r="E17" s="43"/>
      <c r="F17" s="43"/>
      <c r="G17" s="43"/>
      <c r="H17" s="15"/>
      <c r="I17" s="15"/>
      <c r="J17" s="15"/>
      <c r="K17" s="16"/>
      <c r="L17" s="15"/>
      <c r="M17" s="15"/>
      <c r="N17" s="15"/>
      <c r="O17" s="15"/>
      <c r="P17" s="15"/>
      <c r="Q17" s="15"/>
      <c r="R17" s="15"/>
      <c r="S17" s="15"/>
      <c r="T17" s="15"/>
      <c r="U17" s="15"/>
      <c r="V17" s="15"/>
      <c r="W17" s="15"/>
      <c r="X17" s="15"/>
      <c r="Y17" s="15"/>
      <c r="Z17" s="15"/>
    </row>
    <row r="18" spans="1:26" ht="15.75" customHeight="1" x14ac:dyDescent="0.25">
      <c r="A18" s="44" t="s">
        <v>398</v>
      </c>
      <c r="B18" s="41" t="s">
        <v>195</v>
      </c>
      <c r="C18" s="43">
        <v>49456.74</v>
      </c>
      <c r="D18" s="43">
        <v>19417.900000000001</v>
      </c>
      <c r="E18" s="43">
        <f t="shared" ref="E18:E19" si="0">F18-D18</f>
        <v>24661.1</v>
      </c>
      <c r="F18" s="43">
        <v>44079</v>
      </c>
      <c r="G18" s="43">
        <v>46108</v>
      </c>
      <c r="H18" s="15">
        <v>46108</v>
      </c>
      <c r="I18" s="15"/>
      <c r="J18" s="15"/>
      <c r="K18" s="16"/>
      <c r="L18" s="15"/>
      <c r="M18" s="15"/>
      <c r="N18" s="15"/>
      <c r="O18" s="15"/>
      <c r="P18" s="15"/>
      <c r="Q18" s="15"/>
      <c r="R18" s="15"/>
      <c r="S18" s="15"/>
      <c r="T18" s="15"/>
      <c r="U18" s="15"/>
      <c r="V18" s="15"/>
      <c r="W18" s="15"/>
      <c r="X18" s="15"/>
      <c r="Y18" s="15"/>
      <c r="Z18" s="15"/>
    </row>
    <row r="19" spans="1:26" ht="15.75" customHeight="1" x14ac:dyDescent="0.25">
      <c r="A19" s="44" t="s">
        <v>399</v>
      </c>
      <c r="B19" s="41" t="s">
        <v>211</v>
      </c>
      <c r="C19" s="43">
        <v>414050.49</v>
      </c>
      <c r="D19" s="43">
        <v>170754.49</v>
      </c>
      <c r="E19" s="43">
        <f t="shared" si="0"/>
        <v>287360.51</v>
      </c>
      <c r="F19" s="43">
        <v>458115</v>
      </c>
      <c r="G19" s="43">
        <v>458059</v>
      </c>
      <c r="H19" s="15">
        <v>458059</v>
      </c>
      <c r="I19" s="15"/>
      <c r="J19" s="15"/>
      <c r="K19" s="16"/>
      <c r="L19" s="15"/>
      <c r="M19" s="15"/>
      <c r="N19" s="15"/>
      <c r="O19" s="15"/>
      <c r="P19" s="15"/>
      <c r="Q19" s="15"/>
      <c r="R19" s="15"/>
      <c r="S19" s="15"/>
      <c r="T19" s="15"/>
      <c r="U19" s="15"/>
      <c r="V19" s="15"/>
      <c r="W19" s="15"/>
      <c r="X19" s="15"/>
      <c r="Y19" s="15"/>
      <c r="Z19" s="15"/>
    </row>
    <row r="20" spans="1:26" ht="15.75" customHeight="1" x14ac:dyDescent="0.25">
      <c r="A20" s="44" t="s">
        <v>1840</v>
      </c>
      <c r="B20" s="41" t="s">
        <v>221</v>
      </c>
      <c r="C20" s="43">
        <v>0</v>
      </c>
      <c r="D20" s="43">
        <v>0</v>
      </c>
      <c r="E20" s="43">
        <v>0</v>
      </c>
      <c r="F20" s="43">
        <v>0</v>
      </c>
      <c r="G20" s="43">
        <v>18000</v>
      </c>
      <c r="H20" s="15">
        <v>18000</v>
      </c>
      <c r="I20" s="15"/>
      <c r="J20" s="15"/>
      <c r="K20" s="16"/>
      <c r="L20" s="15"/>
      <c r="M20" s="15"/>
      <c r="N20" s="15"/>
      <c r="O20" s="15"/>
      <c r="P20" s="15"/>
      <c r="Q20" s="15"/>
      <c r="R20" s="15"/>
      <c r="S20" s="15"/>
      <c r="T20" s="15"/>
      <c r="U20" s="15"/>
      <c r="V20" s="15"/>
      <c r="W20" s="15"/>
      <c r="X20" s="15"/>
      <c r="Y20" s="15"/>
      <c r="Z20" s="15"/>
    </row>
    <row r="21" spans="1:26" ht="15.75" customHeight="1" x14ac:dyDescent="0.25">
      <c r="A21" s="44" t="s">
        <v>538</v>
      </c>
      <c r="B21" s="41" t="s">
        <v>223</v>
      </c>
      <c r="C21" s="43">
        <v>0</v>
      </c>
      <c r="D21" s="43">
        <v>0</v>
      </c>
      <c r="E21" s="43">
        <v>0</v>
      </c>
      <c r="F21" s="43">
        <v>0</v>
      </c>
      <c r="G21" s="43">
        <v>33500</v>
      </c>
      <c r="H21" s="15">
        <v>33500</v>
      </c>
      <c r="I21" s="15"/>
      <c r="J21" s="15"/>
      <c r="K21" s="16"/>
      <c r="L21" s="15"/>
      <c r="M21" s="15"/>
      <c r="N21" s="15"/>
      <c r="O21" s="15"/>
      <c r="P21" s="15"/>
      <c r="Q21" s="15"/>
      <c r="R21" s="15"/>
      <c r="S21" s="15"/>
      <c r="T21" s="15"/>
      <c r="U21" s="15"/>
      <c r="V21" s="15"/>
      <c r="W21" s="15"/>
      <c r="X21" s="15"/>
      <c r="Y21" s="15"/>
      <c r="Z21" s="15"/>
    </row>
    <row r="22" spans="1:26" ht="15.75" customHeight="1" x14ac:dyDescent="0.25">
      <c r="A22" s="44" t="s">
        <v>402</v>
      </c>
      <c r="B22" s="41" t="s">
        <v>225</v>
      </c>
      <c r="C22" s="43">
        <v>106999.21</v>
      </c>
      <c r="D22" s="43">
        <v>17832</v>
      </c>
      <c r="E22" s="43">
        <f>F22-D22</f>
        <v>33045</v>
      </c>
      <c r="F22" s="43">
        <v>50877</v>
      </c>
      <c r="G22" s="43">
        <v>91980</v>
      </c>
      <c r="H22" s="15">
        <v>91980</v>
      </c>
      <c r="I22" s="15"/>
      <c r="J22" s="15"/>
      <c r="K22" s="16"/>
      <c r="L22" s="15"/>
      <c r="M22" s="15"/>
      <c r="N22" s="15"/>
      <c r="O22" s="15"/>
      <c r="P22" s="15"/>
      <c r="Q22" s="15"/>
      <c r="R22" s="15"/>
      <c r="S22" s="15"/>
      <c r="T22" s="15"/>
      <c r="U22" s="15"/>
      <c r="V22" s="15"/>
      <c r="W22" s="15"/>
      <c r="X22" s="15"/>
      <c r="Y22" s="15"/>
      <c r="Z22" s="15"/>
    </row>
    <row r="23" spans="1:26" ht="15.75" customHeight="1" x14ac:dyDescent="0.25">
      <c r="A23" s="17" t="s">
        <v>813</v>
      </c>
      <c r="B23" s="41"/>
      <c r="C23" s="43"/>
      <c r="D23" s="43"/>
      <c r="E23" s="43"/>
      <c r="F23" s="43"/>
      <c r="G23" s="43"/>
      <c r="H23" s="15"/>
      <c r="I23" s="15"/>
      <c r="J23" s="15"/>
      <c r="K23" s="16"/>
      <c r="L23" s="15"/>
      <c r="M23" s="15"/>
      <c r="N23" s="15"/>
      <c r="O23" s="15"/>
      <c r="P23" s="15"/>
      <c r="Q23" s="15"/>
      <c r="R23" s="15"/>
      <c r="S23" s="15"/>
      <c r="T23" s="15"/>
      <c r="U23" s="15"/>
      <c r="V23" s="15"/>
      <c r="W23" s="15"/>
      <c r="X23" s="15"/>
      <c r="Y23" s="15"/>
      <c r="Z23" s="15"/>
    </row>
    <row r="24" spans="1:26" ht="15.75" customHeight="1" x14ac:dyDescent="0.25">
      <c r="A24" s="44" t="s">
        <v>814</v>
      </c>
      <c r="B24" s="41" t="s">
        <v>227</v>
      </c>
      <c r="C24" s="43">
        <v>221350.92</v>
      </c>
      <c r="D24" s="43">
        <v>117284.7</v>
      </c>
      <c r="E24" s="43">
        <f t="shared" ref="E24:E25" si="1">F24-D24</f>
        <v>482715.3</v>
      </c>
      <c r="F24" s="43">
        <v>600000</v>
      </c>
      <c r="G24" s="43">
        <v>600000</v>
      </c>
      <c r="H24" s="15">
        <v>60000</v>
      </c>
      <c r="I24" s="15"/>
      <c r="J24" s="15"/>
      <c r="K24" s="16"/>
      <c r="L24" s="15"/>
      <c r="M24" s="15"/>
      <c r="N24" s="15"/>
      <c r="O24" s="15"/>
      <c r="P24" s="15"/>
      <c r="Q24" s="15"/>
      <c r="R24" s="15"/>
      <c r="S24" s="15"/>
      <c r="T24" s="15"/>
      <c r="U24" s="15"/>
      <c r="V24" s="15"/>
      <c r="W24" s="15"/>
      <c r="X24" s="15"/>
      <c r="Y24" s="15"/>
      <c r="Z24" s="15"/>
    </row>
    <row r="25" spans="1:26" ht="15.75" customHeight="1" x14ac:dyDescent="0.25">
      <c r="A25" s="44" t="s">
        <v>815</v>
      </c>
      <c r="B25" s="41" t="s">
        <v>229</v>
      </c>
      <c r="C25" s="43">
        <v>915684.01</v>
      </c>
      <c r="D25" s="43">
        <v>684048.1</v>
      </c>
      <c r="E25" s="43">
        <f t="shared" si="1"/>
        <v>1315951.8999999999</v>
      </c>
      <c r="F25" s="43">
        <v>2000000</v>
      </c>
      <c r="G25" s="43">
        <v>1840000</v>
      </c>
      <c r="H25" s="15">
        <v>1840000</v>
      </c>
      <c r="I25" s="15"/>
      <c r="J25" s="15"/>
      <c r="K25" s="16"/>
      <c r="L25" s="15"/>
      <c r="M25" s="15"/>
      <c r="N25" s="15"/>
      <c r="O25" s="15"/>
      <c r="P25" s="15"/>
      <c r="Q25" s="15"/>
      <c r="R25" s="15"/>
      <c r="S25" s="15"/>
      <c r="T25" s="15"/>
      <c r="U25" s="15"/>
      <c r="V25" s="15"/>
      <c r="W25" s="15"/>
      <c r="X25" s="15"/>
      <c r="Y25" s="15"/>
      <c r="Z25" s="15"/>
    </row>
    <row r="26" spans="1:26" ht="15.75" customHeight="1" x14ac:dyDescent="0.25">
      <c r="A26" s="17" t="s">
        <v>503</v>
      </c>
      <c r="B26" s="41"/>
      <c r="C26" s="43"/>
      <c r="D26" s="43"/>
      <c r="E26" s="43"/>
      <c r="F26" s="43"/>
      <c r="G26" s="43"/>
      <c r="H26" s="15"/>
      <c r="I26" s="15"/>
      <c r="J26" s="15"/>
      <c r="K26" s="16"/>
      <c r="L26" s="15"/>
      <c r="M26" s="15"/>
      <c r="N26" s="15"/>
      <c r="O26" s="15"/>
      <c r="P26" s="15"/>
      <c r="Q26" s="15"/>
      <c r="R26" s="15"/>
      <c r="S26" s="15"/>
      <c r="T26" s="15"/>
      <c r="U26" s="15"/>
      <c r="V26" s="15"/>
      <c r="W26" s="15"/>
      <c r="X26" s="15"/>
      <c r="Y26" s="15"/>
      <c r="Z26" s="15"/>
    </row>
    <row r="27" spans="1:26" ht="15.75" customHeight="1" x14ac:dyDescent="0.25">
      <c r="A27" s="44" t="s">
        <v>643</v>
      </c>
      <c r="B27" s="41" t="s">
        <v>233</v>
      </c>
      <c r="C27" s="43">
        <v>19188</v>
      </c>
      <c r="D27" s="43">
        <v>9594</v>
      </c>
      <c r="E27" s="43">
        <f t="shared" ref="E27:E28" si="2">F27-D27</f>
        <v>13194</v>
      </c>
      <c r="F27" s="43">
        <v>22788</v>
      </c>
      <c r="G27" s="43">
        <v>22788</v>
      </c>
      <c r="H27" s="15">
        <v>22788</v>
      </c>
      <c r="I27" s="15"/>
      <c r="J27" s="15"/>
      <c r="K27" s="16"/>
      <c r="L27" s="15"/>
      <c r="M27" s="15"/>
      <c r="N27" s="15"/>
      <c r="O27" s="15"/>
      <c r="P27" s="15"/>
      <c r="Q27" s="15"/>
      <c r="R27" s="15"/>
      <c r="S27" s="15"/>
      <c r="T27" s="15"/>
      <c r="U27" s="15"/>
      <c r="V27" s="15"/>
      <c r="W27" s="15"/>
      <c r="X27" s="15"/>
      <c r="Y27" s="15"/>
      <c r="Z27" s="15"/>
    </row>
    <row r="28" spans="1:26" ht="15.75" customHeight="1" x14ac:dyDescent="0.25">
      <c r="A28" s="44" t="s">
        <v>405</v>
      </c>
      <c r="B28" s="41" t="s">
        <v>235</v>
      </c>
      <c r="C28" s="43">
        <v>11292</v>
      </c>
      <c r="D28" s="43">
        <v>5970</v>
      </c>
      <c r="E28" s="43">
        <f t="shared" si="2"/>
        <v>6030</v>
      </c>
      <c r="F28" s="43">
        <v>12000</v>
      </c>
      <c r="G28" s="43">
        <v>12000</v>
      </c>
      <c r="H28" s="15">
        <v>12000</v>
      </c>
      <c r="I28" s="15"/>
      <c r="J28" s="15"/>
      <c r="K28" s="16"/>
      <c r="L28" s="15"/>
      <c r="M28" s="15"/>
      <c r="N28" s="15"/>
      <c r="O28" s="15"/>
      <c r="P28" s="15"/>
      <c r="Q28" s="15"/>
      <c r="R28" s="15"/>
      <c r="S28" s="15"/>
      <c r="T28" s="15"/>
      <c r="U28" s="15"/>
      <c r="V28" s="15"/>
      <c r="W28" s="15"/>
      <c r="X28" s="15"/>
      <c r="Y28" s="15"/>
      <c r="Z28" s="15"/>
    </row>
    <row r="29" spans="1:26" ht="15.75" customHeight="1" x14ac:dyDescent="0.25">
      <c r="A29" s="42" t="s">
        <v>511</v>
      </c>
      <c r="B29" s="41"/>
      <c r="C29" s="42"/>
      <c r="D29" s="42"/>
      <c r="E29" s="42"/>
      <c r="F29" s="43"/>
      <c r="G29" s="43"/>
      <c r="H29" s="15"/>
      <c r="I29" s="15"/>
      <c r="J29" s="15"/>
      <c r="K29" s="16"/>
      <c r="L29" s="15"/>
      <c r="M29" s="15"/>
      <c r="N29" s="15"/>
      <c r="O29" s="15"/>
      <c r="P29" s="15"/>
      <c r="Q29" s="15"/>
      <c r="R29" s="15"/>
      <c r="S29" s="15"/>
      <c r="T29" s="15"/>
      <c r="U29" s="15"/>
      <c r="V29" s="15"/>
      <c r="W29" s="15"/>
      <c r="X29" s="15"/>
      <c r="Y29" s="15"/>
      <c r="Z29" s="15"/>
    </row>
    <row r="30" spans="1:26" ht="15.75" customHeight="1" x14ac:dyDescent="0.25">
      <c r="A30" s="48" t="s">
        <v>424</v>
      </c>
      <c r="B30" s="41" t="s">
        <v>335</v>
      </c>
      <c r="C30" s="43">
        <v>4986021</v>
      </c>
      <c r="D30" s="43">
        <v>1769212</v>
      </c>
      <c r="E30" s="43">
        <f>F30-D30</f>
        <v>2637128</v>
      </c>
      <c r="F30" s="43">
        <v>4406340</v>
      </c>
      <c r="G30" s="43">
        <v>6401460</v>
      </c>
      <c r="H30" s="16">
        <f>SUM(H31:H32)+SUM(K34:K38)</f>
        <v>6401460</v>
      </c>
      <c r="I30" s="15"/>
      <c r="J30" s="15"/>
      <c r="K30" s="16"/>
      <c r="L30" s="15"/>
      <c r="M30" s="15"/>
      <c r="N30" s="15"/>
      <c r="O30" s="15"/>
      <c r="P30" s="15"/>
      <c r="Q30" s="15"/>
      <c r="R30" s="15"/>
      <c r="S30" s="15"/>
      <c r="T30" s="15"/>
      <c r="U30" s="15"/>
      <c r="V30" s="15"/>
      <c r="W30" s="15"/>
      <c r="X30" s="15"/>
      <c r="Y30" s="15"/>
      <c r="Z30" s="15"/>
    </row>
    <row r="31" spans="1:26" ht="15.75" customHeight="1" x14ac:dyDescent="0.25">
      <c r="A31" s="74" t="s">
        <v>2585</v>
      </c>
      <c r="B31" s="49"/>
      <c r="C31" s="43"/>
      <c r="D31" s="43"/>
      <c r="E31" s="43"/>
      <c r="F31" s="43"/>
      <c r="G31" s="43"/>
      <c r="H31" s="15">
        <f>72000</f>
        <v>72000</v>
      </c>
      <c r="I31" s="15"/>
      <c r="J31" s="15"/>
      <c r="K31" s="16"/>
      <c r="L31" s="15"/>
      <c r="M31" s="15"/>
      <c r="N31" s="15"/>
      <c r="O31" s="15"/>
      <c r="P31" s="15"/>
      <c r="Q31" s="15"/>
      <c r="R31" s="15"/>
      <c r="S31" s="15"/>
      <c r="T31" s="15"/>
      <c r="U31" s="15"/>
      <c r="V31" s="15"/>
      <c r="W31" s="15"/>
      <c r="X31" s="15"/>
      <c r="Y31" s="15"/>
      <c r="Z31" s="15"/>
    </row>
    <row r="32" spans="1:26" ht="15.75" customHeight="1" x14ac:dyDescent="0.25">
      <c r="A32" s="74" t="s">
        <v>2586</v>
      </c>
      <c r="B32" s="49"/>
      <c r="C32" s="43"/>
      <c r="D32" s="43"/>
      <c r="E32" s="43"/>
      <c r="F32" s="43"/>
      <c r="G32" s="43"/>
      <c r="H32" s="15">
        <f>25500</f>
        <v>25500</v>
      </c>
      <c r="I32" s="15"/>
      <c r="J32" s="15"/>
      <c r="K32" s="16"/>
      <c r="L32" s="15"/>
      <c r="M32" s="15"/>
      <c r="N32" s="15"/>
      <c r="O32" s="15"/>
      <c r="P32" s="15"/>
      <c r="Q32" s="15"/>
      <c r="R32" s="15"/>
      <c r="S32" s="15"/>
      <c r="T32" s="15"/>
      <c r="U32" s="15"/>
      <c r="V32" s="15"/>
      <c r="W32" s="15"/>
      <c r="X32" s="15"/>
      <c r="Y32" s="15"/>
      <c r="Z32" s="15"/>
    </row>
    <row r="33" spans="1:26" ht="15.75" customHeight="1" x14ac:dyDescent="0.25">
      <c r="A33" s="74" t="s">
        <v>648</v>
      </c>
      <c r="B33" s="49"/>
      <c r="C33" s="43"/>
      <c r="D33" s="43"/>
      <c r="E33" s="43"/>
      <c r="F33" s="43"/>
      <c r="G33" s="43"/>
      <c r="H33" s="15"/>
      <c r="I33" s="15"/>
      <c r="J33" s="15"/>
      <c r="K33" s="16"/>
      <c r="L33" s="15"/>
      <c r="M33" s="15"/>
      <c r="N33" s="15"/>
      <c r="O33" s="15"/>
      <c r="P33" s="15"/>
      <c r="Q33" s="15"/>
      <c r="R33" s="15"/>
      <c r="S33" s="15"/>
      <c r="T33" s="15"/>
      <c r="U33" s="15"/>
      <c r="V33" s="15"/>
      <c r="W33" s="15"/>
      <c r="X33" s="15"/>
      <c r="Y33" s="15"/>
      <c r="Z33" s="15"/>
    </row>
    <row r="34" spans="1:26" ht="31.5" x14ac:dyDescent="0.25">
      <c r="A34" s="627" t="s">
        <v>2587</v>
      </c>
      <c r="B34" s="487"/>
      <c r="C34" s="438"/>
      <c r="D34" s="438"/>
      <c r="E34" s="438"/>
      <c r="F34" s="438"/>
      <c r="G34" s="438"/>
      <c r="H34" s="15">
        <f>10</f>
        <v>10</v>
      </c>
      <c r="I34" s="15">
        <v>639</v>
      </c>
      <c r="J34" s="15">
        <f t="shared" ref="J34:J35" si="3">26*12</f>
        <v>312</v>
      </c>
      <c r="K34" s="16">
        <f t="shared" ref="K34:K37" si="4">J34*I34*H34</f>
        <v>1993680</v>
      </c>
      <c r="L34" s="15" t="s">
        <v>2588</v>
      </c>
      <c r="M34" s="15"/>
      <c r="N34" s="15"/>
      <c r="O34" s="15"/>
      <c r="P34" s="15"/>
      <c r="Q34" s="15"/>
      <c r="R34" s="15"/>
      <c r="S34" s="15"/>
      <c r="T34" s="15"/>
      <c r="U34" s="15"/>
      <c r="V34" s="15"/>
      <c r="W34" s="15"/>
      <c r="X34" s="15"/>
      <c r="Y34" s="15"/>
      <c r="Z34" s="15"/>
    </row>
    <row r="35" spans="1:26" ht="31.5" x14ac:dyDescent="0.25">
      <c r="A35" s="627" t="s">
        <v>2589</v>
      </c>
      <c r="B35" s="487"/>
      <c r="C35" s="438"/>
      <c r="D35" s="438"/>
      <c r="E35" s="438"/>
      <c r="F35" s="438"/>
      <c r="G35" s="438"/>
      <c r="H35" s="15">
        <v>15</v>
      </c>
      <c r="I35" s="15">
        <v>678</v>
      </c>
      <c r="J35" s="15">
        <f t="shared" si="3"/>
        <v>312</v>
      </c>
      <c r="K35" s="16">
        <f t="shared" si="4"/>
        <v>3173040</v>
      </c>
      <c r="L35" s="15" t="s">
        <v>2588</v>
      </c>
      <c r="M35" s="15"/>
      <c r="N35" s="15"/>
      <c r="O35" s="15"/>
      <c r="P35" s="15"/>
      <c r="Q35" s="15"/>
      <c r="R35" s="15"/>
      <c r="S35" s="15"/>
      <c r="T35" s="15"/>
      <c r="U35" s="15"/>
      <c r="V35" s="15"/>
      <c r="W35" s="15"/>
      <c r="X35" s="15"/>
      <c r="Y35" s="15"/>
      <c r="Z35" s="15"/>
    </row>
    <row r="36" spans="1:26" ht="31.5" x14ac:dyDescent="0.25">
      <c r="A36" s="90" t="s">
        <v>2590</v>
      </c>
      <c r="B36" s="49"/>
      <c r="C36" s="43"/>
      <c r="D36" s="43"/>
      <c r="E36" s="43"/>
      <c r="F36" s="43"/>
      <c r="G36" s="43"/>
      <c r="H36" s="15">
        <v>4</v>
      </c>
      <c r="I36" s="15">
        <v>720</v>
      </c>
      <c r="J36" s="15">
        <f t="shared" ref="J36:J37" si="5">312</f>
        <v>312</v>
      </c>
      <c r="K36" s="16">
        <f t="shared" si="4"/>
        <v>898560</v>
      </c>
      <c r="L36" s="15" t="s">
        <v>2588</v>
      </c>
      <c r="M36" s="15"/>
      <c r="N36" s="15"/>
      <c r="O36" s="15"/>
      <c r="P36" s="15"/>
      <c r="Q36" s="15"/>
      <c r="R36" s="15"/>
      <c r="S36" s="15"/>
      <c r="T36" s="15"/>
      <c r="U36" s="15"/>
      <c r="V36" s="15"/>
      <c r="W36" s="15"/>
      <c r="X36" s="15"/>
      <c r="Y36" s="15"/>
      <c r="Z36" s="15"/>
    </row>
    <row r="37" spans="1:26" ht="31.5" x14ac:dyDescent="0.25">
      <c r="A37" s="90" t="s">
        <v>2564</v>
      </c>
      <c r="B37" s="49"/>
      <c r="C37" s="43"/>
      <c r="D37" s="43"/>
      <c r="E37" s="43"/>
      <c r="F37" s="43"/>
      <c r="G37" s="43"/>
      <c r="H37" s="15">
        <v>1</v>
      </c>
      <c r="I37" s="15">
        <f>765</f>
        <v>765</v>
      </c>
      <c r="J37" s="15">
        <f t="shared" si="5"/>
        <v>312</v>
      </c>
      <c r="K37" s="16">
        <f t="shared" si="4"/>
        <v>238680</v>
      </c>
      <c r="L37" s="15"/>
      <c r="M37" s="15"/>
      <c r="N37" s="15"/>
      <c r="O37" s="15"/>
      <c r="P37" s="15"/>
      <c r="Q37" s="15"/>
      <c r="R37" s="15"/>
      <c r="S37" s="15"/>
      <c r="T37" s="15"/>
      <c r="U37" s="15"/>
      <c r="V37" s="15"/>
      <c r="W37" s="15"/>
      <c r="X37" s="15"/>
      <c r="Y37" s="15"/>
      <c r="Z37" s="15"/>
    </row>
    <row r="38" spans="1:26" ht="15.75" customHeight="1" x14ac:dyDescent="0.25">
      <c r="A38" s="42" t="s">
        <v>466</v>
      </c>
      <c r="B38" s="49"/>
      <c r="C38" s="54">
        <f t="shared" ref="C38:F38" si="6">SUM(C15:C30)</f>
        <v>6754840.6099999994</v>
      </c>
      <c r="D38" s="54">
        <f t="shared" si="6"/>
        <v>2794113.19</v>
      </c>
      <c r="E38" s="54">
        <f t="shared" si="6"/>
        <v>4800085.8099999996</v>
      </c>
      <c r="F38" s="54">
        <f t="shared" si="6"/>
        <v>7594199</v>
      </c>
      <c r="G38" s="54">
        <f>SUM(G16:G30)</f>
        <v>9523895</v>
      </c>
      <c r="H38" s="15"/>
      <c r="I38" s="15"/>
      <c r="J38" s="15"/>
      <c r="K38" s="16"/>
      <c r="L38" s="15"/>
      <c r="M38" s="15"/>
      <c r="N38" s="15"/>
      <c r="O38" s="15"/>
      <c r="P38" s="15"/>
      <c r="Q38" s="15"/>
      <c r="R38" s="15"/>
      <c r="S38" s="15"/>
      <c r="T38" s="15"/>
      <c r="U38" s="15"/>
      <c r="V38" s="15"/>
      <c r="W38" s="15"/>
      <c r="X38" s="15"/>
      <c r="Y38" s="15"/>
      <c r="Z38" s="15"/>
    </row>
    <row r="39" spans="1:26" ht="15.75" customHeight="1" x14ac:dyDescent="0.25">
      <c r="A39" s="42"/>
      <c r="B39" s="49"/>
      <c r="C39" s="39"/>
      <c r="D39" s="55"/>
      <c r="E39" s="55"/>
      <c r="F39" s="55"/>
      <c r="G39" s="55"/>
      <c r="H39" s="15"/>
      <c r="I39" s="15"/>
      <c r="J39" s="15"/>
      <c r="K39" s="16"/>
      <c r="L39" s="15"/>
      <c r="M39" s="15"/>
      <c r="N39" s="15"/>
      <c r="O39" s="15"/>
      <c r="P39" s="15"/>
      <c r="Q39" s="15"/>
      <c r="R39" s="15"/>
      <c r="S39" s="15"/>
      <c r="T39" s="15"/>
      <c r="U39" s="15"/>
      <c r="V39" s="15"/>
      <c r="W39" s="15"/>
      <c r="X39" s="15"/>
      <c r="Y39" s="15"/>
      <c r="Z39" s="15"/>
    </row>
    <row r="40" spans="1:26" ht="15.75" customHeight="1" x14ac:dyDescent="0.25">
      <c r="A40" s="17" t="s">
        <v>467</v>
      </c>
      <c r="B40" s="20"/>
      <c r="C40" s="43">
        <f t="shared" ref="C40:G40" si="7">C38</f>
        <v>6754840.6099999994</v>
      </c>
      <c r="D40" s="43">
        <f t="shared" si="7"/>
        <v>2794113.19</v>
      </c>
      <c r="E40" s="26">
        <f t="shared" si="7"/>
        <v>4800085.8099999996</v>
      </c>
      <c r="F40" s="56">
        <f t="shared" si="7"/>
        <v>7594199</v>
      </c>
      <c r="G40" s="43">
        <f t="shared" si="7"/>
        <v>9523895</v>
      </c>
      <c r="H40" s="15"/>
      <c r="I40" s="15"/>
      <c r="J40" s="15"/>
      <c r="K40" s="16"/>
      <c r="L40" s="15"/>
      <c r="M40" s="15"/>
      <c r="N40" s="15"/>
      <c r="O40" s="15"/>
      <c r="P40" s="15"/>
      <c r="Q40" s="15"/>
      <c r="R40" s="15"/>
      <c r="S40" s="15"/>
      <c r="T40" s="15"/>
      <c r="U40" s="15"/>
      <c r="V40" s="15"/>
      <c r="W40" s="15"/>
      <c r="X40" s="15"/>
      <c r="Y40" s="15"/>
      <c r="Z40" s="15"/>
    </row>
    <row r="41" spans="1:26" ht="15.75" customHeight="1" x14ac:dyDescent="0.25">
      <c r="A41" s="42"/>
      <c r="B41" s="41"/>
      <c r="C41" s="43"/>
      <c r="D41" s="43"/>
      <c r="E41" s="43"/>
      <c r="F41" s="45"/>
      <c r="G41" s="43"/>
      <c r="H41" s="15"/>
      <c r="I41" s="15"/>
      <c r="J41" s="15"/>
      <c r="K41" s="16"/>
      <c r="L41" s="15"/>
      <c r="M41" s="15"/>
      <c r="N41" s="15"/>
      <c r="O41" s="15"/>
      <c r="P41" s="15"/>
      <c r="Q41" s="15"/>
      <c r="R41" s="15"/>
      <c r="S41" s="15"/>
      <c r="T41" s="15"/>
      <c r="U41" s="15"/>
      <c r="V41" s="15"/>
      <c r="W41" s="15"/>
      <c r="X41" s="15"/>
      <c r="Y41" s="15"/>
      <c r="Z41" s="15"/>
    </row>
    <row r="42" spans="1:26" ht="15" customHeight="1" x14ac:dyDescent="0.25">
      <c r="A42" s="50" t="s">
        <v>487</v>
      </c>
      <c r="B42" s="51" t="s">
        <v>488</v>
      </c>
      <c r="C42" s="54" t="e">
        <f>C40+#REF!</f>
        <v>#REF!</v>
      </c>
      <c r="D42" s="54" t="e">
        <f>D40+#REF!</f>
        <v>#REF!</v>
      </c>
      <c r="E42" s="54" t="e">
        <f>E40+#REF!</f>
        <v>#REF!</v>
      </c>
      <c r="F42" s="54" t="e">
        <f>F40+#REF!</f>
        <v>#REF!</v>
      </c>
      <c r="G42" s="54">
        <f>+G40</f>
        <v>9523895</v>
      </c>
      <c r="H42" s="233"/>
      <c r="I42" s="15"/>
      <c r="J42" s="15"/>
      <c r="K42" s="16"/>
      <c r="L42" s="15"/>
      <c r="M42" s="15"/>
      <c r="N42" s="15"/>
      <c r="O42" s="15"/>
      <c r="P42" s="15"/>
      <c r="Q42" s="15"/>
      <c r="R42" s="15"/>
      <c r="S42" s="15"/>
      <c r="T42" s="15"/>
      <c r="U42" s="15"/>
      <c r="V42" s="15"/>
      <c r="W42" s="15"/>
      <c r="X42" s="15"/>
      <c r="Y42" s="15"/>
      <c r="Z42" s="15"/>
    </row>
    <row r="43" spans="1:26" ht="15.75" customHeight="1" x14ac:dyDescent="0.25">
      <c r="A43" s="24"/>
      <c r="B43" s="25"/>
      <c r="C43" s="26"/>
      <c r="D43" s="26"/>
      <c r="E43" s="26"/>
      <c r="F43" s="26"/>
      <c r="G43" s="26"/>
      <c r="H43" s="233"/>
      <c r="I43" s="15"/>
      <c r="J43" s="15"/>
      <c r="K43" s="16"/>
      <c r="L43" s="15"/>
      <c r="M43" s="15"/>
      <c r="N43" s="15"/>
      <c r="O43" s="15"/>
      <c r="P43" s="15"/>
      <c r="Q43" s="15"/>
      <c r="R43" s="15"/>
      <c r="S43" s="15"/>
      <c r="T43" s="15"/>
      <c r="U43" s="15"/>
      <c r="V43" s="15"/>
      <c r="W43" s="15"/>
      <c r="X43" s="15"/>
      <c r="Y43" s="15"/>
      <c r="Z43" s="15"/>
    </row>
    <row r="44" spans="1:26" ht="15.75" customHeight="1" x14ac:dyDescent="0.25">
      <c r="A44" s="24"/>
      <c r="B44" s="174"/>
      <c r="C44" s="24"/>
      <c r="D44" s="24"/>
      <c r="E44" s="24"/>
      <c r="K44" s="40"/>
    </row>
    <row r="45" spans="1:26" ht="15.75" customHeight="1" x14ac:dyDescent="0.25">
      <c r="A45" s="24"/>
      <c r="B45" s="174"/>
      <c r="C45" s="24"/>
      <c r="D45" s="24"/>
      <c r="E45" s="24"/>
      <c r="K45" s="40"/>
    </row>
    <row r="46" spans="1:26" ht="15.75" customHeight="1" x14ac:dyDescent="0.25">
      <c r="A46" s="24"/>
      <c r="B46" s="174"/>
      <c r="C46" s="24"/>
      <c r="D46" s="24"/>
      <c r="E46" s="24"/>
      <c r="K46" s="40"/>
    </row>
    <row r="47" spans="1:26" ht="15.75" customHeight="1" x14ac:dyDescent="0.25">
      <c r="A47" s="24"/>
      <c r="B47" s="174"/>
      <c r="C47" s="24"/>
      <c r="D47" s="24"/>
      <c r="E47" s="24"/>
      <c r="K47" s="40"/>
    </row>
    <row r="48" spans="1:26" ht="15.75" customHeight="1" x14ac:dyDescent="0.25">
      <c r="A48" s="24"/>
      <c r="B48" s="174"/>
      <c r="C48" s="24"/>
      <c r="D48" s="24"/>
      <c r="E48" s="24"/>
      <c r="K48" s="40"/>
    </row>
    <row r="49" spans="1:11" ht="15.75" customHeight="1" x14ac:dyDescent="0.25">
      <c r="A49" s="24"/>
      <c r="B49" s="174"/>
      <c r="C49" s="24"/>
      <c r="D49" s="24"/>
      <c r="E49" s="24"/>
      <c r="K49" s="40"/>
    </row>
    <row r="50" spans="1:11" ht="15.75" customHeight="1" x14ac:dyDescent="0.25">
      <c r="A50" s="24"/>
      <c r="B50" s="174"/>
      <c r="C50" s="24"/>
      <c r="D50" s="24"/>
      <c r="E50" s="24"/>
      <c r="K50" s="40"/>
    </row>
    <row r="51" spans="1:11" ht="15.75" customHeight="1" x14ac:dyDescent="0.25">
      <c r="A51" s="24"/>
      <c r="B51" s="174"/>
      <c r="C51" s="24"/>
      <c r="D51" s="24"/>
      <c r="E51" s="24"/>
      <c r="K51" s="40"/>
    </row>
    <row r="52" spans="1:11" ht="15.75" customHeight="1" x14ac:dyDescent="0.25">
      <c r="A52" s="24"/>
      <c r="B52" s="174"/>
      <c r="C52" s="24"/>
      <c r="D52" s="24"/>
      <c r="E52" s="24"/>
      <c r="K52" s="40"/>
    </row>
    <row r="53" spans="1:11" ht="15.75" customHeight="1" x14ac:dyDescent="0.25">
      <c r="A53" s="24"/>
      <c r="B53" s="174"/>
      <c r="C53" s="24"/>
      <c r="D53" s="24"/>
      <c r="E53" s="24"/>
      <c r="K53" s="40"/>
    </row>
    <row r="54" spans="1:11" ht="15.75" customHeight="1" x14ac:dyDescent="0.25">
      <c r="A54" s="24"/>
      <c r="B54" s="174"/>
      <c r="C54" s="24"/>
      <c r="D54" s="24"/>
      <c r="E54" s="24"/>
      <c r="K54" s="40"/>
    </row>
    <row r="55" spans="1:11" ht="15.75" customHeight="1" x14ac:dyDescent="0.25">
      <c r="A55" s="24"/>
      <c r="B55" s="174"/>
      <c r="C55" s="24"/>
      <c r="D55" s="24"/>
      <c r="E55" s="24"/>
      <c r="K55" s="40"/>
    </row>
    <row r="56" spans="1:11" ht="15.75" customHeight="1" x14ac:dyDescent="0.25">
      <c r="A56" s="24"/>
      <c r="B56" s="174"/>
      <c r="C56" s="24"/>
      <c r="D56" s="24"/>
      <c r="E56" s="24"/>
      <c r="K56" s="40"/>
    </row>
    <row r="57" spans="1:11" ht="15.75" customHeight="1" x14ac:dyDescent="0.25">
      <c r="A57" s="24"/>
      <c r="B57" s="174"/>
      <c r="C57" s="24"/>
      <c r="D57" s="24"/>
      <c r="E57" s="24"/>
      <c r="K57" s="40"/>
    </row>
    <row r="58" spans="1:11" ht="15.75" customHeight="1" x14ac:dyDescent="0.25">
      <c r="A58" s="24"/>
      <c r="B58" s="174"/>
      <c r="C58" s="24"/>
      <c r="D58" s="24"/>
      <c r="E58" s="24"/>
      <c r="K58" s="40"/>
    </row>
    <row r="59" spans="1:11" ht="15.75" customHeight="1" x14ac:dyDescent="0.25">
      <c r="A59" s="24"/>
      <c r="B59" s="174"/>
      <c r="C59" s="24"/>
      <c r="D59" s="24"/>
      <c r="E59" s="24"/>
      <c r="K59" s="40"/>
    </row>
    <row r="60" spans="1:11" ht="15.75" customHeight="1" x14ac:dyDescent="0.25">
      <c r="A60" s="24"/>
      <c r="B60" s="174"/>
      <c r="C60" s="24"/>
      <c r="D60" s="24"/>
      <c r="E60" s="24"/>
      <c r="K60" s="40"/>
    </row>
    <row r="61" spans="1:11" ht="15.75" customHeight="1" x14ac:dyDescent="0.25">
      <c r="A61" s="24"/>
      <c r="B61" s="174"/>
      <c r="C61" s="24"/>
      <c r="D61" s="24"/>
      <c r="E61" s="24"/>
      <c r="K61" s="40"/>
    </row>
    <row r="62" spans="1:11" ht="15.75" customHeight="1" x14ac:dyDescent="0.25">
      <c r="A62" s="24"/>
      <c r="B62" s="174"/>
      <c r="C62" s="24"/>
      <c r="D62" s="24"/>
      <c r="E62" s="24"/>
      <c r="K62" s="40"/>
    </row>
    <row r="63" spans="1:11" ht="15.75" customHeight="1" x14ac:dyDescent="0.25">
      <c r="A63" s="24"/>
      <c r="B63" s="174"/>
      <c r="C63" s="24"/>
      <c r="D63" s="24"/>
      <c r="E63" s="24"/>
      <c r="K63" s="40"/>
    </row>
    <row r="64" spans="1:11" ht="15.75" customHeight="1" x14ac:dyDescent="0.25">
      <c r="A64" s="24"/>
      <c r="B64" s="174"/>
      <c r="C64" s="24"/>
      <c r="D64" s="24"/>
      <c r="E64" s="24"/>
      <c r="K64" s="40"/>
    </row>
    <row r="65" spans="1:11" ht="15.75" customHeight="1" x14ac:dyDescent="0.25">
      <c r="A65" s="24"/>
      <c r="B65" s="174"/>
      <c r="C65" s="24"/>
      <c r="D65" s="24"/>
      <c r="E65" s="24"/>
      <c r="K65" s="40"/>
    </row>
    <row r="66" spans="1:11" ht="15.75" customHeight="1" x14ac:dyDescent="0.25">
      <c r="A66" s="24"/>
      <c r="B66" s="174"/>
      <c r="C66" s="24"/>
      <c r="D66" s="24"/>
      <c r="E66" s="24"/>
      <c r="K66" s="40"/>
    </row>
    <row r="67" spans="1:11" ht="15.75" customHeight="1" x14ac:dyDescent="0.25">
      <c r="A67" s="24"/>
      <c r="B67" s="174"/>
      <c r="C67" s="24"/>
      <c r="D67" s="24"/>
      <c r="E67" s="24"/>
      <c r="K67" s="40"/>
    </row>
    <row r="68" spans="1:11" ht="15.75" customHeight="1" x14ac:dyDescent="0.25">
      <c r="A68" s="24"/>
      <c r="B68" s="174"/>
      <c r="C68" s="24"/>
      <c r="D68" s="24"/>
      <c r="E68" s="24"/>
      <c r="K68" s="40"/>
    </row>
    <row r="69" spans="1:11" ht="15.75" customHeight="1" x14ac:dyDescent="0.25">
      <c r="A69" s="24"/>
      <c r="B69" s="174"/>
      <c r="C69" s="24"/>
      <c r="D69" s="24"/>
      <c r="E69" s="24"/>
      <c r="K69" s="40"/>
    </row>
    <row r="70" spans="1:11" ht="15.75" customHeight="1" x14ac:dyDescent="0.25">
      <c r="A70" s="24"/>
      <c r="B70" s="174"/>
      <c r="C70" s="24"/>
      <c r="D70" s="24"/>
      <c r="E70" s="24"/>
      <c r="K70" s="40"/>
    </row>
    <row r="71" spans="1:11" ht="15.75" customHeight="1" x14ac:dyDescent="0.25">
      <c r="A71" s="24"/>
      <c r="B71" s="174"/>
      <c r="C71" s="24"/>
      <c r="D71" s="24"/>
      <c r="E71" s="24"/>
      <c r="K71" s="40"/>
    </row>
    <row r="72" spans="1:11" ht="15.75" customHeight="1" x14ac:dyDescent="0.25">
      <c r="A72" s="24"/>
      <c r="B72" s="174"/>
      <c r="C72" s="24"/>
      <c r="D72" s="24"/>
      <c r="E72" s="24"/>
      <c r="K72" s="40"/>
    </row>
    <row r="73" spans="1:11" ht="15.75" customHeight="1" x14ac:dyDescent="0.25">
      <c r="A73" s="24"/>
      <c r="B73" s="174"/>
      <c r="C73" s="24"/>
      <c r="D73" s="24"/>
      <c r="E73" s="24"/>
      <c r="K73" s="40"/>
    </row>
    <row r="74" spans="1:11" ht="15.75" customHeight="1" x14ac:dyDescent="0.25">
      <c r="A74" s="24"/>
      <c r="B74" s="174"/>
      <c r="C74" s="24"/>
      <c r="D74" s="24"/>
      <c r="E74" s="24"/>
      <c r="K74" s="40"/>
    </row>
    <row r="75" spans="1:11" ht="15.75" customHeight="1" x14ac:dyDescent="0.25">
      <c r="A75" s="24"/>
      <c r="B75" s="174"/>
      <c r="C75" s="24"/>
      <c r="D75" s="24"/>
      <c r="E75" s="24"/>
      <c r="K75" s="40"/>
    </row>
    <row r="76" spans="1:11" ht="15.75" customHeight="1" x14ac:dyDescent="0.25">
      <c r="A76" s="24"/>
      <c r="B76" s="174"/>
      <c r="C76" s="24"/>
      <c r="D76" s="24"/>
      <c r="E76" s="24"/>
      <c r="K76" s="40"/>
    </row>
    <row r="77" spans="1:11" ht="15.75" customHeight="1" x14ac:dyDescent="0.25">
      <c r="A77" s="24"/>
      <c r="B77" s="174"/>
      <c r="C77" s="24"/>
      <c r="D77" s="24"/>
      <c r="E77" s="24"/>
      <c r="K77" s="40"/>
    </row>
    <row r="78" spans="1:11" ht="15.75" customHeight="1" x14ac:dyDescent="0.25">
      <c r="A78" s="24"/>
      <c r="B78" s="174"/>
      <c r="C78" s="24"/>
      <c r="D78" s="24"/>
      <c r="E78" s="24"/>
      <c r="K78" s="40"/>
    </row>
    <row r="79" spans="1:11" ht="15.75" customHeight="1" x14ac:dyDescent="0.25">
      <c r="A79" s="24"/>
      <c r="B79" s="174"/>
      <c r="C79" s="24"/>
      <c r="D79" s="24"/>
      <c r="E79" s="24"/>
      <c r="K79" s="40"/>
    </row>
    <row r="80" spans="1:11" ht="15.75" customHeight="1" x14ac:dyDescent="0.25">
      <c r="A80" s="24"/>
      <c r="B80" s="174"/>
      <c r="C80" s="24"/>
      <c r="D80" s="24"/>
      <c r="E80" s="24"/>
      <c r="K80" s="40"/>
    </row>
    <row r="81" spans="1:11" ht="15.75" customHeight="1" x14ac:dyDescent="0.25">
      <c r="A81" s="24"/>
      <c r="B81" s="174"/>
      <c r="C81" s="24"/>
      <c r="D81" s="24"/>
      <c r="E81" s="24"/>
      <c r="K81" s="40"/>
    </row>
    <row r="82" spans="1:11" ht="15.75" customHeight="1" x14ac:dyDescent="0.25">
      <c r="A82" s="24"/>
      <c r="B82" s="174"/>
      <c r="C82" s="24"/>
      <c r="D82" s="24"/>
      <c r="E82" s="24"/>
      <c r="K82" s="40"/>
    </row>
    <row r="83" spans="1:11" ht="15.75" customHeight="1" x14ac:dyDescent="0.25">
      <c r="A83" s="24"/>
      <c r="B83" s="174"/>
      <c r="C83" s="24"/>
      <c r="D83" s="24"/>
      <c r="E83" s="24"/>
      <c r="K83" s="40"/>
    </row>
    <row r="84" spans="1:11" ht="15.75" customHeight="1" x14ac:dyDescent="0.25">
      <c r="A84" s="24"/>
      <c r="B84" s="174"/>
      <c r="C84" s="24"/>
      <c r="D84" s="24"/>
      <c r="E84" s="24"/>
      <c r="K84" s="40"/>
    </row>
    <row r="85" spans="1:11" ht="15.75" customHeight="1" x14ac:dyDescent="0.25">
      <c r="A85" s="24"/>
      <c r="B85" s="174"/>
      <c r="C85" s="24"/>
      <c r="D85" s="24"/>
      <c r="E85" s="24"/>
      <c r="K85" s="40"/>
    </row>
    <row r="86" spans="1:11" ht="15.75" customHeight="1" x14ac:dyDescent="0.25">
      <c r="A86" s="24"/>
      <c r="B86" s="174"/>
      <c r="C86" s="24"/>
      <c r="D86" s="24"/>
      <c r="E86" s="24"/>
      <c r="K86" s="40"/>
    </row>
    <row r="87" spans="1:11" ht="15.75" customHeight="1" x14ac:dyDescent="0.25">
      <c r="A87" s="24"/>
      <c r="B87" s="174"/>
      <c r="C87" s="24"/>
      <c r="D87" s="24"/>
      <c r="E87" s="24"/>
      <c r="K87" s="40"/>
    </row>
    <row r="88" spans="1:11" ht="15.75" customHeight="1" x14ac:dyDescent="0.25">
      <c r="A88" s="24"/>
      <c r="B88" s="174"/>
      <c r="C88" s="24"/>
      <c r="D88" s="24"/>
      <c r="E88" s="24"/>
      <c r="K88" s="40"/>
    </row>
    <row r="89" spans="1:11" ht="15.75" customHeight="1" x14ac:dyDescent="0.25">
      <c r="A89" s="24"/>
      <c r="B89" s="174"/>
      <c r="C89" s="24"/>
      <c r="D89" s="24"/>
      <c r="E89" s="24"/>
      <c r="K89" s="40"/>
    </row>
    <row r="90" spans="1:11" ht="15.75" customHeight="1" x14ac:dyDescent="0.25">
      <c r="A90" s="24"/>
      <c r="B90" s="174"/>
      <c r="C90" s="24"/>
      <c r="D90" s="24"/>
      <c r="E90" s="24"/>
      <c r="K90" s="40"/>
    </row>
    <row r="91" spans="1:11" ht="15.75" customHeight="1" x14ac:dyDescent="0.25">
      <c r="A91" s="24"/>
      <c r="B91" s="174"/>
      <c r="C91" s="24"/>
      <c r="D91" s="24"/>
      <c r="E91" s="24"/>
      <c r="K91" s="40"/>
    </row>
    <row r="92" spans="1:11" ht="15.75" customHeight="1" x14ac:dyDescent="0.25">
      <c r="A92" s="24"/>
      <c r="B92" s="174"/>
      <c r="C92" s="24"/>
      <c r="D92" s="24"/>
      <c r="E92" s="24"/>
      <c r="K92" s="40"/>
    </row>
    <row r="93" spans="1:11" ht="15.75" customHeight="1" x14ac:dyDescent="0.25">
      <c r="A93" s="24"/>
      <c r="B93" s="174"/>
      <c r="C93" s="24"/>
      <c r="D93" s="24"/>
      <c r="E93" s="24"/>
      <c r="K93" s="40"/>
    </row>
    <row r="94" spans="1:11" ht="15.75" customHeight="1" x14ac:dyDescent="0.25">
      <c r="A94" s="24"/>
      <c r="B94" s="174"/>
      <c r="C94" s="24"/>
      <c r="D94" s="24"/>
      <c r="E94" s="24"/>
      <c r="K94" s="40"/>
    </row>
    <row r="95" spans="1:11" ht="15.75" customHeight="1" x14ac:dyDescent="0.25">
      <c r="A95" s="24"/>
      <c r="B95" s="174"/>
      <c r="C95" s="24"/>
      <c r="D95" s="24"/>
      <c r="E95" s="24"/>
      <c r="K95" s="40"/>
    </row>
    <row r="96" spans="1:11" ht="15.75" customHeight="1" x14ac:dyDescent="0.25">
      <c r="A96" s="24"/>
      <c r="B96" s="174"/>
      <c r="C96" s="24"/>
      <c r="D96" s="24"/>
      <c r="E96" s="24"/>
      <c r="K96" s="40"/>
    </row>
    <row r="97" spans="1:11" ht="15.75" customHeight="1" x14ac:dyDescent="0.25">
      <c r="A97" s="24"/>
      <c r="B97" s="174"/>
      <c r="C97" s="24"/>
      <c r="D97" s="24"/>
      <c r="E97" s="24"/>
      <c r="K97" s="40"/>
    </row>
    <row r="98" spans="1:11" ht="15.75" customHeight="1" x14ac:dyDescent="0.25">
      <c r="A98" s="24"/>
      <c r="B98" s="174"/>
      <c r="C98" s="24"/>
      <c r="D98" s="24"/>
      <c r="E98" s="24"/>
      <c r="K98" s="40"/>
    </row>
    <row r="99" spans="1:11" ht="15.75" customHeight="1" x14ac:dyDescent="0.25">
      <c r="A99" s="24"/>
      <c r="B99" s="174"/>
      <c r="C99" s="24"/>
      <c r="D99" s="24"/>
      <c r="E99" s="24"/>
      <c r="K99" s="40"/>
    </row>
    <row r="100" spans="1:11" ht="15.75" customHeight="1" x14ac:dyDescent="0.25">
      <c r="A100" s="24"/>
      <c r="B100" s="174"/>
      <c r="C100" s="24"/>
      <c r="D100" s="24"/>
      <c r="E100" s="24"/>
      <c r="K100" s="40"/>
    </row>
    <row r="101" spans="1:11" ht="15.75" customHeight="1" x14ac:dyDescent="0.25">
      <c r="A101" s="24"/>
      <c r="B101" s="174"/>
      <c r="C101" s="24"/>
      <c r="D101" s="24"/>
      <c r="E101" s="24"/>
      <c r="K101" s="40"/>
    </row>
    <row r="102" spans="1:11" ht="15.75" customHeight="1" x14ac:dyDescent="0.25">
      <c r="A102" s="24"/>
      <c r="B102" s="174"/>
      <c r="C102" s="24"/>
      <c r="D102" s="24"/>
      <c r="E102" s="24"/>
      <c r="K102" s="40"/>
    </row>
    <row r="103" spans="1:11" ht="15.75" customHeight="1" x14ac:dyDescent="0.25">
      <c r="A103" s="24"/>
      <c r="B103" s="174"/>
      <c r="C103" s="24"/>
      <c r="D103" s="24"/>
      <c r="E103" s="24"/>
      <c r="K103" s="40"/>
    </row>
    <row r="104" spans="1:11" ht="15.75" customHeight="1" x14ac:dyDescent="0.25">
      <c r="A104" s="24"/>
      <c r="B104" s="174"/>
      <c r="C104" s="24"/>
      <c r="D104" s="24"/>
      <c r="E104" s="24"/>
      <c r="K104" s="40"/>
    </row>
    <row r="105" spans="1:11" ht="15.75" customHeight="1" x14ac:dyDescent="0.25">
      <c r="A105" s="24"/>
      <c r="B105" s="174"/>
      <c r="C105" s="24"/>
      <c r="D105" s="24"/>
      <c r="E105" s="24"/>
      <c r="K105" s="40"/>
    </row>
    <row r="106" spans="1:11" ht="15.75" customHeight="1" x14ac:dyDescent="0.25">
      <c r="A106" s="24"/>
      <c r="B106" s="174"/>
      <c r="C106" s="24"/>
      <c r="D106" s="24"/>
      <c r="E106" s="24"/>
      <c r="K106" s="40"/>
    </row>
    <row r="107" spans="1:11" ht="15.75" customHeight="1" x14ac:dyDescent="0.25">
      <c r="A107" s="24"/>
      <c r="B107" s="174"/>
      <c r="C107" s="24"/>
      <c r="D107" s="24"/>
      <c r="E107" s="24"/>
      <c r="K107" s="40"/>
    </row>
    <row r="108" spans="1:11" ht="15.75" customHeight="1" x14ac:dyDescent="0.25">
      <c r="A108" s="24"/>
      <c r="B108" s="174"/>
      <c r="C108" s="24"/>
      <c r="D108" s="24"/>
      <c r="E108" s="24"/>
      <c r="K108" s="40"/>
    </row>
    <row r="109" spans="1:11" ht="15.75" customHeight="1" x14ac:dyDescent="0.25">
      <c r="A109" s="24"/>
      <c r="B109" s="174"/>
      <c r="C109" s="24"/>
      <c r="D109" s="24"/>
      <c r="E109" s="24"/>
      <c r="K109" s="40"/>
    </row>
    <row r="110" spans="1:11" ht="15.75" customHeight="1" x14ac:dyDescent="0.25">
      <c r="A110" s="24"/>
      <c r="B110" s="174"/>
      <c r="C110" s="24"/>
      <c r="D110" s="24"/>
      <c r="E110" s="24"/>
      <c r="K110" s="40"/>
    </row>
    <row r="111" spans="1:11" ht="15.75" customHeight="1" x14ac:dyDescent="0.25">
      <c r="A111" s="24"/>
      <c r="B111" s="174"/>
      <c r="C111" s="24"/>
      <c r="D111" s="24"/>
      <c r="E111" s="24"/>
      <c r="K111" s="40"/>
    </row>
    <row r="112" spans="1:11" ht="15.75" customHeight="1" x14ac:dyDescent="0.25">
      <c r="A112" s="24"/>
      <c r="B112" s="174"/>
      <c r="C112" s="24"/>
      <c r="D112" s="24"/>
      <c r="E112" s="24"/>
      <c r="K112" s="40"/>
    </row>
    <row r="113" spans="1:11" ht="15.75" customHeight="1" x14ac:dyDescent="0.25">
      <c r="A113" s="24"/>
      <c r="B113" s="174"/>
      <c r="C113" s="24"/>
      <c r="D113" s="24"/>
      <c r="E113" s="24"/>
      <c r="K113" s="40"/>
    </row>
    <row r="114" spans="1:11" ht="15.75" customHeight="1" x14ac:dyDescent="0.25">
      <c r="A114" s="24"/>
      <c r="B114" s="174"/>
      <c r="C114" s="24"/>
      <c r="D114" s="24"/>
      <c r="E114" s="24"/>
      <c r="K114" s="40"/>
    </row>
    <row r="115" spans="1:11" ht="15.75" customHeight="1" x14ac:dyDescent="0.25">
      <c r="A115" s="24"/>
      <c r="B115" s="174"/>
      <c r="C115" s="24"/>
      <c r="D115" s="24"/>
      <c r="E115" s="24"/>
      <c r="K115" s="40"/>
    </row>
    <row r="116" spans="1:11" ht="15.75" customHeight="1" x14ac:dyDescent="0.25">
      <c r="A116" s="24"/>
      <c r="B116" s="174"/>
      <c r="C116" s="24"/>
      <c r="D116" s="24"/>
      <c r="E116" s="24"/>
      <c r="K116" s="40"/>
    </row>
    <row r="117" spans="1:11" ht="15.75" customHeight="1" x14ac:dyDescent="0.25">
      <c r="A117" s="24"/>
      <c r="B117" s="174"/>
      <c r="C117" s="24"/>
      <c r="D117" s="24"/>
      <c r="E117" s="24"/>
      <c r="K117" s="40"/>
    </row>
    <row r="118" spans="1:11" ht="15.75" customHeight="1" x14ac:dyDescent="0.25">
      <c r="A118" s="24"/>
      <c r="B118" s="174"/>
      <c r="C118" s="24"/>
      <c r="D118" s="24"/>
      <c r="E118" s="24"/>
      <c r="K118" s="40"/>
    </row>
    <row r="119" spans="1:11" ht="15.75" customHeight="1" x14ac:dyDescent="0.25">
      <c r="A119" s="24"/>
      <c r="B119" s="174"/>
      <c r="C119" s="24"/>
      <c r="D119" s="24"/>
      <c r="E119" s="24"/>
      <c r="K119" s="40"/>
    </row>
    <row r="120" spans="1:11" ht="15.75" customHeight="1" x14ac:dyDescent="0.25">
      <c r="A120" s="24"/>
      <c r="B120" s="174"/>
      <c r="C120" s="24"/>
      <c r="D120" s="24"/>
      <c r="E120" s="24"/>
      <c r="K120" s="40"/>
    </row>
    <row r="121" spans="1:11" ht="15.75" customHeight="1" x14ac:dyDescent="0.25">
      <c r="A121" s="24"/>
      <c r="B121" s="174"/>
      <c r="C121" s="24"/>
      <c r="D121" s="24"/>
      <c r="E121" s="24"/>
      <c r="K121" s="40"/>
    </row>
    <row r="122" spans="1:11" ht="15.75" customHeight="1" x14ac:dyDescent="0.25">
      <c r="A122" s="24"/>
      <c r="B122" s="174"/>
      <c r="C122" s="24"/>
      <c r="D122" s="24"/>
      <c r="E122" s="24"/>
      <c r="K122" s="40"/>
    </row>
    <row r="123" spans="1:11" ht="15.75" customHeight="1" x14ac:dyDescent="0.25">
      <c r="A123" s="24"/>
      <c r="B123" s="174"/>
      <c r="C123" s="24"/>
      <c r="D123" s="24"/>
      <c r="E123" s="24"/>
      <c r="K123" s="40"/>
    </row>
    <row r="124" spans="1:11" ht="15.75" customHeight="1" x14ac:dyDescent="0.25">
      <c r="A124" s="24"/>
      <c r="B124" s="174"/>
      <c r="C124" s="24"/>
      <c r="D124" s="24"/>
      <c r="E124" s="24"/>
      <c r="K124" s="40"/>
    </row>
    <row r="125" spans="1:11" ht="15.75" customHeight="1" x14ac:dyDescent="0.25">
      <c r="A125" s="24"/>
      <c r="B125" s="174"/>
      <c r="C125" s="24"/>
      <c r="D125" s="24"/>
      <c r="E125" s="24"/>
      <c r="K125" s="40"/>
    </row>
    <row r="126" spans="1:11" ht="15.75" customHeight="1" x14ac:dyDescent="0.25">
      <c r="A126" s="24"/>
      <c r="B126" s="174"/>
      <c r="C126" s="24"/>
      <c r="D126" s="24"/>
      <c r="E126" s="24"/>
      <c r="K126" s="40"/>
    </row>
    <row r="127" spans="1:11" ht="15.75" customHeight="1" x14ac:dyDescent="0.25">
      <c r="A127" s="24"/>
      <c r="B127" s="174"/>
      <c r="C127" s="24"/>
      <c r="D127" s="24"/>
      <c r="E127" s="24"/>
      <c r="K127" s="40"/>
    </row>
    <row r="128" spans="1:11" ht="15.75" customHeight="1" x14ac:dyDescent="0.25">
      <c r="A128" s="24"/>
      <c r="B128" s="174"/>
      <c r="C128" s="24"/>
      <c r="D128" s="24"/>
      <c r="E128" s="24"/>
      <c r="K128" s="40"/>
    </row>
    <row r="129" spans="1:11" ht="15.75" customHeight="1" x14ac:dyDescent="0.25">
      <c r="A129" s="24"/>
      <c r="B129" s="174"/>
      <c r="C129" s="24"/>
      <c r="D129" s="24"/>
      <c r="E129" s="24"/>
      <c r="K129" s="40"/>
    </row>
    <row r="130" spans="1:11" ht="15.75" customHeight="1" x14ac:dyDescent="0.25">
      <c r="A130" s="24"/>
      <c r="B130" s="174"/>
      <c r="C130" s="24"/>
      <c r="D130" s="24"/>
      <c r="E130" s="24"/>
      <c r="K130" s="40"/>
    </row>
    <row r="131" spans="1:11" ht="15.75" customHeight="1" x14ac:dyDescent="0.25">
      <c r="A131" s="24"/>
      <c r="B131" s="174"/>
      <c r="C131" s="24"/>
      <c r="D131" s="24"/>
      <c r="E131" s="24"/>
      <c r="K131" s="40"/>
    </row>
    <row r="132" spans="1:11" ht="15.75" customHeight="1" x14ac:dyDescent="0.25">
      <c r="A132" s="24"/>
      <c r="B132" s="174"/>
      <c r="C132" s="24"/>
      <c r="D132" s="24"/>
      <c r="E132" s="24"/>
      <c r="K132" s="40"/>
    </row>
    <row r="133" spans="1:11" ht="15.75" customHeight="1" x14ac:dyDescent="0.25">
      <c r="A133" s="24"/>
      <c r="B133" s="174"/>
      <c r="C133" s="24"/>
      <c r="D133" s="24"/>
      <c r="E133" s="24"/>
      <c r="K133" s="40"/>
    </row>
    <row r="134" spans="1:11" ht="15.75" customHeight="1" x14ac:dyDescent="0.25">
      <c r="A134" s="24"/>
      <c r="B134" s="174"/>
      <c r="C134" s="24"/>
      <c r="D134" s="24"/>
      <c r="E134" s="24"/>
      <c r="K134" s="40"/>
    </row>
    <row r="135" spans="1:11" ht="15.75" customHeight="1" x14ac:dyDescent="0.25">
      <c r="A135" s="24"/>
      <c r="B135" s="174"/>
      <c r="C135" s="24"/>
      <c r="D135" s="24"/>
      <c r="E135" s="24"/>
      <c r="K135" s="40"/>
    </row>
    <row r="136" spans="1:11" ht="15.75" customHeight="1" x14ac:dyDescent="0.25">
      <c r="A136" s="24"/>
      <c r="B136" s="174"/>
      <c r="C136" s="24"/>
      <c r="D136" s="24"/>
      <c r="E136" s="24"/>
      <c r="K136" s="40"/>
    </row>
    <row r="137" spans="1:11" ht="15.75" customHeight="1" x14ac:dyDescent="0.25">
      <c r="A137" s="24"/>
      <c r="B137" s="174"/>
      <c r="C137" s="24"/>
      <c r="D137" s="24"/>
      <c r="E137" s="24"/>
      <c r="K137" s="40"/>
    </row>
    <row r="138" spans="1:11" ht="15.75" customHeight="1" x14ac:dyDescent="0.25">
      <c r="A138" s="24"/>
      <c r="B138" s="174"/>
      <c r="C138" s="24"/>
      <c r="D138" s="24"/>
      <c r="E138" s="24"/>
      <c r="K138" s="40"/>
    </row>
    <row r="139" spans="1:11" ht="15.75" customHeight="1" x14ac:dyDescent="0.25">
      <c r="A139" s="24"/>
      <c r="B139" s="174"/>
      <c r="C139" s="24"/>
      <c r="D139" s="24"/>
      <c r="E139" s="24"/>
      <c r="K139" s="40"/>
    </row>
    <row r="140" spans="1:11" ht="15.75" customHeight="1" x14ac:dyDescent="0.25">
      <c r="A140" s="24"/>
      <c r="B140" s="174"/>
      <c r="C140" s="24"/>
      <c r="D140" s="24"/>
      <c r="E140" s="24"/>
      <c r="K140" s="40"/>
    </row>
    <row r="141" spans="1:11" ht="15.75" customHeight="1" x14ac:dyDescent="0.25">
      <c r="A141" s="24"/>
      <c r="B141" s="174"/>
      <c r="C141" s="24"/>
      <c r="D141" s="24"/>
      <c r="E141" s="24"/>
      <c r="K141" s="40"/>
    </row>
    <row r="142" spans="1:11" ht="15.75" customHeight="1" x14ac:dyDescent="0.25">
      <c r="A142" s="24"/>
      <c r="B142" s="174"/>
      <c r="C142" s="24"/>
      <c r="D142" s="24"/>
      <c r="E142" s="24"/>
      <c r="K142" s="40"/>
    </row>
    <row r="143" spans="1:11" ht="15.75" customHeight="1" x14ac:dyDescent="0.25">
      <c r="A143" s="24"/>
      <c r="B143" s="174"/>
      <c r="C143" s="24"/>
      <c r="D143" s="24"/>
      <c r="E143" s="24"/>
      <c r="K143" s="40"/>
    </row>
    <row r="144" spans="1:11" ht="15.75" customHeight="1" x14ac:dyDescent="0.25">
      <c r="A144" s="24"/>
      <c r="B144" s="174"/>
      <c r="C144" s="24"/>
      <c r="D144" s="24"/>
      <c r="E144" s="24"/>
      <c r="K144" s="40"/>
    </row>
    <row r="145" spans="1:11" ht="15.75" customHeight="1" x14ac:dyDescent="0.25">
      <c r="A145" s="24"/>
      <c r="B145" s="174"/>
      <c r="C145" s="24"/>
      <c r="D145" s="24"/>
      <c r="E145" s="24"/>
      <c r="K145" s="40"/>
    </row>
    <row r="146" spans="1:11" ht="15.75" customHeight="1" x14ac:dyDescent="0.25">
      <c r="A146" s="24"/>
      <c r="B146" s="174"/>
      <c r="C146" s="24"/>
      <c r="D146" s="24"/>
      <c r="E146" s="24"/>
      <c r="K146" s="40"/>
    </row>
    <row r="147" spans="1:11" ht="15.75" customHeight="1" x14ac:dyDescent="0.25">
      <c r="A147" s="24"/>
      <c r="B147" s="174"/>
      <c r="C147" s="24"/>
      <c r="D147" s="24"/>
      <c r="E147" s="24"/>
      <c r="K147" s="40"/>
    </row>
    <row r="148" spans="1:11" ht="15.75" customHeight="1" x14ac:dyDescent="0.25">
      <c r="A148" s="24"/>
      <c r="B148" s="174"/>
      <c r="C148" s="24"/>
      <c r="D148" s="24"/>
      <c r="E148" s="24"/>
      <c r="K148" s="40"/>
    </row>
    <row r="149" spans="1:11" ht="15.75" customHeight="1" x14ac:dyDescent="0.25">
      <c r="A149" s="24"/>
      <c r="B149" s="174"/>
      <c r="C149" s="24"/>
      <c r="D149" s="24"/>
      <c r="E149" s="24"/>
      <c r="K149" s="40"/>
    </row>
    <row r="150" spans="1:11" ht="15.75" customHeight="1" x14ac:dyDescent="0.25">
      <c r="A150" s="24"/>
      <c r="B150" s="174"/>
      <c r="C150" s="24"/>
      <c r="D150" s="24"/>
      <c r="E150" s="24"/>
      <c r="K150" s="40"/>
    </row>
    <row r="151" spans="1:11" ht="15.75" customHeight="1" x14ac:dyDescent="0.25">
      <c r="A151" s="24"/>
      <c r="B151" s="174"/>
      <c r="C151" s="24"/>
      <c r="D151" s="24"/>
      <c r="E151" s="24"/>
      <c r="K151" s="40"/>
    </row>
    <row r="152" spans="1:11" ht="15.75" customHeight="1" x14ac:dyDescent="0.25">
      <c r="A152" s="24"/>
      <c r="B152" s="174"/>
      <c r="C152" s="24"/>
      <c r="D152" s="24"/>
      <c r="E152" s="24"/>
      <c r="K152" s="40"/>
    </row>
    <row r="153" spans="1:11" ht="15.75" customHeight="1" x14ac:dyDescent="0.25">
      <c r="A153" s="24"/>
      <c r="B153" s="174"/>
      <c r="C153" s="24"/>
      <c r="D153" s="24"/>
      <c r="E153" s="24"/>
      <c r="K153" s="40"/>
    </row>
    <row r="154" spans="1:11" ht="15.75" customHeight="1" x14ac:dyDescent="0.25">
      <c r="A154" s="24"/>
      <c r="B154" s="174"/>
      <c r="C154" s="24"/>
      <c r="D154" s="24"/>
      <c r="E154" s="24"/>
      <c r="K154" s="40"/>
    </row>
    <row r="155" spans="1:11" ht="15.75" customHeight="1" x14ac:dyDescent="0.25">
      <c r="A155" s="24"/>
      <c r="B155" s="174"/>
      <c r="C155" s="24"/>
      <c r="D155" s="24"/>
      <c r="E155" s="24"/>
      <c r="K155" s="40"/>
    </row>
    <row r="156" spans="1:11" ht="15.75" customHeight="1" x14ac:dyDescent="0.25">
      <c r="A156" s="24"/>
      <c r="B156" s="174"/>
      <c r="C156" s="24"/>
      <c r="D156" s="24"/>
      <c r="E156" s="24"/>
      <c r="K156" s="40"/>
    </row>
    <row r="157" spans="1:11" ht="15.75" customHeight="1" x14ac:dyDescent="0.25">
      <c r="A157" s="24"/>
      <c r="B157" s="174"/>
      <c r="C157" s="24"/>
      <c r="D157" s="24"/>
      <c r="E157" s="24"/>
      <c r="K157" s="40"/>
    </row>
    <row r="158" spans="1:11" ht="15.75" customHeight="1" x14ac:dyDescent="0.25">
      <c r="A158" s="24"/>
      <c r="B158" s="174"/>
      <c r="C158" s="24"/>
      <c r="D158" s="24"/>
      <c r="E158" s="24"/>
      <c r="K158" s="40"/>
    </row>
    <row r="159" spans="1:11" ht="15.75" customHeight="1" x14ac:dyDescent="0.25">
      <c r="A159" s="24"/>
      <c r="B159" s="174"/>
      <c r="C159" s="24"/>
      <c r="D159" s="24"/>
      <c r="E159" s="24"/>
      <c r="K159" s="40"/>
    </row>
    <row r="160" spans="1:11" ht="15.75" customHeight="1" x14ac:dyDescent="0.25">
      <c r="A160" s="24"/>
      <c r="B160" s="174"/>
      <c r="C160" s="24"/>
      <c r="D160" s="24"/>
      <c r="E160" s="24"/>
      <c r="K160" s="40"/>
    </row>
    <row r="161" spans="1:11" ht="15.75" customHeight="1" x14ac:dyDescent="0.25">
      <c r="A161" s="24"/>
      <c r="B161" s="174"/>
      <c r="C161" s="24"/>
      <c r="D161" s="24"/>
      <c r="E161" s="24"/>
      <c r="K161" s="40"/>
    </row>
    <row r="162" spans="1:11" ht="15.75" customHeight="1" x14ac:dyDescent="0.25">
      <c r="A162" s="24"/>
      <c r="B162" s="174"/>
      <c r="C162" s="24"/>
      <c r="D162" s="24"/>
      <c r="E162" s="24"/>
      <c r="K162" s="40"/>
    </row>
    <row r="163" spans="1:11" ht="15.75" customHeight="1" x14ac:dyDescent="0.25">
      <c r="A163" s="24"/>
      <c r="B163" s="174"/>
      <c r="C163" s="24"/>
      <c r="D163" s="24"/>
      <c r="E163" s="24"/>
      <c r="K163" s="40"/>
    </row>
    <row r="164" spans="1:11" ht="15.75" customHeight="1" x14ac:dyDescent="0.25">
      <c r="A164" s="24"/>
      <c r="B164" s="174"/>
      <c r="C164" s="24"/>
      <c r="D164" s="24"/>
      <c r="E164" s="24"/>
      <c r="K164" s="40"/>
    </row>
    <row r="165" spans="1:11" ht="15.75" customHeight="1" x14ac:dyDescent="0.25">
      <c r="A165" s="24"/>
      <c r="B165" s="174"/>
      <c r="C165" s="24"/>
      <c r="D165" s="24"/>
      <c r="E165" s="24"/>
      <c r="K165" s="40"/>
    </row>
    <row r="166" spans="1:11" ht="15.75" customHeight="1" x14ac:dyDescent="0.25">
      <c r="A166" s="24"/>
      <c r="B166" s="174"/>
      <c r="C166" s="24"/>
      <c r="D166" s="24"/>
      <c r="E166" s="24"/>
      <c r="K166" s="40"/>
    </row>
    <row r="167" spans="1:11" ht="15.75" customHeight="1" x14ac:dyDescent="0.25">
      <c r="A167" s="24"/>
      <c r="B167" s="174"/>
      <c r="C167" s="24"/>
      <c r="D167" s="24"/>
      <c r="E167" s="24"/>
      <c r="K167" s="40"/>
    </row>
    <row r="168" spans="1:11" ht="15.75" customHeight="1" x14ac:dyDescent="0.25">
      <c r="A168" s="24"/>
      <c r="B168" s="174"/>
      <c r="C168" s="24"/>
      <c r="D168" s="24"/>
      <c r="E168" s="24"/>
      <c r="K168" s="40"/>
    </row>
    <row r="169" spans="1:11" ht="15.75" customHeight="1" x14ac:dyDescent="0.25">
      <c r="A169" s="24"/>
      <c r="B169" s="174"/>
      <c r="C169" s="24"/>
      <c r="D169" s="24"/>
      <c r="E169" s="24"/>
      <c r="K169" s="40"/>
    </row>
    <row r="170" spans="1:11" ht="15.75" customHeight="1" x14ac:dyDescent="0.25">
      <c r="A170" s="24"/>
      <c r="B170" s="174"/>
      <c r="C170" s="24"/>
      <c r="D170" s="24"/>
      <c r="E170" s="24"/>
      <c r="K170" s="40"/>
    </row>
    <row r="171" spans="1:11" ht="15.75" customHeight="1" x14ac:dyDescent="0.25">
      <c r="A171" s="24"/>
      <c r="B171" s="174"/>
      <c r="C171" s="24"/>
      <c r="D171" s="24"/>
      <c r="E171" s="24"/>
      <c r="K171" s="40"/>
    </row>
    <row r="172" spans="1:11" ht="15.75" customHeight="1" x14ac:dyDescent="0.25">
      <c r="A172" s="24"/>
      <c r="B172" s="174"/>
      <c r="C172" s="24"/>
      <c r="D172" s="24"/>
      <c r="E172" s="24"/>
      <c r="K172" s="40"/>
    </row>
    <row r="173" spans="1:11" ht="15.75" customHeight="1" x14ac:dyDescent="0.25">
      <c r="A173" s="24"/>
      <c r="B173" s="174"/>
      <c r="C173" s="24"/>
      <c r="D173" s="24"/>
      <c r="E173" s="24"/>
      <c r="K173" s="40"/>
    </row>
    <row r="174" spans="1:11" ht="15.75" customHeight="1" x14ac:dyDescent="0.25">
      <c r="A174" s="24"/>
      <c r="B174" s="174"/>
      <c r="C174" s="24"/>
      <c r="D174" s="24"/>
      <c r="E174" s="24"/>
      <c r="K174" s="40"/>
    </row>
    <row r="175" spans="1:11" ht="15.75" customHeight="1" x14ac:dyDescent="0.25">
      <c r="A175" s="24"/>
      <c r="B175" s="174"/>
      <c r="C175" s="24"/>
      <c r="D175" s="24"/>
      <c r="E175" s="24"/>
      <c r="K175" s="40"/>
    </row>
    <row r="176" spans="1:11" ht="15.75" customHeight="1" x14ac:dyDescent="0.25">
      <c r="A176" s="24"/>
      <c r="B176" s="174"/>
      <c r="C176" s="24"/>
      <c r="D176" s="24"/>
      <c r="E176" s="24"/>
      <c r="K176" s="40"/>
    </row>
    <row r="177" spans="1:11" ht="15.75" customHeight="1" x14ac:dyDescent="0.25">
      <c r="A177" s="24"/>
      <c r="B177" s="174"/>
      <c r="C177" s="24"/>
      <c r="D177" s="24"/>
      <c r="E177" s="24"/>
      <c r="K177" s="40"/>
    </row>
    <row r="178" spans="1:11" ht="15.75" customHeight="1" x14ac:dyDescent="0.25">
      <c r="A178" s="24"/>
      <c r="B178" s="174"/>
      <c r="C178" s="24"/>
      <c r="D178" s="24"/>
      <c r="E178" s="24"/>
      <c r="K178" s="40"/>
    </row>
    <row r="179" spans="1:11" ht="15.75" customHeight="1" x14ac:dyDescent="0.25">
      <c r="A179" s="24"/>
      <c r="B179" s="174"/>
      <c r="C179" s="24"/>
      <c r="D179" s="24"/>
      <c r="E179" s="24"/>
      <c r="K179" s="40"/>
    </row>
    <row r="180" spans="1:11" ht="15.75" customHeight="1" x14ac:dyDescent="0.25">
      <c r="A180" s="24"/>
      <c r="B180" s="174"/>
      <c r="C180" s="24"/>
      <c r="D180" s="24"/>
      <c r="E180" s="24"/>
      <c r="K180" s="40"/>
    </row>
    <row r="181" spans="1:11" ht="15.75" customHeight="1" x14ac:dyDescent="0.25">
      <c r="A181" s="24"/>
      <c r="B181" s="174"/>
      <c r="C181" s="24"/>
      <c r="D181" s="24"/>
      <c r="E181" s="24"/>
      <c r="K181" s="40"/>
    </row>
    <row r="182" spans="1:11" ht="15.75" customHeight="1" x14ac:dyDescent="0.25">
      <c r="A182" s="24"/>
      <c r="B182" s="174"/>
      <c r="C182" s="24"/>
      <c r="D182" s="24"/>
      <c r="E182" s="24"/>
      <c r="K182" s="40"/>
    </row>
    <row r="183" spans="1:11" ht="15.75" customHeight="1" x14ac:dyDescent="0.25">
      <c r="A183" s="24"/>
      <c r="B183" s="174"/>
      <c r="C183" s="24"/>
      <c r="D183" s="24"/>
      <c r="E183" s="24"/>
      <c r="K183" s="40"/>
    </row>
    <row r="184" spans="1:11" ht="15.75" customHeight="1" x14ac:dyDescent="0.25">
      <c r="A184" s="24"/>
      <c r="B184" s="174"/>
      <c r="C184" s="24"/>
      <c r="D184" s="24"/>
      <c r="E184" s="24"/>
      <c r="K184" s="40"/>
    </row>
    <row r="185" spans="1:11" ht="15.75" customHeight="1" x14ac:dyDescent="0.25">
      <c r="A185" s="24"/>
      <c r="B185" s="174"/>
      <c r="C185" s="24"/>
      <c r="D185" s="24"/>
      <c r="E185" s="24"/>
      <c r="K185" s="40"/>
    </row>
    <row r="186" spans="1:11" ht="15.75" customHeight="1" x14ac:dyDescent="0.25">
      <c r="A186" s="24"/>
      <c r="B186" s="174"/>
      <c r="C186" s="24"/>
      <c r="D186" s="24"/>
      <c r="E186" s="24"/>
      <c r="K186" s="40"/>
    </row>
    <row r="187" spans="1:11" ht="15.75" customHeight="1" x14ac:dyDescent="0.25">
      <c r="A187" s="24"/>
      <c r="B187" s="174"/>
      <c r="C187" s="24"/>
      <c r="D187" s="24"/>
      <c r="E187" s="24"/>
      <c r="K187" s="40"/>
    </row>
    <row r="188" spans="1:11" ht="15.75" customHeight="1" x14ac:dyDescent="0.25">
      <c r="A188" s="24"/>
      <c r="B188" s="174"/>
      <c r="C188" s="24"/>
      <c r="D188" s="24"/>
      <c r="E188" s="24"/>
      <c r="K188" s="40"/>
    </row>
    <row r="189" spans="1:11" ht="15.75" customHeight="1" x14ac:dyDescent="0.25">
      <c r="A189" s="24"/>
      <c r="B189" s="174"/>
      <c r="C189" s="24"/>
      <c r="D189" s="24"/>
      <c r="E189" s="24"/>
      <c r="K189" s="40"/>
    </row>
    <row r="190" spans="1:11" ht="15.75" customHeight="1" x14ac:dyDescent="0.25">
      <c r="A190" s="24"/>
      <c r="B190" s="174"/>
      <c r="C190" s="24"/>
      <c r="D190" s="24"/>
      <c r="E190" s="24"/>
      <c r="K190" s="40"/>
    </row>
    <row r="191" spans="1:11" ht="15.75" customHeight="1" x14ac:dyDescent="0.25">
      <c r="A191" s="24"/>
      <c r="B191" s="174"/>
      <c r="C191" s="24"/>
      <c r="D191" s="24"/>
      <c r="E191" s="24"/>
      <c r="K191" s="40"/>
    </row>
    <row r="192" spans="1:11" ht="15.75" customHeight="1" x14ac:dyDescent="0.25">
      <c r="A192" s="24"/>
      <c r="B192" s="174"/>
      <c r="C192" s="24"/>
      <c r="D192" s="24"/>
      <c r="E192" s="24"/>
      <c r="K192" s="40"/>
    </row>
    <row r="193" spans="1:11" ht="15.75" customHeight="1" x14ac:dyDescent="0.25">
      <c r="A193" s="24"/>
      <c r="B193" s="174"/>
      <c r="C193" s="24"/>
      <c r="D193" s="24"/>
      <c r="E193" s="24"/>
      <c r="K193" s="40"/>
    </row>
    <row r="194" spans="1:11" ht="15.75" customHeight="1" x14ac:dyDescent="0.25">
      <c r="A194" s="24"/>
      <c r="B194" s="174"/>
      <c r="C194" s="24"/>
      <c r="D194" s="24"/>
      <c r="E194" s="24"/>
      <c r="K194" s="40"/>
    </row>
    <row r="195" spans="1:11" ht="15.75" customHeight="1" x14ac:dyDescent="0.25">
      <c r="A195" s="24"/>
      <c r="B195" s="174"/>
      <c r="C195" s="24"/>
      <c r="D195" s="24"/>
      <c r="E195" s="24"/>
      <c r="K195" s="40"/>
    </row>
    <row r="196" spans="1:11" ht="15.75" customHeight="1" x14ac:dyDescent="0.25">
      <c r="A196" s="24"/>
      <c r="B196" s="174"/>
      <c r="C196" s="24"/>
      <c r="D196" s="24"/>
      <c r="E196" s="24"/>
      <c r="K196" s="40"/>
    </row>
    <row r="197" spans="1:11" ht="15.75" customHeight="1" x14ac:dyDescent="0.25">
      <c r="A197" s="24"/>
      <c r="B197" s="174"/>
      <c r="C197" s="24"/>
      <c r="D197" s="24"/>
      <c r="E197" s="24"/>
      <c r="K197" s="40"/>
    </row>
    <row r="198" spans="1:11" ht="15.75" customHeight="1" x14ac:dyDescent="0.25">
      <c r="A198" s="24"/>
      <c r="B198" s="174"/>
      <c r="C198" s="24"/>
      <c r="D198" s="24"/>
      <c r="E198" s="24"/>
      <c r="K198" s="40"/>
    </row>
    <row r="199" spans="1:11" ht="15.75" customHeight="1" x14ac:dyDescent="0.25">
      <c r="A199" s="24"/>
      <c r="B199" s="174"/>
      <c r="C199" s="24"/>
      <c r="D199" s="24"/>
      <c r="E199" s="24"/>
      <c r="K199" s="40"/>
    </row>
    <row r="200" spans="1:11" ht="15.75" customHeight="1" x14ac:dyDescent="0.25">
      <c r="A200" s="24"/>
      <c r="B200" s="174"/>
      <c r="C200" s="24"/>
      <c r="D200" s="24"/>
      <c r="E200" s="24"/>
      <c r="K200" s="40"/>
    </row>
    <row r="201" spans="1:11" ht="15.75" customHeight="1" x14ac:dyDescent="0.25">
      <c r="A201" s="24"/>
      <c r="B201" s="174"/>
      <c r="C201" s="24"/>
      <c r="D201" s="24"/>
      <c r="E201" s="24"/>
      <c r="K201" s="40"/>
    </row>
    <row r="202" spans="1:11" ht="15.75" customHeight="1" x14ac:dyDescent="0.25">
      <c r="A202" s="24"/>
      <c r="B202" s="174"/>
      <c r="C202" s="24"/>
      <c r="D202" s="24"/>
      <c r="E202" s="24"/>
      <c r="K202" s="40"/>
    </row>
    <row r="203" spans="1:11" ht="15.75" customHeight="1" x14ac:dyDescent="0.25">
      <c r="A203" s="24"/>
      <c r="B203" s="174"/>
      <c r="C203" s="24"/>
      <c r="D203" s="24"/>
      <c r="E203" s="24"/>
      <c r="K203" s="40"/>
    </row>
    <row r="204" spans="1:11" ht="15.75" customHeight="1" x14ac:dyDescent="0.25">
      <c r="A204" s="24"/>
      <c r="B204" s="174"/>
      <c r="C204" s="24"/>
      <c r="D204" s="24"/>
      <c r="E204" s="24"/>
      <c r="K204" s="40"/>
    </row>
    <row r="205" spans="1:11" ht="15.75" customHeight="1" x14ac:dyDescent="0.25">
      <c r="A205" s="24"/>
      <c r="B205" s="174"/>
      <c r="C205" s="24"/>
      <c r="D205" s="24"/>
      <c r="E205" s="24"/>
      <c r="K205" s="40"/>
    </row>
    <row r="206" spans="1:11" ht="15.75" customHeight="1" x14ac:dyDescent="0.25">
      <c r="A206" s="24"/>
      <c r="B206" s="174"/>
      <c r="C206" s="24"/>
      <c r="D206" s="24"/>
      <c r="E206" s="24"/>
      <c r="K206" s="40"/>
    </row>
    <row r="207" spans="1:11" ht="15.75" customHeight="1" x14ac:dyDescent="0.25">
      <c r="A207" s="24"/>
      <c r="B207" s="174"/>
      <c r="C207" s="24"/>
      <c r="D207" s="24"/>
      <c r="E207" s="24"/>
      <c r="K207" s="40"/>
    </row>
    <row r="208" spans="1:11" ht="15.75" customHeight="1" x14ac:dyDescent="0.25">
      <c r="A208" s="24"/>
      <c r="B208" s="174"/>
      <c r="C208" s="24"/>
      <c r="D208" s="24"/>
      <c r="E208" s="24"/>
      <c r="K208" s="40"/>
    </row>
    <row r="209" spans="1:11" ht="15.75" customHeight="1" x14ac:dyDescent="0.25">
      <c r="A209" s="24"/>
      <c r="B209" s="174"/>
      <c r="C209" s="24"/>
      <c r="D209" s="24"/>
      <c r="E209" s="24"/>
      <c r="K209" s="40"/>
    </row>
    <row r="210" spans="1:11" ht="15.75" customHeight="1" x14ac:dyDescent="0.25">
      <c r="A210" s="24"/>
      <c r="B210" s="174"/>
      <c r="C210" s="24"/>
      <c r="D210" s="24"/>
      <c r="E210" s="24"/>
      <c r="K210" s="40"/>
    </row>
    <row r="211" spans="1:11" ht="15.75" customHeight="1" x14ac:dyDescent="0.25">
      <c r="A211" s="24"/>
      <c r="B211" s="174"/>
      <c r="C211" s="24"/>
      <c r="D211" s="24"/>
      <c r="E211" s="24"/>
      <c r="K211" s="40"/>
    </row>
    <row r="212" spans="1:11" ht="15.75" customHeight="1" x14ac:dyDescent="0.25">
      <c r="A212" s="24"/>
      <c r="B212" s="174"/>
      <c r="C212" s="24"/>
      <c r="D212" s="24"/>
      <c r="E212" s="24"/>
      <c r="K212" s="40"/>
    </row>
    <row r="213" spans="1:11" ht="15.75" customHeight="1" x14ac:dyDescent="0.25">
      <c r="A213" s="24"/>
      <c r="B213" s="174"/>
      <c r="C213" s="24"/>
      <c r="D213" s="24"/>
      <c r="E213" s="24"/>
      <c r="K213" s="40"/>
    </row>
    <row r="214" spans="1:11" ht="15.75" customHeight="1" x14ac:dyDescent="0.25">
      <c r="A214" s="24"/>
      <c r="B214" s="174"/>
      <c r="C214" s="24"/>
      <c r="D214" s="24"/>
      <c r="E214" s="24"/>
      <c r="K214" s="40"/>
    </row>
    <row r="215" spans="1:11" ht="15.75" customHeight="1" x14ac:dyDescent="0.25">
      <c r="A215" s="24"/>
      <c r="B215" s="174"/>
      <c r="C215" s="24"/>
      <c r="D215" s="24"/>
      <c r="E215" s="24"/>
      <c r="K215" s="40"/>
    </row>
    <row r="216" spans="1:11" ht="15.75" customHeight="1" x14ac:dyDescent="0.25">
      <c r="A216" s="24"/>
      <c r="B216" s="174"/>
      <c r="C216" s="24"/>
      <c r="D216" s="24"/>
      <c r="E216" s="24"/>
      <c r="K216" s="40"/>
    </row>
    <row r="217" spans="1:11" ht="15.75" customHeight="1" x14ac:dyDescent="0.25">
      <c r="A217" s="24"/>
      <c r="B217" s="174"/>
      <c r="C217" s="24"/>
      <c r="D217" s="24"/>
      <c r="E217" s="24"/>
      <c r="K217" s="40"/>
    </row>
    <row r="218" spans="1:11" ht="15.75" customHeight="1" x14ac:dyDescent="0.25">
      <c r="A218" s="24"/>
      <c r="B218" s="174"/>
      <c r="C218" s="24"/>
      <c r="D218" s="24"/>
      <c r="E218" s="24"/>
      <c r="K218" s="40"/>
    </row>
    <row r="219" spans="1:11" ht="15.75" customHeight="1" x14ac:dyDescent="0.25">
      <c r="A219" s="24"/>
      <c r="B219" s="174"/>
      <c r="C219" s="24"/>
      <c r="D219" s="24"/>
      <c r="E219" s="24"/>
      <c r="K219" s="40"/>
    </row>
    <row r="220" spans="1:11" ht="15.75" customHeight="1" x14ac:dyDescent="0.25">
      <c r="A220" s="24"/>
      <c r="B220" s="174"/>
      <c r="C220" s="24"/>
      <c r="D220" s="24"/>
      <c r="E220" s="24"/>
      <c r="K220" s="40"/>
    </row>
    <row r="221" spans="1:11" ht="15.75" customHeight="1" x14ac:dyDescent="0.25">
      <c r="A221" s="24"/>
      <c r="B221" s="174"/>
      <c r="C221" s="24"/>
      <c r="D221" s="24"/>
      <c r="E221" s="24"/>
      <c r="K221" s="40"/>
    </row>
    <row r="222" spans="1:11" ht="15.75" customHeight="1" x14ac:dyDescent="0.25">
      <c r="A222" s="24"/>
      <c r="B222" s="174"/>
      <c r="C222" s="24"/>
      <c r="D222" s="24"/>
      <c r="E222" s="24"/>
      <c r="K222" s="40"/>
    </row>
    <row r="223" spans="1:11" ht="15.75" customHeight="1" x14ac:dyDescent="0.25">
      <c r="A223" s="24"/>
      <c r="B223" s="174"/>
      <c r="C223" s="24"/>
      <c r="D223" s="24"/>
      <c r="E223" s="24"/>
      <c r="K223" s="40"/>
    </row>
    <row r="224" spans="1:11" ht="15.75" customHeight="1" x14ac:dyDescent="0.25">
      <c r="A224" s="24"/>
      <c r="B224" s="174"/>
      <c r="C224" s="24"/>
      <c r="D224" s="24"/>
      <c r="E224" s="24"/>
      <c r="K224" s="40"/>
    </row>
    <row r="225" spans="1:11" ht="15.75" customHeight="1" x14ac:dyDescent="0.25">
      <c r="A225" s="24"/>
      <c r="B225" s="174"/>
      <c r="C225" s="24"/>
      <c r="D225" s="24"/>
      <c r="E225" s="24"/>
      <c r="K225" s="40"/>
    </row>
    <row r="226" spans="1:11" ht="15.75" customHeight="1" x14ac:dyDescent="0.25">
      <c r="A226" s="24"/>
      <c r="B226" s="174"/>
      <c r="C226" s="24"/>
      <c r="D226" s="24"/>
      <c r="E226" s="24"/>
      <c r="K226" s="40"/>
    </row>
    <row r="227" spans="1:11" ht="15.75" customHeight="1" x14ac:dyDescent="0.25">
      <c r="A227" s="24"/>
      <c r="B227" s="174"/>
      <c r="C227" s="24"/>
      <c r="D227" s="24"/>
      <c r="E227" s="24"/>
      <c r="K227" s="40"/>
    </row>
    <row r="228" spans="1:11" ht="15.75" customHeight="1" x14ac:dyDescent="0.25">
      <c r="A228" s="24"/>
      <c r="B228" s="174"/>
      <c r="C228" s="24"/>
      <c r="D228" s="24"/>
      <c r="E228" s="24"/>
      <c r="K228" s="40"/>
    </row>
    <row r="229" spans="1:11" ht="15.75" customHeight="1" x14ac:dyDescent="0.25">
      <c r="A229" s="24"/>
      <c r="B229" s="174"/>
      <c r="C229" s="24"/>
      <c r="D229" s="24"/>
      <c r="E229" s="24"/>
      <c r="K229" s="40"/>
    </row>
    <row r="230" spans="1:11" ht="15.75" customHeight="1" x14ac:dyDescent="0.25">
      <c r="A230" s="24"/>
      <c r="B230" s="174"/>
      <c r="C230" s="24"/>
      <c r="D230" s="24"/>
      <c r="E230" s="24"/>
      <c r="K230" s="40"/>
    </row>
    <row r="231" spans="1:11" ht="15.75" customHeight="1" x14ac:dyDescent="0.25">
      <c r="A231" s="24"/>
      <c r="B231" s="174"/>
      <c r="C231" s="24"/>
      <c r="D231" s="24"/>
      <c r="E231" s="24"/>
      <c r="K231" s="40"/>
    </row>
    <row r="232" spans="1:11" ht="15.75" customHeight="1" x14ac:dyDescent="0.25">
      <c r="A232" s="24"/>
      <c r="B232" s="174"/>
      <c r="C232" s="24"/>
      <c r="D232" s="24"/>
      <c r="E232" s="24"/>
      <c r="K232" s="40"/>
    </row>
    <row r="233" spans="1:11" ht="15.75" customHeight="1" x14ac:dyDescent="0.25">
      <c r="A233" s="24"/>
      <c r="B233" s="174"/>
      <c r="C233" s="24"/>
      <c r="D233" s="24"/>
      <c r="E233" s="24"/>
      <c r="K233" s="40"/>
    </row>
    <row r="234" spans="1:11" ht="15.75" customHeight="1" x14ac:dyDescent="0.25">
      <c r="A234" s="24"/>
      <c r="B234" s="174"/>
      <c r="C234" s="24"/>
      <c r="D234" s="24"/>
      <c r="E234" s="24"/>
      <c r="K234" s="40"/>
    </row>
    <row r="235" spans="1:11" ht="15.75" customHeight="1" x14ac:dyDescent="0.25">
      <c r="A235" s="24"/>
      <c r="B235" s="174"/>
      <c r="C235" s="24"/>
      <c r="D235" s="24"/>
      <c r="E235" s="24"/>
      <c r="K235" s="40"/>
    </row>
    <row r="236" spans="1:11" ht="15.75" customHeight="1" x14ac:dyDescent="0.25">
      <c r="A236" s="24"/>
      <c r="B236" s="174"/>
      <c r="C236" s="24"/>
      <c r="D236" s="24"/>
      <c r="E236" s="24"/>
      <c r="K236" s="40"/>
    </row>
    <row r="237" spans="1:11" ht="15.75" customHeight="1" x14ac:dyDescent="0.25">
      <c r="A237" s="24"/>
      <c r="B237" s="174"/>
      <c r="C237" s="24"/>
      <c r="D237" s="24"/>
      <c r="E237" s="24"/>
      <c r="K237" s="40"/>
    </row>
    <row r="238" spans="1:11" ht="15.75" customHeight="1" x14ac:dyDescent="0.25">
      <c r="K238" s="40"/>
    </row>
    <row r="239" spans="1:11" ht="15.75" customHeight="1" x14ac:dyDescent="0.25">
      <c r="K239" s="40"/>
    </row>
    <row r="240" spans="1:11" ht="15.75" customHeight="1" x14ac:dyDescent="0.25">
      <c r="K240" s="40"/>
    </row>
    <row r="241" spans="11:11" ht="15.75" customHeight="1" x14ac:dyDescent="0.25">
      <c r="K241" s="40"/>
    </row>
    <row r="242" spans="11:11" ht="15.75" customHeight="1" x14ac:dyDescent="0.25">
      <c r="K242" s="40"/>
    </row>
    <row r="243" spans="11:11" ht="15.75" customHeight="1" x14ac:dyDescent="0.25">
      <c r="K243" s="40"/>
    </row>
    <row r="244" spans="11:11" ht="15.75" customHeight="1" x14ac:dyDescent="0.25">
      <c r="K244" s="40"/>
    </row>
    <row r="245" spans="11:11" ht="15.75" customHeight="1" x14ac:dyDescent="0.25">
      <c r="K245" s="40"/>
    </row>
    <row r="246" spans="11:11" ht="15.75" customHeight="1" x14ac:dyDescent="0.25">
      <c r="K246" s="40"/>
    </row>
    <row r="247" spans="11:11" ht="15.75" customHeight="1" x14ac:dyDescent="0.25">
      <c r="K247" s="40"/>
    </row>
    <row r="248" spans="11:11" ht="15.75" customHeight="1" x14ac:dyDescent="0.25">
      <c r="K248" s="40"/>
    </row>
    <row r="249" spans="11:11" ht="15.75" customHeight="1" x14ac:dyDescent="0.25">
      <c r="K249" s="40"/>
    </row>
    <row r="250" spans="11:11" ht="15.75" customHeight="1" x14ac:dyDescent="0.25">
      <c r="K250" s="40"/>
    </row>
    <row r="251" spans="11:11" ht="15.75" customHeight="1" x14ac:dyDescent="0.25">
      <c r="K251" s="40"/>
    </row>
    <row r="252" spans="11:11" ht="15.75" customHeight="1" x14ac:dyDescent="0.25">
      <c r="K252" s="40"/>
    </row>
    <row r="253" spans="11:11" ht="15.75" customHeight="1" x14ac:dyDescent="0.25">
      <c r="K253" s="40"/>
    </row>
    <row r="254" spans="11:11" ht="15.75" customHeight="1" x14ac:dyDescent="0.25">
      <c r="K254" s="40"/>
    </row>
    <row r="255" spans="11:11" ht="15.75" customHeight="1" x14ac:dyDescent="0.25">
      <c r="K255" s="40"/>
    </row>
    <row r="256" spans="11:11" ht="15.75" customHeight="1" x14ac:dyDescent="0.25">
      <c r="K256" s="40"/>
    </row>
    <row r="257" spans="11:11" ht="15.75" customHeight="1" x14ac:dyDescent="0.25">
      <c r="K257" s="40"/>
    </row>
    <row r="258" spans="11:11" ht="15.75" customHeight="1" x14ac:dyDescent="0.25">
      <c r="K258" s="40"/>
    </row>
    <row r="259" spans="11:11" ht="15.75" customHeight="1" x14ac:dyDescent="0.25">
      <c r="K259" s="40"/>
    </row>
    <row r="260" spans="11:11" ht="15.75" customHeight="1" x14ac:dyDescent="0.25">
      <c r="K260" s="40"/>
    </row>
    <row r="261" spans="11:11" ht="15.75" customHeight="1" x14ac:dyDescent="0.25">
      <c r="K261" s="40"/>
    </row>
    <row r="262" spans="11:11" ht="15.75" customHeight="1" x14ac:dyDescent="0.25">
      <c r="K262" s="40"/>
    </row>
    <row r="263" spans="11:11" ht="15.75" customHeight="1" x14ac:dyDescent="0.25">
      <c r="K263" s="40"/>
    </row>
    <row r="264" spans="11:11" ht="15.75" customHeight="1" x14ac:dyDescent="0.25">
      <c r="K264" s="40"/>
    </row>
    <row r="265" spans="11:11" ht="15.75" customHeight="1" x14ac:dyDescent="0.25">
      <c r="K265" s="40"/>
    </row>
    <row r="266" spans="11:11" ht="15.75" customHeight="1" x14ac:dyDescent="0.25">
      <c r="K266" s="40"/>
    </row>
    <row r="267" spans="11:11" ht="15.75" customHeight="1" x14ac:dyDescent="0.25">
      <c r="K267" s="40"/>
    </row>
    <row r="268" spans="11:11" ht="15.75" customHeight="1" x14ac:dyDescent="0.25">
      <c r="K268" s="40"/>
    </row>
    <row r="269" spans="11:11" ht="15.75" customHeight="1" x14ac:dyDescent="0.25">
      <c r="K269" s="40"/>
    </row>
    <row r="270" spans="11:11" ht="15.75" customHeight="1" x14ac:dyDescent="0.25">
      <c r="K270" s="40"/>
    </row>
    <row r="271" spans="11:11" ht="15.75" customHeight="1" x14ac:dyDescent="0.25">
      <c r="K271" s="40"/>
    </row>
    <row r="272" spans="11:11" ht="15.75" customHeight="1" x14ac:dyDescent="0.25">
      <c r="K272" s="40"/>
    </row>
    <row r="273" spans="11:11" ht="15.75" customHeight="1" x14ac:dyDescent="0.25">
      <c r="K273" s="40"/>
    </row>
    <row r="274" spans="11:11" ht="15.75" customHeight="1" x14ac:dyDescent="0.25">
      <c r="K274" s="40"/>
    </row>
    <row r="275" spans="11:11" ht="15.75" customHeight="1" x14ac:dyDescent="0.25">
      <c r="K275" s="40"/>
    </row>
    <row r="276" spans="11:11" ht="15.75" customHeight="1" x14ac:dyDescent="0.25">
      <c r="K276" s="40"/>
    </row>
    <row r="277" spans="11:11" ht="15.75" customHeight="1" x14ac:dyDescent="0.25">
      <c r="K277" s="40"/>
    </row>
    <row r="278" spans="11:11" ht="15.75" customHeight="1" x14ac:dyDescent="0.25">
      <c r="K278" s="40"/>
    </row>
    <row r="279" spans="11:11" ht="15.75" customHeight="1" x14ac:dyDescent="0.25">
      <c r="K279" s="40"/>
    </row>
    <row r="280" spans="11:11" ht="15.75" customHeight="1" x14ac:dyDescent="0.25">
      <c r="K280" s="40"/>
    </row>
    <row r="281" spans="11:11" ht="15.75" customHeight="1" x14ac:dyDescent="0.25">
      <c r="K281" s="40"/>
    </row>
    <row r="282" spans="11:11" ht="15.75" customHeight="1" x14ac:dyDescent="0.25">
      <c r="K282" s="40"/>
    </row>
    <row r="283" spans="11:11" ht="15.75" customHeight="1" x14ac:dyDescent="0.25">
      <c r="K283" s="40"/>
    </row>
    <row r="284" spans="11:11" ht="15.75" customHeight="1" x14ac:dyDescent="0.25">
      <c r="K284" s="40"/>
    </row>
    <row r="285" spans="11:11" ht="15.75" customHeight="1" x14ac:dyDescent="0.25">
      <c r="K285" s="40"/>
    </row>
    <row r="286" spans="11:11" ht="15.75" customHeight="1" x14ac:dyDescent="0.25">
      <c r="K286" s="40"/>
    </row>
    <row r="287" spans="11:11" ht="15.75" customHeight="1" x14ac:dyDescent="0.25">
      <c r="K287" s="40"/>
    </row>
    <row r="288" spans="1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Y1009"/>
  <sheetViews>
    <sheetView view="pageBreakPreview" topLeftCell="A44" zoomScale="130" zoomScaleNormal="100" zoomScaleSheetLayoutView="130" workbookViewId="0">
      <selection activeCell="A60" sqref="A60"/>
    </sheetView>
  </sheetViews>
  <sheetFormatPr defaultColWidth="14.42578125" defaultRowHeight="15" customHeight="1" x14ac:dyDescent="0.25"/>
  <cols>
    <col min="1" max="1" width="72.28515625" customWidth="1"/>
    <col min="2" max="2" width="14" customWidth="1"/>
    <col min="3" max="6" width="16.85546875" hidden="1" customWidth="1"/>
    <col min="7" max="7" width="16.85546875" customWidth="1"/>
    <col min="8" max="8" width="15.7109375" customWidth="1"/>
    <col min="9" max="10" width="10.28515625" customWidth="1"/>
    <col min="11" max="11" width="13.28515625" customWidth="1"/>
    <col min="12" max="25" width="10.28515625" customWidth="1"/>
  </cols>
  <sheetData>
    <row r="1" spans="1:25" ht="12.6" customHeight="1" x14ac:dyDescent="0.25">
      <c r="A1" s="599"/>
      <c r="B1" s="543"/>
      <c r="C1" s="710"/>
      <c r="D1" s="710"/>
      <c r="E1" s="710"/>
      <c r="F1" s="543"/>
      <c r="G1" s="621"/>
      <c r="H1" s="14"/>
      <c r="I1" s="15"/>
      <c r="J1" s="15"/>
      <c r="K1" s="16"/>
      <c r="L1" s="15"/>
      <c r="M1" s="15"/>
      <c r="N1" s="15"/>
      <c r="O1" s="15"/>
      <c r="P1" s="15"/>
      <c r="Q1" s="15"/>
      <c r="R1" s="15"/>
      <c r="S1" s="15"/>
      <c r="T1" s="15"/>
      <c r="U1" s="15"/>
      <c r="V1" s="15"/>
      <c r="W1" s="15"/>
      <c r="X1" s="15"/>
      <c r="Y1" s="15"/>
    </row>
    <row r="2" spans="1:25" ht="12.6" customHeight="1" x14ac:dyDescent="0.25">
      <c r="A2" s="446"/>
      <c r="B2" s="515"/>
      <c r="C2" s="488"/>
      <c r="D2" s="488"/>
      <c r="E2" s="488"/>
      <c r="F2" s="515"/>
      <c r="G2" s="711"/>
      <c r="H2" s="14"/>
      <c r="I2" s="15"/>
      <c r="J2" s="15"/>
      <c r="K2" s="16"/>
      <c r="L2" s="15"/>
      <c r="M2" s="15"/>
      <c r="N2" s="15"/>
      <c r="O2" s="15"/>
      <c r="P2" s="15"/>
      <c r="Q2" s="15"/>
      <c r="R2" s="15"/>
      <c r="S2" s="15"/>
      <c r="T2" s="15"/>
      <c r="U2" s="15"/>
      <c r="V2" s="15"/>
      <c r="W2" s="15"/>
      <c r="X2" s="15"/>
      <c r="Y2" s="15"/>
    </row>
    <row r="3" spans="1:25" ht="12.6" customHeight="1" x14ac:dyDescent="0.25">
      <c r="A3" s="861" t="s">
        <v>349</v>
      </c>
      <c r="B3" s="862"/>
      <c r="C3" s="862"/>
      <c r="D3" s="862"/>
      <c r="E3" s="862"/>
      <c r="F3" s="862"/>
      <c r="G3" s="863"/>
      <c r="H3" s="14"/>
      <c r="I3" s="15"/>
      <c r="J3" s="15"/>
      <c r="K3" s="16"/>
      <c r="L3" s="15"/>
      <c r="M3" s="15"/>
      <c r="N3" s="15"/>
      <c r="O3" s="15"/>
      <c r="P3" s="15"/>
      <c r="Q3" s="15"/>
      <c r="R3" s="15"/>
      <c r="S3" s="15"/>
      <c r="T3" s="15"/>
      <c r="U3" s="15"/>
      <c r="V3" s="15"/>
      <c r="W3" s="15"/>
      <c r="X3" s="15"/>
      <c r="Y3" s="15"/>
    </row>
    <row r="4" spans="1:25" ht="12.6" customHeight="1" x14ac:dyDescent="0.25">
      <c r="A4" s="864" t="s">
        <v>350</v>
      </c>
      <c r="B4" s="862"/>
      <c r="C4" s="862"/>
      <c r="D4" s="862"/>
      <c r="E4" s="862"/>
      <c r="F4" s="862"/>
      <c r="G4" s="863"/>
      <c r="H4" s="14"/>
      <c r="I4" s="15"/>
      <c r="J4" s="15"/>
      <c r="K4" s="16"/>
      <c r="L4" s="15"/>
      <c r="M4" s="15"/>
      <c r="N4" s="15"/>
      <c r="O4" s="15"/>
      <c r="P4" s="15"/>
      <c r="Q4" s="15"/>
      <c r="R4" s="15"/>
      <c r="S4" s="15"/>
      <c r="T4" s="15"/>
      <c r="U4" s="15"/>
      <c r="V4" s="15"/>
      <c r="W4" s="15"/>
      <c r="X4" s="15"/>
      <c r="Y4" s="15"/>
    </row>
    <row r="5" spans="1:25" ht="12.6" customHeight="1" x14ac:dyDescent="0.25">
      <c r="A5" s="21"/>
      <c r="B5" s="18"/>
      <c r="C5" s="18"/>
      <c r="D5" s="18"/>
      <c r="E5" s="18"/>
      <c r="F5" s="18"/>
      <c r="G5" s="23"/>
      <c r="H5" s="14"/>
      <c r="I5" s="15"/>
      <c r="J5" s="15"/>
      <c r="K5" s="16"/>
      <c r="L5" s="15"/>
      <c r="M5" s="15"/>
      <c r="N5" s="15"/>
      <c r="O5" s="15"/>
      <c r="P5" s="15"/>
      <c r="Q5" s="15"/>
      <c r="R5" s="15"/>
      <c r="S5" s="15"/>
      <c r="T5" s="15"/>
      <c r="U5" s="15"/>
      <c r="V5" s="15"/>
      <c r="W5" s="15"/>
      <c r="X5" s="15"/>
      <c r="Y5" s="15"/>
    </row>
    <row r="6" spans="1:25" ht="12.6" customHeight="1" x14ac:dyDescent="0.25">
      <c r="A6" s="17" t="s">
        <v>2591</v>
      </c>
      <c r="B6" s="24"/>
      <c r="C6" s="25"/>
      <c r="D6" s="25"/>
      <c r="E6" s="25"/>
      <c r="F6" s="24"/>
      <c r="G6" s="19"/>
      <c r="H6" s="14"/>
      <c r="I6" s="15"/>
      <c r="J6" s="15"/>
      <c r="K6" s="16"/>
      <c r="L6" s="15"/>
      <c r="M6" s="15"/>
      <c r="N6" s="15"/>
      <c r="O6" s="15"/>
      <c r="P6" s="15"/>
      <c r="Q6" s="15"/>
      <c r="R6" s="15"/>
      <c r="S6" s="15"/>
      <c r="T6" s="15"/>
      <c r="U6" s="15"/>
      <c r="V6" s="15"/>
      <c r="W6" s="15"/>
      <c r="X6" s="15"/>
      <c r="Y6" s="15"/>
    </row>
    <row r="7" spans="1:25" ht="12.6" customHeight="1" x14ac:dyDescent="0.25">
      <c r="A7" s="17"/>
      <c r="B7" s="24"/>
      <c r="C7" s="25"/>
      <c r="D7" s="25"/>
      <c r="E7" s="25"/>
      <c r="F7" s="24"/>
      <c r="G7" s="19"/>
      <c r="H7" s="14"/>
      <c r="I7" s="15"/>
      <c r="J7" s="15"/>
      <c r="K7" s="16"/>
      <c r="L7" s="15"/>
      <c r="M7" s="15"/>
      <c r="N7" s="15"/>
      <c r="O7" s="15"/>
      <c r="P7" s="15"/>
      <c r="Q7" s="15"/>
      <c r="R7" s="15"/>
      <c r="S7" s="15"/>
      <c r="T7" s="15"/>
      <c r="U7" s="15"/>
      <c r="V7" s="15"/>
      <c r="W7" s="15"/>
      <c r="X7" s="15"/>
      <c r="Y7" s="15"/>
    </row>
    <row r="8" spans="1:25" ht="12.6" customHeight="1" x14ac:dyDescent="0.25">
      <c r="A8" s="865" t="s">
        <v>352</v>
      </c>
      <c r="B8" s="866"/>
      <c r="C8" s="866"/>
      <c r="D8" s="866"/>
      <c r="E8" s="866"/>
      <c r="F8" s="866"/>
      <c r="G8" s="867"/>
      <c r="H8" s="14"/>
      <c r="I8" s="15"/>
      <c r="J8" s="15"/>
      <c r="K8" s="16"/>
      <c r="L8" s="15"/>
      <c r="M8" s="15"/>
      <c r="N8" s="15"/>
      <c r="O8" s="15"/>
      <c r="P8" s="15"/>
      <c r="Q8" s="15"/>
      <c r="R8" s="15"/>
      <c r="S8" s="15"/>
      <c r="T8" s="15"/>
      <c r="U8" s="15"/>
      <c r="V8" s="15"/>
      <c r="W8" s="15"/>
      <c r="X8" s="15"/>
      <c r="Y8" s="15"/>
    </row>
    <row r="9" spans="1:25" ht="15.75" customHeight="1" x14ac:dyDescent="0.25">
      <c r="A9" s="868" t="s">
        <v>353</v>
      </c>
      <c r="B9" s="857" t="s">
        <v>354</v>
      </c>
      <c r="C9" s="870" t="s">
        <v>355</v>
      </c>
      <c r="D9" s="872" t="s">
        <v>356</v>
      </c>
      <c r="E9" s="873"/>
      <c r="F9" s="874"/>
      <c r="G9" s="857" t="s">
        <v>357</v>
      </c>
      <c r="H9" s="15"/>
      <c r="I9" s="15"/>
      <c r="J9" s="15"/>
      <c r="K9" s="16"/>
      <c r="L9" s="15"/>
      <c r="M9" s="15"/>
      <c r="N9" s="15"/>
      <c r="O9" s="15"/>
      <c r="P9" s="15"/>
      <c r="Q9" s="15"/>
      <c r="R9" s="15"/>
      <c r="S9" s="15"/>
      <c r="T9" s="15"/>
      <c r="U9" s="15"/>
      <c r="V9" s="15"/>
      <c r="W9" s="15"/>
      <c r="X9" s="15"/>
      <c r="Y9" s="15"/>
    </row>
    <row r="10" spans="1:25" ht="15.75" customHeight="1" x14ac:dyDescent="0.25">
      <c r="A10" s="858"/>
      <c r="B10" s="858"/>
      <c r="C10" s="871"/>
      <c r="D10" s="28" t="s">
        <v>358</v>
      </c>
      <c r="E10" s="29" t="s">
        <v>359</v>
      </c>
      <c r="F10" s="875" t="s">
        <v>360</v>
      </c>
      <c r="G10" s="858"/>
      <c r="H10" s="15"/>
      <c r="I10" s="15"/>
      <c r="J10" s="15"/>
      <c r="K10" s="16"/>
      <c r="L10" s="15"/>
      <c r="M10" s="15"/>
      <c r="N10" s="15"/>
      <c r="O10" s="15"/>
      <c r="P10" s="15"/>
      <c r="Q10" s="15"/>
      <c r="R10" s="15"/>
      <c r="S10" s="15"/>
      <c r="T10" s="15"/>
      <c r="U10" s="15"/>
      <c r="V10" s="15"/>
      <c r="W10" s="15"/>
      <c r="X10" s="15"/>
      <c r="Y10" s="15"/>
    </row>
    <row r="11" spans="1:25" ht="15.75" customHeight="1" x14ac:dyDescent="0.25">
      <c r="A11" s="858"/>
      <c r="B11" s="858"/>
      <c r="C11" s="30" t="s">
        <v>361</v>
      </c>
      <c r="D11" s="31" t="s">
        <v>361</v>
      </c>
      <c r="E11" s="32" t="s">
        <v>362</v>
      </c>
      <c r="F11" s="860"/>
      <c r="G11" s="442" t="s">
        <v>2669</v>
      </c>
      <c r="H11" s="15"/>
      <c r="I11" s="15"/>
      <c r="J11" s="15"/>
      <c r="K11" s="16"/>
      <c r="L11" s="15"/>
      <c r="M11" s="15"/>
      <c r="N11" s="15"/>
      <c r="O11" s="15"/>
      <c r="P11" s="15"/>
      <c r="Q11" s="15"/>
      <c r="R11" s="15"/>
      <c r="S11" s="15"/>
      <c r="T11" s="15"/>
      <c r="U11" s="15"/>
      <c r="V11" s="15"/>
      <c r="W11" s="15"/>
      <c r="X11" s="15"/>
      <c r="Y11" s="15"/>
    </row>
    <row r="12" spans="1:25" ht="15.75" customHeight="1" x14ac:dyDescent="0.25">
      <c r="A12" s="869"/>
      <c r="B12" s="869"/>
      <c r="C12" s="33">
        <v>2024</v>
      </c>
      <c r="D12" s="34">
        <v>2025</v>
      </c>
      <c r="E12" s="35">
        <v>2025</v>
      </c>
      <c r="F12" s="34">
        <v>2025</v>
      </c>
      <c r="G12" s="36" t="s">
        <v>2668</v>
      </c>
      <c r="H12" s="15"/>
      <c r="I12" s="15"/>
      <c r="J12" s="15"/>
      <c r="K12" s="16"/>
      <c r="L12" s="15"/>
      <c r="M12" s="15"/>
      <c r="N12" s="15"/>
      <c r="O12" s="15"/>
      <c r="P12" s="15"/>
      <c r="Q12" s="15"/>
      <c r="R12" s="15"/>
      <c r="S12" s="15"/>
      <c r="T12" s="15"/>
      <c r="U12" s="15"/>
      <c r="V12" s="15"/>
      <c r="W12" s="15"/>
      <c r="X12" s="15"/>
      <c r="Y12" s="15"/>
    </row>
    <row r="13" spans="1:25" ht="15" customHeight="1" x14ac:dyDescent="0.25">
      <c r="A13" s="17" t="s">
        <v>364</v>
      </c>
      <c r="B13" s="41"/>
      <c r="C13" s="42"/>
      <c r="D13" s="42"/>
      <c r="E13" s="42"/>
      <c r="F13" s="42"/>
      <c r="G13" s="42"/>
      <c r="K13" s="40"/>
    </row>
    <row r="14" spans="1:25" ht="15" customHeight="1" x14ac:dyDescent="0.25">
      <c r="A14" s="42" t="s">
        <v>491</v>
      </c>
      <c r="B14" s="49"/>
      <c r="C14" s="43"/>
      <c r="D14" s="43"/>
      <c r="E14" s="43"/>
      <c r="F14" s="43"/>
      <c r="G14" s="43"/>
      <c r="K14" s="40"/>
    </row>
    <row r="15" spans="1:25" ht="15" customHeight="1" x14ac:dyDescent="0.25">
      <c r="A15" s="17" t="s">
        <v>493</v>
      </c>
      <c r="B15" s="41"/>
      <c r="C15" s="41"/>
      <c r="D15" s="41"/>
      <c r="E15" s="20"/>
      <c r="F15" s="120"/>
      <c r="G15" s="49"/>
      <c r="K15" s="40"/>
    </row>
    <row r="16" spans="1:25" ht="15" customHeight="1" x14ac:dyDescent="0.25">
      <c r="A16" s="44" t="s">
        <v>396</v>
      </c>
      <c r="B16" s="41" t="s">
        <v>191</v>
      </c>
      <c r="C16" s="43">
        <v>0</v>
      </c>
      <c r="D16" s="43">
        <v>0</v>
      </c>
      <c r="E16" s="43">
        <f>F16-D16</f>
        <v>30000</v>
      </c>
      <c r="F16" s="43">
        <v>30000</v>
      </c>
      <c r="G16" s="43">
        <v>30000</v>
      </c>
      <c r="H16" s="57">
        <v>30000</v>
      </c>
      <c r="K16" s="40"/>
    </row>
    <row r="17" spans="1:25" ht="15" customHeight="1" x14ac:dyDescent="0.25">
      <c r="A17" s="17" t="s">
        <v>499</v>
      </c>
      <c r="B17" s="41"/>
      <c r="C17" s="43"/>
      <c r="D17" s="43"/>
      <c r="E17" s="43"/>
      <c r="F17" s="43"/>
      <c r="G17" s="43"/>
      <c r="K17" s="40"/>
    </row>
    <row r="18" spans="1:25" ht="15" customHeight="1" x14ac:dyDescent="0.25">
      <c r="A18" s="44" t="s">
        <v>398</v>
      </c>
      <c r="B18" s="41" t="s">
        <v>195</v>
      </c>
      <c r="C18" s="43">
        <v>75095</v>
      </c>
      <c r="D18" s="43">
        <v>49360.7</v>
      </c>
      <c r="E18" s="43">
        <f t="shared" ref="E18:E20" si="0">F18-D18</f>
        <v>52865.3</v>
      </c>
      <c r="F18" s="43">
        <v>102226</v>
      </c>
      <c r="G18" s="43">
        <v>95687</v>
      </c>
      <c r="H18" s="15">
        <v>95687</v>
      </c>
      <c r="I18" s="15"/>
      <c r="J18" s="15"/>
      <c r="K18" s="16"/>
      <c r="L18" s="15"/>
      <c r="M18" s="15"/>
      <c r="N18" s="15"/>
      <c r="O18" s="15"/>
      <c r="P18" s="15"/>
      <c r="Q18" s="15"/>
      <c r="R18" s="15"/>
      <c r="S18" s="15"/>
      <c r="T18" s="15"/>
      <c r="U18" s="15"/>
      <c r="V18" s="15"/>
      <c r="W18" s="15"/>
      <c r="X18" s="15"/>
      <c r="Y18" s="15"/>
    </row>
    <row r="19" spans="1:25" ht="15" customHeight="1" x14ac:dyDescent="0.25">
      <c r="A19" s="391" t="s">
        <v>400</v>
      </c>
      <c r="B19" s="41" t="s">
        <v>221</v>
      </c>
      <c r="C19" s="43"/>
      <c r="D19" s="43">
        <v>0</v>
      </c>
      <c r="E19" s="43">
        <f t="shared" si="0"/>
        <v>5000</v>
      </c>
      <c r="F19" s="43">
        <v>5000</v>
      </c>
      <c r="G19" s="43">
        <v>315250</v>
      </c>
      <c r="H19" s="15">
        <v>315250</v>
      </c>
      <c r="I19" s="15"/>
      <c r="J19" s="15"/>
      <c r="K19" s="16"/>
      <c r="L19" s="15"/>
      <c r="M19" s="15"/>
      <c r="N19" s="15"/>
      <c r="O19" s="15"/>
      <c r="P19" s="15"/>
      <c r="Q19" s="15"/>
      <c r="R19" s="15"/>
      <c r="S19" s="15"/>
      <c r="T19" s="15"/>
      <c r="U19" s="15"/>
      <c r="V19" s="15"/>
      <c r="W19" s="15"/>
      <c r="X19" s="15"/>
      <c r="Y19" s="15"/>
    </row>
    <row r="20" spans="1:25" ht="15" customHeight="1" x14ac:dyDescent="0.25">
      <c r="A20" s="44" t="s">
        <v>402</v>
      </c>
      <c r="B20" s="41" t="s">
        <v>225</v>
      </c>
      <c r="C20" s="43">
        <v>418293</v>
      </c>
      <c r="D20" s="43">
        <v>328289.90000000002</v>
      </c>
      <c r="E20" s="43">
        <f t="shared" si="0"/>
        <v>39592.099999999977</v>
      </c>
      <c r="F20" s="43">
        <v>367882</v>
      </c>
      <c r="G20" s="43">
        <v>366058</v>
      </c>
      <c r="H20" s="15"/>
      <c r="I20" s="15"/>
      <c r="J20" s="15"/>
      <c r="K20" s="16">
        <v>208500</v>
      </c>
      <c r="L20" s="15" t="s">
        <v>2592</v>
      </c>
      <c r="M20" s="15"/>
      <c r="N20" s="15"/>
      <c r="O20" s="15"/>
      <c r="P20" s="15"/>
      <c r="Q20" s="15"/>
      <c r="R20" s="15"/>
      <c r="S20" s="15"/>
      <c r="T20" s="15"/>
      <c r="U20" s="15"/>
      <c r="V20" s="15"/>
      <c r="W20" s="15"/>
      <c r="X20" s="15"/>
      <c r="Y20" s="15"/>
    </row>
    <row r="21" spans="1:25" ht="15" customHeight="1" x14ac:dyDescent="0.25">
      <c r="A21" s="17" t="s">
        <v>813</v>
      </c>
      <c r="B21" s="41"/>
      <c r="C21" s="43"/>
      <c r="D21" s="43"/>
      <c r="E21" s="43"/>
      <c r="F21" s="43"/>
      <c r="G21" s="43"/>
      <c r="H21" s="15"/>
      <c r="I21" s="15"/>
      <c r="J21" s="15"/>
      <c r="K21" s="16">
        <v>25000</v>
      </c>
      <c r="L21" s="15" t="s">
        <v>2593</v>
      </c>
      <c r="M21" s="15"/>
      <c r="N21" s="15"/>
      <c r="O21" s="15"/>
      <c r="P21" s="15"/>
      <c r="Q21" s="15"/>
      <c r="R21" s="15"/>
      <c r="S21" s="15"/>
      <c r="T21" s="15"/>
      <c r="U21" s="15"/>
      <c r="V21" s="15"/>
      <c r="W21" s="15"/>
      <c r="X21" s="15"/>
      <c r="Y21" s="15"/>
    </row>
    <row r="22" spans="1:25" ht="15" customHeight="1" x14ac:dyDescent="0.25">
      <c r="A22" s="391" t="s">
        <v>814</v>
      </c>
      <c r="B22" s="41" t="s">
        <v>227</v>
      </c>
      <c r="C22" s="43">
        <v>0</v>
      </c>
      <c r="D22" s="43">
        <v>164754.5</v>
      </c>
      <c r="E22" s="43">
        <f t="shared" ref="E22:E23" si="1">F22-D22</f>
        <v>135245.5</v>
      </c>
      <c r="F22" s="43">
        <v>300000</v>
      </c>
      <c r="G22" s="43">
        <v>400000</v>
      </c>
      <c r="H22" s="15">
        <v>400000</v>
      </c>
      <c r="I22" s="15"/>
      <c r="J22" s="15"/>
      <c r="K22" s="16">
        <v>132557.91</v>
      </c>
      <c r="L22" s="15" t="s">
        <v>2594</v>
      </c>
      <c r="M22" s="15"/>
      <c r="N22" s="15"/>
      <c r="O22" s="15"/>
      <c r="P22" s="15"/>
      <c r="Q22" s="15"/>
      <c r="R22" s="15"/>
      <c r="S22" s="15"/>
      <c r="T22" s="15"/>
      <c r="U22" s="15"/>
      <c r="V22" s="15"/>
      <c r="W22" s="15"/>
      <c r="X22" s="15"/>
      <c r="Y22" s="15"/>
    </row>
    <row r="23" spans="1:25" ht="15" customHeight="1" x14ac:dyDescent="0.25">
      <c r="A23" s="44" t="s">
        <v>815</v>
      </c>
      <c r="B23" s="41" t="s">
        <v>229</v>
      </c>
      <c r="C23" s="43">
        <v>593101.11</v>
      </c>
      <c r="D23" s="43">
        <v>131749.23000000001</v>
      </c>
      <c r="E23" s="43">
        <f t="shared" si="1"/>
        <v>1868250.77</v>
      </c>
      <c r="F23" s="43">
        <v>2000000</v>
      </c>
      <c r="G23" s="43">
        <v>1000000</v>
      </c>
      <c r="H23" s="15">
        <v>1000000</v>
      </c>
      <c r="I23" s="15"/>
      <c r="J23" s="15"/>
      <c r="K23" s="99">
        <f>SUM(K20:K22)</f>
        <v>366057.91000000003</v>
      </c>
      <c r="L23" s="15"/>
      <c r="M23" s="15"/>
      <c r="N23" s="15"/>
      <c r="O23" s="15"/>
      <c r="P23" s="15"/>
      <c r="Q23" s="15"/>
      <c r="R23" s="15"/>
      <c r="S23" s="15"/>
      <c r="T23" s="15"/>
      <c r="U23" s="15"/>
      <c r="V23" s="15"/>
      <c r="W23" s="15"/>
      <c r="X23" s="15"/>
      <c r="Y23" s="15"/>
    </row>
    <row r="24" spans="1:25" ht="15" customHeight="1" x14ac:dyDescent="0.25">
      <c r="A24" s="17" t="s">
        <v>503</v>
      </c>
      <c r="B24" s="41"/>
      <c r="C24" s="43"/>
      <c r="D24" s="43"/>
      <c r="E24" s="43"/>
      <c r="F24" s="43"/>
      <c r="G24" s="43"/>
      <c r="H24" s="15"/>
      <c r="I24" s="15"/>
      <c r="J24" s="15"/>
      <c r="K24" s="16">
        <f>K23-G20</f>
        <v>-8.999999996740371E-2</v>
      </c>
      <c r="L24" s="15"/>
      <c r="M24" s="15"/>
      <c r="N24" s="15"/>
      <c r="O24" s="15"/>
      <c r="P24" s="15"/>
      <c r="Q24" s="15"/>
      <c r="R24" s="15"/>
      <c r="S24" s="15"/>
      <c r="T24" s="15"/>
      <c r="U24" s="15"/>
      <c r="V24" s="15"/>
      <c r="W24" s="15"/>
      <c r="X24" s="15"/>
      <c r="Y24" s="15"/>
    </row>
    <row r="25" spans="1:25" ht="15" customHeight="1" x14ac:dyDescent="0.25">
      <c r="A25" s="44" t="s">
        <v>643</v>
      </c>
      <c r="B25" s="41" t="s">
        <v>233</v>
      </c>
      <c r="C25" s="43">
        <v>21586.73</v>
      </c>
      <c r="D25" s="56">
        <v>10194.06</v>
      </c>
      <c r="E25" s="43">
        <f>F25-D25</f>
        <v>12593.94</v>
      </c>
      <c r="F25" s="45">
        <v>22788</v>
      </c>
      <c r="G25" s="43">
        <v>30000</v>
      </c>
      <c r="H25" s="15">
        <v>30000</v>
      </c>
      <c r="I25" s="15"/>
      <c r="J25" s="15"/>
      <c r="K25" s="16"/>
      <c r="L25" s="15"/>
      <c r="M25" s="15"/>
      <c r="N25" s="15"/>
      <c r="O25" s="15"/>
      <c r="P25" s="15"/>
      <c r="Q25" s="15"/>
      <c r="R25" s="15"/>
      <c r="S25" s="15"/>
      <c r="T25" s="15"/>
      <c r="U25" s="15"/>
      <c r="V25" s="15"/>
      <c r="W25" s="15"/>
      <c r="X25" s="15"/>
      <c r="Y25" s="15"/>
    </row>
    <row r="26" spans="1:25" ht="15" customHeight="1" x14ac:dyDescent="0.25">
      <c r="A26" s="17" t="s">
        <v>2595</v>
      </c>
      <c r="B26" s="41"/>
      <c r="C26" s="43"/>
      <c r="D26" s="43"/>
      <c r="E26" s="43"/>
      <c r="F26" s="43"/>
      <c r="G26" s="43"/>
      <c r="H26" s="15"/>
      <c r="I26" s="15"/>
      <c r="J26" s="15"/>
      <c r="K26" s="16"/>
      <c r="L26" s="15"/>
      <c r="M26" s="15"/>
      <c r="N26" s="15"/>
      <c r="O26" s="15"/>
      <c r="P26" s="15"/>
      <c r="Q26" s="15"/>
      <c r="R26" s="15"/>
      <c r="S26" s="15"/>
      <c r="T26" s="15"/>
      <c r="U26" s="15"/>
      <c r="V26" s="15"/>
      <c r="W26" s="15"/>
      <c r="X26" s="15"/>
      <c r="Y26" s="15"/>
    </row>
    <row r="27" spans="1:25" ht="15" customHeight="1" x14ac:dyDescent="0.25">
      <c r="A27" s="44" t="s">
        <v>725</v>
      </c>
      <c r="B27" s="41" t="s">
        <v>283</v>
      </c>
      <c r="C27" s="43">
        <v>80839</v>
      </c>
      <c r="D27" s="43">
        <v>68476</v>
      </c>
      <c r="E27" s="43">
        <f>F27-D27</f>
        <v>31524</v>
      </c>
      <c r="F27" s="43">
        <v>100000</v>
      </c>
      <c r="G27" s="43">
        <v>100000</v>
      </c>
      <c r="H27" s="15">
        <v>100000</v>
      </c>
      <c r="I27" s="15"/>
      <c r="J27" s="15"/>
      <c r="K27" s="16"/>
      <c r="L27" s="15"/>
      <c r="M27" s="15"/>
      <c r="N27" s="15"/>
      <c r="O27" s="15"/>
      <c r="P27" s="15"/>
      <c r="Q27" s="15"/>
      <c r="R27" s="15"/>
      <c r="S27" s="15"/>
      <c r="T27" s="15"/>
      <c r="U27" s="15"/>
      <c r="V27" s="15"/>
      <c r="W27" s="15"/>
      <c r="X27" s="15"/>
      <c r="Y27" s="15"/>
    </row>
    <row r="28" spans="1:25" ht="15" customHeight="1" x14ac:dyDescent="0.25">
      <c r="A28" s="17" t="s">
        <v>511</v>
      </c>
      <c r="B28" s="41"/>
      <c r="C28" s="42"/>
      <c r="D28" s="42"/>
      <c r="E28" s="42"/>
      <c r="F28" s="43"/>
      <c r="G28" s="43"/>
      <c r="H28" s="15"/>
      <c r="I28" s="15"/>
      <c r="J28" s="15"/>
      <c r="K28" s="16"/>
      <c r="L28" s="15"/>
      <c r="M28" s="15"/>
      <c r="N28" s="15"/>
      <c r="O28" s="15"/>
      <c r="P28" s="15"/>
      <c r="Q28" s="15"/>
      <c r="R28" s="15"/>
      <c r="S28" s="15"/>
      <c r="T28" s="15"/>
      <c r="U28" s="15"/>
      <c r="V28" s="15"/>
      <c r="W28" s="15"/>
      <c r="X28" s="15"/>
      <c r="Y28" s="15"/>
    </row>
    <row r="29" spans="1:25" ht="15" customHeight="1" x14ac:dyDescent="0.25">
      <c r="A29" s="44" t="s">
        <v>424</v>
      </c>
      <c r="B29" s="41" t="s">
        <v>335</v>
      </c>
      <c r="C29" s="43">
        <v>4870797</v>
      </c>
      <c r="D29" s="43">
        <v>1483932</v>
      </c>
      <c r="E29" s="43">
        <f>F29-D29</f>
        <v>2276428</v>
      </c>
      <c r="F29" s="43">
        <v>3760360</v>
      </c>
      <c r="G29" s="43">
        <v>5455124</v>
      </c>
      <c r="H29" s="16">
        <f>SUM(H30:H32)+SUM(K33:K38)</f>
        <v>5455124</v>
      </c>
      <c r="I29" s="14">
        <f>G29-H29</f>
        <v>0</v>
      </c>
      <c r="J29" s="15"/>
      <c r="K29" s="16"/>
      <c r="L29" s="15"/>
      <c r="M29" s="15"/>
      <c r="N29" s="15"/>
      <c r="O29" s="15"/>
      <c r="P29" s="15"/>
      <c r="Q29" s="15"/>
      <c r="R29" s="15"/>
      <c r="S29" s="15"/>
      <c r="T29" s="15"/>
      <c r="U29" s="15"/>
      <c r="V29" s="15"/>
      <c r="W29" s="15"/>
      <c r="X29" s="15"/>
      <c r="Y29" s="15"/>
    </row>
    <row r="30" spans="1:25" ht="15" customHeight="1" x14ac:dyDescent="0.25">
      <c r="A30" s="74" t="s">
        <v>2596</v>
      </c>
      <c r="B30" s="41"/>
      <c r="C30" s="45"/>
      <c r="D30" s="43"/>
      <c r="E30" s="43"/>
      <c r="F30" s="43"/>
      <c r="G30" s="43"/>
      <c r="H30" s="15">
        <v>64000</v>
      </c>
      <c r="I30" s="15"/>
      <c r="J30" s="15"/>
      <c r="K30" s="16"/>
      <c r="L30" s="15"/>
      <c r="M30" s="15"/>
      <c r="N30" s="15"/>
      <c r="O30" s="15"/>
      <c r="P30" s="15"/>
      <c r="Q30" s="15"/>
      <c r="R30" s="15"/>
      <c r="S30" s="15"/>
      <c r="T30" s="15"/>
      <c r="U30" s="15"/>
      <c r="V30" s="15"/>
      <c r="W30" s="15"/>
      <c r="X30" s="15"/>
      <c r="Y30" s="15"/>
    </row>
    <row r="31" spans="1:25" ht="15" customHeight="1" x14ac:dyDescent="0.25">
      <c r="A31" s="74" t="s">
        <v>2597</v>
      </c>
      <c r="B31" s="41"/>
      <c r="C31" s="45"/>
      <c r="D31" s="43"/>
      <c r="E31" s="43"/>
      <c r="F31" s="43"/>
      <c r="G31" s="43"/>
      <c r="H31" s="15">
        <v>10000</v>
      </c>
      <c r="I31" s="15"/>
      <c r="J31" s="15"/>
      <c r="K31" s="16"/>
      <c r="L31" s="15"/>
      <c r="M31" s="15"/>
      <c r="N31" s="15"/>
      <c r="O31" s="15"/>
      <c r="P31" s="15"/>
      <c r="Q31" s="15"/>
      <c r="R31" s="15"/>
      <c r="S31" s="15"/>
      <c r="T31" s="15"/>
      <c r="U31" s="15"/>
      <c r="V31" s="15"/>
      <c r="W31" s="15"/>
      <c r="X31" s="15"/>
      <c r="Y31" s="15"/>
    </row>
    <row r="32" spans="1:25" ht="15" customHeight="1" x14ac:dyDescent="0.25">
      <c r="A32" s="74" t="s">
        <v>2598</v>
      </c>
      <c r="B32" s="41"/>
      <c r="C32" s="45"/>
      <c r="D32" s="43"/>
      <c r="E32" s="43"/>
      <c r="F32" s="43"/>
      <c r="G32" s="43"/>
      <c r="H32" s="15">
        <v>37500</v>
      </c>
      <c r="I32" s="15"/>
      <c r="J32" s="15"/>
      <c r="K32" s="16"/>
      <c r="L32" s="15"/>
      <c r="M32" s="15"/>
      <c r="N32" s="15"/>
      <c r="O32" s="15"/>
      <c r="P32" s="15"/>
      <c r="Q32" s="15"/>
      <c r="R32" s="15"/>
      <c r="S32" s="15"/>
      <c r="T32" s="15"/>
      <c r="U32" s="15"/>
      <c r="V32" s="15"/>
      <c r="W32" s="15"/>
      <c r="X32" s="15"/>
      <c r="Y32" s="15"/>
    </row>
    <row r="33" spans="1:25" ht="15" customHeight="1" x14ac:dyDescent="0.25">
      <c r="A33" s="74" t="s">
        <v>648</v>
      </c>
      <c r="B33" s="41"/>
      <c r="C33" s="45"/>
      <c r="D33" s="43"/>
      <c r="E33" s="43"/>
      <c r="F33" s="43"/>
      <c r="G33" s="43"/>
      <c r="H33" s="15"/>
      <c r="I33" s="15"/>
      <c r="J33" s="15"/>
      <c r="K33" s="16"/>
      <c r="L33" s="15"/>
      <c r="M33" s="15"/>
      <c r="N33" s="15"/>
      <c r="O33" s="15"/>
      <c r="P33" s="15"/>
      <c r="Q33" s="15"/>
      <c r="R33" s="15"/>
      <c r="S33" s="15"/>
      <c r="T33" s="15"/>
      <c r="U33" s="15"/>
      <c r="V33" s="15"/>
      <c r="W33" s="15"/>
      <c r="X33" s="15"/>
      <c r="Y33" s="15"/>
    </row>
    <row r="34" spans="1:25" ht="15" customHeight="1" x14ac:dyDescent="0.25">
      <c r="A34" s="74" t="s">
        <v>2580</v>
      </c>
      <c r="B34" s="41"/>
      <c r="C34" s="45"/>
      <c r="D34" s="43"/>
      <c r="E34" s="43"/>
      <c r="F34" s="43"/>
      <c r="G34" s="43"/>
      <c r="H34" s="15">
        <v>6</v>
      </c>
      <c r="I34" s="15">
        <v>678</v>
      </c>
      <c r="J34" s="15">
        <f t="shared" ref="J34:J38" si="2">26*12</f>
        <v>312</v>
      </c>
      <c r="K34" s="16">
        <f t="shared" ref="K34:K38" si="3">J34*I34*H34</f>
        <v>1269216</v>
      </c>
      <c r="L34" s="15"/>
      <c r="M34" s="15"/>
      <c r="N34" s="15"/>
      <c r="O34" s="15"/>
      <c r="P34" s="15"/>
      <c r="Q34" s="15"/>
      <c r="R34" s="15"/>
      <c r="S34" s="15"/>
      <c r="T34" s="15"/>
      <c r="U34" s="15"/>
      <c r="V34" s="15"/>
      <c r="W34" s="15"/>
      <c r="X34" s="15"/>
      <c r="Y34" s="15"/>
    </row>
    <row r="35" spans="1:25" ht="31.5" x14ac:dyDescent="0.25">
      <c r="A35" s="627" t="s">
        <v>2599</v>
      </c>
      <c r="B35" s="437"/>
      <c r="C35" s="473"/>
      <c r="D35" s="438"/>
      <c r="E35" s="438"/>
      <c r="F35" s="438"/>
      <c r="G35" s="438"/>
      <c r="H35" s="15">
        <v>2</v>
      </c>
      <c r="I35" s="15">
        <v>639</v>
      </c>
      <c r="J35" s="15">
        <f t="shared" si="2"/>
        <v>312</v>
      </c>
      <c r="K35" s="16">
        <f t="shared" si="3"/>
        <v>398736</v>
      </c>
      <c r="L35" s="15"/>
      <c r="M35" s="15"/>
      <c r="N35" s="15"/>
      <c r="O35" s="15"/>
      <c r="P35" s="15"/>
      <c r="Q35" s="15"/>
      <c r="R35" s="15"/>
      <c r="S35" s="15"/>
      <c r="T35" s="15"/>
      <c r="U35" s="15"/>
      <c r="V35" s="15"/>
      <c r="W35" s="15"/>
      <c r="X35" s="15"/>
      <c r="Y35" s="15"/>
    </row>
    <row r="36" spans="1:25" ht="31.5" x14ac:dyDescent="0.25">
      <c r="A36" s="627" t="s">
        <v>2600</v>
      </c>
      <c r="B36" s="437"/>
      <c r="C36" s="473"/>
      <c r="D36" s="438"/>
      <c r="E36" s="438"/>
      <c r="F36" s="438"/>
      <c r="G36" s="438"/>
      <c r="H36" s="15">
        <v>12</v>
      </c>
      <c r="I36" s="15">
        <v>678</v>
      </c>
      <c r="J36" s="15">
        <f t="shared" si="2"/>
        <v>312</v>
      </c>
      <c r="K36" s="16">
        <f t="shared" si="3"/>
        <v>2538432</v>
      </c>
      <c r="L36" s="15"/>
      <c r="M36" s="15"/>
      <c r="N36" s="15"/>
      <c r="O36" s="15"/>
      <c r="P36" s="15"/>
      <c r="Q36" s="15"/>
      <c r="R36" s="15"/>
      <c r="S36" s="15"/>
      <c r="T36" s="15"/>
      <c r="U36" s="15"/>
      <c r="V36" s="15"/>
      <c r="W36" s="15"/>
      <c r="X36" s="15"/>
      <c r="Y36" s="15"/>
    </row>
    <row r="37" spans="1:25" ht="31.5" x14ac:dyDescent="0.25">
      <c r="A37" s="90" t="s">
        <v>2590</v>
      </c>
      <c r="B37" s="41"/>
      <c r="C37" s="45"/>
      <c r="D37" s="43"/>
      <c r="E37" s="43"/>
      <c r="F37" s="43"/>
      <c r="G37" s="43"/>
      <c r="H37" s="15">
        <v>4</v>
      </c>
      <c r="I37" s="15">
        <v>720</v>
      </c>
      <c r="J37" s="15">
        <f t="shared" si="2"/>
        <v>312</v>
      </c>
      <c r="K37" s="16">
        <f t="shared" si="3"/>
        <v>898560</v>
      </c>
      <c r="L37" s="15"/>
      <c r="M37" s="15"/>
      <c r="N37" s="15"/>
      <c r="O37" s="15"/>
      <c r="P37" s="15"/>
      <c r="Q37" s="15"/>
      <c r="R37" s="15"/>
      <c r="S37" s="15"/>
      <c r="T37" s="15"/>
      <c r="U37" s="15"/>
      <c r="V37" s="15"/>
      <c r="W37" s="15"/>
      <c r="X37" s="15"/>
      <c r="Y37" s="15"/>
    </row>
    <row r="38" spans="1:25" ht="31.5" x14ac:dyDescent="0.25">
      <c r="A38" s="90" t="s">
        <v>2564</v>
      </c>
      <c r="B38" s="41"/>
      <c r="C38" s="45"/>
      <c r="D38" s="43"/>
      <c r="E38" s="43"/>
      <c r="F38" s="43"/>
      <c r="G38" s="43"/>
      <c r="H38" s="15">
        <v>1</v>
      </c>
      <c r="I38" s="15">
        <v>765</v>
      </c>
      <c r="J38" s="15">
        <f t="shared" si="2"/>
        <v>312</v>
      </c>
      <c r="K38" s="16">
        <f t="shared" si="3"/>
        <v>238680</v>
      </c>
      <c r="L38" s="15"/>
      <c r="M38" s="15"/>
      <c r="N38" s="15"/>
      <c r="O38" s="15"/>
      <c r="P38" s="15"/>
      <c r="Q38" s="15"/>
      <c r="R38" s="15"/>
      <c r="S38" s="15"/>
      <c r="T38" s="15"/>
      <c r="U38" s="15"/>
      <c r="V38" s="15"/>
      <c r="W38" s="15"/>
      <c r="X38" s="15"/>
      <c r="Y38" s="15"/>
    </row>
    <row r="39" spans="1:25" ht="15.75" customHeight="1" x14ac:dyDescent="0.25">
      <c r="A39" s="42" t="s">
        <v>466</v>
      </c>
      <c r="B39" s="41"/>
      <c r="C39" s="39">
        <f t="shared" ref="C39:G39" si="4">SUM(C16:C29)</f>
        <v>6059711.8399999999</v>
      </c>
      <c r="D39" s="54">
        <f t="shared" si="4"/>
        <v>2236756.39</v>
      </c>
      <c r="E39" s="54">
        <f t="shared" si="4"/>
        <v>4451499.6099999994</v>
      </c>
      <c r="F39" s="54">
        <f t="shared" si="4"/>
        <v>6688256</v>
      </c>
      <c r="G39" s="54">
        <f t="shared" si="4"/>
        <v>7792119</v>
      </c>
      <c r="H39" s="15"/>
      <c r="I39" s="15"/>
      <c r="J39" s="15"/>
      <c r="K39" s="16"/>
      <c r="L39" s="15"/>
      <c r="M39" s="15"/>
      <c r="N39" s="15"/>
      <c r="O39" s="15"/>
      <c r="P39" s="15"/>
      <c r="Q39" s="15"/>
      <c r="R39" s="15"/>
      <c r="S39" s="15"/>
      <c r="T39" s="15"/>
      <c r="U39" s="15"/>
      <c r="V39" s="15"/>
      <c r="W39" s="15"/>
      <c r="X39" s="15"/>
      <c r="Y39" s="15"/>
    </row>
    <row r="40" spans="1:25" ht="14.45" customHeight="1" x14ac:dyDescent="0.25">
      <c r="A40" s="42"/>
      <c r="B40" s="49"/>
      <c r="C40" s="39"/>
      <c r="D40" s="55"/>
      <c r="E40" s="55"/>
      <c r="F40" s="55"/>
      <c r="G40" s="55"/>
      <c r="H40" s="15"/>
      <c r="I40" s="15"/>
      <c r="J40" s="15"/>
      <c r="K40" s="16"/>
      <c r="L40" s="15"/>
      <c r="M40" s="15"/>
      <c r="N40" s="15"/>
      <c r="O40" s="15"/>
      <c r="P40" s="15"/>
      <c r="Q40" s="15"/>
      <c r="R40" s="15"/>
      <c r="S40" s="15"/>
      <c r="T40" s="15"/>
      <c r="U40" s="15"/>
      <c r="V40" s="15"/>
      <c r="W40" s="15"/>
      <c r="X40" s="15"/>
      <c r="Y40" s="15"/>
    </row>
    <row r="41" spans="1:25" ht="14.45" customHeight="1" x14ac:dyDescent="0.25">
      <c r="A41" s="17" t="s">
        <v>467</v>
      </c>
      <c r="B41" s="41"/>
      <c r="C41" s="43">
        <f t="shared" ref="C41:G41" si="5">C39</f>
        <v>6059711.8399999999</v>
      </c>
      <c r="D41" s="43">
        <f t="shared" si="5"/>
        <v>2236756.39</v>
      </c>
      <c r="E41" s="43">
        <f t="shared" si="5"/>
        <v>4451499.6099999994</v>
      </c>
      <c r="F41" s="43">
        <f t="shared" si="5"/>
        <v>6688256</v>
      </c>
      <c r="G41" s="43">
        <f t="shared" si="5"/>
        <v>7792119</v>
      </c>
      <c r="H41" s="15"/>
      <c r="I41" s="15"/>
      <c r="J41" s="15"/>
      <c r="K41" s="16"/>
      <c r="L41" s="15"/>
      <c r="M41" s="15"/>
      <c r="N41" s="15"/>
      <c r="O41" s="15"/>
      <c r="P41" s="15"/>
      <c r="Q41" s="15"/>
      <c r="R41" s="15"/>
      <c r="S41" s="15"/>
      <c r="T41" s="15"/>
      <c r="U41" s="15"/>
      <c r="V41" s="15"/>
      <c r="W41" s="15"/>
      <c r="X41" s="15"/>
      <c r="Y41" s="15"/>
    </row>
    <row r="42" spans="1:25" ht="14.45" customHeight="1" x14ac:dyDescent="0.25">
      <c r="A42" s="17"/>
      <c r="B42" s="41"/>
      <c r="C42" s="43"/>
      <c r="D42" s="43"/>
      <c r="E42" s="43"/>
      <c r="F42" s="43"/>
      <c r="G42" s="43"/>
      <c r="H42" s="15"/>
      <c r="I42" s="15"/>
      <c r="J42" s="15"/>
      <c r="K42" s="16"/>
      <c r="L42" s="15"/>
      <c r="M42" s="15"/>
      <c r="N42" s="15"/>
      <c r="O42" s="15"/>
      <c r="P42" s="15"/>
      <c r="Q42" s="15"/>
      <c r="R42" s="15"/>
      <c r="S42" s="15"/>
      <c r="T42" s="15"/>
      <c r="U42" s="15"/>
      <c r="V42" s="15"/>
      <c r="W42" s="15"/>
      <c r="X42" s="15"/>
      <c r="Y42" s="15"/>
    </row>
    <row r="43" spans="1:25" ht="14.45" customHeight="1" x14ac:dyDescent="0.25">
      <c r="A43" s="17" t="s">
        <v>529</v>
      </c>
      <c r="B43" s="41"/>
      <c r="C43" s="43"/>
      <c r="D43" s="43"/>
      <c r="E43" s="43"/>
      <c r="F43" s="43"/>
      <c r="G43" s="43"/>
      <c r="H43" s="15"/>
      <c r="I43" s="15"/>
      <c r="J43" s="15"/>
      <c r="K43" s="16"/>
      <c r="L43" s="15"/>
      <c r="M43" s="15"/>
      <c r="N43" s="15"/>
      <c r="O43" s="15"/>
      <c r="P43" s="15"/>
      <c r="Q43" s="15"/>
      <c r="R43" s="15"/>
      <c r="S43" s="15"/>
      <c r="T43" s="15"/>
      <c r="U43" s="15"/>
      <c r="V43" s="15"/>
      <c r="W43" s="15"/>
      <c r="X43" s="15"/>
      <c r="Y43" s="15"/>
    </row>
    <row r="44" spans="1:25" ht="14.45" customHeight="1" x14ac:dyDescent="0.25">
      <c r="A44" s="17" t="s">
        <v>2356</v>
      </c>
      <c r="B44" s="41"/>
      <c r="C44" s="43"/>
      <c r="D44" s="43"/>
      <c r="E44" s="43"/>
      <c r="F44" s="43"/>
      <c r="G44" s="43"/>
      <c r="H44" s="15"/>
      <c r="I44" s="15"/>
      <c r="J44" s="15"/>
      <c r="K44" s="16"/>
      <c r="L44" s="15"/>
      <c r="M44" s="15"/>
      <c r="N44" s="15"/>
      <c r="O44" s="15"/>
      <c r="P44" s="15"/>
      <c r="Q44" s="15"/>
      <c r="R44" s="15"/>
      <c r="S44" s="15"/>
      <c r="T44" s="15"/>
      <c r="U44" s="15"/>
      <c r="V44" s="15"/>
      <c r="W44" s="15"/>
      <c r="X44" s="15"/>
      <c r="Y44" s="15"/>
    </row>
    <row r="45" spans="1:25" ht="14.45" customHeight="1" x14ac:dyDescent="0.25">
      <c r="A45" s="44" t="s">
        <v>1943</v>
      </c>
      <c r="B45" s="41" t="s">
        <v>17</v>
      </c>
      <c r="C45" s="43">
        <v>0</v>
      </c>
      <c r="D45" s="43">
        <v>0</v>
      </c>
      <c r="E45" s="43">
        <v>0</v>
      </c>
      <c r="F45" s="43">
        <v>0</v>
      </c>
      <c r="G45" s="43">
        <f>2310000</f>
        <v>2310000</v>
      </c>
      <c r="H45" s="15"/>
      <c r="I45" s="15"/>
      <c r="J45" s="15"/>
      <c r="K45" s="16"/>
      <c r="L45" s="15"/>
      <c r="M45" s="15"/>
      <c r="N45" s="15"/>
      <c r="O45" s="15"/>
      <c r="P45" s="15"/>
      <c r="Q45" s="15"/>
      <c r="R45" s="15"/>
      <c r="S45" s="15"/>
      <c r="T45" s="15"/>
      <c r="U45" s="15"/>
      <c r="V45" s="15"/>
      <c r="W45" s="15"/>
      <c r="X45" s="15"/>
      <c r="Y45" s="15"/>
    </row>
    <row r="46" spans="1:25" ht="14.45" customHeight="1" x14ac:dyDescent="0.25">
      <c r="A46" s="44" t="s">
        <v>2601</v>
      </c>
      <c r="B46" s="41"/>
      <c r="C46" s="43"/>
      <c r="D46" s="43"/>
      <c r="E46" s="43"/>
      <c r="F46" s="43"/>
      <c r="G46" s="43"/>
      <c r="H46" s="15"/>
      <c r="I46" s="15"/>
      <c r="J46" s="15"/>
      <c r="K46" s="16"/>
      <c r="L46" s="15"/>
      <c r="M46" s="15"/>
      <c r="N46" s="15"/>
      <c r="O46" s="15"/>
      <c r="P46" s="15"/>
      <c r="Q46" s="15"/>
      <c r="R46" s="15"/>
      <c r="S46" s="15"/>
      <c r="T46" s="15"/>
      <c r="U46" s="15"/>
      <c r="V46" s="15"/>
      <c r="W46" s="15"/>
      <c r="X46" s="15"/>
      <c r="Y46" s="15"/>
    </row>
    <row r="47" spans="1:25" ht="14.45" customHeight="1" x14ac:dyDescent="0.25">
      <c r="A47" s="17" t="s">
        <v>541</v>
      </c>
      <c r="B47" s="41"/>
      <c r="C47" s="43"/>
      <c r="D47" s="43"/>
      <c r="E47" s="43"/>
      <c r="F47" s="43"/>
      <c r="G47" s="43"/>
      <c r="H47" s="15"/>
      <c r="I47" s="15"/>
      <c r="J47" s="15"/>
      <c r="K47" s="16"/>
      <c r="L47" s="15"/>
      <c r="M47" s="15"/>
      <c r="N47" s="15"/>
      <c r="O47" s="15"/>
      <c r="P47" s="15"/>
      <c r="Q47" s="15"/>
      <c r="R47" s="15"/>
      <c r="S47" s="15"/>
      <c r="T47" s="15"/>
      <c r="U47" s="15"/>
      <c r="V47" s="15"/>
      <c r="W47" s="15"/>
      <c r="X47" s="15"/>
      <c r="Y47" s="15"/>
    </row>
    <row r="48" spans="1:25" ht="14.45" customHeight="1" x14ac:dyDescent="0.25">
      <c r="A48" s="44" t="s">
        <v>531</v>
      </c>
      <c r="B48" s="41" t="s">
        <v>29</v>
      </c>
      <c r="C48" s="43">
        <v>0</v>
      </c>
      <c r="D48" s="43">
        <v>0</v>
      </c>
      <c r="E48" s="43">
        <v>0</v>
      </c>
      <c r="F48" s="43">
        <v>0</v>
      </c>
      <c r="G48" s="43">
        <v>1000000</v>
      </c>
      <c r="H48" s="15"/>
      <c r="I48" s="15"/>
      <c r="J48" s="15"/>
      <c r="K48" s="16"/>
      <c r="L48" s="15"/>
      <c r="M48" s="15"/>
      <c r="N48" s="15"/>
      <c r="O48" s="15"/>
      <c r="P48" s="15"/>
      <c r="Q48" s="15"/>
      <c r="R48" s="15"/>
      <c r="S48" s="15"/>
      <c r="T48" s="15"/>
      <c r="U48" s="15"/>
      <c r="V48" s="15"/>
      <c r="W48" s="15"/>
      <c r="X48" s="15"/>
      <c r="Y48" s="15"/>
    </row>
    <row r="49" spans="1:25" ht="14.45" customHeight="1" x14ac:dyDescent="0.25">
      <c r="A49" s="44" t="s">
        <v>2602</v>
      </c>
      <c r="B49" s="41"/>
      <c r="C49" s="43"/>
      <c r="D49" s="43"/>
      <c r="E49" s="43"/>
      <c r="F49" s="43"/>
      <c r="G49" s="43"/>
      <c r="H49" s="15"/>
      <c r="I49" s="15"/>
      <c r="J49" s="15"/>
      <c r="K49" s="16"/>
      <c r="L49" s="15"/>
      <c r="M49" s="15"/>
      <c r="N49" s="15"/>
      <c r="O49" s="15"/>
      <c r="P49" s="15"/>
      <c r="Q49" s="15"/>
      <c r="R49" s="15"/>
      <c r="S49" s="15"/>
      <c r="T49" s="15"/>
      <c r="U49" s="15"/>
      <c r="V49" s="15"/>
      <c r="W49" s="15"/>
      <c r="X49" s="15"/>
      <c r="Y49" s="15"/>
    </row>
    <row r="50" spans="1:25" ht="14.45" customHeight="1" x14ac:dyDescent="0.25">
      <c r="A50" s="17" t="s">
        <v>2504</v>
      </c>
      <c r="B50" s="41"/>
      <c r="C50" s="54">
        <f t="shared" ref="C50:G50" si="6">SUM(C45:C49)</f>
        <v>0</v>
      </c>
      <c r="D50" s="54">
        <f t="shared" si="6"/>
        <v>0</v>
      </c>
      <c r="E50" s="54">
        <f t="shared" si="6"/>
        <v>0</v>
      </c>
      <c r="F50" s="54">
        <f t="shared" si="6"/>
        <v>0</v>
      </c>
      <c r="G50" s="54">
        <f t="shared" si="6"/>
        <v>3310000</v>
      </c>
      <c r="H50" s="15"/>
      <c r="I50" s="15"/>
      <c r="J50" s="15"/>
      <c r="K50" s="16"/>
      <c r="L50" s="15"/>
      <c r="M50" s="15"/>
      <c r="N50" s="15"/>
      <c r="O50" s="15"/>
      <c r="P50" s="15"/>
      <c r="Q50" s="15"/>
      <c r="R50" s="15"/>
      <c r="S50" s="15"/>
      <c r="T50" s="15"/>
      <c r="U50" s="15"/>
      <c r="V50" s="15"/>
      <c r="W50" s="15"/>
      <c r="X50" s="15"/>
      <c r="Y50" s="15"/>
    </row>
    <row r="51" spans="1:25" ht="14.45" customHeight="1" x14ac:dyDescent="0.25">
      <c r="A51" s="17"/>
      <c r="B51" s="41"/>
      <c r="C51" s="43"/>
      <c r="D51" s="43"/>
      <c r="E51" s="43"/>
      <c r="F51" s="43"/>
      <c r="G51" s="43"/>
      <c r="H51" s="15"/>
      <c r="I51" s="15"/>
      <c r="J51" s="15"/>
      <c r="K51" s="16"/>
      <c r="L51" s="15"/>
      <c r="M51" s="15"/>
      <c r="N51" s="15"/>
      <c r="O51" s="15"/>
      <c r="P51" s="15"/>
      <c r="Q51" s="15"/>
      <c r="R51" s="15"/>
      <c r="S51" s="15"/>
      <c r="T51" s="15"/>
      <c r="U51" s="15"/>
      <c r="V51" s="15"/>
      <c r="W51" s="15"/>
      <c r="X51" s="15"/>
      <c r="Y51" s="15"/>
    </row>
    <row r="52" spans="1:25" ht="15.75" customHeight="1" x14ac:dyDescent="0.25">
      <c r="A52" s="50" t="s">
        <v>487</v>
      </c>
      <c r="B52" s="51" t="s">
        <v>488</v>
      </c>
      <c r="C52" s="54">
        <f t="shared" ref="C52:G52" si="7">C41+C50</f>
        <v>6059711.8399999999</v>
      </c>
      <c r="D52" s="54">
        <f t="shared" si="7"/>
        <v>2236756.39</v>
      </c>
      <c r="E52" s="54">
        <f t="shared" si="7"/>
        <v>4451499.6099999994</v>
      </c>
      <c r="F52" s="54">
        <f t="shared" si="7"/>
        <v>6688256</v>
      </c>
      <c r="G52" s="54">
        <f t="shared" si="7"/>
        <v>11102119</v>
      </c>
      <c r="H52" s="15"/>
      <c r="I52" s="15"/>
      <c r="J52" s="15"/>
      <c r="K52" s="16"/>
      <c r="L52" s="15"/>
      <c r="M52" s="15"/>
      <c r="N52" s="15"/>
      <c r="O52" s="15"/>
      <c r="P52" s="15"/>
      <c r="Q52" s="15"/>
      <c r="R52" s="15"/>
      <c r="S52" s="15"/>
      <c r="T52" s="15"/>
      <c r="U52" s="15"/>
      <c r="V52" s="15"/>
      <c r="W52" s="15"/>
      <c r="X52" s="15"/>
      <c r="Y52" s="15"/>
    </row>
    <row r="53" spans="1:25" ht="15.75" customHeight="1" x14ac:dyDescent="0.25">
      <c r="A53" s="24"/>
      <c r="B53" s="174"/>
      <c r="C53" s="24"/>
      <c r="D53" s="24"/>
      <c r="E53" s="24"/>
      <c r="K53" s="40"/>
    </row>
    <row r="54" spans="1:25" ht="15.75" customHeight="1" x14ac:dyDescent="0.25">
      <c r="A54" s="24"/>
      <c r="B54" s="174"/>
      <c r="C54" s="24"/>
      <c r="D54" s="24"/>
      <c r="E54" s="24"/>
      <c r="K54" s="40"/>
    </row>
    <row r="55" spans="1:25" ht="15.75" customHeight="1" x14ac:dyDescent="0.25">
      <c r="A55" s="24"/>
      <c r="B55" s="174"/>
      <c r="C55" s="24"/>
      <c r="D55" s="24"/>
      <c r="E55" s="24"/>
      <c r="K55" s="40"/>
    </row>
    <row r="56" spans="1:25" ht="15.75" customHeight="1" x14ac:dyDescent="0.25">
      <c r="A56" s="24"/>
      <c r="B56" s="174"/>
      <c r="C56" s="24"/>
      <c r="D56" s="24"/>
      <c r="E56" s="24"/>
      <c r="K56" s="40"/>
    </row>
    <row r="57" spans="1:25" ht="15.75" customHeight="1" x14ac:dyDescent="0.25">
      <c r="A57" s="24"/>
      <c r="B57" s="174"/>
      <c r="C57" s="24"/>
      <c r="D57" s="24"/>
      <c r="E57" s="24"/>
      <c r="K57" s="40"/>
    </row>
    <row r="58" spans="1:25" ht="15.75" customHeight="1" x14ac:dyDescent="0.25">
      <c r="A58" s="24"/>
      <c r="B58" s="174"/>
      <c r="C58" s="24"/>
      <c r="D58" s="24"/>
      <c r="E58" s="24"/>
      <c r="K58" s="40"/>
    </row>
    <row r="59" spans="1:25" ht="15.75" customHeight="1" x14ac:dyDescent="0.25">
      <c r="A59" s="24"/>
      <c r="B59" s="174"/>
      <c r="C59" s="24"/>
      <c r="D59" s="24"/>
      <c r="E59" s="24"/>
      <c r="K59" s="40"/>
    </row>
    <row r="60" spans="1:25" ht="15.75" customHeight="1" x14ac:dyDescent="0.25">
      <c r="A60" s="24"/>
      <c r="B60" s="174"/>
      <c r="C60" s="24"/>
      <c r="D60" s="24"/>
      <c r="E60" s="24"/>
      <c r="K60" s="40"/>
    </row>
    <row r="61" spans="1:25" ht="15.75" customHeight="1" x14ac:dyDescent="0.25">
      <c r="A61" s="24"/>
      <c r="B61" s="174"/>
      <c r="C61" s="24"/>
      <c r="D61" s="24"/>
      <c r="E61" s="24"/>
      <c r="K61" s="40"/>
    </row>
    <row r="62" spans="1:25" ht="15.75" customHeight="1" x14ac:dyDescent="0.25">
      <c r="A62" s="24"/>
      <c r="B62" s="174"/>
      <c r="C62" s="24"/>
      <c r="D62" s="24"/>
      <c r="E62" s="24"/>
      <c r="K62" s="40"/>
    </row>
    <row r="63" spans="1:25" ht="15.75" customHeight="1" x14ac:dyDescent="0.25">
      <c r="A63" s="24"/>
      <c r="B63" s="174"/>
      <c r="C63" s="24"/>
      <c r="D63" s="24"/>
      <c r="E63" s="24"/>
      <c r="K63" s="40"/>
    </row>
    <row r="64" spans="1:25" ht="15.75" customHeight="1" x14ac:dyDescent="0.25">
      <c r="A64" s="24"/>
      <c r="B64" s="174"/>
      <c r="C64" s="24"/>
      <c r="D64" s="24"/>
      <c r="E64" s="24"/>
      <c r="K64" s="40"/>
    </row>
    <row r="65" spans="1:11" ht="15.75" customHeight="1" x14ac:dyDescent="0.25">
      <c r="A65" s="24"/>
      <c r="B65" s="174"/>
      <c r="C65" s="24"/>
      <c r="D65" s="24"/>
      <c r="E65" s="24"/>
      <c r="K65" s="40"/>
    </row>
    <row r="66" spans="1:11" ht="15.75" customHeight="1" x14ac:dyDescent="0.25">
      <c r="A66" s="24"/>
      <c r="B66" s="174"/>
      <c r="C66" s="24"/>
      <c r="D66" s="24"/>
      <c r="E66" s="24"/>
      <c r="K66" s="40"/>
    </row>
    <row r="67" spans="1:11" ht="15.75" customHeight="1" x14ac:dyDescent="0.25">
      <c r="A67" s="24"/>
      <c r="B67" s="174"/>
      <c r="C67" s="24"/>
      <c r="D67" s="24"/>
      <c r="E67" s="24"/>
      <c r="K67" s="40"/>
    </row>
    <row r="68" spans="1:11" ht="15.75" customHeight="1" x14ac:dyDescent="0.25">
      <c r="A68" s="24"/>
      <c r="B68" s="174"/>
      <c r="C68" s="24"/>
      <c r="D68" s="24"/>
      <c r="E68" s="24"/>
      <c r="K68" s="40"/>
    </row>
    <row r="69" spans="1:11" ht="15.75" customHeight="1" x14ac:dyDescent="0.25">
      <c r="A69" s="24"/>
      <c r="B69" s="174"/>
      <c r="C69" s="24"/>
      <c r="D69" s="24"/>
      <c r="E69" s="24"/>
      <c r="K69" s="40"/>
    </row>
    <row r="70" spans="1:11" ht="15.75" customHeight="1" x14ac:dyDescent="0.25">
      <c r="A70" s="24"/>
      <c r="B70" s="174"/>
      <c r="C70" s="24"/>
      <c r="D70" s="24"/>
      <c r="E70" s="24"/>
      <c r="K70" s="40"/>
    </row>
    <row r="71" spans="1:11" ht="15.75" customHeight="1" x14ac:dyDescent="0.25">
      <c r="A71" s="24"/>
      <c r="B71" s="174"/>
      <c r="C71" s="24"/>
      <c r="D71" s="24"/>
      <c r="E71" s="24"/>
      <c r="K71" s="40"/>
    </row>
    <row r="72" spans="1:11" ht="15.75" customHeight="1" x14ac:dyDescent="0.25">
      <c r="A72" s="24"/>
      <c r="B72" s="174"/>
      <c r="C72" s="24"/>
      <c r="D72" s="24"/>
      <c r="E72" s="24"/>
      <c r="K72" s="40"/>
    </row>
    <row r="73" spans="1:11" ht="15.75" customHeight="1" x14ac:dyDescent="0.25">
      <c r="A73" s="24"/>
      <c r="B73" s="174"/>
      <c r="C73" s="24"/>
      <c r="D73" s="24"/>
      <c r="E73" s="24"/>
      <c r="K73" s="40"/>
    </row>
    <row r="74" spans="1:11" ht="15.75" customHeight="1" x14ac:dyDescent="0.25">
      <c r="A74" s="24"/>
      <c r="B74" s="174"/>
      <c r="C74" s="24"/>
      <c r="D74" s="24"/>
      <c r="E74" s="24"/>
      <c r="K74" s="40"/>
    </row>
    <row r="75" spans="1:11" ht="15.75" customHeight="1" x14ac:dyDescent="0.25">
      <c r="A75" s="24"/>
      <c r="B75" s="174"/>
      <c r="C75" s="24"/>
      <c r="D75" s="24"/>
      <c r="E75" s="24"/>
      <c r="K75" s="40"/>
    </row>
    <row r="76" spans="1:11" ht="15.75" customHeight="1" x14ac:dyDescent="0.25">
      <c r="A76" s="24"/>
      <c r="B76" s="174"/>
      <c r="C76" s="24"/>
      <c r="D76" s="24"/>
      <c r="E76" s="24"/>
      <c r="K76" s="40"/>
    </row>
    <row r="77" spans="1:11" ht="15.75" customHeight="1" x14ac:dyDescent="0.25">
      <c r="A77" s="24"/>
      <c r="B77" s="174"/>
      <c r="C77" s="24"/>
      <c r="D77" s="24"/>
      <c r="E77" s="24"/>
      <c r="K77" s="40"/>
    </row>
    <row r="78" spans="1:11" ht="15.75" customHeight="1" x14ac:dyDescent="0.25">
      <c r="A78" s="24"/>
      <c r="B78" s="174"/>
      <c r="C78" s="24"/>
      <c r="D78" s="24"/>
      <c r="E78" s="24"/>
      <c r="K78" s="40"/>
    </row>
    <row r="79" spans="1:11" ht="15.75" customHeight="1" x14ac:dyDescent="0.25">
      <c r="A79" s="24"/>
      <c r="B79" s="174"/>
      <c r="C79" s="24"/>
      <c r="D79" s="24"/>
      <c r="E79" s="24"/>
      <c r="K79" s="40"/>
    </row>
    <row r="80" spans="1:11" ht="15.75" customHeight="1" x14ac:dyDescent="0.25">
      <c r="A80" s="24"/>
      <c r="B80" s="174"/>
      <c r="C80" s="24"/>
      <c r="D80" s="24"/>
      <c r="E80" s="24"/>
      <c r="K80" s="40"/>
    </row>
    <row r="81" spans="1:11" ht="15.75" customHeight="1" x14ac:dyDescent="0.25">
      <c r="A81" s="24"/>
      <c r="B81" s="174"/>
      <c r="C81" s="24"/>
      <c r="D81" s="24"/>
      <c r="E81" s="24"/>
      <c r="K81" s="40"/>
    </row>
    <row r="82" spans="1:11" ht="15.75" customHeight="1" x14ac:dyDescent="0.25">
      <c r="A82" s="24"/>
      <c r="B82" s="174"/>
      <c r="C82" s="24"/>
      <c r="D82" s="24"/>
      <c r="E82" s="24"/>
      <c r="K82" s="40"/>
    </row>
    <row r="83" spans="1:11" ht="15.75" customHeight="1" x14ac:dyDescent="0.25">
      <c r="A83" s="24"/>
      <c r="B83" s="174"/>
      <c r="C83" s="24"/>
      <c r="D83" s="24"/>
      <c r="E83" s="24"/>
      <c r="K83" s="40"/>
    </row>
    <row r="84" spans="1:11" ht="15.75" customHeight="1" x14ac:dyDescent="0.25">
      <c r="A84" s="24"/>
      <c r="B84" s="174"/>
      <c r="C84" s="24"/>
      <c r="D84" s="24"/>
      <c r="E84" s="24"/>
      <c r="K84" s="40"/>
    </row>
    <row r="85" spans="1:11" ht="15.75" customHeight="1" x14ac:dyDescent="0.25">
      <c r="A85" s="24"/>
      <c r="B85" s="174"/>
      <c r="C85" s="24"/>
      <c r="D85" s="24"/>
      <c r="E85" s="24"/>
      <c r="K85" s="40"/>
    </row>
    <row r="86" spans="1:11" ht="15.75" customHeight="1" x14ac:dyDescent="0.25">
      <c r="A86" s="24"/>
      <c r="B86" s="174"/>
      <c r="C86" s="24"/>
      <c r="D86" s="24"/>
      <c r="E86" s="24"/>
      <c r="K86" s="40"/>
    </row>
    <row r="87" spans="1:11" ht="15.75" customHeight="1" x14ac:dyDescent="0.25">
      <c r="A87" s="24"/>
      <c r="B87" s="174"/>
      <c r="C87" s="24"/>
      <c r="D87" s="24"/>
      <c r="E87" s="24"/>
      <c r="K87" s="40"/>
    </row>
    <row r="88" spans="1:11" ht="15.75" customHeight="1" x14ac:dyDescent="0.25">
      <c r="A88" s="24"/>
      <c r="B88" s="174"/>
      <c r="C88" s="24"/>
      <c r="D88" s="24"/>
      <c r="E88" s="24"/>
      <c r="K88" s="40"/>
    </row>
    <row r="89" spans="1:11" ht="15.75" customHeight="1" x14ac:dyDescent="0.25">
      <c r="A89" s="24"/>
      <c r="B89" s="174"/>
      <c r="C89" s="24"/>
      <c r="D89" s="24"/>
      <c r="E89" s="24"/>
      <c r="K89" s="40"/>
    </row>
    <row r="90" spans="1:11" ht="15.75" customHeight="1" x14ac:dyDescent="0.25">
      <c r="A90" s="24"/>
      <c r="B90" s="174"/>
      <c r="C90" s="24"/>
      <c r="D90" s="24"/>
      <c r="E90" s="24"/>
      <c r="K90" s="40"/>
    </row>
    <row r="91" spans="1:11" ht="15.75" customHeight="1" x14ac:dyDescent="0.25">
      <c r="A91" s="24"/>
      <c r="B91" s="174"/>
      <c r="C91" s="24"/>
      <c r="D91" s="24"/>
      <c r="E91" s="24"/>
      <c r="K91" s="40"/>
    </row>
    <row r="92" spans="1:11" ht="15.75" customHeight="1" x14ac:dyDescent="0.25">
      <c r="A92" s="24"/>
      <c r="B92" s="174"/>
      <c r="C92" s="24"/>
      <c r="D92" s="24"/>
      <c r="E92" s="24"/>
      <c r="K92" s="40"/>
    </row>
    <row r="93" spans="1:11" ht="15.75" customHeight="1" x14ac:dyDescent="0.25">
      <c r="A93" s="24"/>
      <c r="B93" s="174"/>
      <c r="C93" s="24"/>
      <c r="D93" s="24"/>
      <c r="E93" s="24"/>
      <c r="K93" s="40"/>
    </row>
    <row r="94" spans="1:11" ht="15.75" customHeight="1" x14ac:dyDescent="0.25">
      <c r="A94" s="24"/>
      <c r="B94" s="174"/>
      <c r="C94" s="24"/>
      <c r="D94" s="24"/>
      <c r="E94" s="24"/>
      <c r="K94" s="40"/>
    </row>
    <row r="95" spans="1:11" ht="15.75" customHeight="1" x14ac:dyDescent="0.25">
      <c r="A95" s="24"/>
      <c r="B95" s="174"/>
      <c r="C95" s="24"/>
      <c r="D95" s="24"/>
      <c r="E95" s="24"/>
      <c r="K95" s="40"/>
    </row>
    <row r="96" spans="1:11" ht="15.75" customHeight="1" x14ac:dyDescent="0.25">
      <c r="A96" s="24"/>
      <c r="B96" s="174"/>
      <c r="C96" s="24"/>
      <c r="D96" s="24"/>
      <c r="E96" s="24"/>
      <c r="K96" s="40"/>
    </row>
    <row r="97" spans="1:11" ht="15.75" customHeight="1" x14ac:dyDescent="0.25">
      <c r="A97" s="24"/>
      <c r="B97" s="174"/>
      <c r="C97" s="24"/>
      <c r="D97" s="24"/>
      <c r="E97" s="24"/>
      <c r="K97" s="40"/>
    </row>
    <row r="98" spans="1:11" ht="15.75" customHeight="1" x14ac:dyDescent="0.25">
      <c r="A98" s="24"/>
      <c r="B98" s="174"/>
      <c r="C98" s="24"/>
      <c r="D98" s="24"/>
      <c r="E98" s="24"/>
      <c r="K98" s="40"/>
    </row>
    <row r="99" spans="1:11" ht="15.75" customHeight="1" x14ac:dyDescent="0.25">
      <c r="A99" s="24"/>
      <c r="B99" s="174"/>
      <c r="C99" s="24"/>
      <c r="D99" s="24"/>
      <c r="E99" s="24"/>
      <c r="K99" s="40"/>
    </row>
    <row r="100" spans="1:11" ht="15.75" customHeight="1" x14ac:dyDescent="0.25">
      <c r="A100" s="24"/>
      <c r="B100" s="174"/>
      <c r="C100" s="24"/>
      <c r="D100" s="24"/>
      <c r="E100" s="24"/>
      <c r="K100" s="40"/>
    </row>
    <row r="101" spans="1:11" ht="15.75" customHeight="1" x14ac:dyDescent="0.25">
      <c r="A101" s="24"/>
      <c r="B101" s="174"/>
      <c r="C101" s="24"/>
      <c r="D101" s="24"/>
      <c r="E101" s="24"/>
      <c r="K101" s="40"/>
    </row>
    <row r="102" spans="1:11" ht="15.75" customHeight="1" x14ac:dyDescent="0.25">
      <c r="A102" s="24"/>
      <c r="B102" s="174"/>
      <c r="C102" s="24"/>
      <c r="D102" s="24"/>
      <c r="E102" s="24"/>
      <c r="K102" s="40"/>
    </row>
    <row r="103" spans="1:11" ht="15.75" customHeight="1" x14ac:dyDescent="0.25">
      <c r="A103" s="24"/>
      <c r="B103" s="174"/>
      <c r="C103" s="24"/>
      <c r="D103" s="24"/>
      <c r="E103" s="24"/>
      <c r="K103" s="40"/>
    </row>
    <row r="104" spans="1:11" ht="15.75" customHeight="1" x14ac:dyDescent="0.25">
      <c r="A104" s="24"/>
      <c r="B104" s="174"/>
      <c r="C104" s="24"/>
      <c r="D104" s="24"/>
      <c r="E104" s="24"/>
      <c r="K104" s="40"/>
    </row>
    <row r="105" spans="1:11" ht="15.75" customHeight="1" x14ac:dyDescent="0.25">
      <c r="A105" s="24"/>
      <c r="B105" s="174"/>
      <c r="C105" s="24"/>
      <c r="D105" s="24"/>
      <c r="E105" s="24"/>
      <c r="K105" s="40"/>
    </row>
    <row r="106" spans="1:11" ht="15.75" customHeight="1" x14ac:dyDescent="0.25">
      <c r="A106" s="24"/>
      <c r="B106" s="174"/>
      <c r="C106" s="24"/>
      <c r="D106" s="24"/>
      <c r="E106" s="24"/>
      <c r="K106" s="40"/>
    </row>
    <row r="107" spans="1:11" ht="15.75" customHeight="1" x14ac:dyDescent="0.25">
      <c r="A107" s="24"/>
      <c r="B107" s="174"/>
      <c r="C107" s="24"/>
      <c r="D107" s="24"/>
      <c r="E107" s="24"/>
      <c r="K107" s="40"/>
    </row>
    <row r="108" spans="1:11" ht="15.75" customHeight="1" x14ac:dyDescent="0.25">
      <c r="A108" s="24"/>
      <c r="B108" s="174"/>
      <c r="C108" s="24"/>
      <c r="D108" s="24"/>
      <c r="E108" s="24"/>
      <c r="K108" s="40"/>
    </row>
    <row r="109" spans="1:11" ht="15.75" customHeight="1" x14ac:dyDescent="0.25">
      <c r="A109" s="24"/>
      <c r="B109" s="174"/>
      <c r="C109" s="24"/>
      <c r="D109" s="24"/>
      <c r="E109" s="24"/>
      <c r="K109" s="40"/>
    </row>
    <row r="110" spans="1:11" ht="15.75" customHeight="1" x14ac:dyDescent="0.25">
      <c r="A110" s="24"/>
      <c r="B110" s="174"/>
      <c r="C110" s="24"/>
      <c r="D110" s="24"/>
      <c r="E110" s="24"/>
      <c r="K110" s="40"/>
    </row>
    <row r="111" spans="1:11" ht="15.75" customHeight="1" x14ac:dyDescent="0.25">
      <c r="A111" s="24"/>
      <c r="B111" s="174"/>
      <c r="C111" s="24"/>
      <c r="D111" s="24"/>
      <c r="E111" s="24"/>
      <c r="K111" s="40"/>
    </row>
    <row r="112" spans="1:11" ht="15.75" customHeight="1" x14ac:dyDescent="0.25">
      <c r="A112" s="24"/>
      <c r="B112" s="174"/>
      <c r="C112" s="24"/>
      <c r="D112" s="24"/>
      <c r="E112" s="24"/>
      <c r="K112" s="40"/>
    </row>
    <row r="113" spans="1:11" ht="15.75" customHeight="1" x14ac:dyDescent="0.25">
      <c r="A113" s="24"/>
      <c r="B113" s="174"/>
      <c r="C113" s="24"/>
      <c r="D113" s="24"/>
      <c r="E113" s="24"/>
      <c r="K113" s="40"/>
    </row>
    <row r="114" spans="1:11" ht="15.75" customHeight="1" x14ac:dyDescent="0.25">
      <c r="A114" s="24"/>
      <c r="B114" s="174"/>
      <c r="C114" s="24"/>
      <c r="D114" s="24"/>
      <c r="E114" s="24"/>
      <c r="K114" s="40"/>
    </row>
    <row r="115" spans="1:11" ht="15.75" customHeight="1" x14ac:dyDescent="0.25">
      <c r="A115" s="24"/>
      <c r="B115" s="174"/>
      <c r="C115" s="24"/>
      <c r="D115" s="24"/>
      <c r="E115" s="24"/>
      <c r="K115" s="40"/>
    </row>
    <row r="116" spans="1:11" ht="15.75" customHeight="1" x14ac:dyDescent="0.25">
      <c r="A116" s="24"/>
      <c r="B116" s="174"/>
      <c r="C116" s="24"/>
      <c r="D116" s="24"/>
      <c r="E116" s="24"/>
      <c r="K116" s="40"/>
    </row>
    <row r="117" spans="1:11" ht="15.75" customHeight="1" x14ac:dyDescent="0.25">
      <c r="A117" s="24"/>
      <c r="B117" s="174"/>
      <c r="C117" s="24"/>
      <c r="D117" s="24"/>
      <c r="E117" s="24"/>
      <c r="K117" s="40"/>
    </row>
    <row r="118" spans="1:11" ht="15.75" customHeight="1" x14ac:dyDescent="0.25">
      <c r="A118" s="24"/>
      <c r="B118" s="174"/>
      <c r="C118" s="24"/>
      <c r="D118" s="24"/>
      <c r="E118" s="24"/>
      <c r="K118" s="40"/>
    </row>
    <row r="119" spans="1:11" ht="15.75" customHeight="1" x14ac:dyDescent="0.25">
      <c r="A119" s="24"/>
      <c r="B119" s="174"/>
      <c r="C119" s="24"/>
      <c r="D119" s="24"/>
      <c r="E119" s="24"/>
      <c r="K119" s="40"/>
    </row>
    <row r="120" spans="1:11" ht="15.75" customHeight="1" x14ac:dyDescent="0.25">
      <c r="A120" s="24"/>
      <c r="B120" s="174"/>
      <c r="C120" s="24"/>
      <c r="D120" s="24"/>
      <c r="E120" s="24"/>
      <c r="K120" s="40"/>
    </row>
    <row r="121" spans="1:11" ht="15.75" customHeight="1" x14ac:dyDescent="0.25">
      <c r="A121" s="24"/>
      <c r="B121" s="174"/>
      <c r="C121" s="24"/>
      <c r="D121" s="24"/>
      <c r="E121" s="24"/>
      <c r="K121" s="40"/>
    </row>
    <row r="122" spans="1:11" ht="15.75" customHeight="1" x14ac:dyDescent="0.25">
      <c r="A122" s="24"/>
      <c r="B122" s="174"/>
      <c r="C122" s="24"/>
      <c r="D122" s="24"/>
      <c r="E122" s="24"/>
      <c r="K122" s="40"/>
    </row>
    <row r="123" spans="1:11" ht="15.75" customHeight="1" x14ac:dyDescent="0.25">
      <c r="A123" s="24"/>
      <c r="B123" s="174"/>
      <c r="C123" s="24"/>
      <c r="D123" s="24"/>
      <c r="E123" s="24"/>
      <c r="K123" s="40"/>
    </row>
    <row r="124" spans="1:11" ht="15.75" customHeight="1" x14ac:dyDescent="0.25">
      <c r="A124" s="24"/>
      <c r="B124" s="174"/>
      <c r="C124" s="24"/>
      <c r="D124" s="24"/>
      <c r="E124" s="24"/>
      <c r="K124" s="40"/>
    </row>
    <row r="125" spans="1:11" ht="15.75" customHeight="1" x14ac:dyDescent="0.25">
      <c r="A125" s="24"/>
      <c r="B125" s="174"/>
      <c r="C125" s="24"/>
      <c r="D125" s="24"/>
      <c r="E125" s="24"/>
      <c r="K125" s="40"/>
    </row>
    <row r="126" spans="1:11" ht="15.75" customHeight="1" x14ac:dyDescent="0.25">
      <c r="A126" s="24"/>
      <c r="B126" s="174"/>
      <c r="C126" s="24"/>
      <c r="D126" s="24"/>
      <c r="E126" s="24"/>
      <c r="K126" s="40"/>
    </row>
    <row r="127" spans="1:11" ht="15.75" customHeight="1" x14ac:dyDescent="0.25">
      <c r="A127" s="24"/>
      <c r="B127" s="174"/>
      <c r="C127" s="24"/>
      <c r="D127" s="24"/>
      <c r="E127" s="24"/>
      <c r="K127" s="40"/>
    </row>
    <row r="128" spans="1:11" ht="15.75" customHeight="1" x14ac:dyDescent="0.25">
      <c r="A128" s="24"/>
      <c r="B128" s="174"/>
      <c r="C128" s="24"/>
      <c r="D128" s="24"/>
      <c r="E128" s="24"/>
      <c r="K128" s="40"/>
    </row>
    <row r="129" spans="1:11" ht="15.75" customHeight="1" x14ac:dyDescent="0.25">
      <c r="A129" s="24"/>
      <c r="B129" s="174"/>
      <c r="C129" s="24"/>
      <c r="D129" s="24"/>
      <c r="E129" s="24"/>
      <c r="K129" s="40"/>
    </row>
    <row r="130" spans="1:11" ht="15.75" customHeight="1" x14ac:dyDescent="0.25">
      <c r="A130" s="24"/>
      <c r="B130" s="174"/>
      <c r="C130" s="24"/>
      <c r="D130" s="24"/>
      <c r="E130" s="24"/>
      <c r="K130" s="40"/>
    </row>
    <row r="131" spans="1:11" ht="15.75" customHeight="1" x14ac:dyDescent="0.25">
      <c r="A131" s="24"/>
      <c r="B131" s="174"/>
      <c r="C131" s="24"/>
      <c r="D131" s="24"/>
      <c r="E131" s="24"/>
      <c r="K131" s="40"/>
    </row>
    <row r="132" spans="1:11" ht="15.75" customHeight="1" x14ac:dyDescent="0.25">
      <c r="A132" s="24"/>
      <c r="B132" s="174"/>
      <c r="C132" s="24"/>
      <c r="D132" s="24"/>
      <c r="E132" s="24"/>
      <c r="K132" s="40"/>
    </row>
    <row r="133" spans="1:11" ht="15.75" customHeight="1" x14ac:dyDescent="0.25">
      <c r="A133" s="24"/>
      <c r="B133" s="174"/>
      <c r="C133" s="24"/>
      <c r="D133" s="24"/>
      <c r="E133" s="24"/>
      <c r="K133" s="40"/>
    </row>
    <row r="134" spans="1:11" ht="15.75" customHeight="1" x14ac:dyDescent="0.25">
      <c r="A134" s="24"/>
      <c r="B134" s="174"/>
      <c r="C134" s="24"/>
      <c r="D134" s="24"/>
      <c r="E134" s="24"/>
      <c r="K134" s="40"/>
    </row>
    <row r="135" spans="1:11" ht="15.75" customHeight="1" x14ac:dyDescent="0.25">
      <c r="A135" s="24"/>
      <c r="B135" s="174"/>
      <c r="C135" s="24"/>
      <c r="D135" s="24"/>
      <c r="E135" s="24"/>
      <c r="K135" s="40"/>
    </row>
    <row r="136" spans="1:11" ht="15.75" customHeight="1" x14ac:dyDescent="0.25">
      <c r="A136" s="24"/>
      <c r="B136" s="174"/>
      <c r="C136" s="24"/>
      <c r="D136" s="24"/>
      <c r="E136" s="24"/>
      <c r="K136" s="40"/>
    </row>
    <row r="137" spans="1:11" ht="15.75" customHeight="1" x14ac:dyDescent="0.25">
      <c r="A137" s="24"/>
      <c r="B137" s="174"/>
      <c r="C137" s="24"/>
      <c r="D137" s="24"/>
      <c r="E137" s="24"/>
      <c r="K137" s="40"/>
    </row>
    <row r="138" spans="1:11" ht="15.75" customHeight="1" x14ac:dyDescent="0.25">
      <c r="A138" s="24"/>
      <c r="B138" s="174"/>
      <c r="C138" s="24"/>
      <c r="D138" s="24"/>
      <c r="E138" s="24"/>
      <c r="K138" s="40"/>
    </row>
    <row r="139" spans="1:11" ht="15.75" customHeight="1" x14ac:dyDescent="0.25">
      <c r="A139" s="24"/>
      <c r="B139" s="174"/>
      <c r="C139" s="24"/>
      <c r="D139" s="24"/>
      <c r="E139" s="24"/>
      <c r="K139" s="40"/>
    </row>
    <row r="140" spans="1:11" ht="15.75" customHeight="1" x14ac:dyDescent="0.25">
      <c r="A140" s="24"/>
      <c r="B140" s="174"/>
      <c r="C140" s="24"/>
      <c r="D140" s="24"/>
      <c r="E140" s="24"/>
      <c r="K140" s="40"/>
    </row>
    <row r="141" spans="1:11" ht="15.75" customHeight="1" x14ac:dyDescent="0.25">
      <c r="A141" s="24"/>
      <c r="B141" s="174"/>
      <c r="C141" s="24"/>
      <c r="D141" s="24"/>
      <c r="E141" s="24"/>
      <c r="K141" s="40"/>
    </row>
    <row r="142" spans="1:11" ht="15.75" customHeight="1" x14ac:dyDescent="0.25">
      <c r="A142" s="24"/>
      <c r="B142" s="174"/>
      <c r="C142" s="24"/>
      <c r="D142" s="24"/>
      <c r="E142" s="24"/>
      <c r="K142" s="40"/>
    </row>
    <row r="143" spans="1:11" ht="15.75" customHeight="1" x14ac:dyDescent="0.25">
      <c r="A143" s="24"/>
      <c r="B143" s="174"/>
      <c r="C143" s="24"/>
      <c r="D143" s="24"/>
      <c r="E143" s="24"/>
      <c r="K143" s="40"/>
    </row>
    <row r="144" spans="1:11" ht="15.75" customHeight="1" x14ac:dyDescent="0.25">
      <c r="A144" s="24"/>
      <c r="B144" s="174"/>
      <c r="C144" s="24"/>
      <c r="D144" s="24"/>
      <c r="E144" s="24"/>
      <c r="K144" s="40"/>
    </row>
    <row r="145" spans="1:11" ht="15.75" customHeight="1" x14ac:dyDescent="0.25">
      <c r="A145" s="24"/>
      <c r="B145" s="174"/>
      <c r="C145" s="24"/>
      <c r="D145" s="24"/>
      <c r="E145" s="24"/>
      <c r="K145" s="40"/>
    </row>
    <row r="146" spans="1:11" ht="15.75" customHeight="1" x14ac:dyDescent="0.25">
      <c r="A146" s="24"/>
      <c r="B146" s="174"/>
      <c r="C146" s="24"/>
      <c r="D146" s="24"/>
      <c r="E146" s="24"/>
      <c r="K146" s="40"/>
    </row>
    <row r="147" spans="1:11" ht="15.75" customHeight="1" x14ac:dyDescent="0.25">
      <c r="A147" s="24"/>
      <c r="B147" s="174"/>
      <c r="C147" s="24"/>
      <c r="D147" s="24"/>
      <c r="E147" s="24"/>
      <c r="K147" s="40"/>
    </row>
    <row r="148" spans="1:11" ht="15.75" customHeight="1" x14ac:dyDescent="0.25">
      <c r="A148" s="24"/>
      <c r="B148" s="174"/>
      <c r="C148" s="24"/>
      <c r="D148" s="24"/>
      <c r="E148" s="24"/>
      <c r="K148" s="40"/>
    </row>
    <row r="149" spans="1:11" ht="15.75" customHeight="1" x14ac:dyDescent="0.25">
      <c r="A149" s="24"/>
      <c r="B149" s="174"/>
      <c r="C149" s="24"/>
      <c r="D149" s="24"/>
      <c r="E149" s="24"/>
      <c r="K149" s="40"/>
    </row>
    <row r="150" spans="1:11" ht="15.75" customHeight="1" x14ac:dyDescent="0.25">
      <c r="A150" s="24"/>
      <c r="B150" s="174"/>
      <c r="C150" s="24"/>
      <c r="D150" s="24"/>
      <c r="E150" s="24"/>
      <c r="K150" s="40"/>
    </row>
    <row r="151" spans="1:11" ht="15.75" customHeight="1" x14ac:dyDescent="0.25">
      <c r="A151" s="24"/>
      <c r="B151" s="174"/>
      <c r="C151" s="24"/>
      <c r="D151" s="24"/>
      <c r="E151" s="24"/>
      <c r="K151" s="40"/>
    </row>
    <row r="152" spans="1:11" ht="15.75" customHeight="1" x14ac:dyDescent="0.25">
      <c r="A152" s="24"/>
      <c r="B152" s="174"/>
      <c r="C152" s="24"/>
      <c r="D152" s="24"/>
      <c r="E152" s="24"/>
      <c r="K152" s="40"/>
    </row>
    <row r="153" spans="1:11" ht="15.75" customHeight="1" x14ac:dyDescent="0.25">
      <c r="A153" s="24"/>
      <c r="B153" s="174"/>
      <c r="C153" s="24"/>
      <c r="D153" s="24"/>
      <c r="E153" s="24"/>
      <c r="K153" s="40"/>
    </row>
    <row r="154" spans="1:11" ht="15.75" customHeight="1" x14ac:dyDescent="0.25">
      <c r="A154" s="24"/>
      <c r="B154" s="174"/>
      <c r="C154" s="24"/>
      <c r="D154" s="24"/>
      <c r="E154" s="24"/>
      <c r="K154" s="40"/>
    </row>
    <row r="155" spans="1:11" ht="15.75" customHeight="1" x14ac:dyDescent="0.25">
      <c r="A155" s="24"/>
      <c r="B155" s="174"/>
      <c r="C155" s="24"/>
      <c r="D155" s="24"/>
      <c r="E155" s="24"/>
      <c r="K155" s="40"/>
    </row>
    <row r="156" spans="1:11" ht="15.75" customHeight="1" x14ac:dyDescent="0.25">
      <c r="A156" s="24"/>
      <c r="B156" s="174"/>
      <c r="C156" s="24"/>
      <c r="D156" s="24"/>
      <c r="E156" s="24"/>
      <c r="K156" s="40"/>
    </row>
    <row r="157" spans="1:11" ht="15.75" customHeight="1" x14ac:dyDescent="0.25">
      <c r="A157" s="24"/>
      <c r="B157" s="174"/>
      <c r="C157" s="24"/>
      <c r="D157" s="24"/>
      <c r="E157" s="24"/>
      <c r="K157" s="40"/>
    </row>
    <row r="158" spans="1:11" ht="15.75" customHeight="1" x14ac:dyDescent="0.25">
      <c r="A158" s="24"/>
      <c r="B158" s="174"/>
      <c r="C158" s="24"/>
      <c r="D158" s="24"/>
      <c r="E158" s="24"/>
      <c r="K158" s="40"/>
    </row>
    <row r="159" spans="1:11" ht="15.75" customHeight="1" x14ac:dyDescent="0.25">
      <c r="A159" s="24"/>
      <c r="B159" s="174"/>
      <c r="C159" s="24"/>
      <c r="D159" s="24"/>
      <c r="E159" s="24"/>
      <c r="K159" s="40"/>
    </row>
    <row r="160" spans="1:11" ht="15.75" customHeight="1" x14ac:dyDescent="0.25">
      <c r="A160" s="24"/>
      <c r="B160" s="174"/>
      <c r="C160" s="24"/>
      <c r="D160" s="24"/>
      <c r="E160" s="24"/>
      <c r="K160" s="40"/>
    </row>
    <row r="161" spans="1:11" ht="15.75" customHeight="1" x14ac:dyDescent="0.25">
      <c r="A161" s="24"/>
      <c r="B161" s="174"/>
      <c r="C161" s="24"/>
      <c r="D161" s="24"/>
      <c r="E161" s="24"/>
      <c r="K161" s="40"/>
    </row>
    <row r="162" spans="1:11" ht="15.75" customHeight="1" x14ac:dyDescent="0.25">
      <c r="A162" s="24"/>
      <c r="B162" s="174"/>
      <c r="C162" s="24"/>
      <c r="D162" s="24"/>
      <c r="E162" s="24"/>
      <c r="K162" s="40"/>
    </row>
    <row r="163" spans="1:11" ht="15.75" customHeight="1" x14ac:dyDescent="0.25">
      <c r="A163" s="24"/>
      <c r="B163" s="174"/>
      <c r="C163" s="24"/>
      <c r="D163" s="24"/>
      <c r="E163" s="24"/>
      <c r="K163" s="40"/>
    </row>
    <row r="164" spans="1:11" ht="15.75" customHeight="1" x14ac:dyDescent="0.25">
      <c r="A164" s="24"/>
      <c r="B164" s="174"/>
      <c r="C164" s="24"/>
      <c r="D164" s="24"/>
      <c r="E164" s="24"/>
      <c r="K164" s="40"/>
    </row>
    <row r="165" spans="1:11" ht="15.75" customHeight="1" x14ac:dyDescent="0.25">
      <c r="A165" s="24"/>
      <c r="B165" s="174"/>
      <c r="C165" s="24"/>
      <c r="D165" s="24"/>
      <c r="E165" s="24"/>
      <c r="K165" s="40"/>
    </row>
    <row r="166" spans="1:11" ht="15.75" customHeight="1" x14ac:dyDescent="0.25">
      <c r="A166" s="24"/>
      <c r="B166" s="174"/>
      <c r="C166" s="24"/>
      <c r="D166" s="24"/>
      <c r="E166" s="24"/>
      <c r="K166" s="40"/>
    </row>
    <row r="167" spans="1:11" ht="15.75" customHeight="1" x14ac:dyDescent="0.25">
      <c r="A167" s="24"/>
      <c r="B167" s="174"/>
      <c r="C167" s="24"/>
      <c r="D167" s="24"/>
      <c r="E167" s="24"/>
      <c r="K167" s="40"/>
    </row>
    <row r="168" spans="1:11" ht="15.75" customHeight="1" x14ac:dyDescent="0.25">
      <c r="A168" s="24"/>
      <c r="B168" s="174"/>
      <c r="C168" s="24"/>
      <c r="D168" s="24"/>
      <c r="E168" s="24"/>
      <c r="K168" s="40"/>
    </row>
    <row r="169" spans="1:11" ht="15.75" customHeight="1" x14ac:dyDescent="0.25">
      <c r="A169" s="24"/>
      <c r="B169" s="174"/>
      <c r="C169" s="24"/>
      <c r="D169" s="24"/>
      <c r="E169" s="24"/>
      <c r="K169" s="40"/>
    </row>
    <row r="170" spans="1:11" ht="15.75" customHeight="1" x14ac:dyDescent="0.25">
      <c r="A170" s="24"/>
      <c r="B170" s="174"/>
      <c r="C170" s="24"/>
      <c r="D170" s="24"/>
      <c r="E170" s="24"/>
      <c r="K170" s="40"/>
    </row>
    <row r="171" spans="1:11" ht="15.75" customHeight="1" x14ac:dyDescent="0.25">
      <c r="A171" s="24"/>
      <c r="B171" s="174"/>
      <c r="C171" s="24"/>
      <c r="D171" s="24"/>
      <c r="E171" s="24"/>
      <c r="K171" s="40"/>
    </row>
    <row r="172" spans="1:11" ht="15.75" customHeight="1" x14ac:dyDescent="0.25">
      <c r="A172" s="24"/>
      <c r="B172" s="174"/>
      <c r="C172" s="24"/>
      <c r="D172" s="24"/>
      <c r="E172" s="24"/>
      <c r="K172" s="40"/>
    </row>
    <row r="173" spans="1:11" ht="15.75" customHeight="1" x14ac:dyDescent="0.25">
      <c r="A173" s="24"/>
      <c r="B173" s="174"/>
      <c r="C173" s="24"/>
      <c r="D173" s="24"/>
      <c r="E173" s="24"/>
      <c r="K173" s="40"/>
    </row>
    <row r="174" spans="1:11" ht="15.75" customHeight="1" x14ac:dyDescent="0.25">
      <c r="A174" s="24"/>
      <c r="B174" s="174"/>
      <c r="C174" s="24"/>
      <c r="D174" s="24"/>
      <c r="E174" s="24"/>
      <c r="K174" s="40"/>
    </row>
    <row r="175" spans="1:11" ht="15.75" customHeight="1" x14ac:dyDescent="0.25">
      <c r="A175" s="24"/>
      <c r="B175" s="174"/>
      <c r="C175" s="24"/>
      <c r="D175" s="24"/>
      <c r="E175" s="24"/>
      <c r="K175" s="40"/>
    </row>
    <row r="176" spans="1:11" ht="15.75" customHeight="1" x14ac:dyDescent="0.25">
      <c r="A176" s="24"/>
      <c r="B176" s="174"/>
      <c r="C176" s="24"/>
      <c r="D176" s="24"/>
      <c r="E176" s="24"/>
      <c r="K176" s="40"/>
    </row>
    <row r="177" spans="1:11" ht="15.75" customHeight="1" x14ac:dyDescent="0.25">
      <c r="A177" s="24"/>
      <c r="B177" s="174"/>
      <c r="C177" s="24"/>
      <c r="D177" s="24"/>
      <c r="E177" s="24"/>
      <c r="K177" s="40"/>
    </row>
    <row r="178" spans="1:11" ht="15.75" customHeight="1" x14ac:dyDescent="0.25">
      <c r="A178" s="24"/>
      <c r="B178" s="174"/>
      <c r="C178" s="24"/>
      <c r="D178" s="24"/>
      <c r="E178" s="24"/>
      <c r="K178" s="40"/>
    </row>
    <row r="179" spans="1:11" ht="15.75" customHeight="1" x14ac:dyDescent="0.25">
      <c r="A179" s="24"/>
      <c r="B179" s="174"/>
      <c r="C179" s="24"/>
      <c r="D179" s="24"/>
      <c r="E179" s="24"/>
      <c r="K179" s="40"/>
    </row>
    <row r="180" spans="1:11" ht="15.75" customHeight="1" x14ac:dyDescent="0.25">
      <c r="A180" s="24"/>
      <c r="B180" s="174"/>
      <c r="C180" s="24"/>
      <c r="D180" s="24"/>
      <c r="E180" s="24"/>
      <c r="K180" s="40"/>
    </row>
    <row r="181" spans="1:11" ht="15.75" customHeight="1" x14ac:dyDescent="0.25">
      <c r="A181" s="24"/>
      <c r="B181" s="174"/>
      <c r="C181" s="24"/>
      <c r="D181" s="24"/>
      <c r="E181" s="24"/>
      <c r="K181" s="40"/>
    </row>
    <row r="182" spans="1:11" ht="15.75" customHeight="1" x14ac:dyDescent="0.25">
      <c r="A182" s="24"/>
      <c r="B182" s="174"/>
      <c r="C182" s="24"/>
      <c r="D182" s="24"/>
      <c r="E182" s="24"/>
      <c r="K182" s="40"/>
    </row>
    <row r="183" spans="1:11" ht="15.75" customHeight="1" x14ac:dyDescent="0.25">
      <c r="A183" s="24"/>
      <c r="B183" s="174"/>
      <c r="C183" s="24"/>
      <c r="D183" s="24"/>
      <c r="E183" s="24"/>
      <c r="K183" s="40"/>
    </row>
    <row r="184" spans="1:11" ht="15.75" customHeight="1" x14ac:dyDescent="0.25">
      <c r="A184" s="24"/>
      <c r="B184" s="174"/>
      <c r="C184" s="24"/>
      <c r="D184" s="24"/>
      <c r="E184" s="24"/>
      <c r="K184" s="40"/>
    </row>
    <row r="185" spans="1:11" ht="15.75" customHeight="1" x14ac:dyDescent="0.25">
      <c r="A185" s="24"/>
      <c r="B185" s="174"/>
      <c r="C185" s="24"/>
      <c r="D185" s="24"/>
      <c r="E185" s="24"/>
      <c r="K185" s="40"/>
    </row>
    <row r="186" spans="1:11" ht="15.75" customHeight="1" x14ac:dyDescent="0.25">
      <c r="A186" s="24"/>
      <c r="B186" s="174"/>
      <c r="C186" s="24"/>
      <c r="D186" s="24"/>
      <c r="E186" s="24"/>
      <c r="K186" s="40"/>
    </row>
    <row r="187" spans="1:11" ht="15.75" customHeight="1" x14ac:dyDescent="0.25">
      <c r="A187" s="24"/>
      <c r="B187" s="174"/>
      <c r="C187" s="24"/>
      <c r="D187" s="24"/>
      <c r="E187" s="24"/>
      <c r="K187" s="40"/>
    </row>
    <row r="188" spans="1:11" ht="15.75" customHeight="1" x14ac:dyDescent="0.25">
      <c r="A188" s="24"/>
      <c r="B188" s="174"/>
      <c r="C188" s="24"/>
      <c r="D188" s="24"/>
      <c r="E188" s="24"/>
      <c r="K188" s="40"/>
    </row>
    <row r="189" spans="1:11" ht="15.75" customHeight="1" x14ac:dyDescent="0.25">
      <c r="A189" s="24"/>
      <c r="B189" s="174"/>
      <c r="C189" s="24"/>
      <c r="D189" s="24"/>
      <c r="E189" s="24"/>
      <c r="K189" s="40"/>
    </row>
    <row r="190" spans="1:11" ht="15.75" customHeight="1" x14ac:dyDescent="0.25">
      <c r="A190" s="24"/>
      <c r="B190" s="174"/>
      <c r="C190" s="24"/>
      <c r="D190" s="24"/>
      <c r="E190" s="24"/>
      <c r="K190" s="40"/>
    </row>
    <row r="191" spans="1:11" ht="15.75" customHeight="1" x14ac:dyDescent="0.25">
      <c r="A191" s="24"/>
      <c r="B191" s="174"/>
      <c r="C191" s="24"/>
      <c r="D191" s="24"/>
      <c r="E191" s="24"/>
      <c r="K191" s="40"/>
    </row>
    <row r="192" spans="1:11" ht="15.75" customHeight="1" x14ac:dyDescent="0.25">
      <c r="A192" s="24"/>
      <c r="B192" s="174"/>
      <c r="C192" s="24"/>
      <c r="D192" s="24"/>
      <c r="E192" s="24"/>
      <c r="K192" s="40"/>
    </row>
    <row r="193" spans="1:11" ht="15.75" customHeight="1" x14ac:dyDescent="0.25">
      <c r="A193" s="24"/>
      <c r="B193" s="174"/>
      <c r="C193" s="24"/>
      <c r="D193" s="24"/>
      <c r="E193" s="24"/>
      <c r="K193" s="40"/>
    </row>
    <row r="194" spans="1:11" ht="15.75" customHeight="1" x14ac:dyDescent="0.25">
      <c r="A194" s="24"/>
      <c r="B194" s="174"/>
      <c r="C194" s="24"/>
      <c r="D194" s="24"/>
      <c r="E194" s="24"/>
      <c r="K194" s="40"/>
    </row>
    <row r="195" spans="1:11" ht="15.75" customHeight="1" x14ac:dyDescent="0.25">
      <c r="A195" s="24"/>
      <c r="B195" s="174"/>
      <c r="C195" s="24"/>
      <c r="D195" s="24"/>
      <c r="E195" s="24"/>
      <c r="K195" s="40"/>
    </row>
    <row r="196" spans="1:11" ht="15.75" customHeight="1" x14ac:dyDescent="0.25">
      <c r="A196" s="24"/>
      <c r="B196" s="174"/>
      <c r="C196" s="24"/>
      <c r="D196" s="24"/>
      <c r="E196" s="24"/>
      <c r="K196" s="40"/>
    </row>
    <row r="197" spans="1:11" ht="15.75" customHeight="1" x14ac:dyDescent="0.25">
      <c r="A197" s="24"/>
      <c r="B197" s="174"/>
      <c r="C197" s="24"/>
      <c r="D197" s="24"/>
      <c r="E197" s="24"/>
      <c r="K197" s="40"/>
    </row>
    <row r="198" spans="1:11" ht="15.75" customHeight="1" x14ac:dyDescent="0.25">
      <c r="A198" s="24"/>
      <c r="B198" s="174"/>
      <c r="C198" s="24"/>
      <c r="D198" s="24"/>
      <c r="E198" s="24"/>
      <c r="K198" s="40"/>
    </row>
    <row r="199" spans="1:11" ht="15.75" customHeight="1" x14ac:dyDescent="0.25">
      <c r="A199" s="24"/>
      <c r="B199" s="174"/>
      <c r="C199" s="24"/>
      <c r="D199" s="24"/>
      <c r="E199" s="24"/>
      <c r="K199" s="40"/>
    </row>
    <row r="200" spans="1:11" ht="15.75" customHeight="1" x14ac:dyDescent="0.25">
      <c r="A200" s="24"/>
      <c r="B200" s="174"/>
      <c r="C200" s="24"/>
      <c r="D200" s="24"/>
      <c r="E200" s="24"/>
      <c r="K200" s="40"/>
    </row>
    <row r="201" spans="1:11" ht="15.75" customHeight="1" x14ac:dyDescent="0.25">
      <c r="A201" s="24"/>
      <c r="B201" s="174"/>
      <c r="C201" s="24"/>
      <c r="D201" s="24"/>
      <c r="E201" s="24"/>
      <c r="K201" s="40"/>
    </row>
    <row r="202" spans="1:11" ht="15.75" customHeight="1" x14ac:dyDescent="0.25">
      <c r="A202" s="24"/>
      <c r="B202" s="174"/>
      <c r="C202" s="24"/>
      <c r="D202" s="24"/>
      <c r="E202" s="24"/>
      <c r="K202" s="40"/>
    </row>
    <row r="203" spans="1:11" ht="15.75" customHeight="1" x14ac:dyDescent="0.25">
      <c r="A203" s="24"/>
      <c r="B203" s="174"/>
      <c r="C203" s="24"/>
      <c r="D203" s="24"/>
      <c r="E203" s="24"/>
      <c r="K203" s="40"/>
    </row>
    <row r="204" spans="1:11" ht="15.75" customHeight="1" x14ac:dyDescent="0.25">
      <c r="A204" s="24"/>
      <c r="B204" s="174"/>
      <c r="C204" s="24"/>
      <c r="D204" s="24"/>
      <c r="E204" s="24"/>
      <c r="K204" s="40"/>
    </row>
    <row r="205" spans="1:11" ht="15.75" customHeight="1" x14ac:dyDescent="0.25">
      <c r="A205" s="24"/>
      <c r="B205" s="174"/>
      <c r="C205" s="24"/>
      <c r="D205" s="24"/>
      <c r="E205" s="24"/>
      <c r="K205" s="40"/>
    </row>
    <row r="206" spans="1:11" ht="15.75" customHeight="1" x14ac:dyDescent="0.25">
      <c r="A206" s="24"/>
      <c r="B206" s="174"/>
      <c r="C206" s="24"/>
      <c r="D206" s="24"/>
      <c r="E206" s="24"/>
      <c r="K206" s="40"/>
    </row>
    <row r="207" spans="1:11" ht="15.75" customHeight="1" x14ac:dyDescent="0.25">
      <c r="A207" s="24"/>
      <c r="B207" s="174"/>
      <c r="C207" s="24"/>
      <c r="D207" s="24"/>
      <c r="E207" s="24"/>
      <c r="K207" s="40"/>
    </row>
    <row r="208" spans="1:11" ht="15.75" customHeight="1" x14ac:dyDescent="0.25">
      <c r="A208" s="24"/>
      <c r="B208" s="174"/>
      <c r="C208" s="24"/>
      <c r="D208" s="24"/>
      <c r="E208" s="24"/>
      <c r="K208" s="40"/>
    </row>
    <row r="209" spans="1:11" ht="15.75" customHeight="1" x14ac:dyDescent="0.25">
      <c r="A209" s="24"/>
      <c r="B209" s="174"/>
      <c r="C209" s="24"/>
      <c r="D209" s="24"/>
      <c r="E209" s="24"/>
      <c r="K209" s="40"/>
    </row>
    <row r="210" spans="1:11" ht="15.75" customHeight="1" x14ac:dyDescent="0.25">
      <c r="A210" s="24"/>
      <c r="B210" s="174"/>
      <c r="C210" s="24"/>
      <c r="D210" s="24"/>
      <c r="E210" s="24"/>
      <c r="K210" s="40"/>
    </row>
    <row r="211" spans="1:11" ht="15.75" customHeight="1" x14ac:dyDescent="0.25">
      <c r="A211" s="24"/>
      <c r="B211" s="174"/>
      <c r="C211" s="24"/>
      <c r="D211" s="24"/>
      <c r="E211" s="24"/>
      <c r="K211" s="40"/>
    </row>
    <row r="212" spans="1:11" ht="15.75" customHeight="1" x14ac:dyDescent="0.25">
      <c r="A212" s="24"/>
      <c r="B212" s="174"/>
      <c r="C212" s="24"/>
      <c r="D212" s="24"/>
      <c r="E212" s="24"/>
      <c r="K212" s="40"/>
    </row>
    <row r="213" spans="1:11" ht="15.75" customHeight="1" x14ac:dyDescent="0.25">
      <c r="A213" s="24"/>
      <c r="B213" s="174"/>
      <c r="C213" s="24"/>
      <c r="D213" s="24"/>
      <c r="E213" s="24"/>
      <c r="K213" s="40"/>
    </row>
    <row r="214" spans="1:11" ht="15.75" customHeight="1" x14ac:dyDescent="0.25">
      <c r="A214" s="24"/>
      <c r="B214" s="174"/>
      <c r="C214" s="24"/>
      <c r="D214" s="24"/>
      <c r="E214" s="24"/>
      <c r="K214" s="40"/>
    </row>
    <row r="215" spans="1:11" ht="15.75" customHeight="1" x14ac:dyDescent="0.25">
      <c r="A215" s="24"/>
      <c r="B215" s="174"/>
      <c r="C215" s="24"/>
      <c r="D215" s="24"/>
      <c r="E215" s="24"/>
      <c r="K215" s="40"/>
    </row>
    <row r="216" spans="1:11" ht="15.75" customHeight="1" x14ac:dyDescent="0.25">
      <c r="A216" s="24"/>
      <c r="B216" s="174"/>
      <c r="C216" s="24"/>
      <c r="D216" s="24"/>
      <c r="E216" s="24"/>
      <c r="K216" s="40"/>
    </row>
    <row r="217" spans="1:11" ht="15.75" customHeight="1" x14ac:dyDescent="0.25">
      <c r="A217" s="24"/>
      <c r="B217" s="174"/>
      <c r="C217" s="24"/>
      <c r="D217" s="24"/>
      <c r="E217" s="24"/>
      <c r="K217" s="40"/>
    </row>
    <row r="218" spans="1:11" ht="15.75" customHeight="1" x14ac:dyDescent="0.25">
      <c r="A218" s="24"/>
      <c r="B218" s="174"/>
      <c r="C218" s="24"/>
      <c r="D218" s="24"/>
      <c r="E218" s="24"/>
      <c r="K218" s="40"/>
    </row>
    <row r="219" spans="1:11" ht="15.75" customHeight="1" x14ac:dyDescent="0.25">
      <c r="A219" s="24"/>
      <c r="B219" s="174"/>
      <c r="C219" s="24"/>
      <c r="D219" s="24"/>
      <c r="E219" s="24"/>
      <c r="K219" s="40"/>
    </row>
    <row r="220" spans="1:11" ht="15.75" customHeight="1" x14ac:dyDescent="0.25">
      <c r="A220" s="24"/>
      <c r="B220" s="174"/>
      <c r="C220" s="24"/>
      <c r="D220" s="24"/>
      <c r="E220" s="24"/>
      <c r="K220" s="40"/>
    </row>
    <row r="221" spans="1:11" ht="15.75" customHeight="1" x14ac:dyDescent="0.25">
      <c r="A221" s="24"/>
      <c r="B221" s="174"/>
      <c r="C221" s="24"/>
      <c r="D221" s="24"/>
      <c r="E221" s="24"/>
      <c r="K221" s="40"/>
    </row>
    <row r="222" spans="1:11" ht="15.75" customHeight="1" x14ac:dyDescent="0.25">
      <c r="A222" s="24"/>
      <c r="B222" s="174"/>
      <c r="C222" s="24"/>
      <c r="D222" s="24"/>
      <c r="E222" s="24"/>
      <c r="K222" s="40"/>
    </row>
    <row r="223" spans="1:11" ht="15.75" customHeight="1" x14ac:dyDescent="0.25">
      <c r="A223" s="24"/>
      <c r="B223" s="174"/>
      <c r="C223" s="24"/>
      <c r="D223" s="24"/>
      <c r="E223" s="24"/>
      <c r="K223" s="40"/>
    </row>
    <row r="224" spans="1:11" ht="15.75" customHeight="1" x14ac:dyDescent="0.25">
      <c r="A224" s="24"/>
      <c r="B224" s="174"/>
      <c r="C224" s="24"/>
      <c r="D224" s="24"/>
      <c r="E224" s="24"/>
      <c r="K224" s="40"/>
    </row>
    <row r="225" spans="1:11" ht="15.75" customHeight="1" x14ac:dyDescent="0.25">
      <c r="A225" s="24"/>
      <c r="B225" s="174"/>
      <c r="C225" s="24"/>
      <c r="D225" s="24"/>
      <c r="E225" s="24"/>
      <c r="K225" s="40"/>
    </row>
    <row r="226" spans="1:11" ht="15.75" customHeight="1" x14ac:dyDescent="0.25">
      <c r="A226" s="24"/>
      <c r="B226" s="174"/>
      <c r="C226" s="24"/>
      <c r="D226" s="24"/>
      <c r="E226" s="24"/>
      <c r="K226" s="40"/>
    </row>
    <row r="227" spans="1:11" ht="15.75" customHeight="1" x14ac:dyDescent="0.25">
      <c r="A227" s="24"/>
      <c r="B227" s="174"/>
      <c r="C227" s="24"/>
      <c r="D227" s="24"/>
      <c r="E227" s="24"/>
      <c r="K227" s="40"/>
    </row>
    <row r="228" spans="1:11" ht="15.75" customHeight="1" x14ac:dyDescent="0.25">
      <c r="A228" s="24"/>
      <c r="B228" s="174"/>
      <c r="C228" s="24"/>
      <c r="D228" s="24"/>
      <c r="E228" s="24"/>
      <c r="K228" s="40"/>
    </row>
    <row r="229" spans="1:11" ht="15.75" customHeight="1" x14ac:dyDescent="0.25">
      <c r="A229" s="24"/>
      <c r="B229" s="174"/>
      <c r="C229" s="24"/>
      <c r="D229" s="24"/>
      <c r="E229" s="24"/>
      <c r="K229" s="40"/>
    </row>
    <row r="230" spans="1:11" ht="15.75" customHeight="1" x14ac:dyDescent="0.25">
      <c r="A230" s="24"/>
      <c r="B230" s="174"/>
      <c r="C230" s="24"/>
      <c r="D230" s="24"/>
      <c r="E230" s="24"/>
      <c r="K230" s="40"/>
    </row>
    <row r="231" spans="1:11" ht="15.75" customHeight="1" x14ac:dyDescent="0.25">
      <c r="A231" s="24"/>
      <c r="B231" s="174"/>
      <c r="C231" s="24"/>
      <c r="D231" s="24"/>
      <c r="E231" s="24"/>
      <c r="K231" s="40"/>
    </row>
    <row r="232" spans="1:11" ht="15.75" customHeight="1" x14ac:dyDescent="0.25">
      <c r="A232" s="24"/>
      <c r="B232" s="174"/>
      <c r="C232" s="24"/>
      <c r="D232" s="24"/>
      <c r="E232" s="24"/>
      <c r="K232" s="40"/>
    </row>
    <row r="233" spans="1:11" ht="15.75" customHeight="1" x14ac:dyDescent="0.25">
      <c r="A233" s="24"/>
      <c r="B233" s="174"/>
      <c r="C233" s="24"/>
      <c r="D233" s="24"/>
      <c r="E233" s="24"/>
      <c r="K233" s="40"/>
    </row>
    <row r="234" spans="1:11" ht="15.75" customHeight="1" x14ac:dyDescent="0.25">
      <c r="A234" s="24"/>
      <c r="B234" s="174"/>
      <c r="C234" s="24"/>
      <c r="D234" s="24"/>
      <c r="E234" s="24"/>
      <c r="K234" s="40"/>
    </row>
    <row r="235" spans="1:11" ht="15.75" customHeight="1" x14ac:dyDescent="0.25">
      <c r="A235" s="24"/>
      <c r="B235" s="174"/>
      <c r="C235" s="24"/>
      <c r="D235" s="24"/>
      <c r="E235" s="24"/>
      <c r="K235" s="40"/>
    </row>
    <row r="236" spans="1:11" ht="15.75" customHeight="1" x14ac:dyDescent="0.25">
      <c r="A236" s="24"/>
      <c r="B236" s="174"/>
      <c r="C236" s="24"/>
      <c r="D236" s="24"/>
      <c r="E236" s="24"/>
      <c r="K236" s="40"/>
    </row>
    <row r="237" spans="1:11" ht="15.75" customHeight="1" x14ac:dyDescent="0.25">
      <c r="A237" s="24"/>
      <c r="B237" s="174"/>
      <c r="C237" s="24"/>
      <c r="D237" s="24"/>
      <c r="E237" s="24"/>
      <c r="K237" s="40"/>
    </row>
    <row r="238" spans="1:11" ht="15.75" customHeight="1" x14ac:dyDescent="0.25">
      <c r="A238" s="24"/>
      <c r="B238" s="174"/>
      <c r="C238" s="24"/>
      <c r="D238" s="24"/>
      <c r="E238" s="24"/>
      <c r="K238" s="40"/>
    </row>
    <row r="239" spans="1:11" ht="15.75" customHeight="1" x14ac:dyDescent="0.25">
      <c r="A239" s="24"/>
      <c r="B239" s="174"/>
      <c r="C239" s="24"/>
      <c r="D239" s="24"/>
      <c r="E239" s="24"/>
      <c r="K239" s="40"/>
    </row>
    <row r="240" spans="1:11" ht="15.75" customHeight="1" x14ac:dyDescent="0.25">
      <c r="A240" s="24"/>
      <c r="B240" s="174"/>
      <c r="C240" s="24"/>
      <c r="D240" s="24"/>
      <c r="E240" s="24"/>
      <c r="K240" s="40"/>
    </row>
    <row r="241" spans="1:11" ht="15.75" customHeight="1" x14ac:dyDescent="0.25">
      <c r="A241" s="24"/>
      <c r="B241" s="174"/>
      <c r="C241" s="24"/>
      <c r="D241" s="24"/>
      <c r="E241" s="24"/>
      <c r="K241" s="40"/>
    </row>
    <row r="242" spans="1:11" ht="15.75" customHeight="1" x14ac:dyDescent="0.25">
      <c r="A242" s="24"/>
      <c r="B242" s="174"/>
      <c r="C242" s="24"/>
      <c r="D242" s="24"/>
      <c r="E242" s="24"/>
      <c r="K242" s="40"/>
    </row>
    <row r="243" spans="1:11" ht="15.75" customHeight="1" x14ac:dyDescent="0.25">
      <c r="A243" s="24"/>
      <c r="B243" s="174"/>
      <c r="C243" s="24"/>
      <c r="D243" s="24"/>
      <c r="E243" s="24"/>
      <c r="K243" s="40"/>
    </row>
    <row r="244" spans="1:11" ht="15.75" customHeight="1" x14ac:dyDescent="0.25">
      <c r="A244" s="24"/>
      <c r="B244" s="174"/>
      <c r="C244" s="24"/>
      <c r="D244" s="24"/>
      <c r="E244" s="24"/>
      <c r="K244" s="40"/>
    </row>
    <row r="245" spans="1:11" ht="15.75" customHeight="1" x14ac:dyDescent="0.25">
      <c r="A245" s="24"/>
      <c r="B245" s="174"/>
      <c r="C245" s="24"/>
      <c r="D245" s="24"/>
      <c r="E245" s="24"/>
      <c r="K245" s="40"/>
    </row>
    <row r="246" spans="1:11" ht="15.75" customHeight="1" x14ac:dyDescent="0.25">
      <c r="A246" s="24"/>
      <c r="B246" s="174"/>
      <c r="C246" s="24"/>
      <c r="D246" s="24"/>
      <c r="E246" s="24"/>
      <c r="K246" s="40"/>
    </row>
    <row r="247" spans="1:11" ht="15.75" customHeight="1" x14ac:dyDescent="0.25">
      <c r="A247" s="24"/>
      <c r="B247" s="174"/>
      <c r="C247" s="24"/>
      <c r="D247" s="24"/>
      <c r="E247" s="24"/>
      <c r="K247" s="40"/>
    </row>
    <row r="248" spans="1:11" ht="15.75" customHeight="1" x14ac:dyDescent="0.25">
      <c r="A248" s="24"/>
      <c r="B248" s="174"/>
      <c r="C248" s="24"/>
      <c r="D248" s="24"/>
      <c r="E248" s="24"/>
      <c r="K248" s="40"/>
    </row>
    <row r="249" spans="1:11" ht="15.75" customHeight="1" x14ac:dyDescent="0.25">
      <c r="A249" s="24"/>
      <c r="B249" s="174"/>
      <c r="C249" s="24"/>
      <c r="D249" s="24"/>
      <c r="E249" s="24"/>
      <c r="K249" s="40"/>
    </row>
    <row r="250" spans="1:11" ht="15.75" customHeight="1" x14ac:dyDescent="0.25">
      <c r="K250" s="40"/>
    </row>
    <row r="251" spans="1:11" ht="15.75" customHeight="1" x14ac:dyDescent="0.25">
      <c r="K251" s="40"/>
    </row>
    <row r="252" spans="1:11" ht="15.75" customHeight="1" x14ac:dyDescent="0.25">
      <c r="K252" s="40"/>
    </row>
    <row r="253" spans="1:11" ht="15.75" customHeight="1" x14ac:dyDescent="0.25">
      <c r="K253" s="40"/>
    </row>
    <row r="254" spans="1:11" ht="15.75" customHeight="1" x14ac:dyDescent="0.25">
      <c r="K254" s="40"/>
    </row>
    <row r="255" spans="1:11" ht="15.75" customHeight="1" x14ac:dyDescent="0.25">
      <c r="K255" s="40"/>
    </row>
    <row r="256" spans="1:11" ht="15.75" customHeight="1" x14ac:dyDescent="0.25">
      <c r="K256" s="40"/>
    </row>
    <row r="257" spans="11:11" ht="15.75" customHeight="1" x14ac:dyDescent="0.25">
      <c r="K257" s="40"/>
    </row>
    <row r="258" spans="11:11" ht="15.75" customHeight="1" x14ac:dyDescent="0.25">
      <c r="K258" s="40"/>
    </row>
    <row r="259" spans="11:11" ht="15.75" customHeight="1" x14ac:dyDescent="0.25">
      <c r="K259" s="40"/>
    </row>
    <row r="260" spans="11:11" ht="15.75" customHeight="1" x14ac:dyDescent="0.25">
      <c r="K260" s="40"/>
    </row>
    <row r="261" spans="11:11" ht="15.75" customHeight="1" x14ac:dyDescent="0.25">
      <c r="K261" s="40"/>
    </row>
    <row r="262" spans="11:11" ht="15.75" customHeight="1" x14ac:dyDescent="0.25">
      <c r="K262" s="40"/>
    </row>
    <row r="263" spans="11:11" ht="15.75" customHeight="1" x14ac:dyDescent="0.25">
      <c r="K263" s="40"/>
    </row>
    <row r="264" spans="11:11" ht="15.75" customHeight="1" x14ac:dyDescent="0.25">
      <c r="K264" s="40"/>
    </row>
    <row r="265" spans="11:11" ht="15.75" customHeight="1" x14ac:dyDescent="0.25">
      <c r="K265" s="40"/>
    </row>
    <row r="266" spans="11:11" ht="15.75" customHeight="1" x14ac:dyDescent="0.25">
      <c r="K266" s="40"/>
    </row>
    <row r="267" spans="11:11" ht="15.75" customHeight="1" x14ac:dyDescent="0.25">
      <c r="K267" s="40"/>
    </row>
    <row r="268" spans="11:11" ht="15.75" customHeight="1" x14ac:dyDescent="0.25">
      <c r="K268" s="40"/>
    </row>
    <row r="269" spans="11:11" ht="15.75" customHeight="1" x14ac:dyDescent="0.25">
      <c r="K269" s="40"/>
    </row>
    <row r="270" spans="11:11" ht="15.75" customHeight="1" x14ac:dyDescent="0.25">
      <c r="K270" s="40"/>
    </row>
    <row r="271" spans="11:11" ht="15.75" customHeight="1" x14ac:dyDescent="0.25">
      <c r="K271" s="40"/>
    </row>
    <row r="272" spans="11:11" ht="15.75" customHeight="1" x14ac:dyDescent="0.25">
      <c r="K272" s="40"/>
    </row>
    <row r="273" spans="11:11" ht="15.75" customHeight="1" x14ac:dyDescent="0.25">
      <c r="K273" s="40"/>
    </row>
    <row r="274" spans="11:11" ht="15.75" customHeight="1" x14ac:dyDescent="0.25">
      <c r="K274" s="40"/>
    </row>
    <row r="275" spans="11:11" ht="15.75" customHeight="1" x14ac:dyDescent="0.25">
      <c r="K275" s="40"/>
    </row>
    <row r="276" spans="11:11" ht="15.75" customHeight="1" x14ac:dyDescent="0.25">
      <c r="K276" s="40"/>
    </row>
    <row r="277" spans="11:11" ht="15.75" customHeight="1" x14ac:dyDescent="0.25">
      <c r="K277" s="40"/>
    </row>
    <row r="278" spans="11:11" ht="15.75" customHeight="1" x14ac:dyDescent="0.25">
      <c r="K278" s="40"/>
    </row>
    <row r="279" spans="11:11" ht="15.75" customHeight="1" x14ac:dyDescent="0.25">
      <c r="K279" s="40"/>
    </row>
    <row r="280" spans="11:11" ht="15.75" customHeight="1" x14ac:dyDescent="0.25">
      <c r="K280" s="40"/>
    </row>
    <row r="281" spans="11:11" ht="15.75" customHeight="1" x14ac:dyDescent="0.25">
      <c r="K281" s="40"/>
    </row>
    <row r="282" spans="11:11" ht="15.75" customHeight="1" x14ac:dyDescent="0.25">
      <c r="K282" s="40"/>
    </row>
    <row r="283" spans="11:11" ht="15.75" customHeight="1" x14ac:dyDescent="0.25">
      <c r="K283" s="40"/>
    </row>
    <row r="284" spans="11:11" ht="15.75" customHeight="1" x14ac:dyDescent="0.25">
      <c r="K284" s="40"/>
    </row>
    <row r="285" spans="11:11" ht="15.75" customHeight="1" x14ac:dyDescent="0.25">
      <c r="K285" s="40"/>
    </row>
    <row r="286" spans="11:11" ht="15.75" customHeight="1" x14ac:dyDescent="0.25">
      <c r="K286" s="40"/>
    </row>
    <row r="287" spans="11:11" ht="15.75" customHeight="1" x14ac:dyDescent="0.25">
      <c r="K287" s="40"/>
    </row>
    <row r="288" spans="11:11" ht="15.75" customHeight="1" x14ac:dyDescent="0.25">
      <c r="K288" s="40"/>
    </row>
    <row r="289" spans="11:11" ht="15.75" customHeight="1" x14ac:dyDescent="0.25">
      <c r="K289" s="40"/>
    </row>
    <row r="290" spans="11:11" ht="15.75" customHeight="1" x14ac:dyDescent="0.25">
      <c r="K290" s="40"/>
    </row>
    <row r="291" spans="11:11" ht="15.75" customHeight="1" x14ac:dyDescent="0.25">
      <c r="K291" s="40"/>
    </row>
    <row r="292" spans="11:11" ht="15.75" customHeight="1" x14ac:dyDescent="0.25">
      <c r="K292" s="40"/>
    </row>
    <row r="293" spans="11:11" ht="15.75" customHeight="1" x14ac:dyDescent="0.25">
      <c r="K293" s="40"/>
    </row>
    <row r="294" spans="11:11" ht="15.75" customHeight="1" x14ac:dyDescent="0.25">
      <c r="K294" s="40"/>
    </row>
    <row r="295" spans="11:11" ht="15.75" customHeight="1" x14ac:dyDescent="0.25">
      <c r="K295" s="40"/>
    </row>
    <row r="296" spans="11:11" ht="15.75" customHeight="1" x14ac:dyDescent="0.25">
      <c r="K296" s="40"/>
    </row>
    <row r="297" spans="11:11" ht="15.75" customHeight="1" x14ac:dyDescent="0.25">
      <c r="K297" s="40"/>
    </row>
    <row r="298" spans="11:11" ht="15.75" customHeight="1" x14ac:dyDescent="0.25">
      <c r="K298" s="40"/>
    </row>
    <row r="299" spans="11:11" ht="15.75" customHeight="1" x14ac:dyDescent="0.25">
      <c r="K299" s="40"/>
    </row>
    <row r="300" spans="11:11" ht="15.75" customHeight="1" x14ac:dyDescent="0.25">
      <c r="K300" s="40"/>
    </row>
    <row r="301" spans="11:11" ht="15.75" customHeight="1" x14ac:dyDescent="0.25">
      <c r="K301" s="40"/>
    </row>
    <row r="302" spans="11:11" ht="15.75" customHeight="1" x14ac:dyDescent="0.25">
      <c r="K302" s="40"/>
    </row>
    <row r="303" spans="11:11" ht="15.75" customHeight="1" x14ac:dyDescent="0.25">
      <c r="K303" s="40"/>
    </row>
    <row r="304" spans="11:11" ht="15.75" customHeight="1" x14ac:dyDescent="0.25">
      <c r="K304" s="40"/>
    </row>
    <row r="305" spans="11:11" ht="15.75" customHeight="1" x14ac:dyDescent="0.25">
      <c r="K305" s="40"/>
    </row>
    <row r="306" spans="11:11" ht="15.75" customHeight="1" x14ac:dyDescent="0.25">
      <c r="K306" s="40"/>
    </row>
    <row r="307" spans="11:11" ht="15.75" customHeight="1" x14ac:dyDescent="0.25">
      <c r="K307" s="40"/>
    </row>
    <row r="308" spans="11:11" ht="15.75" customHeight="1" x14ac:dyDescent="0.25">
      <c r="K308" s="40"/>
    </row>
    <row r="309" spans="11:11" ht="15.75" customHeight="1" x14ac:dyDescent="0.25">
      <c r="K309" s="40"/>
    </row>
    <row r="310" spans="11:11" ht="15.75" customHeight="1" x14ac:dyDescent="0.25">
      <c r="K310" s="40"/>
    </row>
    <row r="311" spans="11:11" ht="15.75" customHeight="1" x14ac:dyDescent="0.25">
      <c r="K311" s="40"/>
    </row>
    <row r="312" spans="11:11" ht="15.75" customHeight="1" x14ac:dyDescent="0.25">
      <c r="K312" s="40"/>
    </row>
    <row r="313" spans="11:11" ht="15.75" customHeight="1" x14ac:dyDescent="0.25">
      <c r="K313" s="40"/>
    </row>
    <row r="314" spans="11:11" ht="15.75" customHeight="1" x14ac:dyDescent="0.25">
      <c r="K314" s="40"/>
    </row>
    <row r="315" spans="11:11" ht="15.75" customHeight="1" x14ac:dyDescent="0.25">
      <c r="K315" s="40"/>
    </row>
    <row r="316" spans="11:11" ht="15.75" customHeight="1" x14ac:dyDescent="0.25">
      <c r="K316" s="40"/>
    </row>
    <row r="317" spans="11:11" ht="15.75" customHeight="1" x14ac:dyDescent="0.25">
      <c r="K317" s="40"/>
    </row>
    <row r="318" spans="11:11" ht="15.75" customHeight="1" x14ac:dyDescent="0.25">
      <c r="K318" s="40"/>
    </row>
    <row r="319" spans="11:11" ht="15.75" customHeight="1" x14ac:dyDescent="0.25">
      <c r="K319" s="40"/>
    </row>
    <row r="320" spans="11:11" ht="15.75" customHeight="1" x14ac:dyDescent="0.25">
      <c r="K320" s="40"/>
    </row>
    <row r="321" spans="11:11" ht="15.75" customHeight="1" x14ac:dyDescent="0.25">
      <c r="K321" s="40"/>
    </row>
    <row r="322" spans="11:11" ht="15.75" customHeight="1" x14ac:dyDescent="0.25">
      <c r="K322" s="40"/>
    </row>
    <row r="323" spans="11:11" ht="15.75" customHeight="1" x14ac:dyDescent="0.25">
      <c r="K323" s="40"/>
    </row>
    <row r="324" spans="11:11" ht="15.75" customHeight="1" x14ac:dyDescent="0.25">
      <c r="K324" s="40"/>
    </row>
    <row r="325" spans="11:11" ht="15.75" customHeight="1" x14ac:dyDescent="0.25">
      <c r="K325" s="40"/>
    </row>
    <row r="326" spans="11:11" ht="15.75" customHeight="1" x14ac:dyDescent="0.25">
      <c r="K326" s="40"/>
    </row>
    <row r="327" spans="11:11" ht="15.75" customHeight="1" x14ac:dyDescent="0.25">
      <c r="K327" s="40"/>
    </row>
    <row r="328" spans="11:11" ht="15.75" customHeight="1" x14ac:dyDescent="0.25">
      <c r="K328" s="40"/>
    </row>
    <row r="329" spans="11:11" ht="15.75" customHeight="1" x14ac:dyDescent="0.25">
      <c r="K329" s="40"/>
    </row>
    <row r="330" spans="11:11" ht="15.75" customHeight="1" x14ac:dyDescent="0.25">
      <c r="K330" s="40"/>
    </row>
    <row r="331" spans="11:11" ht="15.75" customHeight="1" x14ac:dyDescent="0.25">
      <c r="K331" s="40"/>
    </row>
    <row r="332" spans="11:11" ht="15.75" customHeight="1" x14ac:dyDescent="0.25">
      <c r="K332" s="40"/>
    </row>
    <row r="333" spans="11:11" ht="15.75" customHeight="1" x14ac:dyDescent="0.25">
      <c r="K333" s="40"/>
    </row>
    <row r="334" spans="11:11" ht="15.75" customHeight="1" x14ac:dyDescent="0.25">
      <c r="K334" s="40"/>
    </row>
    <row r="335" spans="11:11" ht="15.75" customHeight="1" x14ac:dyDescent="0.25">
      <c r="K335" s="40"/>
    </row>
    <row r="336" spans="11:11" ht="15.75" customHeight="1" x14ac:dyDescent="0.25">
      <c r="K336" s="40"/>
    </row>
    <row r="337" spans="11:11" ht="15.75" customHeight="1" x14ac:dyDescent="0.25">
      <c r="K337" s="40"/>
    </row>
    <row r="338" spans="11:11" ht="15.75" customHeight="1" x14ac:dyDescent="0.25">
      <c r="K338" s="40"/>
    </row>
    <row r="339" spans="11:11" ht="15.75" customHeight="1" x14ac:dyDescent="0.25">
      <c r="K339" s="40"/>
    </row>
    <row r="340" spans="11:11" ht="15.75" customHeight="1" x14ac:dyDescent="0.25">
      <c r="K340" s="40"/>
    </row>
    <row r="341" spans="11:11" ht="15.75" customHeight="1" x14ac:dyDescent="0.25">
      <c r="K341" s="40"/>
    </row>
    <row r="342" spans="11:11" ht="15.75" customHeight="1" x14ac:dyDescent="0.25">
      <c r="K342" s="40"/>
    </row>
    <row r="343" spans="11:11" ht="15.75" customHeight="1" x14ac:dyDescent="0.25">
      <c r="K343" s="40"/>
    </row>
    <row r="344" spans="11:11" ht="15.75" customHeight="1" x14ac:dyDescent="0.25">
      <c r="K344" s="40"/>
    </row>
    <row r="345" spans="11:11" ht="15.75" customHeight="1" x14ac:dyDescent="0.25">
      <c r="K345" s="40"/>
    </row>
    <row r="346" spans="11:11" ht="15.75" customHeight="1" x14ac:dyDescent="0.25">
      <c r="K346" s="40"/>
    </row>
    <row r="347" spans="11:11" ht="15.75" customHeight="1" x14ac:dyDescent="0.25">
      <c r="K347" s="40"/>
    </row>
    <row r="348" spans="11:11" ht="15.75" customHeight="1" x14ac:dyDescent="0.25">
      <c r="K348" s="40"/>
    </row>
    <row r="349" spans="11:11" ht="15.75" customHeight="1" x14ac:dyDescent="0.25">
      <c r="K349" s="40"/>
    </row>
    <row r="350" spans="11:11" ht="15.75" customHeight="1" x14ac:dyDescent="0.25">
      <c r="K350" s="40"/>
    </row>
    <row r="351" spans="11:11" ht="15.75" customHeight="1" x14ac:dyDescent="0.25">
      <c r="K351" s="40"/>
    </row>
    <row r="352" spans="11:11" ht="15.75" customHeight="1" x14ac:dyDescent="0.25">
      <c r="K352" s="40"/>
    </row>
    <row r="353" spans="11:11" ht="15.75" customHeight="1" x14ac:dyDescent="0.25">
      <c r="K353" s="40"/>
    </row>
    <row r="354" spans="11:11" ht="15.75" customHeight="1" x14ac:dyDescent="0.25">
      <c r="K354" s="40"/>
    </row>
    <row r="355" spans="11:11" ht="15.75" customHeight="1" x14ac:dyDescent="0.25">
      <c r="K355" s="40"/>
    </row>
    <row r="356" spans="11:11" ht="15.75" customHeight="1" x14ac:dyDescent="0.25">
      <c r="K356" s="40"/>
    </row>
    <row r="357" spans="11:11" ht="15.75" customHeight="1" x14ac:dyDescent="0.25">
      <c r="K357" s="40"/>
    </row>
    <row r="358" spans="11:11" ht="15.75" customHeight="1" x14ac:dyDescent="0.25">
      <c r="K358" s="40"/>
    </row>
    <row r="359" spans="11:11" ht="15.75" customHeight="1" x14ac:dyDescent="0.25">
      <c r="K359" s="40"/>
    </row>
    <row r="360" spans="11:11" ht="15.75" customHeight="1" x14ac:dyDescent="0.25">
      <c r="K360" s="40"/>
    </row>
    <row r="361" spans="11:11" ht="15.75" customHeight="1" x14ac:dyDescent="0.25">
      <c r="K361" s="40"/>
    </row>
    <row r="362" spans="11:11" ht="15.75" customHeight="1" x14ac:dyDescent="0.25">
      <c r="K362" s="40"/>
    </row>
    <row r="363" spans="11:11" ht="15.75" customHeight="1" x14ac:dyDescent="0.25">
      <c r="K363" s="40"/>
    </row>
    <row r="364" spans="11:11" ht="15.75" customHeight="1" x14ac:dyDescent="0.25">
      <c r="K364" s="40"/>
    </row>
    <row r="365" spans="11:11" ht="15.75" customHeight="1" x14ac:dyDescent="0.25">
      <c r="K365" s="40"/>
    </row>
    <row r="366" spans="11:11" ht="15.75" customHeight="1" x14ac:dyDescent="0.25">
      <c r="K366" s="40"/>
    </row>
    <row r="367" spans="11:11" ht="15.75" customHeight="1" x14ac:dyDescent="0.25">
      <c r="K367" s="40"/>
    </row>
    <row r="368" spans="11:11" ht="15.75" customHeight="1" x14ac:dyDescent="0.25">
      <c r="K368" s="40"/>
    </row>
    <row r="369" spans="11:11" ht="15.75" customHeight="1" x14ac:dyDescent="0.25">
      <c r="K369" s="40"/>
    </row>
    <row r="370" spans="11:11" ht="15.75" customHeight="1" x14ac:dyDescent="0.25">
      <c r="K370" s="40"/>
    </row>
    <row r="371" spans="11:11" ht="15.75" customHeight="1" x14ac:dyDescent="0.25">
      <c r="K371" s="40"/>
    </row>
    <row r="372" spans="11:11" ht="15.75" customHeight="1" x14ac:dyDescent="0.25">
      <c r="K372" s="40"/>
    </row>
    <row r="373" spans="11:11" ht="15.75" customHeight="1" x14ac:dyDescent="0.25">
      <c r="K373" s="40"/>
    </row>
    <row r="374" spans="11:11" ht="15.75" customHeight="1" x14ac:dyDescent="0.25">
      <c r="K374" s="40"/>
    </row>
    <row r="375" spans="11:11" ht="15.75" customHeight="1" x14ac:dyDescent="0.25">
      <c r="K375" s="40"/>
    </row>
    <row r="376" spans="11:11" ht="15.75" customHeight="1" x14ac:dyDescent="0.25">
      <c r="K376" s="40"/>
    </row>
    <row r="377" spans="11:11" ht="15.75" customHeight="1" x14ac:dyDescent="0.25">
      <c r="K377" s="40"/>
    </row>
    <row r="378" spans="11:11" ht="15.75" customHeight="1" x14ac:dyDescent="0.25">
      <c r="K378" s="40"/>
    </row>
    <row r="379" spans="11:11" ht="15.75" customHeight="1" x14ac:dyDescent="0.25">
      <c r="K379" s="40"/>
    </row>
    <row r="380" spans="11:11" ht="15.75" customHeight="1" x14ac:dyDescent="0.25">
      <c r="K380" s="40"/>
    </row>
    <row r="381" spans="11:11" ht="15.75" customHeight="1" x14ac:dyDescent="0.25">
      <c r="K381" s="40"/>
    </row>
    <row r="382" spans="11:11" ht="15.75" customHeight="1" x14ac:dyDescent="0.25">
      <c r="K382" s="40"/>
    </row>
    <row r="383" spans="11:11" ht="15.75" customHeight="1" x14ac:dyDescent="0.25">
      <c r="K383" s="40"/>
    </row>
    <row r="384" spans="11:11" ht="15.75" customHeight="1" x14ac:dyDescent="0.25">
      <c r="K384" s="40"/>
    </row>
    <row r="385" spans="11:11" ht="15.75" customHeight="1" x14ac:dyDescent="0.25">
      <c r="K385" s="40"/>
    </row>
    <row r="386" spans="11:11" ht="15.75" customHeight="1" x14ac:dyDescent="0.25">
      <c r="K386" s="40"/>
    </row>
    <row r="387" spans="11:11" ht="15.75" customHeight="1" x14ac:dyDescent="0.25">
      <c r="K387" s="40"/>
    </row>
    <row r="388" spans="11:11" ht="15.75" customHeight="1" x14ac:dyDescent="0.25">
      <c r="K388" s="40"/>
    </row>
    <row r="389" spans="11:11" ht="15.75" customHeight="1" x14ac:dyDescent="0.25">
      <c r="K389" s="40"/>
    </row>
    <row r="390" spans="11:11" ht="15.75" customHeight="1" x14ac:dyDescent="0.25">
      <c r="K390" s="40"/>
    </row>
    <row r="391" spans="11:11" ht="15.75" customHeight="1" x14ac:dyDescent="0.25">
      <c r="K391" s="40"/>
    </row>
    <row r="392" spans="11:11" ht="15.75" customHeight="1" x14ac:dyDescent="0.25">
      <c r="K392" s="40"/>
    </row>
    <row r="393" spans="11:11" ht="15.75" customHeight="1" x14ac:dyDescent="0.25">
      <c r="K393" s="40"/>
    </row>
    <row r="394" spans="11:11" ht="15.75" customHeight="1" x14ac:dyDescent="0.25">
      <c r="K394" s="40"/>
    </row>
    <row r="395" spans="11:11" ht="15.75" customHeight="1" x14ac:dyDescent="0.25">
      <c r="K395" s="40"/>
    </row>
    <row r="396" spans="11:11" ht="15.75" customHeight="1" x14ac:dyDescent="0.25">
      <c r="K396" s="40"/>
    </row>
    <row r="397" spans="11:11" ht="15.75" customHeight="1" x14ac:dyDescent="0.25">
      <c r="K397" s="40"/>
    </row>
    <row r="398" spans="11:11" ht="15.75" customHeight="1" x14ac:dyDescent="0.25">
      <c r="K398" s="40"/>
    </row>
    <row r="399" spans="11:11" ht="15.75" customHeight="1" x14ac:dyDescent="0.25">
      <c r="K399" s="40"/>
    </row>
    <row r="400" spans="11:11" ht="15.75" customHeight="1" x14ac:dyDescent="0.25">
      <c r="K400" s="40"/>
    </row>
    <row r="401" spans="11:11" ht="15.75" customHeight="1" x14ac:dyDescent="0.25">
      <c r="K401" s="40"/>
    </row>
    <row r="402" spans="11:11" ht="15.75" customHeight="1" x14ac:dyDescent="0.25">
      <c r="K402" s="40"/>
    </row>
    <row r="403" spans="11:11" ht="15.75" customHeight="1" x14ac:dyDescent="0.25">
      <c r="K403" s="40"/>
    </row>
    <row r="404" spans="11:11" ht="15.75" customHeight="1" x14ac:dyDescent="0.25">
      <c r="K404" s="40"/>
    </row>
    <row r="405" spans="11:11" ht="15.75" customHeight="1" x14ac:dyDescent="0.25">
      <c r="K405" s="40"/>
    </row>
    <row r="406" spans="11:11" ht="15.75" customHeight="1" x14ac:dyDescent="0.25">
      <c r="K406" s="40"/>
    </row>
    <row r="407" spans="11:11" ht="15.75" customHeight="1" x14ac:dyDescent="0.25">
      <c r="K407" s="40"/>
    </row>
    <row r="408" spans="11:11" ht="15.75" customHeight="1" x14ac:dyDescent="0.25">
      <c r="K408" s="40"/>
    </row>
    <row r="409" spans="11:11" ht="15.75" customHeight="1" x14ac:dyDescent="0.25">
      <c r="K409" s="40"/>
    </row>
    <row r="410" spans="11:11" ht="15.75" customHeight="1" x14ac:dyDescent="0.25">
      <c r="K410" s="40"/>
    </row>
    <row r="411" spans="11:11" ht="15.75" customHeight="1" x14ac:dyDescent="0.25">
      <c r="K411" s="40"/>
    </row>
    <row r="412" spans="11:11" ht="15.75" customHeight="1" x14ac:dyDescent="0.25">
      <c r="K412" s="40"/>
    </row>
    <row r="413" spans="11:11" ht="15.75" customHeight="1" x14ac:dyDescent="0.25">
      <c r="K413" s="40"/>
    </row>
    <row r="414" spans="11:11" ht="15.75" customHeight="1" x14ac:dyDescent="0.25">
      <c r="K414" s="40"/>
    </row>
    <row r="415" spans="11:11" ht="15.75" customHeight="1" x14ac:dyDescent="0.25">
      <c r="K415" s="40"/>
    </row>
    <row r="416" spans="11:11" ht="15.75" customHeight="1" x14ac:dyDescent="0.25">
      <c r="K416" s="40"/>
    </row>
    <row r="417" spans="11:11" ht="15.75" customHeight="1" x14ac:dyDescent="0.25">
      <c r="K417" s="40"/>
    </row>
    <row r="418" spans="11:11" ht="15.75" customHeight="1" x14ac:dyDescent="0.25">
      <c r="K418" s="40"/>
    </row>
    <row r="419" spans="11:11" ht="15.75" customHeight="1" x14ac:dyDescent="0.25">
      <c r="K419" s="40"/>
    </row>
    <row r="420" spans="11:11" ht="15.75" customHeight="1" x14ac:dyDescent="0.25">
      <c r="K420" s="40"/>
    </row>
    <row r="421" spans="11:11" ht="15.75" customHeight="1" x14ac:dyDescent="0.25">
      <c r="K421" s="40"/>
    </row>
    <row r="422" spans="11:11" ht="15.75" customHeight="1" x14ac:dyDescent="0.25">
      <c r="K422" s="40"/>
    </row>
    <row r="423" spans="11:11" ht="15.75" customHeight="1" x14ac:dyDescent="0.25">
      <c r="K423" s="40"/>
    </row>
    <row r="424" spans="11:11" ht="15.75" customHeight="1" x14ac:dyDescent="0.25">
      <c r="K424" s="40"/>
    </row>
    <row r="425" spans="11:11" ht="15.75" customHeight="1" x14ac:dyDescent="0.25">
      <c r="K425" s="40"/>
    </row>
    <row r="426" spans="11:11" ht="15.75" customHeight="1" x14ac:dyDescent="0.25">
      <c r="K426" s="40"/>
    </row>
    <row r="427" spans="11:11" ht="15.75" customHeight="1" x14ac:dyDescent="0.25">
      <c r="K427" s="40"/>
    </row>
    <row r="428" spans="11:11" ht="15.75" customHeight="1" x14ac:dyDescent="0.25">
      <c r="K428" s="40"/>
    </row>
    <row r="429" spans="11:11" ht="15.75" customHeight="1" x14ac:dyDescent="0.25">
      <c r="K429" s="40"/>
    </row>
    <row r="430" spans="11:11" ht="15.75" customHeight="1" x14ac:dyDescent="0.25">
      <c r="K430" s="40"/>
    </row>
    <row r="431" spans="11:11" ht="15.75" customHeight="1" x14ac:dyDescent="0.25">
      <c r="K431" s="40"/>
    </row>
    <row r="432" spans="11:11" ht="15.75" customHeight="1" x14ac:dyDescent="0.25">
      <c r="K432" s="40"/>
    </row>
    <row r="433" spans="11:11" ht="15.75" customHeight="1" x14ac:dyDescent="0.25">
      <c r="K433" s="40"/>
    </row>
    <row r="434" spans="11:11" ht="15.75" customHeight="1" x14ac:dyDescent="0.25">
      <c r="K434" s="40"/>
    </row>
    <row r="435" spans="11:11" ht="15.75" customHeight="1" x14ac:dyDescent="0.25">
      <c r="K435" s="40"/>
    </row>
    <row r="436" spans="11:11" ht="15.75" customHeight="1" x14ac:dyDescent="0.25">
      <c r="K436" s="40"/>
    </row>
    <row r="437" spans="11:11" ht="15.75" customHeight="1" x14ac:dyDescent="0.25">
      <c r="K437" s="40"/>
    </row>
    <row r="438" spans="11:11" ht="15.75" customHeight="1" x14ac:dyDescent="0.25">
      <c r="K438" s="40"/>
    </row>
    <row r="439" spans="11:11" ht="15.75" customHeight="1" x14ac:dyDescent="0.25">
      <c r="K439" s="40"/>
    </row>
    <row r="440" spans="11:11" ht="15.75" customHeight="1" x14ac:dyDescent="0.25">
      <c r="K440" s="40"/>
    </row>
    <row r="441" spans="11:11" ht="15.75" customHeight="1" x14ac:dyDescent="0.25">
      <c r="K441" s="40"/>
    </row>
    <row r="442" spans="11:11" ht="15.75" customHeight="1" x14ac:dyDescent="0.25">
      <c r="K442" s="40"/>
    </row>
    <row r="443" spans="11:11" ht="15.75" customHeight="1" x14ac:dyDescent="0.25">
      <c r="K443" s="40"/>
    </row>
    <row r="444" spans="11:11" ht="15.75" customHeight="1" x14ac:dyDescent="0.25">
      <c r="K444" s="40"/>
    </row>
    <row r="445" spans="11:11" ht="15.75" customHeight="1" x14ac:dyDescent="0.25">
      <c r="K445" s="40"/>
    </row>
    <row r="446" spans="11:11" ht="15.75" customHeight="1" x14ac:dyDescent="0.25">
      <c r="K446" s="40"/>
    </row>
    <row r="447" spans="11:11" ht="15.75" customHeight="1" x14ac:dyDescent="0.25">
      <c r="K447" s="40"/>
    </row>
    <row r="448" spans="11:11" ht="15.75" customHeight="1" x14ac:dyDescent="0.25">
      <c r="K448" s="40"/>
    </row>
    <row r="449" spans="11:11" ht="15.75" customHeight="1" x14ac:dyDescent="0.25">
      <c r="K449" s="40"/>
    </row>
    <row r="450" spans="11:11" ht="15.75" customHeight="1" x14ac:dyDescent="0.25">
      <c r="K450" s="40"/>
    </row>
    <row r="451" spans="11:11" ht="15.75" customHeight="1" x14ac:dyDescent="0.25">
      <c r="K451" s="40"/>
    </row>
    <row r="452" spans="11:11" ht="15.75" customHeight="1" x14ac:dyDescent="0.25">
      <c r="K452" s="40"/>
    </row>
    <row r="453" spans="11:11" ht="15.75" customHeight="1" x14ac:dyDescent="0.25">
      <c r="K453" s="40"/>
    </row>
    <row r="454" spans="11:11" ht="15.75" customHeight="1" x14ac:dyDescent="0.25">
      <c r="K454" s="40"/>
    </row>
    <row r="455" spans="11:11" ht="15.75" customHeight="1" x14ac:dyDescent="0.25">
      <c r="K455" s="40"/>
    </row>
    <row r="456" spans="11:11" ht="15.75" customHeight="1" x14ac:dyDescent="0.25">
      <c r="K456" s="40"/>
    </row>
    <row r="457" spans="11:11" ht="15.75" customHeight="1" x14ac:dyDescent="0.25">
      <c r="K457" s="40"/>
    </row>
    <row r="458" spans="11:11" ht="15.75" customHeight="1" x14ac:dyDescent="0.25">
      <c r="K458" s="40"/>
    </row>
    <row r="459" spans="11:11" ht="15.75" customHeight="1" x14ac:dyDescent="0.25">
      <c r="K459" s="40"/>
    </row>
    <row r="460" spans="11:11" ht="15.75" customHeight="1" x14ac:dyDescent="0.25">
      <c r="K460" s="40"/>
    </row>
    <row r="461" spans="11:11" ht="15.75" customHeight="1" x14ac:dyDescent="0.25">
      <c r="K461" s="40"/>
    </row>
    <row r="462" spans="11:11" ht="15.75" customHeight="1" x14ac:dyDescent="0.25">
      <c r="K462" s="40"/>
    </row>
    <row r="463" spans="11:11" ht="15.75" customHeight="1" x14ac:dyDescent="0.25">
      <c r="K463" s="40"/>
    </row>
    <row r="464" spans="11:11" ht="15.75" customHeight="1" x14ac:dyDescent="0.25">
      <c r="K464" s="40"/>
    </row>
    <row r="465" spans="11:11" ht="15.75" customHeight="1" x14ac:dyDescent="0.25">
      <c r="K465" s="40"/>
    </row>
    <row r="466" spans="11:11" ht="15.75" customHeight="1" x14ac:dyDescent="0.25">
      <c r="K466" s="40"/>
    </row>
    <row r="467" spans="11:11" ht="15.75" customHeight="1" x14ac:dyDescent="0.25">
      <c r="K467" s="40"/>
    </row>
    <row r="468" spans="11:11" ht="15.75" customHeight="1" x14ac:dyDescent="0.25">
      <c r="K468" s="40"/>
    </row>
    <row r="469" spans="11:11" ht="15.75" customHeight="1" x14ac:dyDescent="0.25">
      <c r="K469" s="40"/>
    </row>
    <row r="470" spans="11:11" ht="15.75" customHeight="1" x14ac:dyDescent="0.25">
      <c r="K470" s="40"/>
    </row>
    <row r="471" spans="11:11" ht="15.75" customHeight="1" x14ac:dyDescent="0.25">
      <c r="K471" s="40"/>
    </row>
    <row r="472" spans="11:11" ht="15.75" customHeight="1" x14ac:dyDescent="0.25">
      <c r="K472" s="40"/>
    </row>
    <row r="473" spans="11:11" ht="15.75" customHeight="1" x14ac:dyDescent="0.25">
      <c r="K473" s="40"/>
    </row>
    <row r="474" spans="11:11" ht="15.75" customHeight="1" x14ac:dyDescent="0.25">
      <c r="K474" s="40"/>
    </row>
    <row r="475" spans="11:11" ht="15.75" customHeight="1" x14ac:dyDescent="0.25">
      <c r="K475" s="40"/>
    </row>
    <row r="476" spans="11:11" ht="15.75" customHeight="1" x14ac:dyDescent="0.25">
      <c r="K476" s="40"/>
    </row>
    <row r="477" spans="11:11" ht="15.75" customHeight="1" x14ac:dyDescent="0.25">
      <c r="K477" s="40"/>
    </row>
    <row r="478" spans="11:11" ht="15.75" customHeight="1" x14ac:dyDescent="0.25">
      <c r="K478" s="40"/>
    </row>
    <row r="479" spans="11:11" ht="15.75" customHeight="1" x14ac:dyDescent="0.25">
      <c r="K479" s="40"/>
    </row>
    <row r="480" spans="11:11" ht="15.75" customHeight="1" x14ac:dyDescent="0.25">
      <c r="K480" s="40"/>
    </row>
    <row r="481" spans="11:11" ht="15.75" customHeight="1" x14ac:dyDescent="0.25">
      <c r="K481" s="40"/>
    </row>
    <row r="482" spans="11:11" ht="15.75" customHeight="1" x14ac:dyDescent="0.25">
      <c r="K482" s="40"/>
    </row>
    <row r="483" spans="11:11" ht="15.75" customHeight="1" x14ac:dyDescent="0.25">
      <c r="K483" s="40"/>
    </row>
    <row r="484" spans="11:11" ht="15.75" customHeight="1" x14ac:dyDescent="0.25">
      <c r="K484" s="40"/>
    </row>
    <row r="485" spans="11:11" ht="15.75" customHeight="1" x14ac:dyDescent="0.25">
      <c r="K485" s="40"/>
    </row>
    <row r="486" spans="11:11" ht="15.75" customHeight="1" x14ac:dyDescent="0.25">
      <c r="K486" s="40"/>
    </row>
    <row r="487" spans="11:11" ht="15.75" customHeight="1" x14ac:dyDescent="0.25">
      <c r="K487" s="40"/>
    </row>
    <row r="488" spans="11:11" ht="15.75" customHeight="1" x14ac:dyDescent="0.25">
      <c r="K488" s="40"/>
    </row>
    <row r="489" spans="11:11" ht="15.75" customHeight="1" x14ac:dyDescent="0.25">
      <c r="K489" s="40"/>
    </row>
    <row r="490" spans="11:11" ht="15.75" customHeight="1" x14ac:dyDescent="0.25">
      <c r="K490" s="40"/>
    </row>
    <row r="491" spans="11:11" ht="15.75" customHeight="1" x14ac:dyDescent="0.25">
      <c r="K491" s="40"/>
    </row>
    <row r="492" spans="11:11" ht="15.75" customHeight="1" x14ac:dyDescent="0.25">
      <c r="K492" s="40"/>
    </row>
    <row r="493" spans="11:11" ht="15.75" customHeight="1" x14ac:dyDescent="0.25">
      <c r="K493" s="40"/>
    </row>
    <row r="494" spans="11:11" ht="15.75" customHeight="1" x14ac:dyDescent="0.25">
      <c r="K494" s="40"/>
    </row>
    <row r="495" spans="11:11" ht="15.75" customHeight="1" x14ac:dyDescent="0.25">
      <c r="K495" s="40"/>
    </row>
    <row r="496" spans="11:11" ht="15.75" customHeight="1" x14ac:dyDescent="0.25">
      <c r="K496" s="40"/>
    </row>
    <row r="497" spans="11:11" ht="15.75" customHeight="1" x14ac:dyDescent="0.25">
      <c r="K497" s="40"/>
    </row>
    <row r="498" spans="11:11" ht="15.75" customHeight="1" x14ac:dyDescent="0.25">
      <c r="K498" s="40"/>
    </row>
    <row r="499" spans="11:11" ht="15.75" customHeight="1" x14ac:dyDescent="0.25">
      <c r="K499" s="40"/>
    </row>
    <row r="500" spans="11:11" ht="15.75" customHeight="1" x14ac:dyDescent="0.25">
      <c r="K500" s="40"/>
    </row>
    <row r="501" spans="11:11" ht="15.75" customHeight="1" x14ac:dyDescent="0.25">
      <c r="K501" s="40"/>
    </row>
    <row r="502" spans="11:11" ht="15.75" customHeight="1" x14ac:dyDescent="0.25">
      <c r="K502" s="40"/>
    </row>
    <row r="503" spans="11:11" ht="15.75" customHeight="1" x14ac:dyDescent="0.25">
      <c r="K503" s="40"/>
    </row>
    <row r="504" spans="11:11" ht="15.75" customHeight="1" x14ac:dyDescent="0.25">
      <c r="K504" s="40"/>
    </row>
    <row r="505" spans="11:11" ht="15.75" customHeight="1" x14ac:dyDescent="0.25">
      <c r="K505" s="40"/>
    </row>
    <row r="506" spans="11:11" ht="15.75" customHeight="1" x14ac:dyDescent="0.25">
      <c r="K506" s="40"/>
    </row>
    <row r="507" spans="11:11" ht="15.75" customHeight="1" x14ac:dyDescent="0.25">
      <c r="K507" s="40"/>
    </row>
    <row r="508" spans="11:11" ht="15.75" customHeight="1" x14ac:dyDescent="0.25">
      <c r="K508" s="40"/>
    </row>
    <row r="509" spans="11:11" ht="15.75" customHeight="1" x14ac:dyDescent="0.25">
      <c r="K509" s="40"/>
    </row>
    <row r="510" spans="11:11" ht="15.75" customHeight="1" x14ac:dyDescent="0.25">
      <c r="K510" s="40"/>
    </row>
    <row r="511" spans="11:11" ht="15.75" customHeight="1" x14ac:dyDescent="0.25">
      <c r="K511" s="40"/>
    </row>
    <row r="512" spans="11:11" ht="15.75" customHeight="1" x14ac:dyDescent="0.25">
      <c r="K512" s="40"/>
    </row>
    <row r="513" spans="11:11" ht="15.75" customHeight="1" x14ac:dyDescent="0.25">
      <c r="K513" s="40"/>
    </row>
    <row r="514" spans="11:11" ht="15.75" customHeight="1" x14ac:dyDescent="0.25">
      <c r="K514" s="40"/>
    </row>
    <row r="515" spans="11:11" ht="15.75" customHeight="1" x14ac:dyDescent="0.25">
      <c r="K515" s="40"/>
    </row>
    <row r="516" spans="11:11" ht="15.75" customHeight="1" x14ac:dyDescent="0.25">
      <c r="K516" s="40"/>
    </row>
    <row r="517" spans="11:11" ht="15.75" customHeight="1" x14ac:dyDescent="0.25">
      <c r="K517" s="40"/>
    </row>
    <row r="518" spans="11:11" ht="15.75" customHeight="1" x14ac:dyDescent="0.25">
      <c r="K518" s="40"/>
    </row>
    <row r="519" spans="11:11" ht="15.75" customHeight="1" x14ac:dyDescent="0.25">
      <c r="K519" s="40"/>
    </row>
    <row r="520" spans="11:11" ht="15.75" customHeight="1" x14ac:dyDescent="0.25">
      <c r="K520" s="40"/>
    </row>
    <row r="521" spans="11:11" ht="15.75" customHeight="1" x14ac:dyDescent="0.25">
      <c r="K521" s="40"/>
    </row>
    <row r="522" spans="11:11" ht="15.75" customHeight="1" x14ac:dyDescent="0.25">
      <c r="K522" s="40"/>
    </row>
    <row r="523" spans="11:11" ht="15.75" customHeight="1" x14ac:dyDescent="0.25">
      <c r="K523" s="40"/>
    </row>
    <row r="524" spans="11:11" ht="15.75" customHeight="1" x14ac:dyDescent="0.25">
      <c r="K524" s="40"/>
    </row>
    <row r="525" spans="11:11" ht="15.75" customHeight="1" x14ac:dyDescent="0.25">
      <c r="K525" s="40"/>
    </row>
    <row r="526" spans="11:11" ht="15.75" customHeight="1" x14ac:dyDescent="0.25">
      <c r="K526" s="40"/>
    </row>
    <row r="527" spans="11:11" ht="15.75" customHeight="1" x14ac:dyDescent="0.25">
      <c r="K527" s="40"/>
    </row>
    <row r="528" spans="11:11" ht="15.75" customHeight="1" x14ac:dyDescent="0.25">
      <c r="K528" s="40"/>
    </row>
    <row r="529" spans="11:11" ht="15.75" customHeight="1" x14ac:dyDescent="0.25">
      <c r="K529" s="40"/>
    </row>
    <row r="530" spans="11:11" ht="15.75" customHeight="1" x14ac:dyDescent="0.25">
      <c r="K530" s="40"/>
    </row>
    <row r="531" spans="11:11" ht="15.75" customHeight="1" x14ac:dyDescent="0.25">
      <c r="K531" s="40"/>
    </row>
    <row r="532" spans="11:11" ht="15.75" customHeight="1" x14ac:dyDescent="0.25">
      <c r="K532" s="40"/>
    </row>
    <row r="533" spans="11:11" ht="15.75" customHeight="1" x14ac:dyDescent="0.25">
      <c r="K533" s="40"/>
    </row>
    <row r="534" spans="11:11" ht="15.75" customHeight="1" x14ac:dyDescent="0.25">
      <c r="K534" s="40"/>
    </row>
    <row r="535" spans="11:11" ht="15.75" customHeight="1" x14ac:dyDescent="0.25">
      <c r="K535" s="40"/>
    </row>
    <row r="536" spans="11:11" ht="15.75" customHeight="1" x14ac:dyDescent="0.25">
      <c r="K536" s="40"/>
    </row>
    <row r="537" spans="11:11" ht="15.75" customHeight="1" x14ac:dyDescent="0.25">
      <c r="K537" s="40"/>
    </row>
    <row r="538" spans="11:11" ht="15.75" customHeight="1" x14ac:dyDescent="0.25">
      <c r="K538" s="40"/>
    </row>
    <row r="539" spans="11:11" ht="15.75" customHeight="1" x14ac:dyDescent="0.25">
      <c r="K539" s="40"/>
    </row>
    <row r="540" spans="11:11" ht="15.75" customHeight="1" x14ac:dyDescent="0.25">
      <c r="K540" s="40"/>
    </row>
    <row r="541" spans="11:11" ht="15.75" customHeight="1" x14ac:dyDescent="0.25">
      <c r="K541" s="40"/>
    </row>
    <row r="542" spans="11:11" ht="15.75" customHeight="1" x14ac:dyDescent="0.25">
      <c r="K542" s="40"/>
    </row>
    <row r="543" spans="11:11" ht="15.75" customHeight="1" x14ac:dyDescent="0.25">
      <c r="K543" s="40"/>
    </row>
    <row r="544" spans="11:11" ht="15.75" customHeight="1" x14ac:dyDescent="0.25">
      <c r="K544" s="40"/>
    </row>
    <row r="545" spans="11:11" ht="15.75" customHeight="1" x14ac:dyDescent="0.25">
      <c r="K545" s="40"/>
    </row>
    <row r="546" spans="11:11" ht="15.75" customHeight="1" x14ac:dyDescent="0.25">
      <c r="K546" s="40"/>
    </row>
    <row r="547" spans="11:11" ht="15.75" customHeight="1" x14ac:dyDescent="0.25">
      <c r="K547" s="40"/>
    </row>
    <row r="548" spans="11:11" ht="15.75" customHeight="1" x14ac:dyDescent="0.25">
      <c r="K548" s="40"/>
    </row>
    <row r="549" spans="11:11" ht="15.75" customHeight="1" x14ac:dyDescent="0.25">
      <c r="K549" s="40"/>
    </row>
    <row r="550" spans="11:11" ht="15.75" customHeight="1" x14ac:dyDescent="0.25">
      <c r="K550" s="40"/>
    </row>
    <row r="551" spans="11:11" ht="15.75" customHeight="1" x14ac:dyDescent="0.25">
      <c r="K551" s="40"/>
    </row>
    <row r="552" spans="11:11" ht="15.75" customHeight="1" x14ac:dyDescent="0.25">
      <c r="K552" s="40"/>
    </row>
    <row r="553" spans="11:11" ht="15.75" customHeight="1" x14ac:dyDescent="0.25">
      <c r="K553" s="40"/>
    </row>
    <row r="554" spans="11:11" ht="15.75" customHeight="1" x14ac:dyDescent="0.25">
      <c r="K554" s="40"/>
    </row>
    <row r="555" spans="11:11" ht="15.75" customHeight="1" x14ac:dyDescent="0.25">
      <c r="K555" s="40"/>
    </row>
    <row r="556" spans="11:11" ht="15.75" customHeight="1" x14ac:dyDescent="0.25">
      <c r="K556" s="40"/>
    </row>
    <row r="557" spans="11:11" ht="15.75" customHeight="1" x14ac:dyDescent="0.25">
      <c r="K557" s="40"/>
    </row>
    <row r="558" spans="11:11" ht="15.75" customHeight="1" x14ac:dyDescent="0.25">
      <c r="K558" s="40"/>
    </row>
    <row r="559" spans="11:11" ht="15.75" customHeight="1" x14ac:dyDescent="0.25">
      <c r="K559" s="40"/>
    </row>
    <row r="560" spans="11:11" ht="15.75" customHeight="1" x14ac:dyDescent="0.25">
      <c r="K560" s="40"/>
    </row>
    <row r="561" spans="11:11" ht="15.75" customHeight="1" x14ac:dyDescent="0.25">
      <c r="K561" s="40"/>
    </row>
    <row r="562" spans="11:11" ht="15.75" customHeight="1" x14ac:dyDescent="0.25">
      <c r="K562" s="40"/>
    </row>
    <row r="563" spans="11:11" ht="15.75" customHeight="1" x14ac:dyDescent="0.25">
      <c r="K563" s="40"/>
    </row>
    <row r="564" spans="11:11" ht="15.75" customHeight="1" x14ac:dyDescent="0.25">
      <c r="K564" s="40"/>
    </row>
    <row r="565" spans="11:11" ht="15.75" customHeight="1" x14ac:dyDescent="0.25">
      <c r="K565" s="40"/>
    </row>
    <row r="566" spans="11:11" ht="15.75" customHeight="1" x14ac:dyDescent="0.25">
      <c r="K566" s="40"/>
    </row>
    <row r="567" spans="11:11" ht="15.75" customHeight="1" x14ac:dyDescent="0.25">
      <c r="K567" s="40"/>
    </row>
    <row r="568" spans="11:11" ht="15.75" customHeight="1" x14ac:dyDescent="0.25">
      <c r="K568" s="40"/>
    </row>
    <row r="569" spans="11:11" ht="15.75" customHeight="1" x14ac:dyDescent="0.25">
      <c r="K569" s="40"/>
    </row>
    <row r="570" spans="11:11" ht="15.75" customHeight="1" x14ac:dyDescent="0.25">
      <c r="K570" s="40"/>
    </row>
    <row r="571" spans="11:11" ht="15.75" customHeight="1" x14ac:dyDescent="0.25">
      <c r="K571" s="40"/>
    </row>
    <row r="572" spans="11:11" ht="15.75" customHeight="1" x14ac:dyDescent="0.25">
      <c r="K572" s="40"/>
    </row>
    <row r="573" spans="11:11" ht="15.75" customHeight="1" x14ac:dyDescent="0.25">
      <c r="K573" s="40"/>
    </row>
    <row r="574" spans="11:11" ht="15.75" customHeight="1" x14ac:dyDescent="0.25">
      <c r="K574" s="40"/>
    </row>
    <row r="575" spans="11:11" ht="15.75" customHeight="1" x14ac:dyDescent="0.25">
      <c r="K575" s="40"/>
    </row>
    <row r="576" spans="11:11" ht="15.75" customHeight="1" x14ac:dyDescent="0.25">
      <c r="K576" s="40"/>
    </row>
    <row r="577" spans="11:11" ht="15.75" customHeight="1" x14ac:dyDescent="0.25">
      <c r="K577" s="40"/>
    </row>
    <row r="578" spans="11:11" ht="15.75" customHeight="1" x14ac:dyDescent="0.25">
      <c r="K578" s="40"/>
    </row>
    <row r="579" spans="11:11" ht="15.75" customHeight="1" x14ac:dyDescent="0.25">
      <c r="K579" s="40"/>
    </row>
    <row r="580" spans="11:11" ht="15.75" customHeight="1" x14ac:dyDescent="0.25">
      <c r="K580" s="40"/>
    </row>
    <row r="581" spans="11:11" ht="15.75" customHeight="1" x14ac:dyDescent="0.25">
      <c r="K581" s="40"/>
    </row>
    <row r="582" spans="11:11" ht="15.75" customHeight="1" x14ac:dyDescent="0.25">
      <c r="K582" s="40"/>
    </row>
    <row r="583" spans="11:11" ht="15.75" customHeight="1" x14ac:dyDescent="0.25">
      <c r="K583" s="40"/>
    </row>
    <row r="584" spans="11:11" ht="15.75" customHeight="1" x14ac:dyDescent="0.25">
      <c r="K584" s="40"/>
    </row>
    <row r="585" spans="11:11" ht="15.75" customHeight="1" x14ac:dyDescent="0.25">
      <c r="K585" s="40"/>
    </row>
    <row r="586" spans="11:11" ht="15.75" customHeight="1" x14ac:dyDescent="0.25">
      <c r="K586" s="40"/>
    </row>
    <row r="587" spans="11:11" ht="15.75" customHeight="1" x14ac:dyDescent="0.25">
      <c r="K587" s="40"/>
    </row>
    <row r="588" spans="11:11" ht="15.75" customHeight="1" x14ac:dyDescent="0.25">
      <c r="K588" s="40"/>
    </row>
    <row r="589" spans="11:11" ht="15.75" customHeight="1" x14ac:dyDescent="0.25">
      <c r="K589" s="40"/>
    </row>
    <row r="590" spans="11:11" ht="15.75" customHeight="1" x14ac:dyDescent="0.25">
      <c r="K590" s="40"/>
    </row>
    <row r="591" spans="11:11" ht="15.75" customHeight="1" x14ac:dyDescent="0.25">
      <c r="K591" s="40"/>
    </row>
    <row r="592" spans="11:11" ht="15.75" customHeight="1" x14ac:dyDescent="0.25">
      <c r="K592" s="40"/>
    </row>
    <row r="593" spans="11:11" ht="15.75" customHeight="1" x14ac:dyDescent="0.25">
      <c r="K593" s="40"/>
    </row>
    <row r="594" spans="11:11" ht="15.75" customHeight="1" x14ac:dyDescent="0.25">
      <c r="K594" s="40"/>
    </row>
    <row r="595" spans="11:11" ht="15.75" customHeight="1" x14ac:dyDescent="0.25">
      <c r="K595" s="40"/>
    </row>
    <row r="596" spans="11:11" ht="15.75" customHeight="1" x14ac:dyDescent="0.25">
      <c r="K596" s="40"/>
    </row>
    <row r="597" spans="11:11" ht="15.75" customHeight="1" x14ac:dyDescent="0.25">
      <c r="K597" s="40"/>
    </row>
    <row r="598" spans="11:11" ht="15.75" customHeight="1" x14ac:dyDescent="0.25">
      <c r="K598" s="40"/>
    </row>
    <row r="599" spans="11:11" ht="15.75" customHeight="1" x14ac:dyDescent="0.25">
      <c r="K599" s="40"/>
    </row>
    <row r="600" spans="11:11" ht="15.75" customHeight="1" x14ac:dyDescent="0.25">
      <c r="K600" s="40"/>
    </row>
    <row r="601" spans="11:11" ht="15.75" customHeight="1" x14ac:dyDescent="0.25">
      <c r="K601" s="40"/>
    </row>
    <row r="602" spans="11:11" ht="15.75" customHeight="1" x14ac:dyDescent="0.25">
      <c r="K602" s="40"/>
    </row>
    <row r="603" spans="11:11" ht="15.75" customHeight="1" x14ac:dyDescent="0.25">
      <c r="K603" s="40"/>
    </row>
    <row r="604" spans="11:11" ht="15.75" customHeight="1" x14ac:dyDescent="0.25">
      <c r="K604" s="40"/>
    </row>
    <row r="605" spans="11:11" ht="15.75" customHeight="1" x14ac:dyDescent="0.25">
      <c r="K605" s="40"/>
    </row>
    <row r="606" spans="11:11" ht="15.75" customHeight="1" x14ac:dyDescent="0.25">
      <c r="K606" s="40"/>
    </row>
    <row r="607" spans="11:11" ht="15.75" customHeight="1" x14ac:dyDescent="0.25">
      <c r="K607" s="40"/>
    </row>
    <row r="608" spans="11:11" ht="15.75" customHeight="1" x14ac:dyDescent="0.25">
      <c r="K608" s="40"/>
    </row>
    <row r="609" spans="11:11" ht="15.75" customHeight="1" x14ac:dyDescent="0.25">
      <c r="K609" s="40"/>
    </row>
    <row r="610" spans="11:11" ht="15.75" customHeight="1" x14ac:dyDescent="0.25">
      <c r="K610" s="40"/>
    </row>
    <row r="611" spans="11:11" ht="15.75" customHeight="1" x14ac:dyDescent="0.25">
      <c r="K611" s="40"/>
    </row>
    <row r="612" spans="11:11" ht="15.75" customHeight="1" x14ac:dyDescent="0.25">
      <c r="K612" s="40"/>
    </row>
    <row r="613" spans="11:11" ht="15.75" customHeight="1" x14ac:dyDescent="0.25">
      <c r="K613" s="40"/>
    </row>
    <row r="614" spans="11:11" ht="15.75" customHeight="1" x14ac:dyDescent="0.25">
      <c r="K614" s="40"/>
    </row>
    <row r="615" spans="11:11" ht="15.75" customHeight="1" x14ac:dyDescent="0.25">
      <c r="K615" s="40"/>
    </row>
    <row r="616" spans="11:11" ht="15.75" customHeight="1" x14ac:dyDescent="0.25">
      <c r="K616" s="40"/>
    </row>
    <row r="617" spans="11:11" ht="15.75" customHeight="1" x14ac:dyDescent="0.25">
      <c r="K617" s="40"/>
    </row>
    <row r="618" spans="11:11" ht="15.75" customHeight="1" x14ac:dyDescent="0.25">
      <c r="K618" s="40"/>
    </row>
    <row r="619" spans="11:11" ht="15.75" customHeight="1" x14ac:dyDescent="0.25">
      <c r="K619" s="40"/>
    </row>
    <row r="620" spans="11:11" ht="15.75" customHeight="1" x14ac:dyDescent="0.25">
      <c r="K620" s="40"/>
    </row>
    <row r="621" spans="11:11" ht="15.75" customHeight="1" x14ac:dyDescent="0.25">
      <c r="K621" s="40"/>
    </row>
    <row r="622" spans="11:11" ht="15.75" customHeight="1" x14ac:dyDescent="0.25">
      <c r="K622" s="40"/>
    </row>
    <row r="623" spans="11:11" ht="15.75" customHeight="1" x14ac:dyDescent="0.25">
      <c r="K623" s="40"/>
    </row>
    <row r="624" spans="11:11" ht="15.75" customHeight="1" x14ac:dyDescent="0.25">
      <c r="K624" s="40"/>
    </row>
    <row r="625" spans="11:11" ht="15.75" customHeight="1" x14ac:dyDescent="0.25">
      <c r="K625" s="40"/>
    </row>
    <row r="626" spans="11:11" ht="15.75" customHeight="1" x14ac:dyDescent="0.25">
      <c r="K626" s="40"/>
    </row>
    <row r="627" spans="11:11" ht="15.75" customHeight="1" x14ac:dyDescent="0.25">
      <c r="K627" s="40"/>
    </row>
    <row r="628" spans="11:11" ht="15.75" customHeight="1" x14ac:dyDescent="0.25">
      <c r="K628" s="40"/>
    </row>
    <row r="629" spans="11:11" ht="15.75" customHeight="1" x14ac:dyDescent="0.25">
      <c r="K629" s="40"/>
    </row>
    <row r="630" spans="11:11" ht="15.75" customHeight="1" x14ac:dyDescent="0.25">
      <c r="K630" s="40"/>
    </row>
    <row r="631" spans="11:11" ht="15.75" customHeight="1" x14ac:dyDescent="0.25">
      <c r="K631" s="40"/>
    </row>
    <row r="632" spans="11:11" ht="15.75" customHeight="1" x14ac:dyDescent="0.25">
      <c r="K632" s="40"/>
    </row>
    <row r="633" spans="11:11" ht="15.75" customHeight="1" x14ac:dyDescent="0.25">
      <c r="K633" s="40"/>
    </row>
    <row r="634" spans="11:11" ht="15.75" customHeight="1" x14ac:dyDescent="0.25">
      <c r="K634" s="40"/>
    </row>
    <row r="635" spans="11:11" ht="15.75" customHeight="1" x14ac:dyDescent="0.25">
      <c r="K635" s="40"/>
    </row>
    <row r="636" spans="11:11" ht="15.75" customHeight="1" x14ac:dyDescent="0.25">
      <c r="K636" s="40"/>
    </row>
    <row r="637" spans="11:11" ht="15.75" customHeight="1" x14ac:dyDescent="0.25">
      <c r="K637" s="40"/>
    </row>
    <row r="638" spans="11:11" ht="15.75" customHeight="1" x14ac:dyDescent="0.25">
      <c r="K638" s="40"/>
    </row>
    <row r="639" spans="11:11" ht="15.75" customHeight="1" x14ac:dyDescent="0.25">
      <c r="K639" s="40"/>
    </row>
    <row r="640" spans="11:11" ht="15.75" customHeight="1" x14ac:dyDescent="0.25">
      <c r="K640" s="40"/>
    </row>
    <row r="641" spans="11:11" ht="15.75" customHeight="1" x14ac:dyDescent="0.25">
      <c r="K641" s="40"/>
    </row>
    <row r="642" spans="11:11" ht="15.75" customHeight="1" x14ac:dyDescent="0.25">
      <c r="K642" s="40"/>
    </row>
    <row r="643" spans="11:11" ht="15.75" customHeight="1" x14ac:dyDescent="0.25">
      <c r="K643" s="40"/>
    </row>
    <row r="644" spans="11:11" ht="15.75" customHeight="1" x14ac:dyDescent="0.25">
      <c r="K644" s="40"/>
    </row>
    <row r="645" spans="11:11" ht="15.75" customHeight="1" x14ac:dyDescent="0.25">
      <c r="K645" s="40"/>
    </row>
    <row r="646" spans="11:11" ht="15.75" customHeight="1" x14ac:dyDescent="0.25">
      <c r="K646" s="40"/>
    </row>
    <row r="647" spans="11:11" ht="15.75" customHeight="1" x14ac:dyDescent="0.25">
      <c r="K647" s="40"/>
    </row>
    <row r="648" spans="11:11" ht="15.75" customHeight="1" x14ac:dyDescent="0.25">
      <c r="K648" s="40"/>
    </row>
    <row r="649" spans="11:11" ht="15.75" customHeight="1" x14ac:dyDescent="0.25">
      <c r="K649" s="40"/>
    </row>
    <row r="650" spans="11:11" ht="15.75" customHeight="1" x14ac:dyDescent="0.25">
      <c r="K650" s="40"/>
    </row>
    <row r="651" spans="11:11" ht="15.75" customHeight="1" x14ac:dyDescent="0.25">
      <c r="K651" s="40"/>
    </row>
    <row r="652" spans="11:11" ht="15.75" customHeight="1" x14ac:dyDescent="0.25">
      <c r="K652" s="40"/>
    </row>
    <row r="653" spans="11:11" ht="15.75" customHeight="1" x14ac:dyDescent="0.25">
      <c r="K653" s="40"/>
    </row>
    <row r="654" spans="11:11" ht="15.75" customHeight="1" x14ac:dyDescent="0.25">
      <c r="K654" s="40"/>
    </row>
    <row r="655" spans="11:11" ht="15.75" customHeight="1" x14ac:dyDescent="0.25">
      <c r="K655" s="40"/>
    </row>
    <row r="656" spans="11:11" ht="15.75" customHeight="1" x14ac:dyDescent="0.25">
      <c r="K656" s="40"/>
    </row>
    <row r="657" spans="11:11" ht="15.75" customHeight="1" x14ac:dyDescent="0.25">
      <c r="K657" s="40"/>
    </row>
    <row r="658" spans="11:11" ht="15.75" customHeight="1" x14ac:dyDescent="0.25">
      <c r="K658" s="40"/>
    </row>
    <row r="659" spans="11:11" ht="15.75" customHeight="1" x14ac:dyDescent="0.25">
      <c r="K659" s="40"/>
    </row>
    <row r="660" spans="11:11" ht="15.75" customHeight="1" x14ac:dyDescent="0.25">
      <c r="K660" s="40"/>
    </row>
    <row r="661" spans="11:11" ht="15.75" customHeight="1" x14ac:dyDescent="0.25">
      <c r="K661" s="40"/>
    </row>
    <row r="662" spans="11:11" ht="15.75" customHeight="1" x14ac:dyDescent="0.25">
      <c r="K662" s="40"/>
    </row>
    <row r="663" spans="11:11" ht="15.75" customHeight="1" x14ac:dyDescent="0.25">
      <c r="K663" s="40"/>
    </row>
    <row r="664" spans="11:11" ht="15.75" customHeight="1" x14ac:dyDescent="0.25">
      <c r="K664" s="40"/>
    </row>
    <row r="665" spans="11:11" ht="15.75" customHeight="1" x14ac:dyDescent="0.25">
      <c r="K665" s="40"/>
    </row>
    <row r="666" spans="11:11" ht="15.75" customHeight="1" x14ac:dyDescent="0.25">
      <c r="K666" s="40"/>
    </row>
    <row r="667" spans="11:11" ht="15.75" customHeight="1" x14ac:dyDescent="0.25">
      <c r="K667" s="40"/>
    </row>
    <row r="668" spans="11:11" ht="15.75" customHeight="1" x14ac:dyDescent="0.25">
      <c r="K668" s="40"/>
    </row>
    <row r="669" spans="11:11" ht="15.75" customHeight="1" x14ac:dyDescent="0.25">
      <c r="K669" s="40"/>
    </row>
    <row r="670" spans="11:11" ht="15.75" customHeight="1" x14ac:dyDescent="0.25">
      <c r="K670" s="40"/>
    </row>
    <row r="671" spans="11:11" ht="15.75" customHeight="1" x14ac:dyDescent="0.25">
      <c r="K671" s="40"/>
    </row>
    <row r="672" spans="11:11" ht="15.75" customHeight="1" x14ac:dyDescent="0.25">
      <c r="K672" s="40"/>
    </row>
    <row r="673" spans="11:11" ht="15.75" customHeight="1" x14ac:dyDescent="0.25">
      <c r="K673" s="40"/>
    </row>
    <row r="674" spans="11:11" ht="15.75" customHeight="1" x14ac:dyDescent="0.25">
      <c r="K674" s="40"/>
    </row>
    <row r="675" spans="11:11" ht="15.75" customHeight="1" x14ac:dyDescent="0.25">
      <c r="K675" s="40"/>
    </row>
    <row r="676" spans="11:11" ht="15.75" customHeight="1" x14ac:dyDescent="0.25">
      <c r="K676" s="40"/>
    </row>
    <row r="677" spans="11:11" ht="15.75" customHeight="1" x14ac:dyDescent="0.25">
      <c r="K677" s="40"/>
    </row>
    <row r="678" spans="11:11" ht="15.75" customHeight="1" x14ac:dyDescent="0.25">
      <c r="K678" s="40"/>
    </row>
    <row r="679" spans="11:11" ht="15.75" customHeight="1" x14ac:dyDescent="0.25">
      <c r="K679" s="40"/>
    </row>
    <row r="680" spans="11:11" ht="15.75" customHeight="1" x14ac:dyDescent="0.25">
      <c r="K680" s="40"/>
    </row>
    <row r="681" spans="11:11" ht="15.75" customHeight="1" x14ac:dyDescent="0.25">
      <c r="K681" s="40"/>
    </row>
    <row r="682" spans="11:11" ht="15.75" customHeight="1" x14ac:dyDescent="0.25">
      <c r="K682" s="40"/>
    </row>
    <row r="683" spans="11:11" ht="15.75" customHeight="1" x14ac:dyDescent="0.25">
      <c r="K683" s="40"/>
    </row>
    <row r="684" spans="11:11" ht="15.75" customHeight="1" x14ac:dyDescent="0.25">
      <c r="K684" s="40"/>
    </row>
    <row r="685" spans="11:11" ht="15.75" customHeight="1" x14ac:dyDescent="0.25">
      <c r="K685" s="40"/>
    </row>
    <row r="686" spans="11:11" ht="15.75" customHeight="1" x14ac:dyDescent="0.25">
      <c r="K686" s="40"/>
    </row>
    <row r="687" spans="11:11" ht="15.75" customHeight="1" x14ac:dyDescent="0.25">
      <c r="K687" s="40"/>
    </row>
    <row r="688" spans="11:11" ht="15.75" customHeight="1" x14ac:dyDescent="0.25">
      <c r="K688" s="40"/>
    </row>
    <row r="689" spans="11:11" ht="15.75" customHeight="1" x14ac:dyDescent="0.25">
      <c r="K689" s="40"/>
    </row>
    <row r="690" spans="11:11" ht="15.75" customHeight="1" x14ac:dyDescent="0.25">
      <c r="K690" s="40"/>
    </row>
    <row r="691" spans="11:11" ht="15.75" customHeight="1" x14ac:dyDescent="0.25">
      <c r="K691" s="40"/>
    </row>
    <row r="692" spans="11:11" ht="15.75" customHeight="1" x14ac:dyDescent="0.25">
      <c r="K692" s="40"/>
    </row>
    <row r="693" spans="11:11" ht="15.75" customHeight="1" x14ac:dyDescent="0.25">
      <c r="K693" s="40"/>
    </row>
    <row r="694" spans="11:11" ht="15.75" customHeight="1" x14ac:dyDescent="0.25">
      <c r="K694" s="40"/>
    </row>
    <row r="695" spans="11:11" ht="15.75" customHeight="1" x14ac:dyDescent="0.25">
      <c r="K695" s="40"/>
    </row>
    <row r="696" spans="11:11" ht="15.75" customHeight="1" x14ac:dyDescent="0.25">
      <c r="K696" s="40"/>
    </row>
    <row r="697" spans="11:11" ht="15.75" customHeight="1" x14ac:dyDescent="0.25">
      <c r="K697" s="40"/>
    </row>
    <row r="698" spans="11:11" ht="15.75" customHeight="1" x14ac:dyDescent="0.25">
      <c r="K698" s="40"/>
    </row>
    <row r="699" spans="11:11" ht="15.75" customHeight="1" x14ac:dyDescent="0.25">
      <c r="K699" s="40"/>
    </row>
    <row r="700" spans="11:11" ht="15.75" customHeight="1" x14ac:dyDescent="0.25">
      <c r="K700" s="40"/>
    </row>
    <row r="701" spans="11:11" ht="15.75" customHeight="1" x14ac:dyDescent="0.25">
      <c r="K701" s="40"/>
    </row>
    <row r="702" spans="11:11" ht="15.75" customHeight="1" x14ac:dyDescent="0.25">
      <c r="K702" s="40"/>
    </row>
    <row r="703" spans="11:11" ht="15.75" customHeight="1" x14ac:dyDescent="0.25">
      <c r="K703" s="40"/>
    </row>
    <row r="704" spans="11:11" ht="15.75" customHeight="1" x14ac:dyDescent="0.25">
      <c r="K704" s="40"/>
    </row>
    <row r="705" spans="11:11" ht="15.75" customHeight="1" x14ac:dyDescent="0.25">
      <c r="K705" s="40"/>
    </row>
    <row r="706" spans="11:11" ht="15.75" customHeight="1" x14ac:dyDescent="0.25">
      <c r="K706" s="40"/>
    </row>
    <row r="707" spans="11:11" ht="15.75" customHeight="1" x14ac:dyDescent="0.25">
      <c r="K707" s="40"/>
    </row>
    <row r="708" spans="11:11" ht="15.75" customHeight="1" x14ac:dyDescent="0.25">
      <c r="K708" s="40"/>
    </row>
    <row r="709" spans="11:11" ht="15.75" customHeight="1" x14ac:dyDescent="0.25">
      <c r="K709" s="40"/>
    </row>
    <row r="710" spans="11:11" ht="15.75" customHeight="1" x14ac:dyDescent="0.25">
      <c r="K710" s="40"/>
    </row>
    <row r="711" spans="11:11" ht="15.75" customHeight="1" x14ac:dyDescent="0.25">
      <c r="K711" s="40"/>
    </row>
    <row r="712" spans="11:11" ht="15.75" customHeight="1" x14ac:dyDescent="0.25">
      <c r="K712" s="40"/>
    </row>
    <row r="713" spans="11:11" ht="15.75" customHeight="1" x14ac:dyDescent="0.25">
      <c r="K713" s="40"/>
    </row>
    <row r="714" spans="11:11" ht="15.75" customHeight="1" x14ac:dyDescent="0.25">
      <c r="K714" s="40"/>
    </row>
    <row r="715" spans="11:11" ht="15.75" customHeight="1" x14ac:dyDescent="0.25">
      <c r="K715" s="40"/>
    </row>
    <row r="716" spans="11:11" ht="15.75" customHeight="1" x14ac:dyDescent="0.25">
      <c r="K716" s="40"/>
    </row>
    <row r="717" spans="11:11" ht="15.75" customHeight="1" x14ac:dyDescent="0.25">
      <c r="K717" s="40"/>
    </row>
    <row r="718" spans="11:11" ht="15.75" customHeight="1" x14ac:dyDescent="0.25">
      <c r="K718" s="40"/>
    </row>
    <row r="719" spans="11:11" ht="15.75" customHeight="1" x14ac:dyDescent="0.25">
      <c r="K719" s="40"/>
    </row>
    <row r="720" spans="11:11" ht="15.75" customHeight="1" x14ac:dyDescent="0.25">
      <c r="K720" s="40"/>
    </row>
    <row r="721" spans="11:11" ht="15.75" customHeight="1" x14ac:dyDescent="0.25">
      <c r="K721" s="40"/>
    </row>
    <row r="722" spans="11:11" ht="15.75" customHeight="1" x14ac:dyDescent="0.25">
      <c r="K722" s="40"/>
    </row>
    <row r="723" spans="11:11" ht="15.75" customHeight="1" x14ac:dyDescent="0.25">
      <c r="K723" s="40"/>
    </row>
    <row r="724" spans="11:11" ht="15.75" customHeight="1" x14ac:dyDescent="0.25">
      <c r="K724" s="40"/>
    </row>
    <row r="725" spans="11:11" ht="15.75" customHeight="1" x14ac:dyDescent="0.25">
      <c r="K725" s="40"/>
    </row>
    <row r="726" spans="11:11" ht="15.75" customHeight="1" x14ac:dyDescent="0.25">
      <c r="K726" s="40"/>
    </row>
    <row r="727" spans="11:11" ht="15.75" customHeight="1" x14ac:dyDescent="0.25">
      <c r="K727" s="40"/>
    </row>
    <row r="728" spans="11:11" ht="15.75" customHeight="1" x14ac:dyDescent="0.25">
      <c r="K728" s="40"/>
    </row>
    <row r="729" spans="11:11" ht="15.75" customHeight="1" x14ac:dyDescent="0.25">
      <c r="K729" s="40"/>
    </row>
    <row r="730" spans="11:11" ht="15.75" customHeight="1" x14ac:dyDescent="0.25">
      <c r="K730" s="40"/>
    </row>
    <row r="731" spans="11:11" ht="15.75" customHeight="1" x14ac:dyDescent="0.25">
      <c r="K731" s="40"/>
    </row>
    <row r="732" spans="11:11" ht="15.75" customHeight="1" x14ac:dyDescent="0.25">
      <c r="K732" s="40"/>
    </row>
    <row r="733" spans="11:11" ht="15.75" customHeight="1" x14ac:dyDescent="0.25">
      <c r="K733" s="40"/>
    </row>
    <row r="734" spans="11:11" ht="15.75" customHeight="1" x14ac:dyDescent="0.25">
      <c r="K734" s="40"/>
    </row>
    <row r="735" spans="11:11" ht="15.75" customHeight="1" x14ac:dyDescent="0.25">
      <c r="K735" s="40"/>
    </row>
    <row r="736" spans="11:11" ht="15.75" customHeight="1" x14ac:dyDescent="0.25">
      <c r="K736" s="40"/>
    </row>
    <row r="737" spans="11:11" ht="15.75" customHeight="1" x14ac:dyDescent="0.25">
      <c r="K737" s="40"/>
    </row>
    <row r="738" spans="11:11" ht="15.75" customHeight="1" x14ac:dyDescent="0.25">
      <c r="K738" s="40"/>
    </row>
    <row r="739" spans="11:11" ht="15.75" customHeight="1" x14ac:dyDescent="0.25">
      <c r="K739" s="40"/>
    </row>
    <row r="740" spans="11:11" ht="15.75" customHeight="1" x14ac:dyDescent="0.25">
      <c r="K740" s="40"/>
    </row>
    <row r="741" spans="11:11" ht="15.75" customHeight="1" x14ac:dyDescent="0.25">
      <c r="K741" s="40"/>
    </row>
    <row r="742" spans="11:11" ht="15.75" customHeight="1" x14ac:dyDescent="0.25">
      <c r="K742" s="40"/>
    </row>
    <row r="743" spans="11:11" ht="15.75" customHeight="1" x14ac:dyDescent="0.25">
      <c r="K743" s="40"/>
    </row>
    <row r="744" spans="11:11" ht="15.75" customHeight="1" x14ac:dyDescent="0.25">
      <c r="K744" s="40"/>
    </row>
    <row r="745" spans="11:11" ht="15.75" customHeight="1" x14ac:dyDescent="0.25">
      <c r="K745" s="40"/>
    </row>
    <row r="746" spans="11:11" ht="15.75" customHeight="1" x14ac:dyDescent="0.25">
      <c r="K746" s="40"/>
    </row>
    <row r="747" spans="11:11" ht="15.75" customHeight="1" x14ac:dyDescent="0.25">
      <c r="K747" s="40"/>
    </row>
    <row r="748" spans="11:11" ht="15.75" customHeight="1" x14ac:dyDescent="0.25">
      <c r="K748" s="40"/>
    </row>
    <row r="749" spans="11:11" ht="15.75" customHeight="1" x14ac:dyDescent="0.25">
      <c r="K749" s="40"/>
    </row>
    <row r="750" spans="11:11" ht="15.75" customHeight="1" x14ac:dyDescent="0.25">
      <c r="K750" s="40"/>
    </row>
    <row r="751" spans="11:11" ht="15.75" customHeight="1" x14ac:dyDescent="0.25">
      <c r="K751" s="40"/>
    </row>
    <row r="752" spans="11:11" ht="15.75" customHeight="1" x14ac:dyDescent="0.25">
      <c r="K752" s="40"/>
    </row>
    <row r="753" spans="11:11" ht="15.75" customHeight="1" x14ac:dyDescent="0.25">
      <c r="K753" s="40"/>
    </row>
    <row r="754" spans="11:11" ht="15.75" customHeight="1" x14ac:dyDescent="0.25">
      <c r="K754" s="40"/>
    </row>
    <row r="755" spans="11:11" ht="15.75" customHeight="1" x14ac:dyDescent="0.25">
      <c r="K755" s="40"/>
    </row>
    <row r="756" spans="11:11" ht="15.75" customHeight="1" x14ac:dyDescent="0.25">
      <c r="K756" s="40"/>
    </row>
    <row r="757" spans="11:11" ht="15.75" customHeight="1" x14ac:dyDescent="0.25">
      <c r="K757" s="40"/>
    </row>
    <row r="758" spans="11:11" ht="15.75" customHeight="1" x14ac:dyDescent="0.25">
      <c r="K758" s="40"/>
    </row>
    <row r="759" spans="11:11" ht="15.75" customHeight="1" x14ac:dyDescent="0.25">
      <c r="K759" s="40"/>
    </row>
    <row r="760" spans="11:11" ht="15.75" customHeight="1" x14ac:dyDescent="0.25">
      <c r="K760" s="40"/>
    </row>
    <row r="761" spans="11:11" ht="15.75" customHeight="1" x14ac:dyDescent="0.25">
      <c r="K761" s="40"/>
    </row>
    <row r="762" spans="11:11" ht="15.75" customHeight="1" x14ac:dyDescent="0.25">
      <c r="K762" s="40"/>
    </row>
    <row r="763" spans="11:11" ht="15.75" customHeight="1" x14ac:dyDescent="0.25">
      <c r="K763" s="40"/>
    </row>
    <row r="764" spans="11:11" ht="15.75" customHeight="1" x14ac:dyDescent="0.25">
      <c r="K764" s="40"/>
    </row>
    <row r="765" spans="11:11" ht="15.75" customHeight="1" x14ac:dyDescent="0.25">
      <c r="K765" s="40"/>
    </row>
    <row r="766" spans="11:11" ht="15.75" customHeight="1" x14ac:dyDescent="0.25">
      <c r="K766" s="40"/>
    </row>
    <row r="767" spans="11:11" ht="15.75" customHeight="1" x14ac:dyDescent="0.25">
      <c r="K767" s="40"/>
    </row>
    <row r="768" spans="11:11" ht="15.75" customHeight="1" x14ac:dyDescent="0.25">
      <c r="K768" s="40"/>
    </row>
    <row r="769" spans="11:11" ht="15.75" customHeight="1" x14ac:dyDescent="0.25">
      <c r="K769" s="40"/>
    </row>
    <row r="770" spans="11:11" ht="15.75" customHeight="1" x14ac:dyDescent="0.25">
      <c r="K770" s="40"/>
    </row>
    <row r="771" spans="11:11" ht="15.75" customHeight="1" x14ac:dyDescent="0.25">
      <c r="K771" s="40"/>
    </row>
    <row r="772" spans="11:11" ht="15.75" customHeight="1" x14ac:dyDescent="0.25">
      <c r="K772" s="40"/>
    </row>
    <row r="773" spans="11:11" ht="15.75" customHeight="1" x14ac:dyDescent="0.25">
      <c r="K773" s="40"/>
    </row>
    <row r="774" spans="11:11" ht="15.75" customHeight="1" x14ac:dyDescent="0.25">
      <c r="K774" s="40"/>
    </row>
    <row r="775" spans="11:11" ht="15.75" customHeight="1" x14ac:dyDescent="0.25">
      <c r="K775" s="40"/>
    </row>
    <row r="776" spans="11:11" ht="15.75" customHeight="1" x14ac:dyDescent="0.25">
      <c r="K776" s="40"/>
    </row>
    <row r="777" spans="11:11" ht="15.75" customHeight="1" x14ac:dyDescent="0.25">
      <c r="K777" s="40"/>
    </row>
    <row r="778" spans="11:11" ht="15.75" customHeight="1" x14ac:dyDescent="0.25">
      <c r="K778" s="40"/>
    </row>
    <row r="779" spans="11:11" ht="15.75" customHeight="1" x14ac:dyDescent="0.25">
      <c r="K779" s="40"/>
    </row>
    <row r="780" spans="11:11" ht="15.75" customHeight="1" x14ac:dyDescent="0.25">
      <c r="K780" s="40"/>
    </row>
    <row r="781" spans="11:11" ht="15.75" customHeight="1" x14ac:dyDescent="0.25">
      <c r="K781" s="40"/>
    </row>
    <row r="782" spans="11:11" ht="15.75" customHeight="1" x14ac:dyDescent="0.25">
      <c r="K782" s="40"/>
    </row>
    <row r="783" spans="11:11" ht="15.75" customHeight="1" x14ac:dyDescent="0.25">
      <c r="K783" s="40"/>
    </row>
    <row r="784" spans="11:11" ht="15.75" customHeight="1" x14ac:dyDescent="0.25">
      <c r="K784" s="40"/>
    </row>
    <row r="785" spans="11:11" ht="15.75" customHeight="1" x14ac:dyDescent="0.25">
      <c r="K785" s="40"/>
    </row>
    <row r="786" spans="11:11" ht="15.75" customHeight="1" x14ac:dyDescent="0.25">
      <c r="K786" s="40"/>
    </row>
    <row r="787" spans="11:11" ht="15.75" customHeight="1" x14ac:dyDescent="0.25">
      <c r="K787" s="40"/>
    </row>
    <row r="788" spans="11:11" ht="15.75" customHeight="1" x14ac:dyDescent="0.25">
      <c r="K788" s="40"/>
    </row>
    <row r="789" spans="11:11" ht="15.75" customHeight="1" x14ac:dyDescent="0.25">
      <c r="K789" s="40"/>
    </row>
    <row r="790" spans="11:11" ht="15.75" customHeight="1" x14ac:dyDescent="0.25">
      <c r="K790" s="40"/>
    </row>
    <row r="791" spans="11:11" ht="15.75" customHeight="1" x14ac:dyDescent="0.25">
      <c r="K791" s="40"/>
    </row>
    <row r="792" spans="11:11" ht="15.75" customHeight="1" x14ac:dyDescent="0.25">
      <c r="K792" s="40"/>
    </row>
    <row r="793" spans="11:11" ht="15.75" customHeight="1" x14ac:dyDescent="0.25">
      <c r="K793" s="40"/>
    </row>
    <row r="794" spans="11:11" ht="15.75" customHeight="1" x14ac:dyDescent="0.25">
      <c r="K794" s="40"/>
    </row>
    <row r="795" spans="11:11" ht="15.75" customHeight="1" x14ac:dyDescent="0.25">
      <c r="K795" s="40"/>
    </row>
    <row r="796" spans="11:11" ht="15.75" customHeight="1" x14ac:dyDescent="0.25">
      <c r="K796" s="40"/>
    </row>
    <row r="797" spans="11:11" ht="15.75" customHeight="1" x14ac:dyDescent="0.25">
      <c r="K797" s="40"/>
    </row>
    <row r="798" spans="11:11" ht="15.75" customHeight="1" x14ac:dyDescent="0.25">
      <c r="K798" s="40"/>
    </row>
    <row r="799" spans="11:11" ht="15.75" customHeight="1" x14ac:dyDescent="0.25">
      <c r="K799" s="40"/>
    </row>
    <row r="800" spans="11:11" ht="15.75" customHeight="1" x14ac:dyDescent="0.25">
      <c r="K800" s="40"/>
    </row>
    <row r="801" spans="11:11" ht="15.75" customHeight="1" x14ac:dyDescent="0.25">
      <c r="K801" s="40"/>
    </row>
    <row r="802" spans="11:11" ht="15.75" customHeight="1" x14ac:dyDescent="0.25">
      <c r="K802" s="40"/>
    </row>
    <row r="803" spans="11:11" ht="15.75" customHeight="1" x14ac:dyDescent="0.25">
      <c r="K803" s="40"/>
    </row>
    <row r="804" spans="11:11" ht="15.75" customHeight="1" x14ac:dyDescent="0.25">
      <c r="K804" s="40"/>
    </row>
    <row r="805" spans="11:11" ht="15.75" customHeight="1" x14ac:dyDescent="0.25">
      <c r="K805" s="40"/>
    </row>
    <row r="806" spans="11:11" ht="15.75" customHeight="1" x14ac:dyDescent="0.25">
      <c r="K806" s="40"/>
    </row>
    <row r="807" spans="11:11" ht="15.75" customHeight="1" x14ac:dyDescent="0.25">
      <c r="K807" s="40"/>
    </row>
    <row r="808" spans="11:11" ht="15.75" customHeight="1" x14ac:dyDescent="0.25">
      <c r="K808" s="40"/>
    </row>
    <row r="809" spans="11:11" ht="15.75" customHeight="1" x14ac:dyDescent="0.25">
      <c r="K809" s="40"/>
    </row>
    <row r="810" spans="11:11" ht="15.75" customHeight="1" x14ac:dyDescent="0.25">
      <c r="K810" s="40"/>
    </row>
    <row r="811" spans="11:11" ht="15.75" customHeight="1" x14ac:dyDescent="0.25">
      <c r="K811" s="40"/>
    </row>
    <row r="812" spans="11:11" ht="15.75" customHeight="1" x14ac:dyDescent="0.25">
      <c r="K812" s="40"/>
    </row>
    <row r="813" spans="11:11" ht="15.75" customHeight="1" x14ac:dyDescent="0.25">
      <c r="K813" s="40"/>
    </row>
    <row r="814" spans="11:11" ht="15.75" customHeight="1" x14ac:dyDescent="0.25">
      <c r="K814" s="40"/>
    </row>
    <row r="815" spans="11:11" ht="15.75" customHeight="1" x14ac:dyDescent="0.25">
      <c r="K815" s="40"/>
    </row>
    <row r="816" spans="11:11" ht="15.75" customHeight="1" x14ac:dyDescent="0.25">
      <c r="K816" s="40"/>
    </row>
    <row r="817" spans="11:11" ht="15.75" customHeight="1" x14ac:dyDescent="0.25">
      <c r="K817" s="40"/>
    </row>
    <row r="818" spans="11:11" ht="15.75" customHeight="1" x14ac:dyDescent="0.25">
      <c r="K818" s="40"/>
    </row>
    <row r="819" spans="11:11" ht="15.75" customHeight="1" x14ac:dyDescent="0.25">
      <c r="K819" s="40"/>
    </row>
    <row r="820" spans="11:11" ht="15.75" customHeight="1" x14ac:dyDescent="0.25">
      <c r="K820" s="40"/>
    </row>
    <row r="821" spans="11:11" ht="15.75" customHeight="1" x14ac:dyDescent="0.25">
      <c r="K821" s="40"/>
    </row>
    <row r="822" spans="11:11" ht="15.75" customHeight="1" x14ac:dyDescent="0.25">
      <c r="K822" s="40"/>
    </row>
    <row r="823" spans="11:11" ht="15.75" customHeight="1" x14ac:dyDescent="0.25">
      <c r="K823" s="40"/>
    </row>
    <row r="824" spans="11:11" ht="15.75" customHeight="1" x14ac:dyDescent="0.25">
      <c r="K824" s="40"/>
    </row>
    <row r="825" spans="11:11" ht="15.75" customHeight="1" x14ac:dyDescent="0.25">
      <c r="K825" s="40"/>
    </row>
    <row r="826" spans="11:11" ht="15.75" customHeight="1" x14ac:dyDescent="0.25">
      <c r="K826" s="40"/>
    </row>
    <row r="827" spans="11:11" ht="15.75" customHeight="1" x14ac:dyDescent="0.25">
      <c r="K827" s="40"/>
    </row>
    <row r="828" spans="11:11" ht="15.75" customHeight="1" x14ac:dyDescent="0.25">
      <c r="K828" s="40"/>
    </row>
    <row r="829" spans="11:11" ht="15.75" customHeight="1" x14ac:dyDescent="0.25">
      <c r="K829" s="40"/>
    </row>
    <row r="830" spans="11:11" ht="15.75" customHeight="1" x14ac:dyDescent="0.25">
      <c r="K830" s="40"/>
    </row>
    <row r="831" spans="11:11" ht="15.75" customHeight="1" x14ac:dyDescent="0.25">
      <c r="K831" s="40"/>
    </row>
    <row r="832" spans="11:11" ht="15.75" customHeight="1" x14ac:dyDescent="0.25">
      <c r="K832" s="40"/>
    </row>
    <row r="833" spans="11:11" ht="15.75" customHeight="1" x14ac:dyDescent="0.25">
      <c r="K833" s="40"/>
    </row>
    <row r="834" spans="11:11" ht="15.75" customHeight="1" x14ac:dyDescent="0.25">
      <c r="K834" s="40"/>
    </row>
    <row r="835" spans="11:11" ht="15.75" customHeight="1" x14ac:dyDescent="0.25">
      <c r="K835" s="40"/>
    </row>
    <row r="836" spans="11:11" ht="15.75" customHeight="1" x14ac:dyDescent="0.25">
      <c r="K836" s="40"/>
    </row>
    <row r="837" spans="11:11" ht="15.75" customHeight="1" x14ac:dyDescent="0.25">
      <c r="K837" s="40"/>
    </row>
    <row r="838" spans="11:11" ht="15.75" customHeight="1" x14ac:dyDescent="0.25">
      <c r="K838" s="40"/>
    </row>
    <row r="839" spans="11:11" ht="15.75" customHeight="1" x14ac:dyDescent="0.25">
      <c r="K839" s="40"/>
    </row>
    <row r="840" spans="11:11" ht="15.75" customHeight="1" x14ac:dyDescent="0.25">
      <c r="K840" s="40"/>
    </row>
    <row r="841" spans="11:11" ht="15.75" customHeight="1" x14ac:dyDescent="0.25">
      <c r="K841" s="40"/>
    </row>
    <row r="842" spans="11:11" ht="15.75" customHeight="1" x14ac:dyDescent="0.25">
      <c r="K842" s="40"/>
    </row>
    <row r="843" spans="11:11" ht="15.75" customHeight="1" x14ac:dyDescent="0.25">
      <c r="K843" s="40"/>
    </row>
    <row r="844" spans="11:11" ht="15.75" customHeight="1" x14ac:dyDescent="0.25">
      <c r="K844" s="40"/>
    </row>
    <row r="845" spans="11:11" ht="15.75" customHeight="1" x14ac:dyDescent="0.25">
      <c r="K845" s="40"/>
    </row>
    <row r="846" spans="11:11" ht="15.75" customHeight="1" x14ac:dyDescent="0.25">
      <c r="K846" s="40"/>
    </row>
    <row r="847" spans="11:11" ht="15.75" customHeight="1" x14ac:dyDescent="0.25">
      <c r="K847" s="40"/>
    </row>
    <row r="848" spans="11:11" ht="15.75" customHeight="1" x14ac:dyDescent="0.25">
      <c r="K848" s="40"/>
    </row>
    <row r="849" spans="11:11" ht="15.75" customHeight="1" x14ac:dyDescent="0.25">
      <c r="K849" s="40"/>
    </row>
    <row r="850" spans="11:11" ht="15.75" customHeight="1" x14ac:dyDescent="0.25">
      <c r="K850" s="40"/>
    </row>
    <row r="851" spans="11:11" ht="15.75" customHeight="1" x14ac:dyDescent="0.25">
      <c r="K851" s="40"/>
    </row>
    <row r="852" spans="11:11" ht="15.75" customHeight="1" x14ac:dyDescent="0.25">
      <c r="K852" s="40"/>
    </row>
    <row r="853" spans="11:11" ht="15.75" customHeight="1" x14ac:dyDescent="0.25">
      <c r="K853" s="40"/>
    </row>
    <row r="854" spans="11:11" ht="15.75" customHeight="1" x14ac:dyDescent="0.25">
      <c r="K854" s="40"/>
    </row>
    <row r="855" spans="11:11" ht="15.75" customHeight="1" x14ac:dyDescent="0.25">
      <c r="K855" s="40"/>
    </row>
    <row r="856" spans="11:11" ht="15.75" customHeight="1" x14ac:dyDescent="0.25">
      <c r="K856" s="40"/>
    </row>
    <row r="857" spans="11:11" ht="15.75" customHeight="1" x14ac:dyDescent="0.25">
      <c r="K857" s="40"/>
    </row>
    <row r="858" spans="11:11" ht="15.75" customHeight="1" x14ac:dyDescent="0.25">
      <c r="K858" s="40"/>
    </row>
    <row r="859" spans="11:11" ht="15.75" customHeight="1" x14ac:dyDescent="0.25">
      <c r="K859" s="40"/>
    </row>
    <row r="860" spans="11:11" ht="15.75" customHeight="1" x14ac:dyDescent="0.25">
      <c r="K860" s="40"/>
    </row>
    <row r="861" spans="11:11" ht="15.75" customHeight="1" x14ac:dyDescent="0.25">
      <c r="K861" s="40"/>
    </row>
    <row r="862" spans="11:11" ht="15.75" customHeight="1" x14ac:dyDescent="0.25">
      <c r="K862" s="40"/>
    </row>
    <row r="863" spans="11:11" ht="15.75" customHeight="1" x14ac:dyDescent="0.25">
      <c r="K863" s="40"/>
    </row>
    <row r="864" spans="11:11" ht="15.75" customHeight="1" x14ac:dyDescent="0.25">
      <c r="K864" s="40"/>
    </row>
    <row r="865" spans="11:11" ht="15.75" customHeight="1" x14ac:dyDescent="0.25">
      <c r="K865" s="40"/>
    </row>
    <row r="866" spans="11:11" ht="15.75" customHeight="1" x14ac:dyDescent="0.25">
      <c r="K866" s="40"/>
    </row>
    <row r="867" spans="11:11" ht="15.75" customHeight="1" x14ac:dyDescent="0.25">
      <c r="K867" s="40"/>
    </row>
    <row r="868" spans="11:11" ht="15.75" customHeight="1" x14ac:dyDescent="0.25">
      <c r="K868" s="40"/>
    </row>
    <row r="869" spans="11:11" ht="15.75" customHeight="1" x14ac:dyDescent="0.25">
      <c r="K869" s="40"/>
    </row>
    <row r="870" spans="11:11" ht="15.75" customHeight="1" x14ac:dyDescent="0.25">
      <c r="K870" s="40"/>
    </row>
    <row r="871" spans="11:11" ht="15.75" customHeight="1" x14ac:dyDescent="0.25">
      <c r="K871" s="40"/>
    </row>
    <row r="872" spans="11:11" ht="15.75" customHeight="1" x14ac:dyDescent="0.25">
      <c r="K872" s="40"/>
    </row>
    <row r="873" spans="11:11" ht="15.75" customHeight="1" x14ac:dyDescent="0.25">
      <c r="K873" s="40"/>
    </row>
    <row r="874" spans="11:11" ht="15.75" customHeight="1" x14ac:dyDescent="0.25">
      <c r="K874" s="40"/>
    </row>
    <row r="875" spans="11:11" ht="15.75" customHeight="1" x14ac:dyDescent="0.25">
      <c r="K875" s="40"/>
    </row>
    <row r="876" spans="11:11" ht="15.75" customHeight="1" x14ac:dyDescent="0.25">
      <c r="K876" s="40"/>
    </row>
    <row r="877" spans="11:11" ht="15.75" customHeight="1" x14ac:dyDescent="0.25">
      <c r="K877" s="40"/>
    </row>
    <row r="878" spans="11:11" ht="15.75" customHeight="1" x14ac:dyDescent="0.25">
      <c r="K878" s="40"/>
    </row>
    <row r="879" spans="11:11" ht="15.75" customHeight="1" x14ac:dyDescent="0.25">
      <c r="K879" s="40"/>
    </row>
    <row r="880" spans="11:11" ht="15.75" customHeight="1" x14ac:dyDescent="0.25">
      <c r="K880" s="40"/>
    </row>
    <row r="881" spans="11:11" ht="15.75" customHeight="1" x14ac:dyDescent="0.25">
      <c r="K881" s="40"/>
    </row>
    <row r="882" spans="11:11" ht="15.75" customHeight="1" x14ac:dyDescent="0.25">
      <c r="K882" s="40"/>
    </row>
    <row r="883" spans="11:11" ht="15.75" customHeight="1" x14ac:dyDescent="0.25">
      <c r="K883" s="40"/>
    </row>
    <row r="884" spans="11:11" ht="15.75" customHeight="1" x14ac:dyDescent="0.25">
      <c r="K884" s="40"/>
    </row>
    <row r="885" spans="11:11" ht="15.75" customHeight="1" x14ac:dyDescent="0.25">
      <c r="K885" s="40"/>
    </row>
    <row r="886" spans="11:11" ht="15.75" customHeight="1" x14ac:dyDescent="0.25">
      <c r="K886" s="40"/>
    </row>
    <row r="887" spans="11:11" ht="15.75" customHeight="1" x14ac:dyDescent="0.25">
      <c r="K887" s="40"/>
    </row>
    <row r="888" spans="11:11" ht="15.75" customHeight="1" x14ac:dyDescent="0.25">
      <c r="K888" s="40"/>
    </row>
    <row r="889" spans="11:11" ht="15.75" customHeight="1" x14ac:dyDescent="0.25">
      <c r="K889" s="40"/>
    </row>
    <row r="890" spans="11:11" ht="15.75" customHeight="1" x14ac:dyDescent="0.25">
      <c r="K890" s="40"/>
    </row>
    <row r="891" spans="11:11" ht="15.75" customHeight="1" x14ac:dyDescent="0.25">
      <c r="K891" s="40"/>
    </row>
    <row r="892" spans="11:11" ht="15.75" customHeight="1" x14ac:dyDescent="0.25">
      <c r="K892" s="40"/>
    </row>
    <row r="893" spans="11:11" ht="15.75" customHeight="1" x14ac:dyDescent="0.25">
      <c r="K893" s="40"/>
    </row>
    <row r="894" spans="11:11" ht="15.75" customHeight="1" x14ac:dyDescent="0.25">
      <c r="K894" s="40"/>
    </row>
    <row r="895" spans="11:11" ht="15.75" customHeight="1" x14ac:dyDescent="0.25">
      <c r="K895" s="40"/>
    </row>
    <row r="896" spans="11:11" ht="15.75" customHeight="1" x14ac:dyDescent="0.25">
      <c r="K896" s="40"/>
    </row>
    <row r="897" spans="11:11" ht="15.75" customHeight="1" x14ac:dyDescent="0.25">
      <c r="K897" s="40"/>
    </row>
    <row r="898" spans="11:11" ht="15.75" customHeight="1" x14ac:dyDescent="0.25">
      <c r="K898" s="40"/>
    </row>
    <row r="899" spans="11:11" ht="15.75" customHeight="1" x14ac:dyDescent="0.25">
      <c r="K899" s="40"/>
    </row>
    <row r="900" spans="11:11" ht="15.75" customHeight="1" x14ac:dyDescent="0.25">
      <c r="K900" s="40"/>
    </row>
    <row r="901" spans="11:11" ht="15.75" customHeight="1" x14ac:dyDescent="0.25">
      <c r="K901" s="40"/>
    </row>
    <row r="902" spans="11:11" ht="15.75" customHeight="1" x14ac:dyDescent="0.25">
      <c r="K902" s="40"/>
    </row>
    <row r="903" spans="11:11" ht="15.75" customHeight="1" x14ac:dyDescent="0.25">
      <c r="K903" s="40"/>
    </row>
    <row r="904" spans="11:11" ht="15.75" customHeight="1" x14ac:dyDescent="0.25">
      <c r="K904" s="40"/>
    </row>
    <row r="905" spans="11:11" ht="15.75" customHeight="1" x14ac:dyDescent="0.25">
      <c r="K905" s="40"/>
    </row>
    <row r="906" spans="11:11" ht="15.75" customHeight="1" x14ac:dyDescent="0.25">
      <c r="K906" s="40"/>
    </row>
    <row r="907" spans="11:11" ht="15.75" customHeight="1" x14ac:dyDescent="0.25">
      <c r="K907" s="40"/>
    </row>
    <row r="908" spans="11:11" ht="15.75" customHeight="1" x14ac:dyDescent="0.25">
      <c r="K908" s="40"/>
    </row>
    <row r="909" spans="11:11" ht="15.75" customHeight="1" x14ac:dyDescent="0.25">
      <c r="K909" s="40"/>
    </row>
    <row r="910" spans="11:11" ht="15.75" customHeight="1" x14ac:dyDescent="0.25">
      <c r="K910" s="40"/>
    </row>
    <row r="911" spans="11:11" ht="15.75" customHeight="1" x14ac:dyDescent="0.25">
      <c r="K911" s="40"/>
    </row>
    <row r="912" spans="11:11" ht="15.75" customHeight="1" x14ac:dyDescent="0.25">
      <c r="K912" s="40"/>
    </row>
    <row r="913" spans="11:11" ht="15.75" customHeight="1" x14ac:dyDescent="0.25">
      <c r="K913" s="40"/>
    </row>
    <row r="914" spans="11:11" ht="15.75" customHeight="1" x14ac:dyDescent="0.25">
      <c r="K914" s="40"/>
    </row>
    <row r="915" spans="11:11" ht="15.75" customHeight="1" x14ac:dyDescent="0.25">
      <c r="K915" s="40"/>
    </row>
    <row r="916" spans="11:11" ht="15.75" customHeight="1" x14ac:dyDescent="0.25">
      <c r="K916" s="40"/>
    </row>
    <row r="917" spans="11:11" ht="15.75" customHeight="1" x14ac:dyDescent="0.25">
      <c r="K917" s="40"/>
    </row>
    <row r="918" spans="11:11" ht="15.75" customHeight="1" x14ac:dyDescent="0.25">
      <c r="K918" s="40"/>
    </row>
    <row r="919" spans="11:11" ht="15.75" customHeight="1" x14ac:dyDescent="0.25">
      <c r="K919" s="40"/>
    </row>
    <row r="920" spans="11:11" ht="15.75" customHeight="1" x14ac:dyDescent="0.25">
      <c r="K920" s="40"/>
    </row>
    <row r="921" spans="11:11" ht="15.75" customHeight="1" x14ac:dyDescent="0.25">
      <c r="K921" s="40"/>
    </row>
    <row r="922" spans="11:11" ht="15.75" customHeight="1" x14ac:dyDescent="0.25">
      <c r="K922" s="40"/>
    </row>
    <row r="923" spans="11:11" ht="15.75" customHeight="1" x14ac:dyDescent="0.25">
      <c r="K923" s="40"/>
    </row>
    <row r="924" spans="11:11" ht="15.75" customHeight="1" x14ac:dyDescent="0.25">
      <c r="K924" s="40"/>
    </row>
    <row r="925" spans="11:11" ht="15.75" customHeight="1" x14ac:dyDescent="0.25">
      <c r="K925" s="40"/>
    </row>
    <row r="926" spans="11:11" ht="15.75" customHeight="1" x14ac:dyDescent="0.25">
      <c r="K926" s="40"/>
    </row>
    <row r="927" spans="11:11" ht="15.75" customHeight="1" x14ac:dyDescent="0.25">
      <c r="K927" s="40"/>
    </row>
    <row r="928" spans="11:11" ht="15.75" customHeight="1" x14ac:dyDescent="0.25">
      <c r="K928" s="40"/>
    </row>
    <row r="929" spans="11:11" ht="15.75" customHeight="1" x14ac:dyDescent="0.25">
      <c r="K929" s="40"/>
    </row>
    <row r="930" spans="11:11" ht="15.75" customHeight="1" x14ac:dyDescent="0.25">
      <c r="K930" s="40"/>
    </row>
    <row r="931" spans="11:11" ht="15.75" customHeight="1" x14ac:dyDescent="0.25">
      <c r="K931" s="40"/>
    </row>
    <row r="932" spans="11:11" ht="15.75" customHeight="1" x14ac:dyDescent="0.25">
      <c r="K932" s="40"/>
    </row>
    <row r="933" spans="11:11" ht="15.75" customHeight="1" x14ac:dyDescent="0.25">
      <c r="K933" s="40"/>
    </row>
    <row r="934" spans="11:11" ht="15.75" customHeight="1" x14ac:dyDescent="0.25">
      <c r="K934" s="40"/>
    </row>
    <row r="935" spans="11:11" ht="15.75" customHeight="1" x14ac:dyDescent="0.25">
      <c r="K935" s="40"/>
    </row>
    <row r="936" spans="11:11" ht="15.75" customHeight="1" x14ac:dyDescent="0.25">
      <c r="K936" s="40"/>
    </row>
    <row r="937" spans="11:11" ht="15.75" customHeight="1" x14ac:dyDescent="0.25">
      <c r="K937" s="40"/>
    </row>
    <row r="938" spans="11:11" ht="15.75" customHeight="1" x14ac:dyDescent="0.25">
      <c r="K938" s="40"/>
    </row>
    <row r="939" spans="11:11" ht="15.75" customHeight="1" x14ac:dyDescent="0.25">
      <c r="K939" s="40"/>
    </row>
    <row r="940" spans="11:11" ht="15.75" customHeight="1" x14ac:dyDescent="0.25">
      <c r="K940" s="40"/>
    </row>
    <row r="941" spans="11:11" ht="15.75" customHeight="1" x14ac:dyDescent="0.25">
      <c r="K941" s="40"/>
    </row>
    <row r="942" spans="11:11" ht="15.75" customHeight="1" x14ac:dyDescent="0.25">
      <c r="K942" s="40"/>
    </row>
    <row r="943" spans="11:11" ht="15.75" customHeight="1" x14ac:dyDescent="0.25">
      <c r="K943" s="40"/>
    </row>
    <row r="944" spans="11:11" ht="15.75" customHeight="1" x14ac:dyDescent="0.25">
      <c r="K944" s="40"/>
    </row>
    <row r="945" spans="11:11" ht="15.75" customHeight="1" x14ac:dyDescent="0.25">
      <c r="K945" s="40"/>
    </row>
    <row r="946" spans="11:11" ht="15.75" customHeight="1" x14ac:dyDescent="0.25">
      <c r="K946" s="40"/>
    </row>
    <row r="947" spans="11:11" ht="15.75" customHeight="1" x14ac:dyDescent="0.25">
      <c r="K947" s="40"/>
    </row>
    <row r="948" spans="11:11" ht="15.75" customHeight="1" x14ac:dyDescent="0.25">
      <c r="K948" s="40"/>
    </row>
    <row r="949" spans="11:11" ht="15.75" customHeight="1" x14ac:dyDescent="0.25">
      <c r="K949" s="40"/>
    </row>
    <row r="950" spans="11:11" ht="15.75" customHeight="1" x14ac:dyDescent="0.25">
      <c r="K950" s="40"/>
    </row>
    <row r="951" spans="11:11" ht="15.75" customHeight="1" x14ac:dyDescent="0.25">
      <c r="K951" s="40"/>
    </row>
    <row r="952" spans="11:11" ht="15.75" customHeight="1" x14ac:dyDescent="0.25">
      <c r="K952" s="40"/>
    </row>
    <row r="953" spans="11:11" ht="15.75" customHeight="1" x14ac:dyDescent="0.25">
      <c r="K953" s="40"/>
    </row>
    <row r="954" spans="11:11" ht="15.75" customHeight="1" x14ac:dyDescent="0.25">
      <c r="K954" s="40"/>
    </row>
    <row r="955" spans="11:11" ht="15.75" customHeight="1" x14ac:dyDescent="0.25">
      <c r="K955" s="40"/>
    </row>
    <row r="956" spans="11:11" ht="15.75" customHeight="1" x14ac:dyDescent="0.25">
      <c r="K956" s="40"/>
    </row>
    <row r="957" spans="11:11" ht="15.75" customHeight="1" x14ac:dyDescent="0.25">
      <c r="K957" s="40"/>
    </row>
    <row r="958" spans="11:11" ht="15.75" customHeight="1" x14ac:dyDescent="0.25">
      <c r="K958" s="40"/>
    </row>
    <row r="959" spans="11:11" ht="15.75" customHeight="1" x14ac:dyDescent="0.25">
      <c r="K959" s="40"/>
    </row>
    <row r="960" spans="11:11" ht="15.75" customHeight="1" x14ac:dyDescent="0.25">
      <c r="K960" s="40"/>
    </row>
    <row r="961" spans="11:11" ht="15.75" customHeight="1" x14ac:dyDescent="0.25">
      <c r="K961" s="40"/>
    </row>
    <row r="962" spans="11:11" ht="15.75" customHeight="1" x14ac:dyDescent="0.25">
      <c r="K962" s="40"/>
    </row>
    <row r="963" spans="11:11" ht="15.75" customHeight="1" x14ac:dyDescent="0.25">
      <c r="K963" s="40"/>
    </row>
    <row r="964" spans="11:11" ht="15.75" customHeight="1" x14ac:dyDescent="0.25">
      <c r="K964" s="40"/>
    </row>
    <row r="965" spans="11:11" ht="15.75" customHeight="1" x14ac:dyDescent="0.25">
      <c r="K965" s="40"/>
    </row>
    <row r="966" spans="11:11" ht="15.75" customHeight="1" x14ac:dyDescent="0.25">
      <c r="K966" s="40"/>
    </row>
    <row r="967" spans="11:11" ht="15.75" customHeight="1" x14ac:dyDescent="0.25">
      <c r="K967" s="40"/>
    </row>
    <row r="968" spans="11:11" ht="15.75" customHeight="1" x14ac:dyDescent="0.25">
      <c r="K968" s="40"/>
    </row>
    <row r="969" spans="11:11" ht="15.75" customHeight="1" x14ac:dyDescent="0.25">
      <c r="K969" s="40"/>
    </row>
    <row r="970" spans="11:11" ht="15.75" customHeight="1" x14ac:dyDescent="0.25">
      <c r="K970" s="40"/>
    </row>
    <row r="971" spans="11:11" ht="15.75" customHeight="1" x14ac:dyDescent="0.25">
      <c r="K971" s="40"/>
    </row>
    <row r="972" spans="11:11" ht="15.75" customHeight="1" x14ac:dyDescent="0.25">
      <c r="K972" s="40"/>
    </row>
    <row r="973" spans="11:11" ht="15.75" customHeight="1" x14ac:dyDescent="0.25">
      <c r="K973" s="40"/>
    </row>
    <row r="974" spans="11:11" ht="15.75" customHeight="1" x14ac:dyDescent="0.25">
      <c r="K974" s="40"/>
    </row>
    <row r="975" spans="11:11" ht="15.75" customHeight="1" x14ac:dyDescent="0.25">
      <c r="K975" s="40"/>
    </row>
    <row r="976" spans="11:11" ht="15.75" customHeight="1" x14ac:dyDescent="0.25">
      <c r="K976" s="40"/>
    </row>
    <row r="977" spans="11:11" ht="15.75" customHeight="1" x14ac:dyDescent="0.25">
      <c r="K977" s="40"/>
    </row>
    <row r="978" spans="11:11" ht="15.75" customHeight="1" x14ac:dyDescent="0.25">
      <c r="K978" s="40"/>
    </row>
    <row r="979" spans="11:11" ht="15.75" customHeight="1" x14ac:dyDescent="0.25">
      <c r="K979" s="40"/>
    </row>
    <row r="980" spans="11:11" ht="15.75" customHeight="1" x14ac:dyDescent="0.25">
      <c r="K980" s="40"/>
    </row>
    <row r="981" spans="11:11" ht="15.75" customHeight="1" x14ac:dyDescent="0.25">
      <c r="K981" s="40"/>
    </row>
    <row r="982" spans="11:11" ht="15.75" customHeight="1" x14ac:dyDescent="0.25">
      <c r="K982" s="40"/>
    </row>
    <row r="983" spans="11:11" ht="15.75" customHeight="1" x14ac:dyDescent="0.25">
      <c r="K983" s="40"/>
    </row>
    <row r="984" spans="11:11" ht="15.75" customHeight="1" x14ac:dyDescent="0.25">
      <c r="K984" s="40"/>
    </row>
    <row r="985" spans="11:11" ht="15.75" customHeight="1" x14ac:dyDescent="0.25">
      <c r="K985" s="40"/>
    </row>
    <row r="986" spans="11:11" ht="15.75" customHeight="1" x14ac:dyDescent="0.25">
      <c r="K986" s="40"/>
    </row>
    <row r="987" spans="11:11" ht="15.75" customHeight="1" x14ac:dyDescent="0.25">
      <c r="K987" s="40"/>
    </row>
    <row r="988" spans="11:11" ht="15.75" customHeight="1" x14ac:dyDescent="0.25">
      <c r="K988" s="40"/>
    </row>
    <row r="989" spans="11:11" ht="15.75" customHeight="1" x14ac:dyDescent="0.25">
      <c r="K989" s="40"/>
    </row>
    <row r="990" spans="11:11" ht="15.75" customHeight="1" x14ac:dyDescent="0.25">
      <c r="K990" s="40"/>
    </row>
    <row r="991" spans="11:11" ht="15.75" customHeight="1" x14ac:dyDescent="0.25">
      <c r="K991" s="40"/>
    </row>
    <row r="992" spans="11:11" ht="15.75" customHeight="1" x14ac:dyDescent="0.25">
      <c r="K992" s="40"/>
    </row>
    <row r="993" spans="11:11" ht="15.75" customHeight="1" x14ac:dyDescent="0.25">
      <c r="K993" s="40"/>
    </row>
    <row r="994" spans="11:11" ht="15.75" customHeight="1" x14ac:dyDescent="0.25">
      <c r="K994" s="40"/>
    </row>
    <row r="995" spans="11:11" ht="15.75" customHeight="1" x14ac:dyDescent="0.25">
      <c r="K995" s="40"/>
    </row>
    <row r="996" spans="11:11" ht="15.75" customHeight="1" x14ac:dyDescent="0.25">
      <c r="K996" s="40"/>
    </row>
    <row r="997" spans="11:11" ht="15.75" customHeight="1" x14ac:dyDescent="0.25">
      <c r="K997" s="40"/>
    </row>
    <row r="998" spans="11:11" ht="15.75" customHeight="1" x14ac:dyDescent="0.25">
      <c r="K998" s="40"/>
    </row>
    <row r="999" spans="11:11" ht="15.75" customHeight="1" x14ac:dyDescent="0.25">
      <c r="K999" s="40"/>
    </row>
    <row r="1000" spans="11:11" ht="15.75" customHeight="1" x14ac:dyDescent="0.25">
      <c r="K1000" s="40"/>
    </row>
    <row r="1001" spans="11:11" ht="15.75" customHeight="1" x14ac:dyDescent="0.25">
      <c r="K1001" s="40"/>
    </row>
    <row r="1002" spans="11:11" ht="15.75" customHeight="1" x14ac:dyDescent="0.25">
      <c r="K1002" s="40"/>
    </row>
    <row r="1003" spans="11:11" ht="15.75" customHeight="1" x14ac:dyDescent="0.25">
      <c r="K1003" s="40"/>
    </row>
    <row r="1004" spans="11:11" ht="15.75" customHeight="1" x14ac:dyDescent="0.25">
      <c r="K1004" s="40"/>
    </row>
    <row r="1005" spans="11:11" ht="15.75" customHeight="1" x14ac:dyDescent="0.25">
      <c r="K1005" s="40"/>
    </row>
    <row r="1006" spans="11:11" ht="15.75" customHeight="1" x14ac:dyDescent="0.25">
      <c r="K1006" s="40"/>
    </row>
    <row r="1007" spans="11:11" ht="15.75" customHeight="1" x14ac:dyDescent="0.25">
      <c r="K1007" s="40"/>
    </row>
    <row r="1008" spans="11:11" ht="15.75" customHeight="1" x14ac:dyDescent="0.25">
      <c r="K1008" s="40"/>
    </row>
    <row r="1009" spans="11:11" ht="15.75" customHeight="1" x14ac:dyDescent="0.25">
      <c r="K1009" s="40"/>
    </row>
  </sheetData>
  <mergeCells count="9">
    <mergeCell ref="G9:G10"/>
    <mergeCell ref="F10:F11"/>
    <mergeCell ref="A3:G3"/>
    <mergeCell ref="A4:G4"/>
    <mergeCell ref="A8:G8"/>
    <mergeCell ref="A9:A12"/>
    <mergeCell ref="B9:B12"/>
    <mergeCell ref="C9:C10"/>
    <mergeCell ref="D9:F9"/>
  </mergeCells>
  <pageMargins left="0.39370078740157483" right="0.39370078740157483" top="0.39370078740157483" bottom="0.39370078740157483" header="0" footer="0"/>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84"/>
  <sheetViews>
    <sheetView view="pageBreakPreview" topLeftCell="A171" zoomScale="130" zoomScaleNormal="100" zoomScaleSheetLayoutView="130" workbookViewId="0">
      <selection activeCell="A139" sqref="A139"/>
    </sheetView>
  </sheetViews>
  <sheetFormatPr defaultColWidth="14.42578125" defaultRowHeight="15" customHeight="1" x14ac:dyDescent="0.25"/>
  <cols>
    <col min="1" max="1" width="72" customWidth="1"/>
    <col min="2" max="2" width="17.42578125" customWidth="1"/>
    <col min="3" max="6" width="17.42578125" hidden="1" customWidth="1"/>
    <col min="7" max="7" width="17.42578125" customWidth="1"/>
    <col min="8" max="8" width="15.85546875" customWidth="1"/>
    <col min="9" max="9" width="17.42578125" customWidth="1"/>
    <col min="10" max="26" width="10.28515625" customWidth="1"/>
  </cols>
  <sheetData>
    <row r="1" spans="1:26" ht="15.75" x14ac:dyDescent="0.25">
      <c r="A1" s="599" t="s">
        <v>489</v>
      </c>
      <c r="B1" s="709"/>
      <c r="C1" s="712"/>
      <c r="D1" s="712"/>
      <c r="E1" s="712"/>
      <c r="F1" s="543"/>
      <c r="G1" s="713"/>
      <c r="H1" s="16"/>
      <c r="I1" s="15"/>
      <c r="J1" s="15"/>
      <c r="K1" s="15"/>
      <c r="L1" s="15"/>
      <c r="M1" s="15"/>
      <c r="N1" s="15"/>
      <c r="O1" s="15"/>
      <c r="P1" s="15"/>
      <c r="Q1" s="15"/>
      <c r="R1" s="15"/>
      <c r="S1" s="15"/>
      <c r="T1" s="15"/>
      <c r="U1" s="15"/>
      <c r="V1" s="15"/>
      <c r="W1" s="15"/>
      <c r="X1" s="15"/>
      <c r="Y1" s="15"/>
      <c r="Z1" s="15"/>
    </row>
    <row r="2" spans="1:26" ht="15.75" x14ac:dyDescent="0.25">
      <c r="A2" s="446"/>
      <c r="B2" s="454"/>
      <c r="C2" s="572"/>
      <c r="D2" s="572"/>
      <c r="E2" s="572"/>
      <c r="F2" s="515"/>
      <c r="G2" s="714"/>
      <c r="H2" s="16"/>
      <c r="I2" s="15"/>
      <c r="J2" s="15"/>
      <c r="K2" s="15"/>
      <c r="L2" s="15"/>
      <c r="M2" s="15"/>
      <c r="N2" s="15"/>
      <c r="O2" s="15"/>
      <c r="P2" s="15"/>
      <c r="Q2" s="15"/>
      <c r="R2" s="15"/>
      <c r="S2" s="15"/>
      <c r="T2" s="15"/>
      <c r="U2" s="15"/>
      <c r="V2" s="15"/>
      <c r="W2" s="15"/>
      <c r="X2" s="15"/>
      <c r="Y2" s="15"/>
      <c r="Z2" s="15"/>
    </row>
    <row r="3" spans="1:26" ht="15.75" x14ac:dyDescent="0.25">
      <c r="A3" s="715" t="s">
        <v>490</v>
      </c>
      <c r="B3" s="454"/>
      <c r="C3" s="443"/>
      <c r="D3" s="443"/>
      <c r="E3" s="443"/>
      <c r="F3" s="538"/>
      <c r="G3" s="714"/>
      <c r="H3" s="16"/>
      <c r="I3" s="15"/>
      <c r="J3" s="15"/>
      <c r="K3" s="15"/>
      <c r="L3" s="15"/>
      <c r="M3" s="15"/>
      <c r="N3" s="15"/>
      <c r="O3" s="15"/>
      <c r="P3" s="15"/>
      <c r="Q3" s="15"/>
      <c r="R3" s="15"/>
      <c r="S3" s="15"/>
      <c r="T3" s="15"/>
      <c r="U3" s="15"/>
      <c r="V3" s="15"/>
      <c r="W3" s="15"/>
      <c r="X3" s="15"/>
      <c r="Y3" s="15"/>
      <c r="Z3" s="15"/>
    </row>
    <row r="4" spans="1:26" ht="15.75" x14ac:dyDescent="0.25">
      <c r="A4" s="44"/>
      <c r="B4" s="25"/>
      <c r="C4" s="26"/>
      <c r="D4" s="26"/>
      <c r="E4" s="26"/>
      <c r="F4" s="14"/>
      <c r="G4" s="107"/>
      <c r="H4" s="16"/>
      <c r="I4" s="15"/>
      <c r="J4" s="15"/>
      <c r="K4" s="15"/>
      <c r="L4" s="15"/>
      <c r="M4" s="15"/>
      <c r="N4" s="15"/>
      <c r="O4" s="15"/>
      <c r="P4" s="15"/>
      <c r="Q4" s="15"/>
      <c r="R4" s="15"/>
      <c r="S4" s="15"/>
      <c r="T4" s="15"/>
      <c r="U4" s="15"/>
      <c r="V4" s="15"/>
      <c r="W4" s="15"/>
      <c r="X4" s="15"/>
      <c r="Y4" s="15"/>
      <c r="Z4" s="15"/>
    </row>
    <row r="5" spans="1:26" ht="15.75" x14ac:dyDescent="0.25">
      <c r="A5" s="865" t="s">
        <v>352</v>
      </c>
      <c r="B5" s="866"/>
      <c r="C5" s="866"/>
      <c r="D5" s="866"/>
      <c r="E5" s="866"/>
      <c r="F5" s="866"/>
      <c r="G5" s="867"/>
      <c r="H5" s="16"/>
      <c r="I5" s="15"/>
      <c r="J5" s="15"/>
      <c r="K5" s="15"/>
      <c r="L5" s="15"/>
      <c r="M5" s="15"/>
      <c r="N5" s="15"/>
      <c r="O5" s="15"/>
      <c r="P5" s="15"/>
      <c r="Q5" s="15"/>
      <c r="R5" s="15"/>
      <c r="S5" s="15"/>
      <c r="T5" s="15"/>
      <c r="U5" s="15"/>
      <c r="V5" s="15"/>
      <c r="W5" s="15"/>
      <c r="X5" s="15"/>
      <c r="Y5" s="15"/>
      <c r="Z5" s="15"/>
    </row>
    <row r="6" spans="1:26" ht="15.75" x14ac:dyDescent="0.25">
      <c r="A6" s="868" t="s">
        <v>353</v>
      </c>
      <c r="B6" s="857" t="s">
        <v>354</v>
      </c>
      <c r="C6" s="870" t="s">
        <v>355</v>
      </c>
      <c r="D6" s="872" t="s">
        <v>356</v>
      </c>
      <c r="E6" s="873"/>
      <c r="F6" s="874"/>
      <c r="G6" s="857" t="s">
        <v>357</v>
      </c>
      <c r="H6" s="16"/>
      <c r="I6" s="15"/>
      <c r="J6" s="15"/>
      <c r="K6" s="15"/>
      <c r="L6" s="15"/>
      <c r="M6" s="15"/>
      <c r="N6" s="15"/>
      <c r="O6" s="15"/>
      <c r="P6" s="15"/>
      <c r="Q6" s="15"/>
      <c r="R6" s="15"/>
      <c r="S6" s="15"/>
      <c r="T6" s="15"/>
      <c r="U6" s="15"/>
      <c r="V6" s="15"/>
      <c r="W6" s="15"/>
      <c r="X6" s="15"/>
      <c r="Y6" s="15"/>
      <c r="Z6" s="15"/>
    </row>
    <row r="7" spans="1:26" ht="31.5" x14ac:dyDescent="0.25">
      <c r="A7" s="858"/>
      <c r="B7" s="858"/>
      <c r="C7" s="871"/>
      <c r="D7" s="28" t="s">
        <v>358</v>
      </c>
      <c r="E7" s="29" t="s">
        <v>359</v>
      </c>
      <c r="F7" s="875" t="s">
        <v>360</v>
      </c>
      <c r="G7" s="858"/>
      <c r="H7" s="16"/>
      <c r="I7" s="15"/>
      <c r="J7" s="15"/>
      <c r="K7" s="15"/>
      <c r="L7" s="15"/>
      <c r="M7" s="15"/>
      <c r="N7" s="15"/>
      <c r="O7" s="15"/>
      <c r="P7" s="15"/>
      <c r="Q7" s="15"/>
      <c r="R7" s="15"/>
      <c r="S7" s="15"/>
      <c r="T7" s="15"/>
      <c r="U7" s="15"/>
      <c r="V7" s="15"/>
      <c r="W7" s="15"/>
      <c r="X7" s="15"/>
      <c r="Y7" s="15"/>
      <c r="Z7" s="15"/>
    </row>
    <row r="8" spans="1:26" ht="15.75" x14ac:dyDescent="0.25">
      <c r="A8" s="858"/>
      <c r="B8" s="858"/>
      <c r="C8" s="30" t="s">
        <v>361</v>
      </c>
      <c r="D8" s="31" t="s">
        <v>361</v>
      </c>
      <c r="E8" s="32" t="s">
        <v>362</v>
      </c>
      <c r="F8" s="860"/>
      <c r="G8" s="442" t="s">
        <v>2717</v>
      </c>
      <c r="H8" s="16"/>
      <c r="I8" s="15"/>
      <c r="J8" s="15"/>
      <c r="K8" s="15"/>
      <c r="L8" s="15"/>
      <c r="M8" s="15"/>
      <c r="N8" s="15"/>
      <c r="O8" s="15"/>
      <c r="P8" s="15"/>
      <c r="Q8" s="15"/>
      <c r="R8" s="15"/>
      <c r="S8" s="15"/>
      <c r="T8" s="15"/>
      <c r="U8" s="15"/>
      <c r="V8" s="15"/>
      <c r="W8" s="15"/>
      <c r="X8" s="15"/>
      <c r="Y8" s="15"/>
      <c r="Z8" s="15"/>
    </row>
    <row r="9" spans="1:26" ht="15.75" x14ac:dyDescent="0.25">
      <c r="A9" s="869"/>
      <c r="B9" s="869"/>
      <c r="C9" s="109">
        <v>2024</v>
      </c>
      <c r="D9" s="110">
        <v>2025</v>
      </c>
      <c r="E9" s="111">
        <v>2025</v>
      </c>
      <c r="F9" s="110">
        <v>2025</v>
      </c>
      <c r="G9" s="36" t="s">
        <v>2668</v>
      </c>
      <c r="H9" s="16"/>
      <c r="I9" s="15"/>
      <c r="J9" s="15"/>
      <c r="K9" s="15"/>
      <c r="L9" s="15"/>
      <c r="M9" s="15"/>
      <c r="N9" s="15"/>
      <c r="O9" s="15"/>
      <c r="P9" s="15"/>
      <c r="Q9" s="15"/>
      <c r="R9" s="15"/>
      <c r="S9" s="15"/>
      <c r="T9" s="15"/>
      <c r="U9" s="15"/>
      <c r="V9" s="15"/>
      <c r="W9" s="15"/>
      <c r="X9" s="15"/>
      <c r="Y9" s="15"/>
      <c r="Z9" s="15"/>
    </row>
    <row r="10" spans="1:26" ht="15.75" x14ac:dyDescent="0.25">
      <c r="A10" s="9" t="s">
        <v>364</v>
      </c>
      <c r="B10" s="112"/>
      <c r="C10" s="55"/>
      <c r="D10" s="55"/>
      <c r="E10" s="55"/>
      <c r="F10" s="55"/>
      <c r="G10" s="113"/>
      <c r="H10" s="99"/>
      <c r="I10" s="114"/>
      <c r="J10" s="114"/>
      <c r="K10" s="114"/>
      <c r="L10" s="114"/>
      <c r="M10" s="114"/>
      <c r="N10" s="114"/>
      <c r="O10" s="114"/>
      <c r="P10" s="114"/>
      <c r="Q10" s="114"/>
      <c r="R10" s="114"/>
      <c r="S10" s="114"/>
      <c r="T10" s="114"/>
      <c r="U10" s="114"/>
      <c r="V10" s="114"/>
      <c r="W10" s="114"/>
      <c r="X10" s="114"/>
      <c r="Y10" s="114"/>
      <c r="Z10" s="114"/>
    </row>
    <row r="11" spans="1:26" ht="15.75" x14ac:dyDescent="0.25">
      <c r="A11" s="42" t="s">
        <v>491</v>
      </c>
      <c r="B11" s="41"/>
      <c r="C11" s="43"/>
      <c r="D11" s="56"/>
      <c r="E11" s="43"/>
      <c r="F11" s="43"/>
      <c r="G11" s="64"/>
      <c r="H11" s="99"/>
      <c r="I11" s="114"/>
      <c r="J11" s="114"/>
      <c r="K11" s="114"/>
      <c r="L11" s="114"/>
      <c r="M11" s="114"/>
      <c r="N11" s="114"/>
      <c r="O11" s="114"/>
      <c r="P11" s="114"/>
      <c r="Q11" s="114"/>
      <c r="R11" s="114"/>
      <c r="S11" s="114"/>
      <c r="T11" s="114"/>
      <c r="U11" s="114"/>
      <c r="V11" s="114"/>
      <c r="W11" s="114"/>
      <c r="X11" s="114"/>
      <c r="Y11" s="114"/>
      <c r="Z11" s="114"/>
    </row>
    <row r="12" spans="1:26" ht="15.75" x14ac:dyDescent="0.25">
      <c r="A12" s="17" t="s">
        <v>492</v>
      </c>
      <c r="B12" s="41"/>
      <c r="C12" s="43"/>
      <c r="D12" s="56"/>
      <c r="E12" s="43"/>
      <c r="F12" s="43"/>
      <c r="G12" s="64"/>
      <c r="H12" s="99"/>
      <c r="I12" s="114"/>
      <c r="J12" s="114"/>
      <c r="K12" s="114"/>
      <c r="L12" s="114"/>
      <c r="M12" s="114"/>
      <c r="N12" s="114"/>
      <c r="O12" s="114"/>
      <c r="P12" s="114"/>
      <c r="Q12" s="114"/>
      <c r="R12" s="114"/>
      <c r="S12" s="114"/>
      <c r="T12" s="114"/>
      <c r="U12" s="114"/>
      <c r="V12" s="114"/>
      <c r="W12" s="114"/>
      <c r="X12" s="114"/>
      <c r="Y12" s="114"/>
      <c r="Z12" s="114"/>
    </row>
    <row r="13" spans="1:26" ht="15.75" x14ac:dyDescent="0.25">
      <c r="A13" s="44" t="s">
        <v>492</v>
      </c>
      <c r="B13" s="41" t="s">
        <v>187</v>
      </c>
      <c r="C13" s="43">
        <v>0</v>
      </c>
      <c r="D13" s="56">
        <v>0</v>
      </c>
      <c r="E13" s="43">
        <f t="shared" ref="E13:E15" si="0">F13-D13</f>
        <v>400000</v>
      </c>
      <c r="F13" s="43">
        <v>400000</v>
      </c>
      <c r="G13" s="43">
        <v>400000</v>
      </c>
      <c r="H13" s="115">
        <v>400000</v>
      </c>
      <c r="I13" s="114"/>
      <c r="J13" s="114"/>
      <c r="K13" s="114"/>
      <c r="L13" s="114"/>
      <c r="M13" s="114"/>
      <c r="N13" s="114"/>
      <c r="O13" s="114"/>
      <c r="P13" s="114"/>
      <c r="Q13" s="114"/>
      <c r="R13" s="114"/>
      <c r="S13" s="114"/>
      <c r="T13" s="114"/>
      <c r="U13" s="114"/>
      <c r="V13" s="114"/>
      <c r="W13" s="114"/>
      <c r="X13" s="114"/>
      <c r="Y13" s="114"/>
      <c r="Z13" s="114"/>
    </row>
    <row r="14" spans="1:26" ht="15.75" x14ac:dyDescent="0.25">
      <c r="A14" s="17" t="s">
        <v>493</v>
      </c>
      <c r="B14" s="41"/>
      <c r="C14" s="43"/>
      <c r="D14" s="56"/>
      <c r="E14" s="43">
        <f t="shared" si="0"/>
        <v>0</v>
      </c>
      <c r="F14" s="43"/>
      <c r="G14" s="64"/>
      <c r="H14" s="99"/>
      <c r="I14" s="114"/>
      <c r="J14" s="114"/>
      <c r="K14" s="114"/>
      <c r="L14" s="114"/>
      <c r="M14" s="114"/>
      <c r="N14" s="114"/>
      <c r="O14" s="114"/>
      <c r="P14" s="114"/>
      <c r="Q14" s="114"/>
      <c r="R14" s="114"/>
      <c r="S14" s="114"/>
      <c r="T14" s="114"/>
      <c r="U14" s="114"/>
      <c r="V14" s="114"/>
      <c r="W14" s="114"/>
      <c r="X14" s="114"/>
      <c r="Y14" s="114"/>
      <c r="Z14" s="114"/>
    </row>
    <row r="15" spans="1:26" ht="15.75" x14ac:dyDescent="0.25">
      <c r="A15" s="44" t="s">
        <v>396</v>
      </c>
      <c r="B15" s="41" t="s">
        <v>191</v>
      </c>
      <c r="C15" s="43">
        <v>242301.89</v>
      </c>
      <c r="D15" s="56">
        <v>347539</v>
      </c>
      <c r="E15" s="43">
        <f t="shared" si="0"/>
        <v>102461</v>
      </c>
      <c r="F15" s="43">
        <v>450000</v>
      </c>
      <c r="G15" s="43">
        <f>450000+220000+4000000+200000+450000</f>
        <v>5320000</v>
      </c>
      <c r="H15" s="115">
        <v>450000</v>
      </c>
      <c r="I15" s="114"/>
      <c r="J15" s="114"/>
      <c r="K15" s="114"/>
      <c r="L15" s="114"/>
      <c r="M15" s="114"/>
      <c r="N15" s="114"/>
      <c r="O15" s="114"/>
      <c r="P15" s="114"/>
      <c r="Q15" s="114"/>
      <c r="R15" s="114"/>
      <c r="S15" s="114"/>
      <c r="T15" s="114"/>
      <c r="U15" s="114"/>
      <c r="V15" s="114"/>
      <c r="W15" s="114"/>
      <c r="X15" s="114"/>
      <c r="Y15" s="114"/>
      <c r="Z15" s="114"/>
    </row>
    <row r="16" spans="1:26" ht="47.25" x14ac:dyDescent="0.25">
      <c r="A16" s="295" t="s">
        <v>494</v>
      </c>
      <c r="B16" s="41"/>
      <c r="C16" s="43"/>
      <c r="D16" s="56"/>
      <c r="E16" s="43"/>
      <c r="F16" s="43"/>
      <c r="G16" s="43"/>
      <c r="H16" s="99"/>
      <c r="I16" s="114"/>
      <c r="J16" s="114"/>
      <c r="K16" s="114"/>
      <c r="L16" s="114"/>
      <c r="M16" s="114"/>
      <c r="N16" s="114"/>
      <c r="O16" s="114"/>
      <c r="P16" s="114"/>
      <c r="Q16" s="114"/>
      <c r="R16" s="114"/>
      <c r="S16" s="114"/>
      <c r="T16" s="114"/>
      <c r="U16" s="114"/>
      <c r="V16" s="114"/>
      <c r="W16" s="114"/>
      <c r="X16" s="114"/>
      <c r="Y16" s="114"/>
      <c r="Z16" s="114"/>
    </row>
    <row r="17" spans="1:26" ht="15.75" x14ac:dyDescent="0.25">
      <c r="A17" s="74" t="s">
        <v>495</v>
      </c>
      <c r="B17" s="49"/>
      <c r="C17" s="19"/>
      <c r="D17" s="56"/>
      <c r="E17" s="43"/>
      <c r="F17" s="45"/>
      <c r="G17" s="43"/>
      <c r="H17" s="116">
        <v>220000</v>
      </c>
    </row>
    <row r="18" spans="1:26" ht="31.5" x14ac:dyDescent="0.25">
      <c r="A18" s="90" t="s">
        <v>496</v>
      </c>
      <c r="B18" s="49"/>
      <c r="C18" s="19"/>
      <c r="D18" s="56"/>
      <c r="E18" s="43"/>
      <c r="F18" s="45"/>
      <c r="G18" s="43"/>
      <c r="H18" s="116">
        <v>4000000</v>
      </c>
    </row>
    <row r="19" spans="1:26" ht="15.75" x14ac:dyDescent="0.25">
      <c r="A19" s="74" t="s">
        <v>497</v>
      </c>
      <c r="B19" s="49"/>
      <c r="C19" s="19"/>
      <c r="D19" s="56"/>
      <c r="E19" s="43"/>
      <c r="F19" s="45"/>
      <c r="G19" s="43"/>
      <c r="H19" s="116">
        <v>200000</v>
      </c>
    </row>
    <row r="20" spans="1:26" ht="31.5" x14ac:dyDescent="0.25">
      <c r="A20" s="90" t="s">
        <v>498</v>
      </c>
      <c r="B20" s="49"/>
      <c r="C20" s="19"/>
      <c r="D20" s="56"/>
      <c r="E20" s="43"/>
      <c r="F20" s="45"/>
      <c r="G20" s="43"/>
      <c r="H20" s="116">
        <v>450000</v>
      </c>
    </row>
    <row r="21" spans="1:26" ht="15.75" x14ac:dyDescent="0.25">
      <c r="A21" s="17" t="s">
        <v>499</v>
      </c>
      <c r="B21" s="41"/>
      <c r="C21" s="43"/>
      <c r="D21" s="56"/>
      <c r="E21" s="43"/>
      <c r="F21" s="43"/>
      <c r="G21" s="43"/>
      <c r="H21" s="99"/>
      <c r="I21" s="114"/>
      <c r="J21" s="114"/>
      <c r="K21" s="114"/>
      <c r="L21" s="114"/>
      <c r="M21" s="114"/>
      <c r="N21" s="114"/>
      <c r="O21" s="114"/>
      <c r="P21" s="114"/>
      <c r="Q21" s="114"/>
      <c r="R21" s="114"/>
      <c r="S21" s="114"/>
      <c r="T21" s="114"/>
      <c r="U21" s="114"/>
      <c r="V21" s="114"/>
      <c r="W21" s="114"/>
      <c r="X21" s="114"/>
      <c r="Y21" s="114"/>
      <c r="Z21" s="114"/>
    </row>
    <row r="22" spans="1:26" ht="15.75" x14ac:dyDescent="0.25">
      <c r="A22" s="48" t="s">
        <v>500</v>
      </c>
      <c r="B22" s="41" t="s">
        <v>201</v>
      </c>
      <c r="C22" s="43">
        <v>0</v>
      </c>
      <c r="D22" s="56">
        <v>0</v>
      </c>
      <c r="E22" s="43">
        <v>0</v>
      </c>
      <c r="F22" s="43">
        <v>0</v>
      </c>
      <c r="G22" s="43">
        <v>444500</v>
      </c>
      <c r="H22" s="115">
        <v>444500</v>
      </c>
      <c r="I22" s="114"/>
      <c r="J22" s="114"/>
      <c r="K22" s="114"/>
      <c r="L22" s="114"/>
      <c r="M22" s="114"/>
      <c r="N22" s="114"/>
      <c r="O22" s="114"/>
      <c r="P22" s="114"/>
      <c r="Q22" s="114"/>
      <c r="R22" s="114"/>
      <c r="S22" s="114"/>
      <c r="T22" s="114"/>
      <c r="U22" s="114"/>
      <c r="V22" s="114"/>
      <c r="W22" s="114"/>
      <c r="X22" s="114"/>
      <c r="Y22" s="114"/>
      <c r="Z22" s="114"/>
    </row>
    <row r="23" spans="1:26" ht="15.75" x14ac:dyDescent="0.25">
      <c r="A23" s="96" t="s">
        <v>501</v>
      </c>
      <c r="B23" s="41"/>
      <c r="C23" s="43"/>
      <c r="D23" s="56"/>
      <c r="E23" s="43"/>
      <c r="F23" s="43"/>
      <c r="G23" s="43"/>
      <c r="H23" s="99"/>
      <c r="I23" s="114"/>
      <c r="J23" s="114"/>
      <c r="K23" s="114"/>
      <c r="L23" s="114"/>
      <c r="M23" s="114"/>
      <c r="N23" s="114"/>
      <c r="O23" s="114"/>
      <c r="P23" s="114"/>
      <c r="Q23" s="114"/>
      <c r="R23" s="114"/>
      <c r="S23" s="114"/>
      <c r="T23" s="114"/>
      <c r="U23" s="114"/>
      <c r="V23" s="114"/>
      <c r="W23" s="114"/>
      <c r="X23" s="114"/>
      <c r="Y23" s="114"/>
      <c r="Z23" s="114"/>
    </row>
    <row r="24" spans="1:26" ht="15.75" x14ac:dyDescent="0.25">
      <c r="A24" s="48" t="s">
        <v>399</v>
      </c>
      <c r="B24" s="41" t="s">
        <v>211</v>
      </c>
      <c r="C24" s="43">
        <v>1985744.14</v>
      </c>
      <c r="D24" s="56">
        <v>1648380.69</v>
      </c>
      <c r="E24" s="43">
        <f>F24-D24</f>
        <v>2351619.31</v>
      </c>
      <c r="F24" s="43">
        <v>4000000</v>
      </c>
      <c r="G24" s="43">
        <v>4000000</v>
      </c>
      <c r="H24" s="115">
        <v>4000000</v>
      </c>
      <c r="I24" s="114"/>
      <c r="J24" s="114"/>
      <c r="K24" s="114"/>
      <c r="L24" s="114"/>
      <c r="M24" s="114"/>
      <c r="N24" s="114"/>
      <c r="O24" s="114"/>
      <c r="P24" s="114"/>
      <c r="Q24" s="114"/>
      <c r="R24" s="114"/>
      <c r="S24" s="114"/>
      <c r="T24" s="114"/>
      <c r="U24" s="114"/>
      <c r="V24" s="114"/>
      <c r="W24" s="114"/>
      <c r="X24" s="114"/>
      <c r="Y24" s="114"/>
      <c r="Z24" s="114"/>
    </row>
    <row r="25" spans="1:26" ht="15.75" x14ac:dyDescent="0.25">
      <c r="A25" s="48" t="s">
        <v>400</v>
      </c>
      <c r="B25" s="41" t="s">
        <v>221</v>
      </c>
      <c r="C25" s="43">
        <v>0</v>
      </c>
      <c r="D25" s="56">
        <v>0</v>
      </c>
      <c r="E25" s="43">
        <v>0</v>
      </c>
      <c r="F25" s="43">
        <v>0</v>
      </c>
      <c r="G25" s="43">
        <v>100000</v>
      </c>
      <c r="H25" s="115">
        <v>100000</v>
      </c>
      <c r="I25" s="114"/>
      <c r="J25" s="114"/>
      <c r="K25" s="114"/>
      <c r="L25" s="114"/>
      <c r="M25" s="114"/>
      <c r="N25" s="114"/>
      <c r="O25" s="114"/>
      <c r="P25" s="114"/>
      <c r="Q25" s="114"/>
      <c r="R25" s="114"/>
      <c r="S25" s="114"/>
      <c r="T25" s="114"/>
      <c r="U25" s="114"/>
      <c r="V25" s="114"/>
      <c r="W25" s="114"/>
      <c r="X25" s="114"/>
      <c r="Y25" s="114"/>
      <c r="Z25" s="114"/>
    </row>
    <row r="26" spans="1:26" ht="15.75" x14ac:dyDescent="0.25">
      <c r="A26" s="44" t="s">
        <v>402</v>
      </c>
      <c r="B26" s="41" t="s">
        <v>225</v>
      </c>
      <c r="C26" s="43">
        <v>0</v>
      </c>
      <c r="D26" s="56">
        <v>0</v>
      </c>
      <c r="E26" s="43">
        <f>F26-D26</f>
        <v>950000</v>
      </c>
      <c r="F26" s="43">
        <v>950000</v>
      </c>
      <c r="G26" s="43">
        <v>950000</v>
      </c>
      <c r="H26" s="99"/>
      <c r="I26" s="114"/>
      <c r="J26" s="114"/>
      <c r="K26" s="114"/>
      <c r="L26" s="114"/>
      <c r="M26" s="114"/>
      <c r="N26" s="114"/>
      <c r="O26" s="114"/>
      <c r="P26" s="114"/>
      <c r="Q26" s="114"/>
      <c r="R26" s="114"/>
      <c r="S26" s="114"/>
      <c r="T26" s="114"/>
      <c r="U26" s="114"/>
      <c r="V26" s="114"/>
      <c r="W26" s="114"/>
      <c r="X26" s="114"/>
      <c r="Y26" s="114"/>
      <c r="Z26" s="114"/>
    </row>
    <row r="27" spans="1:26" ht="31.5" x14ac:dyDescent="0.25">
      <c r="A27" s="295" t="s">
        <v>502</v>
      </c>
      <c r="B27" s="41"/>
      <c r="C27" s="43"/>
      <c r="D27" s="56"/>
      <c r="E27" s="43"/>
      <c r="F27" s="43"/>
      <c r="G27" s="43"/>
      <c r="H27" s="115">
        <v>950000</v>
      </c>
      <c r="I27" s="114"/>
      <c r="J27" s="114"/>
      <c r="K27" s="114"/>
      <c r="L27" s="114"/>
      <c r="M27" s="114"/>
      <c r="N27" s="114"/>
      <c r="O27" s="114"/>
      <c r="P27" s="114"/>
      <c r="Q27" s="114"/>
      <c r="R27" s="114"/>
      <c r="S27" s="114"/>
      <c r="T27" s="114"/>
      <c r="U27" s="114"/>
      <c r="V27" s="114"/>
      <c r="W27" s="114"/>
      <c r="X27" s="114"/>
      <c r="Y27" s="114"/>
      <c r="Z27" s="114"/>
    </row>
    <row r="28" spans="1:26" ht="15.75" x14ac:dyDescent="0.25">
      <c r="A28" s="117" t="s">
        <v>503</v>
      </c>
      <c r="B28" s="41"/>
      <c r="C28" s="43"/>
      <c r="D28" s="56"/>
      <c r="E28" s="43"/>
      <c r="F28" s="43"/>
      <c r="G28" s="43"/>
      <c r="H28" s="99"/>
      <c r="I28" s="114"/>
      <c r="J28" s="114"/>
      <c r="K28" s="114"/>
      <c r="L28" s="114"/>
      <c r="M28" s="114"/>
      <c r="N28" s="114"/>
      <c r="O28" s="114"/>
      <c r="P28" s="114"/>
      <c r="Q28" s="114"/>
      <c r="R28" s="114"/>
      <c r="S28" s="114"/>
      <c r="T28" s="114"/>
      <c r="U28" s="114"/>
      <c r="V28" s="114"/>
      <c r="W28" s="114"/>
      <c r="X28" s="114"/>
      <c r="Y28" s="114"/>
      <c r="Z28" s="114"/>
    </row>
    <row r="29" spans="1:26" ht="15.75" x14ac:dyDescent="0.25">
      <c r="A29" s="118" t="s">
        <v>405</v>
      </c>
      <c r="B29" s="41" t="s">
        <v>235</v>
      </c>
      <c r="C29" s="43">
        <v>14397.6</v>
      </c>
      <c r="D29" s="56">
        <v>21597.119999999999</v>
      </c>
      <c r="E29" s="43">
        <f t="shared" ref="E29:E38" si="1">F29-D29</f>
        <v>78402.880000000005</v>
      </c>
      <c r="F29" s="43">
        <v>100000</v>
      </c>
      <c r="G29" s="43">
        <v>150000</v>
      </c>
      <c r="H29" s="115">
        <v>150000</v>
      </c>
      <c r="I29" s="114"/>
      <c r="J29" s="114"/>
      <c r="K29" s="114"/>
      <c r="L29" s="114"/>
      <c r="M29" s="114"/>
      <c r="N29" s="114"/>
      <c r="O29" s="114"/>
      <c r="P29" s="114"/>
      <c r="Q29" s="114"/>
      <c r="R29" s="114"/>
      <c r="S29" s="114"/>
      <c r="T29" s="114"/>
      <c r="U29" s="114"/>
      <c r="V29" s="114"/>
      <c r="W29" s="114"/>
      <c r="X29" s="114"/>
      <c r="Y29" s="114"/>
      <c r="Z29" s="114"/>
    </row>
    <row r="30" spans="1:26" ht="15.75" x14ac:dyDescent="0.25">
      <c r="A30" s="118" t="s">
        <v>504</v>
      </c>
      <c r="B30" s="41" t="s">
        <v>237</v>
      </c>
      <c r="C30" s="43">
        <v>0</v>
      </c>
      <c r="D30" s="56">
        <v>0</v>
      </c>
      <c r="E30" s="43">
        <f t="shared" si="1"/>
        <v>480000</v>
      </c>
      <c r="F30" s="43">
        <v>480000</v>
      </c>
      <c r="G30" s="43">
        <v>600000</v>
      </c>
      <c r="H30" s="115">
        <v>600000</v>
      </c>
      <c r="I30" s="114"/>
      <c r="J30" s="114"/>
      <c r="K30" s="114"/>
      <c r="L30" s="114"/>
      <c r="M30" s="114"/>
      <c r="N30" s="114"/>
      <c r="O30" s="114"/>
      <c r="P30" s="114"/>
      <c r="Q30" s="114"/>
      <c r="R30" s="114"/>
      <c r="S30" s="114"/>
      <c r="T30" s="114"/>
      <c r="U30" s="114"/>
      <c r="V30" s="114"/>
      <c r="W30" s="114"/>
      <c r="X30" s="114"/>
      <c r="Y30" s="114"/>
      <c r="Z30" s="114"/>
    </row>
    <row r="31" spans="1:26" ht="15.75" x14ac:dyDescent="0.25">
      <c r="A31" s="118" t="s">
        <v>505</v>
      </c>
      <c r="B31" s="41" t="s">
        <v>239</v>
      </c>
      <c r="C31" s="43">
        <v>0</v>
      </c>
      <c r="D31" s="56">
        <v>0</v>
      </c>
      <c r="E31" s="43">
        <f t="shared" si="1"/>
        <v>100000</v>
      </c>
      <c r="F31" s="43">
        <v>100000</v>
      </c>
      <c r="G31" s="43">
        <v>100000</v>
      </c>
      <c r="H31" s="115">
        <v>100000</v>
      </c>
      <c r="I31" s="114"/>
      <c r="J31" s="114"/>
      <c r="K31" s="114"/>
      <c r="L31" s="114"/>
      <c r="M31" s="114"/>
      <c r="N31" s="114"/>
      <c r="O31" s="114"/>
      <c r="P31" s="114"/>
      <c r="Q31" s="114"/>
      <c r="R31" s="114"/>
      <c r="S31" s="114"/>
      <c r="T31" s="114"/>
      <c r="U31" s="114"/>
      <c r="V31" s="114"/>
      <c r="W31" s="114"/>
      <c r="X31" s="114"/>
      <c r="Y31" s="114"/>
      <c r="Z31" s="114"/>
    </row>
    <row r="32" spans="1:26" ht="15.75" x14ac:dyDescent="0.25">
      <c r="A32" s="117" t="s">
        <v>506</v>
      </c>
      <c r="B32" s="41"/>
      <c r="C32" s="43"/>
      <c r="D32" s="56"/>
      <c r="E32" s="43">
        <f t="shared" si="1"/>
        <v>0</v>
      </c>
      <c r="F32" s="43"/>
      <c r="G32" s="43"/>
      <c r="H32" s="99"/>
      <c r="I32" s="114"/>
      <c r="J32" s="114"/>
      <c r="K32" s="114"/>
      <c r="L32" s="114"/>
      <c r="M32" s="114"/>
      <c r="N32" s="114"/>
      <c r="O32" s="114"/>
      <c r="P32" s="114"/>
      <c r="Q32" s="114"/>
      <c r="R32" s="114"/>
      <c r="S32" s="114"/>
      <c r="T32" s="114"/>
      <c r="U32" s="114"/>
      <c r="V32" s="114"/>
      <c r="W32" s="114"/>
      <c r="X32" s="114"/>
      <c r="Y32" s="114"/>
      <c r="Z32" s="114"/>
    </row>
    <row r="33" spans="1:26" ht="15.75" x14ac:dyDescent="0.25">
      <c r="A33" s="479" t="s">
        <v>507</v>
      </c>
      <c r="B33" s="454" t="s">
        <v>285</v>
      </c>
      <c r="C33" s="443">
        <v>793010</v>
      </c>
      <c r="D33" s="443">
        <v>0</v>
      </c>
      <c r="E33" s="443">
        <f t="shared" si="1"/>
        <v>2300000</v>
      </c>
      <c r="F33" s="443">
        <v>2300000</v>
      </c>
      <c r="G33" s="462">
        <v>2400000</v>
      </c>
      <c r="H33" s="115">
        <v>2400000</v>
      </c>
      <c r="I33" s="114"/>
      <c r="J33" s="114"/>
      <c r="K33" s="114"/>
      <c r="L33" s="114"/>
      <c r="M33" s="114"/>
      <c r="N33" s="114"/>
      <c r="O33" s="114"/>
      <c r="P33" s="114"/>
      <c r="Q33" s="114"/>
      <c r="R33" s="114"/>
      <c r="S33" s="114"/>
      <c r="T33" s="114"/>
      <c r="U33" s="114"/>
      <c r="V33" s="114"/>
      <c r="W33" s="114"/>
      <c r="X33" s="114"/>
      <c r="Y33" s="114"/>
      <c r="Z33" s="114"/>
    </row>
    <row r="34" spans="1:26" ht="15.75" x14ac:dyDescent="0.25">
      <c r="A34" s="118" t="s">
        <v>508</v>
      </c>
      <c r="B34" s="41" t="s">
        <v>287</v>
      </c>
      <c r="C34" s="43">
        <v>1469912</v>
      </c>
      <c r="D34" s="56">
        <v>1497831</v>
      </c>
      <c r="E34" s="43">
        <f t="shared" si="1"/>
        <v>1502169</v>
      </c>
      <c r="F34" s="484">
        <v>3000000</v>
      </c>
      <c r="G34" s="462">
        <v>4500000</v>
      </c>
      <c r="H34" s="115">
        <f>4500000</f>
        <v>4500000</v>
      </c>
      <c r="I34" s="114"/>
      <c r="J34" s="114"/>
      <c r="K34" s="114"/>
      <c r="L34" s="114"/>
      <c r="M34" s="114"/>
      <c r="N34" s="114"/>
      <c r="O34" s="114"/>
      <c r="P34" s="114"/>
      <c r="Q34" s="114"/>
      <c r="R34" s="114"/>
      <c r="S34" s="114"/>
      <c r="T34" s="114"/>
      <c r="U34" s="114"/>
      <c r="V34" s="114"/>
      <c r="W34" s="114"/>
      <c r="X34" s="114"/>
      <c r="Y34" s="114"/>
      <c r="Z34" s="114"/>
    </row>
    <row r="35" spans="1:26" ht="15.75" x14ac:dyDescent="0.25">
      <c r="A35" s="118" t="s">
        <v>509</v>
      </c>
      <c r="B35" s="41" t="s">
        <v>289</v>
      </c>
      <c r="C35" s="43">
        <v>0</v>
      </c>
      <c r="D35" s="56">
        <v>0</v>
      </c>
      <c r="E35" s="43">
        <f t="shared" si="1"/>
        <v>250000</v>
      </c>
      <c r="F35" s="43">
        <v>250000</v>
      </c>
      <c r="G35" s="43">
        <v>250000</v>
      </c>
      <c r="H35" s="115">
        <v>250000</v>
      </c>
      <c r="I35" s="114"/>
      <c r="J35" s="114"/>
      <c r="K35" s="114"/>
      <c r="L35" s="114"/>
      <c r="M35" s="114"/>
      <c r="N35" s="114"/>
      <c r="O35" s="114"/>
      <c r="P35" s="114"/>
      <c r="Q35" s="114"/>
      <c r="R35" s="114"/>
      <c r="S35" s="114"/>
      <c r="T35" s="114"/>
      <c r="U35" s="114"/>
      <c r="V35" s="114"/>
      <c r="W35" s="114"/>
      <c r="X35" s="114"/>
      <c r="Y35" s="114"/>
      <c r="Z35" s="114"/>
    </row>
    <row r="36" spans="1:26" ht="31.5" x14ac:dyDescent="0.25">
      <c r="A36" s="119" t="s">
        <v>510</v>
      </c>
      <c r="B36" s="120" t="s">
        <v>295</v>
      </c>
      <c r="C36" s="121">
        <v>0</v>
      </c>
      <c r="D36" s="122">
        <v>0</v>
      </c>
      <c r="E36" s="121">
        <f t="shared" si="1"/>
        <v>300000</v>
      </c>
      <c r="F36" s="121">
        <v>300000</v>
      </c>
      <c r="G36" s="121">
        <v>300000</v>
      </c>
      <c r="H36" s="123">
        <v>300000</v>
      </c>
      <c r="I36" s="124"/>
      <c r="J36" s="124"/>
      <c r="K36" s="124"/>
      <c r="L36" s="124"/>
      <c r="M36" s="124"/>
      <c r="N36" s="124"/>
      <c r="O36" s="124"/>
      <c r="P36" s="124"/>
      <c r="Q36" s="124"/>
      <c r="R36" s="124"/>
      <c r="S36" s="124"/>
      <c r="T36" s="124"/>
      <c r="U36" s="124"/>
      <c r="V36" s="124"/>
      <c r="W36" s="124"/>
      <c r="X36" s="124"/>
      <c r="Y36" s="124"/>
      <c r="Z36" s="124"/>
    </row>
    <row r="37" spans="1:26" ht="15.75" x14ac:dyDescent="0.25">
      <c r="A37" s="17" t="s">
        <v>511</v>
      </c>
      <c r="B37" s="41"/>
      <c r="C37" s="43"/>
      <c r="D37" s="17"/>
      <c r="E37" s="43">
        <f t="shared" si="1"/>
        <v>0</v>
      </c>
      <c r="F37" s="43"/>
      <c r="G37" s="43"/>
      <c r="H37" s="99"/>
      <c r="I37" s="114"/>
      <c r="J37" s="114"/>
      <c r="K37" s="114"/>
      <c r="L37" s="114"/>
      <c r="M37" s="114"/>
      <c r="N37" s="114"/>
      <c r="O37" s="114"/>
      <c r="P37" s="114"/>
      <c r="Q37" s="114"/>
      <c r="R37" s="114"/>
      <c r="S37" s="114"/>
      <c r="T37" s="114"/>
      <c r="U37" s="114"/>
      <c r="V37" s="114"/>
      <c r="W37" s="114"/>
      <c r="X37" s="114"/>
      <c r="Y37" s="114"/>
      <c r="Z37" s="114"/>
    </row>
    <row r="38" spans="1:26" ht="15.75" x14ac:dyDescent="0.25">
      <c r="A38" s="48" t="s">
        <v>424</v>
      </c>
      <c r="B38" s="49" t="s">
        <v>335</v>
      </c>
      <c r="C38" s="45">
        <v>27654444.5</v>
      </c>
      <c r="D38" s="56">
        <v>11967287.1</v>
      </c>
      <c r="E38" s="43">
        <f t="shared" si="1"/>
        <v>29195272.899999999</v>
      </c>
      <c r="F38" s="45">
        <v>41162560</v>
      </c>
      <c r="G38" s="43">
        <v>44033752</v>
      </c>
      <c r="H38" s="99"/>
      <c r="I38" s="114"/>
      <c r="J38" s="114"/>
      <c r="K38" s="114"/>
      <c r="L38" s="114"/>
      <c r="M38" s="114"/>
      <c r="N38" s="114"/>
      <c r="O38" s="114"/>
      <c r="P38" s="114"/>
      <c r="Q38" s="114"/>
      <c r="R38" s="114"/>
      <c r="S38" s="114"/>
      <c r="T38" s="114"/>
      <c r="U38" s="114"/>
      <c r="V38" s="114"/>
      <c r="W38" s="114"/>
      <c r="X38" s="114"/>
      <c r="Y38" s="114"/>
      <c r="Z38" s="114"/>
    </row>
    <row r="39" spans="1:26" ht="15.75" x14ac:dyDescent="0.25">
      <c r="A39" s="96" t="s">
        <v>512</v>
      </c>
      <c r="B39" s="41"/>
      <c r="C39" s="19"/>
      <c r="D39" s="56"/>
      <c r="E39" s="43"/>
      <c r="F39" s="45"/>
      <c r="G39" s="43"/>
      <c r="H39" s="116">
        <v>560000</v>
      </c>
    </row>
    <row r="40" spans="1:26" ht="15.75" x14ac:dyDescent="0.25">
      <c r="A40" s="74" t="s">
        <v>513</v>
      </c>
      <c r="B40" s="49"/>
      <c r="C40" s="19"/>
      <c r="D40" s="56"/>
      <c r="E40" s="43"/>
      <c r="F40" s="45"/>
      <c r="G40" s="43"/>
      <c r="H40" s="116">
        <v>42000</v>
      </c>
    </row>
    <row r="41" spans="1:26" ht="15.75" x14ac:dyDescent="0.25">
      <c r="A41" s="74" t="s">
        <v>514</v>
      </c>
      <c r="B41" s="49"/>
      <c r="C41" s="19"/>
      <c r="D41" s="56"/>
      <c r="E41" s="43"/>
      <c r="F41" s="45"/>
      <c r="G41" s="43"/>
      <c r="H41" s="116">
        <v>99000</v>
      </c>
    </row>
    <row r="42" spans="1:26" ht="31.5" x14ac:dyDescent="0.25">
      <c r="A42" s="441" t="s">
        <v>515</v>
      </c>
      <c r="B42" s="49"/>
      <c r="C42" s="19"/>
      <c r="D42" s="56"/>
      <c r="E42" s="43"/>
      <c r="F42" s="45"/>
      <c r="G42" s="43"/>
      <c r="H42" s="60">
        <v>7480000</v>
      </c>
      <c r="I42" s="57">
        <v>3400</v>
      </c>
      <c r="J42" s="57">
        <v>2200</v>
      </c>
      <c r="K42" s="57">
        <f>J42*I42</f>
        <v>7480000</v>
      </c>
    </row>
    <row r="43" spans="1:26" ht="31.5" x14ac:dyDescent="0.25">
      <c r="A43" s="90" t="s">
        <v>516</v>
      </c>
      <c r="B43" s="49"/>
      <c r="C43" s="19"/>
      <c r="D43" s="56"/>
      <c r="E43" s="43"/>
      <c r="F43" s="45"/>
      <c r="G43" s="43"/>
      <c r="H43" s="60">
        <v>1000000</v>
      </c>
    </row>
    <row r="44" spans="1:26" ht="15.75" x14ac:dyDescent="0.25">
      <c r="A44" s="74" t="s">
        <v>517</v>
      </c>
      <c r="B44" s="49"/>
      <c r="C44" s="19"/>
      <c r="D44" s="56"/>
      <c r="E44" s="43"/>
      <c r="F44" s="45"/>
      <c r="G44" s="43"/>
      <c r="H44" s="60">
        <v>300000</v>
      </c>
    </row>
    <row r="45" spans="1:26" ht="31.5" x14ac:dyDescent="0.25">
      <c r="A45" s="90" t="s">
        <v>518</v>
      </c>
      <c r="B45" s="49"/>
      <c r="C45" s="19"/>
      <c r="D45" s="56"/>
      <c r="E45" s="43"/>
      <c r="F45" s="45"/>
      <c r="G45" s="43"/>
      <c r="H45" s="60">
        <f>SUM(K47:K51)</f>
        <v>19945536</v>
      </c>
    </row>
    <row r="46" spans="1:26" ht="15.75" x14ac:dyDescent="0.25">
      <c r="A46" s="602" t="s">
        <v>519</v>
      </c>
      <c r="B46" s="598"/>
      <c r="C46" s="619"/>
      <c r="D46" s="618"/>
      <c r="E46" s="457"/>
      <c r="F46" s="452"/>
      <c r="G46" s="457"/>
      <c r="H46" s="60"/>
    </row>
    <row r="47" spans="1:26" ht="31.5" x14ac:dyDescent="0.25">
      <c r="A47" s="620" t="s">
        <v>520</v>
      </c>
      <c r="B47" s="542"/>
      <c r="C47" s="621"/>
      <c r="D47" s="513"/>
      <c r="E47" s="448"/>
      <c r="F47" s="449"/>
      <c r="G47" s="448"/>
      <c r="H47" s="60">
        <v>5</v>
      </c>
      <c r="I47" s="57">
        <f t="shared" ref="I47:I49" si="2">26*12</f>
        <v>312</v>
      </c>
      <c r="J47" s="57">
        <v>974</v>
      </c>
      <c r="K47" s="57">
        <f t="shared" ref="K47:K51" si="3">J47*I47*H47</f>
        <v>1519440</v>
      </c>
    </row>
    <row r="48" spans="1:26" ht="31.5" x14ac:dyDescent="0.25">
      <c r="A48" s="90" t="s">
        <v>521</v>
      </c>
      <c r="B48" s="49"/>
      <c r="C48" s="19"/>
      <c r="D48" s="56"/>
      <c r="E48" s="43"/>
      <c r="F48" s="45"/>
      <c r="G48" s="43"/>
      <c r="H48" s="60">
        <v>32</v>
      </c>
      <c r="I48" s="57">
        <f t="shared" si="2"/>
        <v>312</v>
      </c>
      <c r="J48" s="57">
        <v>765</v>
      </c>
      <c r="K48" s="57">
        <f t="shared" si="3"/>
        <v>7637760</v>
      </c>
    </row>
    <row r="49" spans="1:26" ht="31.5" x14ac:dyDescent="0.25">
      <c r="A49" s="90" t="s">
        <v>522</v>
      </c>
      <c r="B49" s="49"/>
      <c r="C49" s="19"/>
      <c r="D49" s="56"/>
      <c r="E49" s="43"/>
      <c r="F49" s="45"/>
      <c r="G49" s="43"/>
      <c r="H49" s="60">
        <v>21</v>
      </c>
      <c r="I49" s="57">
        <f t="shared" si="2"/>
        <v>312</v>
      </c>
      <c r="J49" s="57">
        <v>678</v>
      </c>
      <c r="K49" s="57">
        <f t="shared" si="3"/>
        <v>4442256</v>
      </c>
    </row>
    <row r="50" spans="1:26" ht="31.5" x14ac:dyDescent="0.25">
      <c r="A50" s="90" t="s">
        <v>523</v>
      </c>
      <c r="B50" s="49"/>
      <c r="C50" s="19"/>
      <c r="D50" s="56"/>
      <c r="E50" s="43"/>
      <c r="F50" s="45"/>
      <c r="G50" s="43"/>
      <c r="H50" s="60">
        <v>15</v>
      </c>
      <c r="I50" s="57">
        <v>312</v>
      </c>
      <c r="J50" s="57">
        <v>678</v>
      </c>
      <c r="K50" s="57">
        <f t="shared" si="3"/>
        <v>3173040</v>
      </c>
    </row>
    <row r="51" spans="1:26" ht="31.5" x14ac:dyDescent="0.25">
      <c r="A51" s="90" t="s">
        <v>524</v>
      </c>
      <c r="B51" s="49"/>
      <c r="C51" s="19"/>
      <c r="D51" s="56"/>
      <c r="E51" s="43"/>
      <c r="F51" s="45"/>
      <c r="G51" s="43"/>
      <c r="H51" s="60">
        <v>15</v>
      </c>
      <c r="I51" s="57">
        <v>312</v>
      </c>
      <c r="J51" s="57">
        <v>678</v>
      </c>
      <c r="K51" s="57">
        <f t="shared" si="3"/>
        <v>3173040</v>
      </c>
    </row>
    <row r="52" spans="1:26" ht="31.5" x14ac:dyDescent="0.25">
      <c r="A52" s="90" t="s">
        <v>525</v>
      </c>
      <c r="B52" s="49"/>
      <c r="C52" s="19"/>
      <c r="D52" s="56"/>
      <c r="E52" s="43"/>
      <c r="F52" s="45"/>
      <c r="G52" s="43"/>
      <c r="H52" s="60"/>
    </row>
    <row r="53" spans="1:26" ht="15.75" x14ac:dyDescent="0.25">
      <c r="A53" s="74" t="s">
        <v>519</v>
      </c>
      <c r="B53" s="49"/>
      <c r="C53" s="19"/>
      <c r="D53" s="56"/>
      <c r="E53" s="43"/>
      <c r="F53" s="45"/>
      <c r="G53" s="43"/>
      <c r="H53" s="60">
        <f>SUM(K54:K55)</f>
        <v>14607216</v>
      </c>
    </row>
    <row r="54" spans="1:26" ht="31.5" x14ac:dyDescent="0.25">
      <c r="A54" s="90" t="s">
        <v>526</v>
      </c>
      <c r="B54" s="49"/>
      <c r="C54" s="19"/>
      <c r="D54" s="56"/>
      <c r="E54" s="43"/>
      <c r="F54" s="45"/>
      <c r="G54" s="43"/>
      <c r="H54" s="60">
        <v>16</v>
      </c>
      <c r="I54" s="57">
        <v>312</v>
      </c>
      <c r="J54" s="57">
        <v>765</v>
      </c>
      <c r="K54" s="57">
        <f t="shared" ref="K54:K55" si="4">J54*I54*H54</f>
        <v>3818880</v>
      </c>
    </row>
    <row r="55" spans="1:26" ht="31.5" x14ac:dyDescent="0.25">
      <c r="A55" s="90" t="s">
        <v>527</v>
      </c>
      <c r="B55" s="49"/>
      <c r="C55" s="19"/>
      <c r="D55" s="56"/>
      <c r="E55" s="43"/>
      <c r="F55" s="45"/>
      <c r="G55" s="43"/>
      <c r="H55" s="60">
        <v>51</v>
      </c>
      <c r="I55" s="57">
        <v>312</v>
      </c>
      <c r="J55" s="57">
        <v>678</v>
      </c>
      <c r="K55" s="57">
        <f t="shared" si="4"/>
        <v>10788336</v>
      </c>
    </row>
    <row r="56" spans="1:26" ht="15.75" x14ac:dyDescent="0.25">
      <c r="A56" s="42" t="s">
        <v>528</v>
      </c>
      <c r="B56" s="41"/>
      <c r="C56" s="42"/>
      <c r="D56" s="56">
        <v>32493350</v>
      </c>
      <c r="E56" s="43">
        <f>F56-D56</f>
        <v>54073698.400000006</v>
      </c>
      <c r="F56" s="43">
        <v>86567048.400000006</v>
      </c>
      <c r="G56" s="43">
        <v>97904327.099999994</v>
      </c>
      <c r="H56" s="126"/>
    </row>
    <row r="57" spans="1:26" ht="15.75" x14ac:dyDescent="0.25">
      <c r="A57" s="42" t="s">
        <v>466</v>
      </c>
      <c r="B57" s="41"/>
      <c r="C57" s="54">
        <f>SUM(C13:C56)</f>
        <v>32159810.129999999</v>
      </c>
      <c r="D57" s="54">
        <f>SUM(D13:D56)</f>
        <v>47975984.909999996</v>
      </c>
      <c r="E57" s="54">
        <f>SUM(E13:E56)</f>
        <v>92083623.49000001</v>
      </c>
      <c r="F57" s="54">
        <f>SUM(F13:F56)</f>
        <v>140059608.40000001</v>
      </c>
      <c r="G57" s="54">
        <f>SUM(G13:G56)</f>
        <v>161452579.09999999</v>
      </c>
      <c r="H57" s="99"/>
      <c r="I57" s="114"/>
      <c r="J57" s="114"/>
      <c r="K57" s="114"/>
      <c r="L57" s="114"/>
      <c r="M57" s="114"/>
      <c r="N57" s="114"/>
      <c r="O57" s="114"/>
      <c r="P57" s="114"/>
      <c r="Q57" s="114"/>
      <c r="R57" s="114"/>
      <c r="S57" s="114"/>
      <c r="T57" s="114"/>
      <c r="U57" s="114"/>
      <c r="V57" s="114"/>
      <c r="W57" s="114"/>
      <c r="X57" s="114"/>
      <c r="Y57" s="114"/>
      <c r="Z57" s="114"/>
    </row>
    <row r="58" spans="1:26" ht="15.75" x14ac:dyDescent="0.25">
      <c r="A58" s="42"/>
      <c r="B58" s="127"/>
      <c r="C58" s="128"/>
      <c r="D58" s="129"/>
      <c r="E58" s="43"/>
      <c r="F58" s="130"/>
      <c r="G58" s="131"/>
      <c r="H58" s="99"/>
      <c r="I58" s="114"/>
      <c r="J58" s="114"/>
      <c r="K58" s="114"/>
      <c r="L58" s="114"/>
      <c r="M58" s="114"/>
      <c r="N58" s="114"/>
      <c r="O58" s="114"/>
      <c r="P58" s="114"/>
      <c r="Q58" s="114"/>
      <c r="R58" s="114"/>
      <c r="S58" s="114"/>
      <c r="T58" s="114"/>
      <c r="U58" s="114"/>
      <c r="V58" s="114"/>
      <c r="W58" s="114"/>
      <c r="X58" s="114"/>
      <c r="Y58" s="114"/>
      <c r="Z58" s="114"/>
    </row>
    <row r="59" spans="1:26" ht="15.75" x14ac:dyDescent="0.25">
      <c r="A59" s="17" t="s">
        <v>467</v>
      </c>
      <c r="B59" s="20"/>
      <c r="C59" s="43">
        <f t="shared" ref="C59:D59" si="5">C57</f>
        <v>32159810.129999999</v>
      </c>
      <c r="D59" s="43">
        <f t="shared" si="5"/>
        <v>47975984.909999996</v>
      </c>
      <c r="E59" s="43">
        <f>F59-D59</f>
        <v>92083623.49000001</v>
      </c>
      <c r="F59" s="43">
        <f t="shared" ref="F59:G59" si="6">F57</f>
        <v>140059608.40000001</v>
      </c>
      <c r="G59" s="43">
        <f t="shared" si="6"/>
        <v>161452579.09999999</v>
      </c>
      <c r="H59" s="99"/>
      <c r="I59" s="114"/>
      <c r="J59" s="114"/>
      <c r="K59" s="114"/>
      <c r="L59" s="114"/>
      <c r="M59" s="114"/>
      <c r="N59" s="114"/>
      <c r="O59" s="114"/>
      <c r="P59" s="114"/>
      <c r="Q59" s="114"/>
      <c r="R59" s="114"/>
      <c r="S59" s="114"/>
      <c r="T59" s="114"/>
      <c r="U59" s="114"/>
      <c r="V59" s="114"/>
      <c r="W59" s="114"/>
      <c r="X59" s="114"/>
      <c r="Y59" s="114"/>
      <c r="Z59" s="114"/>
    </row>
    <row r="60" spans="1:26" ht="15.75" x14ac:dyDescent="0.25">
      <c r="A60" s="446"/>
      <c r="B60" s="447"/>
      <c r="C60" s="438"/>
      <c r="D60" s="484"/>
      <c r="E60" s="438"/>
      <c r="F60" s="438"/>
      <c r="G60" s="759"/>
      <c r="H60" s="99"/>
      <c r="I60" s="114"/>
      <c r="J60" s="114"/>
      <c r="K60" s="114"/>
      <c r="L60" s="114"/>
      <c r="M60" s="114"/>
      <c r="N60" s="114"/>
      <c r="O60" s="114"/>
      <c r="P60" s="114"/>
      <c r="Q60" s="114"/>
      <c r="R60" s="114"/>
      <c r="S60" s="114"/>
      <c r="T60" s="114"/>
      <c r="U60" s="114"/>
      <c r="V60" s="114"/>
      <c r="W60" s="114"/>
      <c r="X60" s="114"/>
      <c r="Y60" s="114"/>
      <c r="Z60" s="114"/>
    </row>
    <row r="61" spans="1:26" ht="15.75" x14ac:dyDescent="0.25">
      <c r="A61" s="446" t="s">
        <v>529</v>
      </c>
      <c r="B61" s="437"/>
      <c r="C61" s="438"/>
      <c r="D61" s="438"/>
      <c r="E61" s="438"/>
      <c r="F61" s="438"/>
      <c r="G61" s="759"/>
      <c r="H61" s="99"/>
      <c r="I61" s="114"/>
      <c r="J61" s="114"/>
      <c r="K61" s="114"/>
      <c r="L61" s="114"/>
      <c r="M61" s="114"/>
      <c r="N61" s="114"/>
      <c r="O61" s="114"/>
      <c r="P61" s="114"/>
      <c r="Q61" s="114"/>
      <c r="R61" s="114"/>
      <c r="S61" s="114"/>
      <c r="T61" s="114"/>
      <c r="U61" s="114"/>
      <c r="V61" s="114"/>
      <c r="W61" s="114"/>
      <c r="X61" s="114"/>
      <c r="Y61" s="114"/>
      <c r="Z61" s="114"/>
    </row>
    <row r="62" spans="1:26" ht="15.75" x14ac:dyDescent="0.25">
      <c r="A62" s="17" t="s">
        <v>530</v>
      </c>
      <c r="B62" s="41"/>
      <c r="C62" s="43"/>
      <c r="D62" s="43"/>
      <c r="E62" s="43"/>
      <c r="F62" s="43"/>
      <c r="G62" s="64"/>
      <c r="H62" s="99"/>
      <c r="I62" s="114"/>
      <c r="J62" s="114"/>
      <c r="K62" s="114"/>
      <c r="L62" s="114"/>
      <c r="M62" s="114"/>
      <c r="N62" s="114"/>
      <c r="O62" s="114"/>
      <c r="P62" s="114"/>
      <c r="Q62" s="114"/>
      <c r="R62" s="114"/>
      <c r="S62" s="114"/>
      <c r="T62" s="114"/>
      <c r="U62" s="114"/>
      <c r="V62" s="114"/>
      <c r="W62" s="114"/>
      <c r="X62" s="114"/>
      <c r="Y62" s="114"/>
      <c r="Z62" s="114"/>
    </row>
    <row r="63" spans="1:26" ht="15.75" x14ac:dyDescent="0.25">
      <c r="A63" s="44" t="s">
        <v>531</v>
      </c>
      <c r="B63" s="41" t="s">
        <v>29</v>
      </c>
      <c r="C63" s="43">
        <v>1325445.8999999999</v>
      </c>
      <c r="D63" s="43">
        <v>0</v>
      </c>
      <c r="E63" s="43">
        <v>0</v>
      </c>
      <c r="F63" s="43">
        <v>0</v>
      </c>
      <c r="G63" s="43">
        <v>500000</v>
      </c>
      <c r="H63" s="115">
        <v>500000</v>
      </c>
      <c r="I63" s="114"/>
      <c r="J63" s="114"/>
      <c r="K63" s="114"/>
      <c r="L63" s="114"/>
      <c r="M63" s="114"/>
      <c r="N63" s="114"/>
      <c r="O63" s="114"/>
      <c r="P63" s="114"/>
      <c r="Q63" s="114"/>
      <c r="R63" s="114"/>
      <c r="S63" s="114"/>
      <c r="T63" s="114"/>
      <c r="U63" s="114"/>
      <c r="V63" s="114"/>
      <c r="W63" s="114"/>
      <c r="X63" s="114"/>
      <c r="Y63" s="114"/>
      <c r="Z63" s="114"/>
    </row>
    <row r="64" spans="1:26" ht="31.5" x14ac:dyDescent="0.25">
      <c r="A64" s="503" t="s">
        <v>532</v>
      </c>
      <c r="B64" s="41"/>
      <c r="C64" s="43"/>
      <c r="D64" s="43"/>
      <c r="E64" s="43"/>
      <c r="F64" s="43"/>
      <c r="G64" s="64"/>
      <c r="H64" s="99"/>
      <c r="I64" s="114"/>
      <c r="J64" s="114"/>
      <c r="K64" s="114"/>
      <c r="L64" s="114"/>
      <c r="M64" s="114"/>
      <c r="N64" s="114"/>
      <c r="O64" s="114"/>
      <c r="P64" s="114"/>
      <c r="Q64" s="114"/>
      <c r="R64" s="114"/>
      <c r="S64" s="114"/>
      <c r="T64" s="114"/>
      <c r="U64" s="114"/>
      <c r="V64" s="114"/>
      <c r="W64" s="114"/>
      <c r="X64" s="114"/>
      <c r="Y64" s="114"/>
      <c r="Z64" s="114"/>
    </row>
    <row r="65" spans="1:26" ht="15.75" x14ac:dyDescent="0.25">
      <c r="A65" s="17" t="s">
        <v>536</v>
      </c>
      <c r="B65" s="41"/>
      <c r="C65" s="54">
        <f>SUM(C62:C64)</f>
        <v>1325445.8999999999</v>
      </c>
      <c r="D65" s="54">
        <f>SUM(D62:D64)</f>
        <v>0</v>
      </c>
      <c r="E65" s="54">
        <f>SUM(E62:E64)</f>
        <v>0</v>
      </c>
      <c r="F65" s="54">
        <f>SUM(F62:F64)</f>
        <v>0</v>
      </c>
      <c r="G65" s="54">
        <f>SUM(G62:G64)</f>
        <v>500000</v>
      </c>
      <c r="H65" s="99"/>
      <c r="I65" s="114"/>
      <c r="J65" s="114"/>
      <c r="K65" s="114"/>
      <c r="L65" s="114"/>
      <c r="M65" s="114"/>
      <c r="N65" s="114"/>
      <c r="O65" s="114"/>
      <c r="P65" s="114"/>
      <c r="Q65" s="114"/>
      <c r="R65" s="114"/>
      <c r="S65" s="114"/>
      <c r="T65" s="114"/>
      <c r="U65" s="114"/>
      <c r="V65" s="114"/>
      <c r="W65" s="114"/>
      <c r="X65" s="114"/>
      <c r="Y65" s="114"/>
      <c r="Z65" s="114"/>
    </row>
    <row r="66" spans="1:26" ht="15.75" x14ac:dyDescent="0.25">
      <c r="A66" s="17"/>
      <c r="B66" s="132"/>
      <c r="C66" s="43"/>
      <c r="D66" s="56"/>
      <c r="E66" s="43"/>
      <c r="F66" s="55"/>
      <c r="G66" s="64"/>
      <c r="H66" s="99"/>
      <c r="I66" s="114"/>
      <c r="J66" s="114"/>
      <c r="K66" s="114"/>
      <c r="L66" s="114"/>
      <c r="M66" s="114"/>
      <c r="N66" s="114"/>
      <c r="O66" s="114"/>
      <c r="P66" s="114"/>
      <c r="Q66" s="114"/>
      <c r="R66" s="114"/>
      <c r="S66" s="114"/>
      <c r="T66" s="114"/>
      <c r="U66" s="114"/>
      <c r="V66" s="114"/>
      <c r="W66" s="114"/>
      <c r="X66" s="114"/>
      <c r="Y66" s="114"/>
      <c r="Z66" s="114"/>
    </row>
    <row r="67" spans="1:26" ht="15.75" x14ac:dyDescent="0.25">
      <c r="A67" s="50" t="s">
        <v>487</v>
      </c>
      <c r="B67" s="133" t="s">
        <v>488</v>
      </c>
      <c r="C67" s="53">
        <f>C59+C65</f>
        <v>33485256.029999997</v>
      </c>
      <c r="D67" s="53">
        <f>D59+D65</f>
        <v>47975984.909999996</v>
      </c>
      <c r="E67" s="65">
        <f>F67-D67</f>
        <v>92083623.49000001</v>
      </c>
      <c r="F67" s="53">
        <f>F59+F65</f>
        <v>140059608.40000001</v>
      </c>
      <c r="G67" s="52">
        <f>G59+G65</f>
        <v>161952579.09999999</v>
      </c>
      <c r="H67" s="99"/>
      <c r="I67" s="114"/>
      <c r="J67" s="114"/>
      <c r="K67" s="114"/>
      <c r="L67" s="114"/>
      <c r="M67" s="114"/>
      <c r="N67" s="114"/>
      <c r="O67" s="114"/>
      <c r="P67" s="114"/>
      <c r="Q67" s="114"/>
      <c r="R67" s="114"/>
      <c r="S67" s="114"/>
      <c r="T67" s="114"/>
      <c r="U67" s="114"/>
      <c r="V67" s="114"/>
      <c r="W67" s="114"/>
      <c r="X67" s="114"/>
      <c r="Y67" s="114"/>
      <c r="Z67" s="114"/>
    </row>
    <row r="68" spans="1:26" ht="15.75" x14ac:dyDescent="0.25">
      <c r="A68" s="24"/>
      <c r="B68" s="25"/>
      <c r="C68" s="24"/>
      <c r="D68" s="24"/>
      <c r="E68" s="24"/>
      <c r="F68" s="24"/>
      <c r="G68" s="60"/>
      <c r="H68" s="40"/>
    </row>
    <row r="69" spans="1:26" ht="15.75" x14ac:dyDescent="0.25">
      <c r="A69" s="134" t="s">
        <v>488</v>
      </c>
      <c r="B69" s="103"/>
      <c r="C69" s="114"/>
      <c r="D69" s="24"/>
      <c r="E69" s="24"/>
      <c r="F69" s="103"/>
      <c r="G69" s="99"/>
      <c r="H69" s="40"/>
    </row>
    <row r="70" spans="1:26" ht="15.75" x14ac:dyDescent="0.25">
      <c r="A70" s="9"/>
      <c r="B70" s="104"/>
      <c r="C70" s="105"/>
      <c r="D70" s="105"/>
      <c r="E70" s="105"/>
      <c r="F70" s="10"/>
      <c r="G70" s="106"/>
      <c r="H70" s="16"/>
      <c r="I70" s="15"/>
      <c r="J70" s="15"/>
      <c r="K70" s="15"/>
      <c r="L70" s="15"/>
      <c r="M70" s="15"/>
      <c r="N70" s="15"/>
      <c r="O70" s="15"/>
      <c r="P70" s="15"/>
      <c r="Q70" s="15"/>
      <c r="R70" s="15"/>
      <c r="S70" s="15"/>
      <c r="T70" s="15"/>
      <c r="U70" s="15"/>
      <c r="V70" s="15"/>
      <c r="W70" s="15"/>
      <c r="X70" s="15"/>
      <c r="Y70" s="15"/>
      <c r="Z70" s="15"/>
    </row>
    <row r="71" spans="1:26" ht="15.75" x14ac:dyDescent="0.25">
      <c r="A71" s="108" t="s">
        <v>537</v>
      </c>
      <c r="B71" s="25"/>
      <c r="C71" s="26"/>
      <c r="D71" s="26"/>
      <c r="E71" s="26"/>
      <c r="F71" s="14"/>
      <c r="G71" s="107"/>
      <c r="H71" s="16"/>
      <c r="I71" s="15"/>
      <c r="J71" s="15"/>
      <c r="K71" s="15"/>
      <c r="L71" s="15"/>
      <c r="M71" s="15"/>
      <c r="N71" s="15"/>
      <c r="O71" s="15"/>
      <c r="P71" s="15"/>
      <c r="Q71" s="15"/>
      <c r="R71" s="15"/>
      <c r="S71" s="15"/>
      <c r="T71" s="15"/>
      <c r="U71" s="15"/>
      <c r="V71" s="15"/>
      <c r="W71" s="15"/>
      <c r="X71" s="15"/>
      <c r="Y71" s="15"/>
      <c r="Z71" s="15"/>
    </row>
    <row r="72" spans="1:26" ht="15.75" x14ac:dyDescent="0.25">
      <c r="A72" s="44"/>
      <c r="B72" s="25"/>
      <c r="C72" s="26"/>
      <c r="D72" s="26"/>
      <c r="E72" s="26"/>
      <c r="F72" s="14"/>
      <c r="G72" s="107"/>
      <c r="H72" s="16"/>
      <c r="I72" s="15"/>
      <c r="J72" s="15"/>
      <c r="K72" s="15"/>
      <c r="L72" s="15"/>
      <c r="M72" s="15"/>
      <c r="N72" s="15"/>
      <c r="O72" s="15"/>
      <c r="P72" s="15"/>
      <c r="Q72" s="15"/>
      <c r="R72" s="15"/>
      <c r="S72" s="15"/>
      <c r="T72" s="15"/>
      <c r="U72" s="15"/>
      <c r="V72" s="15"/>
      <c r="W72" s="15"/>
      <c r="X72" s="15"/>
      <c r="Y72" s="15"/>
      <c r="Z72" s="15"/>
    </row>
    <row r="73" spans="1:26" ht="15.75" x14ac:dyDescent="0.25">
      <c r="A73" s="865" t="s">
        <v>352</v>
      </c>
      <c r="B73" s="866"/>
      <c r="C73" s="866"/>
      <c r="D73" s="866"/>
      <c r="E73" s="866"/>
      <c r="F73" s="866"/>
      <c r="G73" s="867"/>
      <c r="H73" s="16"/>
      <c r="I73" s="15"/>
      <c r="J73" s="15"/>
      <c r="K73" s="15"/>
      <c r="L73" s="15"/>
      <c r="M73" s="15"/>
      <c r="N73" s="15"/>
      <c r="O73" s="15"/>
      <c r="P73" s="15"/>
      <c r="Q73" s="15"/>
      <c r="R73" s="15"/>
      <c r="S73" s="15"/>
      <c r="T73" s="15"/>
      <c r="U73" s="15"/>
      <c r="V73" s="15"/>
      <c r="W73" s="15"/>
      <c r="X73" s="15"/>
      <c r="Y73" s="15"/>
      <c r="Z73" s="15"/>
    </row>
    <row r="74" spans="1:26" ht="15.75" x14ac:dyDescent="0.25">
      <c r="A74" s="868" t="s">
        <v>353</v>
      </c>
      <c r="B74" s="857" t="s">
        <v>354</v>
      </c>
      <c r="C74" s="857" t="s">
        <v>355</v>
      </c>
      <c r="D74" s="872" t="s">
        <v>356</v>
      </c>
      <c r="E74" s="873"/>
      <c r="F74" s="874"/>
      <c r="G74" s="857" t="s">
        <v>357</v>
      </c>
      <c r="H74" s="16"/>
      <c r="I74" s="15"/>
      <c r="J74" s="15"/>
      <c r="K74" s="15"/>
      <c r="L74" s="15"/>
      <c r="M74" s="15"/>
      <c r="N74" s="15"/>
      <c r="O74" s="15"/>
      <c r="P74" s="15"/>
      <c r="Q74" s="15"/>
      <c r="R74" s="15"/>
      <c r="S74" s="15"/>
      <c r="T74" s="15"/>
      <c r="U74" s="15"/>
      <c r="V74" s="15"/>
      <c r="W74" s="15"/>
      <c r="X74" s="15"/>
      <c r="Y74" s="15"/>
      <c r="Z74" s="15"/>
    </row>
    <row r="75" spans="1:26" ht="31.5" x14ac:dyDescent="0.25">
      <c r="A75" s="858"/>
      <c r="B75" s="858"/>
      <c r="C75" s="858"/>
      <c r="D75" s="28" t="s">
        <v>358</v>
      </c>
      <c r="E75" s="29" t="s">
        <v>359</v>
      </c>
      <c r="F75" s="875" t="s">
        <v>360</v>
      </c>
      <c r="G75" s="858"/>
      <c r="H75" s="16"/>
      <c r="I75" s="15"/>
      <c r="J75" s="15"/>
      <c r="K75" s="15"/>
      <c r="L75" s="15"/>
      <c r="M75" s="15"/>
      <c r="N75" s="15"/>
      <c r="O75" s="15"/>
      <c r="P75" s="15"/>
      <c r="Q75" s="15"/>
      <c r="R75" s="15"/>
      <c r="S75" s="15"/>
      <c r="T75" s="15"/>
      <c r="U75" s="15"/>
      <c r="V75" s="15"/>
      <c r="W75" s="15"/>
      <c r="X75" s="15"/>
      <c r="Y75" s="15"/>
      <c r="Z75" s="15"/>
    </row>
    <row r="76" spans="1:26" ht="15.75" x14ac:dyDescent="0.25">
      <c r="A76" s="858"/>
      <c r="B76" s="858"/>
      <c r="C76" s="31" t="s">
        <v>361</v>
      </c>
      <c r="D76" s="31" t="s">
        <v>361</v>
      </c>
      <c r="E76" s="32" t="s">
        <v>362</v>
      </c>
      <c r="F76" s="860"/>
      <c r="G76" s="442" t="s">
        <v>2717</v>
      </c>
      <c r="H76" s="16"/>
      <c r="I76" s="15"/>
      <c r="J76" s="15"/>
      <c r="K76" s="15"/>
      <c r="L76" s="15"/>
      <c r="M76" s="15"/>
      <c r="N76" s="15"/>
      <c r="O76" s="15"/>
      <c r="P76" s="15"/>
      <c r="Q76" s="15"/>
      <c r="R76" s="15"/>
      <c r="S76" s="15"/>
      <c r="T76" s="15"/>
      <c r="U76" s="15"/>
      <c r="V76" s="15"/>
      <c r="W76" s="15"/>
      <c r="X76" s="15"/>
      <c r="Y76" s="15"/>
      <c r="Z76" s="15"/>
    </row>
    <row r="77" spans="1:26" ht="15.75" x14ac:dyDescent="0.25">
      <c r="A77" s="869"/>
      <c r="B77" s="869"/>
      <c r="C77" s="34">
        <v>2024</v>
      </c>
      <c r="D77" s="34">
        <v>2025</v>
      </c>
      <c r="E77" s="35">
        <v>2025</v>
      </c>
      <c r="F77" s="34">
        <v>2025</v>
      </c>
      <c r="G77" s="36" t="s">
        <v>2668</v>
      </c>
      <c r="H77" s="16"/>
      <c r="I77" s="15"/>
      <c r="J77" s="15"/>
      <c r="K77" s="15"/>
      <c r="L77" s="15"/>
      <c r="M77" s="15"/>
      <c r="N77" s="15"/>
      <c r="O77" s="15"/>
      <c r="P77" s="15"/>
      <c r="Q77" s="15"/>
      <c r="R77" s="15"/>
      <c r="S77" s="15"/>
      <c r="T77" s="15"/>
      <c r="U77" s="15"/>
      <c r="V77" s="15"/>
      <c r="W77" s="15"/>
      <c r="X77" s="15"/>
      <c r="Y77" s="15"/>
      <c r="Z77" s="15"/>
    </row>
    <row r="78" spans="1:26" ht="15.75" x14ac:dyDescent="0.25">
      <c r="A78" s="9" t="s">
        <v>364</v>
      </c>
      <c r="B78" s="38"/>
      <c r="C78" s="37"/>
      <c r="D78" s="37"/>
      <c r="E78" s="37"/>
      <c r="F78" s="37"/>
      <c r="G78" s="113"/>
      <c r="H78" s="40"/>
    </row>
    <row r="79" spans="1:26" ht="15.75" x14ac:dyDescent="0.25">
      <c r="A79" s="42" t="s">
        <v>491</v>
      </c>
      <c r="B79" s="41"/>
      <c r="C79" s="43"/>
      <c r="D79" s="43"/>
      <c r="E79" s="43"/>
      <c r="F79" s="43"/>
      <c r="G79" s="64"/>
      <c r="H79" s="40"/>
    </row>
    <row r="80" spans="1:26" ht="15.75" x14ac:dyDescent="0.25">
      <c r="A80" s="17" t="s">
        <v>499</v>
      </c>
      <c r="B80" s="41"/>
      <c r="C80" s="43"/>
      <c r="D80" s="43"/>
      <c r="E80" s="43"/>
      <c r="F80" s="43"/>
      <c r="G80" s="64"/>
      <c r="H80" s="40"/>
    </row>
    <row r="81" spans="1:11" ht="15.75" x14ac:dyDescent="0.25">
      <c r="A81" s="96" t="s">
        <v>400</v>
      </c>
      <c r="B81" s="41" t="s">
        <v>221</v>
      </c>
      <c r="C81" s="43">
        <v>0</v>
      </c>
      <c r="D81" s="43">
        <v>318900</v>
      </c>
      <c r="E81" s="43">
        <f>F81-D81</f>
        <v>426100</v>
      </c>
      <c r="F81" s="43">
        <v>745000</v>
      </c>
      <c r="G81" s="43">
        <v>654720</v>
      </c>
      <c r="H81" s="40">
        <v>60000</v>
      </c>
      <c r="I81" s="57">
        <v>396480</v>
      </c>
      <c r="J81" s="57">
        <f>198240</f>
        <v>198240</v>
      </c>
      <c r="K81" s="40">
        <f>SUM(H81:J81)</f>
        <v>654720</v>
      </c>
    </row>
    <row r="82" spans="1:11" ht="15.75" x14ac:dyDescent="0.25">
      <c r="A82" s="96" t="s">
        <v>538</v>
      </c>
      <c r="B82" s="41" t="s">
        <v>223</v>
      </c>
      <c r="C82" s="43">
        <v>0</v>
      </c>
      <c r="D82" s="43">
        <v>0</v>
      </c>
      <c r="E82" s="43">
        <v>0</v>
      </c>
      <c r="F82" s="43">
        <v>0</v>
      </c>
      <c r="G82" s="43">
        <v>480000</v>
      </c>
      <c r="H82" s="40"/>
      <c r="I82" s="57"/>
    </row>
    <row r="83" spans="1:11" ht="15.75" x14ac:dyDescent="0.25">
      <c r="A83" s="96" t="s">
        <v>402</v>
      </c>
      <c r="B83" s="41" t="s">
        <v>225</v>
      </c>
      <c r="C83" s="43">
        <v>0</v>
      </c>
      <c r="D83" s="43">
        <v>0</v>
      </c>
      <c r="E83" s="43">
        <v>0</v>
      </c>
      <c r="F83" s="43">
        <v>0</v>
      </c>
      <c r="G83" s="43">
        <f>1000000+448000+224000</f>
        <v>1672000</v>
      </c>
      <c r="H83" s="40">
        <v>1000000</v>
      </c>
      <c r="I83" s="57">
        <v>448000</v>
      </c>
      <c r="J83" s="57">
        <v>224000</v>
      </c>
      <c r="K83" s="40">
        <f>SUM(H83:J83)</f>
        <v>1672000</v>
      </c>
    </row>
    <row r="84" spans="1:11" ht="15.75" x14ac:dyDescent="0.25">
      <c r="A84" s="17" t="s">
        <v>424</v>
      </c>
      <c r="B84" s="41"/>
      <c r="C84" s="43"/>
      <c r="D84" s="43"/>
      <c r="E84" s="43"/>
      <c r="F84" s="43"/>
      <c r="G84" s="43"/>
      <c r="H84" s="40"/>
    </row>
    <row r="85" spans="1:11" ht="15.75" x14ac:dyDescent="0.25">
      <c r="A85" s="44" t="s">
        <v>424</v>
      </c>
      <c r="B85" s="41" t="s">
        <v>335</v>
      </c>
      <c r="C85" s="43">
        <v>2799048.6</v>
      </c>
      <c r="D85" s="43">
        <v>5498101.1200000001</v>
      </c>
      <c r="E85" s="43">
        <f>F85-D85</f>
        <v>51898.879999999888</v>
      </c>
      <c r="F85" s="43">
        <v>5550000</v>
      </c>
      <c r="G85" s="43">
        <f>3500000+3000000</f>
        <v>6500000</v>
      </c>
      <c r="H85" s="40">
        <v>6500000</v>
      </c>
    </row>
    <row r="86" spans="1:11" ht="47.25" x14ac:dyDescent="0.25">
      <c r="A86" s="295" t="s">
        <v>539</v>
      </c>
      <c r="B86" s="41"/>
      <c r="C86" s="43"/>
      <c r="D86" s="43"/>
      <c r="E86" s="43"/>
      <c r="F86" s="43"/>
      <c r="G86" s="43"/>
      <c r="H86" s="40"/>
    </row>
    <row r="87" spans="1:11" ht="47.25" x14ac:dyDescent="0.25">
      <c r="A87" s="295" t="s">
        <v>540</v>
      </c>
      <c r="B87" s="41"/>
      <c r="C87" s="43"/>
      <c r="D87" s="43"/>
      <c r="E87" s="43"/>
      <c r="F87" s="43"/>
      <c r="G87" s="43"/>
      <c r="H87" s="40"/>
    </row>
    <row r="88" spans="1:11" ht="15.75" x14ac:dyDescent="0.25">
      <c r="A88" s="482" t="s">
        <v>466</v>
      </c>
      <c r="B88" s="483"/>
      <c r="C88" s="54">
        <f t="shared" ref="C88:G88" si="7">SUM(C81:C85)</f>
        <v>2799048.6</v>
      </c>
      <c r="D88" s="54">
        <f t="shared" si="7"/>
        <v>5817001.1200000001</v>
      </c>
      <c r="E88" s="54">
        <f t="shared" si="7"/>
        <v>477998.87999999989</v>
      </c>
      <c r="F88" s="54">
        <f t="shared" si="7"/>
        <v>6295000</v>
      </c>
      <c r="G88" s="54">
        <f t="shared" si="7"/>
        <v>9306720</v>
      </c>
      <c r="H88" s="40"/>
    </row>
    <row r="89" spans="1:11" ht="15.75" x14ac:dyDescent="0.25">
      <c r="A89" s="599"/>
      <c r="B89" s="601"/>
      <c r="C89" s="448"/>
      <c r="D89" s="448"/>
      <c r="E89" s="448"/>
      <c r="F89" s="448"/>
      <c r="G89" s="622"/>
      <c r="H89" s="40"/>
    </row>
    <row r="90" spans="1:11" ht="15.75" x14ac:dyDescent="0.25">
      <c r="A90" s="17" t="s">
        <v>467</v>
      </c>
      <c r="B90" s="41"/>
      <c r="C90" s="43">
        <f t="shared" ref="C90:D90" si="8">C88</f>
        <v>2799048.6</v>
      </c>
      <c r="D90" s="43">
        <f t="shared" si="8"/>
        <v>5817001.1200000001</v>
      </c>
      <c r="E90" s="43">
        <f>F90-D90</f>
        <v>477998.87999999989</v>
      </c>
      <c r="F90" s="43">
        <f t="shared" ref="F90:G90" si="9">F88</f>
        <v>6295000</v>
      </c>
      <c r="G90" s="43">
        <f t="shared" si="9"/>
        <v>9306720</v>
      </c>
      <c r="H90" s="40"/>
    </row>
    <row r="91" spans="1:11" ht="15.75" x14ac:dyDescent="0.25">
      <c r="A91" s="17"/>
      <c r="B91" s="41"/>
      <c r="C91" s="43"/>
      <c r="D91" s="43"/>
      <c r="E91" s="43"/>
      <c r="F91" s="43"/>
      <c r="G91" s="64"/>
      <c r="H91" s="40"/>
    </row>
    <row r="92" spans="1:11" ht="15.75" x14ac:dyDescent="0.25">
      <c r="A92" s="17" t="s">
        <v>529</v>
      </c>
      <c r="B92" s="41"/>
      <c r="C92" s="45"/>
      <c r="D92" s="43"/>
      <c r="E92" s="43"/>
      <c r="F92" s="43"/>
      <c r="G92" s="64"/>
      <c r="H92" s="40"/>
    </row>
    <row r="93" spans="1:11" ht="15.75" x14ac:dyDescent="0.25">
      <c r="A93" s="17" t="s">
        <v>541</v>
      </c>
      <c r="B93" s="41"/>
      <c r="C93" s="45"/>
      <c r="D93" s="43"/>
      <c r="E93" s="43"/>
      <c r="F93" s="43"/>
      <c r="G93" s="64"/>
      <c r="H93" s="40"/>
    </row>
    <row r="94" spans="1:11" ht="15.75" x14ac:dyDescent="0.25">
      <c r="A94" s="44" t="s">
        <v>533</v>
      </c>
      <c r="B94" s="41" t="s">
        <v>41</v>
      </c>
      <c r="C94" s="45">
        <v>0</v>
      </c>
      <c r="D94" s="43">
        <v>0</v>
      </c>
      <c r="E94" s="43">
        <v>0</v>
      </c>
      <c r="F94" s="43">
        <v>0</v>
      </c>
      <c r="G94" s="43">
        <v>3000000</v>
      </c>
      <c r="H94" s="40">
        <v>3000000</v>
      </c>
    </row>
    <row r="95" spans="1:11" ht="31.5" x14ac:dyDescent="0.25">
      <c r="A95" s="295" t="s">
        <v>542</v>
      </c>
      <c r="B95" s="41"/>
      <c r="C95" s="45"/>
      <c r="D95" s="43"/>
      <c r="E95" s="43"/>
      <c r="F95" s="43"/>
      <c r="G95" s="64"/>
      <c r="H95" s="40"/>
    </row>
    <row r="96" spans="1:11" ht="15.75" x14ac:dyDescent="0.25">
      <c r="A96" s="17" t="s">
        <v>534</v>
      </c>
      <c r="B96" s="41"/>
      <c r="C96" s="45"/>
      <c r="D96" s="43"/>
      <c r="E96" s="43"/>
      <c r="F96" s="43"/>
      <c r="G96" s="64"/>
      <c r="H96" s="40"/>
    </row>
    <row r="97" spans="1:9" ht="15.75" x14ac:dyDescent="0.25">
      <c r="A97" s="44" t="s">
        <v>543</v>
      </c>
      <c r="B97" s="41" t="s">
        <v>47</v>
      </c>
      <c r="C97" s="45">
        <v>579000</v>
      </c>
      <c r="D97" s="43">
        <v>356400</v>
      </c>
      <c r="E97" s="43">
        <f>F97-D97</f>
        <v>3600</v>
      </c>
      <c r="F97" s="43">
        <v>360000</v>
      </c>
      <c r="G97" s="43">
        <f>850000+500000</f>
        <v>1350000</v>
      </c>
      <c r="H97" s="40"/>
    </row>
    <row r="98" spans="1:9" ht="31.5" x14ac:dyDescent="0.25">
      <c r="A98" s="295" t="s">
        <v>544</v>
      </c>
      <c r="B98" s="41"/>
      <c r="C98" s="45"/>
      <c r="D98" s="43"/>
      <c r="E98" s="43"/>
      <c r="F98" s="43"/>
      <c r="G98" s="64"/>
      <c r="H98" s="99">
        <v>850000</v>
      </c>
      <c r="I98" s="67"/>
    </row>
    <row r="99" spans="1:9" ht="31.5" x14ac:dyDescent="0.25">
      <c r="A99" s="465" t="s">
        <v>545</v>
      </c>
      <c r="B99" s="454"/>
      <c r="C99" s="443"/>
      <c r="D99" s="443"/>
      <c r="E99" s="443"/>
      <c r="F99" s="443"/>
      <c r="G99" s="504"/>
      <c r="H99" s="99">
        <v>500000</v>
      </c>
      <c r="I99" s="67"/>
    </row>
    <row r="100" spans="1:9" ht="15.75" x14ac:dyDescent="0.25">
      <c r="A100" s="460" t="s">
        <v>546</v>
      </c>
      <c r="B100" s="454" t="s">
        <v>52</v>
      </c>
      <c r="C100" s="443">
        <v>308000.01</v>
      </c>
      <c r="D100" s="443">
        <v>1301000</v>
      </c>
      <c r="E100" s="443">
        <f>F100-D100</f>
        <v>10000</v>
      </c>
      <c r="F100" s="443">
        <v>1311000</v>
      </c>
      <c r="G100" s="462">
        <f>1000000+850000+1980000</f>
        <v>3830000</v>
      </c>
      <c r="H100" s="99"/>
      <c r="I100" s="67"/>
    </row>
    <row r="101" spans="1:9" ht="31.5" x14ac:dyDescent="0.25">
      <c r="A101" s="295" t="s">
        <v>547</v>
      </c>
      <c r="B101" s="41"/>
      <c r="C101" s="45"/>
      <c r="D101" s="43"/>
      <c r="E101" s="43"/>
      <c r="F101" s="45"/>
      <c r="G101" s="64"/>
      <c r="H101" s="40"/>
    </row>
    <row r="102" spans="1:9" ht="31.5" x14ac:dyDescent="0.25">
      <c r="A102" s="295" t="s">
        <v>548</v>
      </c>
      <c r="B102" s="41"/>
      <c r="C102" s="45"/>
      <c r="D102" s="43"/>
      <c r="E102" s="43"/>
      <c r="F102" s="45"/>
      <c r="G102" s="64"/>
      <c r="H102" s="40"/>
    </row>
    <row r="103" spans="1:9" ht="31.5" x14ac:dyDescent="0.25">
      <c r="A103" s="295" t="s">
        <v>549</v>
      </c>
      <c r="B103" s="41"/>
      <c r="C103" s="45"/>
      <c r="D103" s="43"/>
      <c r="E103" s="43"/>
      <c r="F103" s="45"/>
      <c r="G103" s="64"/>
      <c r="H103" s="40"/>
    </row>
    <row r="104" spans="1:9" ht="15.75" x14ac:dyDescent="0.25">
      <c r="A104" s="44" t="s">
        <v>535</v>
      </c>
      <c r="B104" s="41" t="s">
        <v>62</v>
      </c>
      <c r="C104" s="45">
        <v>2492754</v>
      </c>
      <c r="D104" s="43">
        <v>2499984</v>
      </c>
      <c r="E104" s="43">
        <f t="shared" ref="E104" si="10">F104-D104</f>
        <v>5000016</v>
      </c>
      <c r="F104" s="45">
        <v>7500000</v>
      </c>
      <c r="G104" s="43">
        <f>4000000+2500000+1200000+4500000+350000+1880000</f>
        <v>14430000</v>
      </c>
      <c r="H104" s="99"/>
    </row>
    <row r="105" spans="1:9" ht="31.5" x14ac:dyDescent="0.25">
      <c r="A105" s="295" t="s">
        <v>551</v>
      </c>
      <c r="B105" s="41"/>
      <c r="C105" s="45"/>
      <c r="D105" s="43"/>
      <c r="E105" s="43"/>
      <c r="F105" s="45"/>
      <c r="G105" s="64"/>
      <c r="H105" s="40">
        <v>4000000</v>
      </c>
    </row>
    <row r="106" spans="1:9" ht="15.75" x14ac:dyDescent="0.25">
      <c r="A106" s="96" t="s">
        <v>552</v>
      </c>
      <c r="B106" s="41"/>
      <c r="C106" s="45"/>
      <c r="D106" s="43"/>
      <c r="E106" s="43"/>
      <c r="F106" s="45"/>
      <c r="G106" s="64"/>
      <c r="H106" s="40">
        <v>2500000</v>
      </c>
    </row>
    <row r="107" spans="1:9" ht="15.75" x14ac:dyDescent="0.25">
      <c r="A107" s="96" t="s">
        <v>553</v>
      </c>
      <c r="B107" s="41"/>
      <c r="C107" s="45"/>
      <c r="D107" s="43"/>
      <c r="E107" s="43"/>
      <c r="F107" s="45"/>
      <c r="G107" s="64"/>
      <c r="H107" s="40">
        <v>1200000</v>
      </c>
    </row>
    <row r="108" spans="1:9" ht="15.75" x14ac:dyDescent="0.25">
      <c r="A108" s="96" t="s">
        <v>554</v>
      </c>
      <c r="B108" s="41"/>
      <c r="C108" s="45"/>
      <c r="D108" s="43"/>
      <c r="E108" s="43"/>
      <c r="F108" s="45"/>
      <c r="G108" s="64"/>
      <c r="H108" s="40">
        <v>4500000</v>
      </c>
    </row>
    <row r="109" spans="1:9" ht="15.75" x14ac:dyDescent="0.25">
      <c r="A109" s="96" t="s">
        <v>555</v>
      </c>
      <c r="B109" s="41"/>
      <c r="C109" s="45"/>
      <c r="D109" s="43"/>
      <c r="E109" s="43"/>
      <c r="F109" s="45"/>
      <c r="G109" s="64"/>
      <c r="H109" s="40">
        <v>350000</v>
      </c>
    </row>
    <row r="110" spans="1:9" ht="15.75" x14ac:dyDescent="0.25">
      <c r="A110" s="96" t="s">
        <v>556</v>
      </c>
      <c r="B110" s="41"/>
      <c r="C110" s="45"/>
      <c r="D110" s="43"/>
      <c r="E110" s="43"/>
      <c r="F110" s="45"/>
      <c r="G110" s="64"/>
      <c r="H110" s="40">
        <v>1880000</v>
      </c>
    </row>
    <row r="111" spans="1:9" ht="15.75" x14ac:dyDescent="0.25">
      <c r="A111" s="44" t="s">
        <v>557</v>
      </c>
      <c r="B111" s="41" t="s">
        <v>66</v>
      </c>
      <c r="C111" s="45">
        <v>0</v>
      </c>
      <c r="D111" s="43">
        <v>0</v>
      </c>
      <c r="E111" s="43">
        <v>0</v>
      </c>
      <c r="F111" s="45">
        <v>0</v>
      </c>
      <c r="G111" s="66">
        <f>268800*8</f>
        <v>2150400</v>
      </c>
      <c r="H111" s="40"/>
    </row>
    <row r="112" spans="1:9" ht="15.75" x14ac:dyDescent="0.25">
      <c r="A112" s="135" t="s">
        <v>558</v>
      </c>
      <c r="B112" s="41"/>
      <c r="C112" s="45"/>
      <c r="D112" s="43"/>
      <c r="E112" s="43"/>
      <c r="F112" s="45"/>
      <c r="G112" s="43"/>
      <c r="H112" s="40"/>
    </row>
    <row r="113" spans="1:8" ht="15.75" x14ac:dyDescent="0.25">
      <c r="A113" s="44" t="s">
        <v>559</v>
      </c>
      <c r="B113" s="41" t="s">
        <v>72</v>
      </c>
      <c r="C113" s="45">
        <v>599400</v>
      </c>
      <c r="D113" s="43">
        <v>0</v>
      </c>
      <c r="E113" s="43">
        <f>F113-D113</f>
        <v>797000</v>
      </c>
      <c r="F113" s="45">
        <v>797000</v>
      </c>
      <c r="G113" s="43">
        <f>325000+375000+3200000+150000</f>
        <v>4050000</v>
      </c>
      <c r="H113" s="40"/>
    </row>
    <row r="114" spans="1:8" ht="15.75" x14ac:dyDescent="0.25">
      <c r="A114" s="96" t="s">
        <v>560</v>
      </c>
      <c r="B114" s="41"/>
      <c r="C114" s="45"/>
      <c r="D114" s="45"/>
      <c r="E114" s="43"/>
      <c r="F114" s="45"/>
      <c r="G114" s="64"/>
      <c r="H114" s="40">
        <v>325000</v>
      </c>
    </row>
    <row r="115" spans="1:8" ht="15.75" x14ac:dyDescent="0.25">
      <c r="A115" s="96" t="s">
        <v>561</v>
      </c>
      <c r="B115" s="41"/>
      <c r="C115" s="45"/>
      <c r="D115" s="45"/>
      <c r="E115" s="43"/>
      <c r="F115" s="45"/>
      <c r="G115" s="64"/>
      <c r="H115" s="40">
        <v>375000</v>
      </c>
    </row>
    <row r="116" spans="1:8" ht="31.5" x14ac:dyDescent="0.25">
      <c r="A116" s="295" t="s">
        <v>562</v>
      </c>
      <c r="B116" s="41"/>
      <c r="C116" s="45"/>
      <c r="D116" s="45"/>
      <c r="E116" s="43"/>
      <c r="F116" s="45"/>
      <c r="G116" s="64"/>
      <c r="H116" s="40">
        <v>3200000</v>
      </c>
    </row>
    <row r="117" spans="1:8" ht="29.45" customHeight="1" x14ac:dyDescent="0.25">
      <c r="A117" s="295" t="s">
        <v>563</v>
      </c>
      <c r="B117" s="41"/>
      <c r="C117" s="45"/>
      <c r="D117" s="45"/>
      <c r="E117" s="43"/>
      <c r="F117" s="45"/>
      <c r="G117" s="64"/>
      <c r="H117" s="40">
        <v>150000</v>
      </c>
    </row>
    <row r="118" spans="1:8" ht="15.75" x14ac:dyDescent="0.25">
      <c r="A118" s="44" t="s">
        <v>564</v>
      </c>
      <c r="B118" s="41" t="s">
        <v>74</v>
      </c>
      <c r="C118" s="43">
        <v>5235800</v>
      </c>
      <c r="D118" s="45">
        <v>8982600</v>
      </c>
      <c r="E118" s="43">
        <f>F118-D118</f>
        <v>550400</v>
      </c>
      <c r="F118" s="45">
        <v>9533000</v>
      </c>
      <c r="G118" s="66">
        <v>8072400</v>
      </c>
      <c r="H118" s="40"/>
    </row>
    <row r="119" spans="1:8" ht="29.45" customHeight="1" x14ac:dyDescent="0.25">
      <c r="A119" s="295" t="s">
        <v>565</v>
      </c>
      <c r="B119" s="41"/>
      <c r="C119" s="43"/>
      <c r="D119" s="45"/>
      <c r="E119" s="43"/>
      <c r="F119" s="45"/>
      <c r="G119" s="136"/>
      <c r="H119" s="40">
        <v>4500000</v>
      </c>
    </row>
    <row r="120" spans="1:8" ht="29.45" customHeight="1" x14ac:dyDescent="0.25">
      <c r="A120" s="295" t="s">
        <v>566</v>
      </c>
      <c r="B120" s="41"/>
      <c r="C120" s="43"/>
      <c r="D120" s="45"/>
      <c r="E120" s="43"/>
      <c r="F120" s="45"/>
      <c r="G120" s="136"/>
      <c r="H120" s="40">
        <v>2882400</v>
      </c>
    </row>
    <row r="121" spans="1:8" ht="17.45" customHeight="1" x14ac:dyDescent="0.25">
      <c r="A121" s="96" t="s">
        <v>567</v>
      </c>
      <c r="B121" s="41"/>
      <c r="C121" s="43"/>
      <c r="D121" s="45"/>
      <c r="E121" s="43"/>
      <c r="F121" s="45"/>
      <c r="G121" s="136"/>
      <c r="H121" s="40">
        <v>60000</v>
      </c>
    </row>
    <row r="122" spans="1:8" ht="17.45" customHeight="1" x14ac:dyDescent="0.25">
      <c r="A122" s="96" t="s">
        <v>568</v>
      </c>
      <c r="B122" s="41"/>
      <c r="C122" s="43"/>
      <c r="D122" s="45"/>
      <c r="E122" s="43"/>
      <c r="F122" s="45"/>
      <c r="G122" s="136"/>
      <c r="H122" s="40">
        <v>80000</v>
      </c>
    </row>
    <row r="123" spans="1:8" ht="17.45" customHeight="1" x14ac:dyDescent="0.25">
      <c r="A123" s="96" t="s">
        <v>569</v>
      </c>
      <c r="B123" s="41"/>
      <c r="C123" s="43"/>
      <c r="D123" s="45"/>
      <c r="E123" s="43"/>
      <c r="F123" s="45"/>
      <c r="G123" s="136"/>
      <c r="H123" s="40">
        <v>550000</v>
      </c>
    </row>
    <row r="124" spans="1:8" ht="17.45" customHeight="1" x14ac:dyDescent="0.25">
      <c r="A124" s="17" t="s">
        <v>570</v>
      </c>
      <c r="B124" s="41"/>
      <c r="C124" s="43"/>
      <c r="D124" s="45"/>
      <c r="E124" s="43"/>
      <c r="F124" s="43"/>
      <c r="G124" s="136"/>
      <c r="H124" s="40"/>
    </row>
    <row r="125" spans="1:8" ht="17.45" customHeight="1" x14ac:dyDescent="0.25">
      <c r="A125" s="96" t="s">
        <v>571</v>
      </c>
      <c r="B125" s="41" t="s">
        <v>81</v>
      </c>
      <c r="C125" s="43"/>
      <c r="D125" s="137"/>
      <c r="E125" s="43">
        <f>F125-D125</f>
        <v>5500000</v>
      </c>
      <c r="F125" s="43">
        <v>5500000</v>
      </c>
      <c r="G125" s="43">
        <f>6000000+550000</f>
        <v>6550000</v>
      </c>
      <c r="H125" s="138">
        <v>6550000</v>
      </c>
    </row>
    <row r="126" spans="1:8" ht="17.45" customHeight="1" x14ac:dyDescent="0.25">
      <c r="A126" s="96" t="s">
        <v>572</v>
      </c>
      <c r="B126" s="41"/>
      <c r="C126" s="43"/>
      <c r="D126" s="45"/>
      <c r="E126" s="43"/>
      <c r="F126" s="43"/>
      <c r="G126" s="45"/>
      <c r="H126" s="139"/>
    </row>
    <row r="127" spans="1:8" ht="17.45" customHeight="1" x14ac:dyDescent="0.25">
      <c r="A127" s="96" t="s">
        <v>573</v>
      </c>
      <c r="B127" s="41"/>
      <c r="C127" s="43"/>
      <c r="D127" s="45"/>
      <c r="E127" s="43"/>
      <c r="F127" s="43"/>
      <c r="G127" s="45"/>
      <c r="H127" s="139"/>
    </row>
    <row r="128" spans="1:8" ht="17.45" customHeight="1" x14ac:dyDescent="0.25">
      <c r="A128" s="44" t="s">
        <v>574</v>
      </c>
      <c r="B128" s="41" t="s">
        <v>83</v>
      </c>
      <c r="C128" s="43">
        <v>2990000</v>
      </c>
      <c r="D128" s="45">
        <v>13990000</v>
      </c>
      <c r="E128" s="43">
        <f>F128-D128</f>
        <v>5710000</v>
      </c>
      <c r="F128" s="43">
        <v>19700000</v>
      </c>
      <c r="G128" s="43">
        <f>6600000</f>
        <v>6600000</v>
      </c>
      <c r="H128" s="139"/>
    </row>
    <row r="129" spans="1:26" ht="32.450000000000003" customHeight="1" x14ac:dyDescent="0.25">
      <c r="A129" s="465" t="s">
        <v>575</v>
      </c>
      <c r="B129" s="450"/>
      <c r="C129" s="443"/>
      <c r="D129" s="443"/>
      <c r="E129" s="443"/>
      <c r="F129" s="443"/>
      <c r="G129" s="462"/>
      <c r="H129" s="60"/>
      <c r="I129" s="114"/>
      <c r="J129" s="114"/>
      <c r="K129" s="114"/>
      <c r="L129" s="114"/>
      <c r="M129" s="114"/>
      <c r="N129" s="114"/>
      <c r="O129" s="114"/>
      <c r="P129" s="114"/>
      <c r="Q129" s="114"/>
      <c r="R129" s="114"/>
      <c r="S129" s="114"/>
      <c r="T129" s="114"/>
      <c r="U129" s="114"/>
      <c r="V129" s="114"/>
      <c r="W129" s="114"/>
      <c r="X129" s="114"/>
      <c r="Y129" s="114"/>
      <c r="Z129" s="114"/>
    </row>
    <row r="130" spans="1:26" ht="17.45" customHeight="1" x14ac:dyDescent="0.25">
      <c r="A130" s="456" t="s">
        <v>576</v>
      </c>
      <c r="B130" s="450"/>
      <c r="C130" s="443"/>
      <c r="D130" s="443"/>
      <c r="E130" s="443"/>
      <c r="F130" s="443"/>
      <c r="G130" s="462"/>
      <c r="H130" s="60"/>
      <c r="I130" s="114"/>
      <c r="J130" s="114"/>
      <c r="K130" s="114"/>
      <c r="L130" s="114"/>
      <c r="M130" s="114"/>
      <c r="N130" s="114"/>
      <c r="O130" s="114"/>
      <c r="P130" s="114"/>
      <c r="Q130" s="114"/>
      <c r="R130" s="114"/>
      <c r="S130" s="114"/>
      <c r="T130" s="114"/>
      <c r="U130" s="114"/>
      <c r="V130" s="114"/>
      <c r="W130" s="114"/>
      <c r="X130" s="114"/>
      <c r="Y130" s="114"/>
      <c r="Z130" s="114"/>
    </row>
    <row r="131" spans="1:26" ht="17.45" customHeight="1" x14ac:dyDescent="0.25">
      <c r="A131" s="610" t="s">
        <v>576</v>
      </c>
      <c r="B131" s="483" t="s">
        <v>107</v>
      </c>
      <c r="C131" s="457"/>
      <c r="D131" s="452"/>
      <c r="E131" s="457"/>
      <c r="F131" s="457"/>
      <c r="G131" s="452">
        <f>2800000+980000</f>
        <v>3780000</v>
      </c>
      <c r="H131" s="60"/>
      <c r="I131" s="114"/>
      <c r="J131" s="114"/>
      <c r="K131" s="114"/>
      <c r="L131" s="114"/>
      <c r="M131" s="114"/>
      <c r="N131" s="114"/>
      <c r="O131" s="114"/>
      <c r="P131" s="114"/>
      <c r="Q131" s="114"/>
      <c r="R131" s="114"/>
      <c r="S131" s="114"/>
      <c r="T131" s="114"/>
      <c r="U131" s="114"/>
      <c r="V131" s="114"/>
      <c r="W131" s="114"/>
      <c r="X131" s="114"/>
      <c r="Y131" s="114"/>
      <c r="Z131" s="114"/>
    </row>
    <row r="132" spans="1:26" ht="34.15" customHeight="1" x14ac:dyDescent="0.25">
      <c r="A132" s="761" t="s">
        <v>577</v>
      </c>
      <c r="B132" s="762"/>
      <c r="C132" s="448"/>
      <c r="D132" s="449"/>
      <c r="E132" s="448"/>
      <c r="F132" s="448"/>
      <c r="G132" s="449"/>
      <c r="H132" s="60">
        <v>2800000</v>
      </c>
      <c r="I132" s="114"/>
      <c r="J132" s="114"/>
      <c r="K132" s="114"/>
      <c r="L132" s="114"/>
      <c r="M132" s="114"/>
      <c r="N132" s="114"/>
      <c r="O132" s="114"/>
      <c r="P132" s="114"/>
      <c r="Q132" s="114"/>
      <c r="R132" s="114"/>
      <c r="S132" s="114"/>
      <c r="T132" s="114"/>
      <c r="U132" s="114"/>
      <c r="V132" s="114"/>
      <c r="W132" s="114"/>
      <c r="X132" s="114"/>
      <c r="Y132" s="114"/>
      <c r="Z132" s="114"/>
    </row>
    <row r="133" spans="1:26" ht="17.45" customHeight="1" x14ac:dyDescent="0.25">
      <c r="A133" s="135" t="s">
        <v>578</v>
      </c>
      <c r="B133" s="141"/>
      <c r="C133" s="43"/>
      <c r="D133" s="45"/>
      <c r="E133" s="43"/>
      <c r="F133" s="43"/>
      <c r="G133" s="45"/>
      <c r="H133" s="60"/>
      <c r="I133" s="114"/>
      <c r="J133" s="114"/>
      <c r="K133" s="114"/>
      <c r="L133" s="114"/>
      <c r="M133" s="114"/>
      <c r="N133" s="114"/>
      <c r="O133" s="114"/>
      <c r="P133" s="114"/>
      <c r="Q133" s="114"/>
      <c r="R133" s="114"/>
      <c r="S133" s="114"/>
      <c r="T133" s="114"/>
      <c r="U133" s="114"/>
      <c r="V133" s="114"/>
      <c r="W133" s="114"/>
      <c r="X133" s="114"/>
      <c r="Y133" s="114"/>
      <c r="Z133" s="114"/>
    </row>
    <row r="134" spans="1:26" ht="17.45" customHeight="1" x14ac:dyDescent="0.25">
      <c r="A134" s="17" t="s">
        <v>536</v>
      </c>
      <c r="B134" s="141"/>
      <c r="C134" s="54">
        <f>SUM(C93:C128)</f>
        <v>12204954.01</v>
      </c>
      <c r="D134" s="54">
        <f>SUM(D93:D128)</f>
        <v>27129984</v>
      </c>
      <c r="E134" s="54">
        <f>SUM(E93:E128)</f>
        <v>17571016</v>
      </c>
      <c r="F134" s="54">
        <f>SUM(F93:F128)</f>
        <v>44701000</v>
      </c>
      <c r="G134" s="54">
        <f>SUM(G93:G132)</f>
        <v>53812800</v>
      </c>
      <c r="H134" s="60"/>
      <c r="I134" s="114"/>
      <c r="J134" s="114"/>
      <c r="K134" s="114"/>
      <c r="L134" s="114"/>
      <c r="M134" s="114"/>
      <c r="N134" s="114"/>
      <c r="O134" s="114"/>
      <c r="P134" s="114"/>
      <c r="Q134" s="114"/>
      <c r="R134" s="114"/>
      <c r="S134" s="114"/>
      <c r="T134" s="114"/>
      <c r="U134" s="114"/>
      <c r="V134" s="114"/>
      <c r="W134" s="114"/>
      <c r="X134" s="114"/>
      <c r="Y134" s="114"/>
      <c r="Z134" s="114"/>
    </row>
    <row r="135" spans="1:26" ht="14.45" customHeight="1" x14ac:dyDescent="0.25">
      <c r="A135" s="142"/>
      <c r="B135" s="140"/>
      <c r="C135" s="140"/>
      <c r="D135" s="143"/>
      <c r="E135" s="43">
        <f t="shared" ref="E135:E136" si="11">F135-D135</f>
        <v>0</v>
      </c>
      <c r="F135" s="140"/>
      <c r="G135" s="136"/>
      <c r="H135" s="60"/>
      <c r="I135" s="114"/>
      <c r="J135" s="114"/>
      <c r="K135" s="114"/>
      <c r="L135" s="114"/>
      <c r="M135" s="114"/>
      <c r="N135" s="114"/>
      <c r="O135" s="114"/>
      <c r="P135" s="114"/>
      <c r="Q135" s="114"/>
      <c r="R135" s="114"/>
      <c r="S135" s="114"/>
      <c r="T135" s="114"/>
      <c r="U135" s="114"/>
      <c r="V135" s="114"/>
      <c r="W135" s="114"/>
      <c r="X135" s="114"/>
      <c r="Y135" s="114"/>
      <c r="Z135" s="114"/>
    </row>
    <row r="136" spans="1:26" ht="15.75" x14ac:dyDescent="0.25">
      <c r="A136" s="763" t="s">
        <v>487</v>
      </c>
      <c r="B136" s="764"/>
      <c r="C136" s="39">
        <f>SUM(C134+C90)</f>
        <v>15004002.609999999</v>
      </c>
      <c r="D136" s="39">
        <f>SUM(D134+D90)</f>
        <v>32946985.120000001</v>
      </c>
      <c r="E136" s="55">
        <f t="shared" si="11"/>
        <v>18049014.879999999</v>
      </c>
      <c r="F136" s="39">
        <f>SUM(F134+F90)</f>
        <v>50996000</v>
      </c>
      <c r="G136" s="39">
        <f>SUM(G134+G90)</f>
        <v>63119520</v>
      </c>
      <c r="H136" s="60"/>
      <c r="I136" s="114"/>
      <c r="J136" s="114"/>
      <c r="K136" s="114"/>
      <c r="L136" s="114"/>
      <c r="M136" s="114"/>
      <c r="N136" s="114"/>
      <c r="O136" s="114"/>
      <c r="P136" s="114"/>
      <c r="Q136" s="114"/>
      <c r="R136" s="114"/>
      <c r="S136" s="114"/>
      <c r="T136" s="114"/>
      <c r="U136" s="114"/>
      <c r="V136" s="114"/>
      <c r="W136" s="114"/>
      <c r="X136" s="114"/>
      <c r="Y136" s="114"/>
      <c r="Z136" s="114"/>
    </row>
    <row r="137" spans="1:26" ht="15.75" x14ac:dyDescent="0.25">
      <c r="A137" s="543"/>
      <c r="B137" s="458"/>
      <c r="C137" s="81"/>
      <c r="D137" s="81"/>
      <c r="E137" s="81"/>
      <c r="F137" s="81"/>
      <c r="G137" s="144"/>
      <c r="H137" s="60"/>
      <c r="I137" s="114"/>
      <c r="J137" s="114"/>
      <c r="K137" s="114"/>
      <c r="L137" s="114"/>
      <c r="M137" s="114"/>
      <c r="N137" s="114"/>
      <c r="O137" s="114"/>
      <c r="P137" s="114"/>
      <c r="Q137" s="114"/>
      <c r="R137" s="114"/>
      <c r="S137" s="114"/>
      <c r="T137" s="114"/>
      <c r="U137" s="114"/>
      <c r="V137" s="114"/>
      <c r="W137" s="114"/>
      <c r="X137" s="114"/>
      <c r="Y137" s="114"/>
      <c r="Z137" s="114"/>
    </row>
    <row r="138" spans="1:26" ht="15.75" x14ac:dyDescent="0.25">
      <c r="A138" s="515"/>
      <c r="B138" s="488"/>
      <c r="C138" s="443"/>
      <c r="D138" s="443"/>
      <c r="E138" s="443"/>
      <c r="F138" s="443"/>
      <c r="G138" s="760"/>
      <c r="H138" s="60"/>
      <c r="I138" s="114"/>
      <c r="J138" s="114"/>
      <c r="K138" s="114"/>
      <c r="L138" s="114"/>
      <c r="M138" s="114"/>
      <c r="N138" s="114"/>
      <c r="O138" s="114"/>
      <c r="P138" s="114"/>
      <c r="Q138" s="114"/>
      <c r="R138" s="114"/>
      <c r="S138" s="114"/>
      <c r="T138" s="114"/>
      <c r="U138" s="114"/>
      <c r="V138" s="114"/>
      <c r="W138" s="114"/>
      <c r="X138" s="114"/>
      <c r="Y138" s="114"/>
      <c r="Z138" s="114"/>
    </row>
    <row r="139" spans="1:26" ht="15.75" x14ac:dyDescent="0.25">
      <c r="A139" s="134" t="s">
        <v>488</v>
      </c>
      <c r="B139" s="103"/>
      <c r="C139" s="114"/>
      <c r="D139" s="24"/>
      <c r="E139" s="24"/>
      <c r="F139" s="103"/>
      <c r="G139" s="99"/>
      <c r="H139" s="40"/>
    </row>
    <row r="140" spans="1:26" ht="15.75" x14ac:dyDescent="0.25">
      <c r="A140" s="9"/>
      <c r="B140" s="104"/>
      <c r="C140" s="105"/>
      <c r="D140" s="105"/>
      <c r="E140" s="105"/>
      <c r="F140" s="10"/>
      <c r="G140" s="106"/>
      <c r="H140" s="40"/>
    </row>
    <row r="141" spans="1:26" ht="15.75" x14ac:dyDescent="0.25">
      <c r="A141" s="108" t="s">
        <v>579</v>
      </c>
      <c r="B141" s="25"/>
      <c r="C141" s="26"/>
      <c r="D141" s="26"/>
      <c r="E141" s="26"/>
      <c r="F141" s="14"/>
      <c r="G141" s="107"/>
      <c r="H141" s="40"/>
    </row>
    <row r="142" spans="1:26" ht="15.75" x14ac:dyDescent="0.25">
      <c r="A142" s="108"/>
      <c r="B142" s="25"/>
      <c r="C142" s="26"/>
      <c r="D142" s="26"/>
      <c r="E142" s="26"/>
      <c r="F142" s="26"/>
      <c r="G142" s="136"/>
      <c r="H142" s="40"/>
    </row>
    <row r="143" spans="1:26" ht="15.75" x14ac:dyDescent="0.25">
      <c r="A143" s="865" t="s">
        <v>352</v>
      </c>
      <c r="B143" s="866"/>
      <c r="C143" s="866"/>
      <c r="D143" s="866"/>
      <c r="E143" s="866"/>
      <c r="F143" s="866"/>
      <c r="G143" s="867"/>
      <c r="H143" s="40"/>
    </row>
    <row r="144" spans="1:26" ht="15.75" x14ac:dyDescent="0.25">
      <c r="A144" s="868" t="s">
        <v>353</v>
      </c>
      <c r="B144" s="857" t="s">
        <v>354</v>
      </c>
      <c r="C144" s="870" t="s">
        <v>355</v>
      </c>
      <c r="D144" s="872" t="s">
        <v>356</v>
      </c>
      <c r="E144" s="873"/>
      <c r="F144" s="874"/>
      <c r="G144" s="857" t="s">
        <v>357</v>
      </c>
      <c r="H144" s="16"/>
      <c r="I144" s="15"/>
      <c r="J144" s="15"/>
      <c r="K144" s="15"/>
      <c r="L144" s="15"/>
      <c r="M144" s="15"/>
      <c r="N144" s="15"/>
      <c r="O144" s="15"/>
      <c r="P144" s="15"/>
      <c r="Q144" s="15"/>
      <c r="R144" s="15"/>
      <c r="S144" s="15"/>
      <c r="T144" s="15"/>
      <c r="U144" s="15"/>
      <c r="V144" s="15"/>
      <c r="W144" s="15"/>
      <c r="X144" s="15"/>
      <c r="Y144" s="15"/>
      <c r="Z144" s="15"/>
    </row>
    <row r="145" spans="1:26" ht="31.5" x14ac:dyDescent="0.25">
      <c r="A145" s="858"/>
      <c r="B145" s="858"/>
      <c r="C145" s="871"/>
      <c r="D145" s="28" t="s">
        <v>358</v>
      </c>
      <c r="E145" s="29" t="s">
        <v>359</v>
      </c>
      <c r="F145" s="875" t="s">
        <v>360</v>
      </c>
      <c r="G145" s="858"/>
      <c r="H145" s="16"/>
      <c r="I145" s="15"/>
      <c r="J145" s="15"/>
      <c r="K145" s="15"/>
      <c r="L145" s="15"/>
      <c r="M145" s="15"/>
      <c r="N145" s="15"/>
      <c r="O145" s="15"/>
      <c r="P145" s="15"/>
      <c r="Q145" s="15"/>
      <c r="R145" s="15"/>
      <c r="S145" s="15"/>
      <c r="T145" s="15"/>
      <c r="U145" s="15"/>
      <c r="V145" s="15"/>
      <c r="W145" s="15"/>
      <c r="X145" s="15"/>
      <c r="Y145" s="15"/>
      <c r="Z145" s="15"/>
    </row>
    <row r="146" spans="1:26" ht="15.75" x14ac:dyDescent="0.25">
      <c r="A146" s="858"/>
      <c r="B146" s="858"/>
      <c r="C146" s="30" t="s">
        <v>361</v>
      </c>
      <c r="D146" s="31" t="s">
        <v>361</v>
      </c>
      <c r="E146" s="32" t="s">
        <v>362</v>
      </c>
      <c r="F146" s="860"/>
      <c r="G146" s="442" t="s">
        <v>2717</v>
      </c>
      <c r="H146" s="16"/>
      <c r="I146" s="15"/>
      <c r="J146" s="15"/>
      <c r="K146" s="15"/>
      <c r="L146" s="15"/>
      <c r="M146" s="15"/>
      <c r="N146" s="15"/>
      <c r="O146" s="15"/>
      <c r="P146" s="15"/>
      <c r="Q146" s="15"/>
      <c r="R146" s="15"/>
      <c r="S146" s="15"/>
      <c r="T146" s="15"/>
      <c r="U146" s="15"/>
      <c r="V146" s="15"/>
      <c r="W146" s="15"/>
      <c r="X146" s="15"/>
      <c r="Y146" s="15"/>
      <c r="Z146" s="15"/>
    </row>
    <row r="147" spans="1:26" ht="15.75" x14ac:dyDescent="0.25">
      <c r="A147" s="869"/>
      <c r="B147" s="869"/>
      <c r="C147" s="33">
        <v>2024</v>
      </c>
      <c r="D147" s="34">
        <v>2025</v>
      </c>
      <c r="E147" s="35">
        <v>2025</v>
      </c>
      <c r="F147" s="34">
        <v>2025</v>
      </c>
      <c r="G147" s="36" t="s">
        <v>2668</v>
      </c>
      <c r="H147" s="16"/>
      <c r="I147" s="15"/>
      <c r="J147" s="15"/>
      <c r="K147" s="15"/>
      <c r="L147" s="15"/>
      <c r="M147" s="15"/>
      <c r="N147" s="15"/>
      <c r="O147" s="15"/>
      <c r="P147" s="15"/>
      <c r="Q147" s="15"/>
      <c r="R147" s="15"/>
      <c r="S147" s="15"/>
      <c r="T147" s="15"/>
      <c r="U147" s="15"/>
      <c r="V147" s="15"/>
      <c r="W147" s="15"/>
      <c r="X147" s="15"/>
      <c r="Y147" s="15"/>
      <c r="Z147" s="15"/>
    </row>
    <row r="148" spans="1:26" ht="15.75" x14ac:dyDescent="0.25">
      <c r="A148" s="37" t="s">
        <v>364</v>
      </c>
      <c r="B148" s="38"/>
      <c r="C148" s="42"/>
      <c r="D148" s="42"/>
      <c r="E148" s="42"/>
      <c r="F148" s="42"/>
      <c r="G148" s="64"/>
      <c r="H148" s="40"/>
    </row>
    <row r="149" spans="1:26" ht="15.75" x14ac:dyDescent="0.25">
      <c r="A149" s="42" t="s">
        <v>580</v>
      </c>
      <c r="B149" s="41"/>
      <c r="C149" s="42"/>
      <c r="D149" s="42"/>
      <c r="E149" s="42"/>
      <c r="F149" s="42"/>
      <c r="G149" s="64"/>
      <c r="H149" s="40"/>
    </row>
    <row r="150" spans="1:26" ht="15.75" x14ac:dyDescent="0.25">
      <c r="A150" s="145" t="s">
        <v>499</v>
      </c>
      <c r="B150" s="41"/>
      <c r="C150" s="42"/>
      <c r="D150" s="42"/>
      <c r="E150" s="43"/>
      <c r="F150" s="43"/>
      <c r="G150" s="64"/>
      <c r="H150" s="40"/>
    </row>
    <row r="151" spans="1:26" ht="15.75" x14ac:dyDescent="0.25">
      <c r="A151" s="74" t="s">
        <v>402</v>
      </c>
      <c r="B151" s="41" t="s">
        <v>225</v>
      </c>
      <c r="C151" s="42"/>
      <c r="D151" s="43">
        <v>0</v>
      </c>
      <c r="E151" s="43">
        <f>F151-D151</f>
        <v>1410000</v>
      </c>
      <c r="F151" s="56">
        <v>1410000</v>
      </c>
      <c r="G151" s="43">
        <v>1000000</v>
      </c>
      <c r="H151" s="40">
        <v>1000000</v>
      </c>
    </row>
    <row r="152" spans="1:26" ht="31.5" x14ac:dyDescent="0.25">
      <c r="A152" s="295" t="s">
        <v>581</v>
      </c>
      <c r="B152" s="41"/>
      <c r="C152" s="45"/>
      <c r="D152" s="45"/>
      <c r="E152" s="45"/>
      <c r="F152" s="26"/>
      <c r="G152" s="53"/>
      <c r="H152" s="40"/>
    </row>
    <row r="153" spans="1:26" ht="15.75" x14ac:dyDescent="0.25">
      <c r="A153" s="17" t="s">
        <v>466</v>
      </c>
      <c r="B153" s="41"/>
      <c r="C153" s="79">
        <f t="shared" ref="C153:G153" si="12">SUM(C150:C151)</f>
        <v>0</v>
      </c>
      <c r="D153" s="79">
        <f t="shared" si="12"/>
        <v>0</v>
      </c>
      <c r="E153" s="79">
        <f t="shared" si="12"/>
        <v>1410000</v>
      </c>
      <c r="F153" s="79">
        <f t="shared" si="12"/>
        <v>1410000</v>
      </c>
      <c r="G153" s="52">
        <f t="shared" si="12"/>
        <v>1000000</v>
      </c>
      <c r="H153" s="40"/>
    </row>
    <row r="154" spans="1:26" ht="15.75" x14ac:dyDescent="0.25">
      <c r="A154" s="146"/>
      <c r="B154" s="41"/>
      <c r="C154" s="42"/>
      <c r="D154" s="42"/>
      <c r="E154" s="43"/>
      <c r="F154" s="42"/>
      <c r="G154" s="64"/>
      <c r="H154" s="40"/>
    </row>
    <row r="155" spans="1:26" ht="15.75" x14ac:dyDescent="0.25">
      <c r="A155" s="17" t="s">
        <v>467</v>
      </c>
      <c r="B155" s="41"/>
      <c r="C155" s="43">
        <f t="shared" ref="C155:G155" si="13">C153</f>
        <v>0</v>
      </c>
      <c r="D155" s="43">
        <f t="shared" si="13"/>
        <v>0</v>
      </c>
      <c r="E155" s="43">
        <f t="shared" si="13"/>
        <v>1410000</v>
      </c>
      <c r="F155" s="43">
        <f t="shared" si="13"/>
        <v>1410000</v>
      </c>
      <c r="G155" s="43">
        <f t="shared" si="13"/>
        <v>1000000</v>
      </c>
      <c r="H155" s="40"/>
    </row>
    <row r="156" spans="1:26" ht="15.75" x14ac:dyDescent="0.25">
      <c r="A156" s="42"/>
      <c r="B156" s="49"/>
      <c r="C156" s="42"/>
      <c r="D156" s="42"/>
      <c r="E156" s="43"/>
      <c r="F156" s="43"/>
      <c r="G156" s="64"/>
      <c r="H156" s="40"/>
    </row>
    <row r="157" spans="1:26" ht="15.75" x14ac:dyDescent="0.25">
      <c r="A157" s="42" t="s">
        <v>529</v>
      </c>
      <c r="B157" s="49"/>
      <c r="C157" s="42"/>
      <c r="D157" s="42"/>
      <c r="E157" s="43"/>
      <c r="F157" s="19"/>
      <c r="G157" s="64"/>
      <c r="H157" s="40"/>
    </row>
    <row r="158" spans="1:26" ht="15.75" x14ac:dyDescent="0.25">
      <c r="A158" s="145" t="s">
        <v>476</v>
      </c>
      <c r="B158" s="41"/>
      <c r="C158" s="42"/>
      <c r="D158" s="42"/>
      <c r="E158" s="43"/>
      <c r="F158" s="45"/>
      <c r="G158" s="64"/>
      <c r="H158" s="40"/>
    </row>
    <row r="159" spans="1:26" ht="15.75" x14ac:dyDescent="0.25">
      <c r="A159" s="44" t="s">
        <v>582</v>
      </c>
      <c r="B159" s="41" t="s">
        <v>62</v>
      </c>
      <c r="C159" s="43">
        <v>1748200</v>
      </c>
      <c r="D159" s="43">
        <v>0</v>
      </c>
      <c r="E159" s="43">
        <f>F159-D159</f>
        <v>7500000</v>
      </c>
      <c r="F159" s="45">
        <v>7500000</v>
      </c>
      <c r="G159" s="43">
        <f>5000000+3500000+15000000</f>
        <v>23500000</v>
      </c>
      <c r="H159" s="40"/>
    </row>
    <row r="160" spans="1:26" ht="31.5" x14ac:dyDescent="0.25">
      <c r="A160" s="295" t="s">
        <v>583</v>
      </c>
      <c r="B160" s="41"/>
      <c r="C160" s="43"/>
      <c r="D160" s="43"/>
      <c r="E160" s="43"/>
      <c r="F160" s="45"/>
      <c r="G160" s="64"/>
      <c r="H160" s="40">
        <v>5000000</v>
      </c>
    </row>
    <row r="161" spans="1:26" ht="15.75" x14ac:dyDescent="0.25">
      <c r="A161" s="96" t="s">
        <v>584</v>
      </c>
      <c r="B161" s="41"/>
      <c r="C161" s="43"/>
      <c r="D161" s="43"/>
      <c r="E161" s="43"/>
      <c r="F161" s="45"/>
      <c r="G161" s="64"/>
      <c r="H161" s="40">
        <v>3500000</v>
      </c>
    </row>
    <row r="162" spans="1:26" ht="31.5" x14ac:dyDescent="0.25">
      <c r="A162" s="295" t="s">
        <v>585</v>
      </c>
      <c r="B162" s="41"/>
      <c r="C162" s="43"/>
      <c r="D162" s="43"/>
      <c r="E162" s="43"/>
      <c r="F162" s="45"/>
      <c r="G162" s="64"/>
      <c r="H162" s="40">
        <v>15000000</v>
      </c>
    </row>
    <row r="163" spans="1:26" ht="15.75" x14ac:dyDescent="0.25">
      <c r="A163" s="44" t="s">
        <v>586</v>
      </c>
      <c r="B163" s="41" t="s">
        <v>72</v>
      </c>
      <c r="C163" s="43">
        <v>0</v>
      </c>
      <c r="D163" s="43">
        <v>0</v>
      </c>
      <c r="E163" s="43">
        <v>0</v>
      </c>
      <c r="F163" s="45">
        <v>0</v>
      </c>
      <c r="G163" s="43">
        <v>1000000</v>
      </c>
      <c r="H163" s="40"/>
    </row>
    <row r="164" spans="1:26" ht="15.75" x14ac:dyDescent="0.25">
      <c r="A164" s="96" t="s">
        <v>587</v>
      </c>
      <c r="B164" s="41"/>
      <c r="C164" s="43"/>
      <c r="D164" s="43"/>
      <c r="E164" s="43"/>
      <c r="F164" s="45"/>
      <c r="G164" s="64"/>
      <c r="H164" s="40">
        <v>1000000</v>
      </c>
    </row>
    <row r="165" spans="1:26" ht="15.75" x14ac:dyDescent="0.25">
      <c r="A165" s="44" t="s">
        <v>564</v>
      </c>
      <c r="B165" s="41" t="s">
        <v>74</v>
      </c>
      <c r="C165" s="43">
        <v>0</v>
      </c>
      <c r="D165" s="43">
        <v>0</v>
      </c>
      <c r="E165" s="43">
        <v>0</v>
      </c>
      <c r="F165" s="45">
        <v>0</v>
      </c>
      <c r="G165" s="43">
        <v>4000000</v>
      </c>
      <c r="H165" s="40"/>
    </row>
    <row r="166" spans="1:26" ht="15.75" x14ac:dyDescent="0.25">
      <c r="A166" s="96" t="s">
        <v>588</v>
      </c>
      <c r="B166" s="41"/>
      <c r="C166" s="43"/>
      <c r="D166" s="43"/>
      <c r="E166" s="43"/>
      <c r="F166" s="45"/>
      <c r="G166" s="64"/>
      <c r="H166" s="40">
        <v>4000000</v>
      </c>
    </row>
    <row r="167" spans="1:26" ht="15.75" x14ac:dyDescent="0.25">
      <c r="A167" s="17" t="s">
        <v>536</v>
      </c>
      <c r="B167" s="41"/>
      <c r="C167" s="54">
        <f t="shared" ref="C167:G167" si="14">SUM(C159:C166)</f>
        <v>1748200</v>
      </c>
      <c r="D167" s="54">
        <f t="shared" si="14"/>
        <v>0</v>
      </c>
      <c r="E167" s="54">
        <f t="shared" si="14"/>
        <v>7500000</v>
      </c>
      <c r="F167" s="54">
        <f t="shared" si="14"/>
        <v>7500000</v>
      </c>
      <c r="G167" s="54">
        <f t="shared" si="14"/>
        <v>28500000</v>
      </c>
      <c r="H167" s="40"/>
    </row>
    <row r="168" spans="1:26" ht="15.75" x14ac:dyDescent="0.25">
      <c r="A168" s="17"/>
      <c r="B168" s="41"/>
      <c r="C168" s="55"/>
      <c r="D168" s="55"/>
      <c r="E168" s="43"/>
      <c r="F168" s="39"/>
      <c r="G168" s="113"/>
      <c r="H168" s="40"/>
    </row>
    <row r="169" spans="1:26" ht="15.75" x14ac:dyDescent="0.25">
      <c r="A169" s="50" t="s">
        <v>487</v>
      </c>
      <c r="B169" s="51" t="s">
        <v>488</v>
      </c>
      <c r="C169" s="54">
        <f t="shared" ref="C169:G169" si="15">C167+C153</f>
        <v>1748200</v>
      </c>
      <c r="D169" s="54">
        <f t="shared" si="15"/>
        <v>0</v>
      </c>
      <c r="E169" s="54">
        <f t="shared" si="15"/>
        <v>8910000</v>
      </c>
      <c r="F169" s="54">
        <f t="shared" si="15"/>
        <v>8910000</v>
      </c>
      <c r="G169" s="54">
        <f t="shared" si="15"/>
        <v>29500000</v>
      </c>
      <c r="H169" s="40"/>
    </row>
    <row r="170" spans="1:26" ht="15.75" x14ac:dyDescent="0.25">
      <c r="A170" s="24"/>
      <c r="B170" s="25"/>
      <c r="C170" s="26"/>
      <c r="D170" s="26"/>
      <c r="E170" s="26"/>
      <c r="F170" s="26"/>
      <c r="G170" s="99"/>
      <c r="H170" s="40"/>
    </row>
    <row r="171" spans="1:26" ht="15.75" x14ac:dyDescent="0.25">
      <c r="A171" s="24"/>
      <c r="B171" s="25"/>
      <c r="C171" s="26"/>
      <c r="D171" s="26"/>
      <c r="E171" s="26"/>
      <c r="F171" s="26"/>
      <c r="G171" s="99"/>
      <c r="H171" s="40"/>
    </row>
    <row r="172" spans="1:26" ht="15.75" x14ac:dyDescent="0.25">
      <c r="A172" s="9"/>
      <c r="B172" s="104"/>
      <c r="C172" s="105"/>
      <c r="D172" s="105"/>
      <c r="E172" s="105"/>
      <c r="F172" s="10"/>
      <c r="G172" s="106"/>
      <c r="H172" s="40"/>
    </row>
    <row r="173" spans="1:26" ht="30.75" customHeight="1" x14ac:dyDescent="0.25">
      <c r="A173" s="878" t="s">
        <v>589</v>
      </c>
      <c r="B173" s="879"/>
      <c r="C173" s="879"/>
      <c r="D173" s="879"/>
      <c r="E173" s="879"/>
      <c r="F173" s="879"/>
      <c r="G173" s="880"/>
      <c r="H173" s="40"/>
    </row>
    <row r="174" spans="1:26" ht="15.75" x14ac:dyDescent="0.25">
      <c r="A174" s="108"/>
      <c r="B174" s="25"/>
      <c r="C174" s="26"/>
      <c r="D174" s="26"/>
      <c r="E174" s="26"/>
      <c r="F174" s="26"/>
      <c r="G174" s="136"/>
      <c r="H174" s="40"/>
    </row>
    <row r="175" spans="1:26" ht="15.75" x14ac:dyDescent="0.25">
      <c r="A175" s="865" t="s">
        <v>352</v>
      </c>
      <c r="B175" s="866"/>
      <c r="C175" s="866"/>
      <c r="D175" s="866"/>
      <c r="E175" s="866"/>
      <c r="F175" s="866"/>
      <c r="G175" s="867"/>
      <c r="H175" s="40"/>
    </row>
    <row r="176" spans="1:26" ht="15.75" x14ac:dyDescent="0.25">
      <c r="A176" s="868" t="s">
        <v>353</v>
      </c>
      <c r="B176" s="857" t="s">
        <v>354</v>
      </c>
      <c r="C176" s="870" t="s">
        <v>355</v>
      </c>
      <c r="D176" s="872" t="s">
        <v>356</v>
      </c>
      <c r="E176" s="873"/>
      <c r="F176" s="874"/>
      <c r="G176" s="857" t="s">
        <v>357</v>
      </c>
      <c r="H176" s="16"/>
      <c r="I176" s="15"/>
      <c r="J176" s="15"/>
      <c r="K176" s="15"/>
      <c r="L176" s="15"/>
      <c r="M176" s="15"/>
      <c r="N176" s="15"/>
      <c r="O176" s="15"/>
      <c r="P176" s="15"/>
      <c r="Q176" s="15"/>
      <c r="R176" s="15"/>
      <c r="S176" s="15"/>
      <c r="T176" s="15"/>
      <c r="U176" s="15"/>
      <c r="V176" s="15"/>
      <c r="W176" s="15"/>
      <c r="X176" s="15"/>
      <c r="Y176" s="15"/>
      <c r="Z176" s="15"/>
    </row>
    <row r="177" spans="1:26" ht="31.5" x14ac:dyDescent="0.25">
      <c r="A177" s="858"/>
      <c r="B177" s="858"/>
      <c r="C177" s="871"/>
      <c r="D177" s="28" t="s">
        <v>358</v>
      </c>
      <c r="E177" s="29" t="s">
        <v>359</v>
      </c>
      <c r="F177" s="875" t="s">
        <v>360</v>
      </c>
      <c r="G177" s="858"/>
      <c r="H177" s="16"/>
      <c r="I177" s="15"/>
      <c r="J177" s="15"/>
      <c r="K177" s="15"/>
      <c r="L177" s="15"/>
      <c r="M177" s="15"/>
      <c r="N177" s="15"/>
      <c r="O177" s="15"/>
      <c r="P177" s="15"/>
      <c r="Q177" s="15"/>
      <c r="R177" s="15"/>
      <c r="S177" s="15"/>
      <c r="T177" s="15"/>
      <c r="U177" s="15"/>
      <c r="V177" s="15"/>
      <c r="W177" s="15"/>
      <c r="X177" s="15"/>
      <c r="Y177" s="15"/>
      <c r="Z177" s="15"/>
    </row>
    <row r="178" spans="1:26" ht="15.75" x14ac:dyDescent="0.25">
      <c r="A178" s="858"/>
      <c r="B178" s="858"/>
      <c r="C178" s="30" t="s">
        <v>361</v>
      </c>
      <c r="D178" s="31" t="s">
        <v>361</v>
      </c>
      <c r="E178" s="32" t="s">
        <v>362</v>
      </c>
      <c r="F178" s="860"/>
      <c r="G178" s="442" t="s">
        <v>2717</v>
      </c>
      <c r="H178" s="16"/>
      <c r="I178" s="15"/>
      <c r="J178" s="15"/>
      <c r="K178" s="15"/>
      <c r="L178" s="15"/>
      <c r="M178" s="15"/>
      <c r="N178" s="15"/>
      <c r="O178" s="15"/>
      <c r="P178" s="15"/>
      <c r="Q178" s="15"/>
      <c r="R178" s="15"/>
      <c r="S178" s="15"/>
      <c r="T178" s="15"/>
      <c r="U178" s="15"/>
      <c r="V178" s="15"/>
      <c r="W178" s="15"/>
      <c r="X178" s="15"/>
      <c r="Y178" s="15"/>
      <c r="Z178" s="15"/>
    </row>
    <row r="179" spans="1:26" ht="15.75" x14ac:dyDescent="0.25">
      <c r="A179" s="869"/>
      <c r="B179" s="869"/>
      <c r="C179" s="33">
        <v>2024</v>
      </c>
      <c r="D179" s="34">
        <v>2025</v>
      </c>
      <c r="E179" s="35">
        <v>2025</v>
      </c>
      <c r="F179" s="34">
        <v>2025</v>
      </c>
      <c r="G179" s="36" t="s">
        <v>2668</v>
      </c>
      <c r="H179" s="16"/>
      <c r="I179" s="15"/>
      <c r="J179" s="15"/>
      <c r="K179" s="15"/>
      <c r="L179" s="15"/>
      <c r="M179" s="15"/>
      <c r="N179" s="15"/>
      <c r="O179" s="15"/>
      <c r="P179" s="15"/>
      <c r="Q179" s="15"/>
      <c r="R179" s="15"/>
      <c r="S179" s="15"/>
      <c r="T179" s="15"/>
      <c r="U179" s="15"/>
      <c r="V179" s="15"/>
      <c r="W179" s="15"/>
      <c r="X179" s="15"/>
      <c r="Y179" s="15"/>
      <c r="Z179" s="15"/>
    </row>
    <row r="180" spans="1:26" ht="15.75" x14ac:dyDescent="0.25">
      <c r="A180" s="9" t="s">
        <v>364</v>
      </c>
      <c r="B180" s="38"/>
      <c r="C180" s="42"/>
      <c r="D180" s="42"/>
      <c r="E180" s="42"/>
      <c r="F180" s="42"/>
      <c r="G180" s="113"/>
      <c r="H180" s="40"/>
    </row>
    <row r="181" spans="1:26" ht="15.75" x14ac:dyDescent="0.25">
      <c r="A181" s="42" t="s">
        <v>491</v>
      </c>
      <c r="B181" s="49"/>
      <c r="C181" s="43"/>
      <c r="D181" s="43"/>
      <c r="E181" s="43"/>
      <c r="F181" s="43"/>
      <c r="G181" s="64"/>
      <c r="H181" s="40"/>
    </row>
    <row r="182" spans="1:26" ht="15.75" x14ac:dyDescent="0.25">
      <c r="A182" s="17" t="s">
        <v>493</v>
      </c>
      <c r="B182" s="41"/>
      <c r="C182" s="43"/>
      <c r="D182" s="43"/>
      <c r="E182" s="43"/>
      <c r="F182" s="43"/>
      <c r="G182" s="64"/>
      <c r="H182" s="40"/>
    </row>
    <row r="183" spans="1:26" ht="15.75" x14ac:dyDescent="0.25">
      <c r="A183" s="44" t="s">
        <v>396</v>
      </c>
      <c r="B183" s="41" t="s">
        <v>191</v>
      </c>
      <c r="C183" s="43">
        <v>5791293.2599999998</v>
      </c>
      <c r="D183" s="43">
        <v>4246262.0999999996</v>
      </c>
      <c r="E183" s="43">
        <f>F183-D183</f>
        <v>3152087.9000000004</v>
      </c>
      <c r="F183" s="43">
        <v>7398350</v>
      </c>
      <c r="G183" s="43">
        <v>8706000</v>
      </c>
      <c r="H183" s="40"/>
    </row>
    <row r="184" spans="1:26" ht="15.75" x14ac:dyDescent="0.25">
      <c r="A184" s="96" t="s">
        <v>590</v>
      </c>
      <c r="B184" s="41"/>
      <c r="C184" s="43"/>
      <c r="D184" s="43"/>
      <c r="E184" s="43"/>
      <c r="F184" s="43"/>
      <c r="G184" s="64"/>
      <c r="H184" s="147">
        <v>322000</v>
      </c>
    </row>
    <row r="185" spans="1:26" ht="15.75" x14ac:dyDescent="0.25">
      <c r="A185" s="96" t="s">
        <v>591</v>
      </c>
      <c r="B185" s="41"/>
      <c r="C185" s="43"/>
      <c r="D185" s="43"/>
      <c r="E185" s="43"/>
      <c r="F185" s="43"/>
      <c r="G185" s="64"/>
      <c r="H185" s="147">
        <v>300000</v>
      </c>
    </row>
    <row r="186" spans="1:26" ht="31.5" x14ac:dyDescent="0.25">
      <c r="A186" s="295" t="s">
        <v>592</v>
      </c>
      <c r="B186" s="41"/>
      <c r="C186" s="43"/>
      <c r="D186" s="43"/>
      <c r="E186" s="43"/>
      <c r="F186" s="43"/>
      <c r="G186" s="64"/>
      <c r="H186" s="147">
        <v>359000</v>
      </c>
    </row>
    <row r="187" spans="1:26" ht="31.5" x14ac:dyDescent="0.25">
      <c r="A187" s="295" t="s">
        <v>593</v>
      </c>
      <c r="B187" s="41"/>
      <c r="C187" s="43"/>
      <c r="D187" s="43"/>
      <c r="E187" s="43"/>
      <c r="F187" s="43"/>
      <c r="G187" s="64"/>
      <c r="H187" s="147">
        <v>190000</v>
      </c>
    </row>
    <row r="188" spans="1:26" ht="15.75" x14ac:dyDescent="0.25">
      <c r="A188" s="96" t="s">
        <v>594</v>
      </c>
      <c r="B188" s="41"/>
      <c r="C188" s="43"/>
      <c r="D188" s="43"/>
      <c r="E188" s="43"/>
      <c r="F188" s="43"/>
      <c r="G188" s="64"/>
      <c r="H188" s="147">
        <v>690000</v>
      </c>
    </row>
    <row r="189" spans="1:26" ht="31.5" x14ac:dyDescent="0.25">
      <c r="A189" s="295" t="s">
        <v>595</v>
      </c>
      <c r="B189" s="41"/>
      <c r="C189" s="43"/>
      <c r="D189" s="43"/>
      <c r="E189" s="43"/>
      <c r="F189" s="43"/>
      <c r="G189" s="64"/>
      <c r="H189" s="147">
        <v>350000</v>
      </c>
    </row>
    <row r="190" spans="1:26" ht="15.75" x14ac:dyDescent="0.25">
      <c r="A190" s="96" t="s">
        <v>596</v>
      </c>
      <c r="B190" s="41"/>
      <c r="C190" s="43"/>
      <c r="D190" s="43"/>
      <c r="E190" s="43"/>
      <c r="F190" s="43"/>
      <c r="G190" s="64"/>
      <c r="H190" s="147">
        <v>844000</v>
      </c>
    </row>
    <row r="191" spans="1:26" ht="15.75" x14ac:dyDescent="0.25">
      <c r="A191" s="96" t="s">
        <v>597</v>
      </c>
      <c r="B191" s="41"/>
      <c r="C191" s="43"/>
      <c r="D191" s="43"/>
      <c r="E191" s="43"/>
      <c r="F191" s="43"/>
      <c r="G191" s="64"/>
      <c r="H191" s="147">
        <v>216000</v>
      </c>
    </row>
    <row r="192" spans="1:26" ht="31.5" x14ac:dyDescent="0.25">
      <c r="A192" s="295" t="s">
        <v>598</v>
      </c>
      <c r="B192" s="41"/>
      <c r="C192" s="43"/>
      <c r="D192" s="43"/>
      <c r="E192" s="43"/>
      <c r="F192" s="43"/>
      <c r="G192" s="64"/>
      <c r="H192" s="147">
        <v>660000</v>
      </c>
    </row>
    <row r="193" spans="1:8" ht="15.75" x14ac:dyDescent="0.25">
      <c r="A193" s="96" t="s">
        <v>599</v>
      </c>
      <c r="B193" s="41"/>
      <c r="C193" s="43"/>
      <c r="D193" s="43"/>
      <c r="E193" s="43"/>
      <c r="F193" s="43"/>
      <c r="G193" s="64"/>
      <c r="H193" s="147">
        <v>460000</v>
      </c>
    </row>
    <row r="194" spans="1:8" ht="15.75" x14ac:dyDescent="0.25">
      <c r="A194" s="96" t="s">
        <v>600</v>
      </c>
      <c r="B194" s="41"/>
      <c r="C194" s="43"/>
      <c r="D194" s="43"/>
      <c r="E194" s="43"/>
      <c r="F194" s="43"/>
      <c r="G194" s="64"/>
      <c r="H194" s="147">
        <v>373000</v>
      </c>
    </row>
    <row r="195" spans="1:8" ht="15.75" x14ac:dyDescent="0.25">
      <c r="A195" s="96" t="s">
        <v>601</v>
      </c>
      <c r="B195" s="41"/>
      <c r="C195" s="43"/>
      <c r="D195" s="43"/>
      <c r="E195" s="43"/>
      <c r="F195" s="43"/>
      <c r="G195" s="64"/>
      <c r="H195" s="147">
        <v>409000</v>
      </c>
    </row>
    <row r="196" spans="1:8" ht="15.75" x14ac:dyDescent="0.25">
      <c r="A196" s="96" t="s">
        <v>602</v>
      </c>
      <c r="B196" s="41"/>
      <c r="C196" s="43"/>
      <c r="D196" s="43"/>
      <c r="E196" s="43"/>
      <c r="F196" s="43"/>
      <c r="G196" s="64"/>
      <c r="H196" s="147">
        <v>365000</v>
      </c>
    </row>
    <row r="197" spans="1:8" ht="15.75" x14ac:dyDescent="0.25">
      <c r="A197" s="96" t="s">
        <v>603</v>
      </c>
      <c r="B197" s="41"/>
      <c r="C197" s="43"/>
      <c r="D197" s="43"/>
      <c r="E197" s="43"/>
      <c r="F197" s="43"/>
      <c r="G197" s="64"/>
      <c r="H197" s="147">
        <v>369000</v>
      </c>
    </row>
    <row r="198" spans="1:8" ht="15.75" x14ac:dyDescent="0.25">
      <c r="A198" s="96" t="s">
        <v>604</v>
      </c>
      <c r="B198" s="41"/>
      <c r="C198" s="43"/>
      <c r="D198" s="43"/>
      <c r="E198" s="43"/>
      <c r="F198" s="43"/>
      <c r="G198" s="64"/>
      <c r="H198" s="147">
        <v>427000</v>
      </c>
    </row>
    <row r="199" spans="1:8" ht="15.75" x14ac:dyDescent="0.25">
      <c r="A199" s="96" t="s">
        <v>605</v>
      </c>
      <c r="B199" s="41"/>
      <c r="C199" s="43"/>
      <c r="D199" s="43"/>
      <c r="E199" s="43"/>
      <c r="F199" s="43"/>
      <c r="G199" s="64"/>
      <c r="H199" s="40">
        <v>392000</v>
      </c>
    </row>
    <row r="200" spans="1:8" ht="15.75" x14ac:dyDescent="0.25">
      <c r="A200" s="96" t="s">
        <v>606</v>
      </c>
      <c r="B200" s="41"/>
      <c r="C200" s="43"/>
      <c r="D200" s="43"/>
      <c r="E200" s="43"/>
      <c r="F200" s="43"/>
      <c r="G200" s="64"/>
      <c r="H200" s="40">
        <v>480000</v>
      </c>
    </row>
    <row r="201" spans="1:8" ht="31.5" x14ac:dyDescent="0.25">
      <c r="A201" s="295" t="s">
        <v>607</v>
      </c>
      <c r="B201" s="41"/>
      <c r="C201" s="43"/>
      <c r="D201" s="43"/>
      <c r="E201" s="43"/>
      <c r="F201" s="43"/>
      <c r="G201" s="43"/>
      <c r="H201" s="147">
        <v>1000000</v>
      </c>
    </row>
    <row r="202" spans="1:8" ht="31.5" x14ac:dyDescent="0.25">
      <c r="A202" s="465" t="s">
        <v>608</v>
      </c>
      <c r="B202" s="454"/>
      <c r="C202" s="443"/>
      <c r="D202" s="443"/>
      <c r="E202" s="443"/>
      <c r="F202" s="443"/>
      <c r="G202" s="507"/>
      <c r="H202" s="505">
        <v>500000</v>
      </c>
    </row>
    <row r="203" spans="1:8" ht="15.75" x14ac:dyDescent="0.25">
      <c r="A203" s="456" t="s">
        <v>499</v>
      </c>
      <c r="B203" s="454"/>
      <c r="C203" s="443"/>
      <c r="D203" s="443"/>
      <c r="E203" s="443"/>
      <c r="F203" s="443"/>
      <c r="G203" s="507"/>
      <c r="H203" s="505"/>
    </row>
    <row r="204" spans="1:8" ht="15.75" x14ac:dyDescent="0.25">
      <c r="A204" s="460" t="s">
        <v>400</v>
      </c>
      <c r="B204" s="487" t="s">
        <v>221</v>
      </c>
      <c r="C204" s="43">
        <v>0</v>
      </c>
      <c r="D204" s="43">
        <v>0</v>
      </c>
      <c r="E204" s="43">
        <v>0</v>
      </c>
      <c r="F204" s="43">
        <v>0</v>
      </c>
      <c r="G204" s="507">
        <v>20500</v>
      </c>
      <c r="H204" s="506">
        <v>20500</v>
      </c>
    </row>
    <row r="205" spans="1:8" ht="15.75" x14ac:dyDescent="0.25">
      <c r="A205" s="44" t="s">
        <v>402</v>
      </c>
      <c r="B205" s="41" t="s">
        <v>225</v>
      </c>
      <c r="C205" s="43">
        <v>0</v>
      </c>
      <c r="D205" s="43">
        <v>0</v>
      </c>
      <c r="E205" s="43">
        <v>0</v>
      </c>
      <c r="F205" s="43">
        <v>0</v>
      </c>
      <c r="G205" s="440">
        <v>32500</v>
      </c>
      <c r="H205" s="147">
        <v>32600</v>
      </c>
    </row>
    <row r="206" spans="1:8" ht="15.75" x14ac:dyDescent="0.25">
      <c r="A206" s="17" t="s">
        <v>511</v>
      </c>
      <c r="B206" s="478"/>
      <c r="C206" s="43"/>
      <c r="D206" s="43"/>
      <c r="E206" s="43"/>
      <c r="F206" s="43"/>
      <c r="G206" s="440"/>
      <c r="H206" s="40"/>
    </row>
    <row r="207" spans="1:8" ht="15.75" x14ac:dyDescent="0.25">
      <c r="A207" s="44" t="s">
        <v>424</v>
      </c>
      <c r="B207" s="478" t="s">
        <v>335</v>
      </c>
      <c r="C207" s="43">
        <v>2244110.5499999998</v>
      </c>
      <c r="D207" s="43">
        <v>199778.4</v>
      </c>
      <c r="E207" s="43">
        <f>F207-D207</f>
        <v>4205221.5999999996</v>
      </c>
      <c r="F207" s="43">
        <v>4405000</v>
      </c>
      <c r="G207" s="440">
        <v>2368000</v>
      </c>
      <c r="H207" s="40"/>
    </row>
    <row r="208" spans="1:8" ht="31.5" x14ac:dyDescent="0.25">
      <c r="A208" s="295" t="s">
        <v>609</v>
      </c>
      <c r="B208" s="478"/>
      <c r="C208" s="43"/>
      <c r="D208" s="43"/>
      <c r="E208" s="43"/>
      <c r="F208" s="43"/>
      <c r="G208" s="440"/>
      <c r="H208" s="147">
        <v>200000</v>
      </c>
    </row>
    <row r="209" spans="1:8" ht="15.75" x14ac:dyDescent="0.25">
      <c r="A209" s="96" t="s">
        <v>610</v>
      </c>
      <c r="B209" s="478"/>
      <c r="C209" s="43"/>
      <c r="D209" s="43"/>
      <c r="E209" s="43"/>
      <c r="F209" s="43"/>
      <c r="G209" s="440"/>
      <c r="H209" s="147">
        <v>274000</v>
      </c>
    </row>
    <row r="210" spans="1:8" ht="15.75" x14ac:dyDescent="0.25">
      <c r="A210" s="96" t="s">
        <v>611</v>
      </c>
      <c r="B210" s="41"/>
      <c r="C210" s="43"/>
      <c r="D210" s="43"/>
      <c r="E210" s="43"/>
      <c r="F210" s="43"/>
      <c r="G210" s="43"/>
      <c r="H210" s="147">
        <v>947000</v>
      </c>
    </row>
    <row r="211" spans="1:8" ht="15.75" x14ac:dyDescent="0.25">
      <c r="A211" s="96" t="s">
        <v>612</v>
      </c>
      <c r="B211" s="41"/>
      <c r="C211" s="43"/>
      <c r="D211" s="43"/>
      <c r="E211" s="43"/>
      <c r="F211" s="43"/>
      <c r="G211" s="43"/>
      <c r="H211" s="147">
        <v>947000</v>
      </c>
    </row>
    <row r="212" spans="1:8" ht="15.75" x14ac:dyDescent="0.25">
      <c r="A212" s="42" t="s">
        <v>466</v>
      </c>
      <c r="B212" s="41"/>
      <c r="C212" s="54">
        <f t="shared" ref="C212:G212" si="16">SUM(C182:C207)</f>
        <v>8035403.8099999996</v>
      </c>
      <c r="D212" s="54">
        <f t="shared" si="16"/>
        <v>4446040.5</v>
      </c>
      <c r="E212" s="54">
        <f t="shared" si="16"/>
        <v>7357309.5</v>
      </c>
      <c r="F212" s="54">
        <f t="shared" si="16"/>
        <v>11803350</v>
      </c>
      <c r="G212" s="54">
        <f t="shared" si="16"/>
        <v>11127000</v>
      </c>
      <c r="H212" s="40"/>
    </row>
    <row r="213" spans="1:8" ht="15.75" x14ac:dyDescent="0.25">
      <c r="A213" s="17"/>
      <c r="B213" s="41"/>
      <c r="C213" s="55"/>
      <c r="D213" s="55"/>
      <c r="E213" s="43"/>
      <c r="F213" s="55"/>
      <c r="G213" s="113"/>
      <c r="H213" s="40"/>
    </row>
    <row r="214" spans="1:8" ht="15.75" x14ac:dyDescent="0.25">
      <c r="A214" s="17" t="s">
        <v>467</v>
      </c>
      <c r="B214" s="41"/>
      <c r="C214" s="43">
        <f t="shared" ref="C214:D214" si="17">C212</f>
        <v>8035403.8099999996</v>
      </c>
      <c r="D214" s="43">
        <f t="shared" si="17"/>
        <v>4446040.5</v>
      </c>
      <c r="E214" s="43">
        <f>F214-D214</f>
        <v>7357309.5</v>
      </c>
      <c r="F214" s="43">
        <f t="shared" ref="F214:G214" si="18">F212</f>
        <v>11803350</v>
      </c>
      <c r="G214" s="43">
        <f t="shared" si="18"/>
        <v>11127000</v>
      </c>
      <c r="H214" s="40"/>
    </row>
    <row r="215" spans="1:8" ht="15.75" x14ac:dyDescent="0.25">
      <c r="A215" s="17"/>
      <c r="B215" s="41"/>
      <c r="C215" s="43"/>
      <c r="D215" s="43"/>
      <c r="E215" s="43"/>
      <c r="F215" s="43"/>
      <c r="G215" s="64"/>
      <c r="H215" s="40"/>
    </row>
    <row r="216" spans="1:8" ht="15.75" x14ac:dyDescent="0.25">
      <c r="A216" s="50" t="s">
        <v>487</v>
      </c>
      <c r="B216" s="51" t="s">
        <v>488</v>
      </c>
      <c r="C216" s="54">
        <f t="shared" ref="C216:D216" si="19">C214</f>
        <v>8035403.8099999996</v>
      </c>
      <c r="D216" s="54">
        <f t="shared" si="19"/>
        <v>4446040.5</v>
      </c>
      <c r="E216" s="54">
        <f>F216-D216</f>
        <v>7357309.5</v>
      </c>
      <c r="F216" s="54">
        <f t="shared" ref="F216:G216" si="20">F214</f>
        <v>11803350</v>
      </c>
      <c r="G216" s="54">
        <f t="shared" si="20"/>
        <v>11127000</v>
      </c>
      <c r="H216" s="40"/>
    </row>
    <row r="217" spans="1:8" ht="15.75" x14ac:dyDescent="0.25">
      <c r="A217" s="24"/>
      <c r="B217" s="25"/>
      <c r="C217" s="26"/>
      <c r="D217" s="26"/>
      <c r="E217" s="26"/>
      <c r="F217" s="26"/>
      <c r="G217" s="99"/>
      <c r="H217" s="40"/>
    </row>
    <row r="218" spans="1:8" ht="15.75" x14ac:dyDescent="0.25">
      <c r="A218" s="148"/>
      <c r="B218" s="149"/>
      <c r="C218" s="148"/>
      <c r="D218" s="148"/>
      <c r="E218" s="148"/>
      <c r="F218" s="150"/>
      <c r="G218" s="151"/>
      <c r="H218" s="40"/>
    </row>
    <row r="219" spans="1:8" ht="15.75" x14ac:dyDescent="0.25">
      <c r="A219" s="9"/>
      <c r="B219" s="104"/>
      <c r="C219" s="105"/>
      <c r="D219" s="105"/>
      <c r="E219" s="105"/>
      <c r="F219" s="10"/>
      <c r="G219" s="106"/>
      <c r="H219" s="40"/>
    </row>
    <row r="220" spans="1:8" ht="15.75" x14ac:dyDescent="0.25">
      <c r="A220" s="108" t="s">
        <v>615</v>
      </c>
      <c r="B220" s="25"/>
      <c r="C220" s="26"/>
      <c r="D220" s="26"/>
      <c r="E220" s="26"/>
      <c r="F220" s="14"/>
      <c r="G220" s="107"/>
      <c r="H220" s="40"/>
    </row>
    <row r="221" spans="1:8" ht="15.75" x14ac:dyDescent="0.25">
      <c r="A221" s="108"/>
      <c r="B221" s="25"/>
      <c r="C221" s="26"/>
      <c r="D221" s="26"/>
      <c r="E221" s="26"/>
      <c r="F221" s="26"/>
      <c r="G221" s="136"/>
      <c r="H221" s="40"/>
    </row>
    <row r="222" spans="1:8" ht="15.75" x14ac:dyDescent="0.25">
      <c r="A222" s="865" t="s">
        <v>352</v>
      </c>
      <c r="B222" s="866"/>
      <c r="C222" s="866"/>
      <c r="D222" s="866"/>
      <c r="E222" s="866"/>
      <c r="F222" s="866"/>
      <c r="G222" s="867"/>
      <c r="H222" s="40"/>
    </row>
    <row r="223" spans="1:8" ht="15.75" x14ac:dyDescent="0.25">
      <c r="A223" s="868" t="s">
        <v>353</v>
      </c>
      <c r="B223" s="857" t="s">
        <v>354</v>
      </c>
      <c r="C223" s="870" t="s">
        <v>355</v>
      </c>
      <c r="D223" s="872" t="s">
        <v>356</v>
      </c>
      <c r="E223" s="873"/>
      <c r="F223" s="874"/>
      <c r="G223" s="857" t="s">
        <v>357</v>
      </c>
      <c r="H223" s="40"/>
    </row>
    <row r="224" spans="1:8" ht="31.5" x14ac:dyDescent="0.25">
      <c r="A224" s="858"/>
      <c r="B224" s="858"/>
      <c r="C224" s="871"/>
      <c r="D224" s="28" t="s">
        <v>358</v>
      </c>
      <c r="E224" s="29" t="s">
        <v>359</v>
      </c>
      <c r="F224" s="875" t="s">
        <v>360</v>
      </c>
      <c r="G224" s="858"/>
      <c r="H224" s="40"/>
    </row>
    <row r="225" spans="1:26" ht="15.75" x14ac:dyDescent="0.25">
      <c r="A225" s="858"/>
      <c r="B225" s="858"/>
      <c r="C225" s="30" t="s">
        <v>361</v>
      </c>
      <c r="D225" s="31" t="s">
        <v>361</v>
      </c>
      <c r="E225" s="32" t="s">
        <v>362</v>
      </c>
      <c r="F225" s="860"/>
      <c r="G225" s="442" t="s">
        <v>2717</v>
      </c>
      <c r="H225" s="40"/>
    </row>
    <row r="226" spans="1:26" ht="15.75" x14ac:dyDescent="0.25">
      <c r="A226" s="869"/>
      <c r="B226" s="869"/>
      <c r="C226" s="33">
        <v>2024</v>
      </c>
      <c r="D226" s="34">
        <v>2025</v>
      </c>
      <c r="E226" s="35">
        <v>2025</v>
      </c>
      <c r="F226" s="34">
        <v>2025</v>
      </c>
      <c r="G226" s="36" t="s">
        <v>2668</v>
      </c>
      <c r="H226" s="40"/>
    </row>
    <row r="227" spans="1:26" ht="15.75" x14ac:dyDescent="0.25">
      <c r="A227" s="9" t="s">
        <v>364</v>
      </c>
      <c r="B227" s="38"/>
      <c r="C227" s="42"/>
      <c r="D227" s="42"/>
      <c r="E227" s="42"/>
      <c r="F227" s="42"/>
      <c r="G227" s="113"/>
      <c r="H227" s="40"/>
    </row>
    <row r="228" spans="1:26" ht="15.75" x14ac:dyDescent="0.25">
      <c r="A228" s="42" t="s">
        <v>491</v>
      </c>
      <c r="B228" s="49"/>
      <c r="C228" s="43"/>
      <c r="D228" s="43"/>
      <c r="E228" s="43"/>
      <c r="F228" s="43"/>
      <c r="G228" s="64"/>
      <c r="H228" s="40"/>
    </row>
    <row r="229" spans="1:26" ht="15.75" x14ac:dyDescent="0.25">
      <c r="A229" s="17" t="s">
        <v>493</v>
      </c>
      <c r="B229" s="41"/>
      <c r="C229" s="43"/>
      <c r="D229" s="43"/>
      <c r="E229" s="43"/>
      <c r="F229" s="43"/>
      <c r="G229" s="64"/>
      <c r="H229" s="40"/>
    </row>
    <row r="230" spans="1:26" ht="15.75" x14ac:dyDescent="0.25">
      <c r="A230" s="44" t="s">
        <v>396</v>
      </c>
      <c r="B230" s="41" t="s">
        <v>191</v>
      </c>
      <c r="C230" s="43">
        <v>0</v>
      </c>
      <c r="D230" s="43">
        <v>0</v>
      </c>
      <c r="E230" s="43">
        <v>0</v>
      </c>
      <c r="F230" s="43">
        <v>0</v>
      </c>
      <c r="G230" s="43">
        <v>800000</v>
      </c>
      <c r="H230" s="40"/>
    </row>
    <row r="231" spans="1:26" ht="63" x14ac:dyDescent="0.25">
      <c r="A231" s="295" t="s">
        <v>616</v>
      </c>
      <c r="B231" s="41"/>
      <c r="C231" s="43"/>
      <c r="D231" s="56"/>
      <c r="E231" s="43"/>
      <c r="F231" s="43"/>
      <c r="G231" s="43"/>
      <c r="H231" s="99"/>
      <c r="I231" s="114"/>
      <c r="J231" s="114"/>
      <c r="K231" s="114"/>
      <c r="L231" s="114"/>
      <c r="M231" s="114"/>
      <c r="N231" s="114"/>
      <c r="O231" s="114"/>
      <c r="P231" s="114"/>
      <c r="Q231" s="114"/>
      <c r="R231" s="114"/>
      <c r="S231" s="114"/>
      <c r="T231" s="114"/>
      <c r="U231" s="114"/>
      <c r="V231" s="114"/>
      <c r="W231" s="114"/>
      <c r="X231" s="114"/>
      <c r="Y231" s="114"/>
      <c r="Z231" s="114"/>
    </row>
    <row r="232" spans="1:26" ht="15.75" x14ac:dyDescent="0.25">
      <c r="A232" s="17" t="s">
        <v>499</v>
      </c>
      <c r="B232" s="41"/>
      <c r="C232" s="43"/>
      <c r="D232" s="43"/>
      <c r="E232" s="43"/>
      <c r="F232" s="43"/>
      <c r="G232" s="64"/>
      <c r="H232" s="40"/>
    </row>
    <row r="233" spans="1:26" ht="15.75" x14ac:dyDescent="0.25">
      <c r="A233" s="44" t="s">
        <v>400</v>
      </c>
      <c r="B233" s="41" t="s">
        <v>221</v>
      </c>
      <c r="C233" s="43">
        <v>0</v>
      </c>
      <c r="D233" s="56">
        <v>0</v>
      </c>
      <c r="E233" s="43">
        <v>0</v>
      </c>
      <c r="F233" s="43">
        <v>0</v>
      </c>
      <c r="G233" s="43">
        <v>24000</v>
      </c>
      <c r="H233" s="99"/>
      <c r="I233" s="114"/>
      <c r="J233" s="114"/>
      <c r="K233" s="114"/>
      <c r="L233" s="114"/>
      <c r="M233" s="114"/>
      <c r="N233" s="114"/>
      <c r="O233" s="114"/>
      <c r="P233" s="114"/>
      <c r="Q233" s="114"/>
      <c r="R233" s="114"/>
      <c r="S233" s="114"/>
      <c r="T233" s="114"/>
      <c r="U233" s="114"/>
      <c r="V233" s="114"/>
      <c r="W233" s="114"/>
      <c r="X233" s="114"/>
      <c r="Y233" s="114"/>
      <c r="Z233" s="114"/>
    </row>
    <row r="234" spans="1:26" ht="15.75" x14ac:dyDescent="0.25">
      <c r="A234" s="44" t="s">
        <v>402</v>
      </c>
      <c r="B234" s="41" t="s">
        <v>225</v>
      </c>
      <c r="C234" s="43">
        <v>0</v>
      </c>
      <c r="D234" s="56">
        <v>0</v>
      </c>
      <c r="E234" s="43">
        <v>0</v>
      </c>
      <c r="F234" s="43">
        <v>0</v>
      </c>
      <c r="G234" s="43">
        <v>854000</v>
      </c>
      <c r="H234" s="99"/>
      <c r="I234" s="114"/>
      <c r="J234" s="114"/>
      <c r="K234" s="114"/>
      <c r="L234" s="114"/>
      <c r="M234" s="114"/>
      <c r="N234" s="114"/>
      <c r="O234" s="114"/>
      <c r="P234" s="114"/>
      <c r="Q234" s="114"/>
      <c r="R234" s="114"/>
      <c r="S234" s="114"/>
      <c r="T234" s="114"/>
      <c r="U234" s="114"/>
      <c r="V234" s="114"/>
      <c r="W234" s="114"/>
      <c r="X234" s="114"/>
      <c r="Y234" s="114"/>
      <c r="Z234" s="114"/>
    </row>
    <row r="235" spans="1:26" ht="15.75" x14ac:dyDescent="0.25">
      <c r="A235" s="17" t="s">
        <v>617</v>
      </c>
      <c r="B235" s="41"/>
      <c r="C235" s="43"/>
      <c r="D235" s="43"/>
      <c r="E235" s="43"/>
      <c r="F235" s="43"/>
      <c r="G235" s="64"/>
      <c r="H235" s="40"/>
    </row>
    <row r="236" spans="1:26" ht="15.75" x14ac:dyDescent="0.25">
      <c r="A236" s="44" t="s">
        <v>618</v>
      </c>
      <c r="B236" s="41" t="s">
        <v>265</v>
      </c>
      <c r="C236" s="56">
        <v>0</v>
      </c>
      <c r="D236" s="56">
        <v>0</v>
      </c>
      <c r="E236" s="43">
        <v>0</v>
      </c>
      <c r="F236" s="45">
        <v>0</v>
      </c>
      <c r="G236" s="43">
        <v>2000000</v>
      </c>
      <c r="H236" s="60"/>
    </row>
    <row r="237" spans="1:26" ht="31.5" x14ac:dyDescent="0.25">
      <c r="A237" s="90" t="s">
        <v>619</v>
      </c>
      <c r="B237" s="49"/>
      <c r="C237" s="19"/>
      <c r="D237" s="56"/>
      <c r="E237" s="43"/>
      <c r="F237" s="45"/>
      <c r="G237" s="43"/>
      <c r="H237" s="60">
        <v>2000000</v>
      </c>
    </row>
    <row r="238" spans="1:26" ht="15.75" x14ac:dyDescent="0.25">
      <c r="A238" s="42" t="s">
        <v>466</v>
      </c>
      <c r="B238" s="41"/>
      <c r="C238" s="54">
        <f t="shared" ref="C238:G238" si="21">SUM(C229:C237)</f>
        <v>0</v>
      </c>
      <c r="D238" s="54">
        <f t="shared" si="21"/>
        <v>0</v>
      </c>
      <c r="E238" s="54">
        <f t="shared" si="21"/>
        <v>0</v>
      </c>
      <c r="F238" s="54">
        <f t="shared" si="21"/>
        <v>0</v>
      </c>
      <c r="G238" s="54">
        <f t="shared" si="21"/>
        <v>3678000</v>
      </c>
      <c r="H238" s="40"/>
    </row>
    <row r="239" spans="1:26" ht="15.75" x14ac:dyDescent="0.25">
      <c r="A239" s="17"/>
      <c r="B239" s="41"/>
      <c r="C239" s="55"/>
      <c r="D239" s="55"/>
      <c r="E239" s="43"/>
      <c r="F239" s="55"/>
      <c r="G239" s="113"/>
      <c r="H239" s="40"/>
    </row>
    <row r="240" spans="1:26" ht="15.75" x14ac:dyDescent="0.25">
      <c r="A240" s="17" t="s">
        <v>467</v>
      </c>
      <c r="B240" s="41"/>
      <c r="C240" s="43">
        <f t="shared" ref="C240:D240" si="22">C238</f>
        <v>0</v>
      </c>
      <c r="D240" s="43">
        <f t="shared" si="22"/>
        <v>0</v>
      </c>
      <c r="E240" s="43">
        <f>F240-D240</f>
        <v>0</v>
      </c>
      <c r="F240" s="43">
        <f t="shared" ref="F240:G240" si="23">F238</f>
        <v>0</v>
      </c>
      <c r="G240" s="43">
        <f t="shared" si="23"/>
        <v>3678000</v>
      </c>
      <c r="H240" s="40"/>
    </row>
    <row r="241" spans="1:8" ht="15.75" x14ac:dyDescent="0.25">
      <c r="A241" s="17"/>
      <c r="B241" s="41"/>
      <c r="C241" s="43"/>
      <c r="D241" s="43"/>
      <c r="E241" s="43"/>
      <c r="F241" s="43"/>
      <c r="G241" s="64"/>
      <c r="H241" s="40"/>
    </row>
    <row r="242" spans="1:8" ht="15.75" x14ac:dyDescent="0.25">
      <c r="A242" s="42" t="s">
        <v>529</v>
      </c>
      <c r="B242" s="49"/>
      <c r="C242" s="43"/>
      <c r="D242" s="43"/>
      <c r="E242" s="43"/>
      <c r="F242" s="43"/>
      <c r="G242" s="64"/>
      <c r="H242" s="40"/>
    </row>
    <row r="243" spans="1:8" ht="15.75" x14ac:dyDescent="0.25">
      <c r="A243" s="145" t="s">
        <v>476</v>
      </c>
      <c r="B243" s="41"/>
      <c r="C243" s="43"/>
      <c r="D243" s="43"/>
      <c r="E243" s="43"/>
      <c r="F243" s="43"/>
      <c r="G243" s="64"/>
      <c r="H243" s="40"/>
    </row>
    <row r="244" spans="1:8" ht="15.75" x14ac:dyDescent="0.25">
      <c r="A244" s="44" t="s">
        <v>479</v>
      </c>
      <c r="B244" s="41" t="s">
        <v>47</v>
      </c>
      <c r="C244" s="43">
        <v>0</v>
      </c>
      <c r="D244" s="43">
        <v>0</v>
      </c>
      <c r="E244" s="43">
        <v>0</v>
      </c>
      <c r="F244" s="43">
        <v>0</v>
      </c>
      <c r="G244" s="43">
        <v>114100</v>
      </c>
      <c r="H244" s="40"/>
    </row>
    <row r="245" spans="1:8" ht="15.75" x14ac:dyDescent="0.25">
      <c r="A245" s="74" t="s">
        <v>620</v>
      </c>
      <c r="B245" s="41"/>
      <c r="C245" s="43"/>
      <c r="D245" s="43"/>
      <c r="E245" s="43"/>
      <c r="F245" s="43"/>
      <c r="G245" s="64"/>
      <c r="H245" s="40"/>
    </row>
    <row r="246" spans="1:8" ht="15.75" x14ac:dyDescent="0.25">
      <c r="A246" s="17" t="s">
        <v>536</v>
      </c>
      <c r="B246" s="41"/>
      <c r="C246" s="54">
        <f t="shared" ref="C246:G246" si="24">SUM(C244:C245)</f>
        <v>0</v>
      </c>
      <c r="D246" s="54">
        <f t="shared" si="24"/>
        <v>0</v>
      </c>
      <c r="E246" s="54">
        <f t="shared" si="24"/>
        <v>0</v>
      </c>
      <c r="F246" s="54">
        <f t="shared" si="24"/>
        <v>0</v>
      </c>
      <c r="G246" s="54">
        <f t="shared" si="24"/>
        <v>114100</v>
      </c>
      <c r="H246" s="40"/>
    </row>
    <row r="247" spans="1:8" ht="15.75" x14ac:dyDescent="0.25">
      <c r="A247" s="17"/>
      <c r="B247" s="41"/>
      <c r="C247" s="55"/>
      <c r="D247" s="55"/>
      <c r="E247" s="43"/>
      <c r="F247" s="39"/>
      <c r="G247" s="113"/>
      <c r="H247" s="40"/>
    </row>
    <row r="248" spans="1:8" ht="15.75" x14ac:dyDescent="0.25">
      <c r="A248" s="50" t="s">
        <v>487</v>
      </c>
      <c r="B248" s="51" t="s">
        <v>488</v>
      </c>
      <c r="C248" s="54">
        <f t="shared" ref="C248:F248" si="25">C246+C234</f>
        <v>0</v>
      </c>
      <c r="D248" s="54">
        <f t="shared" si="25"/>
        <v>0</v>
      </c>
      <c r="E248" s="54">
        <f t="shared" si="25"/>
        <v>0</v>
      </c>
      <c r="F248" s="54">
        <f t="shared" si="25"/>
        <v>0</v>
      </c>
      <c r="G248" s="54">
        <f>G246+G240</f>
        <v>3792100</v>
      </c>
      <c r="H248" s="40"/>
    </row>
    <row r="249" spans="1:8" ht="15.75" x14ac:dyDescent="0.25">
      <c r="A249" s="24"/>
      <c r="B249" s="25"/>
      <c r="C249" s="26"/>
      <c r="D249" s="26"/>
      <c r="E249" s="26"/>
      <c r="F249" s="26"/>
      <c r="G249" s="99"/>
      <c r="H249" s="40"/>
    </row>
    <row r="250" spans="1:8" ht="15.75" x14ac:dyDescent="0.25">
      <c r="A250" s="148"/>
      <c r="B250" s="149"/>
      <c r="C250" s="148"/>
      <c r="D250" s="148"/>
      <c r="E250" s="148"/>
      <c r="F250" s="150"/>
      <c r="G250" s="151"/>
      <c r="H250" s="40"/>
    </row>
    <row r="251" spans="1:8" ht="15.75" x14ac:dyDescent="0.25">
      <c r="A251" s="148"/>
      <c r="B251" s="149"/>
      <c r="C251" s="148"/>
      <c r="D251" s="148"/>
      <c r="E251" s="148"/>
      <c r="F251" s="150"/>
      <c r="G251" s="151"/>
      <c r="H251" s="40"/>
    </row>
    <row r="252" spans="1:8" ht="15.75" x14ac:dyDescent="0.25">
      <c r="A252" s="148"/>
      <c r="B252" s="149"/>
      <c r="C252" s="148"/>
      <c r="D252" s="148"/>
      <c r="E252" s="148"/>
      <c r="F252" s="150"/>
      <c r="G252" s="151"/>
      <c r="H252" s="40"/>
    </row>
    <row r="253" spans="1:8" ht="15.75" x14ac:dyDescent="0.25">
      <c r="A253" s="148"/>
      <c r="B253" s="149"/>
      <c r="C253" s="148"/>
      <c r="D253" s="148"/>
      <c r="E253" s="148"/>
      <c r="F253" s="150"/>
      <c r="G253" s="151"/>
      <c r="H253" s="40"/>
    </row>
    <row r="254" spans="1:8" ht="15.75" x14ac:dyDescent="0.25">
      <c r="A254" s="148"/>
      <c r="B254" s="149"/>
      <c r="C254" s="148"/>
      <c r="D254" s="148"/>
      <c r="E254" s="148"/>
      <c r="F254" s="150"/>
      <c r="G254" s="151"/>
      <c r="H254" s="40"/>
    </row>
    <row r="255" spans="1:8" ht="15.75" x14ac:dyDescent="0.25">
      <c r="A255" s="148"/>
      <c r="B255" s="149"/>
      <c r="C255" s="148"/>
      <c r="D255" s="148"/>
      <c r="E255" s="148"/>
      <c r="F255" s="150"/>
      <c r="G255" s="151"/>
      <c r="H255" s="40"/>
    </row>
    <row r="256" spans="1:8" ht="15.75" x14ac:dyDescent="0.25">
      <c r="A256" s="148"/>
      <c r="B256" s="149"/>
      <c r="C256" s="148"/>
      <c r="D256" s="148"/>
      <c r="E256" s="148"/>
      <c r="F256" s="150"/>
      <c r="G256" s="151"/>
      <c r="H256" s="40"/>
    </row>
    <row r="257" spans="1:8" ht="15.75" x14ac:dyDescent="0.25">
      <c r="A257" s="148"/>
      <c r="B257" s="149"/>
      <c r="C257" s="148"/>
      <c r="D257" s="148"/>
      <c r="E257" s="148"/>
      <c r="F257" s="150"/>
      <c r="G257" s="151"/>
      <c r="H257" s="40"/>
    </row>
    <row r="258" spans="1:8" ht="15.75" x14ac:dyDescent="0.25">
      <c r="A258" s="148"/>
      <c r="B258" s="149"/>
      <c r="C258" s="148"/>
      <c r="D258" s="148"/>
      <c r="E258" s="148"/>
      <c r="F258" s="150"/>
      <c r="G258" s="151"/>
      <c r="H258" s="40"/>
    </row>
    <row r="259" spans="1:8" ht="15.75" x14ac:dyDescent="0.25">
      <c r="A259" s="148"/>
      <c r="B259" s="149"/>
      <c r="C259" s="148"/>
      <c r="D259" s="148"/>
      <c r="E259" s="148"/>
      <c r="F259" s="150"/>
      <c r="G259" s="151"/>
      <c r="H259" s="40"/>
    </row>
    <row r="260" spans="1:8" ht="15.75" x14ac:dyDescent="0.25">
      <c r="A260" s="148"/>
      <c r="B260" s="149"/>
      <c r="C260" s="148"/>
      <c r="D260" s="148"/>
      <c r="E260" s="148"/>
      <c r="F260" s="150"/>
      <c r="G260" s="151"/>
      <c r="H260" s="40"/>
    </row>
    <row r="261" spans="1:8" ht="15.75" x14ac:dyDescent="0.25">
      <c r="A261" s="148"/>
      <c r="B261" s="149"/>
      <c r="C261" s="148"/>
      <c r="D261" s="148"/>
      <c r="E261" s="148"/>
      <c r="F261" s="150"/>
      <c r="G261" s="151"/>
      <c r="H261" s="40"/>
    </row>
    <row r="262" spans="1:8" ht="15.75" x14ac:dyDescent="0.25">
      <c r="A262" s="148"/>
      <c r="B262" s="149"/>
      <c r="C262" s="148"/>
      <c r="D262" s="148"/>
      <c r="E262" s="148"/>
      <c r="F262" s="150"/>
      <c r="G262" s="151"/>
      <c r="H262" s="40"/>
    </row>
    <row r="263" spans="1:8" ht="15.75" x14ac:dyDescent="0.25">
      <c r="A263" s="148"/>
      <c r="B263" s="149"/>
      <c r="C263" s="148"/>
      <c r="D263" s="148"/>
      <c r="E263" s="148"/>
      <c r="F263" s="150"/>
      <c r="G263" s="151"/>
      <c r="H263" s="40"/>
    </row>
    <row r="264" spans="1:8" ht="15.75" x14ac:dyDescent="0.25">
      <c r="A264" s="148"/>
      <c r="B264" s="149"/>
      <c r="C264" s="148"/>
      <c r="D264" s="148"/>
      <c r="E264" s="148"/>
      <c r="F264" s="150"/>
      <c r="G264" s="151"/>
      <c r="H264" s="40"/>
    </row>
    <row r="265" spans="1:8" ht="15.75" x14ac:dyDescent="0.25">
      <c r="A265" s="148"/>
      <c r="B265" s="149"/>
      <c r="C265" s="148"/>
      <c r="D265" s="148"/>
      <c r="E265" s="148"/>
      <c r="F265" s="150"/>
      <c r="G265" s="151"/>
      <c r="H265" s="40"/>
    </row>
    <row r="266" spans="1:8" ht="15.75" x14ac:dyDescent="0.25">
      <c r="A266" s="148"/>
      <c r="B266" s="149"/>
      <c r="C266" s="148"/>
      <c r="D266" s="148"/>
      <c r="E266" s="148"/>
      <c r="F266" s="150"/>
      <c r="G266" s="151"/>
      <c r="H266" s="40"/>
    </row>
    <row r="267" spans="1:8" ht="15.75" x14ac:dyDescent="0.25">
      <c r="A267" s="148"/>
      <c r="B267" s="149"/>
      <c r="C267" s="148"/>
      <c r="D267" s="148"/>
      <c r="E267" s="148"/>
      <c r="F267" s="150"/>
      <c r="G267" s="151"/>
      <c r="H267" s="40"/>
    </row>
    <row r="268" spans="1:8" ht="15.75" x14ac:dyDescent="0.25">
      <c r="A268" s="148"/>
      <c r="B268" s="149"/>
      <c r="C268" s="148"/>
      <c r="D268" s="148"/>
      <c r="E268" s="148"/>
      <c r="F268" s="150"/>
      <c r="G268" s="151"/>
      <c r="H268" s="40"/>
    </row>
    <row r="269" spans="1:8" ht="15.75" x14ac:dyDescent="0.25">
      <c r="A269" s="148"/>
      <c r="B269" s="149"/>
      <c r="C269" s="148"/>
      <c r="D269" s="148"/>
      <c r="E269" s="148"/>
      <c r="F269" s="150"/>
      <c r="G269" s="151"/>
      <c r="H269" s="40"/>
    </row>
    <row r="270" spans="1:8" ht="15.75" x14ac:dyDescent="0.25">
      <c r="A270" s="148"/>
      <c r="B270" s="149"/>
      <c r="C270" s="148"/>
      <c r="D270" s="148"/>
      <c r="E270" s="148"/>
      <c r="F270" s="150"/>
      <c r="G270" s="151"/>
      <c r="H270" s="40"/>
    </row>
    <row r="271" spans="1:8" ht="15.75" x14ac:dyDescent="0.25">
      <c r="A271" s="148"/>
      <c r="B271" s="149"/>
      <c r="C271" s="148"/>
      <c r="D271" s="148"/>
      <c r="E271" s="148"/>
      <c r="F271" s="150"/>
      <c r="G271" s="151"/>
      <c r="H271" s="40"/>
    </row>
    <row r="272" spans="1:8" ht="15.75" x14ac:dyDescent="0.25">
      <c r="A272" s="148"/>
      <c r="B272" s="149"/>
      <c r="C272" s="148"/>
      <c r="D272" s="148"/>
      <c r="E272" s="148"/>
      <c r="F272" s="150"/>
      <c r="G272" s="151"/>
      <c r="H272" s="40"/>
    </row>
    <row r="273" spans="1:8" ht="15.75" x14ac:dyDescent="0.25">
      <c r="A273" s="148"/>
      <c r="B273" s="149"/>
      <c r="C273" s="148"/>
      <c r="D273" s="148"/>
      <c r="E273" s="148"/>
      <c r="F273" s="150"/>
      <c r="G273" s="151"/>
      <c r="H273" s="40"/>
    </row>
    <row r="274" spans="1:8" ht="15.75" x14ac:dyDescent="0.25">
      <c r="A274" s="148"/>
      <c r="B274" s="149"/>
      <c r="C274" s="148"/>
      <c r="D274" s="148"/>
      <c r="E274" s="148"/>
      <c r="F274" s="150"/>
      <c r="G274" s="151"/>
      <c r="H274" s="40"/>
    </row>
    <row r="275" spans="1:8" ht="15.75" x14ac:dyDescent="0.25">
      <c r="A275" s="148"/>
      <c r="B275" s="149"/>
      <c r="C275" s="148"/>
      <c r="D275" s="148"/>
      <c r="E275" s="148"/>
      <c r="F275" s="150"/>
      <c r="G275" s="151"/>
      <c r="H275" s="40"/>
    </row>
    <row r="276" spans="1:8" ht="15.75" x14ac:dyDescent="0.25">
      <c r="A276" s="148"/>
      <c r="B276" s="149"/>
      <c r="C276" s="148"/>
      <c r="D276" s="148"/>
      <c r="E276" s="148"/>
      <c r="F276" s="150"/>
      <c r="G276" s="151"/>
      <c r="H276" s="40"/>
    </row>
    <row r="277" spans="1:8" ht="15.75" x14ac:dyDescent="0.25">
      <c r="A277" s="148"/>
      <c r="B277" s="149"/>
      <c r="C277" s="148"/>
      <c r="D277" s="148"/>
      <c r="E277" s="148"/>
      <c r="F277" s="150"/>
      <c r="G277" s="151"/>
      <c r="H277" s="40"/>
    </row>
    <row r="278" spans="1:8" ht="15.75" x14ac:dyDescent="0.25">
      <c r="A278" s="148"/>
      <c r="B278" s="149"/>
      <c r="C278" s="148"/>
      <c r="D278" s="148"/>
      <c r="E278" s="148"/>
      <c r="F278" s="150"/>
      <c r="G278" s="151"/>
      <c r="H278" s="40"/>
    </row>
    <row r="279" spans="1:8" ht="15.75" x14ac:dyDescent="0.25">
      <c r="A279" s="148"/>
      <c r="B279" s="149"/>
      <c r="C279" s="148"/>
      <c r="D279" s="148"/>
      <c r="E279" s="148"/>
      <c r="F279" s="150"/>
      <c r="G279" s="151"/>
      <c r="H279" s="40"/>
    </row>
    <row r="280" spans="1:8" ht="15.75" x14ac:dyDescent="0.25">
      <c r="A280" s="148"/>
      <c r="B280" s="149"/>
      <c r="C280" s="148"/>
      <c r="D280" s="148"/>
      <c r="E280" s="148"/>
      <c r="F280" s="150"/>
      <c r="G280" s="151"/>
      <c r="H280" s="40"/>
    </row>
    <row r="281" spans="1:8" ht="15.75" x14ac:dyDescent="0.25">
      <c r="A281" s="148"/>
      <c r="B281" s="149"/>
      <c r="C281" s="148"/>
      <c r="D281" s="148"/>
      <c r="E281" s="148"/>
      <c r="F281" s="150"/>
      <c r="G281" s="151"/>
      <c r="H281" s="40"/>
    </row>
    <row r="282" spans="1:8" ht="15.75" x14ac:dyDescent="0.25">
      <c r="A282" s="148"/>
      <c r="B282" s="149"/>
      <c r="C282" s="148"/>
      <c r="D282" s="148"/>
      <c r="E282" s="148"/>
      <c r="F282" s="150"/>
      <c r="G282" s="151"/>
      <c r="H282" s="40"/>
    </row>
    <row r="283" spans="1:8" ht="15.75" x14ac:dyDescent="0.25">
      <c r="A283" s="148"/>
      <c r="B283" s="149"/>
      <c r="C283" s="148"/>
      <c r="D283" s="148"/>
      <c r="E283" s="148"/>
      <c r="F283" s="150"/>
      <c r="G283" s="151"/>
      <c r="H283" s="40"/>
    </row>
    <row r="284" spans="1:8" ht="15.75" x14ac:dyDescent="0.25">
      <c r="A284" s="148"/>
      <c r="B284" s="149"/>
      <c r="C284" s="148"/>
      <c r="D284" s="148"/>
      <c r="E284" s="148"/>
      <c r="F284" s="150"/>
      <c r="G284" s="151"/>
      <c r="H284" s="40"/>
    </row>
    <row r="285" spans="1:8" ht="15.75" x14ac:dyDescent="0.25">
      <c r="A285" s="148"/>
      <c r="B285" s="149"/>
      <c r="C285" s="148"/>
      <c r="D285" s="148"/>
      <c r="E285" s="148"/>
      <c r="F285" s="150"/>
      <c r="G285" s="151"/>
      <c r="H285" s="40"/>
    </row>
    <row r="286" spans="1:8" ht="15.75" x14ac:dyDescent="0.25">
      <c r="A286" s="148"/>
      <c r="B286" s="149"/>
      <c r="C286" s="148"/>
      <c r="D286" s="148"/>
      <c r="E286" s="148"/>
      <c r="F286" s="150"/>
      <c r="G286" s="151"/>
      <c r="H286" s="40"/>
    </row>
    <row r="287" spans="1:8" ht="15.75" x14ac:dyDescent="0.25">
      <c r="A287" s="148"/>
      <c r="B287" s="149"/>
      <c r="C287" s="148"/>
      <c r="D287" s="148"/>
      <c r="E287" s="148"/>
      <c r="F287" s="150"/>
      <c r="G287" s="151"/>
      <c r="H287" s="40"/>
    </row>
    <row r="288" spans="1:8" ht="15.75" x14ac:dyDescent="0.25">
      <c r="A288" s="148"/>
      <c r="B288" s="149"/>
      <c r="C288" s="148"/>
      <c r="D288" s="148"/>
      <c r="E288" s="148"/>
      <c r="F288" s="150"/>
      <c r="G288" s="151"/>
      <c r="H288" s="40"/>
    </row>
    <row r="289" spans="1:8" ht="15.75" x14ac:dyDescent="0.25">
      <c r="A289" s="148"/>
      <c r="B289" s="149"/>
      <c r="C289" s="148"/>
      <c r="D289" s="148"/>
      <c r="E289" s="148"/>
      <c r="F289" s="150"/>
      <c r="G289" s="151"/>
      <c r="H289" s="40"/>
    </row>
    <row r="290" spans="1:8" ht="15.75" x14ac:dyDescent="0.25">
      <c r="A290" s="148"/>
      <c r="B290" s="149"/>
      <c r="C290" s="148"/>
      <c r="D290" s="148"/>
      <c r="E290" s="148"/>
      <c r="F290" s="150"/>
      <c r="G290" s="151"/>
      <c r="H290" s="40"/>
    </row>
    <row r="291" spans="1:8" ht="15.75" x14ac:dyDescent="0.25">
      <c r="A291" s="148"/>
      <c r="B291" s="149"/>
      <c r="C291" s="148"/>
      <c r="D291" s="148"/>
      <c r="E291" s="148"/>
      <c r="F291" s="150"/>
      <c r="G291" s="151"/>
      <c r="H291" s="40"/>
    </row>
    <row r="292" spans="1:8" ht="15.75" x14ac:dyDescent="0.25">
      <c r="A292" s="148"/>
      <c r="B292" s="149"/>
      <c r="C292" s="148"/>
      <c r="D292" s="148"/>
      <c r="E292" s="148"/>
      <c r="F292" s="150"/>
      <c r="G292" s="151"/>
      <c r="H292" s="40"/>
    </row>
    <row r="293" spans="1:8" ht="15.75" x14ac:dyDescent="0.25">
      <c r="A293" s="148"/>
      <c r="B293" s="149"/>
      <c r="C293" s="148"/>
      <c r="D293" s="148"/>
      <c r="E293" s="148"/>
      <c r="F293" s="150"/>
      <c r="G293" s="151"/>
      <c r="H293" s="40"/>
    </row>
    <row r="294" spans="1:8" ht="15.75" x14ac:dyDescent="0.25">
      <c r="A294" s="148"/>
      <c r="B294" s="149"/>
      <c r="C294" s="148"/>
      <c r="D294" s="148"/>
      <c r="E294" s="148"/>
      <c r="F294" s="150"/>
      <c r="G294" s="151"/>
      <c r="H294" s="40"/>
    </row>
    <row r="295" spans="1:8" ht="15.75" x14ac:dyDescent="0.25">
      <c r="A295" s="148"/>
      <c r="B295" s="149"/>
      <c r="C295" s="148"/>
      <c r="D295" s="148"/>
      <c r="E295" s="148"/>
      <c r="F295" s="150"/>
      <c r="G295" s="151"/>
      <c r="H295" s="40"/>
    </row>
    <row r="296" spans="1:8" ht="15.75" x14ac:dyDescent="0.25">
      <c r="A296" s="148"/>
      <c r="B296" s="149"/>
      <c r="C296" s="148"/>
      <c r="D296" s="148"/>
      <c r="E296" s="148"/>
      <c r="F296" s="150"/>
      <c r="G296" s="151"/>
      <c r="H296" s="40"/>
    </row>
    <row r="297" spans="1:8" ht="15.75" x14ac:dyDescent="0.25">
      <c r="A297" s="148"/>
      <c r="B297" s="149"/>
      <c r="C297" s="148"/>
      <c r="D297" s="148"/>
      <c r="E297" s="148"/>
      <c r="F297" s="150"/>
      <c r="G297" s="151"/>
      <c r="H297" s="40"/>
    </row>
    <row r="298" spans="1:8" ht="15.75" x14ac:dyDescent="0.25">
      <c r="A298" s="148"/>
      <c r="B298" s="149"/>
      <c r="C298" s="148"/>
      <c r="D298" s="148"/>
      <c r="E298" s="148"/>
      <c r="F298" s="150"/>
      <c r="G298" s="151"/>
      <c r="H298" s="40"/>
    </row>
    <row r="299" spans="1:8" ht="15.75" x14ac:dyDescent="0.25">
      <c r="A299" s="148"/>
      <c r="B299" s="149"/>
      <c r="C299" s="148"/>
      <c r="D299" s="148"/>
      <c r="E299" s="148"/>
      <c r="F299" s="150"/>
      <c r="G299" s="151"/>
      <c r="H299" s="40"/>
    </row>
    <row r="300" spans="1:8" ht="15.75" x14ac:dyDescent="0.25">
      <c r="A300" s="148"/>
      <c r="B300" s="149"/>
      <c r="C300" s="148"/>
      <c r="D300" s="148"/>
      <c r="E300" s="148"/>
      <c r="F300" s="150"/>
      <c r="G300" s="151"/>
      <c r="H300" s="40"/>
    </row>
    <row r="301" spans="1:8" ht="15.75" x14ac:dyDescent="0.25">
      <c r="A301" s="148"/>
      <c r="B301" s="149"/>
      <c r="C301" s="148"/>
      <c r="D301" s="148"/>
      <c r="E301" s="148"/>
      <c r="F301" s="150"/>
      <c r="G301" s="151"/>
      <c r="H301" s="40"/>
    </row>
    <row r="302" spans="1:8" ht="15.75" x14ac:dyDescent="0.25">
      <c r="A302" s="148"/>
      <c r="B302" s="149"/>
      <c r="C302" s="148"/>
      <c r="D302" s="148"/>
      <c r="E302" s="148"/>
      <c r="F302" s="150"/>
      <c r="G302" s="151"/>
      <c r="H302" s="40"/>
    </row>
    <row r="303" spans="1:8" ht="15.75" x14ac:dyDescent="0.25">
      <c r="A303" s="148"/>
      <c r="B303" s="149"/>
      <c r="C303" s="148"/>
      <c r="D303" s="148"/>
      <c r="E303" s="148"/>
      <c r="F303" s="150"/>
      <c r="G303" s="151"/>
      <c r="H303" s="40"/>
    </row>
    <row r="304" spans="1:8" ht="15.75" x14ac:dyDescent="0.25">
      <c r="A304" s="148"/>
      <c r="B304" s="149"/>
      <c r="C304" s="148"/>
      <c r="D304" s="148"/>
      <c r="E304" s="148"/>
      <c r="F304" s="150"/>
      <c r="G304" s="151"/>
      <c r="H304" s="40"/>
    </row>
    <row r="305" spans="1:8" ht="15.75" x14ac:dyDescent="0.25">
      <c r="A305" s="148"/>
      <c r="B305" s="149"/>
      <c r="C305" s="148"/>
      <c r="D305" s="148"/>
      <c r="E305" s="148"/>
      <c r="F305" s="150"/>
      <c r="G305" s="151"/>
      <c r="H305" s="40"/>
    </row>
    <row r="306" spans="1:8" ht="15.75" x14ac:dyDescent="0.25">
      <c r="A306" s="148"/>
      <c r="B306" s="149"/>
      <c r="C306" s="148"/>
      <c r="D306" s="148"/>
      <c r="E306" s="148"/>
      <c r="F306" s="150"/>
      <c r="G306" s="151"/>
      <c r="H306" s="40"/>
    </row>
    <row r="307" spans="1:8" ht="15.75" x14ac:dyDescent="0.25">
      <c r="A307" s="148"/>
      <c r="B307" s="149"/>
      <c r="C307" s="148"/>
      <c r="D307" s="148"/>
      <c r="E307" s="148"/>
      <c r="F307" s="150"/>
      <c r="G307" s="151"/>
      <c r="H307" s="40"/>
    </row>
    <row r="308" spans="1:8" ht="15.75" x14ac:dyDescent="0.25">
      <c r="A308" s="148"/>
      <c r="B308" s="149"/>
      <c r="C308" s="148"/>
      <c r="D308" s="148"/>
      <c r="E308" s="148"/>
      <c r="F308" s="150"/>
      <c r="G308" s="151"/>
      <c r="H308" s="40"/>
    </row>
    <row r="309" spans="1:8" ht="15.75" x14ac:dyDescent="0.25">
      <c r="A309" s="148"/>
      <c r="B309" s="149"/>
      <c r="C309" s="148"/>
      <c r="D309" s="148"/>
      <c r="E309" s="148"/>
      <c r="F309" s="150"/>
      <c r="G309" s="151"/>
      <c r="H309" s="40"/>
    </row>
    <row r="310" spans="1:8" ht="15.75" x14ac:dyDescent="0.25">
      <c r="A310" s="148"/>
      <c r="B310" s="149"/>
      <c r="C310" s="148"/>
      <c r="D310" s="148"/>
      <c r="E310" s="148"/>
      <c r="F310" s="150"/>
      <c r="G310" s="151"/>
      <c r="H310" s="40"/>
    </row>
    <row r="311" spans="1:8" ht="15.75" x14ac:dyDescent="0.25">
      <c r="A311" s="148"/>
      <c r="B311" s="149"/>
      <c r="C311" s="148"/>
      <c r="D311" s="148"/>
      <c r="E311" s="148"/>
      <c r="F311" s="150"/>
      <c r="G311" s="151"/>
      <c r="H311" s="40"/>
    </row>
    <row r="312" spans="1:8" ht="15.75" x14ac:dyDescent="0.25">
      <c r="A312" s="148"/>
      <c r="B312" s="149"/>
      <c r="C312" s="148"/>
      <c r="D312" s="148"/>
      <c r="E312" s="148"/>
      <c r="F312" s="150"/>
      <c r="G312" s="151"/>
      <c r="H312" s="40"/>
    </row>
    <row r="313" spans="1:8" ht="15.75" x14ac:dyDescent="0.25">
      <c r="A313" s="148"/>
      <c r="B313" s="149"/>
      <c r="C313" s="148"/>
      <c r="D313" s="148"/>
      <c r="E313" s="148"/>
      <c r="F313" s="150"/>
      <c r="G313" s="151"/>
      <c r="H313" s="40"/>
    </row>
    <row r="314" spans="1:8" ht="15.75" x14ac:dyDescent="0.25">
      <c r="A314" s="148"/>
      <c r="B314" s="149"/>
      <c r="C314" s="148"/>
      <c r="D314" s="148"/>
      <c r="E314" s="148"/>
      <c r="F314" s="150"/>
      <c r="G314" s="151"/>
      <c r="H314" s="40"/>
    </row>
    <row r="315" spans="1:8" ht="15.75" x14ac:dyDescent="0.25">
      <c r="A315" s="148"/>
      <c r="B315" s="149"/>
      <c r="C315" s="148"/>
      <c r="D315" s="148"/>
      <c r="E315" s="148"/>
      <c r="F315" s="150"/>
      <c r="G315" s="151"/>
      <c r="H315" s="40"/>
    </row>
    <row r="316" spans="1:8" ht="15.75" x14ac:dyDescent="0.25">
      <c r="A316" s="148"/>
      <c r="B316" s="149"/>
      <c r="C316" s="148"/>
      <c r="D316" s="148"/>
      <c r="E316" s="148"/>
      <c r="F316" s="150"/>
      <c r="G316" s="151"/>
      <c r="H316" s="40"/>
    </row>
    <row r="317" spans="1:8" ht="15.75" x14ac:dyDescent="0.25">
      <c r="A317" s="148"/>
      <c r="B317" s="149"/>
      <c r="C317" s="148"/>
      <c r="D317" s="148"/>
      <c r="E317" s="148"/>
      <c r="F317" s="150"/>
      <c r="G317" s="151"/>
      <c r="H317" s="40"/>
    </row>
    <row r="318" spans="1:8" ht="15.75" x14ac:dyDescent="0.25">
      <c r="A318" s="148"/>
      <c r="B318" s="149"/>
      <c r="C318" s="148"/>
      <c r="D318" s="148"/>
      <c r="E318" s="148"/>
      <c r="F318" s="150"/>
      <c r="G318" s="151"/>
      <c r="H318" s="40"/>
    </row>
    <row r="319" spans="1:8" ht="15.75" x14ac:dyDescent="0.25">
      <c r="A319" s="148"/>
      <c r="B319" s="149"/>
      <c r="C319" s="148"/>
      <c r="D319" s="148"/>
      <c r="E319" s="148"/>
      <c r="F319" s="150"/>
      <c r="G319" s="151"/>
      <c r="H319" s="40"/>
    </row>
    <row r="320" spans="1:8" ht="15.75" x14ac:dyDescent="0.25">
      <c r="A320" s="148"/>
      <c r="B320" s="149"/>
      <c r="C320" s="148"/>
      <c r="D320" s="148"/>
      <c r="E320" s="148"/>
      <c r="F320" s="150"/>
      <c r="G320" s="151"/>
      <c r="H320" s="40"/>
    </row>
    <row r="321" spans="1:8" ht="15.75" x14ac:dyDescent="0.25">
      <c r="A321" s="148"/>
      <c r="B321" s="149"/>
      <c r="C321" s="148"/>
      <c r="D321" s="148"/>
      <c r="E321" s="148"/>
      <c r="F321" s="150"/>
      <c r="G321" s="151"/>
      <c r="H321" s="40"/>
    </row>
    <row r="322" spans="1:8" ht="15.75" x14ac:dyDescent="0.25">
      <c r="A322" s="148"/>
      <c r="B322" s="149"/>
      <c r="C322" s="148"/>
      <c r="D322" s="148"/>
      <c r="E322" s="148"/>
      <c r="F322" s="150"/>
      <c r="G322" s="151"/>
      <c r="H322" s="40"/>
    </row>
    <row r="323" spans="1:8" ht="15.75" x14ac:dyDescent="0.25">
      <c r="A323" s="148"/>
      <c r="B323" s="149"/>
      <c r="C323" s="148"/>
      <c r="D323" s="148"/>
      <c r="E323" s="148"/>
      <c r="F323" s="150"/>
      <c r="G323" s="151"/>
      <c r="H323" s="40"/>
    </row>
    <row r="324" spans="1:8" ht="15.75" x14ac:dyDescent="0.25">
      <c r="A324" s="148"/>
      <c r="B324" s="149"/>
      <c r="C324" s="148"/>
      <c r="D324" s="148"/>
      <c r="E324" s="148"/>
      <c r="F324" s="150"/>
      <c r="G324" s="151"/>
      <c r="H324" s="40"/>
    </row>
    <row r="325" spans="1:8" ht="15.75" x14ac:dyDescent="0.25">
      <c r="A325" s="148"/>
      <c r="B325" s="149"/>
      <c r="C325" s="148"/>
      <c r="D325" s="148"/>
      <c r="E325" s="148"/>
      <c r="F325" s="150"/>
      <c r="G325" s="151"/>
      <c r="H325" s="40"/>
    </row>
    <row r="326" spans="1:8" ht="15.75" x14ac:dyDescent="0.25">
      <c r="A326" s="148"/>
      <c r="B326" s="149"/>
      <c r="C326" s="148"/>
      <c r="D326" s="148"/>
      <c r="E326" s="148"/>
      <c r="F326" s="150"/>
      <c r="G326" s="151"/>
      <c r="H326" s="40"/>
    </row>
    <row r="327" spans="1:8" ht="15.75" x14ac:dyDescent="0.25">
      <c r="A327" s="148"/>
      <c r="B327" s="149"/>
      <c r="C327" s="148"/>
      <c r="D327" s="148"/>
      <c r="E327" s="148"/>
      <c r="F327" s="150"/>
      <c r="G327" s="151"/>
      <c r="H327" s="40"/>
    </row>
    <row r="328" spans="1:8" ht="15.75" x14ac:dyDescent="0.25">
      <c r="A328" s="148"/>
      <c r="B328" s="149"/>
      <c r="C328" s="148"/>
      <c r="D328" s="148"/>
      <c r="E328" s="148"/>
      <c r="F328" s="150"/>
      <c r="G328" s="151"/>
      <c r="H328" s="40"/>
    </row>
    <row r="329" spans="1:8" ht="15.75" x14ac:dyDescent="0.25">
      <c r="A329" s="148"/>
      <c r="B329" s="149"/>
      <c r="C329" s="148"/>
      <c r="D329" s="148"/>
      <c r="E329" s="148"/>
      <c r="F329" s="150"/>
      <c r="G329" s="151"/>
      <c r="H329" s="40"/>
    </row>
    <row r="330" spans="1:8" ht="15.75" x14ac:dyDescent="0.25">
      <c r="A330" s="148"/>
      <c r="B330" s="149"/>
      <c r="C330" s="148"/>
      <c r="D330" s="148"/>
      <c r="E330" s="148"/>
      <c r="F330" s="150"/>
      <c r="G330" s="151"/>
      <c r="H330" s="40"/>
    </row>
    <row r="331" spans="1:8" ht="15.75" x14ac:dyDescent="0.25">
      <c r="A331" s="148"/>
      <c r="B331" s="149"/>
      <c r="C331" s="148"/>
      <c r="D331" s="148"/>
      <c r="E331" s="148"/>
      <c r="F331" s="150"/>
      <c r="G331" s="151"/>
      <c r="H331" s="40"/>
    </row>
    <row r="332" spans="1:8" ht="15.75" x14ac:dyDescent="0.25">
      <c r="A332" s="148"/>
      <c r="B332" s="149"/>
      <c r="C332" s="148"/>
      <c r="D332" s="148"/>
      <c r="E332" s="148"/>
      <c r="F332" s="150"/>
      <c r="G332" s="151"/>
      <c r="H332" s="40"/>
    </row>
    <row r="333" spans="1:8" ht="15.75" x14ac:dyDescent="0.25">
      <c r="A333" s="148"/>
      <c r="B333" s="149"/>
      <c r="C333" s="148"/>
      <c r="D333" s="148"/>
      <c r="E333" s="148"/>
      <c r="F333" s="150"/>
      <c r="G333" s="151"/>
      <c r="H333" s="40"/>
    </row>
    <row r="334" spans="1:8" ht="15.75" x14ac:dyDescent="0.25">
      <c r="A334" s="148"/>
      <c r="B334" s="149"/>
      <c r="C334" s="148"/>
      <c r="D334" s="148"/>
      <c r="E334" s="148"/>
      <c r="F334" s="150"/>
      <c r="G334" s="151"/>
      <c r="H334" s="40"/>
    </row>
    <row r="335" spans="1:8" ht="15.75" x14ac:dyDescent="0.25">
      <c r="A335" s="148"/>
      <c r="B335" s="149"/>
      <c r="C335" s="148"/>
      <c r="D335" s="148"/>
      <c r="E335" s="148"/>
      <c r="F335" s="150"/>
      <c r="G335" s="151"/>
      <c r="H335" s="40"/>
    </row>
    <row r="336" spans="1:8" ht="15.75" x14ac:dyDescent="0.25">
      <c r="A336" s="148"/>
      <c r="B336" s="149"/>
      <c r="C336" s="148"/>
      <c r="D336" s="148"/>
      <c r="E336" s="148"/>
      <c r="F336" s="150"/>
      <c r="G336" s="151"/>
      <c r="H336" s="40"/>
    </row>
    <row r="337" spans="1:8" ht="15.75" x14ac:dyDescent="0.25">
      <c r="A337" s="148"/>
      <c r="B337" s="149"/>
      <c r="C337" s="148"/>
      <c r="D337" s="148"/>
      <c r="E337" s="148"/>
      <c r="F337" s="150"/>
      <c r="G337" s="151"/>
      <c r="H337" s="40"/>
    </row>
    <row r="338" spans="1:8" ht="15.75" x14ac:dyDescent="0.25">
      <c r="A338" s="148"/>
      <c r="B338" s="149"/>
      <c r="C338" s="148"/>
      <c r="D338" s="148"/>
      <c r="E338" s="148"/>
      <c r="F338" s="150"/>
      <c r="G338" s="151"/>
      <c r="H338" s="40"/>
    </row>
    <row r="339" spans="1:8" ht="15.75" x14ac:dyDescent="0.25">
      <c r="A339" s="148"/>
      <c r="B339" s="149"/>
      <c r="C339" s="148"/>
      <c r="D339" s="148"/>
      <c r="E339" s="148"/>
      <c r="F339" s="150"/>
      <c r="G339" s="151"/>
      <c r="H339" s="40"/>
    </row>
    <row r="340" spans="1:8" ht="15.75" x14ac:dyDescent="0.25">
      <c r="A340" s="148"/>
      <c r="B340" s="149"/>
      <c r="C340" s="148"/>
      <c r="D340" s="148"/>
      <c r="E340" s="148"/>
      <c r="F340" s="150"/>
      <c r="G340" s="151"/>
      <c r="H340" s="40"/>
    </row>
    <row r="341" spans="1:8" ht="15.75" x14ac:dyDescent="0.25">
      <c r="A341" s="148"/>
      <c r="B341" s="149"/>
      <c r="C341" s="148"/>
      <c r="D341" s="148"/>
      <c r="E341" s="148"/>
      <c r="F341" s="150"/>
      <c r="G341" s="151"/>
      <c r="H341" s="40"/>
    </row>
    <row r="342" spans="1:8" ht="15.75" x14ac:dyDescent="0.25">
      <c r="A342" s="148"/>
      <c r="B342" s="149"/>
      <c r="C342" s="148"/>
      <c r="D342" s="148"/>
      <c r="E342" s="148"/>
      <c r="F342" s="150"/>
      <c r="G342" s="151"/>
      <c r="H342" s="40"/>
    </row>
    <row r="343" spans="1:8" ht="15.75" x14ac:dyDescent="0.25">
      <c r="A343" s="148"/>
      <c r="B343" s="149"/>
      <c r="C343" s="148"/>
      <c r="D343" s="148"/>
      <c r="E343" s="148"/>
      <c r="F343" s="150"/>
      <c r="G343" s="151"/>
      <c r="H343" s="40"/>
    </row>
    <row r="344" spans="1:8" ht="15.75" x14ac:dyDescent="0.25">
      <c r="A344" s="148"/>
      <c r="B344" s="149"/>
      <c r="C344" s="148"/>
      <c r="D344" s="148"/>
      <c r="E344" s="148"/>
      <c r="F344" s="150"/>
      <c r="G344" s="151"/>
      <c r="H344" s="40"/>
    </row>
    <row r="345" spans="1:8" ht="15.75" x14ac:dyDescent="0.25">
      <c r="A345" s="148"/>
      <c r="B345" s="149"/>
      <c r="C345" s="148"/>
      <c r="D345" s="148"/>
      <c r="E345" s="148"/>
      <c r="F345" s="150"/>
      <c r="G345" s="151"/>
      <c r="H345" s="40"/>
    </row>
    <row r="346" spans="1:8" ht="15.75" x14ac:dyDescent="0.25">
      <c r="A346" s="148"/>
      <c r="B346" s="149"/>
      <c r="C346" s="148"/>
      <c r="D346" s="148"/>
      <c r="E346" s="148"/>
      <c r="F346" s="150"/>
      <c r="G346" s="151"/>
      <c r="H346" s="40"/>
    </row>
    <row r="347" spans="1:8" ht="15.75" x14ac:dyDescent="0.25">
      <c r="A347" s="148"/>
      <c r="B347" s="149"/>
      <c r="C347" s="148"/>
      <c r="D347" s="148"/>
      <c r="E347" s="148"/>
      <c r="F347" s="150"/>
      <c r="G347" s="151"/>
      <c r="H347" s="40"/>
    </row>
    <row r="348" spans="1:8" ht="15.75" x14ac:dyDescent="0.25">
      <c r="A348" s="148"/>
      <c r="B348" s="149"/>
      <c r="C348" s="148"/>
      <c r="D348" s="148"/>
      <c r="E348" s="148"/>
      <c r="F348" s="150"/>
      <c r="G348" s="151"/>
      <c r="H348" s="40"/>
    </row>
    <row r="349" spans="1:8" ht="15.75" x14ac:dyDescent="0.25">
      <c r="A349" s="148"/>
      <c r="B349" s="149"/>
      <c r="C349" s="148"/>
      <c r="D349" s="148"/>
      <c r="E349" s="148"/>
      <c r="F349" s="150"/>
      <c r="G349" s="151"/>
      <c r="H349" s="40"/>
    </row>
    <row r="350" spans="1:8" ht="15.75" x14ac:dyDescent="0.25">
      <c r="A350" s="148"/>
      <c r="B350" s="149"/>
      <c r="C350" s="148"/>
      <c r="D350" s="148"/>
      <c r="E350" s="148"/>
      <c r="F350" s="150"/>
      <c r="G350" s="151"/>
      <c r="H350" s="40"/>
    </row>
    <row r="351" spans="1:8" ht="15.75" x14ac:dyDescent="0.25">
      <c r="A351" s="148"/>
      <c r="B351" s="149"/>
      <c r="C351" s="148"/>
      <c r="D351" s="148"/>
      <c r="E351" s="148"/>
      <c r="F351" s="150"/>
      <c r="G351" s="151"/>
      <c r="H351" s="40"/>
    </row>
    <row r="352" spans="1:8" ht="15.75" x14ac:dyDescent="0.25">
      <c r="A352" s="148"/>
      <c r="B352" s="149"/>
      <c r="C352" s="148"/>
      <c r="D352" s="148"/>
      <c r="E352" s="148"/>
      <c r="F352" s="150"/>
      <c r="G352" s="151"/>
      <c r="H352" s="40"/>
    </row>
    <row r="353" spans="1:8" ht="15.75" x14ac:dyDescent="0.25">
      <c r="A353" s="148"/>
      <c r="B353" s="149"/>
      <c r="C353" s="148"/>
      <c r="D353" s="148"/>
      <c r="E353" s="148"/>
      <c r="F353" s="150"/>
      <c r="G353" s="151"/>
      <c r="H353" s="40"/>
    </row>
    <row r="354" spans="1:8" ht="15.75" x14ac:dyDescent="0.25">
      <c r="A354" s="148"/>
      <c r="B354" s="149"/>
      <c r="C354" s="148"/>
      <c r="D354" s="148"/>
      <c r="E354" s="148"/>
      <c r="F354" s="150"/>
      <c r="G354" s="151"/>
      <c r="H354" s="40"/>
    </row>
    <row r="355" spans="1:8" ht="15.75" x14ac:dyDescent="0.25">
      <c r="A355" s="148"/>
      <c r="B355" s="149"/>
      <c r="C355" s="148"/>
      <c r="D355" s="148"/>
      <c r="E355" s="148"/>
      <c r="F355" s="150"/>
      <c r="G355" s="151"/>
      <c r="H355" s="40"/>
    </row>
    <row r="356" spans="1:8" ht="15.75" x14ac:dyDescent="0.25">
      <c r="A356" s="148"/>
      <c r="B356" s="149"/>
      <c r="C356" s="148"/>
      <c r="D356" s="148"/>
      <c r="E356" s="148"/>
      <c r="F356" s="150"/>
      <c r="G356" s="151"/>
      <c r="H356" s="40"/>
    </row>
    <row r="357" spans="1:8" ht="15.75" x14ac:dyDescent="0.25">
      <c r="A357" s="148"/>
      <c r="B357" s="149"/>
      <c r="C357" s="148"/>
      <c r="D357" s="148"/>
      <c r="E357" s="148"/>
      <c r="F357" s="150"/>
      <c r="G357" s="151"/>
      <c r="H357" s="40"/>
    </row>
    <row r="358" spans="1:8" ht="15.75" x14ac:dyDescent="0.25">
      <c r="A358" s="148"/>
      <c r="B358" s="149"/>
      <c r="C358" s="148"/>
      <c r="D358" s="148"/>
      <c r="E358" s="148"/>
      <c r="F358" s="150"/>
      <c r="G358" s="151"/>
      <c r="H358" s="40"/>
    </row>
    <row r="359" spans="1:8" ht="15.75" x14ac:dyDescent="0.25">
      <c r="A359" s="148"/>
      <c r="B359" s="149"/>
      <c r="C359" s="148"/>
      <c r="D359" s="148"/>
      <c r="E359" s="148"/>
      <c r="F359" s="150"/>
      <c r="G359" s="151"/>
      <c r="H359" s="40"/>
    </row>
    <row r="360" spans="1:8" x14ac:dyDescent="0.25">
      <c r="G360" s="40"/>
      <c r="H360" s="40"/>
    </row>
    <row r="361" spans="1:8" x14ac:dyDescent="0.25">
      <c r="G361" s="40"/>
      <c r="H361" s="40"/>
    </row>
    <row r="362" spans="1:8" x14ac:dyDescent="0.25">
      <c r="G362" s="40"/>
      <c r="H362" s="40"/>
    </row>
    <row r="363" spans="1:8" x14ac:dyDescent="0.25">
      <c r="G363" s="40"/>
      <c r="H363" s="40"/>
    </row>
    <row r="364" spans="1:8" x14ac:dyDescent="0.25">
      <c r="G364" s="40"/>
      <c r="H364" s="40"/>
    </row>
    <row r="365" spans="1:8" x14ac:dyDescent="0.25">
      <c r="G365" s="40"/>
      <c r="H365" s="40"/>
    </row>
    <row r="366" spans="1:8" x14ac:dyDescent="0.25">
      <c r="G366" s="40"/>
      <c r="H366" s="40"/>
    </row>
    <row r="367" spans="1:8" x14ac:dyDescent="0.25">
      <c r="G367" s="40"/>
      <c r="H367" s="40"/>
    </row>
    <row r="368" spans="1:8" x14ac:dyDescent="0.25">
      <c r="G368" s="40"/>
      <c r="H368" s="40"/>
    </row>
    <row r="369" spans="7:8" x14ac:dyDescent="0.25">
      <c r="G369" s="40"/>
      <c r="H369" s="40"/>
    </row>
    <row r="370" spans="7:8" x14ac:dyDescent="0.25">
      <c r="G370" s="40"/>
      <c r="H370" s="40"/>
    </row>
    <row r="371" spans="7:8" x14ac:dyDescent="0.25">
      <c r="G371" s="40"/>
      <c r="H371" s="40"/>
    </row>
    <row r="372" spans="7:8" x14ac:dyDescent="0.25">
      <c r="G372" s="40"/>
      <c r="H372" s="40"/>
    </row>
    <row r="373" spans="7:8" x14ac:dyDescent="0.25">
      <c r="G373" s="40"/>
      <c r="H373" s="40"/>
    </row>
    <row r="374" spans="7:8" x14ac:dyDescent="0.25">
      <c r="G374" s="40"/>
      <c r="H374" s="40"/>
    </row>
    <row r="375" spans="7:8" x14ac:dyDescent="0.25">
      <c r="G375" s="40"/>
      <c r="H375" s="40"/>
    </row>
    <row r="376" spans="7:8" x14ac:dyDescent="0.25">
      <c r="G376" s="40"/>
      <c r="H376" s="40"/>
    </row>
    <row r="377" spans="7:8" x14ac:dyDescent="0.25">
      <c r="G377" s="40"/>
      <c r="H377" s="40"/>
    </row>
    <row r="378" spans="7:8" x14ac:dyDescent="0.25">
      <c r="G378" s="40"/>
      <c r="H378" s="40"/>
    </row>
    <row r="379" spans="7:8" x14ac:dyDescent="0.25">
      <c r="G379" s="40"/>
      <c r="H379" s="40"/>
    </row>
    <row r="380" spans="7:8" x14ac:dyDescent="0.25">
      <c r="G380" s="40"/>
      <c r="H380" s="40"/>
    </row>
    <row r="381" spans="7:8" x14ac:dyDescent="0.25">
      <c r="G381" s="40"/>
      <c r="H381" s="40"/>
    </row>
    <row r="382" spans="7:8" x14ac:dyDescent="0.25">
      <c r="G382" s="40"/>
      <c r="H382" s="40"/>
    </row>
    <row r="383" spans="7:8" x14ac:dyDescent="0.25">
      <c r="G383" s="40"/>
      <c r="H383" s="40"/>
    </row>
    <row r="384" spans="7:8" x14ac:dyDescent="0.25">
      <c r="G384" s="40"/>
      <c r="H384" s="40"/>
    </row>
    <row r="385" spans="7:8" x14ac:dyDescent="0.25">
      <c r="G385" s="40"/>
      <c r="H385" s="40"/>
    </row>
    <row r="386" spans="7:8" x14ac:dyDescent="0.25">
      <c r="G386" s="40"/>
      <c r="H386" s="40"/>
    </row>
    <row r="387" spans="7:8" x14ac:dyDescent="0.25">
      <c r="G387" s="40"/>
      <c r="H387" s="40"/>
    </row>
    <row r="388" spans="7:8" x14ac:dyDescent="0.25">
      <c r="G388" s="40"/>
      <c r="H388" s="40"/>
    </row>
    <row r="389" spans="7:8" x14ac:dyDescent="0.25">
      <c r="G389" s="40"/>
      <c r="H389" s="40"/>
    </row>
    <row r="390" spans="7:8" x14ac:dyDescent="0.25">
      <c r="G390" s="40"/>
      <c r="H390" s="40"/>
    </row>
    <row r="391" spans="7:8" x14ac:dyDescent="0.25">
      <c r="G391" s="40"/>
      <c r="H391" s="40"/>
    </row>
    <row r="392" spans="7:8" x14ac:dyDescent="0.25">
      <c r="G392" s="40"/>
      <c r="H392" s="40"/>
    </row>
    <row r="393" spans="7:8" x14ac:dyDescent="0.25">
      <c r="G393" s="40"/>
      <c r="H393" s="40"/>
    </row>
    <row r="394" spans="7:8" x14ac:dyDescent="0.25">
      <c r="G394" s="40"/>
      <c r="H394" s="40"/>
    </row>
    <row r="395" spans="7:8" x14ac:dyDescent="0.25">
      <c r="G395" s="40"/>
      <c r="H395" s="40"/>
    </row>
    <row r="396" spans="7:8" x14ac:dyDescent="0.25">
      <c r="G396" s="40"/>
      <c r="H396" s="40"/>
    </row>
    <row r="397" spans="7:8" x14ac:dyDescent="0.25">
      <c r="G397" s="40"/>
      <c r="H397" s="40"/>
    </row>
    <row r="398" spans="7:8" x14ac:dyDescent="0.25">
      <c r="G398" s="40"/>
      <c r="H398" s="40"/>
    </row>
    <row r="399" spans="7:8" x14ac:dyDescent="0.25">
      <c r="G399" s="40"/>
      <c r="H399" s="40"/>
    </row>
    <row r="400" spans="7:8" x14ac:dyDescent="0.25">
      <c r="G400" s="40"/>
      <c r="H400" s="40"/>
    </row>
    <row r="401" spans="7:8" x14ac:dyDescent="0.25">
      <c r="G401" s="40"/>
      <c r="H401" s="40"/>
    </row>
    <row r="402" spans="7:8" x14ac:dyDescent="0.25">
      <c r="G402" s="40"/>
      <c r="H402" s="40"/>
    </row>
    <row r="403" spans="7:8" x14ac:dyDescent="0.25">
      <c r="G403" s="40"/>
      <c r="H403" s="40"/>
    </row>
    <row r="404" spans="7:8" x14ac:dyDescent="0.25">
      <c r="G404" s="40"/>
      <c r="H404" s="40"/>
    </row>
    <row r="405" spans="7:8" x14ac:dyDescent="0.25">
      <c r="G405" s="40"/>
      <c r="H405" s="40"/>
    </row>
    <row r="406" spans="7:8" x14ac:dyDescent="0.25">
      <c r="G406" s="40"/>
      <c r="H406" s="40"/>
    </row>
    <row r="407" spans="7:8" x14ac:dyDescent="0.25">
      <c r="G407" s="40"/>
      <c r="H407" s="40"/>
    </row>
    <row r="408" spans="7:8" x14ac:dyDescent="0.25">
      <c r="G408" s="40"/>
      <c r="H408" s="40"/>
    </row>
    <row r="409" spans="7:8" x14ac:dyDescent="0.25">
      <c r="G409" s="40"/>
      <c r="H409" s="40"/>
    </row>
    <row r="410" spans="7:8" x14ac:dyDescent="0.25">
      <c r="G410" s="40"/>
      <c r="H410" s="40"/>
    </row>
    <row r="411" spans="7:8" x14ac:dyDescent="0.25">
      <c r="G411" s="40"/>
      <c r="H411" s="40"/>
    </row>
    <row r="412" spans="7:8" x14ac:dyDescent="0.25">
      <c r="G412" s="40"/>
      <c r="H412" s="40"/>
    </row>
    <row r="413" spans="7:8" x14ac:dyDescent="0.25">
      <c r="G413" s="40"/>
      <c r="H413" s="40"/>
    </row>
    <row r="414" spans="7:8" x14ac:dyDescent="0.25">
      <c r="G414" s="40"/>
      <c r="H414" s="40"/>
    </row>
    <row r="415" spans="7:8" x14ac:dyDescent="0.25">
      <c r="G415" s="40"/>
      <c r="H415" s="40"/>
    </row>
    <row r="416" spans="7:8" x14ac:dyDescent="0.25">
      <c r="G416" s="40"/>
      <c r="H416" s="40"/>
    </row>
    <row r="417" spans="7:8" x14ac:dyDescent="0.25">
      <c r="G417" s="40"/>
      <c r="H417" s="40"/>
    </row>
    <row r="418" spans="7:8" x14ac:dyDescent="0.25">
      <c r="G418" s="40"/>
      <c r="H418" s="40"/>
    </row>
    <row r="419" spans="7:8" x14ac:dyDescent="0.25">
      <c r="G419" s="40"/>
      <c r="H419" s="40"/>
    </row>
    <row r="420" spans="7:8" x14ac:dyDescent="0.25">
      <c r="G420" s="40"/>
      <c r="H420" s="40"/>
    </row>
    <row r="421" spans="7:8" x14ac:dyDescent="0.25">
      <c r="G421" s="40"/>
      <c r="H421" s="40"/>
    </row>
    <row r="422" spans="7:8" x14ac:dyDescent="0.25">
      <c r="G422" s="40"/>
      <c r="H422" s="40"/>
    </row>
    <row r="423" spans="7:8" x14ac:dyDescent="0.25">
      <c r="G423" s="40"/>
      <c r="H423" s="40"/>
    </row>
    <row r="424" spans="7:8" x14ac:dyDescent="0.25">
      <c r="G424" s="40"/>
      <c r="H424" s="40"/>
    </row>
    <row r="425" spans="7:8" x14ac:dyDescent="0.25">
      <c r="G425" s="40"/>
      <c r="H425" s="40"/>
    </row>
    <row r="426" spans="7:8" x14ac:dyDescent="0.25">
      <c r="G426" s="40"/>
      <c r="H426" s="40"/>
    </row>
    <row r="427" spans="7:8" x14ac:dyDescent="0.25">
      <c r="G427" s="40"/>
      <c r="H427" s="40"/>
    </row>
    <row r="428" spans="7:8" x14ac:dyDescent="0.25">
      <c r="G428" s="40"/>
      <c r="H428" s="40"/>
    </row>
    <row r="429" spans="7:8" x14ac:dyDescent="0.25">
      <c r="G429" s="40"/>
      <c r="H429" s="40"/>
    </row>
    <row r="430" spans="7:8" x14ac:dyDescent="0.25">
      <c r="G430" s="40"/>
      <c r="H430" s="40"/>
    </row>
    <row r="431" spans="7:8" x14ac:dyDescent="0.25">
      <c r="G431" s="40"/>
      <c r="H431" s="40"/>
    </row>
    <row r="432" spans="7:8" x14ac:dyDescent="0.25">
      <c r="G432" s="40"/>
      <c r="H432" s="40"/>
    </row>
    <row r="433" spans="7:8" x14ac:dyDescent="0.25">
      <c r="G433" s="40"/>
      <c r="H433" s="40"/>
    </row>
    <row r="434" spans="7:8" x14ac:dyDescent="0.25">
      <c r="G434" s="40"/>
      <c r="H434" s="40"/>
    </row>
    <row r="435" spans="7:8" x14ac:dyDescent="0.25">
      <c r="G435" s="40"/>
      <c r="H435" s="40"/>
    </row>
    <row r="436" spans="7:8" x14ac:dyDescent="0.25">
      <c r="G436" s="40"/>
      <c r="H436" s="40"/>
    </row>
    <row r="437" spans="7:8" x14ac:dyDescent="0.25">
      <c r="G437" s="40"/>
      <c r="H437" s="40"/>
    </row>
    <row r="438" spans="7:8" x14ac:dyDescent="0.25">
      <c r="G438" s="40"/>
      <c r="H438" s="40"/>
    </row>
    <row r="439" spans="7:8" x14ac:dyDescent="0.25">
      <c r="G439" s="40"/>
      <c r="H439" s="40"/>
    </row>
    <row r="440" spans="7:8" x14ac:dyDescent="0.25">
      <c r="G440" s="40"/>
      <c r="H440" s="40"/>
    </row>
    <row r="441" spans="7:8" x14ac:dyDescent="0.25">
      <c r="G441" s="40"/>
      <c r="H441" s="40"/>
    </row>
    <row r="442" spans="7:8" x14ac:dyDescent="0.25">
      <c r="G442" s="40"/>
      <c r="H442" s="40"/>
    </row>
    <row r="443" spans="7:8" x14ac:dyDescent="0.25">
      <c r="G443" s="40"/>
      <c r="H443" s="40"/>
    </row>
    <row r="444" spans="7:8" x14ac:dyDescent="0.25">
      <c r="G444" s="40"/>
      <c r="H444" s="40"/>
    </row>
    <row r="445" spans="7:8" x14ac:dyDescent="0.25">
      <c r="G445" s="40"/>
      <c r="H445" s="40"/>
    </row>
    <row r="446" spans="7:8" x14ac:dyDescent="0.25">
      <c r="G446" s="40"/>
      <c r="H446" s="40"/>
    </row>
    <row r="447" spans="7:8" x14ac:dyDescent="0.25">
      <c r="G447" s="40"/>
      <c r="H447" s="40"/>
    </row>
    <row r="448" spans="7:8" x14ac:dyDescent="0.25">
      <c r="G448" s="40"/>
      <c r="H448" s="40"/>
    </row>
    <row r="449" spans="7:8" x14ac:dyDescent="0.25">
      <c r="G449" s="40"/>
      <c r="H449" s="40"/>
    </row>
    <row r="450" spans="7:8" x14ac:dyDescent="0.25">
      <c r="G450" s="40"/>
      <c r="H450" s="40"/>
    </row>
    <row r="451" spans="7:8" x14ac:dyDescent="0.25">
      <c r="G451" s="40"/>
      <c r="H451" s="40"/>
    </row>
    <row r="452" spans="7:8" x14ac:dyDescent="0.25">
      <c r="G452" s="40"/>
      <c r="H452" s="40"/>
    </row>
    <row r="453" spans="7:8" x14ac:dyDescent="0.25">
      <c r="G453" s="40"/>
      <c r="H453" s="40"/>
    </row>
    <row r="454" spans="7:8" x14ac:dyDescent="0.25">
      <c r="G454" s="40"/>
      <c r="H454" s="40"/>
    </row>
    <row r="455" spans="7:8" x14ac:dyDescent="0.25">
      <c r="G455" s="40"/>
      <c r="H455" s="40"/>
    </row>
    <row r="456" spans="7:8" x14ac:dyDescent="0.25">
      <c r="G456" s="40"/>
      <c r="H456" s="40"/>
    </row>
    <row r="457" spans="7:8" x14ac:dyDescent="0.25">
      <c r="G457" s="40"/>
      <c r="H457" s="40"/>
    </row>
    <row r="458" spans="7:8" x14ac:dyDescent="0.25">
      <c r="G458" s="40"/>
      <c r="H458" s="40"/>
    </row>
    <row r="459" spans="7:8" x14ac:dyDescent="0.25">
      <c r="G459" s="40"/>
      <c r="H459" s="40"/>
    </row>
    <row r="460" spans="7:8" x14ac:dyDescent="0.25">
      <c r="G460" s="40"/>
      <c r="H460" s="40"/>
    </row>
    <row r="461" spans="7:8" x14ac:dyDescent="0.25">
      <c r="G461" s="40"/>
      <c r="H461" s="40"/>
    </row>
    <row r="462" spans="7:8" x14ac:dyDescent="0.25">
      <c r="G462" s="40"/>
      <c r="H462" s="40"/>
    </row>
    <row r="463" spans="7:8" x14ac:dyDescent="0.25">
      <c r="G463" s="40"/>
      <c r="H463" s="40"/>
    </row>
    <row r="464" spans="7:8" x14ac:dyDescent="0.25">
      <c r="G464" s="40"/>
      <c r="H464" s="40"/>
    </row>
    <row r="465" spans="7:8" x14ac:dyDescent="0.25">
      <c r="G465" s="40"/>
      <c r="H465" s="40"/>
    </row>
    <row r="466" spans="7:8" x14ac:dyDescent="0.25">
      <c r="G466" s="40"/>
      <c r="H466" s="40"/>
    </row>
    <row r="467" spans="7:8" x14ac:dyDescent="0.25">
      <c r="G467" s="40"/>
      <c r="H467" s="40"/>
    </row>
    <row r="468" spans="7:8" x14ac:dyDescent="0.25">
      <c r="G468" s="40"/>
      <c r="H468" s="40"/>
    </row>
    <row r="469" spans="7:8" x14ac:dyDescent="0.25">
      <c r="G469" s="40"/>
      <c r="H469" s="40"/>
    </row>
    <row r="470" spans="7:8" x14ac:dyDescent="0.25">
      <c r="G470" s="40"/>
      <c r="H470" s="40"/>
    </row>
    <row r="471" spans="7:8" x14ac:dyDescent="0.25">
      <c r="G471" s="40"/>
      <c r="H471" s="40"/>
    </row>
    <row r="472" spans="7:8" x14ac:dyDescent="0.25">
      <c r="G472" s="40"/>
      <c r="H472" s="40"/>
    </row>
    <row r="473" spans="7:8" x14ac:dyDescent="0.25">
      <c r="G473" s="40"/>
      <c r="H473" s="40"/>
    </row>
    <row r="474" spans="7:8" x14ac:dyDescent="0.25">
      <c r="G474" s="40"/>
      <c r="H474" s="40"/>
    </row>
    <row r="475" spans="7:8" x14ac:dyDescent="0.25">
      <c r="G475" s="40"/>
      <c r="H475" s="40"/>
    </row>
    <row r="476" spans="7:8" x14ac:dyDescent="0.25">
      <c r="G476" s="40"/>
      <c r="H476" s="40"/>
    </row>
    <row r="477" spans="7:8" x14ac:dyDescent="0.25">
      <c r="G477" s="40"/>
      <c r="H477" s="40"/>
    </row>
    <row r="478" spans="7:8" x14ac:dyDescent="0.25">
      <c r="G478" s="40"/>
      <c r="H478" s="40"/>
    </row>
    <row r="479" spans="7:8" x14ac:dyDescent="0.25">
      <c r="G479" s="40"/>
      <c r="H479" s="40"/>
    </row>
    <row r="480" spans="7:8" x14ac:dyDescent="0.25">
      <c r="G480" s="40"/>
      <c r="H480" s="40"/>
    </row>
    <row r="481" spans="7:8" x14ac:dyDescent="0.25">
      <c r="G481" s="40"/>
      <c r="H481" s="40"/>
    </row>
    <row r="482" spans="7:8" x14ac:dyDescent="0.25">
      <c r="G482" s="40"/>
      <c r="H482" s="40"/>
    </row>
    <row r="483" spans="7:8" x14ac:dyDescent="0.25">
      <c r="G483" s="40"/>
      <c r="H483" s="40"/>
    </row>
    <row r="484" spans="7:8" x14ac:dyDescent="0.25">
      <c r="G484" s="40"/>
      <c r="H484" s="40"/>
    </row>
    <row r="485" spans="7:8" x14ac:dyDescent="0.25">
      <c r="G485" s="40"/>
      <c r="H485" s="40"/>
    </row>
    <row r="486" spans="7:8" x14ac:dyDescent="0.25">
      <c r="G486" s="40"/>
      <c r="H486" s="40"/>
    </row>
    <row r="487" spans="7:8" x14ac:dyDescent="0.25">
      <c r="G487" s="40"/>
      <c r="H487" s="40"/>
    </row>
    <row r="488" spans="7:8" x14ac:dyDescent="0.25">
      <c r="G488" s="40"/>
      <c r="H488" s="40"/>
    </row>
    <row r="489" spans="7:8" x14ac:dyDescent="0.25">
      <c r="G489" s="40"/>
      <c r="H489" s="40"/>
    </row>
    <row r="490" spans="7:8" x14ac:dyDescent="0.25">
      <c r="G490" s="40"/>
      <c r="H490" s="40"/>
    </row>
    <row r="491" spans="7:8" x14ac:dyDescent="0.25">
      <c r="G491" s="40"/>
      <c r="H491" s="40"/>
    </row>
    <row r="492" spans="7:8" x14ac:dyDescent="0.25">
      <c r="G492" s="40"/>
      <c r="H492" s="40"/>
    </row>
    <row r="493" spans="7:8" x14ac:dyDescent="0.25">
      <c r="G493" s="40"/>
      <c r="H493" s="40"/>
    </row>
    <row r="494" spans="7:8" x14ac:dyDescent="0.25">
      <c r="G494" s="40"/>
      <c r="H494" s="40"/>
    </row>
    <row r="495" spans="7:8" x14ac:dyDescent="0.25">
      <c r="G495" s="40"/>
      <c r="H495" s="40"/>
    </row>
    <row r="496" spans="7:8" x14ac:dyDescent="0.25">
      <c r="G496" s="40"/>
      <c r="H496" s="40"/>
    </row>
    <row r="497" spans="7:8" x14ac:dyDescent="0.25">
      <c r="G497" s="40"/>
      <c r="H497" s="40"/>
    </row>
    <row r="498" spans="7:8" x14ac:dyDescent="0.25">
      <c r="G498" s="40"/>
      <c r="H498" s="40"/>
    </row>
    <row r="499" spans="7:8" x14ac:dyDescent="0.25">
      <c r="G499" s="40"/>
      <c r="H499" s="40"/>
    </row>
    <row r="500" spans="7:8" x14ac:dyDescent="0.25">
      <c r="G500" s="40"/>
      <c r="H500" s="40"/>
    </row>
    <row r="501" spans="7:8" x14ac:dyDescent="0.25">
      <c r="G501" s="40"/>
      <c r="H501" s="40"/>
    </row>
    <row r="502" spans="7:8" x14ac:dyDescent="0.25">
      <c r="G502" s="40"/>
      <c r="H502" s="40"/>
    </row>
    <row r="503" spans="7:8" x14ac:dyDescent="0.25">
      <c r="G503" s="40"/>
      <c r="H503" s="40"/>
    </row>
    <row r="504" spans="7:8" x14ac:dyDescent="0.25">
      <c r="G504" s="40"/>
      <c r="H504" s="40"/>
    </row>
    <row r="505" spans="7:8" x14ac:dyDescent="0.25">
      <c r="G505" s="40"/>
      <c r="H505" s="40"/>
    </row>
    <row r="506" spans="7:8" x14ac:dyDescent="0.25">
      <c r="G506" s="40"/>
      <c r="H506" s="40"/>
    </row>
    <row r="507" spans="7:8" x14ac:dyDescent="0.25">
      <c r="G507" s="40"/>
      <c r="H507" s="40"/>
    </row>
    <row r="508" spans="7:8" x14ac:dyDescent="0.25">
      <c r="G508" s="40"/>
      <c r="H508" s="40"/>
    </row>
    <row r="509" spans="7:8" x14ac:dyDescent="0.25">
      <c r="G509" s="40"/>
      <c r="H509" s="40"/>
    </row>
    <row r="510" spans="7:8" x14ac:dyDescent="0.25">
      <c r="G510" s="40"/>
      <c r="H510" s="40"/>
    </row>
    <row r="511" spans="7:8" x14ac:dyDescent="0.25">
      <c r="G511" s="40"/>
      <c r="H511" s="40"/>
    </row>
    <row r="512" spans="7:8" x14ac:dyDescent="0.25">
      <c r="G512" s="40"/>
      <c r="H512" s="40"/>
    </row>
    <row r="513" spans="7:8" x14ac:dyDescent="0.25">
      <c r="G513" s="40"/>
      <c r="H513" s="40"/>
    </row>
    <row r="514" spans="7:8" x14ac:dyDescent="0.25">
      <c r="G514" s="40"/>
      <c r="H514" s="40"/>
    </row>
    <row r="515" spans="7:8" x14ac:dyDescent="0.25">
      <c r="G515" s="40"/>
      <c r="H515" s="40"/>
    </row>
    <row r="516" spans="7:8" x14ac:dyDescent="0.25">
      <c r="G516" s="40"/>
      <c r="H516" s="40"/>
    </row>
    <row r="517" spans="7:8" x14ac:dyDescent="0.25">
      <c r="G517" s="40"/>
      <c r="H517" s="40"/>
    </row>
    <row r="518" spans="7:8" x14ac:dyDescent="0.25">
      <c r="G518" s="40"/>
      <c r="H518" s="40"/>
    </row>
    <row r="519" spans="7:8" x14ac:dyDescent="0.25">
      <c r="G519" s="40"/>
      <c r="H519" s="40"/>
    </row>
    <row r="520" spans="7:8" x14ac:dyDescent="0.25">
      <c r="G520" s="40"/>
      <c r="H520" s="40"/>
    </row>
    <row r="521" spans="7:8" x14ac:dyDescent="0.25">
      <c r="G521" s="40"/>
      <c r="H521" s="40"/>
    </row>
    <row r="522" spans="7:8" x14ac:dyDescent="0.25">
      <c r="G522" s="40"/>
      <c r="H522" s="40"/>
    </row>
    <row r="523" spans="7:8" x14ac:dyDescent="0.25">
      <c r="G523" s="40"/>
      <c r="H523" s="40"/>
    </row>
    <row r="524" spans="7:8" x14ac:dyDescent="0.25">
      <c r="G524" s="40"/>
      <c r="H524" s="40"/>
    </row>
    <row r="525" spans="7:8" x14ac:dyDescent="0.25">
      <c r="G525" s="40"/>
      <c r="H525" s="40"/>
    </row>
    <row r="526" spans="7:8" x14ac:dyDescent="0.25">
      <c r="G526" s="40"/>
      <c r="H526" s="40"/>
    </row>
    <row r="527" spans="7:8" x14ac:dyDescent="0.25">
      <c r="G527" s="40"/>
      <c r="H527" s="40"/>
    </row>
    <row r="528" spans="7:8" x14ac:dyDescent="0.25">
      <c r="G528" s="40"/>
      <c r="H528" s="40"/>
    </row>
    <row r="529" spans="7:8" x14ac:dyDescent="0.25">
      <c r="G529" s="40"/>
      <c r="H529" s="40"/>
    </row>
    <row r="530" spans="7:8" x14ac:dyDescent="0.25">
      <c r="G530" s="40"/>
      <c r="H530" s="40"/>
    </row>
    <row r="531" spans="7:8" x14ac:dyDescent="0.25">
      <c r="G531" s="40"/>
      <c r="H531" s="40"/>
    </row>
    <row r="532" spans="7:8" x14ac:dyDescent="0.25">
      <c r="G532" s="40"/>
      <c r="H532" s="40"/>
    </row>
    <row r="533" spans="7:8" x14ac:dyDescent="0.25">
      <c r="G533" s="40"/>
      <c r="H533" s="40"/>
    </row>
    <row r="534" spans="7:8" x14ac:dyDescent="0.25">
      <c r="G534" s="40"/>
      <c r="H534" s="40"/>
    </row>
    <row r="535" spans="7:8" x14ac:dyDescent="0.25">
      <c r="G535" s="40"/>
      <c r="H535" s="40"/>
    </row>
    <row r="536" spans="7:8" x14ac:dyDescent="0.25">
      <c r="G536" s="40"/>
      <c r="H536" s="40"/>
    </row>
    <row r="537" spans="7:8" x14ac:dyDescent="0.25">
      <c r="G537" s="40"/>
      <c r="H537" s="40"/>
    </row>
    <row r="538" spans="7:8" x14ac:dyDescent="0.25">
      <c r="G538" s="40"/>
      <c r="H538" s="40"/>
    </row>
    <row r="539" spans="7:8" x14ac:dyDescent="0.25">
      <c r="G539" s="40"/>
      <c r="H539" s="40"/>
    </row>
    <row r="540" spans="7:8" x14ac:dyDescent="0.25">
      <c r="G540" s="40"/>
      <c r="H540" s="40"/>
    </row>
    <row r="541" spans="7:8" x14ac:dyDescent="0.25">
      <c r="G541" s="40"/>
      <c r="H541" s="40"/>
    </row>
    <row r="542" spans="7:8" x14ac:dyDescent="0.25">
      <c r="G542" s="40"/>
      <c r="H542" s="40"/>
    </row>
    <row r="543" spans="7:8" x14ac:dyDescent="0.25">
      <c r="G543" s="40"/>
      <c r="H543" s="40"/>
    </row>
    <row r="544" spans="7:8" x14ac:dyDescent="0.25">
      <c r="G544" s="40"/>
      <c r="H544" s="40"/>
    </row>
    <row r="545" spans="7:8" x14ac:dyDescent="0.25">
      <c r="G545" s="40"/>
      <c r="H545" s="40"/>
    </row>
    <row r="546" spans="7:8" x14ac:dyDescent="0.25">
      <c r="G546" s="40"/>
      <c r="H546" s="40"/>
    </row>
    <row r="547" spans="7:8" x14ac:dyDescent="0.25">
      <c r="G547" s="40"/>
      <c r="H547" s="40"/>
    </row>
    <row r="548" spans="7:8" x14ac:dyDescent="0.25">
      <c r="G548" s="40"/>
      <c r="H548" s="40"/>
    </row>
    <row r="549" spans="7:8" x14ac:dyDescent="0.25">
      <c r="G549" s="40"/>
      <c r="H549" s="40"/>
    </row>
    <row r="550" spans="7:8" x14ac:dyDescent="0.25">
      <c r="G550" s="40"/>
      <c r="H550" s="40"/>
    </row>
    <row r="551" spans="7:8" x14ac:dyDescent="0.25">
      <c r="G551" s="40"/>
      <c r="H551" s="40"/>
    </row>
    <row r="552" spans="7:8" x14ac:dyDescent="0.25">
      <c r="G552" s="40"/>
      <c r="H552" s="40"/>
    </row>
    <row r="553" spans="7:8" x14ac:dyDescent="0.25">
      <c r="G553" s="40"/>
      <c r="H553" s="40"/>
    </row>
    <row r="554" spans="7:8" x14ac:dyDescent="0.25">
      <c r="G554" s="40"/>
      <c r="H554" s="40"/>
    </row>
    <row r="555" spans="7:8" x14ac:dyDescent="0.25">
      <c r="G555" s="40"/>
      <c r="H555" s="40"/>
    </row>
    <row r="556" spans="7:8" x14ac:dyDescent="0.25">
      <c r="G556" s="40"/>
      <c r="H556" s="40"/>
    </row>
    <row r="557" spans="7:8" x14ac:dyDescent="0.25">
      <c r="G557" s="40"/>
      <c r="H557" s="40"/>
    </row>
    <row r="558" spans="7:8" x14ac:dyDescent="0.25">
      <c r="G558" s="40"/>
      <c r="H558" s="40"/>
    </row>
    <row r="559" spans="7:8" x14ac:dyDescent="0.25">
      <c r="G559" s="40"/>
      <c r="H559" s="40"/>
    </row>
    <row r="560" spans="7:8" x14ac:dyDescent="0.25">
      <c r="G560" s="40"/>
      <c r="H560" s="40"/>
    </row>
    <row r="561" spans="7:8" x14ac:dyDescent="0.25">
      <c r="G561" s="40"/>
      <c r="H561" s="40"/>
    </row>
    <row r="562" spans="7:8" x14ac:dyDescent="0.25">
      <c r="G562" s="40"/>
      <c r="H562" s="40"/>
    </row>
    <row r="563" spans="7:8" x14ac:dyDescent="0.25">
      <c r="G563" s="40"/>
      <c r="H563" s="40"/>
    </row>
    <row r="564" spans="7:8" x14ac:dyDescent="0.25">
      <c r="G564" s="40"/>
      <c r="H564" s="40"/>
    </row>
    <row r="565" spans="7:8" x14ac:dyDescent="0.25">
      <c r="G565" s="40"/>
      <c r="H565" s="40"/>
    </row>
    <row r="566" spans="7:8" x14ac:dyDescent="0.25">
      <c r="G566" s="40"/>
      <c r="H566" s="40"/>
    </row>
    <row r="567" spans="7:8" x14ac:dyDescent="0.25">
      <c r="G567" s="40"/>
      <c r="H567" s="40"/>
    </row>
    <row r="568" spans="7:8" x14ac:dyDescent="0.25">
      <c r="G568" s="40"/>
      <c r="H568" s="40"/>
    </row>
    <row r="569" spans="7:8" x14ac:dyDescent="0.25">
      <c r="G569" s="40"/>
      <c r="H569" s="40"/>
    </row>
    <row r="570" spans="7:8" x14ac:dyDescent="0.25">
      <c r="G570" s="40"/>
      <c r="H570" s="40"/>
    </row>
    <row r="571" spans="7:8" x14ac:dyDescent="0.25">
      <c r="G571" s="40"/>
      <c r="H571" s="40"/>
    </row>
    <row r="572" spans="7:8" x14ac:dyDescent="0.25">
      <c r="G572" s="40"/>
      <c r="H572" s="40"/>
    </row>
    <row r="573" spans="7:8" x14ac:dyDescent="0.25">
      <c r="G573" s="40"/>
      <c r="H573" s="40"/>
    </row>
    <row r="574" spans="7:8" x14ac:dyDescent="0.25">
      <c r="G574" s="40"/>
      <c r="H574" s="40"/>
    </row>
    <row r="575" spans="7:8" x14ac:dyDescent="0.25">
      <c r="G575" s="40"/>
      <c r="H575" s="40"/>
    </row>
    <row r="576" spans="7:8" x14ac:dyDescent="0.25">
      <c r="G576" s="40"/>
      <c r="H576" s="40"/>
    </row>
    <row r="577" spans="7:8" x14ac:dyDescent="0.25">
      <c r="G577" s="40"/>
      <c r="H577" s="40"/>
    </row>
    <row r="578" spans="7:8" x14ac:dyDescent="0.25">
      <c r="G578" s="40"/>
      <c r="H578" s="40"/>
    </row>
    <row r="579" spans="7:8" x14ac:dyDescent="0.25">
      <c r="G579" s="40"/>
      <c r="H579" s="40"/>
    </row>
    <row r="580" spans="7:8" x14ac:dyDescent="0.25">
      <c r="G580" s="40"/>
      <c r="H580" s="40"/>
    </row>
    <row r="581" spans="7:8" x14ac:dyDescent="0.25">
      <c r="G581" s="40"/>
      <c r="H581" s="40"/>
    </row>
    <row r="582" spans="7:8" x14ac:dyDescent="0.25">
      <c r="G582" s="40"/>
      <c r="H582" s="40"/>
    </row>
    <row r="583" spans="7:8" x14ac:dyDescent="0.25">
      <c r="G583" s="40"/>
      <c r="H583" s="40"/>
    </row>
    <row r="584" spans="7:8" x14ac:dyDescent="0.25">
      <c r="G584" s="40"/>
      <c r="H584" s="40"/>
    </row>
    <row r="585" spans="7:8" x14ac:dyDescent="0.25">
      <c r="G585" s="40"/>
      <c r="H585" s="40"/>
    </row>
    <row r="586" spans="7:8" x14ac:dyDescent="0.25">
      <c r="G586" s="40"/>
      <c r="H586" s="40"/>
    </row>
    <row r="587" spans="7:8" x14ac:dyDescent="0.25">
      <c r="G587" s="40"/>
      <c r="H587" s="40"/>
    </row>
    <row r="588" spans="7:8" x14ac:dyDescent="0.25">
      <c r="G588" s="40"/>
      <c r="H588" s="40"/>
    </row>
    <row r="589" spans="7:8" x14ac:dyDescent="0.25">
      <c r="G589" s="40"/>
      <c r="H589" s="40"/>
    </row>
    <row r="590" spans="7:8" x14ac:dyDescent="0.25">
      <c r="G590" s="40"/>
      <c r="H590" s="40"/>
    </row>
    <row r="591" spans="7:8" x14ac:dyDescent="0.25">
      <c r="G591" s="40"/>
      <c r="H591" s="40"/>
    </row>
    <row r="592" spans="7:8" x14ac:dyDescent="0.25">
      <c r="G592" s="40"/>
      <c r="H592" s="40"/>
    </row>
    <row r="593" spans="7:8" x14ac:dyDescent="0.25">
      <c r="G593" s="40"/>
      <c r="H593" s="40"/>
    </row>
    <row r="594" spans="7:8" x14ac:dyDescent="0.25">
      <c r="G594" s="40"/>
      <c r="H594" s="40"/>
    </row>
    <row r="595" spans="7:8" x14ac:dyDescent="0.25">
      <c r="G595" s="40"/>
      <c r="H595" s="40"/>
    </row>
    <row r="596" spans="7:8" x14ac:dyDescent="0.25">
      <c r="G596" s="40"/>
      <c r="H596" s="40"/>
    </row>
    <row r="597" spans="7:8" x14ac:dyDescent="0.25">
      <c r="G597" s="40"/>
      <c r="H597" s="40"/>
    </row>
    <row r="598" spans="7:8" x14ac:dyDescent="0.25">
      <c r="G598" s="40"/>
      <c r="H598" s="40"/>
    </row>
    <row r="599" spans="7:8" x14ac:dyDescent="0.25">
      <c r="G599" s="40"/>
      <c r="H599" s="40"/>
    </row>
    <row r="600" spans="7:8" x14ac:dyDescent="0.25">
      <c r="G600" s="40"/>
      <c r="H600" s="40"/>
    </row>
    <row r="601" spans="7:8" x14ac:dyDescent="0.25">
      <c r="G601" s="40"/>
      <c r="H601" s="40"/>
    </row>
    <row r="602" spans="7:8" x14ac:dyDescent="0.25">
      <c r="G602" s="40"/>
      <c r="H602" s="40"/>
    </row>
    <row r="603" spans="7:8" x14ac:dyDescent="0.25">
      <c r="G603" s="40"/>
      <c r="H603" s="40"/>
    </row>
    <row r="604" spans="7:8" x14ac:dyDescent="0.25">
      <c r="G604" s="40"/>
      <c r="H604" s="40"/>
    </row>
    <row r="605" spans="7:8" x14ac:dyDescent="0.25">
      <c r="G605" s="40"/>
      <c r="H605" s="40"/>
    </row>
    <row r="606" spans="7:8" x14ac:dyDescent="0.25">
      <c r="G606" s="40"/>
      <c r="H606" s="40"/>
    </row>
    <row r="607" spans="7:8" x14ac:dyDescent="0.25">
      <c r="G607" s="40"/>
      <c r="H607" s="40"/>
    </row>
    <row r="608" spans="7:8" x14ac:dyDescent="0.25">
      <c r="G608" s="40"/>
      <c r="H608" s="40"/>
    </row>
    <row r="609" spans="7:8" x14ac:dyDescent="0.25">
      <c r="G609" s="40"/>
      <c r="H609" s="40"/>
    </row>
    <row r="610" spans="7:8" x14ac:dyDescent="0.25">
      <c r="G610" s="40"/>
      <c r="H610" s="40"/>
    </row>
    <row r="611" spans="7:8" x14ac:dyDescent="0.25">
      <c r="G611" s="40"/>
      <c r="H611" s="40"/>
    </row>
    <row r="612" spans="7:8" x14ac:dyDescent="0.25">
      <c r="G612" s="40"/>
      <c r="H612" s="40"/>
    </row>
    <row r="613" spans="7:8" x14ac:dyDescent="0.25">
      <c r="G613" s="40"/>
      <c r="H613" s="40"/>
    </row>
    <row r="614" spans="7:8" x14ac:dyDescent="0.25">
      <c r="G614" s="40"/>
      <c r="H614" s="40"/>
    </row>
    <row r="615" spans="7:8" x14ac:dyDescent="0.25">
      <c r="G615" s="40"/>
      <c r="H615" s="40"/>
    </row>
    <row r="616" spans="7:8" x14ac:dyDescent="0.25">
      <c r="G616" s="40"/>
      <c r="H616" s="40"/>
    </row>
    <row r="617" spans="7:8" x14ac:dyDescent="0.25">
      <c r="G617" s="40"/>
      <c r="H617" s="40"/>
    </row>
    <row r="618" spans="7:8" x14ac:dyDescent="0.25">
      <c r="G618" s="40"/>
      <c r="H618" s="40"/>
    </row>
    <row r="619" spans="7:8" x14ac:dyDescent="0.25">
      <c r="G619" s="40"/>
      <c r="H619" s="40"/>
    </row>
    <row r="620" spans="7:8" x14ac:dyDescent="0.25">
      <c r="G620" s="40"/>
      <c r="H620" s="40"/>
    </row>
    <row r="621" spans="7:8" x14ac:dyDescent="0.25">
      <c r="G621" s="40"/>
      <c r="H621" s="40"/>
    </row>
    <row r="622" spans="7:8" x14ac:dyDescent="0.25">
      <c r="G622" s="40"/>
      <c r="H622" s="40"/>
    </row>
    <row r="623" spans="7:8" x14ac:dyDescent="0.25">
      <c r="G623" s="40"/>
      <c r="H623" s="40"/>
    </row>
    <row r="624" spans="7:8" x14ac:dyDescent="0.25">
      <c r="G624" s="40"/>
      <c r="H624" s="40"/>
    </row>
    <row r="625" spans="7:8" x14ac:dyDescent="0.25">
      <c r="G625" s="40"/>
      <c r="H625" s="40"/>
    </row>
    <row r="626" spans="7:8" x14ac:dyDescent="0.25">
      <c r="G626" s="40"/>
      <c r="H626" s="40"/>
    </row>
    <row r="627" spans="7:8" x14ac:dyDescent="0.25">
      <c r="G627" s="40"/>
      <c r="H627" s="40"/>
    </row>
    <row r="628" spans="7:8" x14ac:dyDescent="0.25">
      <c r="G628" s="40"/>
      <c r="H628" s="40"/>
    </row>
    <row r="629" spans="7:8" x14ac:dyDescent="0.25">
      <c r="G629" s="40"/>
      <c r="H629" s="40"/>
    </row>
    <row r="630" spans="7:8" x14ac:dyDescent="0.25">
      <c r="G630" s="40"/>
      <c r="H630" s="40"/>
    </row>
    <row r="631" spans="7:8" x14ac:dyDescent="0.25">
      <c r="G631" s="40"/>
      <c r="H631" s="40"/>
    </row>
    <row r="632" spans="7:8" x14ac:dyDescent="0.25">
      <c r="G632" s="40"/>
      <c r="H632" s="40"/>
    </row>
    <row r="633" spans="7:8" x14ac:dyDescent="0.25">
      <c r="G633" s="40"/>
      <c r="H633" s="40"/>
    </row>
    <row r="634" spans="7:8" x14ac:dyDescent="0.25">
      <c r="G634" s="40"/>
      <c r="H634" s="40"/>
    </row>
    <row r="635" spans="7:8" x14ac:dyDescent="0.25">
      <c r="G635" s="40"/>
      <c r="H635" s="40"/>
    </row>
    <row r="636" spans="7:8" x14ac:dyDescent="0.25">
      <c r="G636" s="40"/>
      <c r="H636" s="40"/>
    </row>
    <row r="637" spans="7:8" x14ac:dyDescent="0.25">
      <c r="G637" s="40"/>
      <c r="H637" s="40"/>
    </row>
    <row r="638" spans="7:8" x14ac:dyDescent="0.25">
      <c r="G638" s="40"/>
      <c r="H638" s="40"/>
    </row>
    <row r="639" spans="7:8" x14ac:dyDescent="0.25">
      <c r="G639" s="40"/>
      <c r="H639" s="40"/>
    </row>
    <row r="640" spans="7:8" x14ac:dyDescent="0.25">
      <c r="G640" s="40"/>
      <c r="H640" s="40"/>
    </row>
    <row r="641" spans="7:8" x14ac:dyDescent="0.25">
      <c r="G641" s="40"/>
      <c r="H641" s="40"/>
    </row>
    <row r="642" spans="7:8" x14ac:dyDescent="0.25">
      <c r="G642" s="40"/>
      <c r="H642" s="40"/>
    </row>
    <row r="643" spans="7:8" x14ac:dyDescent="0.25">
      <c r="G643" s="40"/>
      <c r="H643" s="40"/>
    </row>
    <row r="644" spans="7:8" x14ac:dyDescent="0.25">
      <c r="G644" s="40"/>
      <c r="H644" s="40"/>
    </row>
    <row r="645" spans="7:8" x14ac:dyDescent="0.25">
      <c r="G645" s="40"/>
      <c r="H645" s="40"/>
    </row>
    <row r="646" spans="7:8" x14ac:dyDescent="0.25">
      <c r="G646" s="40"/>
      <c r="H646" s="40"/>
    </row>
    <row r="647" spans="7:8" x14ac:dyDescent="0.25">
      <c r="G647" s="40"/>
      <c r="H647" s="40"/>
    </row>
    <row r="648" spans="7:8" x14ac:dyDescent="0.25">
      <c r="G648" s="40"/>
      <c r="H648" s="40"/>
    </row>
    <row r="649" spans="7:8" x14ac:dyDescent="0.25">
      <c r="G649" s="40"/>
      <c r="H649" s="40"/>
    </row>
    <row r="650" spans="7:8" x14ac:dyDescent="0.25">
      <c r="G650" s="40"/>
      <c r="H650" s="40"/>
    </row>
    <row r="651" spans="7:8" x14ac:dyDescent="0.25">
      <c r="G651" s="40"/>
      <c r="H651" s="40"/>
    </row>
    <row r="652" spans="7:8" x14ac:dyDescent="0.25">
      <c r="G652" s="40"/>
      <c r="H652" s="40"/>
    </row>
    <row r="653" spans="7:8" x14ac:dyDescent="0.25">
      <c r="G653" s="40"/>
      <c r="H653" s="40"/>
    </row>
    <row r="654" spans="7:8" x14ac:dyDescent="0.25">
      <c r="G654" s="40"/>
      <c r="H654" s="40"/>
    </row>
    <row r="655" spans="7:8" x14ac:dyDescent="0.25">
      <c r="G655" s="40"/>
      <c r="H655" s="40"/>
    </row>
    <row r="656" spans="7:8" x14ac:dyDescent="0.25">
      <c r="G656" s="40"/>
      <c r="H656" s="40"/>
    </row>
    <row r="657" spans="7:8" x14ac:dyDescent="0.25">
      <c r="G657" s="40"/>
      <c r="H657" s="40"/>
    </row>
    <row r="658" spans="7:8" x14ac:dyDescent="0.25">
      <c r="G658" s="40"/>
      <c r="H658" s="40"/>
    </row>
    <row r="659" spans="7:8" x14ac:dyDescent="0.25">
      <c r="G659" s="40"/>
      <c r="H659" s="40"/>
    </row>
    <row r="660" spans="7:8" x14ac:dyDescent="0.25">
      <c r="G660" s="40"/>
      <c r="H660" s="40"/>
    </row>
    <row r="661" spans="7:8" x14ac:dyDescent="0.25">
      <c r="G661" s="40"/>
      <c r="H661" s="40"/>
    </row>
    <row r="662" spans="7:8" x14ac:dyDescent="0.25">
      <c r="G662" s="40"/>
      <c r="H662" s="40"/>
    </row>
    <row r="663" spans="7:8" x14ac:dyDescent="0.25">
      <c r="G663" s="40"/>
      <c r="H663" s="40"/>
    </row>
    <row r="664" spans="7:8" x14ac:dyDescent="0.25">
      <c r="G664" s="40"/>
      <c r="H664" s="40"/>
    </row>
    <row r="665" spans="7:8" x14ac:dyDescent="0.25">
      <c r="G665" s="40"/>
      <c r="H665" s="40"/>
    </row>
    <row r="666" spans="7:8" x14ac:dyDescent="0.25">
      <c r="G666" s="40"/>
      <c r="H666" s="40"/>
    </row>
    <row r="667" spans="7:8" x14ac:dyDescent="0.25">
      <c r="G667" s="40"/>
      <c r="H667" s="40"/>
    </row>
    <row r="668" spans="7:8" x14ac:dyDescent="0.25">
      <c r="G668" s="40"/>
      <c r="H668" s="40"/>
    </row>
    <row r="669" spans="7:8" x14ac:dyDescent="0.25">
      <c r="G669" s="40"/>
      <c r="H669" s="40"/>
    </row>
    <row r="670" spans="7:8" x14ac:dyDescent="0.25">
      <c r="G670" s="40"/>
      <c r="H670" s="40"/>
    </row>
    <row r="671" spans="7:8" x14ac:dyDescent="0.25">
      <c r="G671" s="40"/>
      <c r="H671" s="40"/>
    </row>
    <row r="672" spans="7:8" x14ac:dyDescent="0.25">
      <c r="G672" s="40"/>
      <c r="H672" s="40"/>
    </row>
    <row r="673" spans="7:8" x14ac:dyDescent="0.25">
      <c r="G673" s="40"/>
      <c r="H673" s="40"/>
    </row>
    <row r="674" spans="7:8" x14ac:dyDescent="0.25">
      <c r="G674" s="40"/>
      <c r="H674" s="40"/>
    </row>
    <row r="675" spans="7:8" x14ac:dyDescent="0.25">
      <c r="G675" s="40"/>
      <c r="H675" s="40"/>
    </row>
    <row r="676" spans="7:8" x14ac:dyDescent="0.25">
      <c r="G676" s="40"/>
      <c r="H676" s="40"/>
    </row>
    <row r="677" spans="7:8" x14ac:dyDescent="0.25">
      <c r="G677" s="40"/>
      <c r="H677" s="40"/>
    </row>
    <row r="678" spans="7:8" x14ac:dyDescent="0.25">
      <c r="G678" s="40"/>
      <c r="H678" s="40"/>
    </row>
    <row r="679" spans="7:8" x14ac:dyDescent="0.25">
      <c r="G679" s="40"/>
      <c r="H679" s="40"/>
    </row>
    <row r="680" spans="7:8" x14ac:dyDescent="0.25">
      <c r="G680" s="40"/>
      <c r="H680" s="40"/>
    </row>
    <row r="681" spans="7:8" x14ac:dyDescent="0.25">
      <c r="G681" s="40"/>
      <c r="H681" s="40"/>
    </row>
    <row r="682" spans="7:8" x14ac:dyDescent="0.25">
      <c r="G682" s="40"/>
      <c r="H682" s="40"/>
    </row>
    <row r="683" spans="7:8" x14ac:dyDescent="0.25">
      <c r="G683" s="40"/>
      <c r="H683" s="40"/>
    </row>
    <row r="684" spans="7:8" x14ac:dyDescent="0.25">
      <c r="G684" s="40"/>
      <c r="H684" s="40"/>
    </row>
    <row r="685" spans="7:8" x14ac:dyDescent="0.25">
      <c r="G685" s="40"/>
      <c r="H685" s="40"/>
    </row>
    <row r="686" spans="7:8" x14ac:dyDescent="0.25">
      <c r="G686" s="40"/>
      <c r="H686" s="40"/>
    </row>
    <row r="687" spans="7:8" x14ac:dyDescent="0.25">
      <c r="G687" s="40"/>
      <c r="H687" s="40"/>
    </row>
    <row r="688" spans="7:8" x14ac:dyDescent="0.25">
      <c r="G688" s="40"/>
      <c r="H688" s="40"/>
    </row>
    <row r="689" spans="7:8" x14ac:dyDescent="0.25">
      <c r="G689" s="40"/>
      <c r="H689" s="40"/>
    </row>
    <row r="690" spans="7:8" x14ac:dyDescent="0.25">
      <c r="G690" s="40"/>
      <c r="H690" s="40"/>
    </row>
    <row r="691" spans="7:8" x14ac:dyDescent="0.25">
      <c r="G691" s="40"/>
      <c r="H691" s="40"/>
    </row>
    <row r="692" spans="7:8" x14ac:dyDescent="0.25">
      <c r="G692" s="40"/>
      <c r="H692" s="40"/>
    </row>
    <row r="693" spans="7:8" x14ac:dyDescent="0.25">
      <c r="G693" s="40"/>
      <c r="H693" s="40"/>
    </row>
    <row r="694" spans="7:8" x14ac:dyDescent="0.25">
      <c r="G694" s="40"/>
      <c r="H694" s="40"/>
    </row>
    <row r="695" spans="7:8" x14ac:dyDescent="0.25">
      <c r="G695" s="40"/>
      <c r="H695" s="40"/>
    </row>
    <row r="696" spans="7:8" x14ac:dyDescent="0.25">
      <c r="G696" s="40"/>
      <c r="H696" s="40"/>
    </row>
    <row r="697" spans="7:8" x14ac:dyDescent="0.25">
      <c r="G697" s="40"/>
      <c r="H697" s="40"/>
    </row>
    <row r="698" spans="7:8" x14ac:dyDescent="0.25">
      <c r="G698" s="40"/>
      <c r="H698" s="40"/>
    </row>
    <row r="699" spans="7:8" x14ac:dyDescent="0.25">
      <c r="G699" s="40"/>
      <c r="H699" s="40"/>
    </row>
    <row r="700" spans="7:8" x14ac:dyDescent="0.25">
      <c r="G700" s="40"/>
      <c r="H700" s="40"/>
    </row>
    <row r="701" spans="7:8" x14ac:dyDescent="0.25">
      <c r="G701" s="40"/>
      <c r="H701" s="40"/>
    </row>
    <row r="702" spans="7:8" x14ac:dyDescent="0.25">
      <c r="G702" s="40"/>
      <c r="H702" s="40"/>
    </row>
    <row r="703" spans="7:8" x14ac:dyDescent="0.25">
      <c r="G703" s="40"/>
      <c r="H703" s="40"/>
    </row>
    <row r="704" spans="7:8" x14ac:dyDescent="0.25">
      <c r="G704" s="40"/>
      <c r="H704" s="40"/>
    </row>
    <row r="705" spans="7:8" x14ac:dyDescent="0.25">
      <c r="G705" s="40"/>
      <c r="H705" s="40"/>
    </row>
    <row r="706" spans="7:8" x14ac:dyDescent="0.25">
      <c r="G706" s="40"/>
      <c r="H706" s="40"/>
    </row>
    <row r="707" spans="7:8" x14ac:dyDescent="0.25">
      <c r="G707" s="40"/>
      <c r="H707" s="40"/>
    </row>
    <row r="708" spans="7:8" x14ac:dyDescent="0.25">
      <c r="G708" s="40"/>
      <c r="H708" s="40"/>
    </row>
    <row r="709" spans="7:8" x14ac:dyDescent="0.25">
      <c r="G709" s="40"/>
      <c r="H709" s="40"/>
    </row>
    <row r="710" spans="7:8" x14ac:dyDescent="0.25">
      <c r="G710" s="40"/>
      <c r="H710" s="40"/>
    </row>
    <row r="711" spans="7:8" x14ac:dyDescent="0.25">
      <c r="G711" s="40"/>
      <c r="H711" s="40"/>
    </row>
    <row r="712" spans="7:8" x14ac:dyDescent="0.25">
      <c r="G712" s="40"/>
      <c r="H712" s="40"/>
    </row>
    <row r="713" spans="7:8" x14ac:dyDescent="0.25">
      <c r="G713" s="40"/>
      <c r="H713" s="40"/>
    </row>
    <row r="714" spans="7:8" x14ac:dyDescent="0.25">
      <c r="G714" s="40"/>
      <c r="H714" s="40"/>
    </row>
    <row r="715" spans="7:8" x14ac:dyDescent="0.25">
      <c r="G715" s="40"/>
      <c r="H715" s="40"/>
    </row>
    <row r="716" spans="7:8" x14ac:dyDescent="0.25">
      <c r="G716" s="40"/>
      <c r="H716" s="40"/>
    </row>
    <row r="717" spans="7:8" x14ac:dyDescent="0.25">
      <c r="G717" s="40"/>
      <c r="H717" s="40"/>
    </row>
    <row r="718" spans="7:8" x14ac:dyDescent="0.25">
      <c r="G718" s="40"/>
      <c r="H718" s="40"/>
    </row>
    <row r="719" spans="7:8" x14ac:dyDescent="0.25">
      <c r="G719" s="40"/>
      <c r="H719" s="40"/>
    </row>
    <row r="720" spans="7:8" x14ac:dyDescent="0.25">
      <c r="G720" s="40"/>
      <c r="H720" s="40"/>
    </row>
    <row r="721" spans="7:8" x14ac:dyDescent="0.25">
      <c r="G721" s="40"/>
      <c r="H721" s="40"/>
    </row>
    <row r="722" spans="7:8" x14ac:dyDescent="0.25">
      <c r="G722" s="40"/>
      <c r="H722" s="40"/>
    </row>
    <row r="723" spans="7:8" x14ac:dyDescent="0.25">
      <c r="G723" s="40"/>
      <c r="H723" s="40"/>
    </row>
    <row r="724" spans="7:8" x14ac:dyDescent="0.25">
      <c r="G724" s="40"/>
      <c r="H724" s="40"/>
    </row>
    <row r="725" spans="7:8" x14ac:dyDescent="0.25">
      <c r="G725" s="40"/>
      <c r="H725" s="40"/>
    </row>
    <row r="726" spans="7:8" x14ac:dyDescent="0.25">
      <c r="G726" s="40"/>
      <c r="H726" s="40"/>
    </row>
    <row r="727" spans="7:8" x14ac:dyDescent="0.25">
      <c r="G727" s="40"/>
      <c r="H727" s="40"/>
    </row>
    <row r="728" spans="7:8" x14ac:dyDescent="0.25">
      <c r="G728" s="40"/>
      <c r="H728" s="40"/>
    </row>
    <row r="729" spans="7:8" x14ac:dyDescent="0.25">
      <c r="G729" s="40"/>
      <c r="H729" s="40"/>
    </row>
    <row r="730" spans="7:8" x14ac:dyDescent="0.25">
      <c r="G730" s="40"/>
      <c r="H730" s="40"/>
    </row>
    <row r="731" spans="7:8" x14ac:dyDescent="0.25">
      <c r="G731" s="40"/>
      <c r="H731" s="40"/>
    </row>
    <row r="732" spans="7:8" x14ac:dyDescent="0.25">
      <c r="G732" s="40"/>
      <c r="H732" s="40"/>
    </row>
    <row r="733" spans="7:8" x14ac:dyDescent="0.25">
      <c r="G733" s="40"/>
      <c r="H733" s="40"/>
    </row>
    <row r="734" spans="7:8" x14ac:dyDescent="0.25">
      <c r="G734" s="40"/>
      <c r="H734" s="40"/>
    </row>
    <row r="735" spans="7:8" x14ac:dyDescent="0.25">
      <c r="G735" s="40"/>
      <c r="H735" s="40"/>
    </row>
    <row r="736" spans="7:8" x14ac:dyDescent="0.25">
      <c r="G736" s="40"/>
      <c r="H736" s="40"/>
    </row>
    <row r="737" spans="7:8" x14ac:dyDescent="0.25">
      <c r="G737" s="40"/>
      <c r="H737" s="40"/>
    </row>
    <row r="738" spans="7:8" x14ac:dyDescent="0.25">
      <c r="G738" s="40"/>
      <c r="H738" s="40"/>
    </row>
    <row r="739" spans="7:8" x14ac:dyDescent="0.25">
      <c r="G739" s="40"/>
      <c r="H739" s="40"/>
    </row>
    <row r="740" spans="7:8" x14ac:dyDescent="0.25">
      <c r="G740" s="40"/>
      <c r="H740" s="40"/>
    </row>
    <row r="741" spans="7:8" x14ac:dyDescent="0.25">
      <c r="G741" s="40"/>
      <c r="H741" s="40"/>
    </row>
    <row r="742" spans="7:8" x14ac:dyDescent="0.25">
      <c r="G742" s="40"/>
      <c r="H742" s="40"/>
    </row>
    <row r="743" spans="7:8" x14ac:dyDescent="0.25">
      <c r="G743" s="40"/>
      <c r="H743" s="40"/>
    </row>
    <row r="744" spans="7:8" x14ac:dyDescent="0.25">
      <c r="G744" s="40"/>
      <c r="H744" s="40"/>
    </row>
    <row r="745" spans="7:8" x14ac:dyDescent="0.25">
      <c r="G745" s="40"/>
      <c r="H745" s="40"/>
    </row>
    <row r="746" spans="7:8" x14ac:dyDescent="0.25">
      <c r="G746" s="40"/>
      <c r="H746" s="40"/>
    </row>
    <row r="747" spans="7:8" x14ac:dyDescent="0.25">
      <c r="G747" s="40"/>
      <c r="H747" s="40"/>
    </row>
    <row r="748" spans="7:8" x14ac:dyDescent="0.25">
      <c r="G748" s="40"/>
      <c r="H748" s="40"/>
    </row>
    <row r="749" spans="7:8" x14ac:dyDescent="0.25">
      <c r="G749" s="40"/>
      <c r="H749" s="40"/>
    </row>
    <row r="750" spans="7:8" x14ac:dyDescent="0.25">
      <c r="G750" s="40"/>
      <c r="H750" s="40"/>
    </row>
    <row r="751" spans="7:8" x14ac:dyDescent="0.25">
      <c r="G751" s="40"/>
      <c r="H751" s="40"/>
    </row>
    <row r="752" spans="7:8" x14ac:dyDescent="0.25">
      <c r="G752" s="40"/>
      <c r="H752" s="40"/>
    </row>
    <row r="753" spans="7:8" x14ac:dyDescent="0.25">
      <c r="G753" s="40"/>
      <c r="H753" s="40"/>
    </row>
    <row r="754" spans="7:8" x14ac:dyDescent="0.25">
      <c r="G754" s="40"/>
      <c r="H754" s="40"/>
    </row>
    <row r="755" spans="7:8" x14ac:dyDescent="0.25">
      <c r="G755" s="40"/>
      <c r="H755" s="40"/>
    </row>
    <row r="756" spans="7:8" x14ac:dyDescent="0.25">
      <c r="G756" s="40"/>
      <c r="H756" s="40"/>
    </row>
    <row r="757" spans="7:8" x14ac:dyDescent="0.25">
      <c r="G757" s="40"/>
      <c r="H757" s="40"/>
    </row>
    <row r="758" spans="7:8" x14ac:dyDescent="0.25">
      <c r="G758" s="40"/>
      <c r="H758" s="40"/>
    </row>
    <row r="759" spans="7:8" x14ac:dyDescent="0.25">
      <c r="G759" s="40"/>
      <c r="H759" s="40"/>
    </row>
    <row r="760" spans="7:8" x14ac:dyDescent="0.25">
      <c r="G760" s="40"/>
      <c r="H760" s="40"/>
    </row>
    <row r="761" spans="7:8" x14ac:dyDescent="0.25">
      <c r="G761" s="40"/>
      <c r="H761" s="40"/>
    </row>
    <row r="762" spans="7:8" x14ac:dyDescent="0.25">
      <c r="G762" s="40"/>
      <c r="H762" s="40"/>
    </row>
    <row r="763" spans="7:8" x14ac:dyDescent="0.25">
      <c r="G763" s="40"/>
      <c r="H763" s="40"/>
    </row>
    <row r="764" spans="7:8" x14ac:dyDescent="0.25">
      <c r="G764" s="40"/>
      <c r="H764" s="40"/>
    </row>
    <row r="765" spans="7:8" x14ac:dyDescent="0.25">
      <c r="G765" s="40"/>
      <c r="H765" s="40"/>
    </row>
    <row r="766" spans="7:8" x14ac:dyDescent="0.25">
      <c r="G766" s="40"/>
      <c r="H766" s="40"/>
    </row>
    <row r="767" spans="7:8" x14ac:dyDescent="0.25">
      <c r="G767" s="40"/>
      <c r="H767" s="40"/>
    </row>
    <row r="768" spans="7:8" x14ac:dyDescent="0.25">
      <c r="G768" s="40"/>
      <c r="H768" s="40"/>
    </row>
    <row r="769" spans="7:8" x14ac:dyDescent="0.25">
      <c r="G769" s="40"/>
      <c r="H769" s="40"/>
    </row>
    <row r="770" spans="7:8" x14ac:dyDescent="0.25">
      <c r="G770" s="40"/>
      <c r="H770" s="40"/>
    </row>
    <row r="771" spans="7:8" x14ac:dyDescent="0.25">
      <c r="G771" s="40"/>
      <c r="H771" s="40"/>
    </row>
    <row r="772" spans="7:8" x14ac:dyDescent="0.25">
      <c r="G772" s="40"/>
      <c r="H772" s="40"/>
    </row>
    <row r="773" spans="7:8" x14ac:dyDescent="0.25">
      <c r="G773" s="40"/>
      <c r="H773" s="40"/>
    </row>
    <row r="774" spans="7:8" x14ac:dyDescent="0.25">
      <c r="G774" s="40"/>
      <c r="H774" s="40"/>
    </row>
    <row r="775" spans="7:8" x14ac:dyDescent="0.25">
      <c r="G775" s="40"/>
      <c r="H775" s="40"/>
    </row>
    <row r="776" spans="7:8" x14ac:dyDescent="0.25">
      <c r="G776" s="40"/>
      <c r="H776" s="40"/>
    </row>
    <row r="777" spans="7:8" x14ac:dyDescent="0.25">
      <c r="G777" s="40"/>
      <c r="H777" s="40"/>
    </row>
    <row r="778" spans="7:8" x14ac:dyDescent="0.25">
      <c r="G778" s="40"/>
      <c r="H778" s="40"/>
    </row>
    <row r="779" spans="7:8" x14ac:dyDescent="0.25">
      <c r="G779" s="40"/>
      <c r="H779" s="40"/>
    </row>
    <row r="780" spans="7:8" x14ac:dyDescent="0.25">
      <c r="G780" s="40"/>
      <c r="H780" s="40"/>
    </row>
    <row r="781" spans="7:8" x14ac:dyDescent="0.25">
      <c r="G781" s="40"/>
      <c r="H781" s="40"/>
    </row>
    <row r="782" spans="7:8" x14ac:dyDescent="0.25">
      <c r="G782" s="40"/>
      <c r="H782" s="40"/>
    </row>
    <row r="783" spans="7:8" x14ac:dyDescent="0.25">
      <c r="G783" s="40"/>
      <c r="H783" s="40"/>
    </row>
    <row r="784" spans="7:8" x14ac:dyDescent="0.25">
      <c r="G784" s="40"/>
      <c r="H784" s="40"/>
    </row>
    <row r="785" spans="7:8" x14ac:dyDescent="0.25">
      <c r="G785" s="40"/>
      <c r="H785" s="40"/>
    </row>
    <row r="786" spans="7:8" x14ac:dyDescent="0.25">
      <c r="G786" s="40"/>
      <c r="H786" s="40"/>
    </row>
    <row r="787" spans="7:8" x14ac:dyDescent="0.25">
      <c r="G787" s="40"/>
      <c r="H787" s="40"/>
    </row>
    <row r="788" spans="7:8" x14ac:dyDescent="0.25">
      <c r="G788" s="40"/>
      <c r="H788" s="40"/>
    </row>
    <row r="789" spans="7:8" x14ac:dyDescent="0.25">
      <c r="G789" s="40"/>
      <c r="H789" s="40"/>
    </row>
    <row r="790" spans="7:8" x14ac:dyDescent="0.25">
      <c r="G790" s="40"/>
      <c r="H790" s="40"/>
    </row>
    <row r="791" spans="7:8" x14ac:dyDescent="0.25">
      <c r="G791" s="40"/>
      <c r="H791" s="40"/>
    </row>
    <row r="792" spans="7:8" x14ac:dyDescent="0.25">
      <c r="G792" s="40"/>
      <c r="H792" s="40"/>
    </row>
    <row r="793" spans="7:8" x14ac:dyDescent="0.25">
      <c r="G793" s="40"/>
      <c r="H793" s="40"/>
    </row>
    <row r="794" spans="7:8" x14ac:dyDescent="0.25">
      <c r="G794" s="40"/>
      <c r="H794" s="40"/>
    </row>
    <row r="795" spans="7:8" x14ac:dyDescent="0.25">
      <c r="G795" s="40"/>
      <c r="H795" s="40"/>
    </row>
    <row r="796" spans="7:8" x14ac:dyDescent="0.25">
      <c r="G796" s="40"/>
      <c r="H796" s="40"/>
    </row>
    <row r="797" spans="7:8" x14ac:dyDescent="0.25">
      <c r="G797" s="40"/>
      <c r="H797" s="40"/>
    </row>
    <row r="798" spans="7:8" x14ac:dyDescent="0.25">
      <c r="G798" s="40"/>
      <c r="H798" s="40"/>
    </row>
    <row r="799" spans="7:8" x14ac:dyDescent="0.25">
      <c r="G799" s="40"/>
      <c r="H799" s="40"/>
    </row>
    <row r="800" spans="7:8" x14ac:dyDescent="0.25">
      <c r="G800" s="40"/>
      <c r="H800" s="40"/>
    </row>
    <row r="801" spans="7:8" x14ac:dyDescent="0.25">
      <c r="G801" s="40"/>
      <c r="H801" s="40"/>
    </row>
    <row r="802" spans="7:8" x14ac:dyDescent="0.25">
      <c r="G802" s="40"/>
      <c r="H802" s="40"/>
    </row>
    <row r="803" spans="7:8" x14ac:dyDescent="0.25">
      <c r="G803" s="40"/>
      <c r="H803" s="40"/>
    </row>
    <row r="804" spans="7:8" x14ac:dyDescent="0.25">
      <c r="G804" s="40"/>
      <c r="H804" s="40"/>
    </row>
    <row r="805" spans="7:8" x14ac:dyDescent="0.25">
      <c r="G805" s="40"/>
      <c r="H805" s="40"/>
    </row>
    <row r="806" spans="7:8" x14ac:dyDescent="0.25">
      <c r="G806" s="40"/>
      <c r="H806" s="40"/>
    </row>
    <row r="807" spans="7:8" x14ac:dyDescent="0.25">
      <c r="G807" s="40"/>
      <c r="H807" s="40"/>
    </row>
    <row r="808" spans="7:8" x14ac:dyDescent="0.25">
      <c r="G808" s="40"/>
      <c r="H808" s="40"/>
    </row>
    <row r="809" spans="7:8" x14ac:dyDescent="0.25">
      <c r="G809" s="40"/>
      <c r="H809" s="40"/>
    </row>
    <row r="810" spans="7:8" x14ac:dyDescent="0.25">
      <c r="G810" s="40"/>
      <c r="H810" s="40"/>
    </row>
    <row r="811" spans="7:8" x14ac:dyDescent="0.25">
      <c r="G811" s="40"/>
      <c r="H811" s="40"/>
    </row>
    <row r="812" spans="7:8" x14ac:dyDescent="0.25">
      <c r="G812" s="40"/>
      <c r="H812" s="40"/>
    </row>
    <row r="813" spans="7:8" x14ac:dyDescent="0.25">
      <c r="G813" s="40"/>
      <c r="H813" s="40"/>
    </row>
    <row r="814" spans="7:8" x14ac:dyDescent="0.25">
      <c r="G814" s="40"/>
      <c r="H814" s="40"/>
    </row>
    <row r="815" spans="7:8" x14ac:dyDescent="0.25">
      <c r="G815" s="40"/>
      <c r="H815" s="40"/>
    </row>
    <row r="816" spans="7:8" x14ac:dyDescent="0.25">
      <c r="G816" s="40"/>
      <c r="H816" s="40"/>
    </row>
    <row r="817" spans="7:8" x14ac:dyDescent="0.25">
      <c r="G817" s="40"/>
      <c r="H817" s="40"/>
    </row>
    <row r="818" spans="7:8" x14ac:dyDescent="0.25">
      <c r="G818" s="40"/>
      <c r="H818" s="40"/>
    </row>
    <row r="819" spans="7:8" x14ac:dyDescent="0.25">
      <c r="G819" s="40"/>
      <c r="H819" s="40"/>
    </row>
    <row r="820" spans="7:8" x14ac:dyDescent="0.25">
      <c r="G820" s="40"/>
      <c r="H820" s="40"/>
    </row>
    <row r="821" spans="7:8" x14ac:dyDescent="0.25">
      <c r="G821" s="40"/>
      <c r="H821" s="40"/>
    </row>
    <row r="822" spans="7:8" x14ac:dyDescent="0.25">
      <c r="G822" s="40"/>
      <c r="H822" s="40"/>
    </row>
    <row r="823" spans="7:8" x14ac:dyDescent="0.25">
      <c r="G823" s="40"/>
      <c r="H823" s="40"/>
    </row>
    <row r="824" spans="7:8" x14ac:dyDescent="0.25">
      <c r="G824" s="40"/>
      <c r="H824" s="40"/>
    </row>
    <row r="825" spans="7:8" x14ac:dyDescent="0.25">
      <c r="G825" s="40"/>
      <c r="H825" s="40"/>
    </row>
    <row r="826" spans="7:8" x14ac:dyDescent="0.25">
      <c r="G826" s="40"/>
      <c r="H826" s="40"/>
    </row>
    <row r="827" spans="7:8" x14ac:dyDescent="0.25">
      <c r="G827" s="40"/>
      <c r="H827" s="40"/>
    </row>
    <row r="828" spans="7:8" x14ac:dyDescent="0.25">
      <c r="G828" s="40"/>
      <c r="H828" s="40"/>
    </row>
    <row r="829" spans="7:8" x14ac:dyDescent="0.25">
      <c r="G829" s="40"/>
      <c r="H829" s="40"/>
    </row>
    <row r="830" spans="7:8" x14ac:dyDescent="0.25">
      <c r="G830" s="40"/>
      <c r="H830" s="40"/>
    </row>
    <row r="831" spans="7:8" x14ac:dyDescent="0.25">
      <c r="G831" s="40"/>
      <c r="H831" s="40"/>
    </row>
    <row r="832" spans="7:8" x14ac:dyDescent="0.25">
      <c r="G832" s="40"/>
      <c r="H832" s="40"/>
    </row>
    <row r="833" spans="7:8" x14ac:dyDescent="0.25">
      <c r="G833" s="40"/>
      <c r="H833" s="40"/>
    </row>
    <row r="834" spans="7:8" x14ac:dyDescent="0.25">
      <c r="G834" s="40"/>
      <c r="H834" s="40"/>
    </row>
    <row r="835" spans="7:8" x14ac:dyDescent="0.25">
      <c r="G835" s="40"/>
      <c r="H835" s="40"/>
    </row>
    <row r="836" spans="7:8" x14ac:dyDescent="0.25">
      <c r="G836" s="40"/>
      <c r="H836" s="40"/>
    </row>
    <row r="837" spans="7:8" x14ac:dyDescent="0.25">
      <c r="G837" s="40"/>
      <c r="H837" s="40"/>
    </row>
    <row r="838" spans="7:8" x14ac:dyDescent="0.25">
      <c r="G838" s="40"/>
      <c r="H838" s="40"/>
    </row>
    <row r="839" spans="7:8" x14ac:dyDescent="0.25">
      <c r="G839" s="40"/>
      <c r="H839" s="40"/>
    </row>
    <row r="840" spans="7:8" x14ac:dyDescent="0.25">
      <c r="G840" s="40"/>
      <c r="H840" s="40"/>
    </row>
    <row r="841" spans="7:8" x14ac:dyDescent="0.25">
      <c r="G841" s="40"/>
      <c r="H841" s="40"/>
    </row>
    <row r="842" spans="7:8" x14ac:dyDescent="0.25">
      <c r="G842" s="40"/>
      <c r="H842" s="40"/>
    </row>
    <row r="843" spans="7:8" x14ac:dyDescent="0.25">
      <c r="G843" s="40"/>
      <c r="H843" s="40"/>
    </row>
    <row r="844" spans="7:8" x14ac:dyDescent="0.25">
      <c r="G844" s="40"/>
      <c r="H844" s="40"/>
    </row>
    <row r="845" spans="7:8" x14ac:dyDescent="0.25">
      <c r="G845" s="40"/>
      <c r="H845" s="40"/>
    </row>
    <row r="846" spans="7:8" x14ac:dyDescent="0.25">
      <c r="G846" s="40"/>
      <c r="H846" s="40"/>
    </row>
    <row r="847" spans="7:8" x14ac:dyDescent="0.25">
      <c r="G847" s="40"/>
      <c r="H847" s="40"/>
    </row>
    <row r="848" spans="7:8" x14ac:dyDescent="0.25">
      <c r="G848" s="40"/>
      <c r="H848" s="40"/>
    </row>
    <row r="849" spans="7:8" x14ac:dyDescent="0.25">
      <c r="G849" s="40"/>
      <c r="H849" s="40"/>
    </row>
    <row r="850" spans="7:8" x14ac:dyDescent="0.25">
      <c r="G850" s="40"/>
      <c r="H850" s="40"/>
    </row>
    <row r="851" spans="7:8" x14ac:dyDescent="0.25">
      <c r="G851" s="40"/>
      <c r="H851" s="40"/>
    </row>
    <row r="852" spans="7:8" x14ac:dyDescent="0.25">
      <c r="G852" s="40"/>
      <c r="H852" s="40"/>
    </row>
    <row r="853" spans="7:8" x14ac:dyDescent="0.25">
      <c r="G853" s="40"/>
      <c r="H853" s="40"/>
    </row>
    <row r="854" spans="7:8" x14ac:dyDescent="0.25">
      <c r="G854" s="40"/>
      <c r="H854" s="40"/>
    </row>
    <row r="855" spans="7:8" x14ac:dyDescent="0.25">
      <c r="G855" s="40"/>
      <c r="H855" s="40"/>
    </row>
    <row r="856" spans="7:8" x14ac:dyDescent="0.25">
      <c r="G856" s="40"/>
      <c r="H856" s="40"/>
    </row>
    <row r="857" spans="7:8" x14ac:dyDescent="0.25">
      <c r="G857" s="40"/>
      <c r="H857" s="40"/>
    </row>
    <row r="858" spans="7:8" x14ac:dyDescent="0.25">
      <c r="G858" s="40"/>
      <c r="H858" s="40"/>
    </row>
    <row r="859" spans="7:8" x14ac:dyDescent="0.25">
      <c r="G859" s="40"/>
      <c r="H859" s="40"/>
    </row>
    <row r="860" spans="7:8" x14ac:dyDescent="0.25">
      <c r="G860" s="40"/>
      <c r="H860" s="40"/>
    </row>
    <row r="861" spans="7:8" x14ac:dyDescent="0.25">
      <c r="G861" s="40"/>
      <c r="H861" s="40"/>
    </row>
    <row r="862" spans="7:8" x14ac:dyDescent="0.25">
      <c r="G862" s="40"/>
      <c r="H862" s="40"/>
    </row>
    <row r="863" spans="7:8" x14ac:dyDescent="0.25">
      <c r="G863" s="40"/>
      <c r="H863" s="40"/>
    </row>
    <row r="864" spans="7:8" x14ac:dyDescent="0.25">
      <c r="G864" s="40"/>
      <c r="H864" s="40"/>
    </row>
    <row r="865" spans="7:8" x14ac:dyDescent="0.25">
      <c r="G865" s="40"/>
      <c r="H865" s="40"/>
    </row>
    <row r="866" spans="7:8" x14ac:dyDescent="0.25">
      <c r="G866" s="40"/>
      <c r="H866" s="40"/>
    </row>
    <row r="867" spans="7:8" x14ac:dyDescent="0.25">
      <c r="G867" s="40"/>
      <c r="H867" s="40"/>
    </row>
    <row r="868" spans="7:8" x14ac:dyDescent="0.25">
      <c r="G868" s="40"/>
      <c r="H868" s="40"/>
    </row>
    <row r="869" spans="7:8" x14ac:dyDescent="0.25">
      <c r="G869" s="40"/>
      <c r="H869" s="40"/>
    </row>
    <row r="870" spans="7:8" x14ac:dyDescent="0.25">
      <c r="G870" s="40"/>
      <c r="H870" s="40"/>
    </row>
    <row r="871" spans="7:8" x14ac:dyDescent="0.25">
      <c r="G871" s="40"/>
      <c r="H871" s="40"/>
    </row>
    <row r="872" spans="7:8" x14ac:dyDescent="0.25">
      <c r="G872" s="40"/>
      <c r="H872" s="40"/>
    </row>
    <row r="873" spans="7:8" x14ac:dyDescent="0.25">
      <c r="G873" s="40"/>
      <c r="H873" s="40"/>
    </row>
    <row r="874" spans="7:8" x14ac:dyDescent="0.25">
      <c r="G874" s="40"/>
      <c r="H874" s="40"/>
    </row>
    <row r="875" spans="7:8" x14ac:dyDescent="0.25">
      <c r="G875" s="40"/>
      <c r="H875" s="40"/>
    </row>
    <row r="876" spans="7:8" x14ac:dyDescent="0.25">
      <c r="G876" s="40"/>
      <c r="H876" s="40"/>
    </row>
    <row r="877" spans="7:8" x14ac:dyDescent="0.25">
      <c r="G877" s="40"/>
      <c r="H877" s="40"/>
    </row>
    <row r="878" spans="7:8" x14ac:dyDescent="0.25">
      <c r="G878" s="40"/>
      <c r="H878" s="40"/>
    </row>
    <row r="879" spans="7:8" x14ac:dyDescent="0.25">
      <c r="G879" s="40"/>
      <c r="H879" s="40"/>
    </row>
    <row r="880" spans="7:8" x14ac:dyDescent="0.25">
      <c r="G880" s="40"/>
      <c r="H880" s="40"/>
    </row>
    <row r="881" spans="7:8" x14ac:dyDescent="0.25">
      <c r="G881" s="40"/>
      <c r="H881" s="40"/>
    </row>
    <row r="882" spans="7:8" x14ac:dyDescent="0.25">
      <c r="G882" s="40"/>
      <c r="H882" s="40"/>
    </row>
    <row r="883" spans="7:8" x14ac:dyDescent="0.25">
      <c r="G883" s="40"/>
      <c r="H883" s="40"/>
    </row>
    <row r="884" spans="7:8" x14ac:dyDescent="0.25">
      <c r="G884" s="40"/>
      <c r="H884" s="40"/>
    </row>
    <row r="885" spans="7:8" x14ac:dyDescent="0.25">
      <c r="G885" s="40"/>
      <c r="H885" s="40"/>
    </row>
    <row r="886" spans="7:8" x14ac:dyDescent="0.25">
      <c r="G886" s="40"/>
      <c r="H886" s="40"/>
    </row>
    <row r="887" spans="7:8" x14ac:dyDescent="0.25">
      <c r="G887" s="40"/>
      <c r="H887" s="40"/>
    </row>
    <row r="888" spans="7:8" x14ac:dyDescent="0.25">
      <c r="G888" s="40"/>
      <c r="H888" s="40"/>
    </row>
    <row r="889" spans="7:8" x14ac:dyDescent="0.25">
      <c r="G889" s="40"/>
      <c r="H889" s="40"/>
    </row>
    <row r="890" spans="7:8" x14ac:dyDescent="0.25">
      <c r="G890" s="40"/>
      <c r="H890" s="40"/>
    </row>
    <row r="891" spans="7:8" x14ac:dyDescent="0.25">
      <c r="G891" s="40"/>
      <c r="H891" s="40"/>
    </row>
    <row r="892" spans="7:8" x14ac:dyDescent="0.25">
      <c r="G892" s="40"/>
      <c r="H892" s="40"/>
    </row>
    <row r="893" spans="7:8" x14ac:dyDescent="0.25">
      <c r="G893" s="40"/>
      <c r="H893" s="40"/>
    </row>
    <row r="894" spans="7:8" x14ac:dyDescent="0.25">
      <c r="G894" s="40"/>
      <c r="H894" s="40"/>
    </row>
    <row r="895" spans="7:8" x14ac:dyDescent="0.25">
      <c r="G895" s="40"/>
      <c r="H895" s="40"/>
    </row>
    <row r="896" spans="7:8" x14ac:dyDescent="0.25">
      <c r="G896" s="40"/>
      <c r="H896" s="40"/>
    </row>
    <row r="897" spans="7:8" x14ac:dyDescent="0.25">
      <c r="G897" s="40"/>
      <c r="H897" s="40"/>
    </row>
    <row r="898" spans="7:8" x14ac:dyDescent="0.25">
      <c r="G898" s="40"/>
      <c r="H898" s="40"/>
    </row>
    <row r="899" spans="7:8" x14ac:dyDescent="0.25">
      <c r="G899" s="40"/>
      <c r="H899" s="40"/>
    </row>
    <row r="900" spans="7:8" x14ac:dyDescent="0.25">
      <c r="G900" s="40"/>
      <c r="H900" s="40"/>
    </row>
    <row r="901" spans="7:8" x14ac:dyDescent="0.25">
      <c r="G901" s="40"/>
      <c r="H901" s="40"/>
    </row>
    <row r="902" spans="7:8" x14ac:dyDescent="0.25">
      <c r="G902" s="40"/>
      <c r="H902" s="40"/>
    </row>
    <row r="903" spans="7:8" x14ac:dyDescent="0.25">
      <c r="G903" s="40"/>
      <c r="H903" s="40"/>
    </row>
    <row r="904" spans="7:8" x14ac:dyDescent="0.25">
      <c r="G904" s="40"/>
      <c r="H904" s="40"/>
    </row>
    <row r="905" spans="7:8" x14ac:dyDescent="0.25">
      <c r="G905" s="40"/>
      <c r="H905" s="40"/>
    </row>
    <row r="906" spans="7:8" x14ac:dyDescent="0.25">
      <c r="G906" s="40"/>
      <c r="H906" s="40"/>
    </row>
    <row r="907" spans="7:8" x14ac:dyDescent="0.25">
      <c r="G907" s="40"/>
      <c r="H907" s="40"/>
    </row>
    <row r="908" spans="7:8" x14ac:dyDescent="0.25">
      <c r="G908" s="40"/>
      <c r="H908" s="40"/>
    </row>
    <row r="909" spans="7:8" x14ac:dyDescent="0.25">
      <c r="G909" s="40"/>
      <c r="H909" s="40"/>
    </row>
    <row r="910" spans="7:8" x14ac:dyDescent="0.25">
      <c r="G910" s="40"/>
      <c r="H910" s="40"/>
    </row>
    <row r="911" spans="7:8" x14ac:dyDescent="0.25">
      <c r="G911" s="40"/>
      <c r="H911" s="40"/>
    </row>
    <row r="912" spans="7:8" x14ac:dyDescent="0.25">
      <c r="G912" s="40"/>
      <c r="H912" s="40"/>
    </row>
    <row r="913" spans="7:8" x14ac:dyDescent="0.25">
      <c r="G913" s="40"/>
      <c r="H913" s="40"/>
    </row>
    <row r="914" spans="7:8" x14ac:dyDescent="0.25">
      <c r="G914" s="40"/>
      <c r="H914" s="40"/>
    </row>
    <row r="915" spans="7:8" x14ac:dyDescent="0.25">
      <c r="G915" s="40"/>
      <c r="H915" s="40"/>
    </row>
    <row r="916" spans="7:8" x14ac:dyDescent="0.25">
      <c r="G916" s="40"/>
      <c r="H916" s="40"/>
    </row>
    <row r="917" spans="7:8" x14ac:dyDescent="0.25">
      <c r="G917" s="40"/>
      <c r="H917" s="40"/>
    </row>
    <row r="918" spans="7:8" x14ac:dyDescent="0.25">
      <c r="G918" s="40"/>
      <c r="H918" s="40"/>
    </row>
    <row r="919" spans="7:8" x14ac:dyDescent="0.25">
      <c r="G919" s="40"/>
      <c r="H919" s="40"/>
    </row>
    <row r="920" spans="7:8" x14ac:dyDescent="0.25">
      <c r="G920" s="40"/>
      <c r="H920" s="40"/>
    </row>
    <row r="921" spans="7:8" x14ac:dyDescent="0.25">
      <c r="G921" s="40"/>
      <c r="H921" s="40"/>
    </row>
    <row r="922" spans="7:8" x14ac:dyDescent="0.25">
      <c r="G922" s="40"/>
      <c r="H922" s="40"/>
    </row>
    <row r="923" spans="7:8" x14ac:dyDescent="0.25">
      <c r="G923" s="40"/>
      <c r="H923" s="40"/>
    </row>
    <row r="924" spans="7:8" x14ac:dyDescent="0.25">
      <c r="G924" s="40"/>
      <c r="H924" s="40"/>
    </row>
    <row r="925" spans="7:8" x14ac:dyDescent="0.25">
      <c r="G925" s="40"/>
      <c r="H925" s="40"/>
    </row>
    <row r="926" spans="7:8" x14ac:dyDescent="0.25">
      <c r="G926" s="40"/>
      <c r="H926" s="40"/>
    </row>
    <row r="927" spans="7:8" x14ac:dyDescent="0.25">
      <c r="G927" s="40"/>
      <c r="H927" s="40"/>
    </row>
    <row r="928" spans="7:8" x14ac:dyDescent="0.25">
      <c r="G928" s="40"/>
      <c r="H928" s="40"/>
    </row>
    <row r="929" spans="7:8" x14ac:dyDescent="0.25">
      <c r="G929" s="40"/>
      <c r="H929" s="40"/>
    </row>
    <row r="930" spans="7:8" x14ac:dyDescent="0.25">
      <c r="G930" s="40"/>
      <c r="H930" s="40"/>
    </row>
    <row r="931" spans="7:8" x14ac:dyDescent="0.25">
      <c r="G931" s="40"/>
      <c r="H931" s="40"/>
    </row>
    <row r="932" spans="7:8" x14ac:dyDescent="0.25">
      <c r="G932" s="40"/>
      <c r="H932" s="40"/>
    </row>
    <row r="933" spans="7:8" x14ac:dyDescent="0.25">
      <c r="G933" s="40"/>
      <c r="H933" s="40"/>
    </row>
    <row r="934" spans="7:8" x14ac:dyDescent="0.25">
      <c r="G934" s="40"/>
      <c r="H934" s="40"/>
    </row>
    <row r="935" spans="7:8" x14ac:dyDescent="0.25">
      <c r="G935" s="40"/>
      <c r="H935" s="40"/>
    </row>
    <row r="936" spans="7:8" x14ac:dyDescent="0.25">
      <c r="G936" s="40"/>
      <c r="H936" s="40"/>
    </row>
    <row r="937" spans="7:8" x14ac:dyDescent="0.25">
      <c r="G937" s="40"/>
      <c r="H937" s="40"/>
    </row>
    <row r="938" spans="7:8" x14ac:dyDescent="0.25">
      <c r="G938" s="40"/>
      <c r="H938" s="40"/>
    </row>
    <row r="939" spans="7:8" x14ac:dyDescent="0.25">
      <c r="G939" s="40"/>
      <c r="H939" s="40"/>
    </row>
    <row r="940" spans="7:8" x14ac:dyDescent="0.25">
      <c r="G940" s="40"/>
      <c r="H940" s="40"/>
    </row>
    <row r="941" spans="7:8" x14ac:dyDescent="0.25">
      <c r="G941" s="40"/>
      <c r="H941" s="40"/>
    </row>
    <row r="942" spans="7:8" x14ac:dyDescent="0.25">
      <c r="G942" s="40"/>
      <c r="H942" s="40"/>
    </row>
    <row r="943" spans="7:8" x14ac:dyDescent="0.25">
      <c r="G943" s="40"/>
      <c r="H943" s="40"/>
    </row>
    <row r="944" spans="7:8" x14ac:dyDescent="0.25">
      <c r="G944" s="40"/>
      <c r="H944" s="40"/>
    </row>
    <row r="945" spans="7:8" x14ac:dyDescent="0.25">
      <c r="G945" s="40"/>
      <c r="H945" s="40"/>
    </row>
    <row r="946" spans="7:8" x14ac:dyDescent="0.25">
      <c r="G946" s="40"/>
      <c r="H946" s="40"/>
    </row>
    <row r="947" spans="7:8" x14ac:dyDescent="0.25">
      <c r="G947" s="40"/>
      <c r="H947" s="40"/>
    </row>
    <row r="948" spans="7:8" x14ac:dyDescent="0.25">
      <c r="G948" s="40"/>
      <c r="H948" s="40"/>
    </row>
    <row r="949" spans="7:8" x14ac:dyDescent="0.25">
      <c r="G949" s="40"/>
      <c r="H949" s="40"/>
    </row>
    <row r="950" spans="7:8" x14ac:dyDescent="0.25">
      <c r="G950" s="40"/>
      <c r="H950" s="40"/>
    </row>
    <row r="951" spans="7:8" x14ac:dyDescent="0.25">
      <c r="G951" s="40"/>
      <c r="H951" s="40"/>
    </row>
    <row r="952" spans="7:8" x14ac:dyDescent="0.25">
      <c r="G952" s="40"/>
      <c r="H952" s="40"/>
    </row>
    <row r="953" spans="7:8" x14ac:dyDescent="0.25">
      <c r="G953" s="40"/>
      <c r="H953" s="40"/>
    </row>
    <row r="954" spans="7:8" x14ac:dyDescent="0.25">
      <c r="G954" s="40"/>
      <c r="H954" s="40"/>
    </row>
    <row r="955" spans="7:8" x14ac:dyDescent="0.25">
      <c r="G955" s="40"/>
      <c r="H955" s="40"/>
    </row>
    <row r="956" spans="7:8" x14ac:dyDescent="0.25">
      <c r="G956" s="40"/>
      <c r="H956" s="40"/>
    </row>
    <row r="957" spans="7:8" x14ac:dyDescent="0.25">
      <c r="G957" s="40"/>
      <c r="H957" s="40"/>
    </row>
    <row r="958" spans="7:8" x14ac:dyDescent="0.25">
      <c r="G958" s="40"/>
      <c r="H958" s="40"/>
    </row>
    <row r="959" spans="7:8" x14ac:dyDescent="0.25">
      <c r="G959" s="40"/>
      <c r="H959" s="40"/>
    </row>
    <row r="960" spans="7:8" x14ac:dyDescent="0.25">
      <c r="G960" s="40"/>
      <c r="H960" s="40"/>
    </row>
    <row r="961" spans="7:8" x14ac:dyDescent="0.25">
      <c r="G961" s="40"/>
      <c r="H961" s="40"/>
    </row>
    <row r="962" spans="7:8" x14ac:dyDescent="0.25">
      <c r="G962" s="40"/>
      <c r="H962" s="40"/>
    </row>
    <row r="963" spans="7:8" x14ac:dyDescent="0.25">
      <c r="G963" s="40"/>
      <c r="H963" s="40"/>
    </row>
    <row r="964" spans="7:8" x14ac:dyDescent="0.25">
      <c r="G964" s="40"/>
      <c r="H964" s="40"/>
    </row>
    <row r="965" spans="7:8" x14ac:dyDescent="0.25">
      <c r="G965" s="40"/>
      <c r="H965" s="40"/>
    </row>
    <row r="966" spans="7:8" x14ac:dyDescent="0.25">
      <c r="G966" s="40"/>
      <c r="H966" s="40"/>
    </row>
    <row r="967" spans="7:8" x14ac:dyDescent="0.25">
      <c r="G967" s="40"/>
      <c r="H967" s="40"/>
    </row>
    <row r="968" spans="7:8" x14ac:dyDescent="0.25">
      <c r="G968" s="40"/>
      <c r="H968" s="40"/>
    </row>
    <row r="969" spans="7:8" x14ac:dyDescent="0.25">
      <c r="G969" s="40"/>
      <c r="H969" s="40"/>
    </row>
    <row r="970" spans="7:8" x14ac:dyDescent="0.25">
      <c r="G970" s="40"/>
      <c r="H970" s="40"/>
    </row>
    <row r="971" spans="7:8" x14ac:dyDescent="0.25">
      <c r="G971" s="40"/>
      <c r="H971" s="40"/>
    </row>
    <row r="972" spans="7:8" x14ac:dyDescent="0.25">
      <c r="G972" s="40"/>
      <c r="H972" s="40"/>
    </row>
    <row r="973" spans="7:8" x14ac:dyDescent="0.25">
      <c r="G973" s="40"/>
      <c r="H973" s="40"/>
    </row>
    <row r="974" spans="7:8" x14ac:dyDescent="0.25">
      <c r="G974" s="40"/>
      <c r="H974" s="40"/>
    </row>
    <row r="975" spans="7:8" x14ac:dyDescent="0.25">
      <c r="G975" s="40"/>
      <c r="H975" s="40"/>
    </row>
    <row r="976" spans="7:8" x14ac:dyDescent="0.25">
      <c r="G976" s="40"/>
      <c r="H976" s="40"/>
    </row>
    <row r="977" spans="7:8" x14ac:dyDescent="0.25">
      <c r="G977" s="40"/>
      <c r="H977" s="40"/>
    </row>
    <row r="978" spans="7:8" x14ac:dyDescent="0.25">
      <c r="G978" s="40"/>
      <c r="H978" s="40"/>
    </row>
    <row r="979" spans="7:8" x14ac:dyDescent="0.25">
      <c r="G979" s="40"/>
      <c r="H979" s="40"/>
    </row>
    <row r="980" spans="7:8" x14ac:dyDescent="0.25">
      <c r="G980" s="40"/>
      <c r="H980" s="40"/>
    </row>
    <row r="981" spans="7:8" x14ac:dyDescent="0.25">
      <c r="G981" s="40"/>
      <c r="H981" s="40"/>
    </row>
    <row r="982" spans="7:8" x14ac:dyDescent="0.25">
      <c r="G982" s="40"/>
      <c r="H982" s="40"/>
    </row>
    <row r="983" spans="7:8" x14ac:dyDescent="0.25">
      <c r="G983" s="40"/>
      <c r="H983" s="40"/>
    </row>
    <row r="984" spans="7:8" x14ac:dyDescent="0.25">
      <c r="G984" s="40"/>
      <c r="H984" s="40"/>
    </row>
  </sheetData>
  <mergeCells count="36">
    <mergeCell ref="A222:G222"/>
    <mergeCell ref="A223:A226"/>
    <mergeCell ref="B223:B226"/>
    <mergeCell ref="C223:C224"/>
    <mergeCell ref="D223:F223"/>
    <mergeCell ref="G223:G224"/>
    <mergeCell ref="F224:F225"/>
    <mergeCell ref="A175:G175"/>
    <mergeCell ref="A176:A179"/>
    <mergeCell ref="B176:B179"/>
    <mergeCell ref="C176:C177"/>
    <mergeCell ref="D176:F176"/>
    <mergeCell ref="G176:G177"/>
    <mergeCell ref="F177:F178"/>
    <mergeCell ref="A144:A147"/>
    <mergeCell ref="B144:B147"/>
    <mergeCell ref="C144:C145"/>
    <mergeCell ref="D144:F144"/>
    <mergeCell ref="G144:G145"/>
    <mergeCell ref="F145:F146"/>
    <mergeCell ref="A173:G173"/>
    <mergeCell ref="A5:G5"/>
    <mergeCell ref="A6:A9"/>
    <mergeCell ref="B6:B9"/>
    <mergeCell ref="C6:C7"/>
    <mergeCell ref="D6:F6"/>
    <mergeCell ref="G6:G7"/>
    <mergeCell ref="F7:F8"/>
    <mergeCell ref="A73:G73"/>
    <mergeCell ref="A74:A77"/>
    <mergeCell ref="B74:B77"/>
    <mergeCell ref="C74:C75"/>
    <mergeCell ref="D74:F74"/>
    <mergeCell ref="G74:G75"/>
    <mergeCell ref="F75:F76"/>
    <mergeCell ref="A143:G143"/>
  </mergeCells>
  <pageMargins left="0.39370078740157483" right="0.39370078740157483" top="0.39370078740157483" bottom="0.39370078740157483" header="0" footer="0"/>
  <pageSetup paperSize="9" scale="89" fitToHeight="0" orientation="portrait" r:id="rId1"/>
  <rowBreaks count="3" manualBreakCount="3">
    <brk id="88" max="6" man="1"/>
    <brk id="131" max="6" man="1"/>
    <brk id="170"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772"/>
  <sheetViews>
    <sheetView view="pageBreakPreview" zoomScale="130" zoomScaleNormal="115" zoomScaleSheetLayoutView="130" workbookViewId="0">
      <selection activeCell="A54" sqref="A54"/>
    </sheetView>
  </sheetViews>
  <sheetFormatPr defaultColWidth="14.42578125" defaultRowHeight="15" customHeight="1" x14ac:dyDescent="0.25"/>
  <cols>
    <col min="1" max="1" width="75.28515625" customWidth="1"/>
    <col min="2" max="2" width="16.28515625" customWidth="1"/>
    <col min="3" max="6" width="16.28515625" hidden="1" customWidth="1"/>
    <col min="7" max="7" width="16.28515625" customWidth="1"/>
    <col min="8" max="26" width="10.28515625" customWidth="1"/>
  </cols>
  <sheetData>
    <row r="1" spans="1:26" ht="15.75" customHeight="1" x14ac:dyDescent="0.25">
      <c r="A1" s="9"/>
      <c r="B1" s="10"/>
      <c r="C1" s="11"/>
      <c r="D1" s="11"/>
      <c r="E1" s="11"/>
      <c r="F1" s="10"/>
      <c r="G1" s="13"/>
      <c r="H1" s="15"/>
      <c r="I1" s="15"/>
      <c r="J1" s="15"/>
      <c r="K1" s="15"/>
      <c r="L1" s="15"/>
      <c r="M1" s="15"/>
      <c r="N1" s="15"/>
      <c r="O1" s="15"/>
      <c r="P1" s="15"/>
      <c r="Q1" s="15"/>
      <c r="R1" s="15"/>
      <c r="S1" s="15"/>
      <c r="T1" s="15"/>
      <c r="U1" s="15"/>
      <c r="V1" s="15"/>
      <c r="W1" s="15"/>
      <c r="X1" s="15"/>
      <c r="Y1" s="15"/>
      <c r="Z1" s="15"/>
    </row>
    <row r="2" spans="1:26" ht="15.75" customHeight="1" x14ac:dyDescent="0.25">
      <c r="A2" s="861" t="s">
        <v>349</v>
      </c>
      <c r="B2" s="862"/>
      <c r="C2" s="862"/>
      <c r="D2" s="862"/>
      <c r="E2" s="862"/>
      <c r="F2" s="862"/>
      <c r="G2" s="863"/>
      <c r="H2" s="15"/>
      <c r="I2" s="15"/>
      <c r="J2" s="15"/>
      <c r="K2" s="15"/>
      <c r="L2" s="15"/>
      <c r="M2" s="15"/>
      <c r="N2" s="15"/>
      <c r="O2" s="15"/>
      <c r="P2" s="15"/>
      <c r="Q2" s="15"/>
      <c r="R2" s="15"/>
      <c r="S2" s="15"/>
      <c r="T2" s="15"/>
      <c r="U2" s="15"/>
      <c r="V2" s="15"/>
      <c r="W2" s="15"/>
      <c r="X2" s="15"/>
      <c r="Y2" s="15"/>
      <c r="Z2" s="15"/>
    </row>
    <row r="3" spans="1:26" ht="15.75" customHeight="1" x14ac:dyDescent="0.25">
      <c r="A3" s="864" t="s">
        <v>350</v>
      </c>
      <c r="B3" s="862"/>
      <c r="C3" s="862"/>
      <c r="D3" s="862"/>
      <c r="E3" s="862"/>
      <c r="F3" s="862"/>
      <c r="G3" s="863"/>
      <c r="H3" s="15"/>
      <c r="I3" s="15"/>
      <c r="J3" s="15"/>
      <c r="K3" s="15"/>
      <c r="L3" s="15"/>
      <c r="M3" s="15"/>
      <c r="N3" s="15"/>
      <c r="O3" s="15"/>
      <c r="P3" s="15"/>
      <c r="Q3" s="15"/>
      <c r="R3" s="15"/>
      <c r="S3" s="15"/>
      <c r="T3" s="15"/>
      <c r="U3" s="15"/>
      <c r="V3" s="15"/>
      <c r="W3" s="15"/>
      <c r="X3" s="15"/>
      <c r="Y3" s="15"/>
      <c r="Z3" s="15"/>
    </row>
    <row r="4" spans="1:26" ht="13.5" customHeight="1" x14ac:dyDescent="0.25">
      <c r="A4" s="21"/>
      <c r="B4" s="18"/>
      <c r="C4" s="18"/>
      <c r="D4" s="18"/>
      <c r="E4" s="18"/>
      <c r="F4" s="18"/>
      <c r="G4" s="23"/>
      <c r="H4" s="15"/>
      <c r="I4" s="15"/>
      <c r="J4" s="15"/>
      <c r="K4" s="15"/>
      <c r="L4" s="15"/>
      <c r="M4" s="15"/>
      <c r="N4" s="15"/>
      <c r="O4" s="15"/>
      <c r="P4" s="15"/>
      <c r="Q4" s="15"/>
      <c r="R4" s="15"/>
      <c r="S4" s="15"/>
      <c r="T4" s="15"/>
      <c r="U4" s="15"/>
      <c r="V4" s="15"/>
      <c r="W4" s="15"/>
      <c r="X4" s="15"/>
      <c r="Y4" s="15"/>
      <c r="Z4" s="15"/>
    </row>
    <row r="5" spans="1:26" ht="15.75" customHeight="1" x14ac:dyDescent="0.25">
      <c r="A5" s="17" t="s">
        <v>621</v>
      </c>
      <c r="B5" s="24"/>
      <c r="C5" s="25"/>
      <c r="D5" s="25"/>
      <c r="E5" s="25"/>
      <c r="F5" s="24"/>
      <c r="G5" s="19"/>
      <c r="H5" s="15"/>
      <c r="I5" s="15"/>
      <c r="J5" s="15"/>
      <c r="K5" s="15"/>
      <c r="L5" s="15"/>
      <c r="M5" s="15"/>
      <c r="N5" s="15"/>
      <c r="O5" s="15"/>
      <c r="P5" s="15"/>
      <c r="Q5" s="15"/>
      <c r="R5" s="15"/>
      <c r="S5" s="15"/>
      <c r="T5" s="15"/>
      <c r="U5" s="15"/>
      <c r="V5" s="15"/>
      <c r="W5" s="15"/>
      <c r="X5" s="15"/>
      <c r="Y5" s="15"/>
      <c r="Z5" s="15"/>
    </row>
    <row r="6" spans="1:26" ht="15.75" customHeight="1" x14ac:dyDescent="0.25">
      <c r="A6" s="17"/>
      <c r="B6" s="24"/>
      <c r="C6" s="25"/>
      <c r="D6" s="25"/>
      <c r="E6" s="25"/>
      <c r="F6" s="24"/>
      <c r="G6" s="19"/>
      <c r="H6" s="15"/>
      <c r="I6" s="15"/>
      <c r="J6" s="15"/>
      <c r="K6" s="15"/>
      <c r="L6" s="15"/>
      <c r="M6" s="15"/>
      <c r="N6" s="15"/>
      <c r="O6" s="15"/>
      <c r="P6" s="15"/>
      <c r="Q6" s="15"/>
      <c r="R6" s="15"/>
      <c r="S6" s="15"/>
      <c r="T6" s="15"/>
      <c r="U6" s="15"/>
      <c r="V6" s="15"/>
      <c r="W6" s="15"/>
      <c r="X6" s="15"/>
      <c r="Y6" s="15"/>
      <c r="Z6" s="15"/>
    </row>
    <row r="7" spans="1:26" ht="15.75" customHeight="1" x14ac:dyDescent="0.25">
      <c r="A7" s="865" t="s">
        <v>352</v>
      </c>
      <c r="B7" s="866"/>
      <c r="C7" s="866"/>
      <c r="D7" s="866"/>
      <c r="E7" s="866"/>
      <c r="F7" s="866"/>
      <c r="G7" s="867"/>
      <c r="H7" s="15"/>
      <c r="I7" s="15"/>
      <c r="J7" s="15"/>
      <c r="K7" s="15"/>
      <c r="L7" s="15"/>
      <c r="M7" s="15"/>
      <c r="N7" s="15"/>
      <c r="O7" s="15"/>
      <c r="P7" s="15"/>
      <c r="Q7" s="15"/>
      <c r="R7" s="15"/>
      <c r="S7" s="15"/>
      <c r="T7" s="15"/>
      <c r="U7" s="15"/>
      <c r="V7" s="15"/>
      <c r="W7" s="15"/>
      <c r="X7" s="15"/>
      <c r="Y7" s="15"/>
      <c r="Z7" s="15"/>
    </row>
    <row r="8" spans="1:26" ht="15.75" customHeight="1" x14ac:dyDescent="0.25">
      <c r="A8" s="868" t="s">
        <v>353</v>
      </c>
      <c r="B8" s="857" t="s">
        <v>354</v>
      </c>
      <c r="C8" s="870" t="s">
        <v>355</v>
      </c>
      <c r="D8" s="872" t="s">
        <v>356</v>
      </c>
      <c r="E8" s="873"/>
      <c r="F8" s="874"/>
      <c r="G8" s="857" t="s">
        <v>357</v>
      </c>
      <c r="H8" s="15"/>
      <c r="I8" s="15"/>
      <c r="J8" s="15"/>
      <c r="K8" s="15"/>
      <c r="L8" s="15"/>
      <c r="M8" s="15"/>
      <c r="N8" s="15"/>
      <c r="O8" s="15"/>
      <c r="P8" s="15"/>
      <c r="Q8" s="15"/>
      <c r="R8" s="15"/>
      <c r="S8" s="15"/>
      <c r="T8" s="15"/>
      <c r="U8" s="15"/>
      <c r="V8" s="15"/>
      <c r="W8" s="15"/>
      <c r="X8" s="15"/>
      <c r="Y8" s="15"/>
      <c r="Z8" s="15"/>
    </row>
    <row r="9" spans="1:26" ht="15.75" customHeight="1" x14ac:dyDescent="0.25">
      <c r="A9" s="858"/>
      <c r="B9" s="858"/>
      <c r="C9" s="871"/>
      <c r="D9" s="28" t="s">
        <v>358</v>
      </c>
      <c r="E9" s="29" t="s">
        <v>359</v>
      </c>
      <c r="F9" s="875" t="s">
        <v>360</v>
      </c>
      <c r="G9" s="858"/>
      <c r="H9" s="15"/>
      <c r="I9" s="15"/>
      <c r="J9" s="15"/>
      <c r="K9" s="15"/>
      <c r="L9" s="15"/>
      <c r="M9" s="15"/>
      <c r="N9" s="15"/>
      <c r="O9" s="15"/>
      <c r="P9" s="15"/>
      <c r="Q9" s="15"/>
      <c r="R9" s="15"/>
      <c r="S9" s="15"/>
      <c r="T9" s="15"/>
      <c r="U9" s="15"/>
      <c r="V9" s="15"/>
      <c r="W9" s="15"/>
      <c r="X9" s="15"/>
      <c r="Y9" s="15"/>
      <c r="Z9" s="15"/>
    </row>
    <row r="10" spans="1:26" ht="15.75" customHeight="1" x14ac:dyDescent="0.25">
      <c r="A10" s="858"/>
      <c r="B10" s="858"/>
      <c r="C10" s="30" t="s">
        <v>361</v>
      </c>
      <c r="D10" s="31" t="s">
        <v>361</v>
      </c>
      <c r="E10" s="32" t="s">
        <v>362</v>
      </c>
      <c r="F10" s="860"/>
      <c r="G10" s="442" t="s">
        <v>2717</v>
      </c>
      <c r="H10" s="15"/>
      <c r="I10" s="15"/>
      <c r="J10" s="15"/>
      <c r="K10" s="15"/>
      <c r="L10" s="15"/>
      <c r="M10" s="15"/>
      <c r="N10" s="15"/>
      <c r="O10" s="15"/>
      <c r="P10" s="15"/>
      <c r="Q10" s="15"/>
      <c r="R10" s="15"/>
      <c r="S10" s="15"/>
      <c r="T10" s="15"/>
      <c r="U10" s="15"/>
      <c r="V10" s="15"/>
      <c r="W10" s="15"/>
      <c r="X10" s="15"/>
      <c r="Y10" s="15"/>
      <c r="Z10" s="15"/>
    </row>
    <row r="11" spans="1:26" ht="15.75" customHeight="1" x14ac:dyDescent="0.25">
      <c r="A11" s="869"/>
      <c r="B11" s="869"/>
      <c r="C11" s="33">
        <v>2024</v>
      </c>
      <c r="D11" s="34">
        <v>2025</v>
      </c>
      <c r="E11" s="35">
        <v>2025</v>
      </c>
      <c r="F11" s="34">
        <v>2025</v>
      </c>
      <c r="G11" s="36" t="s">
        <v>2668</v>
      </c>
      <c r="H11" s="15"/>
      <c r="I11" s="15"/>
      <c r="J11" s="15"/>
      <c r="K11" s="15"/>
      <c r="L11" s="15"/>
      <c r="M11" s="15"/>
      <c r="N11" s="15"/>
      <c r="O11" s="15"/>
      <c r="P11" s="15"/>
      <c r="Q11" s="15"/>
      <c r="R11" s="15"/>
      <c r="S11" s="15"/>
      <c r="T11" s="15"/>
      <c r="U11" s="15"/>
      <c r="V11" s="15"/>
      <c r="W11" s="15"/>
      <c r="X11" s="15"/>
      <c r="Y11" s="15"/>
      <c r="Z11" s="15"/>
    </row>
    <row r="12" spans="1:26" ht="15.75" customHeight="1" x14ac:dyDescent="0.25">
      <c r="A12" s="9" t="s">
        <v>364</v>
      </c>
      <c r="B12" s="38"/>
      <c r="C12" s="42"/>
      <c r="D12" s="42"/>
      <c r="E12" s="42"/>
      <c r="F12" s="42"/>
      <c r="G12" s="37"/>
    </row>
    <row r="13" spans="1:26" ht="15.75" customHeight="1" x14ac:dyDescent="0.25">
      <c r="A13" s="17" t="s">
        <v>622</v>
      </c>
      <c r="B13" s="41"/>
      <c r="C13" s="42"/>
      <c r="D13" s="42"/>
      <c r="E13" s="42"/>
      <c r="F13" s="42"/>
      <c r="G13" s="42"/>
    </row>
    <row r="14" spans="1:26" ht="15.75" customHeight="1" x14ac:dyDescent="0.25">
      <c r="A14" s="17" t="s">
        <v>366</v>
      </c>
      <c r="B14" s="41"/>
      <c r="C14" s="42"/>
      <c r="D14" s="42"/>
      <c r="E14" s="19"/>
      <c r="F14" s="42"/>
      <c r="G14" s="42"/>
    </row>
    <row r="15" spans="1:26" ht="15.75" customHeight="1" x14ac:dyDescent="0.25">
      <c r="A15" s="44" t="s">
        <v>367</v>
      </c>
      <c r="B15" s="41" t="s">
        <v>121</v>
      </c>
      <c r="C15" s="43">
        <v>4163223.61</v>
      </c>
      <c r="D15" s="43">
        <v>2383644.91</v>
      </c>
      <c r="E15" s="45">
        <f>F15-D15</f>
        <v>3266219.09</v>
      </c>
      <c r="F15" s="43">
        <v>5649864</v>
      </c>
      <c r="G15" s="43">
        <v>5868528</v>
      </c>
    </row>
    <row r="16" spans="1:26" ht="15.75" customHeight="1" x14ac:dyDescent="0.25">
      <c r="A16" s="17" t="s">
        <v>368</v>
      </c>
      <c r="B16" s="41"/>
      <c r="C16" s="46"/>
      <c r="D16" s="46"/>
      <c r="E16" s="45"/>
      <c r="F16" s="43"/>
      <c r="G16" s="43"/>
    </row>
    <row r="17" spans="1:7" ht="15.75" customHeight="1" x14ac:dyDescent="0.25">
      <c r="A17" s="44" t="s">
        <v>369</v>
      </c>
      <c r="B17" s="41" t="s">
        <v>125</v>
      </c>
      <c r="C17" s="43">
        <v>243677.42</v>
      </c>
      <c r="D17" s="43">
        <v>151909.09</v>
      </c>
      <c r="E17" s="45">
        <f t="shared" ref="E17:E20" si="0">F17-D17</f>
        <v>208090.91</v>
      </c>
      <c r="F17" s="43">
        <v>360000</v>
      </c>
      <c r="G17" s="43">
        <v>360000</v>
      </c>
    </row>
    <row r="18" spans="1:7" ht="15.75" customHeight="1" x14ac:dyDescent="0.25">
      <c r="A18" s="44" t="s">
        <v>373</v>
      </c>
      <c r="B18" s="41" t="s">
        <v>131</v>
      </c>
      <c r="C18" s="43">
        <v>63000</v>
      </c>
      <c r="D18" s="43">
        <v>84000</v>
      </c>
      <c r="E18" s="45">
        <f t="shared" si="0"/>
        <v>21000</v>
      </c>
      <c r="F18" s="43">
        <v>105000</v>
      </c>
      <c r="G18" s="43">
        <v>105000</v>
      </c>
    </row>
    <row r="19" spans="1:7" ht="15.75" customHeight="1" x14ac:dyDescent="0.25">
      <c r="A19" s="44" t="s">
        <v>374</v>
      </c>
      <c r="B19" s="41" t="s">
        <v>151</v>
      </c>
      <c r="C19" s="43">
        <v>408350.9</v>
      </c>
      <c r="D19" s="43">
        <v>26425.5</v>
      </c>
      <c r="E19" s="45">
        <f t="shared" si="0"/>
        <v>444396.5</v>
      </c>
      <c r="F19" s="43">
        <v>470822</v>
      </c>
      <c r="G19" s="43">
        <v>489044</v>
      </c>
    </row>
    <row r="20" spans="1:7" ht="15.75" customHeight="1" x14ac:dyDescent="0.25">
      <c r="A20" s="44" t="s">
        <v>375</v>
      </c>
      <c r="B20" s="41" t="s">
        <v>153</v>
      </c>
      <c r="C20" s="43">
        <v>59500</v>
      </c>
      <c r="D20" s="43">
        <v>2500</v>
      </c>
      <c r="E20" s="45">
        <f t="shared" si="0"/>
        <v>72500</v>
      </c>
      <c r="F20" s="43">
        <v>75000</v>
      </c>
      <c r="G20" s="43">
        <v>75000</v>
      </c>
    </row>
    <row r="21" spans="1:7" ht="15.75" customHeight="1" x14ac:dyDescent="0.25">
      <c r="A21" s="44" t="s">
        <v>376</v>
      </c>
      <c r="B21" s="41" t="s">
        <v>155</v>
      </c>
      <c r="C21" s="46"/>
      <c r="D21" s="46"/>
      <c r="E21" s="45"/>
      <c r="F21" s="43"/>
      <c r="G21" s="43"/>
    </row>
    <row r="22" spans="1:7" ht="15.75" customHeight="1" x14ac:dyDescent="0.25">
      <c r="A22" s="44" t="s">
        <v>623</v>
      </c>
      <c r="B22" s="41" t="s">
        <v>157</v>
      </c>
      <c r="C22" s="43"/>
      <c r="D22" s="43">
        <v>10000</v>
      </c>
      <c r="E22" s="45">
        <f t="shared" ref="E22:E24" si="1">F22-D22</f>
        <v>10000</v>
      </c>
      <c r="F22" s="43">
        <v>20000</v>
      </c>
      <c r="G22" s="43">
        <v>20000</v>
      </c>
    </row>
    <row r="23" spans="1:7" ht="15.75" customHeight="1" x14ac:dyDescent="0.25">
      <c r="A23" s="44" t="s">
        <v>378</v>
      </c>
      <c r="B23" s="41" t="s">
        <v>159</v>
      </c>
      <c r="C23" s="43"/>
      <c r="D23" s="43">
        <v>30000</v>
      </c>
      <c r="E23" s="45">
        <f t="shared" si="1"/>
        <v>15000</v>
      </c>
      <c r="F23" s="43">
        <v>45000</v>
      </c>
      <c r="G23" s="43">
        <v>0</v>
      </c>
    </row>
    <row r="24" spans="1:7" ht="15.75" customHeight="1" x14ac:dyDescent="0.25">
      <c r="A24" s="44" t="s">
        <v>379</v>
      </c>
      <c r="B24" s="41" t="s">
        <v>161</v>
      </c>
      <c r="C24" s="43">
        <v>346828</v>
      </c>
      <c r="D24" s="43">
        <v>362353</v>
      </c>
      <c r="E24" s="45">
        <f t="shared" si="1"/>
        <v>108469</v>
      </c>
      <c r="F24" s="43">
        <v>470822</v>
      </c>
      <c r="G24" s="43">
        <v>489044</v>
      </c>
    </row>
    <row r="25" spans="1:7" ht="15.75" customHeight="1" x14ac:dyDescent="0.25">
      <c r="A25" s="17" t="s">
        <v>380</v>
      </c>
      <c r="B25" s="41"/>
      <c r="C25" s="46"/>
      <c r="D25" s="46"/>
      <c r="E25" s="45"/>
      <c r="F25" s="43"/>
      <c r="G25" s="43"/>
    </row>
    <row r="26" spans="1:7" ht="15.75" customHeight="1" x14ac:dyDescent="0.25">
      <c r="A26" s="44" t="s">
        <v>381</v>
      </c>
      <c r="B26" s="41" t="s">
        <v>165</v>
      </c>
      <c r="C26" s="43">
        <v>499586.82</v>
      </c>
      <c r="D26" s="43">
        <v>286262.64</v>
      </c>
      <c r="E26" s="45">
        <f t="shared" ref="E26:E29" si="2">F26-D26</f>
        <v>391721.36</v>
      </c>
      <c r="F26" s="43">
        <v>677984</v>
      </c>
      <c r="G26" s="43">
        <v>704224</v>
      </c>
    </row>
    <row r="27" spans="1:7" ht="15.75" customHeight="1" x14ac:dyDescent="0.25">
      <c r="A27" s="44" t="s">
        <v>382</v>
      </c>
      <c r="B27" s="41" t="s">
        <v>167</v>
      </c>
      <c r="C27" s="43">
        <v>83264.47</v>
      </c>
      <c r="D27" s="43">
        <v>47710.44</v>
      </c>
      <c r="E27" s="45">
        <f t="shared" si="2"/>
        <v>65287.56</v>
      </c>
      <c r="F27" s="43">
        <v>112998</v>
      </c>
      <c r="G27" s="43">
        <v>117371</v>
      </c>
    </row>
    <row r="28" spans="1:7" ht="15.75" customHeight="1" x14ac:dyDescent="0.25">
      <c r="A28" s="44" t="s">
        <v>383</v>
      </c>
      <c r="B28" s="41" t="s">
        <v>169</v>
      </c>
      <c r="C28" s="43">
        <v>104080.92</v>
      </c>
      <c r="D28" s="43">
        <v>59638.22</v>
      </c>
      <c r="E28" s="45">
        <f t="shared" si="2"/>
        <v>81615.78</v>
      </c>
      <c r="F28" s="43">
        <v>141254</v>
      </c>
      <c r="G28" s="43">
        <v>146720</v>
      </c>
    </row>
    <row r="29" spans="1:7" ht="15.75" customHeight="1" x14ac:dyDescent="0.25">
      <c r="A29" s="44" t="s">
        <v>384</v>
      </c>
      <c r="B29" s="41" t="s">
        <v>171</v>
      </c>
      <c r="C29" s="43">
        <v>12200</v>
      </c>
      <c r="D29" s="43">
        <v>7600</v>
      </c>
      <c r="E29" s="45">
        <f t="shared" si="2"/>
        <v>10400</v>
      </c>
      <c r="F29" s="43">
        <v>18000</v>
      </c>
      <c r="G29" s="43">
        <v>18000</v>
      </c>
    </row>
    <row r="30" spans="1:7" ht="15.75" customHeight="1" x14ac:dyDescent="0.25">
      <c r="A30" s="17" t="s">
        <v>624</v>
      </c>
      <c r="B30" s="41"/>
      <c r="C30" s="46"/>
      <c r="D30" s="46"/>
      <c r="E30" s="45"/>
      <c r="F30" s="43"/>
      <c r="G30" s="43"/>
    </row>
    <row r="31" spans="1:7" ht="15.75" customHeight="1" x14ac:dyDescent="0.25">
      <c r="A31" s="44" t="s">
        <v>386</v>
      </c>
      <c r="B31" s="41" t="s">
        <v>179</v>
      </c>
      <c r="C31" s="43">
        <v>177936.68</v>
      </c>
      <c r="D31" s="45">
        <v>63492.42</v>
      </c>
      <c r="E31" s="45">
        <f t="shared" ref="E31:E33" si="3">F31-D31</f>
        <v>717365.58</v>
      </c>
      <c r="F31" s="43">
        <v>780858</v>
      </c>
      <c r="G31" s="43">
        <v>0</v>
      </c>
    </row>
    <row r="32" spans="1:7" ht="15.75" customHeight="1" x14ac:dyDescent="0.25">
      <c r="A32" s="44" t="s">
        <v>387</v>
      </c>
      <c r="B32" s="41" t="s">
        <v>181</v>
      </c>
      <c r="C32" s="43">
        <v>175757.74</v>
      </c>
      <c r="D32" s="43">
        <v>91635.96</v>
      </c>
      <c r="E32" s="45">
        <f t="shared" si="3"/>
        <v>135266.03999999998</v>
      </c>
      <c r="F32" s="43">
        <v>226902</v>
      </c>
      <c r="G32" s="43">
        <v>235684</v>
      </c>
    </row>
    <row r="33" spans="1:7" ht="15.75" customHeight="1" x14ac:dyDescent="0.25">
      <c r="A33" s="44" t="s">
        <v>388</v>
      </c>
      <c r="B33" s="41" t="s">
        <v>183</v>
      </c>
      <c r="C33" s="43">
        <v>58000</v>
      </c>
      <c r="D33" s="43">
        <v>0</v>
      </c>
      <c r="E33" s="45">
        <f t="shared" si="3"/>
        <v>75000</v>
      </c>
      <c r="F33" s="43">
        <v>75000</v>
      </c>
      <c r="G33" s="43">
        <v>75000</v>
      </c>
    </row>
    <row r="34" spans="1:7" ht="31.5" x14ac:dyDescent="0.25">
      <c r="A34" s="88" t="s">
        <v>625</v>
      </c>
      <c r="B34" s="41"/>
      <c r="C34" s="45"/>
      <c r="D34" s="43"/>
      <c r="E34" s="45"/>
      <c r="F34" s="43"/>
      <c r="G34" s="43">
        <v>197363</v>
      </c>
    </row>
    <row r="35" spans="1:7" ht="15.75" customHeight="1" x14ac:dyDescent="0.25">
      <c r="A35" s="456" t="s">
        <v>390</v>
      </c>
      <c r="B35" s="461"/>
      <c r="C35" s="453">
        <f t="shared" ref="C35:D35" si="4">SUM(C15:C33)</f>
        <v>6395406.5600000005</v>
      </c>
      <c r="D35" s="54">
        <f t="shared" si="4"/>
        <v>3607172.18</v>
      </c>
      <c r="E35" s="54">
        <f>F35-D35</f>
        <v>5622331.8200000003</v>
      </c>
      <c r="F35" s="54">
        <f>SUM(F15:F33)</f>
        <v>9229504</v>
      </c>
      <c r="G35" s="54">
        <f>SUM(G15:G34)</f>
        <v>8900978</v>
      </c>
    </row>
    <row r="36" spans="1:7" ht="15.75" customHeight="1" x14ac:dyDescent="0.25">
      <c r="A36" s="456"/>
      <c r="B36" s="461"/>
      <c r="C36" s="449"/>
      <c r="D36" s="55"/>
      <c r="E36" s="45"/>
      <c r="F36" s="39"/>
      <c r="G36" s="55"/>
    </row>
    <row r="37" spans="1:7" ht="15.75" customHeight="1" x14ac:dyDescent="0.25">
      <c r="A37" s="42" t="s">
        <v>626</v>
      </c>
      <c r="B37" s="41"/>
      <c r="C37" s="43"/>
      <c r="D37" s="43"/>
      <c r="E37" s="45"/>
      <c r="F37" s="43"/>
      <c r="G37" s="43"/>
    </row>
    <row r="38" spans="1:7" ht="15.75" customHeight="1" x14ac:dyDescent="0.25">
      <c r="A38" s="161" t="s">
        <v>627</v>
      </c>
      <c r="B38" s="20"/>
      <c r="C38" s="56"/>
      <c r="D38" s="43"/>
      <c r="E38" s="45"/>
      <c r="F38" s="43"/>
      <c r="G38" s="43"/>
    </row>
    <row r="39" spans="1:7" ht="15.75" customHeight="1" x14ac:dyDescent="0.25">
      <c r="A39" s="96" t="s">
        <v>628</v>
      </c>
      <c r="B39" s="20" t="s">
        <v>187</v>
      </c>
      <c r="C39" s="56">
        <v>0</v>
      </c>
      <c r="D39" s="43">
        <v>0</v>
      </c>
      <c r="E39" s="45">
        <f>F39-D39</f>
        <v>50000</v>
      </c>
      <c r="F39" s="43">
        <v>50000</v>
      </c>
      <c r="G39" s="43">
        <v>50000</v>
      </c>
    </row>
    <row r="40" spans="1:7" ht="15.75" customHeight="1" x14ac:dyDescent="0.25">
      <c r="A40" s="17" t="s">
        <v>499</v>
      </c>
      <c r="B40" s="20"/>
      <c r="C40" s="59"/>
      <c r="D40" s="46"/>
      <c r="E40" s="45"/>
      <c r="F40" s="43"/>
      <c r="G40" s="43"/>
    </row>
    <row r="41" spans="1:7" ht="15.75" customHeight="1" x14ac:dyDescent="0.25">
      <c r="A41" s="44" t="s">
        <v>398</v>
      </c>
      <c r="B41" s="20" t="s">
        <v>195</v>
      </c>
      <c r="C41" s="56">
        <v>83174.44</v>
      </c>
      <c r="D41" s="43">
        <v>0</v>
      </c>
      <c r="E41" s="45">
        <f t="shared" ref="E41:E45" si="5">F41-D41</f>
        <v>98500</v>
      </c>
      <c r="F41" s="484">
        <v>98500</v>
      </c>
      <c r="G41" s="444">
        <v>100340</v>
      </c>
    </row>
    <row r="42" spans="1:7" ht="15.75" customHeight="1" x14ac:dyDescent="0.25">
      <c r="A42" s="96" t="s">
        <v>400</v>
      </c>
      <c r="B42" s="20" t="s">
        <v>221</v>
      </c>
      <c r="C42" s="56">
        <v>0</v>
      </c>
      <c r="D42" s="43">
        <v>0</v>
      </c>
      <c r="E42" s="45">
        <f t="shared" si="5"/>
        <v>45000</v>
      </c>
      <c r="F42" s="484">
        <v>45000</v>
      </c>
      <c r="G42" s="444">
        <v>45000</v>
      </c>
    </row>
    <row r="43" spans="1:7" ht="15.75" customHeight="1" x14ac:dyDescent="0.25">
      <c r="A43" s="162" t="s">
        <v>629</v>
      </c>
      <c r="B43" s="20" t="s">
        <v>223</v>
      </c>
      <c r="C43" s="56">
        <v>0</v>
      </c>
      <c r="D43" s="43">
        <v>0</v>
      </c>
      <c r="E43" s="45">
        <f t="shared" si="5"/>
        <v>0</v>
      </c>
      <c r="F43" s="484">
        <v>0</v>
      </c>
      <c r="G43" s="444">
        <v>35000</v>
      </c>
    </row>
    <row r="44" spans="1:7" ht="15.75" customHeight="1" x14ac:dyDescent="0.25">
      <c r="A44" s="44" t="s">
        <v>402</v>
      </c>
      <c r="B44" s="41" t="s">
        <v>225</v>
      </c>
      <c r="C44" s="56">
        <v>28079.24</v>
      </c>
      <c r="D44" s="43">
        <v>0</v>
      </c>
      <c r="E44" s="45">
        <f t="shared" si="5"/>
        <v>36953</v>
      </c>
      <c r="F44" s="43">
        <v>36953</v>
      </c>
      <c r="G44" s="45">
        <v>34144</v>
      </c>
    </row>
    <row r="45" spans="1:7" ht="15.75" customHeight="1" x14ac:dyDescent="0.25">
      <c r="A45" s="17" t="s">
        <v>466</v>
      </c>
      <c r="B45" s="41"/>
      <c r="C45" s="79">
        <f t="shared" ref="C45:D45" si="6">SUM(C40:C44)</f>
        <v>111253.68000000001</v>
      </c>
      <c r="D45" s="54">
        <f t="shared" si="6"/>
        <v>0</v>
      </c>
      <c r="E45" s="54">
        <f t="shared" si="5"/>
        <v>230453</v>
      </c>
      <c r="F45" s="79">
        <f t="shared" ref="F45:G45" si="7">SUM(F39:F44)</f>
        <v>230453</v>
      </c>
      <c r="G45" s="79">
        <f t="shared" si="7"/>
        <v>264484</v>
      </c>
    </row>
    <row r="46" spans="1:7" ht="15.75" customHeight="1" x14ac:dyDescent="0.25">
      <c r="A46" s="17"/>
      <c r="B46" s="80"/>
      <c r="C46" s="81"/>
      <c r="D46" s="55"/>
      <c r="E46" s="45"/>
      <c r="F46" s="163"/>
      <c r="G46" s="55"/>
    </row>
    <row r="47" spans="1:7" ht="15.75" customHeight="1" x14ac:dyDescent="0.25">
      <c r="A47" s="17" t="s">
        <v>467</v>
      </c>
      <c r="B47" s="20"/>
      <c r="C47" s="56">
        <f t="shared" ref="C47:D47" si="8">C35+C45</f>
        <v>6506660.2400000002</v>
      </c>
      <c r="D47" s="43">
        <f t="shared" si="8"/>
        <v>3607172.18</v>
      </c>
      <c r="E47" s="45">
        <f>F47-D47</f>
        <v>5852784.8200000003</v>
      </c>
      <c r="F47" s="56">
        <f>F35+F45</f>
        <v>9459957</v>
      </c>
      <c r="G47" s="164">
        <f>G45+G35</f>
        <v>9165462</v>
      </c>
    </row>
    <row r="48" spans="1:7" ht="15.75" customHeight="1" x14ac:dyDescent="0.25">
      <c r="A48" s="42"/>
      <c r="B48" s="41"/>
      <c r="C48" s="56"/>
      <c r="D48" s="43"/>
      <c r="E48" s="45"/>
      <c r="F48" s="45"/>
      <c r="G48" s="45"/>
    </row>
    <row r="49" spans="1:7" ht="15.75" customHeight="1" x14ac:dyDescent="0.25">
      <c r="A49" s="50" t="s">
        <v>487</v>
      </c>
      <c r="B49" s="27" t="s">
        <v>488</v>
      </c>
      <c r="C49" s="166" t="e">
        <f>C47+#REF!</f>
        <v>#REF!</v>
      </c>
      <c r="D49" s="166" t="e">
        <f>D47+#REF!</f>
        <v>#REF!</v>
      </c>
      <c r="E49" s="166" t="e">
        <f>E47+#REF!</f>
        <v>#REF!</v>
      </c>
      <c r="F49" s="166" t="e">
        <f>F47+#REF!</f>
        <v>#REF!</v>
      </c>
      <c r="G49" s="166">
        <f>+G47</f>
        <v>9165462</v>
      </c>
    </row>
    <row r="50" spans="1:7" ht="15.75" customHeight="1" x14ac:dyDescent="0.25"/>
    <row r="51" spans="1:7" ht="15.75" customHeight="1" x14ac:dyDescent="0.25"/>
    <row r="52" spans="1:7" ht="15.75" customHeight="1" x14ac:dyDescent="0.25"/>
    <row r="53" spans="1:7" ht="15.75" customHeight="1" x14ac:dyDescent="0.25"/>
    <row r="54" spans="1:7" ht="15.75" customHeight="1" x14ac:dyDescent="0.25"/>
    <row r="55" spans="1:7" ht="15.75" customHeight="1" x14ac:dyDescent="0.25"/>
    <row r="56" spans="1:7" ht="15.75" customHeight="1" x14ac:dyDescent="0.25"/>
    <row r="57" spans="1:7" ht="15.75" customHeight="1" x14ac:dyDescent="0.25"/>
    <row r="58" spans="1:7" ht="15.75" customHeight="1" x14ac:dyDescent="0.25"/>
    <row r="59" spans="1:7" ht="15.75" customHeight="1" x14ac:dyDescent="0.25"/>
    <row r="60" spans="1:7" ht="15.75" customHeight="1" x14ac:dyDescent="0.25"/>
    <row r="61" spans="1:7" ht="15.75" customHeight="1" x14ac:dyDescent="0.25"/>
    <row r="62" spans="1:7" ht="15.75" customHeight="1" x14ac:dyDescent="0.25"/>
    <row r="63" spans="1:7" ht="15.75" customHeight="1" x14ac:dyDescent="0.25"/>
    <row r="64" spans="1:7"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8DE5"/>
    <pageSetUpPr fitToPage="1"/>
  </sheetPr>
  <dimension ref="A1:Z988"/>
  <sheetViews>
    <sheetView view="pageBreakPreview" topLeftCell="A9" zoomScale="130" zoomScaleNormal="100" zoomScaleSheetLayoutView="130" workbookViewId="0">
      <selection activeCell="A54" sqref="A54"/>
    </sheetView>
  </sheetViews>
  <sheetFormatPr defaultColWidth="14.42578125" defaultRowHeight="15" x14ac:dyDescent="0.25"/>
  <cols>
    <col min="1" max="1" width="77.42578125" customWidth="1"/>
    <col min="2" max="2" width="18" customWidth="1"/>
    <col min="3" max="6" width="18" hidden="1" customWidth="1"/>
    <col min="7" max="7" width="18" customWidth="1"/>
    <col min="8" max="8" width="12.28515625" customWidth="1"/>
    <col min="9" max="10" width="10.28515625" customWidth="1"/>
    <col min="11" max="11" width="12.28515625" customWidth="1"/>
    <col min="12" max="26" width="10.28515625" customWidth="1"/>
  </cols>
  <sheetData>
    <row r="1" spans="1:26" ht="15.75" x14ac:dyDescent="0.25">
      <c r="A1" s="9"/>
      <c r="B1" s="10"/>
      <c r="C1" s="11"/>
      <c r="D1" s="11"/>
      <c r="E1" s="11"/>
      <c r="F1" s="10"/>
      <c r="G1" s="13"/>
      <c r="H1" s="15"/>
      <c r="I1" s="15"/>
      <c r="J1" s="15"/>
      <c r="K1" s="167"/>
      <c r="L1" s="15"/>
      <c r="M1" s="15"/>
      <c r="N1" s="15"/>
      <c r="O1" s="15"/>
      <c r="P1" s="15"/>
      <c r="Q1" s="15"/>
      <c r="R1" s="15"/>
      <c r="S1" s="15"/>
      <c r="T1" s="15"/>
      <c r="U1" s="15"/>
      <c r="V1" s="15"/>
      <c r="W1" s="15"/>
      <c r="X1" s="15"/>
      <c r="Y1" s="15"/>
      <c r="Z1" s="15"/>
    </row>
    <row r="2" spans="1:26" ht="15.75" x14ac:dyDescent="0.25">
      <c r="A2" s="861" t="s">
        <v>349</v>
      </c>
      <c r="B2" s="862"/>
      <c r="C2" s="862"/>
      <c r="D2" s="862"/>
      <c r="E2" s="862"/>
      <c r="F2" s="862"/>
      <c r="G2" s="863"/>
      <c r="H2" s="15"/>
      <c r="I2" s="15"/>
      <c r="J2" s="15"/>
      <c r="K2" s="167"/>
      <c r="L2" s="15"/>
      <c r="M2" s="15"/>
      <c r="N2" s="15"/>
      <c r="O2" s="15"/>
      <c r="P2" s="15"/>
      <c r="Q2" s="15"/>
      <c r="R2" s="15"/>
      <c r="S2" s="15"/>
      <c r="T2" s="15"/>
      <c r="U2" s="15"/>
      <c r="V2" s="15"/>
      <c r="W2" s="15"/>
      <c r="X2" s="15"/>
      <c r="Y2" s="15"/>
      <c r="Z2" s="15"/>
    </row>
    <row r="3" spans="1:26" ht="15.75" x14ac:dyDescent="0.25">
      <c r="A3" s="864" t="s">
        <v>350</v>
      </c>
      <c r="B3" s="862"/>
      <c r="C3" s="862"/>
      <c r="D3" s="862"/>
      <c r="E3" s="862"/>
      <c r="F3" s="862"/>
      <c r="G3" s="863"/>
      <c r="H3" s="15"/>
      <c r="I3" s="15"/>
      <c r="J3" s="15"/>
      <c r="K3" s="167"/>
      <c r="L3" s="15"/>
      <c r="M3" s="15"/>
      <c r="N3" s="15"/>
      <c r="O3" s="15"/>
      <c r="P3" s="15"/>
      <c r="Q3" s="15"/>
      <c r="R3" s="15"/>
      <c r="S3" s="15"/>
      <c r="T3" s="15"/>
      <c r="U3" s="15"/>
      <c r="V3" s="15"/>
      <c r="W3" s="15"/>
      <c r="X3" s="15"/>
      <c r="Y3" s="15"/>
      <c r="Z3" s="15"/>
    </row>
    <row r="4" spans="1:26" ht="15.75" x14ac:dyDescent="0.25">
      <c r="A4" s="21"/>
      <c r="B4" s="18"/>
      <c r="C4" s="18"/>
      <c r="D4" s="18"/>
      <c r="E4" s="18"/>
      <c r="F4" s="18"/>
      <c r="G4" s="23"/>
      <c r="H4" s="15"/>
      <c r="I4" s="15"/>
      <c r="J4" s="15"/>
      <c r="K4" s="167"/>
      <c r="L4" s="15"/>
      <c r="M4" s="15"/>
      <c r="N4" s="15"/>
      <c r="O4" s="15"/>
      <c r="P4" s="15"/>
      <c r="Q4" s="15"/>
      <c r="R4" s="15"/>
      <c r="S4" s="15"/>
      <c r="T4" s="15"/>
      <c r="U4" s="15"/>
      <c r="V4" s="15"/>
      <c r="W4" s="15"/>
      <c r="X4" s="15"/>
      <c r="Y4" s="15"/>
      <c r="Z4" s="15"/>
    </row>
    <row r="5" spans="1:26" ht="15.75" x14ac:dyDescent="0.25">
      <c r="A5" s="17" t="s">
        <v>631</v>
      </c>
      <c r="B5" s="24"/>
      <c r="C5" s="25"/>
      <c r="D5" s="25"/>
      <c r="E5" s="25"/>
      <c r="F5" s="24"/>
      <c r="G5" s="19"/>
      <c r="H5" s="15"/>
      <c r="I5" s="15"/>
      <c r="J5" s="15"/>
      <c r="K5" s="167"/>
      <c r="L5" s="15"/>
      <c r="M5" s="15"/>
      <c r="N5" s="15"/>
      <c r="O5" s="15"/>
      <c r="P5" s="15"/>
      <c r="Q5" s="15"/>
      <c r="R5" s="15"/>
      <c r="S5" s="15"/>
      <c r="T5" s="15"/>
      <c r="U5" s="15"/>
      <c r="V5" s="15"/>
      <c r="W5" s="15"/>
      <c r="X5" s="15"/>
      <c r="Y5" s="15"/>
      <c r="Z5" s="15"/>
    </row>
    <row r="6" spans="1:26" ht="15.75" x14ac:dyDescent="0.25">
      <c r="A6" s="17"/>
      <c r="B6" s="24"/>
      <c r="C6" s="25"/>
      <c r="D6" s="25"/>
      <c r="E6" s="25"/>
      <c r="F6" s="24"/>
      <c r="G6" s="19"/>
      <c r="H6" s="15"/>
      <c r="I6" s="15"/>
      <c r="J6" s="15"/>
      <c r="K6" s="167"/>
      <c r="L6" s="15"/>
      <c r="M6" s="15"/>
      <c r="N6" s="15"/>
      <c r="O6" s="15"/>
      <c r="P6" s="15"/>
      <c r="Q6" s="15"/>
      <c r="R6" s="15"/>
      <c r="S6" s="15"/>
      <c r="T6" s="15"/>
      <c r="U6" s="15"/>
      <c r="V6" s="15"/>
      <c r="W6" s="15"/>
      <c r="X6" s="15"/>
      <c r="Y6" s="15"/>
      <c r="Z6" s="15"/>
    </row>
    <row r="7" spans="1:26" ht="15.75" x14ac:dyDescent="0.25">
      <c r="A7" s="865" t="s">
        <v>352</v>
      </c>
      <c r="B7" s="866"/>
      <c r="C7" s="866"/>
      <c r="D7" s="866"/>
      <c r="E7" s="866"/>
      <c r="F7" s="866"/>
      <c r="G7" s="867"/>
      <c r="H7" s="15"/>
      <c r="I7" s="15"/>
      <c r="J7" s="15"/>
      <c r="K7" s="167"/>
      <c r="L7" s="15"/>
      <c r="M7" s="15"/>
      <c r="N7" s="15"/>
      <c r="O7" s="15"/>
      <c r="P7" s="15"/>
      <c r="Q7" s="15"/>
      <c r="R7" s="15"/>
      <c r="S7" s="15"/>
      <c r="T7" s="15"/>
      <c r="U7" s="15"/>
      <c r="V7" s="15"/>
      <c r="W7" s="15"/>
      <c r="X7" s="15"/>
      <c r="Y7" s="15"/>
      <c r="Z7" s="15"/>
    </row>
    <row r="8" spans="1:26" ht="15.75" x14ac:dyDescent="0.25">
      <c r="A8" s="868" t="s">
        <v>353</v>
      </c>
      <c r="B8" s="857" t="s">
        <v>354</v>
      </c>
      <c r="C8" s="870" t="s">
        <v>355</v>
      </c>
      <c r="D8" s="872" t="s">
        <v>356</v>
      </c>
      <c r="E8" s="873"/>
      <c r="F8" s="874"/>
      <c r="G8" s="857" t="s">
        <v>357</v>
      </c>
      <c r="H8" s="15"/>
      <c r="I8" s="15"/>
      <c r="J8" s="15"/>
      <c r="K8" s="167"/>
      <c r="L8" s="15"/>
      <c r="M8" s="15"/>
      <c r="N8" s="15"/>
      <c r="O8" s="15"/>
      <c r="P8" s="15"/>
      <c r="Q8" s="15"/>
      <c r="R8" s="15"/>
      <c r="S8" s="15"/>
      <c r="T8" s="15"/>
      <c r="U8" s="15"/>
      <c r="V8" s="15"/>
      <c r="W8" s="15"/>
      <c r="X8" s="15"/>
      <c r="Y8" s="15"/>
      <c r="Z8" s="15"/>
    </row>
    <row r="9" spans="1:26" ht="15.75" x14ac:dyDescent="0.25">
      <c r="A9" s="858"/>
      <c r="B9" s="858"/>
      <c r="C9" s="871"/>
      <c r="D9" s="28" t="s">
        <v>358</v>
      </c>
      <c r="E9" s="29" t="s">
        <v>359</v>
      </c>
      <c r="F9" s="875" t="s">
        <v>360</v>
      </c>
      <c r="G9" s="858"/>
      <c r="H9" s="15"/>
      <c r="I9" s="15"/>
      <c r="J9" s="15"/>
      <c r="K9" s="167"/>
      <c r="L9" s="15"/>
      <c r="M9" s="15"/>
      <c r="N9" s="15"/>
      <c r="O9" s="15"/>
      <c r="P9" s="15"/>
      <c r="Q9" s="15"/>
      <c r="R9" s="15"/>
      <c r="S9" s="15"/>
      <c r="T9" s="15"/>
      <c r="U9" s="15"/>
      <c r="V9" s="15"/>
      <c r="W9" s="15"/>
      <c r="X9" s="15"/>
      <c r="Y9" s="15"/>
      <c r="Z9" s="15"/>
    </row>
    <row r="10" spans="1:26" ht="15.75" x14ac:dyDescent="0.25">
      <c r="A10" s="858"/>
      <c r="B10" s="858"/>
      <c r="C10" s="30" t="s">
        <v>361</v>
      </c>
      <c r="D10" s="31" t="s">
        <v>361</v>
      </c>
      <c r="E10" s="32" t="s">
        <v>362</v>
      </c>
      <c r="F10" s="860"/>
      <c r="G10" s="442" t="s">
        <v>2717</v>
      </c>
      <c r="H10" s="15"/>
      <c r="I10" s="15"/>
      <c r="J10" s="15"/>
      <c r="K10" s="167"/>
      <c r="L10" s="15"/>
      <c r="M10" s="15"/>
      <c r="N10" s="15"/>
      <c r="O10" s="15"/>
      <c r="P10" s="15"/>
      <c r="Q10" s="15"/>
      <c r="R10" s="15"/>
      <c r="S10" s="15"/>
      <c r="T10" s="15"/>
      <c r="U10" s="15"/>
      <c r="V10" s="15"/>
      <c r="W10" s="15"/>
      <c r="X10" s="15"/>
      <c r="Y10" s="15"/>
      <c r="Z10" s="15"/>
    </row>
    <row r="11" spans="1:26" ht="15.75" x14ac:dyDescent="0.25">
      <c r="A11" s="869"/>
      <c r="B11" s="869"/>
      <c r="C11" s="33">
        <v>2024</v>
      </c>
      <c r="D11" s="34">
        <v>2025</v>
      </c>
      <c r="E11" s="35">
        <v>2025</v>
      </c>
      <c r="F11" s="34">
        <v>2025</v>
      </c>
      <c r="G11" s="36" t="s">
        <v>2668</v>
      </c>
      <c r="H11" s="15"/>
      <c r="I11" s="15"/>
      <c r="J11" s="15"/>
      <c r="K11" s="167"/>
      <c r="L11" s="15"/>
      <c r="M11" s="15"/>
      <c r="N11" s="15"/>
      <c r="O11" s="15"/>
      <c r="P11" s="15"/>
      <c r="Q11" s="15"/>
      <c r="R11" s="15"/>
      <c r="S11" s="15"/>
      <c r="T11" s="15"/>
      <c r="U11" s="15"/>
      <c r="V11" s="15"/>
      <c r="W11" s="15"/>
      <c r="X11" s="15"/>
      <c r="Y11" s="15"/>
      <c r="Z11" s="15"/>
    </row>
    <row r="12" spans="1:26" ht="15.75" x14ac:dyDescent="0.25">
      <c r="A12" s="9" t="s">
        <v>364</v>
      </c>
      <c r="B12" s="38"/>
      <c r="C12" s="42"/>
      <c r="D12" s="42"/>
      <c r="E12" s="42"/>
      <c r="F12" s="42"/>
      <c r="G12" s="37"/>
      <c r="K12" s="168"/>
    </row>
    <row r="13" spans="1:26" ht="15.75" x14ac:dyDescent="0.25">
      <c r="A13" s="17" t="s">
        <v>622</v>
      </c>
      <c r="B13" s="41"/>
      <c r="C13" s="42"/>
      <c r="D13" s="42"/>
      <c r="E13" s="42"/>
      <c r="F13" s="42"/>
      <c r="G13" s="42"/>
      <c r="K13" s="168"/>
    </row>
    <row r="14" spans="1:26" ht="15.75" x14ac:dyDescent="0.25">
      <c r="A14" s="17" t="s">
        <v>366</v>
      </c>
      <c r="B14" s="41"/>
      <c r="C14" s="42"/>
      <c r="D14" s="42"/>
      <c r="E14" s="42"/>
      <c r="F14" s="19"/>
      <c r="G14" s="19"/>
      <c r="K14" s="168"/>
    </row>
    <row r="15" spans="1:26" ht="15.75" x14ac:dyDescent="0.25">
      <c r="A15" s="44" t="s">
        <v>367</v>
      </c>
      <c r="B15" s="41" t="s">
        <v>121</v>
      </c>
      <c r="C15" s="43">
        <v>272824.84000000003</v>
      </c>
      <c r="D15" s="43">
        <v>140136</v>
      </c>
      <c r="E15" s="45">
        <f>F15-D15</f>
        <v>553704</v>
      </c>
      <c r="F15" s="43">
        <v>693840</v>
      </c>
      <c r="G15" s="43">
        <v>724176</v>
      </c>
      <c r="K15" s="168"/>
    </row>
    <row r="16" spans="1:26" ht="15.75" x14ac:dyDescent="0.25">
      <c r="A16" s="17" t="s">
        <v>368</v>
      </c>
      <c r="B16" s="41"/>
      <c r="C16" s="46"/>
      <c r="D16" s="46"/>
      <c r="E16" s="45"/>
      <c r="F16" s="43"/>
      <c r="G16" s="43"/>
      <c r="K16" s="168"/>
    </row>
    <row r="17" spans="1:11" ht="15.75" x14ac:dyDescent="0.25">
      <c r="A17" s="44" t="s">
        <v>369</v>
      </c>
      <c r="B17" s="41" t="s">
        <v>125</v>
      </c>
      <c r="C17" s="43">
        <v>24000</v>
      </c>
      <c r="D17" s="43">
        <v>12000</v>
      </c>
      <c r="E17" s="45">
        <f t="shared" ref="E17:E20" si="0">F17-D17</f>
        <v>60000</v>
      </c>
      <c r="F17" s="43">
        <v>72000</v>
      </c>
      <c r="G17" s="43">
        <v>72000</v>
      </c>
      <c r="K17" s="168"/>
    </row>
    <row r="18" spans="1:11" ht="15.75" x14ac:dyDescent="0.25">
      <c r="A18" s="44" t="s">
        <v>373</v>
      </c>
      <c r="B18" s="41" t="s">
        <v>131</v>
      </c>
      <c r="C18" s="43">
        <v>7000</v>
      </c>
      <c r="D18" s="43">
        <v>7000</v>
      </c>
      <c r="E18" s="45">
        <f t="shared" si="0"/>
        <v>14000</v>
      </c>
      <c r="F18" s="43">
        <v>21000</v>
      </c>
      <c r="G18" s="43">
        <v>21000</v>
      </c>
      <c r="K18" s="168"/>
    </row>
    <row r="19" spans="1:11" ht="15.75" x14ac:dyDescent="0.25">
      <c r="A19" s="44" t="s">
        <v>374</v>
      </c>
      <c r="B19" s="41" t="s">
        <v>151</v>
      </c>
      <c r="C19" s="43">
        <v>23356</v>
      </c>
      <c r="D19" s="43">
        <v>0</v>
      </c>
      <c r="E19" s="45">
        <f t="shared" si="0"/>
        <v>57820</v>
      </c>
      <c r="F19" s="43">
        <v>57820</v>
      </c>
      <c r="G19" s="43">
        <v>60348</v>
      </c>
      <c r="K19" s="168"/>
    </row>
    <row r="20" spans="1:11" ht="15.75" x14ac:dyDescent="0.25">
      <c r="A20" s="44" t="s">
        <v>375</v>
      </c>
      <c r="B20" s="41" t="s">
        <v>153</v>
      </c>
      <c r="C20" s="43">
        <v>5000</v>
      </c>
      <c r="D20" s="43">
        <v>0</v>
      </c>
      <c r="E20" s="45">
        <f t="shared" si="0"/>
        <v>15000</v>
      </c>
      <c r="F20" s="43">
        <v>15000</v>
      </c>
      <c r="G20" s="43">
        <v>15000</v>
      </c>
      <c r="K20" s="168"/>
    </row>
    <row r="21" spans="1:11" ht="15.75" x14ac:dyDescent="0.25">
      <c r="A21" s="44" t="s">
        <v>376</v>
      </c>
      <c r="B21" s="41" t="s">
        <v>155</v>
      </c>
      <c r="C21" s="46"/>
      <c r="D21" s="46"/>
      <c r="E21" s="45"/>
      <c r="F21" s="43"/>
      <c r="G21" s="43"/>
      <c r="K21" s="168"/>
    </row>
    <row r="22" spans="1:11" ht="15.75" x14ac:dyDescent="0.25">
      <c r="A22" s="44" t="s">
        <v>623</v>
      </c>
      <c r="B22" s="41" t="s">
        <v>157</v>
      </c>
      <c r="C22" s="43">
        <v>0</v>
      </c>
      <c r="D22" s="43">
        <v>0</v>
      </c>
      <c r="E22" s="45">
        <f t="shared" ref="E22:E24" si="1">F22-D22</f>
        <v>5000</v>
      </c>
      <c r="F22" s="43">
        <v>5000</v>
      </c>
      <c r="G22" s="43">
        <v>0</v>
      </c>
      <c r="K22" s="168"/>
    </row>
    <row r="23" spans="1:11" ht="15.75" x14ac:dyDescent="0.25">
      <c r="A23" s="44" t="s">
        <v>378</v>
      </c>
      <c r="B23" s="41" t="s">
        <v>159</v>
      </c>
      <c r="C23" s="43">
        <v>0</v>
      </c>
      <c r="D23" s="43">
        <v>3000</v>
      </c>
      <c r="E23" s="45">
        <f t="shared" si="1"/>
        <v>6000</v>
      </c>
      <c r="F23" s="43">
        <v>9000</v>
      </c>
      <c r="G23" s="43">
        <v>0</v>
      </c>
      <c r="K23" s="168"/>
    </row>
    <row r="24" spans="1:11" ht="15.75" x14ac:dyDescent="0.25">
      <c r="A24" s="44" t="s">
        <v>379</v>
      </c>
      <c r="B24" s="41" t="s">
        <v>161</v>
      </c>
      <c r="C24" s="43">
        <v>22297</v>
      </c>
      <c r="D24" s="43">
        <v>23356</v>
      </c>
      <c r="E24" s="45">
        <f t="shared" si="1"/>
        <v>34464</v>
      </c>
      <c r="F24" s="43">
        <v>57820</v>
      </c>
      <c r="G24" s="43">
        <v>60348</v>
      </c>
      <c r="K24" s="168"/>
    </row>
    <row r="25" spans="1:11" ht="15.75" x14ac:dyDescent="0.25">
      <c r="A25" s="17" t="s">
        <v>380</v>
      </c>
      <c r="B25" s="41"/>
      <c r="C25" s="46"/>
      <c r="D25" s="46"/>
      <c r="E25" s="45"/>
      <c r="F25" s="43"/>
      <c r="G25" s="43"/>
      <c r="K25" s="168"/>
    </row>
    <row r="26" spans="1:11" ht="15.75" x14ac:dyDescent="0.25">
      <c r="A26" s="44" t="s">
        <v>381</v>
      </c>
      <c r="B26" s="41" t="s">
        <v>165</v>
      </c>
      <c r="C26" s="56">
        <v>32738.98</v>
      </c>
      <c r="D26" s="43">
        <v>16816.32</v>
      </c>
      <c r="E26" s="45">
        <f t="shared" ref="E26:E29" si="2">F26-D26</f>
        <v>66444.679999999993</v>
      </c>
      <c r="F26" s="43">
        <v>83261</v>
      </c>
      <c r="G26" s="43">
        <v>86902</v>
      </c>
      <c r="K26" s="168"/>
    </row>
    <row r="27" spans="1:11" ht="15.75" x14ac:dyDescent="0.25">
      <c r="A27" s="44" t="s">
        <v>382</v>
      </c>
      <c r="B27" s="41" t="s">
        <v>167</v>
      </c>
      <c r="C27" s="56">
        <v>5456.5</v>
      </c>
      <c r="D27" s="43">
        <v>2802.72</v>
      </c>
      <c r="E27" s="45">
        <f t="shared" si="2"/>
        <v>11074.28</v>
      </c>
      <c r="F27" s="43">
        <v>13877</v>
      </c>
      <c r="G27" s="43">
        <v>14484</v>
      </c>
      <c r="K27" s="168"/>
    </row>
    <row r="28" spans="1:11" ht="15.75" x14ac:dyDescent="0.25">
      <c r="A28" s="44" t="s">
        <v>383</v>
      </c>
      <c r="B28" s="41" t="s">
        <v>169</v>
      </c>
      <c r="C28" s="56">
        <v>6820.66</v>
      </c>
      <c r="D28" s="43">
        <v>3503.4</v>
      </c>
      <c r="E28" s="45">
        <f t="shared" si="2"/>
        <v>13843.6</v>
      </c>
      <c r="F28" s="43">
        <v>17347</v>
      </c>
      <c r="G28" s="43">
        <v>18106</v>
      </c>
      <c r="K28" s="168"/>
    </row>
    <row r="29" spans="1:11" ht="15.75" x14ac:dyDescent="0.25">
      <c r="A29" s="44" t="s">
        <v>384</v>
      </c>
      <c r="B29" s="41" t="s">
        <v>171</v>
      </c>
      <c r="C29" s="56">
        <v>1200</v>
      </c>
      <c r="D29" s="43">
        <v>600</v>
      </c>
      <c r="E29" s="45">
        <f t="shared" si="2"/>
        <v>3000</v>
      </c>
      <c r="F29" s="43">
        <v>3600</v>
      </c>
      <c r="G29" s="43">
        <v>3600</v>
      </c>
      <c r="K29" s="168"/>
    </row>
    <row r="30" spans="1:11" ht="15.75" x14ac:dyDescent="0.25">
      <c r="A30" s="17" t="s">
        <v>624</v>
      </c>
      <c r="B30" s="41"/>
      <c r="C30" s="59"/>
      <c r="D30" s="46"/>
      <c r="E30" s="45"/>
      <c r="F30" s="43"/>
      <c r="G30" s="43"/>
      <c r="K30" s="168"/>
    </row>
    <row r="31" spans="1:11" ht="15.75" x14ac:dyDescent="0.25">
      <c r="A31" s="44" t="s">
        <v>387</v>
      </c>
      <c r="B31" s="41" t="s">
        <v>181</v>
      </c>
      <c r="C31" s="56">
        <v>131183.51999999999</v>
      </c>
      <c r="D31" s="43">
        <v>0</v>
      </c>
      <c r="E31" s="45">
        <f t="shared" ref="E31:E32" si="3">F31-D31</f>
        <v>27866</v>
      </c>
      <c r="F31" s="43">
        <v>27866</v>
      </c>
      <c r="G31" s="43">
        <v>29084</v>
      </c>
      <c r="K31" s="168"/>
    </row>
    <row r="32" spans="1:11" ht="15.75" x14ac:dyDescent="0.25">
      <c r="A32" s="44" t="s">
        <v>388</v>
      </c>
      <c r="B32" s="41" t="s">
        <v>183</v>
      </c>
      <c r="C32" s="56">
        <v>5000</v>
      </c>
      <c r="D32" s="43">
        <v>0</v>
      </c>
      <c r="E32" s="45">
        <f t="shared" si="3"/>
        <v>15000</v>
      </c>
      <c r="F32" s="43">
        <v>15000</v>
      </c>
      <c r="G32" s="43">
        <v>15000</v>
      </c>
      <c r="K32" s="168"/>
    </row>
    <row r="33" spans="1:11" ht="31.5" x14ac:dyDescent="0.25">
      <c r="A33" s="88" t="s">
        <v>625</v>
      </c>
      <c r="B33" s="41"/>
      <c r="C33" s="56"/>
      <c r="D33" s="43"/>
      <c r="E33" s="45"/>
      <c r="F33" s="43"/>
      <c r="G33" s="43">
        <v>18991</v>
      </c>
      <c r="K33" s="168"/>
    </row>
    <row r="34" spans="1:11" ht="15.75" x14ac:dyDescent="0.25">
      <c r="A34" s="17" t="s">
        <v>632</v>
      </c>
      <c r="B34" s="41"/>
      <c r="C34" s="97">
        <f t="shared" ref="C34:D34" si="4">SUM(C15:C32)</f>
        <v>536877.5</v>
      </c>
      <c r="D34" s="54">
        <f t="shared" si="4"/>
        <v>209214.44</v>
      </c>
      <c r="E34" s="54">
        <f>F34-D34</f>
        <v>883216.56</v>
      </c>
      <c r="F34" s="54">
        <f>SUM(F15:F32)</f>
        <v>1092431</v>
      </c>
      <c r="G34" s="476">
        <f>SUM(G15:G33)</f>
        <v>1139039</v>
      </c>
      <c r="K34" s="168"/>
    </row>
    <row r="35" spans="1:11" ht="15.75" x14ac:dyDescent="0.25">
      <c r="A35" s="486"/>
      <c r="B35" s="437"/>
      <c r="C35" s="497"/>
      <c r="D35" s="448"/>
      <c r="E35" s="473"/>
      <c r="F35" s="449"/>
      <c r="G35" s="508"/>
      <c r="K35" s="168"/>
    </row>
    <row r="36" spans="1:11" ht="15.75" x14ac:dyDescent="0.25">
      <c r="A36" s="456" t="s">
        <v>626</v>
      </c>
      <c r="B36" s="461"/>
      <c r="C36" s="443"/>
      <c r="D36" s="443"/>
      <c r="E36" s="443"/>
      <c r="F36" s="443"/>
      <c r="G36" s="507"/>
      <c r="K36" s="168"/>
    </row>
    <row r="37" spans="1:11" ht="15.75" x14ac:dyDescent="0.25">
      <c r="A37" s="17" t="s">
        <v>627</v>
      </c>
      <c r="B37" s="20"/>
      <c r="C37" s="56"/>
      <c r="D37" s="43"/>
      <c r="E37" s="45"/>
      <c r="F37" s="484"/>
      <c r="G37" s="507"/>
      <c r="K37" s="168"/>
    </row>
    <row r="38" spans="1:11" ht="15.75" x14ac:dyDescent="0.25">
      <c r="A38" s="44" t="s">
        <v>393</v>
      </c>
      <c r="B38" s="20" t="s">
        <v>187</v>
      </c>
      <c r="C38" s="56">
        <v>0</v>
      </c>
      <c r="D38" s="43">
        <v>0</v>
      </c>
      <c r="E38" s="45">
        <f>F38-D38</f>
        <v>75000</v>
      </c>
      <c r="F38" s="443">
        <v>75000</v>
      </c>
      <c r="G38" s="507">
        <v>75000</v>
      </c>
      <c r="K38" s="168"/>
    </row>
    <row r="39" spans="1:11" ht="15.75" x14ac:dyDescent="0.25">
      <c r="A39" s="17" t="s">
        <v>499</v>
      </c>
      <c r="B39" s="20"/>
      <c r="C39" s="59"/>
      <c r="D39" s="46"/>
      <c r="E39" s="45"/>
      <c r="F39" s="443"/>
      <c r="G39" s="507"/>
      <c r="K39" s="168"/>
    </row>
    <row r="40" spans="1:11" ht="15.75" x14ac:dyDescent="0.25">
      <c r="A40" s="44" t="s">
        <v>398</v>
      </c>
      <c r="B40" s="20" t="s">
        <v>195</v>
      </c>
      <c r="C40" s="56">
        <v>59627.85</v>
      </c>
      <c r="D40" s="56">
        <v>57670.85</v>
      </c>
      <c r="E40" s="56">
        <f t="shared" ref="E40:E43" si="5">F40-D40</f>
        <v>94.150000000001455</v>
      </c>
      <c r="F40" s="484">
        <v>57765</v>
      </c>
      <c r="G40" s="507">
        <v>74816</v>
      </c>
      <c r="K40" s="168"/>
    </row>
    <row r="41" spans="1:11" ht="15.75" x14ac:dyDescent="0.25">
      <c r="A41" s="96" t="s">
        <v>633</v>
      </c>
      <c r="B41" s="20" t="s">
        <v>221</v>
      </c>
      <c r="C41" s="56">
        <v>0</v>
      </c>
      <c r="D41" s="56">
        <v>432000</v>
      </c>
      <c r="E41" s="56">
        <f t="shared" si="5"/>
        <v>700</v>
      </c>
      <c r="F41" s="484">
        <v>432700</v>
      </c>
      <c r="G41" s="509">
        <v>395820</v>
      </c>
      <c r="K41" s="168"/>
    </row>
    <row r="42" spans="1:11" ht="15.75" x14ac:dyDescent="0.25">
      <c r="A42" s="162" t="s">
        <v>629</v>
      </c>
      <c r="B42" s="20" t="s">
        <v>223</v>
      </c>
      <c r="C42" s="56">
        <v>0</v>
      </c>
      <c r="D42" s="43">
        <v>0</v>
      </c>
      <c r="E42" s="45">
        <f t="shared" si="5"/>
        <v>0</v>
      </c>
      <c r="F42" s="484">
        <v>0</v>
      </c>
      <c r="G42" s="507">
        <v>22400</v>
      </c>
      <c r="K42" s="168"/>
    </row>
    <row r="43" spans="1:11" ht="15.75" x14ac:dyDescent="0.25">
      <c r="A43" s="44" t="s">
        <v>402</v>
      </c>
      <c r="B43" s="41" t="s">
        <v>225</v>
      </c>
      <c r="C43" s="56">
        <v>69294.87</v>
      </c>
      <c r="D43" s="43">
        <v>99797.440000000002</v>
      </c>
      <c r="E43" s="45">
        <f t="shared" si="5"/>
        <v>202.55999999999767</v>
      </c>
      <c r="F43" s="443">
        <v>100000</v>
      </c>
      <c r="G43" s="507">
        <v>109660</v>
      </c>
      <c r="K43" s="168"/>
    </row>
    <row r="44" spans="1:11" ht="15.75" x14ac:dyDescent="0.25">
      <c r="A44" s="17" t="s">
        <v>511</v>
      </c>
      <c r="B44" s="41"/>
      <c r="C44" s="26"/>
      <c r="D44" s="43"/>
      <c r="E44" s="45"/>
      <c r="F44" s="45"/>
      <c r="G44" s="494"/>
      <c r="K44" s="168"/>
    </row>
    <row r="45" spans="1:11" ht="15.75" x14ac:dyDescent="0.25">
      <c r="A45" s="44" t="s">
        <v>424</v>
      </c>
      <c r="B45" s="41" t="s">
        <v>335</v>
      </c>
      <c r="C45" s="26">
        <v>2847396</v>
      </c>
      <c r="D45" s="43">
        <f>1559920</f>
        <v>1559920</v>
      </c>
      <c r="E45" s="45">
        <f>F45-D45</f>
        <v>2234480</v>
      </c>
      <c r="F45" s="45">
        <v>3794400</v>
      </c>
      <c r="G45" s="494">
        <v>4930848</v>
      </c>
      <c r="H45" s="168">
        <f>SUM(K48:K50)</f>
        <v>4930848</v>
      </c>
      <c r="K45" s="168"/>
    </row>
    <row r="46" spans="1:11" ht="15.75" x14ac:dyDescent="0.25">
      <c r="A46" s="17" t="s">
        <v>634</v>
      </c>
      <c r="B46" s="41"/>
      <c r="C46" s="26"/>
      <c r="D46" s="43"/>
      <c r="E46" s="45"/>
      <c r="F46" s="45"/>
      <c r="G46" s="494"/>
      <c r="K46" s="168"/>
    </row>
    <row r="47" spans="1:11" ht="15.75" x14ac:dyDescent="0.25">
      <c r="A47" s="44" t="s">
        <v>635</v>
      </c>
      <c r="B47" s="41"/>
      <c r="C47" s="26"/>
      <c r="D47" s="43"/>
      <c r="E47" s="45"/>
      <c r="F47" s="45"/>
      <c r="G47" s="494"/>
      <c r="K47" s="168"/>
    </row>
    <row r="48" spans="1:11" ht="15.75" x14ac:dyDescent="0.25">
      <c r="A48" s="44" t="s">
        <v>636</v>
      </c>
      <c r="B48" s="41"/>
      <c r="C48" s="26"/>
      <c r="D48" s="43"/>
      <c r="E48" s="45"/>
      <c r="F48" s="45"/>
      <c r="G48" s="494"/>
      <c r="H48" s="57">
        <v>312</v>
      </c>
      <c r="I48" s="57">
        <v>720</v>
      </c>
      <c r="J48" s="57">
        <v>5</v>
      </c>
      <c r="K48" s="168">
        <f>H48*I48*J48</f>
        <v>1123200</v>
      </c>
    </row>
    <row r="49" spans="1:11" ht="15.75" x14ac:dyDescent="0.25">
      <c r="A49" s="44" t="s">
        <v>637</v>
      </c>
      <c r="B49" s="41"/>
      <c r="C49" s="26"/>
      <c r="D49" s="43"/>
      <c r="E49" s="45"/>
      <c r="F49" s="45"/>
      <c r="G49" s="45"/>
      <c r="K49" s="168"/>
    </row>
    <row r="50" spans="1:11" ht="15.75" x14ac:dyDescent="0.25">
      <c r="A50" s="17" t="s">
        <v>638</v>
      </c>
      <c r="B50" s="41"/>
      <c r="C50" s="26"/>
      <c r="D50" s="43"/>
      <c r="E50" s="45"/>
      <c r="F50" s="45"/>
      <c r="G50" s="45"/>
      <c r="H50" s="57">
        <v>312</v>
      </c>
      <c r="I50" s="57">
        <v>678</v>
      </c>
      <c r="J50" s="57">
        <v>18</v>
      </c>
      <c r="K50" s="168">
        <f>H50*I50*J50</f>
        <v>3807648</v>
      </c>
    </row>
    <row r="51" spans="1:11" ht="15.75" x14ac:dyDescent="0.25">
      <c r="A51" s="17" t="s">
        <v>466</v>
      </c>
      <c r="B51" s="41"/>
      <c r="C51" s="169">
        <f t="shared" ref="C51:G51" si="6">SUM(C38:C45)</f>
        <v>2976318.72</v>
      </c>
      <c r="D51" s="54">
        <f t="shared" si="6"/>
        <v>2149388.29</v>
      </c>
      <c r="E51" s="54">
        <f t="shared" si="6"/>
        <v>2310476.71</v>
      </c>
      <c r="F51" s="54">
        <f t="shared" si="6"/>
        <v>4459865</v>
      </c>
      <c r="G51" s="54">
        <f t="shared" si="6"/>
        <v>5608544</v>
      </c>
      <c r="K51" s="168"/>
    </row>
    <row r="52" spans="1:11" ht="15.75" x14ac:dyDescent="0.25">
      <c r="A52" s="17"/>
      <c r="B52" s="80"/>
      <c r="C52" s="81"/>
      <c r="D52" s="55"/>
      <c r="E52" s="45"/>
      <c r="F52" s="163"/>
      <c r="G52" s="55"/>
      <c r="K52" s="168"/>
    </row>
    <row r="53" spans="1:11" ht="15.75" x14ac:dyDescent="0.25">
      <c r="A53" s="17" t="s">
        <v>467</v>
      </c>
      <c r="B53" s="41"/>
      <c r="C53" s="56">
        <f t="shared" ref="C53:D53" si="7">C34+C51</f>
        <v>3513196.22</v>
      </c>
      <c r="D53" s="43">
        <f t="shared" si="7"/>
        <v>2358602.73</v>
      </c>
      <c r="E53" s="45">
        <f>F53-D53</f>
        <v>3193693.27</v>
      </c>
      <c r="F53" s="56">
        <f t="shared" ref="F53:G53" si="8">F34+F51</f>
        <v>5552296</v>
      </c>
      <c r="G53" s="164">
        <f t="shared" si="8"/>
        <v>6747583</v>
      </c>
      <c r="K53" s="168"/>
    </row>
    <row r="54" spans="1:11" ht="15.75" x14ac:dyDescent="0.25">
      <c r="A54" s="42"/>
      <c r="B54" s="41"/>
      <c r="C54" s="56"/>
      <c r="D54" s="43"/>
      <c r="E54" s="45"/>
      <c r="F54" s="45"/>
      <c r="G54" s="62"/>
      <c r="K54" s="168"/>
    </row>
    <row r="55" spans="1:11" ht="15.75" x14ac:dyDescent="0.25">
      <c r="A55" s="482" t="s">
        <v>487</v>
      </c>
      <c r="B55" s="603" t="s">
        <v>488</v>
      </c>
      <c r="C55" s="618" t="e">
        <f>#REF!+C53</f>
        <v>#REF!</v>
      </c>
      <c r="D55" s="618" t="e">
        <f>#REF!+D53</f>
        <v>#REF!</v>
      </c>
      <c r="E55" s="498" t="e">
        <f>#REF!+E53</f>
        <v>#REF!</v>
      </c>
      <c r="F55" s="618" t="e">
        <f>#REF!+F53</f>
        <v>#REF!</v>
      </c>
      <c r="G55" s="54">
        <f>+G53</f>
        <v>6747583</v>
      </c>
      <c r="K55" s="168"/>
    </row>
    <row r="56" spans="1:11" ht="15.75" x14ac:dyDescent="0.25">
      <c r="A56" s="17"/>
      <c r="B56" s="25"/>
      <c r="C56" s="24"/>
      <c r="D56" s="24"/>
      <c r="E56" s="24"/>
      <c r="F56" s="24"/>
      <c r="K56" s="168"/>
    </row>
    <row r="57" spans="1:11" ht="15.75" x14ac:dyDescent="0.25">
      <c r="A57" s="17"/>
      <c r="B57" s="25"/>
      <c r="C57" s="24"/>
      <c r="D57" s="24"/>
      <c r="E57" s="24"/>
      <c r="F57" s="24"/>
      <c r="K57" s="168"/>
    </row>
    <row r="58" spans="1:11" ht="15.75" x14ac:dyDescent="0.25">
      <c r="A58" s="17"/>
      <c r="B58" s="25"/>
      <c r="C58" s="24"/>
      <c r="D58" s="24"/>
      <c r="E58" s="24"/>
      <c r="F58" s="24"/>
      <c r="K58" s="168"/>
    </row>
    <row r="59" spans="1:11" ht="15.75" x14ac:dyDescent="0.25">
      <c r="A59" s="17"/>
      <c r="B59" s="25"/>
      <c r="C59" s="24"/>
      <c r="D59" s="24"/>
      <c r="E59" s="24"/>
      <c r="F59" s="24"/>
      <c r="K59" s="168"/>
    </row>
    <row r="60" spans="1:11" ht="15.75" x14ac:dyDescent="0.25">
      <c r="A60" s="17"/>
      <c r="B60" s="25"/>
      <c r="C60" s="24"/>
      <c r="D60" s="24"/>
      <c r="E60" s="24"/>
      <c r="F60" s="24"/>
      <c r="K60" s="168"/>
    </row>
    <row r="61" spans="1:11" ht="15.75" x14ac:dyDescent="0.25">
      <c r="A61" s="17"/>
      <c r="B61" s="25"/>
      <c r="C61" s="24"/>
      <c r="D61" s="24"/>
      <c r="E61" s="24"/>
      <c r="F61" s="24"/>
      <c r="K61" s="168"/>
    </row>
    <row r="62" spans="1:11" ht="15.75" x14ac:dyDescent="0.25">
      <c r="A62" s="17"/>
      <c r="B62" s="25"/>
      <c r="C62" s="24"/>
      <c r="D62" s="24"/>
      <c r="E62" s="24"/>
      <c r="F62" s="24"/>
      <c r="K62" s="168"/>
    </row>
    <row r="63" spans="1:11" ht="15.75" x14ac:dyDescent="0.25">
      <c r="A63" s="17"/>
      <c r="B63" s="25"/>
      <c r="C63" s="24"/>
      <c r="D63" s="24"/>
      <c r="E63" s="24"/>
      <c r="F63" s="24"/>
      <c r="K63" s="168"/>
    </row>
    <row r="64" spans="1:11" ht="15.75" x14ac:dyDescent="0.25">
      <c r="A64" s="17"/>
      <c r="B64" s="25"/>
      <c r="C64" s="24"/>
      <c r="D64" s="24"/>
      <c r="E64" s="24"/>
      <c r="F64" s="24"/>
      <c r="K64" s="168"/>
    </row>
    <row r="65" spans="1:11" ht="15.75" x14ac:dyDescent="0.25">
      <c r="A65" s="17"/>
      <c r="B65" s="25"/>
      <c r="C65" s="24"/>
      <c r="D65" s="24"/>
      <c r="E65" s="24"/>
      <c r="F65" s="24"/>
      <c r="K65" s="168"/>
    </row>
    <row r="66" spans="1:11" ht="15.75" x14ac:dyDescent="0.25">
      <c r="A66" s="17"/>
      <c r="B66" s="25"/>
      <c r="C66" s="24"/>
      <c r="D66" s="24"/>
      <c r="E66" s="24"/>
      <c r="F66" s="24"/>
      <c r="K66" s="168"/>
    </row>
    <row r="67" spans="1:11" ht="15.75" x14ac:dyDescent="0.25">
      <c r="A67" s="17"/>
      <c r="B67" s="25"/>
      <c r="C67" s="24"/>
      <c r="D67" s="24"/>
      <c r="E67" s="24"/>
      <c r="F67" s="24"/>
      <c r="K67" s="168"/>
    </row>
    <row r="68" spans="1:11" ht="15.75" x14ac:dyDescent="0.25">
      <c r="A68" s="17"/>
      <c r="B68" s="25"/>
      <c r="C68" s="24"/>
      <c r="D68" s="24"/>
      <c r="E68" s="24"/>
      <c r="F68" s="24"/>
      <c r="K68" s="168"/>
    </row>
    <row r="69" spans="1:11" ht="15.75" x14ac:dyDescent="0.25">
      <c r="A69" s="17"/>
      <c r="B69" s="25"/>
      <c r="C69" s="24"/>
      <c r="D69" s="24"/>
      <c r="E69" s="24"/>
      <c r="F69" s="24"/>
      <c r="K69" s="168"/>
    </row>
    <row r="70" spans="1:11" ht="15.75" x14ac:dyDescent="0.25">
      <c r="A70" s="17"/>
      <c r="B70" s="25"/>
      <c r="C70" s="24"/>
      <c r="D70" s="24"/>
      <c r="E70" s="24"/>
      <c r="F70" s="24"/>
      <c r="K70" s="168"/>
    </row>
    <row r="71" spans="1:11" ht="15.75" x14ac:dyDescent="0.25">
      <c r="A71" s="17"/>
      <c r="B71" s="25"/>
      <c r="C71" s="24"/>
      <c r="D71" s="24"/>
      <c r="E71" s="24"/>
      <c r="F71" s="24"/>
      <c r="K71" s="168"/>
    </row>
    <row r="72" spans="1:11" ht="15.75" x14ac:dyDescent="0.25">
      <c r="A72" s="17"/>
      <c r="B72" s="25"/>
      <c r="C72" s="24"/>
      <c r="D72" s="24"/>
      <c r="E72" s="24"/>
      <c r="F72" s="24"/>
      <c r="K72" s="168"/>
    </row>
    <row r="73" spans="1:11" ht="15.75" x14ac:dyDescent="0.25">
      <c r="A73" s="17"/>
      <c r="B73" s="25"/>
      <c r="C73" s="24"/>
      <c r="D73" s="24"/>
      <c r="E73" s="24"/>
      <c r="F73" s="24"/>
      <c r="K73" s="168"/>
    </row>
    <row r="74" spans="1:11" ht="15.75" x14ac:dyDescent="0.25">
      <c r="A74" s="17"/>
      <c r="B74" s="25"/>
      <c r="C74" s="24"/>
      <c r="D74" s="24"/>
      <c r="E74" s="24"/>
      <c r="F74" s="24"/>
      <c r="K74" s="168"/>
    </row>
    <row r="75" spans="1:11" ht="15.75" x14ac:dyDescent="0.25">
      <c r="A75" s="17"/>
      <c r="B75" s="25"/>
      <c r="C75" s="24"/>
      <c r="D75" s="24"/>
      <c r="E75" s="24"/>
      <c r="F75" s="24"/>
      <c r="K75" s="168"/>
    </row>
    <row r="76" spans="1:11" ht="15.75" x14ac:dyDescent="0.25">
      <c r="A76" s="17"/>
      <c r="B76" s="25"/>
      <c r="C76" s="24"/>
      <c r="D76" s="24"/>
      <c r="E76" s="24"/>
      <c r="F76" s="24"/>
      <c r="K76" s="168"/>
    </row>
    <row r="77" spans="1:11" ht="15.75" x14ac:dyDescent="0.25">
      <c r="A77" s="17"/>
      <c r="B77" s="25"/>
      <c r="C77" s="24"/>
      <c r="D77" s="24"/>
      <c r="E77" s="24"/>
      <c r="F77" s="24"/>
      <c r="K77" s="168"/>
    </row>
    <row r="78" spans="1:11" ht="15.75" x14ac:dyDescent="0.25">
      <c r="A78" s="17"/>
      <c r="B78" s="25"/>
      <c r="C78" s="24"/>
      <c r="D78" s="24"/>
      <c r="E78" s="24"/>
      <c r="F78" s="24"/>
      <c r="K78" s="168"/>
    </row>
    <row r="79" spans="1:11" ht="15.75" x14ac:dyDescent="0.25">
      <c r="A79" s="17"/>
      <c r="B79" s="25"/>
      <c r="C79" s="24"/>
      <c r="D79" s="24"/>
      <c r="E79" s="24"/>
      <c r="F79" s="24"/>
      <c r="K79" s="168"/>
    </row>
    <row r="80" spans="1:11" ht="15.75" x14ac:dyDescent="0.25">
      <c r="A80" s="17"/>
      <c r="B80" s="25"/>
      <c r="C80" s="24"/>
      <c r="D80" s="24"/>
      <c r="E80" s="24"/>
      <c r="F80" s="24"/>
      <c r="K80" s="168"/>
    </row>
    <row r="81" spans="1:11" ht="15.75" x14ac:dyDescent="0.25">
      <c r="A81" s="17"/>
      <c r="B81" s="25"/>
      <c r="C81" s="24"/>
      <c r="D81" s="24"/>
      <c r="E81" s="24"/>
      <c r="F81" s="24"/>
      <c r="K81" s="168"/>
    </row>
    <row r="82" spans="1:11" ht="15.75" x14ac:dyDescent="0.25">
      <c r="A82" s="17"/>
      <c r="B82" s="25"/>
      <c r="C82" s="24"/>
      <c r="D82" s="24"/>
      <c r="E82" s="24"/>
      <c r="F82" s="24"/>
      <c r="K82" s="168"/>
    </row>
    <row r="83" spans="1:11" ht="15.75" x14ac:dyDescent="0.25">
      <c r="A83" s="17"/>
      <c r="B83" s="25"/>
      <c r="C83" s="24"/>
      <c r="D83" s="24"/>
      <c r="E83" s="24"/>
      <c r="F83" s="24"/>
      <c r="K83" s="168"/>
    </row>
    <row r="84" spans="1:11" ht="15.75" x14ac:dyDescent="0.25">
      <c r="A84" s="17"/>
      <c r="B84" s="25"/>
      <c r="C84" s="24"/>
      <c r="D84" s="24"/>
      <c r="E84" s="24"/>
      <c r="F84" s="24"/>
      <c r="K84" s="168"/>
    </row>
    <row r="85" spans="1:11" ht="15.75" x14ac:dyDescent="0.25">
      <c r="A85" s="17"/>
      <c r="B85" s="25"/>
      <c r="C85" s="24"/>
      <c r="D85" s="24"/>
      <c r="E85" s="24"/>
      <c r="F85" s="24"/>
      <c r="K85" s="168"/>
    </row>
    <row r="86" spans="1:11" ht="15.75" x14ac:dyDescent="0.25">
      <c r="A86" s="17"/>
      <c r="B86" s="25"/>
      <c r="C86" s="24"/>
      <c r="D86" s="24"/>
      <c r="E86" s="24"/>
      <c r="F86" s="24"/>
      <c r="K86" s="168"/>
    </row>
    <row r="87" spans="1:11" ht="15.75" x14ac:dyDescent="0.25">
      <c r="A87" s="17"/>
      <c r="B87" s="25"/>
      <c r="C87" s="24"/>
      <c r="D87" s="24"/>
      <c r="E87" s="24"/>
      <c r="F87" s="24"/>
      <c r="K87" s="168"/>
    </row>
    <row r="88" spans="1:11" ht="15.75" x14ac:dyDescent="0.25">
      <c r="A88" s="17"/>
      <c r="B88" s="25"/>
      <c r="C88" s="24"/>
      <c r="D88" s="24"/>
      <c r="E88" s="24"/>
      <c r="F88" s="24"/>
      <c r="K88" s="168"/>
    </row>
    <row r="89" spans="1:11" ht="15.75" x14ac:dyDescent="0.25">
      <c r="A89" s="17"/>
      <c r="B89" s="25"/>
      <c r="C89" s="24"/>
      <c r="D89" s="24"/>
      <c r="E89" s="24"/>
      <c r="F89" s="24"/>
      <c r="K89" s="168"/>
    </row>
    <row r="90" spans="1:11" ht="15.75" x14ac:dyDescent="0.25">
      <c r="A90" s="17"/>
      <c r="B90" s="25"/>
      <c r="C90" s="24"/>
      <c r="D90" s="24"/>
      <c r="E90" s="24"/>
      <c r="F90" s="24"/>
      <c r="K90" s="168"/>
    </row>
    <row r="91" spans="1:11" ht="15.75" x14ac:dyDescent="0.25">
      <c r="A91" s="17"/>
      <c r="B91" s="25"/>
      <c r="C91" s="24"/>
      <c r="D91" s="24"/>
      <c r="E91" s="24"/>
      <c r="F91" s="24"/>
      <c r="K91" s="168"/>
    </row>
    <row r="92" spans="1:11" ht="15.75" x14ac:dyDescent="0.25">
      <c r="A92" s="17"/>
      <c r="B92" s="25"/>
      <c r="C92" s="24"/>
      <c r="D92" s="24"/>
      <c r="E92" s="24"/>
      <c r="F92" s="24"/>
      <c r="K92" s="168"/>
    </row>
    <row r="93" spans="1:11" ht="15.75" x14ac:dyDescent="0.25">
      <c r="A93" s="17"/>
      <c r="B93" s="25"/>
      <c r="C93" s="24"/>
      <c r="D93" s="24"/>
      <c r="E93" s="24"/>
      <c r="F93" s="24"/>
      <c r="K93" s="168"/>
    </row>
    <row r="94" spans="1:11" ht="15.75" x14ac:dyDescent="0.25">
      <c r="A94" s="17"/>
      <c r="B94" s="25"/>
      <c r="C94" s="24"/>
      <c r="D94" s="24"/>
      <c r="E94" s="24"/>
      <c r="F94" s="24"/>
      <c r="K94" s="168"/>
    </row>
    <row r="95" spans="1:11" ht="15.75" x14ac:dyDescent="0.25">
      <c r="A95" s="17"/>
      <c r="B95" s="25"/>
      <c r="C95" s="24"/>
      <c r="D95" s="24"/>
      <c r="E95" s="24"/>
      <c r="F95" s="24"/>
      <c r="K95" s="168"/>
    </row>
    <row r="96" spans="1:11" ht="15.75" x14ac:dyDescent="0.25">
      <c r="A96" s="17"/>
      <c r="B96" s="25"/>
      <c r="C96" s="24"/>
      <c r="D96" s="24"/>
      <c r="E96" s="24"/>
      <c r="F96" s="24"/>
      <c r="K96" s="168"/>
    </row>
    <row r="97" spans="1:11" ht="15.75" x14ac:dyDescent="0.25">
      <c r="A97" s="17"/>
      <c r="B97" s="25"/>
      <c r="C97" s="24"/>
      <c r="D97" s="24"/>
      <c r="E97" s="24"/>
      <c r="F97" s="24"/>
      <c r="K97" s="168"/>
    </row>
    <row r="98" spans="1:11" ht="15.75" x14ac:dyDescent="0.25">
      <c r="A98" s="17"/>
      <c r="B98" s="25"/>
      <c r="C98" s="24"/>
      <c r="D98" s="24"/>
      <c r="E98" s="24"/>
      <c r="F98" s="24"/>
      <c r="K98" s="168"/>
    </row>
    <row r="99" spans="1:11" ht="15.75" x14ac:dyDescent="0.25">
      <c r="A99" s="17"/>
      <c r="B99" s="25"/>
      <c r="C99" s="24"/>
      <c r="D99" s="24"/>
      <c r="E99" s="24"/>
      <c r="F99" s="24"/>
      <c r="K99" s="168"/>
    </row>
    <row r="100" spans="1:11" ht="15.75" x14ac:dyDescent="0.25">
      <c r="A100" s="17"/>
      <c r="B100" s="25"/>
      <c r="C100" s="24"/>
      <c r="D100" s="24"/>
      <c r="E100" s="24"/>
      <c r="F100" s="24"/>
      <c r="K100" s="168"/>
    </row>
    <row r="101" spans="1:11" ht="15.75" x14ac:dyDescent="0.25">
      <c r="A101" s="17"/>
      <c r="B101" s="25"/>
      <c r="C101" s="24"/>
      <c r="D101" s="24"/>
      <c r="E101" s="24"/>
      <c r="F101" s="24"/>
      <c r="K101" s="168"/>
    </row>
    <row r="102" spans="1:11" ht="15.75" x14ac:dyDescent="0.25">
      <c r="A102" s="17"/>
      <c r="B102" s="25"/>
      <c r="C102" s="24"/>
      <c r="D102" s="24"/>
      <c r="E102" s="24"/>
      <c r="F102" s="24"/>
      <c r="K102" s="168"/>
    </row>
    <row r="103" spans="1:11" ht="15.75" x14ac:dyDescent="0.25">
      <c r="A103" s="17"/>
      <c r="B103" s="25"/>
      <c r="C103" s="24"/>
      <c r="D103" s="24"/>
      <c r="E103" s="24"/>
      <c r="F103" s="24"/>
      <c r="K103" s="168"/>
    </row>
    <row r="104" spans="1:11" ht="15.75" x14ac:dyDescent="0.25">
      <c r="A104" s="17"/>
      <c r="B104" s="25"/>
      <c r="C104" s="24"/>
      <c r="D104" s="24"/>
      <c r="E104" s="24"/>
      <c r="F104" s="24"/>
      <c r="K104" s="168"/>
    </row>
    <row r="105" spans="1:11" ht="15.75" x14ac:dyDescent="0.25">
      <c r="A105" s="17"/>
      <c r="B105" s="25"/>
      <c r="C105" s="24"/>
      <c r="D105" s="24"/>
      <c r="E105" s="24"/>
      <c r="F105" s="24"/>
      <c r="K105" s="168"/>
    </row>
    <row r="106" spans="1:11" ht="15.75" x14ac:dyDescent="0.25">
      <c r="A106" s="17"/>
      <c r="B106" s="25"/>
      <c r="C106" s="24"/>
      <c r="D106" s="24"/>
      <c r="E106" s="24"/>
      <c r="F106" s="24"/>
      <c r="K106" s="168"/>
    </row>
    <row r="107" spans="1:11" ht="15.75" x14ac:dyDescent="0.25">
      <c r="A107" s="17"/>
      <c r="B107" s="25"/>
      <c r="C107" s="24"/>
      <c r="D107" s="24"/>
      <c r="E107" s="24"/>
      <c r="F107" s="24"/>
      <c r="K107" s="168"/>
    </row>
    <row r="108" spans="1:11" ht="15.75" x14ac:dyDescent="0.25">
      <c r="A108" s="17"/>
      <c r="B108" s="25"/>
      <c r="C108" s="24"/>
      <c r="D108" s="24"/>
      <c r="E108" s="24"/>
      <c r="F108" s="24"/>
      <c r="K108" s="168"/>
    </row>
    <row r="109" spans="1:11" ht="15.75" x14ac:dyDescent="0.25">
      <c r="A109" s="17"/>
      <c r="B109" s="25"/>
      <c r="C109" s="24"/>
      <c r="D109" s="24"/>
      <c r="E109" s="24"/>
      <c r="F109" s="24"/>
      <c r="K109" s="168"/>
    </row>
    <row r="110" spans="1:11" ht="15.75" x14ac:dyDescent="0.25">
      <c r="A110" s="17"/>
      <c r="B110" s="25"/>
      <c r="C110" s="24"/>
      <c r="D110" s="24"/>
      <c r="E110" s="24"/>
      <c r="F110" s="24"/>
      <c r="K110" s="168"/>
    </row>
    <row r="111" spans="1:11" ht="15.75" x14ac:dyDescent="0.25">
      <c r="A111" s="17"/>
      <c r="B111" s="25"/>
      <c r="C111" s="24"/>
      <c r="D111" s="24"/>
      <c r="E111" s="24"/>
      <c r="F111" s="24"/>
      <c r="K111" s="168"/>
    </row>
    <row r="112" spans="1:11" ht="15.75" x14ac:dyDescent="0.25">
      <c r="A112" s="17"/>
      <c r="B112" s="25"/>
      <c r="C112" s="24"/>
      <c r="D112" s="24"/>
      <c r="E112" s="24"/>
      <c r="F112" s="24"/>
      <c r="K112" s="168"/>
    </row>
    <row r="113" spans="1:11" ht="15.75" x14ac:dyDescent="0.25">
      <c r="A113" s="17"/>
      <c r="B113" s="25"/>
      <c r="C113" s="24"/>
      <c r="D113" s="24"/>
      <c r="E113" s="24"/>
      <c r="F113" s="24"/>
      <c r="K113" s="168"/>
    </row>
    <row r="114" spans="1:11" ht="15.75" x14ac:dyDescent="0.25">
      <c r="A114" s="17"/>
      <c r="B114" s="25"/>
      <c r="C114" s="24"/>
      <c r="D114" s="24"/>
      <c r="E114" s="24"/>
      <c r="F114" s="24"/>
      <c r="K114" s="168"/>
    </row>
    <row r="115" spans="1:11" ht="15.75" x14ac:dyDescent="0.25">
      <c r="A115" s="17"/>
      <c r="B115" s="25"/>
      <c r="C115" s="24"/>
      <c r="D115" s="24"/>
      <c r="E115" s="24"/>
      <c r="F115" s="24"/>
      <c r="K115" s="168"/>
    </row>
    <row r="116" spans="1:11" ht="15.75" x14ac:dyDescent="0.25">
      <c r="A116" s="17"/>
      <c r="B116" s="25"/>
      <c r="C116" s="24"/>
      <c r="D116" s="24"/>
      <c r="E116" s="24"/>
      <c r="F116" s="24"/>
      <c r="K116" s="168"/>
    </row>
    <row r="117" spans="1:11" ht="15.75" x14ac:dyDescent="0.25">
      <c r="A117" s="17"/>
      <c r="B117" s="25"/>
      <c r="C117" s="24"/>
      <c r="D117" s="24"/>
      <c r="E117" s="24"/>
      <c r="F117" s="24"/>
      <c r="K117" s="168"/>
    </row>
    <row r="118" spans="1:11" ht="15.75" x14ac:dyDescent="0.25">
      <c r="A118" s="17"/>
      <c r="B118" s="25"/>
      <c r="C118" s="24"/>
      <c r="D118" s="24"/>
      <c r="E118" s="24"/>
      <c r="F118" s="24"/>
      <c r="K118" s="168"/>
    </row>
    <row r="119" spans="1:11" ht="15.75" x14ac:dyDescent="0.25">
      <c r="A119" s="17"/>
      <c r="B119" s="25"/>
      <c r="C119" s="24"/>
      <c r="D119" s="24"/>
      <c r="E119" s="24"/>
      <c r="F119" s="24"/>
      <c r="K119" s="168"/>
    </row>
    <row r="120" spans="1:11" ht="15.75" x14ac:dyDescent="0.25">
      <c r="A120" s="17"/>
      <c r="B120" s="25"/>
      <c r="C120" s="24"/>
      <c r="D120" s="24"/>
      <c r="E120" s="24"/>
      <c r="F120" s="24"/>
      <c r="K120" s="168"/>
    </row>
    <row r="121" spans="1:11" ht="15.75" x14ac:dyDescent="0.25">
      <c r="A121" s="17"/>
      <c r="B121" s="25"/>
      <c r="C121" s="24"/>
      <c r="D121" s="24"/>
      <c r="E121" s="24"/>
      <c r="F121" s="24"/>
      <c r="K121" s="168"/>
    </row>
    <row r="122" spans="1:11" ht="15.75" x14ac:dyDescent="0.25">
      <c r="A122" s="17"/>
      <c r="B122" s="25"/>
      <c r="C122" s="24"/>
      <c r="D122" s="24"/>
      <c r="E122" s="24"/>
      <c r="F122" s="24"/>
      <c r="K122" s="168"/>
    </row>
    <row r="123" spans="1:11" ht="15.75" x14ac:dyDescent="0.25">
      <c r="A123" s="17"/>
      <c r="B123" s="25"/>
      <c r="C123" s="24"/>
      <c r="D123" s="24"/>
      <c r="E123" s="24"/>
      <c r="F123" s="24"/>
      <c r="K123" s="168"/>
    </row>
    <row r="124" spans="1:11" ht="15.75" x14ac:dyDescent="0.25">
      <c r="A124" s="17"/>
      <c r="B124" s="25"/>
      <c r="C124" s="24"/>
      <c r="D124" s="24"/>
      <c r="E124" s="24"/>
      <c r="F124" s="24"/>
      <c r="K124" s="168"/>
    </row>
    <row r="125" spans="1:11" ht="15.75" x14ac:dyDescent="0.25">
      <c r="A125" s="17"/>
      <c r="B125" s="25"/>
      <c r="C125" s="24"/>
      <c r="D125" s="24"/>
      <c r="E125" s="24"/>
      <c r="F125" s="24"/>
      <c r="K125" s="168"/>
    </row>
    <row r="126" spans="1:11" ht="15.75" x14ac:dyDescent="0.25">
      <c r="A126" s="17"/>
      <c r="B126" s="25"/>
      <c r="C126" s="24"/>
      <c r="D126" s="24"/>
      <c r="E126" s="24"/>
      <c r="F126" s="24"/>
      <c r="K126" s="168"/>
    </row>
    <row r="127" spans="1:11" ht="15.75" x14ac:dyDescent="0.25">
      <c r="A127" s="17"/>
      <c r="B127" s="25"/>
      <c r="C127" s="24"/>
      <c r="D127" s="24"/>
      <c r="E127" s="24"/>
      <c r="F127" s="24"/>
      <c r="K127" s="168"/>
    </row>
    <row r="128" spans="1:11" ht="15.75" x14ac:dyDescent="0.25">
      <c r="A128" s="17"/>
      <c r="B128" s="25"/>
      <c r="C128" s="24"/>
      <c r="D128" s="24"/>
      <c r="E128" s="24"/>
      <c r="F128" s="24"/>
      <c r="K128" s="168"/>
    </row>
    <row r="129" spans="1:11" ht="15.75" x14ac:dyDescent="0.25">
      <c r="A129" s="17"/>
      <c r="B129" s="25"/>
      <c r="C129" s="24"/>
      <c r="D129" s="24"/>
      <c r="E129" s="24"/>
      <c r="F129" s="24"/>
      <c r="K129" s="168"/>
    </row>
    <row r="130" spans="1:11" ht="15.75" x14ac:dyDescent="0.25">
      <c r="A130" s="17"/>
      <c r="B130" s="25"/>
      <c r="C130" s="24"/>
      <c r="D130" s="24"/>
      <c r="E130" s="24"/>
      <c r="F130" s="24"/>
      <c r="K130" s="168"/>
    </row>
    <row r="131" spans="1:11" ht="15.75" x14ac:dyDescent="0.25">
      <c r="A131" s="17"/>
      <c r="B131" s="25"/>
      <c r="C131" s="24"/>
      <c r="D131" s="24"/>
      <c r="E131" s="24"/>
      <c r="F131" s="24"/>
      <c r="K131" s="168"/>
    </row>
    <row r="132" spans="1:11" ht="15.75" x14ac:dyDescent="0.25">
      <c r="A132" s="17"/>
      <c r="B132" s="25"/>
      <c r="C132" s="24"/>
      <c r="D132" s="24"/>
      <c r="E132" s="24"/>
      <c r="F132" s="24"/>
      <c r="K132" s="168"/>
    </row>
    <row r="133" spans="1:11" ht="15.75" x14ac:dyDescent="0.25">
      <c r="A133" s="17"/>
      <c r="B133" s="25"/>
      <c r="C133" s="24"/>
      <c r="D133" s="24"/>
      <c r="E133" s="24"/>
      <c r="F133" s="24"/>
      <c r="K133" s="168"/>
    </row>
    <row r="134" spans="1:11" ht="15.75" x14ac:dyDescent="0.25">
      <c r="A134" s="17"/>
      <c r="B134" s="25"/>
      <c r="C134" s="24"/>
      <c r="D134" s="24"/>
      <c r="E134" s="24"/>
      <c r="F134" s="24"/>
      <c r="K134" s="168"/>
    </row>
    <row r="135" spans="1:11" ht="15.75" x14ac:dyDescent="0.25">
      <c r="A135" s="17"/>
      <c r="B135" s="25"/>
      <c r="C135" s="24"/>
      <c r="D135" s="24"/>
      <c r="E135" s="24"/>
      <c r="F135" s="24"/>
      <c r="K135" s="168"/>
    </row>
    <row r="136" spans="1:11" ht="15.75" x14ac:dyDescent="0.25">
      <c r="A136" s="17"/>
      <c r="B136" s="25"/>
      <c r="C136" s="24"/>
      <c r="D136" s="24"/>
      <c r="E136" s="24"/>
      <c r="F136" s="24"/>
      <c r="K136" s="168"/>
    </row>
    <row r="137" spans="1:11" ht="15.75" x14ac:dyDescent="0.25">
      <c r="A137" s="17"/>
      <c r="B137" s="25"/>
      <c r="C137" s="24"/>
      <c r="D137" s="24"/>
      <c r="E137" s="24"/>
      <c r="F137" s="24"/>
      <c r="K137" s="168"/>
    </row>
    <row r="138" spans="1:11" ht="15.75" x14ac:dyDescent="0.25">
      <c r="A138" s="17"/>
      <c r="B138" s="25"/>
      <c r="C138" s="24"/>
      <c r="D138" s="24"/>
      <c r="E138" s="24"/>
      <c r="F138" s="24"/>
      <c r="K138" s="168"/>
    </row>
    <row r="139" spans="1:11" ht="15.75" x14ac:dyDescent="0.25">
      <c r="A139" s="17"/>
      <c r="B139" s="25"/>
      <c r="C139" s="24"/>
      <c r="D139" s="24"/>
      <c r="E139" s="24"/>
      <c r="F139" s="24"/>
      <c r="K139" s="168"/>
    </row>
    <row r="140" spans="1:11" ht="15.75" x14ac:dyDescent="0.25">
      <c r="A140" s="17"/>
      <c r="B140" s="25"/>
      <c r="C140" s="24"/>
      <c r="D140" s="24"/>
      <c r="E140" s="24"/>
      <c r="F140" s="24"/>
      <c r="K140" s="168"/>
    </row>
    <row r="141" spans="1:11" ht="15.75" x14ac:dyDescent="0.25">
      <c r="A141" s="17"/>
      <c r="B141" s="25"/>
      <c r="C141" s="24"/>
      <c r="D141" s="24"/>
      <c r="E141" s="24"/>
      <c r="F141" s="24"/>
      <c r="K141" s="168"/>
    </row>
    <row r="142" spans="1:11" ht="15.75" x14ac:dyDescent="0.25">
      <c r="A142" s="17"/>
      <c r="B142" s="25"/>
      <c r="C142" s="24"/>
      <c r="D142" s="24"/>
      <c r="E142" s="24"/>
      <c r="F142" s="24"/>
      <c r="K142" s="168"/>
    </row>
    <row r="143" spans="1:11" ht="15.75" x14ac:dyDescent="0.25">
      <c r="A143" s="17"/>
      <c r="B143" s="25"/>
      <c r="C143" s="24"/>
      <c r="D143" s="24"/>
      <c r="E143" s="24"/>
      <c r="F143" s="24"/>
      <c r="K143" s="168"/>
    </row>
    <row r="144" spans="1:11" ht="15.75" x14ac:dyDescent="0.25">
      <c r="A144" s="17"/>
      <c r="B144" s="25"/>
      <c r="C144" s="24"/>
      <c r="D144" s="24"/>
      <c r="E144" s="24"/>
      <c r="F144" s="24"/>
      <c r="K144" s="168"/>
    </row>
    <row r="145" spans="1:11" ht="15.75" x14ac:dyDescent="0.25">
      <c r="A145" s="17"/>
      <c r="B145" s="25"/>
      <c r="C145" s="24"/>
      <c r="D145" s="24"/>
      <c r="E145" s="24"/>
      <c r="F145" s="24"/>
      <c r="K145" s="168"/>
    </row>
    <row r="146" spans="1:11" ht="15.75" x14ac:dyDescent="0.25">
      <c r="A146" s="17"/>
      <c r="B146" s="25"/>
      <c r="C146" s="24"/>
      <c r="D146" s="24"/>
      <c r="E146" s="24"/>
      <c r="F146" s="24"/>
      <c r="K146" s="168"/>
    </row>
    <row r="147" spans="1:11" ht="15.75" x14ac:dyDescent="0.25">
      <c r="A147" s="17"/>
      <c r="B147" s="25"/>
      <c r="C147" s="24"/>
      <c r="D147" s="24"/>
      <c r="E147" s="24"/>
      <c r="F147" s="24"/>
      <c r="K147" s="168"/>
    </row>
    <row r="148" spans="1:11" ht="15.75" x14ac:dyDescent="0.25">
      <c r="A148" s="17"/>
      <c r="B148" s="25"/>
      <c r="C148" s="24"/>
      <c r="D148" s="24"/>
      <c r="E148" s="24"/>
      <c r="F148" s="24"/>
      <c r="K148" s="168"/>
    </row>
    <row r="149" spans="1:11" ht="15.75" x14ac:dyDescent="0.25">
      <c r="A149" s="17"/>
      <c r="B149" s="25"/>
      <c r="C149" s="24"/>
      <c r="D149" s="24"/>
      <c r="E149" s="24"/>
      <c r="F149" s="24"/>
      <c r="K149" s="168"/>
    </row>
    <row r="150" spans="1:11" ht="15.75" x14ac:dyDescent="0.25">
      <c r="A150" s="17"/>
      <c r="B150" s="25"/>
      <c r="C150" s="24"/>
      <c r="D150" s="24"/>
      <c r="E150" s="24"/>
      <c r="F150" s="24"/>
      <c r="K150" s="168"/>
    </row>
    <row r="151" spans="1:11" ht="15.75" x14ac:dyDescent="0.25">
      <c r="A151" s="17"/>
      <c r="B151" s="25"/>
      <c r="C151" s="24"/>
      <c r="D151" s="24"/>
      <c r="E151" s="24"/>
      <c r="F151" s="24"/>
      <c r="K151" s="168"/>
    </row>
    <row r="152" spans="1:11" ht="15.75" x14ac:dyDescent="0.25">
      <c r="A152" s="17"/>
      <c r="B152" s="25"/>
      <c r="C152" s="24"/>
      <c r="D152" s="24"/>
      <c r="E152" s="24"/>
      <c r="F152" s="24"/>
      <c r="K152" s="168"/>
    </row>
    <row r="153" spans="1:11" ht="15.75" x14ac:dyDescent="0.25">
      <c r="A153" s="17"/>
      <c r="B153" s="25"/>
      <c r="C153" s="24"/>
      <c r="D153" s="24"/>
      <c r="E153" s="24"/>
      <c r="F153" s="24"/>
      <c r="K153" s="168"/>
    </row>
    <row r="154" spans="1:11" ht="15.75" x14ac:dyDescent="0.25">
      <c r="A154" s="17"/>
      <c r="B154" s="25"/>
      <c r="C154" s="24"/>
      <c r="D154" s="24"/>
      <c r="E154" s="24"/>
      <c r="F154" s="24"/>
      <c r="K154" s="168"/>
    </row>
    <row r="155" spans="1:11" ht="15.75" x14ac:dyDescent="0.25">
      <c r="A155" s="17"/>
      <c r="B155" s="25"/>
      <c r="C155" s="24"/>
      <c r="D155" s="24"/>
      <c r="E155" s="24"/>
      <c r="F155" s="24"/>
      <c r="K155" s="168"/>
    </row>
    <row r="156" spans="1:11" ht="15.75" x14ac:dyDescent="0.25">
      <c r="A156" s="17"/>
      <c r="B156" s="25"/>
      <c r="C156" s="24"/>
      <c r="D156" s="24"/>
      <c r="E156" s="24"/>
      <c r="F156" s="24"/>
      <c r="K156" s="168"/>
    </row>
    <row r="157" spans="1:11" ht="15.75" x14ac:dyDescent="0.25">
      <c r="A157" s="17"/>
      <c r="B157" s="25"/>
      <c r="C157" s="24"/>
      <c r="D157" s="24"/>
      <c r="E157" s="24"/>
      <c r="F157" s="24"/>
      <c r="K157" s="168"/>
    </row>
    <row r="158" spans="1:11" ht="15.75" x14ac:dyDescent="0.25">
      <c r="A158" s="17"/>
      <c r="B158" s="25"/>
      <c r="C158" s="24"/>
      <c r="D158" s="24"/>
      <c r="E158" s="24"/>
      <c r="F158" s="24"/>
      <c r="K158" s="168"/>
    </row>
    <row r="159" spans="1:11" ht="15.75" x14ac:dyDescent="0.25">
      <c r="A159" s="17"/>
      <c r="B159" s="25"/>
      <c r="C159" s="24"/>
      <c r="D159" s="24"/>
      <c r="E159" s="24"/>
      <c r="F159" s="24"/>
      <c r="K159" s="168"/>
    </row>
    <row r="160" spans="1:11" ht="15.75" x14ac:dyDescent="0.25">
      <c r="A160" s="17"/>
      <c r="B160" s="25"/>
      <c r="C160" s="24"/>
      <c r="D160" s="24"/>
      <c r="E160" s="24"/>
      <c r="F160" s="24"/>
      <c r="K160" s="168"/>
    </row>
    <row r="161" spans="1:11" ht="15.75" x14ac:dyDescent="0.25">
      <c r="A161" s="17"/>
      <c r="B161" s="25"/>
      <c r="C161" s="24"/>
      <c r="D161" s="24"/>
      <c r="E161" s="24"/>
      <c r="F161" s="24"/>
      <c r="K161" s="168"/>
    </row>
    <row r="162" spans="1:11" ht="15.75" x14ac:dyDescent="0.25">
      <c r="A162" s="17"/>
      <c r="B162" s="25"/>
      <c r="C162" s="24"/>
      <c r="D162" s="24"/>
      <c r="E162" s="24"/>
      <c r="F162" s="24"/>
      <c r="K162" s="168"/>
    </row>
    <row r="163" spans="1:11" ht="15.75" x14ac:dyDescent="0.25">
      <c r="A163" s="17"/>
      <c r="B163" s="25"/>
      <c r="C163" s="24"/>
      <c r="D163" s="24"/>
      <c r="E163" s="24"/>
      <c r="F163" s="24"/>
      <c r="K163" s="168"/>
    </row>
    <row r="164" spans="1:11" ht="15.75" x14ac:dyDescent="0.25">
      <c r="A164" s="17"/>
      <c r="B164" s="25"/>
      <c r="C164" s="24"/>
      <c r="D164" s="24"/>
      <c r="E164" s="24"/>
      <c r="F164" s="24"/>
      <c r="K164" s="168"/>
    </row>
    <row r="165" spans="1:11" ht="15.75" x14ac:dyDescent="0.25">
      <c r="A165" s="17"/>
      <c r="B165" s="25"/>
      <c r="C165" s="24"/>
      <c r="D165" s="24"/>
      <c r="E165" s="24"/>
      <c r="F165" s="24"/>
      <c r="K165" s="168"/>
    </row>
    <row r="166" spans="1:11" ht="15.75" x14ac:dyDescent="0.25">
      <c r="A166" s="17"/>
      <c r="B166" s="25"/>
      <c r="C166" s="24"/>
      <c r="D166" s="24"/>
      <c r="E166" s="24"/>
      <c r="F166" s="24"/>
      <c r="K166" s="168"/>
    </row>
    <row r="167" spans="1:11" ht="15.75" x14ac:dyDescent="0.25">
      <c r="A167" s="17"/>
      <c r="B167" s="25"/>
      <c r="C167" s="24"/>
      <c r="D167" s="24"/>
      <c r="E167" s="24"/>
      <c r="F167" s="24"/>
      <c r="K167" s="168"/>
    </row>
    <row r="168" spans="1:11" ht="15.75" x14ac:dyDescent="0.25">
      <c r="A168" s="17"/>
      <c r="B168" s="25"/>
      <c r="C168" s="24"/>
      <c r="D168" s="24"/>
      <c r="E168" s="24"/>
      <c r="F168" s="24"/>
      <c r="K168" s="168"/>
    </row>
    <row r="169" spans="1:11" ht="15.75" x14ac:dyDescent="0.25">
      <c r="A169" s="17"/>
      <c r="B169" s="25"/>
      <c r="C169" s="24"/>
      <c r="D169" s="24"/>
      <c r="E169" s="24"/>
      <c r="F169" s="24"/>
      <c r="K169" s="168"/>
    </row>
    <row r="170" spans="1:11" ht="15.75" x14ac:dyDescent="0.25">
      <c r="A170" s="17"/>
      <c r="B170" s="25"/>
      <c r="C170" s="24"/>
      <c r="D170" s="24"/>
      <c r="E170" s="24"/>
      <c r="F170" s="24"/>
      <c r="K170" s="168"/>
    </row>
    <row r="171" spans="1:11" ht="15.75" x14ac:dyDescent="0.25">
      <c r="A171" s="17"/>
      <c r="B171" s="25"/>
      <c r="C171" s="24"/>
      <c r="D171" s="24"/>
      <c r="E171" s="24"/>
      <c r="F171" s="24"/>
      <c r="K171" s="168"/>
    </row>
    <row r="172" spans="1:11" ht="15.75" x14ac:dyDescent="0.25">
      <c r="A172" s="17"/>
      <c r="B172" s="25"/>
      <c r="C172" s="24"/>
      <c r="D172" s="24"/>
      <c r="E172" s="24"/>
      <c r="F172" s="24"/>
      <c r="K172" s="168"/>
    </row>
    <row r="173" spans="1:11" ht="15.75" x14ac:dyDescent="0.25">
      <c r="A173" s="17"/>
      <c r="B173" s="25"/>
      <c r="C173" s="24"/>
      <c r="D173" s="24"/>
      <c r="E173" s="24"/>
      <c r="F173" s="24"/>
      <c r="K173" s="168"/>
    </row>
    <row r="174" spans="1:11" ht="15.75" x14ac:dyDescent="0.25">
      <c r="A174" s="17"/>
      <c r="B174" s="25"/>
      <c r="C174" s="24"/>
      <c r="D174" s="24"/>
      <c r="E174" s="24"/>
      <c r="F174" s="24"/>
      <c r="K174" s="168"/>
    </row>
    <row r="175" spans="1:11" ht="15.75" x14ac:dyDescent="0.25">
      <c r="A175" s="17"/>
      <c r="B175" s="25"/>
      <c r="C175" s="24"/>
      <c r="D175" s="24"/>
      <c r="E175" s="24"/>
      <c r="F175" s="24"/>
      <c r="K175" s="168"/>
    </row>
    <row r="176" spans="1:11" ht="15.75" x14ac:dyDescent="0.25">
      <c r="A176" s="17"/>
      <c r="B176" s="25"/>
      <c r="C176" s="24"/>
      <c r="D176" s="24"/>
      <c r="E176" s="24"/>
      <c r="F176" s="24"/>
      <c r="K176" s="168"/>
    </row>
    <row r="177" spans="1:11" ht="15.75" x14ac:dyDescent="0.25">
      <c r="A177" s="17"/>
      <c r="B177" s="25"/>
      <c r="C177" s="24"/>
      <c r="D177" s="24"/>
      <c r="E177" s="24"/>
      <c r="F177" s="24"/>
      <c r="K177" s="168"/>
    </row>
    <row r="178" spans="1:11" ht="15.75" x14ac:dyDescent="0.25">
      <c r="A178" s="17"/>
      <c r="B178" s="25"/>
      <c r="C178" s="24"/>
      <c r="D178" s="24"/>
      <c r="E178" s="24"/>
      <c r="F178" s="24"/>
      <c r="K178" s="168"/>
    </row>
    <row r="179" spans="1:11" ht="15.75" x14ac:dyDescent="0.25">
      <c r="A179" s="17"/>
      <c r="B179" s="25"/>
      <c r="C179" s="24"/>
      <c r="D179" s="24"/>
      <c r="E179" s="24"/>
      <c r="F179" s="24"/>
      <c r="K179" s="168"/>
    </row>
    <row r="180" spans="1:11" ht="15.75" x14ac:dyDescent="0.25">
      <c r="A180" s="17"/>
      <c r="B180" s="25"/>
      <c r="C180" s="24"/>
      <c r="D180" s="24"/>
      <c r="E180" s="24"/>
      <c r="F180" s="24"/>
      <c r="K180" s="168"/>
    </row>
    <row r="181" spans="1:11" ht="15.75" x14ac:dyDescent="0.25">
      <c r="A181" s="17"/>
      <c r="B181" s="25"/>
      <c r="C181" s="24"/>
      <c r="D181" s="24"/>
      <c r="E181" s="24"/>
      <c r="F181" s="24"/>
      <c r="K181" s="168"/>
    </row>
    <row r="182" spans="1:11" ht="15.75" x14ac:dyDescent="0.25">
      <c r="A182" s="17"/>
      <c r="B182" s="25"/>
      <c r="C182" s="24"/>
      <c r="D182" s="24"/>
      <c r="E182" s="24"/>
      <c r="F182" s="24"/>
      <c r="K182" s="168"/>
    </row>
    <row r="183" spans="1:11" ht="15.75" x14ac:dyDescent="0.25">
      <c r="A183" s="17"/>
      <c r="B183" s="25"/>
      <c r="C183" s="24"/>
      <c r="D183" s="24"/>
      <c r="E183" s="24"/>
      <c r="F183" s="24"/>
      <c r="K183" s="168"/>
    </row>
    <row r="184" spans="1:11" ht="15.75" x14ac:dyDescent="0.25">
      <c r="A184" s="17"/>
      <c r="B184" s="25"/>
      <c r="C184" s="24"/>
      <c r="D184" s="24"/>
      <c r="E184" s="24"/>
      <c r="F184" s="24"/>
      <c r="K184" s="168"/>
    </row>
    <row r="185" spans="1:11" ht="15.75" x14ac:dyDescent="0.25">
      <c r="A185" s="17"/>
      <c r="B185" s="25"/>
      <c r="C185" s="24"/>
      <c r="D185" s="24"/>
      <c r="E185" s="24"/>
      <c r="F185" s="24"/>
      <c r="K185" s="168"/>
    </row>
    <row r="186" spans="1:11" ht="15.75" x14ac:dyDescent="0.25">
      <c r="A186" s="17"/>
      <c r="B186" s="25"/>
      <c r="C186" s="24"/>
      <c r="D186" s="24"/>
      <c r="E186" s="24"/>
      <c r="F186" s="24"/>
      <c r="K186" s="168"/>
    </row>
    <row r="187" spans="1:11" ht="15.75" x14ac:dyDescent="0.25">
      <c r="A187" s="17"/>
      <c r="B187" s="25"/>
      <c r="C187" s="24"/>
      <c r="D187" s="24"/>
      <c r="E187" s="24"/>
      <c r="F187" s="24"/>
      <c r="K187" s="168"/>
    </row>
    <row r="188" spans="1:11" ht="15.75" x14ac:dyDescent="0.25">
      <c r="A188" s="17"/>
      <c r="B188" s="25"/>
      <c r="C188" s="24"/>
      <c r="D188" s="24"/>
      <c r="E188" s="24"/>
      <c r="F188" s="24"/>
      <c r="K188" s="168"/>
    </row>
    <row r="189" spans="1:11" ht="15.75" x14ac:dyDescent="0.25">
      <c r="A189" s="17"/>
      <c r="B189" s="25"/>
      <c r="C189" s="24"/>
      <c r="D189" s="24"/>
      <c r="E189" s="24"/>
      <c r="F189" s="24"/>
      <c r="K189" s="168"/>
    </row>
    <row r="190" spans="1:11" ht="15.75" x14ac:dyDescent="0.25">
      <c r="A190" s="17"/>
      <c r="B190" s="25"/>
      <c r="C190" s="24"/>
      <c r="D190" s="24"/>
      <c r="E190" s="24"/>
      <c r="F190" s="24"/>
      <c r="K190" s="168"/>
    </row>
    <row r="191" spans="1:11" ht="15.75" x14ac:dyDescent="0.25">
      <c r="A191" s="17"/>
      <c r="B191" s="25"/>
      <c r="C191" s="24"/>
      <c r="D191" s="24"/>
      <c r="E191" s="24"/>
      <c r="F191" s="24"/>
      <c r="K191" s="168"/>
    </row>
    <row r="192" spans="1:11" ht="15.75" x14ac:dyDescent="0.25">
      <c r="A192" s="17"/>
      <c r="B192" s="25"/>
      <c r="C192" s="24"/>
      <c r="D192" s="24"/>
      <c r="E192" s="24"/>
      <c r="F192" s="24"/>
      <c r="K192" s="168"/>
    </row>
    <row r="193" spans="1:11" ht="15.75" x14ac:dyDescent="0.25">
      <c r="A193" s="17"/>
      <c r="B193" s="25"/>
      <c r="C193" s="24"/>
      <c r="D193" s="24"/>
      <c r="E193" s="24"/>
      <c r="F193" s="24"/>
      <c r="K193" s="168"/>
    </row>
    <row r="194" spans="1:11" ht="15.75" x14ac:dyDescent="0.25">
      <c r="A194" s="17"/>
      <c r="B194" s="25"/>
      <c r="C194" s="24"/>
      <c r="D194" s="24"/>
      <c r="E194" s="24"/>
      <c r="F194" s="24"/>
      <c r="K194" s="168"/>
    </row>
    <row r="195" spans="1:11" ht="15.75" x14ac:dyDescent="0.25">
      <c r="A195" s="17"/>
      <c r="B195" s="25"/>
      <c r="C195" s="24"/>
      <c r="D195" s="24"/>
      <c r="E195" s="24"/>
      <c r="F195" s="24"/>
      <c r="K195" s="168"/>
    </row>
    <row r="196" spans="1:11" ht="15.75" x14ac:dyDescent="0.25">
      <c r="A196" s="17"/>
      <c r="B196" s="25"/>
      <c r="C196" s="24"/>
      <c r="D196" s="24"/>
      <c r="E196" s="24"/>
      <c r="F196" s="24"/>
      <c r="K196" s="168"/>
    </row>
    <row r="197" spans="1:11" ht="15.75" x14ac:dyDescent="0.25">
      <c r="A197" s="17"/>
      <c r="B197" s="25"/>
      <c r="C197" s="24"/>
      <c r="D197" s="24"/>
      <c r="E197" s="24"/>
      <c r="F197" s="24"/>
      <c r="K197" s="168"/>
    </row>
    <row r="198" spans="1:11" ht="15.75" x14ac:dyDescent="0.25">
      <c r="A198" s="17"/>
      <c r="B198" s="25"/>
      <c r="C198" s="24"/>
      <c r="D198" s="24"/>
      <c r="E198" s="24"/>
      <c r="F198" s="24"/>
      <c r="K198" s="168"/>
    </row>
    <row r="199" spans="1:11" ht="15.75" x14ac:dyDescent="0.25">
      <c r="A199" s="17"/>
      <c r="B199" s="25"/>
      <c r="C199" s="24"/>
      <c r="D199" s="24"/>
      <c r="E199" s="24"/>
      <c r="F199" s="24"/>
      <c r="K199" s="168"/>
    </row>
    <row r="200" spans="1:11" ht="15.75" x14ac:dyDescent="0.25">
      <c r="A200" s="17"/>
      <c r="B200" s="25"/>
      <c r="C200" s="24"/>
      <c r="D200" s="24"/>
      <c r="E200" s="24"/>
      <c r="F200" s="24"/>
      <c r="K200" s="168"/>
    </row>
    <row r="201" spans="1:11" ht="15.75" x14ac:dyDescent="0.25">
      <c r="A201" s="17"/>
      <c r="B201" s="25"/>
      <c r="C201" s="24"/>
      <c r="D201" s="24"/>
      <c r="E201" s="24"/>
      <c r="F201" s="24"/>
      <c r="K201" s="168"/>
    </row>
    <row r="202" spans="1:11" ht="15.75" x14ac:dyDescent="0.25">
      <c r="A202" s="17"/>
      <c r="B202" s="25"/>
      <c r="C202" s="24"/>
      <c r="D202" s="24"/>
      <c r="E202" s="24"/>
      <c r="F202" s="24"/>
      <c r="K202" s="168"/>
    </row>
    <row r="203" spans="1:11" ht="15.75" x14ac:dyDescent="0.25">
      <c r="A203" s="17"/>
      <c r="B203" s="25"/>
      <c r="C203" s="24"/>
      <c r="D203" s="24"/>
      <c r="E203" s="24"/>
      <c r="F203" s="24"/>
      <c r="K203" s="168"/>
    </row>
    <row r="204" spans="1:11" ht="15.75" x14ac:dyDescent="0.25">
      <c r="A204" s="17"/>
      <c r="B204" s="25"/>
      <c r="C204" s="24"/>
      <c r="D204" s="24"/>
      <c r="E204" s="24"/>
      <c r="F204" s="24"/>
      <c r="K204" s="168"/>
    </row>
    <row r="205" spans="1:11" ht="15.75" x14ac:dyDescent="0.25">
      <c r="A205" s="17"/>
      <c r="B205" s="25"/>
      <c r="C205" s="24"/>
      <c r="D205" s="24"/>
      <c r="E205" s="24"/>
      <c r="F205" s="24"/>
      <c r="K205" s="168"/>
    </row>
    <row r="206" spans="1:11" ht="15.75" x14ac:dyDescent="0.25">
      <c r="A206" s="17"/>
      <c r="B206" s="25"/>
      <c r="C206" s="24"/>
      <c r="D206" s="24"/>
      <c r="E206" s="24"/>
      <c r="F206" s="24"/>
      <c r="K206" s="168"/>
    </row>
    <row r="207" spans="1:11" ht="15.75" x14ac:dyDescent="0.25">
      <c r="A207" s="17"/>
      <c r="B207" s="25"/>
      <c r="C207" s="24"/>
      <c r="D207" s="24"/>
      <c r="E207" s="24"/>
      <c r="F207" s="24"/>
      <c r="K207" s="168"/>
    </row>
    <row r="208" spans="1:11" ht="15.75" x14ac:dyDescent="0.25">
      <c r="A208" s="17"/>
      <c r="B208" s="25"/>
      <c r="C208" s="24"/>
      <c r="D208" s="24"/>
      <c r="E208" s="24"/>
      <c r="F208" s="24"/>
      <c r="K208" s="168"/>
    </row>
    <row r="209" spans="1:11" ht="15.75" x14ac:dyDescent="0.25">
      <c r="A209" s="17"/>
      <c r="B209" s="25"/>
      <c r="C209" s="24"/>
      <c r="D209" s="24"/>
      <c r="E209" s="24"/>
      <c r="F209" s="24"/>
      <c r="K209" s="168"/>
    </row>
    <row r="210" spans="1:11" ht="15.75" x14ac:dyDescent="0.25">
      <c r="A210" s="17"/>
      <c r="B210" s="25"/>
      <c r="C210" s="24"/>
      <c r="D210" s="24"/>
      <c r="E210" s="24"/>
      <c r="F210" s="24"/>
      <c r="K210" s="168"/>
    </row>
    <row r="211" spans="1:11" ht="15.75" x14ac:dyDescent="0.25">
      <c r="A211" s="17"/>
      <c r="B211" s="25"/>
      <c r="C211" s="24"/>
      <c r="D211" s="24"/>
      <c r="E211" s="24"/>
      <c r="F211" s="24"/>
      <c r="K211" s="168"/>
    </row>
    <row r="212" spans="1:11" ht="15.75" x14ac:dyDescent="0.25">
      <c r="A212" s="17"/>
      <c r="B212" s="25"/>
      <c r="C212" s="24"/>
      <c r="D212" s="24"/>
      <c r="E212" s="24"/>
      <c r="F212" s="24"/>
      <c r="K212" s="168"/>
    </row>
    <row r="213" spans="1:11" ht="15.75" x14ac:dyDescent="0.25">
      <c r="A213" s="17"/>
      <c r="B213" s="25"/>
      <c r="C213" s="24"/>
      <c r="D213" s="24"/>
      <c r="E213" s="24"/>
      <c r="F213" s="24"/>
      <c r="K213" s="168"/>
    </row>
    <row r="214" spans="1:11" ht="15.75" x14ac:dyDescent="0.25">
      <c r="A214" s="17"/>
      <c r="B214" s="25"/>
      <c r="C214" s="24"/>
      <c r="D214" s="24"/>
      <c r="E214" s="24"/>
      <c r="F214" s="24"/>
      <c r="K214" s="168"/>
    </row>
    <row r="215" spans="1:11" ht="15.75" x14ac:dyDescent="0.25">
      <c r="A215" s="17"/>
      <c r="B215" s="25"/>
      <c r="C215" s="24"/>
      <c r="D215" s="24"/>
      <c r="E215" s="24"/>
      <c r="F215" s="24"/>
      <c r="K215" s="168"/>
    </row>
    <row r="216" spans="1:11" ht="15.75" x14ac:dyDescent="0.25">
      <c r="A216" s="17"/>
      <c r="B216" s="25"/>
      <c r="C216" s="24"/>
      <c r="D216" s="24"/>
      <c r="E216" s="24"/>
      <c r="F216" s="24"/>
      <c r="K216" s="168"/>
    </row>
    <row r="217" spans="1:11" ht="15.75" x14ac:dyDescent="0.25">
      <c r="A217" s="17"/>
      <c r="B217" s="25"/>
      <c r="C217" s="24"/>
      <c r="D217" s="24"/>
      <c r="E217" s="24"/>
      <c r="F217" s="24"/>
      <c r="K217" s="168"/>
    </row>
    <row r="218" spans="1:11" ht="15.75" x14ac:dyDescent="0.25">
      <c r="A218" s="17"/>
      <c r="B218" s="25"/>
      <c r="C218" s="24"/>
      <c r="D218" s="24"/>
      <c r="E218" s="24"/>
      <c r="F218" s="24"/>
      <c r="K218" s="168"/>
    </row>
    <row r="219" spans="1:11" ht="15.75" x14ac:dyDescent="0.25">
      <c r="A219" s="17"/>
      <c r="B219" s="25"/>
      <c r="C219" s="24"/>
      <c r="D219" s="24"/>
      <c r="E219" s="24"/>
      <c r="F219" s="24"/>
      <c r="K219" s="168"/>
    </row>
    <row r="220" spans="1:11" ht="15.75" x14ac:dyDescent="0.25">
      <c r="A220" s="17"/>
      <c r="B220" s="25"/>
      <c r="C220" s="24"/>
      <c r="D220" s="24"/>
      <c r="E220" s="24"/>
      <c r="F220" s="24"/>
      <c r="K220" s="168"/>
    </row>
    <row r="221" spans="1:11" ht="15.75" x14ac:dyDescent="0.25">
      <c r="A221" s="17"/>
      <c r="B221" s="25"/>
      <c r="C221" s="24"/>
      <c r="D221" s="24"/>
      <c r="E221" s="24"/>
      <c r="F221" s="24"/>
      <c r="K221" s="168"/>
    </row>
    <row r="222" spans="1:11" ht="15.75" x14ac:dyDescent="0.25">
      <c r="A222" s="17"/>
      <c r="B222" s="25"/>
      <c r="C222" s="24"/>
      <c r="D222" s="24"/>
      <c r="E222" s="24"/>
      <c r="F222" s="24"/>
      <c r="K222" s="168"/>
    </row>
    <row r="223" spans="1:11" ht="15.75" x14ac:dyDescent="0.25">
      <c r="A223" s="17"/>
      <c r="B223" s="25"/>
      <c r="C223" s="24"/>
      <c r="D223" s="24"/>
      <c r="E223" s="24"/>
      <c r="F223" s="24"/>
      <c r="K223" s="168"/>
    </row>
    <row r="224" spans="1:11" ht="15.75" x14ac:dyDescent="0.25">
      <c r="A224" s="17"/>
      <c r="B224" s="25"/>
      <c r="C224" s="24"/>
      <c r="D224" s="24"/>
      <c r="E224" s="24"/>
      <c r="F224" s="24"/>
      <c r="K224" s="168"/>
    </row>
    <row r="225" spans="1:11" ht="15.75" x14ac:dyDescent="0.25">
      <c r="A225" s="17"/>
      <c r="B225" s="25"/>
      <c r="C225" s="24"/>
      <c r="D225" s="24"/>
      <c r="E225" s="24"/>
      <c r="F225" s="24"/>
      <c r="K225" s="168"/>
    </row>
    <row r="226" spans="1:11" ht="15.75" x14ac:dyDescent="0.25">
      <c r="A226" s="17"/>
      <c r="B226" s="25"/>
      <c r="C226" s="24"/>
      <c r="D226" s="24"/>
      <c r="E226" s="24"/>
      <c r="F226" s="24"/>
      <c r="K226" s="168"/>
    </row>
    <row r="227" spans="1:11" ht="15.75" x14ac:dyDescent="0.25">
      <c r="A227" s="17"/>
      <c r="B227" s="25"/>
      <c r="C227" s="24"/>
      <c r="D227" s="24"/>
      <c r="E227" s="24"/>
      <c r="F227" s="24"/>
      <c r="K227" s="168"/>
    </row>
    <row r="228" spans="1:11" ht="15.75" x14ac:dyDescent="0.25">
      <c r="A228" s="17"/>
      <c r="B228" s="25"/>
      <c r="C228" s="24"/>
      <c r="D228" s="24"/>
      <c r="E228" s="24"/>
      <c r="F228" s="24"/>
      <c r="K228" s="168"/>
    </row>
    <row r="229" spans="1:11" ht="15.75" x14ac:dyDescent="0.25">
      <c r="A229" s="17"/>
      <c r="B229" s="25"/>
      <c r="C229" s="24"/>
      <c r="D229" s="24"/>
      <c r="E229" s="24"/>
      <c r="F229" s="24"/>
      <c r="K229" s="168"/>
    </row>
    <row r="230" spans="1:11" ht="15.75" x14ac:dyDescent="0.25">
      <c r="A230" s="17"/>
      <c r="B230" s="25"/>
      <c r="C230" s="24"/>
      <c r="D230" s="24"/>
      <c r="E230" s="24"/>
      <c r="F230" s="24"/>
      <c r="K230" s="168"/>
    </row>
    <row r="231" spans="1:11" ht="15.75" x14ac:dyDescent="0.25">
      <c r="A231" s="17"/>
      <c r="B231" s="25"/>
      <c r="C231" s="24"/>
      <c r="D231" s="24"/>
      <c r="E231" s="24"/>
      <c r="F231" s="24"/>
      <c r="K231" s="168"/>
    </row>
    <row r="232" spans="1:11" ht="15.75" x14ac:dyDescent="0.25">
      <c r="A232" s="17"/>
      <c r="B232" s="25"/>
      <c r="C232" s="24"/>
      <c r="D232" s="24"/>
      <c r="E232" s="24"/>
      <c r="F232" s="24"/>
      <c r="K232" s="168"/>
    </row>
    <row r="233" spans="1:11" ht="15.75" x14ac:dyDescent="0.25">
      <c r="A233" s="17"/>
      <c r="B233" s="25"/>
      <c r="C233" s="24"/>
      <c r="D233" s="24"/>
      <c r="E233" s="24"/>
      <c r="F233" s="24"/>
      <c r="K233" s="168"/>
    </row>
    <row r="234" spans="1:11" ht="15.75" x14ac:dyDescent="0.25">
      <c r="A234" s="17"/>
      <c r="B234" s="25"/>
      <c r="C234" s="24"/>
      <c r="D234" s="24"/>
      <c r="E234" s="24"/>
      <c r="F234" s="24"/>
      <c r="K234" s="168"/>
    </row>
    <row r="235" spans="1:11" ht="15.75" x14ac:dyDescent="0.25">
      <c r="A235" s="17"/>
      <c r="B235" s="25"/>
      <c r="C235" s="24"/>
      <c r="D235" s="24"/>
      <c r="E235" s="24"/>
      <c r="F235" s="24"/>
      <c r="K235" s="168"/>
    </row>
    <row r="236" spans="1:11" ht="15.75" x14ac:dyDescent="0.25">
      <c r="A236" s="17"/>
      <c r="B236" s="25"/>
      <c r="C236" s="24"/>
      <c r="D236" s="24"/>
      <c r="E236" s="24"/>
      <c r="F236" s="24"/>
      <c r="K236" s="168"/>
    </row>
    <row r="237" spans="1:11" ht="15.75" x14ac:dyDescent="0.25">
      <c r="A237" s="17"/>
      <c r="B237" s="25"/>
      <c r="C237" s="24"/>
      <c r="D237" s="24"/>
      <c r="E237" s="24"/>
      <c r="F237" s="24"/>
      <c r="K237" s="168"/>
    </row>
    <row r="238" spans="1:11" ht="15.75" x14ac:dyDescent="0.25">
      <c r="A238" s="17"/>
      <c r="B238" s="25"/>
      <c r="C238" s="24"/>
      <c r="D238" s="24"/>
      <c r="E238" s="24"/>
      <c r="F238" s="24"/>
      <c r="K238" s="168"/>
    </row>
    <row r="239" spans="1:11" ht="15.75" x14ac:dyDescent="0.25">
      <c r="A239" s="17"/>
      <c r="B239" s="25"/>
      <c r="C239" s="24"/>
      <c r="D239" s="24"/>
      <c r="E239" s="24"/>
      <c r="F239" s="24"/>
      <c r="K239" s="168"/>
    </row>
    <row r="240" spans="1:11" ht="15.75" x14ac:dyDescent="0.25">
      <c r="A240" s="17"/>
      <c r="B240" s="25"/>
      <c r="C240" s="24"/>
      <c r="D240" s="24"/>
      <c r="E240" s="24"/>
      <c r="F240" s="24"/>
      <c r="K240" s="168"/>
    </row>
    <row r="241" spans="1:11" ht="15.75" x14ac:dyDescent="0.25">
      <c r="A241" s="17"/>
      <c r="B241" s="25"/>
      <c r="C241" s="24"/>
      <c r="D241" s="24"/>
      <c r="E241" s="24"/>
      <c r="F241" s="24"/>
      <c r="K241" s="168"/>
    </row>
    <row r="242" spans="1:11" ht="15.75" x14ac:dyDescent="0.25">
      <c r="A242" s="17"/>
      <c r="B242" s="25"/>
      <c r="C242" s="24"/>
      <c r="D242" s="24"/>
      <c r="E242" s="24"/>
      <c r="F242" s="24"/>
      <c r="K242" s="168"/>
    </row>
    <row r="243" spans="1:11" ht="15.75" x14ac:dyDescent="0.25">
      <c r="A243" s="17"/>
      <c r="B243" s="25"/>
      <c r="C243" s="24"/>
      <c r="D243" s="24"/>
      <c r="E243" s="24"/>
      <c r="F243" s="24"/>
      <c r="K243" s="168"/>
    </row>
    <row r="244" spans="1:11" ht="15.75" x14ac:dyDescent="0.25">
      <c r="A244" s="17"/>
      <c r="B244" s="25"/>
      <c r="C244" s="24"/>
      <c r="D244" s="24"/>
      <c r="E244" s="24"/>
      <c r="F244" s="24"/>
      <c r="K244" s="168"/>
    </row>
    <row r="245" spans="1:11" ht="15.75" x14ac:dyDescent="0.25">
      <c r="A245" s="17"/>
      <c r="B245" s="25"/>
      <c r="C245" s="24"/>
      <c r="D245" s="24"/>
      <c r="E245" s="24"/>
      <c r="F245" s="24"/>
      <c r="K245" s="168"/>
    </row>
    <row r="246" spans="1:11" ht="15.75" x14ac:dyDescent="0.25">
      <c r="A246" s="17"/>
      <c r="B246" s="25"/>
      <c r="C246" s="24"/>
      <c r="D246" s="24"/>
      <c r="E246" s="24"/>
      <c r="F246" s="24"/>
      <c r="K246" s="168"/>
    </row>
    <row r="247" spans="1:11" ht="15.75" x14ac:dyDescent="0.25">
      <c r="A247" s="17"/>
      <c r="B247" s="25"/>
      <c r="C247" s="24"/>
      <c r="D247" s="24"/>
      <c r="E247" s="24"/>
      <c r="F247" s="24"/>
      <c r="K247" s="168"/>
    </row>
    <row r="248" spans="1:11" ht="15.75" x14ac:dyDescent="0.25">
      <c r="A248" s="17"/>
      <c r="B248" s="25"/>
      <c r="C248" s="24"/>
      <c r="D248" s="24"/>
      <c r="E248" s="24"/>
      <c r="F248" s="24"/>
      <c r="K248" s="168"/>
    </row>
    <row r="249" spans="1:11" ht="15.75" x14ac:dyDescent="0.25">
      <c r="A249" s="17"/>
      <c r="B249" s="25"/>
      <c r="C249" s="24"/>
      <c r="D249" s="24"/>
      <c r="E249" s="24"/>
      <c r="F249" s="24"/>
      <c r="K249" s="168"/>
    </row>
    <row r="250" spans="1:11" x14ac:dyDescent="0.25">
      <c r="K250" s="168"/>
    </row>
    <row r="251" spans="1:11" x14ac:dyDescent="0.25">
      <c r="K251" s="168"/>
    </row>
    <row r="252" spans="1:11" x14ac:dyDescent="0.25">
      <c r="K252" s="168"/>
    </row>
    <row r="253" spans="1:11" x14ac:dyDescent="0.25">
      <c r="K253" s="168"/>
    </row>
    <row r="254" spans="1:11" x14ac:dyDescent="0.25">
      <c r="K254" s="168"/>
    </row>
    <row r="255" spans="1:11" x14ac:dyDescent="0.25">
      <c r="K255" s="168"/>
    </row>
    <row r="256" spans="1:11" x14ac:dyDescent="0.25">
      <c r="K256" s="168"/>
    </row>
    <row r="257" spans="11:11" x14ac:dyDescent="0.25">
      <c r="K257" s="168"/>
    </row>
    <row r="258" spans="11:11" x14ac:dyDescent="0.25">
      <c r="K258" s="168"/>
    </row>
    <row r="259" spans="11:11" x14ac:dyDescent="0.25">
      <c r="K259" s="168"/>
    </row>
    <row r="260" spans="11:11" x14ac:dyDescent="0.25">
      <c r="K260" s="168"/>
    </row>
    <row r="261" spans="11:11" x14ac:dyDescent="0.25">
      <c r="K261" s="168"/>
    </row>
    <row r="262" spans="11:11" x14ac:dyDescent="0.25">
      <c r="K262" s="168"/>
    </row>
    <row r="263" spans="11:11" x14ac:dyDescent="0.25">
      <c r="K263" s="168"/>
    </row>
    <row r="264" spans="11:11" x14ac:dyDescent="0.25">
      <c r="K264" s="168"/>
    </row>
    <row r="265" spans="11:11" x14ac:dyDescent="0.25">
      <c r="K265" s="168"/>
    </row>
    <row r="266" spans="11:11" x14ac:dyDescent="0.25">
      <c r="K266" s="168"/>
    </row>
    <row r="267" spans="11:11" x14ac:dyDescent="0.25">
      <c r="K267" s="168"/>
    </row>
    <row r="268" spans="11:11" x14ac:dyDescent="0.25">
      <c r="K268" s="168"/>
    </row>
    <row r="269" spans="11:11" x14ac:dyDescent="0.25">
      <c r="K269" s="168"/>
    </row>
    <row r="270" spans="11:11" x14ac:dyDescent="0.25">
      <c r="K270" s="168"/>
    </row>
    <row r="271" spans="11:11" x14ac:dyDescent="0.25">
      <c r="K271" s="168"/>
    </row>
    <row r="272" spans="11:11" x14ac:dyDescent="0.25">
      <c r="K272" s="168"/>
    </row>
    <row r="273" spans="11:11" x14ac:dyDescent="0.25">
      <c r="K273" s="168"/>
    </row>
    <row r="274" spans="11:11" x14ac:dyDescent="0.25">
      <c r="K274" s="168"/>
    </row>
    <row r="275" spans="11:11" x14ac:dyDescent="0.25">
      <c r="K275" s="168"/>
    </row>
    <row r="276" spans="11:11" x14ac:dyDescent="0.25">
      <c r="K276" s="168"/>
    </row>
    <row r="277" spans="11:11" x14ac:dyDescent="0.25">
      <c r="K277" s="168"/>
    </row>
    <row r="278" spans="11:11" x14ac:dyDescent="0.25">
      <c r="K278" s="168"/>
    </row>
    <row r="279" spans="11:11" x14ac:dyDescent="0.25">
      <c r="K279" s="168"/>
    </row>
    <row r="280" spans="11:11" x14ac:dyDescent="0.25">
      <c r="K280" s="168"/>
    </row>
    <row r="281" spans="11:11" x14ac:dyDescent="0.25">
      <c r="K281" s="168"/>
    </row>
    <row r="282" spans="11:11" x14ac:dyDescent="0.25">
      <c r="K282" s="168"/>
    </row>
    <row r="283" spans="11:11" x14ac:dyDescent="0.25">
      <c r="K283" s="168"/>
    </row>
    <row r="284" spans="11:11" x14ac:dyDescent="0.25">
      <c r="K284" s="168"/>
    </row>
    <row r="285" spans="11:11" x14ac:dyDescent="0.25">
      <c r="K285" s="168"/>
    </row>
    <row r="286" spans="11:11" x14ac:dyDescent="0.25">
      <c r="K286" s="168"/>
    </row>
    <row r="287" spans="11:11" x14ac:dyDescent="0.25">
      <c r="K287" s="168"/>
    </row>
    <row r="288" spans="11:11" x14ac:dyDescent="0.25">
      <c r="K288" s="168"/>
    </row>
    <row r="289" spans="11:11" x14ac:dyDescent="0.25">
      <c r="K289" s="168"/>
    </row>
    <row r="290" spans="11:11" x14ac:dyDescent="0.25">
      <c r="K290" s="168"/>
    </row>
    <row r="291" spans="11:11" x14ac:dyDescent="0.25">
      <c r="K291" s="168"/>
    </row>
    <row r="292" spans="11:11" x14ac:dyDescent="0.25">
      <c r="K292" s="168"/>
    </row>
    <row r="293" spans="11:11" x14ac:dyDescent="0.25">
      <c r="K293" s="168"/>
    </row>
    <row r="294" spans="11:11" x14ac:dyDescent="0.25">
      <c r="K294" s="168"/>
    </row>
    <row r="295" spans="11:11" x14ac:dyDescent="0.25">
      <c r="K295" s="168"/>
    </row>
    <row r="296" spans="11:11" x14ac:dyDescent="0.25">
      <c r="K296" s="168"/>
    </row>
    <row r="297" spans="11:11" x14ac:dyDescent="0.25">
      <c r="K297" s="168"/>
    </row>
    <row r="298" spans="11:11" x14ac:dyDescent="0.25">
      <c r="K298" s="168"/>
    </row>
    <row r="299" spans="11:11" x14ac:dyDescent="0.25">
      <c r="K299" s="168"/>
    </row>
    <row r="300" spans="11:11" x14ac:dyDescent="0.25">
      <c r="K300" s="168"/>
    </row>
    <row r="301" spans="11:11" x14ac:dyDescent="0.25">
      <c r="K301" s="168"/>
    </row>
    <row r="302" spans="11:11" x14ac:dyDescent="0.25">
      <c r="K302" s="168"/>
    </row>
    <row r="303" spans="11:11" x14ac:dyDescent="0.25">
      <c r="K303" s="168"/>
    </row>
    <row r="304" spans="11:11" x14ac:dyDescent="0.25">
      <c r="K304" s="168"/>
    </row>
    <row r="305" spans="11:11" x14ac:dyDescent="0.25">
      <c r="K305" s="168"/>
    </row>
    <row r="306" spans="11:11" x14ac:dyDescent="0.25">
      <c r="K306" s="168"/>
    </row>
    <row r="307" spans="11:11" x14ac:dyDescent="0.25">
      <c r="K307" s="168"/>
    </row>
    <row r="308" spans="11:11" x14ac:dyDescent="0.25">
      <c r="K308" s="168"/>
    </row>
    <row r="309" spans="11:11" x14ac:dyDescent="0.25">
      <c r="K309" s="168"/>
    </row>
    <row r="310" spans="11:11" x14ac:dyDescent="0.25">
      <c r="K310" s="168"/>
    </row>
    <row r="311" spans="11:11" x14ac:dyDescent="0.25">
      <c r="K311" s="168"/>
    </row>
    <row r="312" spans="11:11" x14ac:dyDescent="0.25">
      <c r="K312" s="168"/>
    </row>
    <row r="313" spans="11:11" x14ac:dyDescent="0.25">
      <c r="K313" s="168"/>
    </row>
    <row r="314" spans="11:11" x14ac:dyDescent="0.25">
      <c r="K314" s="168"/>
    </row>
    <row r="315" spans="11:11" x14ac:dyDescent="0.25">
      <c r="K315" s="168"/>
    </row>
    <row r="316" spans="11:11" x14ac:dyDescent="0.25">
      <c r="K316" s="168"/>
    </row>
    <row r="317" spans="11:11" x14ac:dyDescent="0.25">
      <c r="K317" s="168"/>
    </row>
    <row r="318" spans="11:11" x14ac:dyDescent="0.25">
      <c r="K318" s="168"/>
    </row>
    <row r="319" spans="11:11" x14ac:dyDescent="0.25">
      <c r="K319" s="168"/>
    </row>
    <row r="320" spans="11:11" x14ac:dyDescent="0.25">
      <c r="K320" s="168"/>
    </row>
    <row r="321" spans="11:11" x14ac:dyDescent="0.25">
      <c r="K321" s="168"/>
    </row>
    <row r="322" spans="11:11" x14ac:dyDescent="0.25">
      <c r="K322" s="168"/>
    </row>
    <row r="323" spans="11:11" x14ac:dyDescent="0.25">
      <c r="K323" s="168"/>
    </row>
    <row r="324" spans="11:11" x14ac:dyDescent="0.25">
      <c r="K324" s="168"/>
    </row>
    <row r="325" spans="11:11" x14ac:dyDescent="0.25">
      <c r="K325" s="168"/>
    </row>
    <row r="326" spans="11:11" x14ac:dyDescent="0.25">
      <c r="K326" s="168"/>
    </row>
    <row r="327" spans="11:11" x14ac:dyDescent="0.25">
      <c r="K327" s="168"/>
    </row>
    <row r="328" spans="11:11" x14ac:dyDescent="0.25">
      <c r="K328" s="168"/>
    </row>
    <row r="329" spans="11:11" x14ac:dyDescent="0.25">
      <c r="K329" s="168"/>
    </row>
    <row r="330" spans="11:11" x14ac:dyDescent="0.25">
      <c r="K330" s="168"/>
    </row>
    <row r="331" spans="11:11" x14ac:dyDescent="0.25">
      <c r="K331" s="168"/>
    </row>
    <row r="332" spans="11:11" x14ac:dyDescent="0.25">
      <c r="K332" s="168"/>
    </row>
    <row r="333" spans="11:11" x14ac:dyDescent="0.25">
      <c r="K333" s="168"/>
    </row>
    <row r="334" spans="11:11" x14ac:dyDescent="0.25">
      <c r="K334" s="168"/>
    </row>
    <row r="335" spans="11:11" x14ac:dyDescent="0.25">
      <c r="K335" s="168"/>
    </row>
    <row r="336" spans="11:11" x14ac:dyDescent="0.25">
      <c r="K336" s="168"/>
    </row>
    <row r="337" spans="11:11" x14ac:dyDescent="0.25">
      <c r="K337" s="168"/>
    </row>
    <row r="338" spans="11:11" x14ac:dyDescent="0.25">
      <c r="K338" s="168"/>
    </row>
    <row r="339" spans="11:11" x14ac:dyDescent="0.25">
      <c r="K339" s="168"/>
    </row>
    <row r="340" spans="11:11" x14ac:dyDescent="0.25">
      <c r="K340" s="168"/>
    </row>
    <row r="341" spans="11:11" x14ac:dyDescent="0.25">
      <c r="K341" s="168"/>
    </row>
    <row r="342" spans="11:11" x14ac:dyDescent="0.25">
      <c r="K342" s="168"/>
    </row>
    <row r="343" spans="11:11" x14ac:dyDescent="0.25">
      <c r="K343" s="168"/>
    </row>
    <row r="344" spans="11:11" x14ac:dyDescent="0.25">
      <c r="K344" s="168"/>
    </row>
    <row r="345" spans="11:11" x14ac:dyDescent="0.25">
      <c r="K345" s="168"/>
    </row>
    <row r="346" spans="11:11" x14ac:dyDescent="0.25">
      <c r="K346" s="168"/>
    </row>
    <row r="347" spans="11:11" x14ac:dyDescent="0.25">
      <c r="K347" s="168"/>
    </row>
    <row r="348" spans="11:11" x14ac:dyDescent="0.25">
      <c r="K348" s="168"/>
    </row>
    <row r="349" spans="11:11" x14ac:dyDescent="0.25">
      <c r="K349" s="168"/>
    </row>
    <row r="350" spans="11:11" x14ac:dyDescent="0.25">
      <c r="K350" s="168"/>
    </row>
    <row r="351" spans="11:11" x14ac:dyDescent="0.25">
      <c r="K351" s="168"/>
    </row>
    <row r="352" spans="11:11" x14ac:dyDescent="0.25">
      <c r="K352" s="168"/>
    </row>
    <row r="353" spans="11:11" x14ac:dyDescent="0.25">
      <c r="K353" s="168"/>
    </row>
    <row r="354" spans="11:11" x14ac:dyDescent="0.25">
      <c r="K354" s="168"/>
    </row>
    <row r="355" spans="11:11" x14ac:dyDescent="0.25">
      <c r="K355" s="168"/>
    </row>
    <row r="356" spans="11:11" x14ac:dyDescent="0.25">
      <c r="K356" s="168"/>
    </row>
    <row r="357" spans="11:11" x14ac:dyDescent="0.25">
      <c r="K357" s="168"/>
    </row>
    <row r="358" spans="11:11" x14ac:dyDescent="0.25">
      <c r="K358" s="168"/>
    </row>
    <row r="359" spans="11:11" x14ac:dyDescent="0.25">
      <c r="K359" s="168"/>
    </row>
    <row r="360" spans="11:11" x14ac:dyDescent="0.25">
      <c r="K360" s="168"/>
    </row>
    <row r="361" spans="11:11" x14ac:dyDescent="0.25">
      <c r="K361" s="168"/>
    </row>
    <row r="362" spans="11:11" x14ac:dyDescent="0.25">
      <c r="K362" s="168"/>
    </row>
    <row r="363" spans="11:11" x14ac:dyDescent="0.25">
      <c r="K363" s="168"/>
    </row>
    <row r="364" spans="11:11" x14ac:dyDescent="0.25">
      <c r="K364" s="168"/>
    </row>
    <row r="365" spans="11:11" x14ac:dyDescent="0.25">
      <c r="K365" s="168"/>
    </row>
    <row r="366" spans="11:11" x14ac:dyDescent="0.25">
      <c r="K366" s="168"/>
    </row>
    <row r="367" spans="11:11" x14ac:dyDescent="0.25">
      <c r="K367" s="168"/>
    </row>
    <row r="368" spans="11:11" x14ac:dyDescent="0.25">
      <c r="K368" s="168"/>
    </row>
    <row r="369" spans="11:11" x14ac:dyDescent="0.25">
      <c r="K369" s="168"/>
    </row>
    <row r="370" spans="11:11" x14ac:dyDescent="0.25">
      <c r="K370" s="168"/>
    </row>
    <row r="371" spans="11:11" x14ac:dyDescent="0.25">
      <c r="K371" s="168"/>
    </row>
    <row r="372" spans="11:11" x14ac:dyDescent="0.25">
      <c r="K372" s="168"/>
    </row>
    <row r="373" spans="11:11" x14ac:dyDescent="0.25">
      <c r="K373" s="168"/>
    </row>
    <row r="374" spans="11:11" x14ac:dyDescent="0.25">
      <c r="K374" s="168"/>
    </row>
    <row r="375" spans="11:11" x14ac:dyDescent="0.25">
      <c r="K375" s="168"/>
    </row>
    <row r="376" spans="11:11" x14ac:dyDescent="0.25">
      <c r="K376" s="168"/>
    </row>
    <row r="377" spans="11:11" x14ac:dyDescent="0.25">
      <c r="K377" s="168"/>
    </row>
    <row r="378" spans="11:11" x14ac:dyDescent="0.25">
      <c r="K378" s="168"/>
    </row>
    <row r="379" spans="11:11" x14ac:dyDescent="0.25">
      <c r="K379" s="168"/>
    </row>
    <row r="380" spans="11:11" x14ac:dyDescent="0.25">
      <c r="K380" s="168"/>
    </row>
    <row r="381" spans="11:11" x14ac:dyDescent="0.25">
      <c r="K381" s="168"/>
    </row>
    <row r="382" spans="11:11" x14ac:dyDescent="0.25">
      <c r="K382" s="168"/>
    </row>
    <row r="383" spans="11:11" x14ac:dyDescent="0.25">
      <c r="K383" s="168"/>
    </row>
    <row r="384" spans="11:11" x14ac:dyDescent="0.25">
      <c r="K384" s="168"/>
    </row>
    <row r="385" spans="11:11" x14ac:dyDescent="0.25">
      <c r="K385" s="168"/>
    </row>
    <row r="386" spans="11:11" x14ac:dyDescent="0.25">
      <c r="K386" s="168"/>
    </row>
    <row r="387" spans="11:11" x14ac:dyDescent="0.25">
      <c r="K387" s="168"/>
    </row>
    <row r="388" spans="11:11" x14ac:dyDescent="0.25">
      <c r="K388" s="168"/>
    </row>
    <row r="389" spans="11:11" x14ac:dyDescent="0.25">
      <c r="K389" s="168"/>
    </row>
    <row r="390" spans="11:11" x14ac:dyDescent="0.25">
      <c r="K390" s="168"/>
    </row>
    <row r="391" spans="11:11" x14ac:dyDescent="0.25">
      <c r="K391" s="168"/>
    </row>
    <row r="392" spans="11:11" x14ac:dyDescent="0.25">
      <c r="K392" s="168"/>
    </row>
    <row r="393" spans="11:11" x14ac:dyDescent="0.25">
      <c r="K393" s="168"/>
    </row>
    <row r="394" spans="11:11" x14ac:dyDescent="0.25">
      <c r="K394" s="168"/>
    </row>
    <row r="395" spans="11:11" x14ac:dyDescent="0.25">
      <c r="K395" s="168"/>
    </row>
    <row r="396" spans="11:11" x14ac:dyDescent="0.25">
      <c r="K396" s="168"/>
    </row>
    <row r="397" spans="11:11" x14ac:dyDescent="0.25">
      <c r="K397" s="168"/>
    </row>
    <row r="398" spans="11:11" x14ac:dyDescent="0.25">
      <c r="K398" s="168"/>
    </row>
    <row r="399" spans="11:11" x14ac:dyDescent="0.25">
      <c r="K399" s="168"/>
    </row>
    <row r="400" spans="11:11" x14ac:dyDescent="0.25">
      <c r="K400" s="168"/>
    </row>
    <row r="401" spans="11:11" x14ac:dyDescent="0.25">
      <c r="K401" s="168"/>
    </row>
    <row r="402" spans="11:11" x14ac:dyDescent="0.25">
      <c r="K402" s="168"/>
    </row>
    <row r="403" spans="11:11" x14ac:dyDescent="0.25">
      <c r="K403" s="168"/>
    </row>
    <row r="404" spans="11:11" x14ac:dyDescent="0.25">
      <c r="K404" s="168"/>
    </row>
    <row r="405" spans="11:11" x14ac:dyDescent="0.25">
      <c r="K405" s="168"/>
    </row>
    <row r="406" spans="11:11" x14ac:dyDescent="0.25">
      <c r="K406" s="168"/>
    </row>
    <row r="407" spans="11:11" x14ac:dyDescent="0.25">
      <c r="K407" s="168"/>
    </row>
    <row r="408" spans="11:11" x14ac:dyDescent="0.25">
      <c r="K408" s="168"/>
    </row>
    <row r="409" spans="11:11" x14ac:dyDescent="0.25">
      <c r="K409" s="168"/>
    </row>
    <row r="410" spans="11:11" x14ac:dyDescent="0.25">
      <c r="K410" s="168"/>
    </row>
    <row r="411" spans="11:11" x14ac:dyDescent="0.25">
      <c r="K411" s="168"/>
    </row>
    <row r="412" spans="11:11" x14ac:dyDescent="0.25">
      <c r="K412" s="168"/>
    </row>
    <row r="413" spans="11:11" x14ac:dyDescent="0.25">
      <c r="K413" s="168"/>
    </row>
    <row r="414" spans="11:11" x14ac:dyDescent="0.25">
      <c r="K414" s="168"/>
    </row>
    <row r="415" spans="11:11" x14ac:dyDescent="0.25">
      <c r="K415" s="168"/>
    </row>
    <row r="416" spans="11:11" x14ac:dyDescent="0.25">
      <c r="K416" s="168"/>
    </row>
    <row r="417" spans="11:11" x14ac:dyDescent="0.25">
      <c r="K417" s="168"/>
    </row>
    <row r="418" spans="11:11" x14ac:dyDescent="0.25">
      <c r="K418" s="168"/>
    </row>
    <row r="419" spans="11:11" x14ac:dyDescent="0.25">
      <c r="K419" s="168"/>
    </row>
    <row r="420" spans="11:11" x14ac:dyDescent="0.25">
      <c r="K420" s="168"/>
    </row>
    <row r="421" spans="11:11" x14ac:dyDescent="0.25">
      <c r="K421" s="168"/>
    </row>
    <row r="422" spans="11:11" x14ac:dyDescent="0.25">
      <c r="K422" s="168"/>
    </row>
    <row r="423" spans="11:11" x14ac:dyDescent="0.25">
      <c r="K423" s="168"/>
    </row>
    <row r="424" spans="11:11" x14ac:dyDescent="0.25">
      <c r="K424" s="168"/>
    </row>
    <row r="425" spans="11:11" x14ac:dyDescent="0.25">
      <c r="K425" s="168"/>
    </row>
    <row r="426" spans="11:11" x14ac:dyDescent="0.25">
      <c r="K426" s="168"/>
    </row>
    <row r="427" spans="11:11" x14ac:dyDescent="0.25">
      <c r="K427" s="168"/>
    </row>
    <row r="428" spans="11:11" x14ac:dyDescent="0.25">
      <c r="K428" s="168"/>
    </row>
    <row r="429" spans="11:11" x14ac:dyDescent="0.25">
      <c r="K429" s="168"/>
    </row>
    <row r="430" spans="11:11" x14ac:dyDescent="0.25">
      <c r="K430" s="168"/>
    </row>
    <row r="431" spans="11:11" x14ac:dyDescent="0.25">
      <c r="K431" s="168"/>
    </row>
    <row r="432" spans="11:11" x14ac:dyDescent="0.25">
      <c r="K432" s="168"/>
    </row>
    <row r="433" spans="11:11" x14ac:dyDescent="0.25">
      <c r="K433" s="168"/>
    </row>
    <row r="434" spans="11:11" x14ac:dyDescent="0.25">
      <c r="K434" s="168"/>
    </row>
    <row r="435" spans="11:11" x14ac:dyDescent="0.25">
      <c r="K435" s="168"/>
    </row>
    <row r="436" spans="11:11" x14ac:dyDescent="0.25">
      <c r="K436" s="168"/>
    </row>
    <row r="437" spans="11:11" x14ac:dyDescent="0.25">
      <c r="K437" s="168"/>
    </row>
    <row r="438" spans="11:11" x14ac:dyDescent="0.25">
      <c r="K438" s="168"/>
    </row>
    <row r="439" spans="11:11" x14ac:dyDescent="0.25">
      <c r="K439" s="168"/>
    </row>
    <row r="440" spans="11:11" x14ac:dyDescent="0.25">
      <c r="K440" s="168"/>
    </row>
    <row r="441" spans="11:11" x14ac:dyDescent="0.25">
      <c r="K441" s="168"/>
    </row>
    <row r="442" spans="11:11" x14ac:dyDescent="0.25">
      <c r="K442" s="168"/>
    </row>
    <row r="443" spans="11:11" x14ac:dyDescent="0.25">
      <c r="K443" s="168"/>
    </row>
    <row r="444" spans="11:11" x14ac:dyDescent="0.25">
      <c r="K444" s="168"/>
    </row>
    <row r="445" spans="11:11" x14ac:dyDescent="0.25">
      <c r="K445" s="168"/>
    </row>
    <row r="446" spans="11:11" x14ac:dyDescent="0.25">
      <c r="K446" s="168"/>
    </row>
    <row r="447" spans="11:11" x14ac:dyDescent="0.25">
      <c r="K447" s="168"/>
    </row>
    <row r="448" spans="11:11" x14ac:dyDescent="0.25">
      <c r="K448" s="168"/>
    </row>
    <row r="449" spans="11:11" x14ac:dyDescent="0.25">
      <c r="K449" s="168"/>
    </row>
    <row r="450" spans="11:11" x14ac:dyDescent="0.25">
      <c r="K450" s="168"/>
    </row>
    <row r="451" spans="11:11" x14ac:dyDescent="0.25">
      <c r="K451" s="168"/>
    </row>
    <row r="452" spans="11:11" x14ac:dyDescent="0.25">
      <c r="K452" s="168"/>
    </row>
    <row r="453" spans="11:11" x14ac:dyDescent="0.25">
      <c r="K453" s="168"/>
    </row>
    <row r="454" spans="11:11" x14ac:dyDescent="0.25">
      <c r="K454" s="168"/>
    </row>
    <row r="455" spans="11:11" x14ac:dyDescent="0.25">
      <c r="K455" s="168"/>
    </row>
    <row r="456" spans="11:11" x14ac:dyDescent="0.25">
      <c r="K456" s="168"/>
    </row>
    <row r="457" spans="11:11" x14ac:dyDescent="0.25">
      <c r="K457" s="168"/>
    </row>
    <row r="458" spans="11:11" x14ac:dyDescent="0.25">
      <c r="K458" s="168"/>
    </row>
    <row r="459" spans="11:11" x14ac:dyDescent="0.25">
      <c r="K459" s="168"/>
    </row>
    <row r="460" spans="11:11" x14ac:dyDescent="0.25">
      <c r="K460" s="168"/>
    </row>
    <row r="461" spans="11:11" x14ac:dyDescent="0.25">
      <c r="K461" s="168"/>
    </row>
    <row r="462" spans="11:11" x14ac:dyDescent="0.25">
      <c r="K462" s="168"/>
    </row>
    <row r="463" spans="11:11" x14ac:dyDescent="0.25">
      <c r="K463" s="168"/>
    </row>
    <row r="464" spans="11:11" x14ac:dyDescent="0.25">
      <c r="K464" s="168"/>
    </row>
    <row r="465" spans="11:11" x14ac:dyDescent="0.25">
      <c r="K465" s="168"/>
    </row>
    <row r="466" spans="11:11" x14ac:dyDescent="0.25">
      <c r="K466" s="168"/>
    </row>
    <row r="467" spans="11:11" x14ac:dyDescent="0.25">
      <c r="K467" s="168"/>
    </row>
    <row r="468" spans="11:11" x14ac:dyDescent="0.25">
      <c r="K468" s="168"/>
    </row>
    <row r="469" spans="11:11" x14ac:dyDescent="0.25">
      <c r="K469" s="168"/>
    </row>
    <row r="470" spans="11:11" x14ac:dyDescent="0.25">
      <c r="K470" s="168"/>
    </row>
    <row r="471" spans="11:11" x14ac:dyDescent="0.25">
      <c r="K471" s="168"/>
    </row>
    <row r="472" spans="11:11" x14ac:dyDescent="0.25">
      <c r="K472" s="168"/>
    </row>
    <row r="473" spans="11:11" x14ac:dyDescent="0.25">
      <c r="K473" s="168"/>
    </row>
    <row r="474" spans="11:11" x14ac:dyDescent="0.25">
      <c r="K474" s="168"/>
    </row>
    <row r="475" spans="11:11" x14ac:dyDescent="0.25">
      <c r="K475" s="168"/>
    </row>
    <row r="476" spans="11:11" x14ac:dyDescent="0.25">
      <c r="K476" s="168"/>
    </row>
    <row r="477" spans="11:11" x14ac:dyDescent="0.25">
      <c r="K477" s="168"/>
    </row>
    <row r="478" spans="11:11" x14ac:dyDescent="0.25">
      <c r="K478" s="168"/>
    </row>
    <row r="479" spans="11:11" x14ac:dyDescent="0.25">
      <c r="K479" s="168"/>
    </row>
    <row r="480" spans="11:11" x14ac:dyDescent="0.25">
      <c r="K480" s="168"/>
    </row>
    <row r="481" spans="11:11" x14ac:dyDescent="0.25">
      <c r="K481" s="168"/>
    </row>
    <row r="482" spans="11:11" x14ac:dyDescent="0.25">
      <c r="K482" s="168"/>
    </row>
    <row r="483" spans="11:11" x14ac:dyDescent="0.25">
      <c r="K483" s="168"/>
    </row>
    <row r="484" spans="11:11" x14ac:dyDescent="0.25">
      <c r="K484" s="168"/>
    </row>
    <row r="485" spans="11:11" x14ac:dyDescent="0.25">
      <c r="K485" s="168"/>
    </row>
    <row r="486" spans="11:11" x14ac:dyDescent="0.25">
      <c r="K486" s="168"/>
    </row>
    <row r="487" spans="11:11" x14ac:dyDescent="0.25">
      <c r="K487" s="168"/>
    </row>
    <row r="488" spans="11:11" x14ac:dyDescent="0.25">
      <c r="K488" s="168"/>
    </row>
    <row r="489" spans="11:11" x14ac:dyDescent="0.25">
      <c r="K489" s="168"/>
    </row>
    <row r="490" spans="11:11" x14ac:dyDescent="0.25">
      <c r="K490" s="168"/>
    </row>
    <row r="491" spans="11:11" x14ac:dyDescent="0.25">
      <c r="K491" s="168"/>
    </row>
    <row r="492" spans="11:11" x14ac:dyDescent="0.25">
      <c r="K492" s="168"/>
    </row>
    <row r="493" spans="11:11" x14ac:dyDescent="0.25">
      <c r="K493" s="168"/>
    </row>
    <row r="494" spans="11:11" x14ac:dyDescent="0.25">
      <c r="K494" s="168"/>
    </row>
    <row r="495" spans="11:11" x14ac:dyDescent="0.25">
      <c r="K495" s="168"/>
    </row>
    <row r="496" spans="11:11" x14ac:dyDescent="0.25">
      <c r="K496" s="168"/>
    </row>
    <row r="497" spans="11:11" x14ac:dyDescent="0.25">
      <c r="K497" s="168"/>
    </row>
    <row r="498" spans="11:11" x14ac:dyDescent="0.25">
      <c r="K498" s="168"/>
    </row>
    <row r="499" spans="11:11" x14ac:dyDescent="0.25">
      <c r="K499" s="168"/>
    </row>
    <row r="500" spans="11:11" x14ac:dyDescent="0.25">
      <c r="K500" s="168"/>
    </row>
    <row r="501" spans="11:11" x14ac:dyDescent="0.25">
      <c r="K501" s="168"/>
    </row>
    <row r="502" spans="11:11" x14ac:dyDescent="0.25">
      <c r="K502" s="168"/>
    </row>
    <row r="503" spans="11:11" x14ac:dyDescent="0.25">
      <c r="K503" s="168"/>
    </row>
    <row r="504" spans="11:11" x14ac:dyDescent="0.25">
      <c r="K504" s="168"/>
    </row>
    <row r="505" spans="11:11" x14ac:dyDescent="0.25">
      <c r="K505" s="168"/>
    </row>
    <row r="506" spans="11:11" x14ac:dyDescent="0.25">
      <c r="K506" s="168"/>
    </row>
    <row r="507" spans="11:11" x14ac:dyDescent="0.25">
      <c r="K507" s="168"/>
    </row>
    <row r="508" spans="11:11" x14ac:dyDescent="0.25">
      <c r="K508" s="168"/>
    </row>
    <row r="509" spans="11:11" x14ac:dyDescent="0.25">
      <c r="K509" s="168"/>
    </row>
    <row r="510" spans="11:11" x14ac:dyDescent="0.25">
      <c r="K510" s="168"/>
    </row>
    <row r="511" spans="11:11" x14ac:dyDescent="0.25">
      <c r="K511" s="168"/>
    </row>
    <row r="512" spans="11:11" x14ac:dyDescent="0.25">
      <c r="K512" s="168"/>
    </row>
    <row r="513" spans="11:11" x14ac:dyDescent="0.25">
      <c r="K513" s="168"/>
    </row>
    <row r="514" spans="11:11" x14ac:dyDescent="0.25">
      <c r="K514" s="168"/>
    </row>
    <row r="515" spans="11:11" x14ac:dyDescent="0.25">
      <c r="K515" s="168"/>
    </row>
    <row r="516" spans="11:11" x14ac:dyDescent="0.25">
      <c r="K516" s="168"/>
    </row>
    <row r="517" spans="11:11" x14ac:dyDescent="0.25">
      <c r="K517" s="168"/>
    </row>
    <row r="518" spans="11:11" x14ac:dyDescent="0.25">
      <c r="K518" s="168"/>
    </row>
    <row r="519" spans="11:11" x14ac:dyDescent="0.25">
      <c r="K519" s="168"/>
    </row>
    <row r="520" spans="11:11" x14ac:dyDescent="0.25">
      <c r="K520" s="168"/>
    </row>
    <row r="521" spans="11:11" x14ac:dyDescent="0.25">
      <c r="K521" s="168"/>
    </row>
    <row r="522" spans="11:11" x14ac:dyDescent="0.25">
      <c r="K522" s="168"/>
    </row>
    <row r="523" spans="11:11" x14ac:dyDescent="0.25">
      <c r="K523" s="168"/>
    </row>
    <row r="524" spans="11:11" x14ac:dyDescent="0.25">
      <c r="K524" s="168"/>
    </row>
    <row r="525" spans="11:11" x14ac:dyDescent="0.25">
      <c r="K525" s="168"/>
    </row>
    <row r="526" spans="11:11" x14ac:dyDescent="0.25">
      <c r="K526" s="168"/>
    </row>
    <row r="527" spans="11:11" x14ac:dyDescent="0.25">
      <c r="K527" s="168"/>
    </row>
    <row r="528" spans="11:11" x14ac:dyDescent="0.25">
      <c r="K528" s="168"/>
    </row>
    <row r="529" spans="11:11" x14ac:dyDescent="0.25">
      <c r="K529" s="168"/>
    </row>
    <row r="530" spans="11:11" x14ac:dyDescent="0.25">
      <c r="K530" s="168"/>
    </row>
    <row r="531" spans="11:11" x14ac:dyDescent="0.25">
      <c r="K531" s="168"/>
    </row>
    <row r="532" spans="11:11" x14ac:dyDescent="0.25">
      <c r="K532" s="168"/>
    </row>
    <row r="533" spans="11:11" x14ac:dyDescent="0.25">
      <c r="K533" s="168"/>
    </row>
    <row r="534" spans="11:11" x14ac:dyDescent="0.25">
      <c r="K534" s="168"/>
    </row>
    <row r="535" spans="11:11" x14ac:dyDescent="0.25">
      <c r="K535" s="168"/>
    </row>
    <row r="536" spans="11:11" x14ac:dyDescent="0.25">
      <c r="K536" s="168"/>
    </row>
    <row r="537" spans="11:11" x14ac:dyDescent="0.25">
      <c r="K537" s="168"/>
    </row>
    <row r="538" spans="11:11" x14ac:dyDescent="0.25">
      <c r="K538" s="168"/>
    </row>
    <row r="539" spans="11:11" x14ac:dyDescent="0.25">
      <c r="K539" s="168"/>
    </row>
    <row r="540" spans="11:11" x14ac:dyDescent="0.25">
      <c r="K540" s="168"/>
    </row>
    <row r="541" spans="11:11" x14ac:dyDescent="0.25">
      <c r="K541" s="168"/>
    </row>
    <row r="542" spans="11:11" x14ac:dyDescent="0.25">
      <c r="K542" s="168"/>
    </row>
    <row r="543" spans="11:11" x14ac:dyDescent="0.25">
      <c r="K543" s="168"/>
    </row>
    <row r="544" spans="11:11" x14ac:dyDescent="0.25">
      <c r="K544" s="168"/>
    </row>
    <row r="545" spans="11:11" x14ac:dyDescent="0.25">
      <c r="K545" s="168"/>
    </row>
    <row r="546" spans="11:11" x14ac:dyDescent="0.25">
      <c r="K546" s="168"/>
    </row>
    <row r="547" spans="11:11" x14ac:dyDescent="0.25">
      <c r="K547" s="168"/>
    </row>
    <row r="548" spans="11:11" x14ac:dyDescent="0.25">
      <c r="K548" s="168"/>
    </row>
    <row r="549" spans="11:11" x14ac:dyDescent="0.25">
      <c r="K549" s="168"/>
    </row>
    <row r="550" spans="11:11" x14ac:dyDescent="0.25">
      <c r="K550" s="168"/>
    </row>
    <row r="551" spans="11:11" x14ac:dyDescent="0.25">
      <c r="K551" s="168"/>
    </row>
    <row r="552" spans="11:11" x14ac:dyDescent="0.25">
      <c r="K552" s="168"/>
    </row>
    <row r="553" spans="11:11" x14ac:dyDescent="0.25">
      <c r="K553" s="168"/>
    </row>
    <row r="554" spans="11:11" x14ac:dyDescent="0.25">
      <c r="K554" s="168"/>
    </row>
    <row r="555" spans="11:11" x14ac:dyDescent="0.25">
      <c r="K555" s="168"/>
    </row>
    <row r="556" spans="11:11" x14ac:dyDescent="0.25">
      <c r="K556" s="168"/>
    </row>
    <row r="557" spans="11:11" x14ac:dyDescent="0.25">
      <c r="K557" s="168"/>
    </row>
    <row r="558" spans="11:11" x14ac:dyDescent="0.25">
      <c r="K558" s="168"/>
    </row>
    <row r="559" spans="11:11" x14ac:dyDescent="0.25">
      <c r="K559" s="168"/>
    </row>
    <row r="560" spans="11:11" x14ac:dyDescent="0.25">
      <c r="K560" s="168"/>
    </row>
    <row r="561" spans="11:11" x14ac:dyDescent="0.25">
      <c r="K561" s="168"/>
    </row>
    <row r="562" spans="11:11" x14ac:dyDescent="0.25">
      <c r="K562" s="168"/>
    </row>
    <row r="563" spans="11:11" x14ac:dyDescent="0.25">
      <c r="K563" s="168"/>
    </row>
    <row r="564" spans="11:11" x14ac:dyDescent="0.25">
      <c r="K564" s="168"/>
    </row>
    <row r="565" spans="11:11" x14ac:dyDescent="0.25">
      <c r="K565" s="168"/>
    </row>
    <row r="566" spans="11:11" x14ac:dyDescent="0.25">
      <c r="K566" s="168"/>
    </row>
    <row r="567" spans="11:11" x14ac:dyDescent="0.25">
      <c r="K567" s="168"/>
    </row>
    <row r="568" spans="11:11" x14ac:dyDescent="0.25">
      <c r="K568" s="168"/>
    </row>
    <row r="569" spans="11:11" x14ac:dyDescent="0.25">
      <c r="K569" s="168"/>
    </row>
    <row r="570" spans="11:11" x14ac:dyDescent="0.25">
      <c r="K570" s="168"/>
    </row>
    <row r="571" spans="11:11" x14ac:dyDescent="0.25">
      <c r="K571" s="168"/>
    </row>
    <row r="572" spans="11:11" x14ac:dyDescent="0.25">
      <c r="K572" s="168"/>
    </row>
    <row r="573" spans="11:11" x14ac:dyDescent="0.25">
      <c r="K573" s="168"/>
    </row>
    <row r="574" spans="11:11" x14ac:dyDescent="0.25">
      <c r="K574" s="168"/>
    </row>
    <row r="575" spans="11:11" x14ac:dyDescent="0.25">
      <c r="K575" s="168"/>
    </row>
    <row r="576" spans="11:11" x14ac:dyDescent="0.25">
      <c r="K576" s="168"/>
    </row>
    <row r="577" spans="11:11" x14ac:dyDescent="0.25">
      <c r="K577" s="168"/>
    </row>
    <row r="578" spans="11:11" x14ac:dyDescent="0.25">
      <c r="K578" s="168"/>
    </row>
    <row r="579" spans="11:11" x14ac:dyDescent="0.25">
      <c r="K579" s="168"/>
    </row>
    <row r="580" spans="11:11" x14ac:dyDescent="0.25">
      <c r="K580" s="168"/>
    </row>
    <row r="581" spans="11:11" x14ac:dyDescent="0.25">
      <c r="K581" s="168"/>
    </row>
    <row r="582" spans="11:11" x14ac:dyDescent="0.25">
      <c r="K582" s="168"/>
    </row>
    <row r="583" spans="11:11" x14ac:dyDescent="0.25">
      <c r="K583" s="168"/>
    </row>
    <row r="584" spans="11:11" x14ac:dyDescent="0.25">
      <c r="K584" s="168"/>
    </row>
    <row r="585" spans="11:11" x14ac:dyDescent="0.25">
      <c r="K585" s="168"/>
    </row>
    <row r="586" spans="11:11" x14ac:dyDescent="0.25">
      <c r="K586" s="168"/>
    </row>
    <row r="587" spans="11:11" x14ac:dyDescent="0.25">
      <c r="K587" s="168"/>
    </row>
    <row r="588" spans="11:11" x14ac:dyDescent="0.25">
      <c r="K588" s="168"/>
    </row>
    <row r="589" spans="11:11" x14ac:dyDescent="0.25">
      <c r="K589" s="168"/>
    </row>
    <row r="590" spans="11:11" x14ac:dyDescent="0.25">
      <c r="K590" s="168"/>
    </row>
    <row r="591" spans="11:11" x14ac:dyDescent="0.25">
      <c r="K591" s="168"/>
    </row>
    <row r="592" spans="11:11" x14ac:dyDescent="0.25">
      <c r="K592" s="168"/>
    </row>
    <row r="593" spans="11:11" x14ac:dyDescent="0.25">
      <c r="K593" s="168"/>
    </row>
    <row r="594" spans="11:11" x14ac:dyDescent="0.25">
      <c r="K594" s="168"/>
    </row>
    <row r="595" spans="11:11" x14ac:dyDescent="0.25">
      <c r="K595" s="168"/>
    </row>
    <row r="596" spans="11:11" x14ac:dyDescent="0.25">
      <c r="K596" s="168"/>
    </row>
    <row r="597" spans="11:11" x14ac:dyDescent="0.25">
      <c r="K597" s="168"/>
    </row>
    <row r="598" spans="11:11" x14ac:dyDescent="0.25">
      <c r="K598" s="168"/>
    </row>
    <row r="599" spans="11:11" x14ac:dyDescent="0.25">
      <c r="K599" s="168"/>
    </row>
    <row r="600" spans="11:11" x14ac:dyDescent="0.25">
      <c r="K600" s="168"/>
    </row>
    <row r="601" spans="11:11" x14ac:dyDescent="0.25">
      <c r="K601" s="168"/>
    </row>
    <row r="602" spans="11:11" x14ac:dyDescent="0.25">
      <c r="K602" s="168"/>
    </row>
    <row r="603" spans="11:11" x14ac:dyDescent="0.25">
      <c r="K603" s="168"/>
    </row>
    <row r="604" spans="11:11" x14ac:dyDescent="0.25">
      <c r="K604" s="168"/>
    </row>
    <row r="605" spans="11:11" x14ac:dyDescent="0.25">
      <c r="K605" s="168"/>
    </row>
    <row r="606" spans="11:11" x14ac:dyDescent="0.25">
      <c r="K606" s="168"/>
    </row>
    <row r="607" spans="11:11" x14ac:dyDescent="0.25">
      <c r="K607" s="168"/>
    </row>
    <row r="608" spans="11:11" x14ac:dyDescent="0.25">
      <c r="K608" s="168"/>
    </row>
    <row r="609" spans="11:11" x14ac:dyDescent="0.25">
      <c r="K609" s="168"/>
    </row>
    <row r="610" spans="11:11" x14ac:dyDescent="0.25">
      <c r="K610" s="168"/>
    </row>
    <row r="611" spans="11:11" x14ac:dyDescent="0.25">
      <c r="K611" s="168"/>
    </row>
    <row r="612" spans="11:11" x14ac:dyDescent="0.25">
      <c r="K612" s="168"/>
    </row>
    <row r="613" spans="11:11" x14ac:dyDescent="0.25">
      <c r="K613" s="168"/>
    </row>
    <row r="614" spans="11:11" x14ac:dyDescent="0.25">
      <c r="K614" s="168"/>
    </row>
    <row r="615" spans="11:11" x14ac:dyDescent="0.25">
      <c r="K615" s="168"/>
    </row>
    <row r="616" spans="11:11" x14ac:dyDescent="0.25">
      <c r="K616" s="168"/>
    </row>
    <row r="617" spans="11:11" x14ac:dyDescent="0.25">
      <c r="K617" s="168"/>
    </row>
    <row r="618" spans="11:11" x14ac:dyDescent="0.25">
      <c r="K618" s="168"/>
    </row>
    <row r="619" spans="11:11" x14ac:dyDescent="0.25">
      <c r="K619" s="168"/>
    </row>
    <row r="620" spans="11:11" x14ac:dyDescent="0.25">
      <c r="K620" s="168"/>
    </row>
    <row r="621" spans="11:11" x14ac:dyDescent="0.25">
      <c r="K621" s="168"/>
    </row>
    <row r="622" spans="11:11" x14ac:dyDescent="0.25">
      <c r="K622" s="168"/>
    </row>
    <row r="623" spans="11:11" x14ac:dyDescent="0.25">
      <c r="K623" s="168"/>
    </row>
    <row r="624" spans="11:11" x14ac:dyDescent="0.25">
      <c r="K624" s="168"/>
    </row>
    <row r="625" spans="11:11" x14ac:dyDescent="0.25">
      <c r="K625" s="168"/>
    </row>
    <row r="626" spans="11:11" x14ac:dyDescent="0.25">
      <c r="K626" s="168"/>
    </row>
    <row r="627" spans="11:11" x14ac:dyDescent="0.25">
      <c r="K627" s="168"/>
    </row>
    <row r="628" spans="11:11" x14ac:dyDescent="0.25">
      <c r="K628" s="168"/>
    </row>
    <row r="629" spans="11:11" x14ac:dyDescent="0.25">
      <c r="K629" s="168"/>
    </row>
    <row r="630" spans="11:11" x14ac:dyDescent="0.25">
      <c r="K630" s="168"/>
    </row>
    <row r="631" spans="11:11" x14ac:dyDescent="0.25">
      <c r="K631" s="168"/>
    </row>
    <row r="632" spans="11:11" x14ac:dyDescent="0.25">
      <c r="K632" s="168"/>
    </row>
    <row r="633" spans="11:11" x14ac:dyDescent="0.25">
      <c r="K633" s="168"/>
    </row>
    <row r="634" spans="11:11" x14ac:dyDescent="0.25">
      <c r="K634" s="168"/>
    </row>
    <row r="635" spans="11:11" x14ac:dyDescent="0.25">
      <c r="K635" s="168"/>
    </row>
    <row r="636" spans="11:11" x14ac:dyDescent="0.25">
      <c r="K636" s="168"/>
    </row>
    <row r="637" spans="11:11" x14ac:dyDescent="0.25">
      <c r="K637" s="168"/>
    </row>
    <row r="638" spans="11:11" x14ac:dyDescent="0.25">
      <c r="K638" s="168"/>
    </row>
    <row r="639" spans="11:11" x14ac:dyDescent="0.25">
      <c r="K639" s="168"/>
    </row>
    <row r="640" spans="11:11" x14ac:dyDescent="0.25">
      <c r="K640" s="168"/>
    </row>
    <row r="641" spans="11:11" x14ac:dyDescent="0.25">
      <c r="K641" s="168"/>
    </row>
    <row r="642" spans="11:11" x14ac:dyDescent="0.25">
      <c r="K642" s="168"/>
    </row>
    <row r="643" spans="11:11" x14ac:dyDescent="0.25">
      <c r="K643" s="168"/>
    </row>
    <row r="644" spans="11:11" x14ac:dyDescent="0.25">
      <c r="K644" s="168"/>
    </row>
    <row r="645" spans="11:11" x14ac:dyDescent="0.25">
      <c r="K645" s="168"/>
    </row>
    <row r="646" spans="11:11" x14ac:dyDescent="0.25">
      <c r="K646" s="168"/>
    </row>
    <row r="647" spans="11:11" x14ac:dyDescent="0.25">
      <c r="K647" s="168"/>
    </row>
    <row r="648" spans="11:11" x14ac:dyDescent="0.25">
      <c r="K648" s="168"/>
    </row>
    <row r="649" spans="11:11" x14ac:dyDescent="0.25">
      <c r="K649" s="168"/>
    </row>
    <row r="650" spans="11:11" x14ac:dyDescent="0.25">
      <c r="K650" s="168"/>
    </row>
    <row r="651" spans="11:11" x14ac:dyDescent="0.25">
      <c r="K651" s="168"/>
    </row>
    <row r="652" spans="11:11" x14ac:dyDescent="0.25">
      <c r="K652" s="168"/>
    </row>
    <row r="653" spans="11:11" x14ac:dyDescent="0.25">
      <c r="K653" s="168"/>
    </row>
    <row r="654" spans="11:11" x14ac:dyDescent="0.25">
      <c r="K654" s="168"/>
    </row>
    <row r="655" spans="11:11" x14ac:dyDescent="0.25">
      <c r="K655" s="168"/>
    </row>
    <row r="656" spans="11:11" x14ac:dyDescent="0.25">
      <c r="K656" s="168"/>
    </row>
    <row r="657" spans="11:11" x14ac:dyDescent="0.25">
      <c r="K657" s="168"/>
    </row>
    <row r="658" spans="11:11" x14ac:dyDescent="0.25">
      <c r="K658" s="168"/>
    </row>
    <row r="659" spans="11:11" x14ac:dyDescent="0.25">
      <c r="K659" s="168"/>
    </row>
    <row r="660" spans="11:11" x14ac:dyDescent="0.25">
      <c r="K660" s="168"/>
    </row>
    <row r="661" spans="11:11" x14ac:dyDescent="0.25">
      <c r="K661" s="168"/>
    </row>
    <row r="662" spans="11:11" x14ac:dyDescent="0.25">
      <c r="K662" s="168"/>
    </row>
    <row r="663" spans="11:11" x14ac:dyDescent="0.25">
      <c r="K663" s="168"/>
    </row>
    <row r="664" spans="11:11" x14ac:dyDescent="0.25">
      <c r="K664" s="168"/>
    </row>
    <row r="665" spans="11:11" x14ac:dyDescent="0.25">
      <c r="K665" s="168"/>
    </row>
    <row r="666" spans="11:11" x14ac:dyDescent="0.25">
      <c r="K666" s="168"/>
    </row>
    <row r="667" spans="11:11" x14ac:dyDescent="0.25">
      <c r="K667" s="168"/>
    </row>
    <row r="668" spans="11:11" x14ac:dyDescent="0.25">
      <c r="K668" s="168"/>
    </row>
    <row r="669" spans="11:11" x14ac:dyDescent="0.25">
      <c r="K669" s="168"/>
    </row>
    <row r="670" spans="11:11" x14ac:dyDescent="0.25">
      <c r="K670" s="168"/>
    </row>
    <row r="671" spans="11:11" x14ac:dyDescent="0.25">
      <c r="K671" s="168"/>
    </row>
    <row r="672" spans="11:11" x14ac:dyDescent="0.25">
      <c r="K672" s="168"/>
    </row>
    <row r="673" spans="11:11" x14ac:dyDescent="0.25">
      <c r="K673" s="168"/>
    </row>
    <row r="674" spans="11:11" x14ac:dyDescent="0.25">
      <c r="K674" s="168"/>
    </row>
    <row r="675" spans="11:11" x14ac:dyDescent="0.25">
      <c r="K675" s="168"/>
    </row>
    <row r="676" spans="11:11" x14ac:dyDescent="0.25">
      <c r="K676" s="168"/>
    </row>
    <row r="677" spans="11:11" x14ac:dyDescent="0.25">
      <c r="K677" s="168"/>
    </row>
    <row r="678" spans="11:11" x14ac:dyDescent="0.25">
      <c r="K678" s="168"/>
    </row>
    <row r="679" spans="11:11" x14ac:dyDescent="0.25">
      <c r="K679" s="168"/>
    </row>
    <row r="680" spans="11:11" x14ac:dyDescent="0.25">
      <c r="K680" s="168"/>
    </row>
    <row r="681" spans="11:11" x14ac:dyDescent="0.25">
      <c r="K681" s="168"/>
    </row>
    <row r="682" spans="11:11" x14ac:dyDescent="0.25">
      <c r="K682" s="168"/>
    </row>
    <row r="683" spans="11:11" x14ac:dyDescent="0.25">
      <c r="K683" s="168"/>
    </row>
    <row r="684" spans="11:11" x14ac:dyDescent="0.25">
      <c r="K684" s="168"/>
    </row>
    <row r="685" spans="11:11" x14ac:dyDescent="0.25">
      <c r="K685" s="168"/>
    </row>
    <row r="686" spans="11:11" x14ac:dyDescent="0.25">
      <c r="K686" s="168"/>
    </row>
    <row r="687" spans="11:11" x14ac:dyDescent="0.25">
      <c r="K687" s="168"/>
    </row>
    <row r="688" spans="11:11" x14ac:dyDescent="0.25">
      <c r="K688" s="168"/>
    </row>
    <row r="689" spans="11:11" x14ac:dyDescent="0.25">
      <c r="K689" s="168"/>
    </row>
    <row r="690" spans="11:11" x14ac:dyDescent="0.25">
      <c r="K690" s="168"/>
    </row>
    <row r="691" spans="11:11" x14ac:dyDescent="0.25">
      <c r="K691" s="168"/>
    </row>
    <row r="692" spans="11:11" x14ac:dyDescent="0.25">
      <c r="K692" s="168"/>
    </row>
    <row r="693" spans="11:11" x14ac:dyDescent="0.25">
      <c r="K693" s="168"/>
    </row>
    <row r="694" spans="11:11" x14ac:dyDescent="0.25">
      <c r="K694" s="168"/>
    </row>
    <row r="695" spans="11:11" x14ac:dyDescent="0.25">
      <c r="K695" s="168"/>
    </row>
    <row r="696" spans="11:11" x14ac:dyDescent="0.25">
      <c r="K696" s="168"/>
    </row>
    <row r="697" spans="11:11" x14ac:dyDescent="0.25">
      <c r="K697" s="168"/>
    </row>
    <row r="698" spans="11:11" x14ac:dyDescent="0.25">
      <c r="K698" s="168"/>
    </row>
    <row r="699" spans="11:11" x14ac:dyDescent="0.25">
      <c r="K699" s="168"/>
    </row>
    <row r="700" spans="11:11" x14ac:dyDescent="0.25">
      <c r="K700" s="168"/>
    </row>
    <row r="701" spans="11:11" x14ac:dyDescent="0.25">
      <c r="K701" s="168"/>
    </row>
    <row r="702" spans="11:11" x14ac:dyDescent="0.25">
      <c r="K702" s="168"/>
    </row>
    <row r="703" spans="11:11" x14ac:dyDescent="0.25">
      <c r="K703" s="168"/>
    </row>
    <row r="704" spans="11:11" x14ac:dyDescent="0.25">
      <c r="K704" s="168"/>
    </row>
    <row r="705" spans="11:11" x14ac:dyDescent="0.25">
      <c r="K705" s="168"/>
    </row>
    <row r="706" spans="11:11" x14ac:dyDescent="0.25">
      <c r="K706" s="168"/>
    </row>
    <row r="707" spans="11:11" x14ac:dyDescent="0.25">
      <c r="K707" s="168"/>
    </row>
    <row r="708" spans="11:11" x14ac:dyDescent="0.25">
      <c r="K708" s="168"/>
    </row>
    <row r="709" spans="11:11" x14ac:dyDescent="0.25">
      <c r="K709" s="168"/>
    </row>
    <row r="710" spans="11:11" x14ac:dyDescent="0.25">
      <c r="K710" s="168"/>
    </row>
    <row r="711" spans="11:11" x14ac:dyDescent="0.25">
      <c r="K711" s="168"/>
    </row>
    <row r="712" spans="11:11" x14ac:dyDescent="0.25">
      <c r="K712" s="168"/>
    </row>
    <row r="713" spans="11:11" x14ac:dyDescent="0.25">
      <c r="K713" s="168"/>
    </row>
    <row r="714" spans="11:11" x14ac:dyDescent="0.25">
      <c r="K714" s="168"/>
    </row>
    <row r="715" spans="11:11" x14ac:dyDescent="0.25">
      <c r="K715" s="168"/>
    </row>
    <row r="716" spans="11:11" x14ac:dyDescent="0.25">
      <c r="K716" s="168"/>
    </row>
    <row r="717" spans="11:11" x14ac:dyDescent="0.25">
      <c r="K717" s="168"/>
    </row>
    <row r="718" spans="11:11" x14ac:dyDescent="0.25">
      <c r="K718" s="168"/>
    </row>
    <row r="719" spans="11:11" x14ac:dyDescent="0.25">
      <c r="K719" s="168"/>
    </row>
    <row r="720" spans="11:11" x14ac:dyDescent="0.25">
      <c r="K720" s="168"/>
    </row>
    <row r="721" spans="11:11" x14ac:dyDescent="0.25">
      <c r="K721" s="168"/>
    </row>
    <row r="722" spans="11:11" x14ac:dyDescent="0.25">
      <c r="K722" s="168"/>
    </row>
    <row r="723" spans="11:11" x14ac:dyDescent="0.25">
      <c r="K723" s="168"/>
    </row>
    <row r="724" spans="11:11" x14ac:dyDescent="0.25">
      <c r="K724" s="168"/>
    </row>
    <row r="725" spans="11:11" x14ac:dyDescent="0.25">
      <c r="K725" s="168"/>
    </row>
    <row r="726" spans="11:11" x14ac:dyDescent="0.25">
      <c r="K726" s="168"/>
    </row>
    <row r="727" spans="11:11" x14ac:dyDescent="0.25">
      <c r="K727" s="168"/>
    </row>
    <row r="728" spans="11:11" x14ac:dyDescent="0.25">
      <c r="K728" s="168"/>
    </row>
    <row r="729" spans="11:11" x14ac:dyDescent="0.25">
      <c r="K729" s="168"/>
    </row>
    <row r="730" spans="11:11" x14ac:dyDescent="0.25">
      <c r="K730" s="168"/>
    </row>
    <row r="731" spans="11:11" x14ac:dyDescent="0.25">
      <c r="K731" s="168"/>
    </row>
    <row r="732" spans="11:11" x14ac:dyDescent="0.25">
      <c r="K732" s="168"/>
    </row>
    <row r="733" spans="11:11" x14ac:dyDescent="0.25">
      <c r="K733" s="168"/>
    </row>
    <row r="734" spans="11:11" x14ac:dyDescent="0.25">
      <c r="K734" s="168"/>
    </row>
    <row r="735" spans="11:11" x14ac:dyDescent="0.25">
      <c r="K735" s="168"/>
    </row>
    <row r="736" spans="11:11" x14ac:dyDescent="0.25">
      <c r="K736" s="168"/>
    </row>
    <row r="737" spans="11:11" x14ac:dyDescent="0.25">
      <c r="K737" s="168"/>
    </row>
    <row r="738" spans="11:11" x14ac:dyDescent="0.25">
      <c r="K738" s="168"/>
    </row>
    <row r="739" spans="11:11" x14ac:dyDescent="0.25">
      <c r="K739" s="168"/>
    </row>
    <row r="740" spans="11:11" x14ac:dyDescent="0.25">
      <c r="K740" s="168"/>
    </row>
    <row r="741" spans="11:11" x14ac:dyDescent="0.25">
      <c r="K741" s="168"/>
    </row>
    <row r="742" spans="11:11" x14ac:dyDescent="0.25">
      <c r="K742" s="168"/>
    </row>
    <row r="743" spans="11:11" x14ac:dyDescent="0.25">
      <c r="K743" s="168"/>
    </row>
    <row r="744" spans="11:11" x14ac:dyDescent="0.25">
      <c r="K744" s="168"/>
    </row>
    <row r="745" spans="11:11" x14ac:dyDescent="0.25">
      <c r="K745" s="168"/>
    </row>
    <row r="746" spans="11:11" x14ac:dyDescent="0.25">
      <c r="K746" s="168"/>
    </row>
    <row r="747" spans="11:11" x14ac:dyDescent="0.25">
      <c r="K747" s="168"/>
    </row>
    <row r="748" spans="11:11" x14ac:dyDescent="0.25">
      <c r="K748" s="168"/>
    </row>
    <row r="749" spans="11:11" x14ac:dyDescent="0.25">
      <c r="K749" s="168"/>
    </row>
    <row r="750" spans="11:11" x14ac:dyDescent="0.25">
      <c r="K750" s="168"/>
    </row>
    <row r="751" spans="11:11" x14ac:dyDescent="0.25">
      <c r="K751" s="168"/>
    </row>
    <row r="752" spans="11:11" x14ac:dyDescent="0.25">
      <c r="K752" s="168"/>
    </row>
    <row r="753" spans="11:11" x14ac:dyDescent="0.25">
      <c r="K753" s="168"/>
    </row>
    <row r="754" spans="11:11" x14ac:dyDescent="0.25">
      <c r="K754" s="168"/>
    </row>
    <row r="755" spans="11:11" x14ac:dyDescent="0.25">
      <c r="K755" s="168"/>
    </row>
    <row r="756" spans="11:11" x14ac:dyDescent="0.25">
      <c r="K756" s="168"/>
    </row>
    <row r="757" spans="11:11" x14ac:dyDescent="0.25">
      <c r="K757" s="168"/>
    </row>
    <row r="758" spans="11:11" x14ac:dyDescent="0.25">
      <c r="K758" s="168"/>
    </row>
    <row r="759" spans="11:11" x14ac:dyDescent="0.25">
      <c r="K759" s="168"/>
    </row>
    <row r="760" spans="11:11" x14ac:dyDescent="0.25">
      <c r="K760" s="168"/>
    </row>
    <row r="761" spans="11:11" x14ac:dyDescent="0.25">
      <c r="K761" s="168"/>
    </row>
    <row r="762" spans="11:11" x14ac:dyDescent="0.25">
      <c r="K762" s="168"/>
    </row>
    <row r="763" spans="11:11" x14ac:dyDescent="0.25">
      <c r="K763" s="168"/>
    </row>
    <row r="764" spans="11:11" x14ac:dyDescent="0.25">
      <c r="K764" s="168"/>
    </row>
    <row r="765" spans="11:11" x14ac:dyDescent="0.25">
      <c r="K765" s="168"/>
    </row>
    <row r="766" spans="11:11" x14ac:dyDescent="0.25">
      <c r="K766" s="168"/>
    </row>
    <row r="767" spans="11:11" x14ac:dyDescent="0.25">
      <c r="K767" s="168"/>
    </row>
    <row r="768" spans="11:11" x14ac:dyDescent="0.25">
      <c r="K768" s="168"/>
    </row>
    <row r="769" spans="11:11" x14ac:dyDescent="0.25">
      <c r="K769" s="168"/>
    </row>
    <row r="770" spans="11:11" x14ac:dyDescent="0.25">
      <c r="K770" s="168"/>
    </row>
    <row r="771" spans="11:11" x14ac:dyDescent="0.25">
      <c r="K771" s="168"/>
    </row>
    <row r="772" spans="11:11" x14ac:dyDescent="0.25">
      <c r="K772" s="168"/>
    </row>
    <row r="773" spans="11:11" x14ac:dyDescent="0.25">
      <c r="K773" s="168"/>
    </row>
    <row r="774" spans="11:11" x14ac:dyDescent="0.25">
      <c r="K774" s="168"/>
    </row>
    <row r="775" spans="11:11" x14ac:dyDescent="0.25">
      <c r="K775" s="168"/>
    </row>
    <row r="776" spans="11:11" x14ac:dyDescent="0.25">
      <c r="K776" s="168"/>
    </row>
    <row r="777" spans="11:11" x14ac:dyDescent="0.25">
      <c r="K777" s="168"/>
    </row>
    <row r="778" spans="11:11" x14ac:dyDescent="0.25">
      <c r="K778" s="168"/>
    </row>
    <row r="779" spans="11:11" x14ac:dyDescent="0.25">
      <c r="K779" s="168"/>
    </row>
    <row r="780" spans="11:11" x14ac:dyDescent="0.25">
      <c r="K780" s="168"/>
    </row>
    <row r="781" spans="11:11" x14ac:dyDescent="0.25">
      <c r="K781" s="168"/>
    </row>
    <row r="782" spans="11:11" x14ac:dyDescent="0.25">
      <c r="K782" s="168"/>
    </row>
    <row r="783" spans="11:11" x14ac:dyDescent="0.25">
      <c r="K783" s="168"/>
    </row>
    <row r="784" spans="11:11" x14ac:dyDescent="0.25">
      <c r="K784" s="168"/>
    </row>
    <row r="785" spans="11:11" x14ac:dyDescent="0.25">
      <c r="K785" s="168"/>
    </row>
    <row r="786" spans="11:11" x14ac:dyDescent="0.25">
      <c r="K786" s="168"/>
    </row>
    <row r="787" spans="11:11" x14ac:dyDescent="0.25">
      <c r="K787" s="168"/>
    </row>
    <row r="788" spans="11:11" x14ac:dyDescent="0.25">
      <c r="K788" s="168"/>
    </row>
    <row r="789" spans="11:11" x14ac:dyDescent="0.25">
      <c r="K789" s="168"/>
    </row>
    <row r="790" spans="11:11" x14ac:dyDescent="0.25">
      <c r="K790" s="168"/>
    </row>
    <row r="791" spans="11:11" x14ac:dyDescent="0.25">
      <c r="K791" s="168"/>
    </row>
    <row r="792" spans="11:11" x14ac:dyDescent="0.25">
      <c r="K792" s="168"/>
    </row>
    <row r="793" spans="11:11" x14ac:dyDescent="0.25">
      <c r="K793" s="168"/>
    </row>
    <row r="794" spans="11:11" x14ac:dyDescent="0.25">
      <c r="K794" s="168"/>
    </row>
    <row r="795" spans="11:11" x14ac:dyDescent="0.25">
      <c r="K795" s="168"/>
    </row>
    <row r="796" spans="11:11" x14ac:dyDescent="0.25">
      <c r="K796" s="168"/>
    </row>
    <row r="797" spans="11:11" x14ac:dyDescent="0.25">
      <c r="K797" s="168"/>
    </row>
    <row r="798" spans="11:11" x14ac:dyDescent="0.25">
      <c r="K798" s="168"/>
    </row>
    <row r="799" spans="11:11" x14ac:dyDescent="0.25">
      <c r="K799" s="168"/>
    </row>
    <row r="800" spans="11:11" x14ac:dyDescent="0.25">
      <c r="K800" s="168"/>
    </row>
    <row r="801" spans="11:11" x14ac:dyDescent="0.25">
      <c r="K801" s="168"/>
    </row>
    <row r="802" spans="11:11" x14ac:dyDescent="0.25">
      <c r="K802" s="168"/>
    </row>
    <row r="803" spans="11:11" x14ac:dyDescent="0.25">
      <c r="K803" s="168"/>
    </row>
    <row r="804" spans="11:11" x14ac:dyDescent="0.25">
      <c r="K804" s="168"/>
    </row>
    <row r="805" spans="11:11" x14ac:dyDescent="0.25">
      <c r="K805" s="168"/>
    </row>
    <row r="806" spans="11:11" x14ac:dyDescent="0.25">
      <c r="K806" s="168"/>
    </row>
    <row r="807" spans="11:11" x14ac:dyDescent="0.25">
      <c r="K807" s="168"/>
    </row>
    <row r="808" spans="11:11" x14ac:dyDescent="0.25">
      <c r="K808" s="168"/>
    </row>
    <row r="809" spans="11:11" x14ac:dyDescent="0.25">
      <c r="K809" s="168"/>
    </row>
    <row r="810" spans="11:11" x14ac:dyDescent="0.25">
      <c r="K810" s="168"/>
    </row>
    <row r="811" spans="11:11" x14ac:dyDescent="0.25">
      <c r="K811" s="168"/>
    </row>
    <row r="812" spans="11:11" x14ac:dyDescent="0.25">
      <c r="K812" s="168"/>
    </row>
    <row r="813" spans="11:11" x14ac:dyDescent="0.25">
      <c r="K813" s="168"/>
    </row>
    <row r="814" spans="11:11" x14ac:dyDescent="0.25">
      <c r="K814" s="168"/>
    </row>
    <row r="815" spans="11:11" x14ac:dyDescent="0.25">
      <c r="K815" s="168"/>
    </row>
    <row r="816" spans="11:11" x14ac:dyDescent="0.25">
      <c r="K816" s="168"/>
    </row>
    <row r="817" spans="11:11" x14ac:dyDescent="0.25">
      <c r="K817" s="168"/>
    </row>
    <row r="818" spans="11:11" x14ac:dyDescent="0.25">
      <c r="K818" s="168"/>
    </row>
    <row r="819" spans="11:11" x14ac:dyDescent="0.25">
      <c r="K819" s="168"/>
    </row>
    <row r="820" spans="11:11" x14ac:dyDescent="0.25">
      <c r="K820" s="168"/>
    </row>
    <row r="821" spans="11:11" x14ac:dyDescent="0.25">
      <c r="K821" s="168"/>
    </row>
    <row r="822" spans="11:11" x14ac:dyDescent="0.25">
      <c r="K822" s="168"/>
    </row>
    <row r="823" spans="11:11" x14ac:dyDescent="0.25">
      <c r="K823" s="168"/>
    </row>
    <row r="824" spans="11:11" x14ac:dyDescent="0.25">
      <c r="K824" s="168"/>
    </row>
    <row r="825" spans="11:11" x14ac:dyDescent="0.25">
      <c r="K825" s="168"/>
    </row>
    <row r="826" spans="11:11" x14ac:dyDescent="0.25">
      <c r="K826" s="168"/>
    </row>
    <row r="827" spans="11:11" x14ac:dyDescent="0.25">
      <c r="K827" s="168"/>
    </row>
    <row r="828" spans="11:11" x14ac:dyDescent="0.25">
      <c r="K828" s="168"/>
    </row>
    <row r="829" spans="11:11" x14ac:dyDescent="0.25">
      <c r="K829" s="168"/>
    </row>
    <row r="830" spans="11:11" x14ac:dyDescent="0.25">
      <c r="K830" s="168"/>
    </row>
    <row r="831" spans="11:11" x14ac:dyDescent="0.25">
      <c r="K831" s="168"/>
    </row>
    <row r="832" spans="11:11" x14ac:dyDescent="0.25">
      <c r="K832" s="168"/>
    </row>
    <row r="833" spans="11:11" x14ac:dyDescent="0.25">
      <c r="K833" s="168"/>
    </row>
    <row r="834" spans="11:11" x14ac:dyDescent="0.25">
      <c r="K834" s="168"/>
    </row>
    <row r="835" spans="11:11" x14ac:dyDescent="0.25">
      <c r="K835" s="168"/>
    </row>
    <row r="836" spans="11:11" x14ac:dyDescent="0.25">
      <c r="K836" s="168"/>
    </row>
    <row r="837" spans="11:11" x14ac:dyDescent="0.25">
      <c r="K837" s="168"/>
    </row>
    <row r="838" spans="11:11" x14ac:dyDescent="0.25">
      <c r="K838" s="168"/>
    </row>
    <row r="839" spans="11:11" x14ac:dyDescent="0.25">
      <c r="K839" s="168"/>
    </row>
    <row r="840" spans="11:11" x14ac:dyDescent="0.25">
      <c r="K840" s="168"/>
    </row>
    <row r="841" spans="11:11" x14ac:dyDescent="0.25">
      <c r="K841" s="168"/>
    </row>
    <row r="842" spans="11:11" x14ac:dyDescent="0.25">
      <c r="K842" s="168"/>
    </row>
    <row r="843" spans="11:11" x14ac:dyDescent="0.25">
      <c r="K843" s="168"/>
    </row>
    <row r="844" spans="11:11" x14ac:dyDescent="0.25">
      <c r="K844" s="168"/>
    </row>
    <row r="845" spans="11:11" x14ac:dyDescent="0.25">
      <c r="K845" s="168"/>
    </row>
    <row r="846" spans="11:11" x14ac:dyDescent="0.25">
      <c r="K846" s="168"/>
    </row>
    <row r="847" spans="11:11" x14ac:dyDescent="0.25">
      <c r="K847" s="168"/>
    </row>
    <row r="848" spans="11:11" x14ac:dyDescent="0.25">
      <c r="K848" s="168"/>
    </row>
    <row r="849" spans="11:11" x14ac:dyDescent="0.25">
      <c r="K849" s="168"/>
    </row>
    <row r="850" spans="11:11" x14ac:dyDescent="0.25">
      <c r="K850" s="168"/>
    </row>
    <row r="851" spans="11:11" x14ac:dyDescent="0.25">
      <c r="K851" s="168"/>
    </row>
    <row r="852" spans="11:11" x14ac:dyDescent="0.25">
      <c r="K852" s="168"/>
    </row>
    <row r="853" spans="11:11" x14ac:dyDescent="0.25">
      <c r="K853" s="168"/>
    </row>
    <row r="854" spans="11:11" x14ac:dyDescent="0.25">
      <c r="K854" s="168"/>
    </row>
    <row r="855" spans="11:11" x14ac:dyDescent="0.25">
      <c r="K855" s="168"/>
    </row>
    <row r="856" spans="11:11" x14ac:dyDescent="0.25">
      <c r="K856" s="168"/>
    </row>
    <row r="857" spans="11:11" x14ac:dyDescent="0.25">
      <c r="K857" s="168"/>
    </row>
    <row r="858" spans="11:11" x14ac:dyDescent="0.25">
      <c r="K858" s="168"/>
    </row>
    <row r="859" spans="11:11" x14ac:dyDescent="0.25">
      <c r="K859" s="168"/>
    </row>
    <row r="860" spans="11:11" x14ac:dyDescent="0.25">
      <c r="K860" s="168"/>
    </row>
    <row r="861" spans="11:11" x14ac:dyDescent="0.25">
      <c r="K861" s="168"/>
    </row>
    <row r="862" spans="11:11" x14ac:dyDescent="0.25">
      <c r="K862" s="168"/>
    </row>
    <row r="863" spans="11:11" x14ac:dyDescent="0.25">
      <c r="K863" s="168"/>
    </row>
    <row r="864" spans="11:11" x14ac:dyDescent="0.25">
      <c r="K864" s="168"/>
    </row>
    <row r="865" spans="11:11" x14ac:dyDescent="0.25">
      <c r="K865" s="168"/>
    </row>
    <row r="866" spans="11:11" x14ac:dyDescent="0.25">
      <c r="K866" s="168"/>
    </row>
    <row r="867" spans="11:11" x14ac:dyDescent="0.25">
      <c r="K867" s="168"/>
    </row>
    <row r="868" spans="11:11" x14ac:dyDescent="0.25">
      <c r="K868" s="168"/>
    </row>
    <row r="869" spans="11:11" x14ac:dyDescent="0.25">
      <c r="K869" s="168"/>
    </row>
    <row r="870" spans="11:11" x14ac:dyDescent="0.25">
      <c r="K870" s="168"/>
    </row>
    <row r="871" spans="11:11" x14ac:dyDescent="0.25">
      <c r="K871" s="168"/>
    </row>
    <row r="872" spans="11:11" x14ac:dyDescent="0.25">
      <c r="K872" s="168"/>
    </row>
    <row r="873" spans="11:11" x14ac:dyDescent="0.25">
      <c r="K873" s="168"/>
    </row>
    <row r="874" spans="11:11" x14ac:dyDescent="0.25">
      <c r="K874" s="168"/>
    </row>
    <row r="875" spans="11:11" x14ac:dyDescent="0.25">
      <c r="K875" s="168"/>
    </row>
    <row r="876" spans="11:11" x14ac:dyDescent="0.25">
      <c r="K876" s="168"/>
    </row>
    <row r="877" spans="11:11" x14ac:dyDescent="0.25">
      <c r="K877" s="168"/>
    </row>
    <row r="878" spans="11:11" x14ac:dyDescent="0.25">
      <c r="K878" s="168"/>
    </row>
    <row r="879" spans="11:11" x14ac:dyDescent="0.25">
      <c r="K879" s="168"/>
    </row>
    <row r="880" spans="11:11" x14ac:dyDescent="0.25">
      <c r="K880" s="168"/>
    </row>
    <row r="881" spans="11:11" x14ac:dyDescent="0.25">
      <c r="K881" s="168"/>
    </row>
    <row r="882" spans="11:11" x14ac:dyDescent="0.25">
      <c r="K882" s="168"/>
    </row>
    <row r="883" spans="11:11" x14ac:dyDescent="0.25">
      <c r="K883" s="168"/>
    </row>
    <row r="884" spans="11:11" x14ac:dyDescent="0.25">
      <c r="K884" s="168"/>
    </row>
    <row r="885" spans="11:11" x14ac:dyDescent="0.25">
      <c r="K885" s="168"/>
    </row>
    <row r="886" spans="11:11" x14ac:dyDescent="0.25">
      <c r="K886" s="168"/>
    </row>
    <row r="887" spans="11:11" x14ac:dyDescent="0.25">
      <c r="K887" s="168"/>
    </row>
    <row r="888" spans="11:11" x14ac:dyDescent="0.25">
      <c r="K888" s="168"/>
    </row>
    <row r="889" spans="11:11" x14ac:dyDescent="0.25">
      <c r="K889" s="168"/>
    </row>
    <row r="890" spans="11:11" x14ac:dyDescent="0.25">
      <c r="K890" s="168"/>
    </row>
    <row r="891" spans="11:11" x14ac:dyDescent="0.25">
      <c r="K891" s="168"/>
    </row>
    <row r="892" spans="11:11" x14ac:dyDescent="0.25">
      <c r="K892" s="168"/>
    </row>
    <row r="893" spans="11:11" x14ac:dyDescent="0.25">
      <c r="K893" s="168"/>
    </row>
    <row r="894" spans="11:11" x14ac:dyDescent="0.25">
      <c r="K894" s="168"/>
    </row>
    <row r="895" spans="11:11" x14ac:dyDescent="0.25">
      <c r="K895" s="168"/>
    </row>
    <row r="896" spans="11:11" x14ac:dyDescent="0.25">
      <c r="K896" s="168"/>
    </row>
    <row r="897" spans="11:11" x14ac:dyDescent="0.25">
      <c r="K897" s="168"/>
    </row>
    <row r="898" spans="11:11" x14ac:dyDescent="0.25">
      <c r="K898" s="168"/>
    </row>
    <row r="899" spans="11:11" x14ac:dyDescent="0.25">
      <c r="K899" s="168"/>
    </row>
    <row r="900" spans="11:11" x14ac:dyDescent="0.25">
      <c r="K900" s="168"/>
    </row>
    <row r="901" spans="11:11" x14ac:dyDescent="0.25">
      <c r="K901" s="168"/>
    </row>
    <row r="902" spans="11:11" x14ac:dyDescent="0.25">
      <c r="K902" s="168"/>
    </row>
    <row r="903" spans="11:11" x14ac:dyDescent="0.25">
      <c r="K903" s="168"/>
    </row>
    <row r="904" spans="11:11" x14ac:dyDescent="0.25">
      <c r="K904" s="168"/>
    </row>
    <row r="905" spans="11:11" x14ac:dyDescent="0.25">
      <c r="K905" s="168"/>
    </row>
    <row r="906" spans="11:11" x14ac:dyDescent="0.25">
      <c r="K906" s="168"/>
    </row>
    <row r="907" spans="11:11" x14ac:dyDescent="0.25">
      <c r="K907" s="168"/>
    </row>
    <row r="908" spans="11:11" x14ac:dyDescent="0.25">
      <c r="K908" s="168"/>
    </row>
    <row r="909" spans="11:11" x14ac:dyDescent="0.25">
      <c r="K909" s="168"/>
    </row>
    <row r="910" spans="11:11" x14ac:dyDescent="0.25">
      <c r="K910" s="168"/>
    </row>
    <row r="911" spans="11:11" x14ac:dyDescent="0.25">
      <c r="K911" s="168"/>
    </row>
    <row r="912" spans="11:11" x14ac:dyDescent="0.25">
      <c r="K912" s="168"/>
    </row>
    <row r="913" spans="11:11" x14ac:dyDescent="0.25">
      <c r="K913" s="168"/>
    </row>
    <row r="914" spans="11:11" x14ac:dyDescent="0.25">
      <c r="K914" s="168"/>
    </row>
    <row r="915" spans="11:11" x14ac:dyDescent="0.25">
      <c r="K915" s="168"/>
    </row>
    <row r="916" spans="11:11" x14ac:dyDescent="0.25">
      <c r="K916" s="168"/>
    </row>
    <row r="917" spans="11:11" x14ac:dyDescent="0.25">
      <c r="K917" s="168"/>
    </row>
    <row r="918" spans="11:11" x14ac:dyDescent="0.25">
      <c r="K918" s="168"/>
    </row>
    <row r="919" spans="11:11" x14ac:dyDescent="0.25">
      <c r="K919" s="168"/>
    </row>
    <row r="920" spans="11:11" x14ac:dyDescent="0.25">
      <c r="K920" s="168"/>
    </row>
    <row r="921" spans="11:11" x14ac:dyDescent="0.25">
      <c r="K921" s="168"/>
    </row>
    <row r="922" spans="11:11" x14ac:dyDescent="0.25">
      <c r="K922" s="168"/>
    </row>
    <row r="923" spans="11:11" x14ac:dyDescent="0.25">
      <c r="K923" s="168"/>
    </row>
    <row r="924" spans="11:11" x14ac:dyDescent="0.25">
      <c r="K924" s="168"/>
    </row>
    <row r="925" spans="11:11" x14ac:dyDescent="0.25">
      <c r="K925" s="168"/>
    </row>
    <row r="926" spans="11:11" x14ac:dyDescent="0.25">
      <c r="K926" s="168"/>
    </row>
    <row r="927" spans="11:11" x14ac:dyDescent="0.25">
      <c r="K927" s="168"/>
    </row>
    <row r="928" spans="11:11" x14ac:dyDescent="0.25">
      <c r="K928" s="168"/>
    </row>
    <row r="929" spans="11:11" x14ac:dyDescent="0.25">
      <c r="K929" s="168"/>
    </row>
    <row r="930" spans="11:11" x14ac:dyDescent="0.25">
      <c r="K930" s="168"/>
    </row>
    <row r="931" spans="11:11" x14ac:dyDescent="0.25">
      <c r="K931" s="168"/>
    </row>
    <row r="932" spans="11:11" x14ac:dyDescent="0.25">
      <c r="K932" s="168"/>
    </row>
    <row r="933" spans="11:11" x14ac:dyDescent="0.25">
      <c r="K933" s="168"/>
    </row>
    <row r="934" spans="11:11" x14ac:dyDescent="0.25">
      <c r="K934" s="168"/>
    </row>
    <row r="935" spans="11:11" x14ac:dyDescent="0.25">
      <c r="K935" s="168"/>
    </row>
    <row r="936" spans="11:11" x14ac:dyDescent="0.25">
      <c r="K936" s="168"/>
    </row>
    <row r="937" spans="11:11" x14ac:dyDescent="0.25">
      <c r="K937" s="168"/>
    </row>
    <row r="938" spans="11:11" x14ac:dyDescent="0.25">
      <c r="K938" s="168"/>
    </row>
    <row r="939" spans="11:11" x14ac:dyDescent="0.25">
      <c r="K939" s="168"/>
    </row>
    <row r="940" spans="11:11" x14ac:dyDescent="0.25">
      <c r="K940" s="168"/>
    </row>
    <row r="941" spans="11:11" x14ac:dyDescent="0.25">
      <c r="K941" s="168"/>
    </row>
    <row r="942" spans="11:11" x14ac:dyDescent="0.25">
      <c r="K942" s="168"/>
    </row>
    <row r="943" spans="11:11" x14ac:dyDescent="0.25">
      <c r="K943" s="168"/>
    </row>
    <row r="944" spans="11:11" x14ac:dyDescent="0.25">
      <c r="K944" s="168"/>
    </row>
    <row r="945" spans="11:11" x14ac:dyDescent="0.25">
      <c r="K945" s="168"/>
    </row>
    <row r="946" spans="11:11" x14ac:dyDescent="0.25">
      <c r="K946" s="168"/>
    </row>
    <row r="947" spans="11:11" x14ac:dyDescent="0.25">
      <c r="K947" s="168"/>
    </row>
    <row r="948" spans="11:11" x14ac:dyDescent="0.25">
      <c r="K948" s="168"/>
    </row>
    <row r="949" spans="11:11" x14ac:dyDescent="0.25">
      <c r="K949" s="168"/>
    </row>
    <row r="950" spans="11:11" x14ac:dyDescent="0.25">
      <c r="K950" s="168"/>
    </row>
    <row r="951" spans="11:11" x14ac:dyDescent="0.25">
      <c r="K951" s="168"/>
    </row>
    <row r="952" spans="11:11" x14ac:dyDescent="0.25">
      <c r="K952" s="168"/>
    </row>
    <row r="953" spans="11:11" x14ac:dyDescent="0.25">
      <c r="K953" s="168"/>
    </row>
    <row r="954" spans="11:11" x14ac:dyDescent="0.25">
      <c r="K954" s="168"/>
    </row>
    <row r="955" spans="11:11" x14ac:dyDescent="0.25">
      <c r="K955" s="168"/>
    </row>
    <row r="956" spans="11:11" x14ac:dyDescent="0.25">
      <c r="K956" s="168"/>
    </row>
    <row r="957" spans="11:11" x14ac:dyDescent="0.25">
      <c r="K957" s="168"/>
    </row>
    <row r="958" spans="11:11" x14ac:dyDescent="0.25">
      <c r="K958" s="168"/>
    </row>
    <row r="959" spans="11:11" x14ac:dyDescent="0.25">
      <c r="K959" s="168"/>
    </row>
    <row r="960" spans="11:11" x14ac:dyDescent="0.25">
      <c r="K960" s="168"/>
    </row>
    <row r="961" spans="11:11" x14ac:dyDescent="0.25">
      <c r="K961" s="168"/>
    </row>
    <row r="962" spans="11:11" x14ac:dyDescent="0.25">
      <c r="K962" s="168"/>
    </row>
    <row r="963" spans="11:11" x14ac:dyDescent="0.25">
      <c r="K963" s="168"/>
    </row>
    <row r="964" spans="11:11" x14ac:dyDescent="0.25">
      <c r="K964" s="168"/>
    </row>
    <row r="965" spans="11:11" x14ac:dyDescent="0.25">
      <c r="K965" s="168"/>
    </row>
    <row r="966" spans="11:11" x14ac:dyDescent="0.25">
      <c r="K966" s="168"/>
    </row>
    <row r="967" spans="11:11" x14ac:dyDescent="0.25">
      <c r="K967" s="168"/>
    </row>
    <row r="968" spans="11:11" x14ac:dyDescent="0.25">
      <c r="K968" s="168"/>
    </row>
    <row r="969" spans="11:11" x14ac:dyDescent="0.25">
      <c r="K969" s="168"/>
    </row>
    <row r="970" spans="11:11" x14ac:dyDescent="0.25">
      <c r="K970" s="168"/>
    </row>
    <row r="971" spans="11:11" x14ac:dyDescent="0.25">
      <c r="K971" s="168"/>
    </row>
    <row r="972" spans="11:11" x14ac:dyDescent="0.25">
      <c r="K972" s="168"/>
    </row>
    <row r="973" spans="11:11" x14ac:dyDescent="0.25">
      <c r="K973" s="168"/>
    </row>
    <row r="974" spans="11:11" x14ac:dyDescent="0.25">
      <c r="K974" s="168"/>
    </row>
    <row r="975" spans="11:11" x14ac:dyDescent="0.25">
      <c r="K975" s="168"/>
    </row>
    <row r="976" spans="11:11" x14ac:dyDescent="0.25">
      <c r="K976" s="168"/>
    </row>
    <row r="977" spans="11:11" x14ac:dyDescent="0.25">
      <c r="K977" s="168"/>
    </row>
    <row r="978" spans="11:11" x14ac:dyDescent="0.25">
      <c r="K978" s="168"/>
    </row>
    <row r="979" spans="11:11" x14ac:dyDescent="0.25">
      <c r="K979" s="168"/>
    </row>
    <row r="980" spans="11:11" x14ac:dyDescent="0.25">
      <c r="K980" s="168"/>
    </row>
    <row r="981" spans="11:11" x14ac:dyDescent="0.25">
      <c r="K981" s="168"/>
    </row>
    <row r="982" spans="11:11" x14ac:dyDescent="0.25">
      <c r="K982" s="168"/>
    </row>
    <row r="983" spans="11:11" x14ac:dyDescent="0.25">
      <c r="K983" s="168"/>
    </row>
    <row r="984" spans="11:11" x14ac:dyDescent="0.25">
      <c r="K984" s="168"/>
    </row>
    <row r="985" spans="11:11" x14ac:dyDescent="0.25">
      <c r="K985" s="168"/>
    </row>
    <row r="986" spans="11:11" x14ac:dyDescent="0.25">
      <c r="K986" s="168"/>
    </row>
    <row r="987" spans="11:11" x14ac:dyDescent="0.25">
      <c r="K987" s="168"/>
    </row>
    <row r="988" spans="11:11" x14ac:dyDescent="0.25">
      <c r="K988" s="168"/>
    </row>
  </sheetData>
  <mergeCells count="9">
    <mergeCell ref="G8:G9"/>
    <mergeCell ref="F9:F10"/>
    <mergeCell ref="A2:G2"/>
    <mergeCell ref="A3:G3"/>
    <mergeCell ref="A7:G7"/>
    <mergeCell ref="A8:A11"/>
    <mergeCell ref="B8:B11"/>
    <mergeCell ref="C8:C9"/>
    <mergeCell ref="D8:F8"/>
  </mergeCells>
  <pageMargins left="0.39370078740157483" right="0.39370078740157483" top="0.39370078740157483" bottom="0.39370078740157483" header="0" footer="0"/>
  <pageSetup paperSize="9" scale="8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67</vt:i4>
      </vt:variant>
    </vt:vector>
  </HeadingPairs>
  <TitlesOfParts>
    <vt:vector size="133" baseType="lpstr">
      <vt:lpstr>SUMMARY BY SECTOR (with CO)</vt:lpstr>
      <vt:lpstr>LBP Form No. 6</vt:lpstr>
      <vt:lpstr>titles and codes</vt:lpstr>
      <vt:lpstr>CMO NET</vt:lpstr>
      <vt:lpstr>CMO PPAs 2026</vt:lpstr>
      <vt:lpstr>DRRM DIV</vt:lpstr>
      <vt:lpstr>DRRMF</vt:lpstr>
      <vt:lpstr>COMM AFFAIRS</vt:lpstr>
      <vt:lpstr>RADIO COMM</vt:lpstr>
      <vt:lpstr>MIS</vt:lpstr>
      <vt:lpstr>BAC</vt:lpstr>
      <vt:lpstr>BPLO</vt:lpstr>
      <vt:lpstr>LIBRARY</vt:lpstr>
      <vt:lpstr>SPORTS</vt:lpstr>
      <vt:lpstr>EMPLOYMENT - PESO</vt:lpstr>
      <vt:lpstr>HOUSING</vt:lpstr>
      <vt:lpstr>LEDMO</vt:lpstr>
      <vt:lpstr>CVMO</vt:lpstr>
      <vt:lpstr>SP</vt:lpstr>
      <vt:lpstr>Sec. to SP</vt:lpstr>
      <vt:lpstr>AdminOffice</vt:lpstr>
      <vt:lpstr>HRMOffice</vt:lpstr>
      <vt:lpstr>PlanningOffice</vt:lpstr>
      <vt:lpstr>CCRO</vt:lpstr>
      <vt:lpstr>CCRO PPAs</vt:lpstr>
      <vt:lpstr>GSO</vt:lpstr>
      <vt:lpstr>CBO</vt:lpstr>
      <vt:lpstr>ACCTG.</vt:lpstr>
      <vt:lpstr>CTO</vt:lpstr>
      <vt:lpstr>ASSESSOR</vt:lpstr>
      <vt:lpstr>ASSESSOR PPA</vt:lpstr>
      <vt:lpstr>City Aud</vt:lpstr>
      <vt:lpstr>COA-GROUP K (2)</vt:lpstr>
      <vt:lpstr>OCIA</vt:lpstr>
      <vt:lpstr>INFO (2)</vt:lpstr>
      <vt:lpstr>INFO PPA</vt:lpstr>
      <vt:lpstr>LEGAL</vt:lpstr>
      <vt:lpstr>PROSECUTOR</vt:lpstr>
      <vt:lpstr>JUDGE</vt:lpstr>
      <vt:lpstr>DEEDS (2)</vt:lpstr>
      <vt:lpstr>Health</vt:lpstr>
      <vt:lpstr>Health PPAs</vt:lpstr>
      <vt:lpstr>Nutrition</vt:lpstr>
      <vt:lpstr>PopCon</vt:lpstr>
      <vt:lpstr>CSWD</vt:lpstr>
      <vt:lpstr>CSWD PPAs</vt:lpstr>
      <vt:lpstr>LCPC</vt:lpstr>
      <vt:lpstr>PWD</vt:lpstr>
      <vt:lpstr>Senior</vt:lpstr>
      <vt:lpstr>AGRI</vt:lpstr>
      <vt:lpstr>VET</vt:lpstr>
      <vt:lpstr>VET PPAs</vt:lpstr>
      <vt:lpstr>CENRO</vt:lpstr>
      <vt:lpstr>CENRO PPAs, SWM</vt:lpstr>
      <vt:lpstr>ARCHITECT</vt:lpstr>
      <vt:lpstr>CED</vt:lpstr>
      <vt:lpstr>CED PPAs</vt:lpstr>
      <vt:lpstr>Updated 20% DF</vt:lpstr>
      <vt:lpstr>MOTORPOOL</vt:lpstr>
      <vt:lpstr>BLDG. OFFICIAL</vt:lpstr>
      <vt:lpstr>TOURISM</vt:lpstr>
      <vt:lpstr>TOURISM PPAs</vt:lpstr>
      <vt:lpstr>PPC Market</vt:lpstr>
      <vt:lpstr>PPC Slaughter</vt:lpstr>
      <vt:lpstr>FISHPORT</vt:lpstr>
      <vt:lpstr>TERMINAL</vt:lpstr>
      <vt:lpstr>AC</vt:lpstr>
      <vt:lpstr>AT</vt:lpstr>
      <vt:lpstr>Codes</vt:lpstr>
      <vt:lpstr>ACCTG.!Print_Area</vt:lpstr>
      <vt:lpstr>AdminOffice!Print_Area</vt:lpstr>
      <vt:lpstr>AGRI!Print_Area</vt:lpstr>
      <vt:lpstr>ARCHITECT!Print_Area</vt:lpstr>
      <vt:lpstr>ASSESSOR!Print_Area</vt:lpstr>
      <vt:lpstr>'ASSESSOR PPA'!Print_Area</vt:lpstr>
      <vt:lpstr>BAC!Print_Area</vt:lpstr>
      <vt:lpstr>'BLDG. OFFICIAL'!Print_Area</vt:lpstr>
      <vt:lpstr>BPLO!Print_Area</vt:lpstr>
      <vt:lpstr>CBO!Print_Area</vt:lpstr>
      <vt:lpstr>CCRO!Print_Area</vt:lpstr>
      <vt:lpstr>'CCRO PPAs'!Print_Area</vt:lpstr>
      <vt:lpstr>CED!Print_Area</vt:lpstr>
      <vt:lpstr>'CED PPAs'!Print_Area</vt:lpstr>
      <vt:lpstr>CENRO!Print_Area</vt:lpstr>
      <vt:lpstr>'CENRO PPAs, SWM'!Print_Area</vt:lpstr>
      <vt:lpstr>'City Aud'!Print_Area</vt:lpstr>
      <vt:lpstr>'CMO NET'!Print_Area</vt:lpstr>
      <vt:lpstr>'CMO PPAs 2026'!Print_Area</vt:lpstr>
      <vt:lpstr>'COA-GROUP K (2)'!Print_Area</vt:lpstr>
      <vt:lpstr>CSWD!Print_Area</vt:lpstr>
      <vt:lpstr>'CSWD PPAs'!Print_Area</vt:lpstr>
      <vt:lpstr>CTO!Print_Area</vt:lpstr>
      <vt:lpstr>CVMO!Print_Area</vt:lpstr>
      <vt:lpstr>'DEEDS (2)'!Print_Area</vt:lpstr>
      <vt:lpstr>'DRRM DIV'!Print_Area</vt:lpstr>
      <vt:lpstr>DRRMF!Print_Area</vt:lpstr>
      <vt:lpstr>'EMPLOYMENT - PESO'!Print_Area</vt:lpstr>
      <vt:lpstr>FISHPORT!Print_Area</vt:lpstr>
      <vt:lpstr>GSO!Print_Area</vt:lpstr>
      <vt:lpstr>Health!Print_Area</vt:lpstr>
      <vt:lpstr>'Health PPAs'!Print_Area</vt:lpstr>
      <vt:lpstr>HOUSING!Print_Area</vt:lpstr>
      <vt:lpstr>HRMOffice!Print_Area</vt:lpstr>
      <vt:lpstr>'INFO (2)'!Print_Area</vt:lpstr>
      <vt:lpstr>'INFO PPA'!Print_Area</vt:lpstr>
      <vt:lpstr>JUDGE!Print_Area</vt:lpstr>
      <vt:lpstr>'LBP Form No. 6'!Print_Area</vt:lpstr>
      <vt:lpstr>LCPC!Print_Area</vt:lpstr>
      <vt:lpstr>LEDMO!Print_Area</vt:lpstr>
      <vt:lpstr>LEGAL!Print_Area</vt:lpstr>
      <vt:lpstr>LIBRARY!Print_Area</vt:lpstr>
      <vt:lpstr>MIS!Print_Area</vt:lpstr>
      <vt:lpstr>MOTORPOOL!Print_Area</vt:lpstr>
      <vt:lpstr>Nutrition!Print_Area</vt:lpstr>
      <vt:lpstr>OCIA!Print_Area</vt:lpstr>
      <vt:lpstr>PlanningOffice!Print_Area</vt:lpstr>
      <vt:lpstr>PopCon!Print_Area</vt:lpstr>
      <vt:lpstr>'PPC Market'!Print_Area</vt:lpstr>
      <vt:lpstr>'PPC Slaughter'!Print_Area</vt:lpstr>
      <vt:lpstr>PROSECUTOR!Print_Area</vt:lpstr>
      <vt:lpstr>PWD!Print_Area</vt:lpstr>
      <vt:lpstr>'RADIO COMM'!Print_Area</vt:lpstr>
      <vt:lpstr>'Sec. to SP'!Print_Area</vt:lpstr>
      <vt:lpstr>Senior!Print_Area</vt:lpstr>
      <vt:lpstr>SP!Print_Area</vt:lpstr>
      <vt:lpstr>SPORTS!Print_Area</vt:lpstr>
      <vt:lpstr>'SUMMARY BY SECTOR (with CO)'!Print_Area</vt:lpstr>
      <vt:lpstr>TERMINAL!Print_Area</vt:lpstr>
      <vt:lpstr>TOURISM!Print_Area</vt:lpstr>
      <vt:lpstr>'TOURISM PPAs'!Print_Area</vt:lpstr>
      <vt:lpstr>'Updated 20% DF'!Print_Area</vt:lpstr>
      <vt:lpstr>VET!Print_Area</vt:lpstr>
      <vt:lpstr>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Joy</dc:creator>
  <cp:lastModifiedBy>Roneson Sendaydiego</cp:lastModifiedBy>
  <cp:lastPrinted>2025-12-26T02:50:51Z</cp:lastPrinted>
  <dcterms:created xsi:type="dcterms:W3CDTF">2026-01-12T07:01:53Z</dcterms:created>
  <dcterms:modified xsi:type="dcterms:W3CDTF">2026-01-12T07:05:40Z</dcterms:modified>
</cp:coreProperties>
</file>